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google_drive\"/>
    </mc:Choice>
  </mc:AlternateContent>
  <xr:revisionPtr revIDLastSave="0" documentId="13_ncr:1_{E4C2795C-4D28-4B2C-9459-D889124DBB40}" xr6:coauthVersionLast="47" xr6:coauthVersionMax="47" xr10:uidLastSave="{00000000-0000-0000-0000-000000000000}"/>
  <bookViews>
    <workbookView xWindow="-108" yWindow="-108" windowWidth="23256" windowHeight="12456" tabRatio="911" activeTab="14" xr2:uid="{00000000-000D-0000-FFFF-FFFF00000000}"/>
  </bookViews>
  <sheets>
    <sheet name="Info" sheetId="1" r:id="rId1"/>
    <sheet name="FAQ" sheetId="2" r:id="rId2"/>
    <sheet name="Topics" sheetId="10" r:id="rId3"/>
    <sheet name="A" sheetId="3" r:id="rId4"/>
    <sheet name="B" sheetId="4" r:id="rId5"/>
    <sheet name="C1" sheetId="5" r:id="rId6"/>
    <sheet name="C2" sheetId="6" r:id="rId7"/>
    <sheet name="D1" sheetId="7" r:id="rId8"/>
    <sheet name="D2" sheetId="8" r:id="rId9"/>
    <sheet name="Routine" sheetId="30" r:id="rId10"/>
    <sheet name="D3" sheetId="9" r:id="rId11"/>
    <sheet name="my_topic_best_expert" sheetId="26" r:id="rId12"/>
    <sheet name="Baap" sheetId="12" r:id="rId13"/>
    <sheet name="final_450" sheetId="15" r:id="rId14"/>
    <sheet name="baap4" sheetId="19" r:id="rId15"/>
    <sheet name="baap5" sheetId="20" r:id="rId16"/>
    <sheet name="baap6" sheetId="21" r:id="rId17"/>
    <sheet name="blog" sheetId="14" r:id="rId18"/>
    <sheet name="Tree" sheetId="28" r:id="rId19"/>
    <sheet name="DP" sheetId="29" r:id="rId20"/>
    <sheet name="logic" sheetId="27" r:id="rId21"/>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20" i="7" l="1"/>
  <c r="M20" i="7"/>
  <c r="M16" i="7" l="1"/>
  <c r="M22" i="7" l="1"/>
  <c r="M85" i="6" l="1"/>
  <c r="B6" i="7"/>
  <c r="M981" i="10" l="1"/>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42" i="10"/>
  <c r="I898" i="10"/>
  <c r="B898" i="10"/>
  <c r="I897" i="10"/>
  <c r="B897" i="10"/>
  <c r="I896" i="10"/>
  <c r="B896" i="10"/>
  <c r="M719" i="10"/>
  <c r="I895" i="10"/>
  <c r="B895" i="10"/>
  <c r="I894" i="10"/>
  <c r="B894" i="10"/>
  <c r="I893" i="10"/>
  <c r="B893" i="10"/>
  <c r="I892" i="10"/>
  <c r="B892" i="10"/>
  <c r="I891" i="10"/>
  <c r="B891" i="10"/>
  <c r="I890" i="10"/>
  <c r="B890" i="10"/>
  <c r="I889" i="10"/>
  <c r="B889" i="10"/>
  <c r="M840" i="10"/>
  <c r="I888" i="10"/>
  <c r="I887" i="10"/>
  <c r="B887" i="10"/>
  <c r="I886" i="10"/>
  <c r="B886" i="10"/>
  <c r="M733" i="10"/>
  <c r="I885" i="10"/>
  <c r="I884" i="10"/>
  <c r="B884" i="10"/>
  <c r="I883" i="10"/>
  <c r="B883" i="10"/>
  <c r="I882" i="10"/>
  <c r="B882" i="10"/>
  <c r="I881" i="10"/>
  <c r="B881" i="10"/>
  <c r="I880" i="10"/>
  <c r="B880" i="10"/>
  <c r="M837"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186" i="10"/>
  <c r="I867" i="10"/>
  <c r="B867" i="10"/>
  <c r="M185" i="10"/>
  <c r="I866" i="10"/>
  <c r="M892" i="10"/>
  <c r="I865" i="10"/>
  <c r="M891" i="10"/>
  <c r="I864" i="10"/>
  <c r="M854" i="10"/>
  <c r="I863" i="10"/>
  <c r="B863" i="10"/>
  <c r="M833" i="10"/>
  <c r="I862" i="10"/>
  <c r="B862" i="10"/>
  <c r="M832" i="10"/>
  <c r="I861" i="10"/>
  <c r="B861" i="10"/>
  <c r="I860" i="10"/>
  <c r="B860" i="10"/>
  <c r="M830" i="10"/>
  <c r="I859" i="10"/>
  <c r="B859" i="10"/>
  <c r="I858" i="10"/>
  <c r="B858" i="10"/>
  <c r="I857" i="10"/>
  <c r="B857" i="10"/>
  <c r="M712" i="10"/>
  <c r="I856" i="10"/>
  <c r="B856" i="10"/>
  <c r="I855" i="10"/>
  <c r="B855" i="10"/>
  <c r="M710" i="10"/>
  <c r="I854" i="10"/>
  <c r="B854" i="10"/>
  <c r="M709" i="10"/>
  <c r="I853" i="10"/>
  <c r="B853" i="10"/>
  <c r="M708" i="10"/>
  <c r="I852" i="10"/>
  <c r="B852" i="10"/>
  <c r="M707" i="10"/>
  <c r="I851" i="10"/>
  <c r="B851" i="10"/>
  <c r="M706" i="10"/>
  <c r="I850" i="10"/>
  <c r="B850" i="10"/>
  <c r="I849" i="10"/>
  <c r="B849" i="10"/>
  <c r="I848" i="10"/>
  <c r="B848" i="10"/>
  <c r="I847" i="10"/>
  <c r="B847" i="10"/>
  <c r="M553" i="10"/>
  <c r="I846" i="10"/>
  <c r="B846" i="10"/>
  <c r="I845" i="10"/>
  <c r="B845" i="10"/>
  <c r="I844" i="10"/>
  <c r="B844" i="10"/>
  <c r="I843" i="10"/>
  <c r="B843" i="10"/>
  <c r="M444" i="10"/>
  <c r="I842" i="10"/>
  <c r="B842" i="10"/>
  <c r="I841" i="10"/>
  <c r="B841" i="10"/>
  <c r="I840" i="10"/>
  <c r="B840" i="10"/>
  <c r="I839" i="10"/>
  <c r="B839" i="10"/>
  <c r="I838" i="10"/>
  <c r="B838" i="10"/>
  <c r="M828" i="10"/>
  <c r="I837" i="10"/>
  <c r="B837" i="10"/>
  <c r="I836" i="10"/>
  <c r="B836" i="10"/>
  <c r="I835" i="10"/>
  <c r="B835" i="10"/>
  <c r="M550" i="10"/>
  <c r="I834" i="10"/>
  <c r="B834" i="10"/>
  <c r="I833" i="10"/>
  <c r="B833" i="10"/>
  <c r="I832" i="10"/>
  <c r="B832" i="10"/>
  <c r="M702" i="10"/>
  <c r="I831" i="10"/>
  <c r="B831" i="10"/>
  <c r="I830" i="10"/>
  <c r="B830" i="10"/>
  <c r="M827" i="10"/>
  <c r="I829" i="10"/>
  <c r="B829" i="10"/>
  <c r="M826" i="10"/>
  <c r="I828" i="10"/>
  <c r="B828" i="10"/>
  <c r="I827" i="10"/>
  <c r="M548" i="10"/>
  <c r="I826" i="10"/>
  <c r="B826" i="10"/>
  <c r="I825" i="10"/>
  <c r="B825" i="10"/>
  <c r="M443" i="10"/>
  <c r="I824" i="10"/>
  <c r="B824" i="10"/>
  <c r="I823" i="10"/>
  <c r="B823" i="10"/>
  <c r="I822" i="10"/>
  <c r="B822" i="10"/>
  <c r="I821" i="10"/>
  <c r="B821" i="10"/>
  <c r="I820" i="10"/>
  <c r="B820" i="10"/>
  <c r="M889" i="10"/>
  <c r="I819" i="10"/>
  <c r="B819" i="10"/>
  <c r="I818" i="10"/>
  <c r="B818" i="10"/>
  <c r="I817" i="10"/>
  <c r="B817" i="10"/>
  <c r="I816" i="10"/>
  <c r="I815" i="10"/>
  <c r="I814" i="10"/>
  <c r="B814" i="10"/>
  <c r="I813" i="10"/>
  <c r="B813" i="10"/>
  <c r="I812" i="10"/>
  <c r="B812" i="10"/>
  <c r="M544" i="10"/>
  <c r="I811" i="10"/>
  <c r="B811" i="10"/>
  <c r="M441" i="10"/>
  <c r="I810" i="10"/>
  <c r="B810" i="10"/>
  <c r="I809" i="10"/>
  <c r="B809" i="10"/>
  <c r="I808" i="10"/>
  <c r="M438" i="10"/>
  <c r="I807" i="10"/>
  <c r="B807" i="10"/>
  <c r="I806" i="10"/>
  <c r="B806" i="10"/>
  <c r="I805" i="10"/>
  <c r="B805" i="10"/>
  <c r="M887" i="10"/>
  <c r="I804" i="10"/>
  <c r="M886" i="10"/>
  <c r="I803" i="10"/>
  <c r="M885" i="10"/>
  <c r="I802" i="10"/>
  <c r="B802" i="10"/>
  <c r="I801" i="10"/>
  <c r="I800" i="10"/>
  <c r="B800" i="10"/>
  <c r="M820" i="10"/>
  <c r="I799" i="10"/>
  <c r="B799" i="10"/>
  <c r="I798" i="10"/>
  <c r="M731" i="10"/>
  <c r="I797" i="10"/>
  <c r="B797" i="10"/>
  <c r="M699" i="10"/>
  <c r="I796" i="10"/>
  <c r="B796" i="10"/>
  <c r="I795" i="10"/>
  <c r="M697" i="10"/>
  <c r="I794" i="10"/>
  <c r="B794" i="10"/>
  <c r="I793" i="10"/>
  <c r="B793" i="10"/>
  <c r="M437" i="10"/>
  <c r="I792" i="10"/>
  <c r="B792" i="10"/>
  <c r="M436" i="10"/>
  <c r="I791" i="10"/>
  <c r="B791" i="10"/>
  <c r="M271" i="10"/>
  <c r="I790" i="10"/>
  <c r="B790" i="10"/>
  <c r="M270" i="10"/>
  <c r="I789" i="10"/>
  <c r="B789" i="10"/>
  <c r="M182" i="10"/>
  <c r="I788" i="10"/>
  <c r="B788" i="10"/>
  <c r="I787" i="10"/>
  <c r="B787" i="10"/>
  <c r="I786" i="10"/>
  <c r="B786" i="10"/>
  <c r="M269" i="10"/>
  <c r="I785" i="10"/>
  <c r="B785" i="10"/>
  <c r="I784" i="10"/>
  <c r="B784" i="10"/>
  <c r="I783" i="10"/>
  <c r="B783" i="10"/>
  <c r="I782" i="10"/>
  <c r="B782" i="10"/>
  <c r="I781" i="10"/>
  <c r="B781" i="10"/>
  <c r="I780" i="10"/>
  <c r="B780" i="10"/>
  <c r="I779" i="10"/>
  <c r="B779" i="10"/>
  <c r="I778" i="10"/>
  <c r="B778" i="10"/>
  <c r="I777" i="10"/>
  <c r="B777" i="10"/>
  <c r="M180" i="10"/>
  <c r="I776" i="10"/>
  <c r="B776" i="10"/>
  <c r="I775" i="10"/>
  <c r="B775" i="10"/>
  <c r="M884" i="10"/>
  <c r="I774" i="10"/>
  <c r="B774" i="10"/>
  <c r="M883" i="10"/>
  <c r="I773" i="10"/>
  <c r="I772" i="10"/>
  <c r="B772" i="10"/>
  <c r="M433" i="10"/>
  <c r="I771" i="10"/>
  <c r="B771" i="10"/>
  <c r="M432" i="10"/>
  <c r="I770" i="10"/>
  <c r="B770" i="10"/>
  <c r="I769" i="10"/>
  <c r="B769" i="10"/>
  <c r="M265" i="10"/>
  <c r="I768" i="10"/>
  <c r="B768" i="10"/>
  <c r="M882" i="10"/>
  <c r="I767" i="10"/>
  <c r="B767" i="10"/>
  <c r="I766" i="10"/>
  <c r="B766" i="10"/>
  <c r="I765" i="10"/>
  <c r="B765" i="10"/>
  <c r="I764" i="10"/>
  <c r="B764" i="10"/>
  <c r="I763" i="10"/>
  <c r="B763" i="10"/>
  <c r="I762" i="10"/>
  <c r="B762" i="10"/>
  <c r="M431" i="10"/>
  <c r="I761" i="10"/>
  <c r="B761" i="10"/>
  <c r="M430" i="10"/>
  <c r="I760" i="10"/>
  <c r="B760" i="10"/>
  <c r="M264" i="10"/>
  <c r="I759" i="10"/>
  <c r="B759" i="10"/>
  <c r="I758" i="10"/>
  <c r="B758" i="10"/>
  <c r="M692" i="10"/>
  <c r="I757" i="10"/>
  <c r="M899" i="10"/>
  <c r="I756" i="10"/>
  <c r="B756" i="10"/>
  <c r="I755" i="10"/>
  <c r="B755" i="10"/>
  <c r="I754" i="10"/>
  <c r="B754" i="10"/>
  <c r="I753" i="10"/>
  <c r="B753" i="10"/>
  <c r="I752" i="10"/>
  <c r="I751" i="10"/>
  <c r="B751" i="10"/>
  <c r="I750" i="10"/>
  <c r="B750" i="10"/>
  <c r="M429" i="10"/>
  <c r="I749" i="10"/>
  <c r="B749" i="10"/>
  <c r="M428" i="10"/>
  <c r="I748" i="10"/>
  <c r="B748" i="10"/>
  <c r="I747" i="10"/>
  <c r="B747" i="10"/>
  <c r="M262" i="10"/>
  <c r="I746" i="10"/>
  <c r="B746" i="10"/>
  <c r="M261" i="10"/>
  <c r="I745" i="10"/>
  <c r="B745" i="10"/>
  <c r="I744" i="10"/>
  <c r="B744" i="10"/>
  <c r="M538" i="10"/>
  <c r="I743" i="10"/>
  <c r="B743" i="10"/>
  <c r="M202" i="10"/>
  <c r="I742" i="10"/>
  <c r="B742" i="10"/>
  <c r="I741" i="10"/>
  <c r="B741" i="10"/>
  <c r="I740" i="10"/>
  <c r="B740" i="10"/>
  <c r="M813" i="10"/>
  <c r="I739" i="10"/>
  <c r="B739" i="10"/>
  <c r="I738" i="10"/>
  <c r="B738" i="10"/>
  <c r="I737" i="10"/>
  <c r="B737" i="10"/>
  <c r="I736" i="10"/>
  <c r="B736" i="10"/>
  <c r="M427" i="10"/>
  <c r="I735" i="10"/>
  <c r="B735" i="10"/>
  <c r="I734" i="10"/>
  <c r="B734" i="10"/>
  <c r="M425" i="10"/>
  <c r="I733" i="10"/>
  <c r="B733" i="10"/>
  <c r="M201" i="10"/>
  <c r="I732" i="10"/>
  <c r="B732" i="10"/>
  <c r="M200" i="10"/>
  <c r="I731" i="10"/>
  <c r="B731" i="10"/>
  <c r="I730" i="10"/>
  <c r="B730" i="10"/>
  <c r="M880" i="10"/>
  <c r="I729" i="10"/>
  <c r="B729" i="10"/>
  <c r="M812" i="10"/>
  <c r="I728" i="10"/>
  <c r="B728" i="10"/>
  <c r="M811" i="10"/>
  <c r="I727" i="10"/>
  <c r="B727" i="10"/>
  <c r="I726" i="10"/>
  <c r="B726" i="10"/>
  <c r="I725" i="10"/>
  <c r="B725" i="10"/>
  <c r="I724" i="10"/>
  <c r="B724" i="10"/>
  <c r="I723" i="10"/>
  <c r="B723" i="10"/>
  <c r="I722" i="10"/>
  <c r="B722" i="10"/>
  <c r="I721" i="10"/>
  <c r="B721" i="10"/>
  <c r="I720" i="10"/>
  <c r="B720" i="10"/>
  <c r="M682" i="10"/>
  <c r="I719" i="10"/>
  <c r="B719" i="10"/>
  <c r="I718" i="10"/>
  <c r="B718" i="10"/>
  <c r="I717" i="10"/>
  <c r="B717" i="10"/>
  <c r="I716" i="10"/>
  <c r="B716" i="10"/>
  <c r="I715" i="10"/>
  <c r="B715" i="10"/>
  <c r="I714" i="10"/>
  <c r="B714" i="10"/>
  <c r="I713" i="10"/>
  <c r="B713" i="10"/>
  <c r="I712" i="10"/>
  <c r="B712" i="10"/>
  <c r="I711" i="10"/>
  <c r="B711" i="10"/>
  <c r="I710" i="10"/>
  <c r="B710" i="10"/>
  <c r="I709" i="10"/>
  <c r="B709" i="10"/>
  <c r="M534" i="10"/>
  <c r="I708" i="10"/>
  <c r="B708" i="10"/>
  <c r="I707" i="10"/>
  <c r="B707" i="10"/>
  <c r="I706" i="10"/>
  <c r="B706" i="10"/>
  <c r="I705" i="10"/>
  <c r="B705" i="10"/>
  <c r="I704" i="10"/>
  <c r="B704" i="10"/>
  <c r="I703" i="10"/>
  <c r="B703" i="10"/>
  <c r="I702" i="10"/>
  <c r="B702" i="10"/>
  <c r="M421" i="10"/>
  <c r="I701" i="10"/>
  <c r="B701" i="10"/>
  <c r="M420" i="10"/>
  <c r="I700" i="10"/>
  <c r="B700" i="10"/>
  <c r="I699" i="10"/>
  <c r="B699" i="10"/>
  <c r="I698" i="10"/>
  <c r="B698" i="10"/>
  <c r="I697" i="10"/>
  <c r="B697" i="10"/>
  <c r="M416" i="10"/>
  <c r="I696" i="10"/>
  <c r="B696" i="10"/>
  <c r="I695" i="10"/>
  <c r="B695" i="10"/>
  <c r="I694" i="10"/>
  <c r="B694" i="10"/>
  <c r="I693" i="10"/>
  <c r="B693" i="10"/>
  <c r="M260" i="10"/>
  <c r="I692" i="10"/>
  <c r="B692" i="10"/>
  <c r="M259" i="10"/>
  <c r="I691" i="10"/>
  <c r="B691" i="10"/>
  <c r="I690" i="10"/>
  <c r="B690" i="10"/>
  <c r="M197" i="10"/>
  <c r="I689" i="10"/>
  <c r="B689" i="10"/>
  <c r="I688" i="10"/>
  <c r="B688" i="10"/>
  <c r="I687" i="10"/>
  <c r="B687" i="10"/>
  <c r="I686" i="10"/>
  <c r="B686" i="10"/>
  <c r="M177" i="10"/>
  <c r="I685" i="10"/>
  <c r="B685" i="10"/>
  <c r="I684" i="10"/>
  <c r="B684" i="10"/>
  <c r="M175" i="10"/>
  <c r="I683" i="10"/>
  <c r="B683" i="10"/>
  <c r="M174" i="10"/>
  <c r="I682" i="10"/>
  <c r="B682" i="10"/>
  <c r="M173" i="10"/>
  <c r="I681" i="10"/>
  <c r="B681" i="10"/>
  <c r="I680" i="10"/>
  <c r="B680" i="10"/>
  <c r="M171" i="10"/>
  <c r="I679" i="10"/>
  <c r="B679" i="10"/>
  <c r="M80" i="10"/>
  <c r="I678" i="10"/>
  <c r="B678" i="10"/>
  <c r="I677" i="10"/>
  <c r="B677" i="10"/>
  <c r="M729" i="10"/>
  <c r="I676" i="10"/>
  <c r="B676" i="10"/>
  <c r="I675" i="10"/>
  <c r="B675" i="10"/>
  <c r="I674" i="10"/>
  <c r="B674" i="10"/>
  <c r="I673" i="10"/>
  <c r="B673" i="10"/>
  <c r="M531" i="10"/>
  <c r="I672" i="10"/>
  <c r="B672" i="10"/>
  <c r="I671" i="10"/>
  <c r="B671" i="10"/>
  <c r="M412" i="10"/>
  <c r="I670" i="10"/>
  <c r="B670" i="10"/>
  <c r="I669" i="10"/>
  <c r="B669" i="10"/>
  <c r="M410" i="10"/>
  <c r="I668" i="10"/>
  <c r="B668" i="10"/>
  <c r="I667" i="10"/>
  <c r="B667" i="10"/>
  <c r="I666" i="10"/>
  <c r="B666" i="10"/>
  <c r="M258" i="10"/>
  <c r="I665" i="10"/>
  <c r="B665" i="10"/>
  <c r="I664" i="10"/>
  <c r="B664" i="10"/>
  <c r="I663" i="10"/>
  <c r="B663" i="10"/>
  <c r="I662" i="10"/>
  <c r="B662" i="10"/>
  <c r="M168"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79" i="10"/>
  <c r="I644" i="10"/>
  <c r="B644" i="10"/>
  <c r="M78" i="10"/>
  <c r="I643" i="10"/>
  <c r="B643" i="10"/>
  <c r="M77" i="10"/>
  <c r="I642" i="10"/>
  <c r="B642" i="10"/>
  <c r="I641" i="10"/>
  <c r="B641" i="10"/>
  <c r="I640" i="10"/>
  <c r="B640" i="10"/>
  <c r="I639" i="10"/>
  <c r="I638" i="10"/>
  <c r="B638" i="10"/>
  <c r="I637" i="10"/>
  <c r="I636" i="10"/>
  <c r="B636" i="10"/>
  <c r="M806" i="10"/>
  <c r="I635" i="10"/>
  <c r="B635" i="10"/>
  <c r="I634" i="10"/>
  <c r="B634" i="10"/>
  <c r="I633" i="10"/>
  <c r="B633" i="10"/>
  <c r="I632" i="10"/>
  <c r="B632" i="10"/>
  <c r="I631" i="10"/>
  <c r="B631" i="10"/>
  <c r="I630" i="10"/>
  <c r="B630" i="10"/>
  <c r="I629" i="10"/>
  <c r="B629" i="10"/>
  <c r="I628" i="10"/>
  <c r="B628" i="10"/>
  <c r="I627" i="10"/>
  <c r="B627" i="10"/>
  <c r="M670" i="10"/>
  <c r="I626" i="10"/>
  <c r="B626" i="10"/>
  <c r="I625" i="10"/>
  <c r="M668" i="10"/>
  <c r="I624" i="10"/>
  <c r="I623" i="10"/>
  <c r="B623" i="10"/>
  <c r="I622" i="10"/>
  <c r="I621" i="10"/>
  <c r="B621" i="10"/>
  <c r="M664" i="10"/>
  <c r="I620" i="10"/>
  <c r="B620" i="10"/>
  <c r="I619" i="10"/>
  <c r="B619" i="10"/>
  <c r="I618" i="10"/>
  <c r="B618" i="10"/>
  <c r="I617" i="10"/>
  <c r="I616" i="10"/>
  <c r="B616" i="10"/>
  <c r="I615" i="10"/>
  <c r="B615" i="10"/>
  <c r="M529" i="10"/>
  <c r="I614" i="10"/>
  <c r="B614" i="10"/>
  <c r="I613" i="10"/>
  <c r="B613" i="10"/>
  <c r="M527" i="10"/>
  <c r="I612" i="10"/>
  <c r="B612" i="10"/>
  <c r="I611" i="10"/>
  <c r="B611" i="10"/>
  <c r="I610" i="10"/>
  <c r="B610" i="10"/>
  <c r="I609" i="10"/>
  <c r="B609" i="10"/>
  <c r="I608" i="10"/>
  <c r="B608" i="10"/>
  <c r="I607" i="10"/>
  <c r="B607" i="10"/>
  <c r="I606" i="10"/>
  <c r="B606" i="10"/>
  <c r="I605" i="10"/>
  <c r="I604" i="10"/>
  <c r="B604" i="10"/>
  <c r="M406" i="10"/>
  <c r="I603" i="10"/>
  <c r="B603" i="10"/>
  <c r="I602" i="10"/>
  <c r="B602" i="10"/>
  <c r="M404" i="10"/>
  <c r="I601" i="10"/>
  <c r="B601" i="10"/>
  <c r="I600" i="10"/>
  <c r="B600" i="10"/>
  <c r="I599" i="10"/>
  <c r="I598" i="10"/>
  <c r="B598" i="10"/>
  <c r="I597" i="10"/>
  <c r="B597" i="10"/>
  <c r="I596" i="10"/>
  <c r="B596" i="10"/>
  <c r="I595" i="10"/>
  <c r="B595" i="10"/>
  <c r="I594" i="10"/>
  <c r="B594" i="10"/>
  <c r="I593" i="10"/>
  <c r="B593" i="10"/>
  <c r="M395" i="10"/>
  <c r="I592" i="10"/>
  <c r="B592" i="10"/>
  <c r="I591" i="10"/>
  <c r="B591" i="10"/>
  <c r="I590" i="10"/>
  <c r="B590" i="10"/>
  <c r="I589" i="10"/>
  <c r="B589" i="10"/>
  <c r="I588" i="10"/>
  <c r="B588" i="10"/>
  <c r="I587" i="10"/>
  <c r="B587" i="10"/>
  <c r="M193" i="10"/>
  <c r="I586" i="10"/>
  <c r="B586" i="10"/>
  <c r="M192" i="10"/>
  <c r="I585" i="10"/>
  <c r="B585" i="10"/>
  <c r="I584" i="10"/>
  <c r="B584" i="10"/>
  <c r="I583" i="10"/>
  <c r="B583" i="10"/>
  <c r="I582" i="10"/>
  <c r="B582" i="10"/>
  <c r="I581" i="10"/>
  <c r="B581" i="10"/>
  <c r="M148" i="10"/>
  <c r="I580" i="10"/>
  <c r="B580" i="10"/>
  <c r="I579" i="10"/>
  <c r="B579" i="10"/>
  <c r="I578" i="10"/>
  <c r="I577" i="10"/>
  <c r="M852" i="10"/>
  <c r="I576" i="10"/>
  <c r="M798" i="10"/>
  <c r="I575" i="10"/>
  <c r="B575" i="10"/>
  <c r="I574" i="10"/>
  <c r="I573" i="10"/>
  <c r="B573" i="10"/>
  <c r="M519" i="10"/>
  <c r="I572" i="10"/>
  <c r="B572" i="10"/>
  <c r="M291" i="10"/>
  <c r="I571" i="10"/>
  <c r="B571" i="10"/>
  <c r="M253" i="10"/>
  <c r="I570" i="10"/>
  <c r="B570" i="10"/>
  <c r="I569" i="10"/>
  <c r="B569" i="10"/>
  <c r="I568" i="10"/>
  <c r="A568" i="10"/>
  <c r="I567" i="10"/>
  <c r="B567" i="10"/>
  <c r="I566" i="10"/>
  <c r="A566" i="10"/>
  <c r="I565" i="10"/>
  <c r="B565" i="10"/>
  <c r="M654" i="10"/>
  <c r="I564" i="10"/>
  <c r="B564" i="10"/>
  <c r="I563" i="10"/>
  <c r="B563" i="10"/>
  <c r="I562" i="10"/>
  <c r="A562" i="10"/>
  <c r="M518" i="10"/>
  <c r="I561" i="10"/>
  <c r="B561" i="10"/>
  <c r="M394" i="10"/>
  <c r="I560" i="10"/>
  <c r="I559" i="10"/>
  <c r="B559" i="10"/>
  <c r="M251" i="10"/>
  <c r="I558" i="10"/>
  <c r="B558" i="10"/>
  <c r="M896" i="10"/>
  <c r="I557" i="10"/>
  <c r="M873" i="10"/>
  <c r="I556" i="10"/>
  <c r="M796" i="10"/>
  <c r="I555" i="10"/>
  <c r="A555" i="10"/>
  <c r="M727" i="10"/>
  <c r="I554" i="10"/>
  <c r="B554" i="10"/>
  <c r="M651" i="10"/>
  <c r="I553" i="10"/>
  <c r="B553" i="10"/>
  <c r="M517" i="10"/>
  <c r="I552" i="10"/>
  <c r="B552" i="10"/>
  <c r="M872" i="10"/>
  <c r="I551" i="10"/>
  <c r="M871" i="10"/>
  <c r="I550" i="10"/>
  <c r="M870" i="10"/>
  <c r="I549" i="10"/>
  <c r="M795" i="10"/>
  <c r="I548" i="10"/>
  <c r="B548" i="10"/>
  <c r="M794" i="10"/>
  <c r="I547" i="10"/>
  <c r="B547" i="10"/>
  <c r="M793" i="10"/>
  <c r="I546" i="10"/>
  <c r="M650" i="10"/>
  <c r="I545" i="10"/>
  <c r="M649" i="10"/>
  <c r="I544" i="10"/>
  <c r="M516" i="10"/>
  <c r="I543" i="10"/>
  <c r="B543" i="10"/>
  <c r="M393" i="10"/>
  <c r="I542" i="10"/>
  <c r="B542" i="10"/>
  <c r="M869" i="10"/>
  <c r="I541" i="10"/>
  <c r="B541" i="10"/>
  <c r="M792" i="10"/>
  <c r="I540" i="10"/>
  <c r="B540" i="10"/>
  <c r="M791" i="10"/>
  <c r="I539" i="10"/>
  <c r="B539" i="10"/>
  <c r="M790" i="10"/>
  <c r="I538" i="10"/>
  <c r="B538" i="10"/>
  <c r="I537" i="10"/>
  <c r="B537" i="10"/>
  <c r="M392" i="10"/>
  <c r="I536" i="10"/>
  <c r="B536" i="10"/>
  <c r="M250" i="10"/>
  <c r="I535" i="10"/>
  <c r="B535" i="10"/>
  <c r="M895" i="10"/>
  <c r="I534" i="10"/>
  <c r="B534" i="10"/>
  <c r="M789" i="10"/>
  <c r="I533" i="10"/>
  <c r="B533" i="10"/>
  <c r="M788" i="10"/>
  <c r="I532" i="10"/>
  <c r="B532" i="10"/>
  <c r="M726" i="10"/>
  <c r="I531" i="10"/>
  <c r="B531" i="10"/>
  <c r="I530" i="10"/>
  <c r="B530" i="10"/>
  <c r="I529" i="10"/>
  <c r="B529" i="10"/>
  <c r="I528" i="10"/>
  <c r="B528" i="10"/>
  <c r="M513" i="10"/>
  <c r="I527" i="10"/>
  <c r="B527" i="10"/>
  <c r="M512" i="10"/>
  <c r="I526" i="10"/>
  <c r="B526" i="10"/>
  <c r="M511" i="10"/>
  <c r="I525" i="10"/>
  <c r="B525" i="10"/>
  <c r="M391" i="10"/>
  <c r="I524" i="10"/>
  <c r="B524" i="10"/>
  <c r="I523" i="10"/>
  <c r="B523" i="10"/>
  <c r="I522" i="10"/>
  <c r="I521" i="10"/>
  <c r="B521" i="10"/>
  <c r="M646" i="10"/>
  <c r="I520" i="10"/>
  <c r="B520" i="10"/>
  <c r="I519" i="10"/>
  <c r="B519" i="10"/>
  <c r="I518" i="10"/>
  <c r="B518" i="10"/>
  <c r="M509" i="10"/>
  <c r="I517" i="10"/>
  <c r="M390" i="10"/>
  <c r="I516" i="10"/>
  <c r="B516" i="10"/>
  <c r="I515" i="10"/>
  <c r="B515" i="10"/>
  <c r="M388" i="10"/>
  <c r="I514" i="10"/>
  <c r="B514" i="10"/>
  <c r="I513" i="10"/>
  <c r="M786" i="10"/>
  <c r="I512" i="10"/>
  <c r="M785" i="10"/>
  <c r="I511" i="10"/>
  <c r="M784" i="10"/>
  <c r="I510" i="10"/>
  <c r="I509" i="10"/>
  <c r="B509" i="10"/>
  <c r="M643" i="10"/>
  <c r="I508" i="10"/>
  <c r="I507" i="10"/>
  <c r="B507" i="10"/>
  <c r="M507" i="10"/>
  <c r="I506" i="10"/>
  <c r="B506" i="10"/>
  <c r="M506" i="10"/>
  <c r="I505" i="10"/>
  <c r="B505" i="10"/>
  <c r="I504" i="10"/>
  <c r="B504" i="10"/>
  <c r="I503" i="10"/>
  <c r="B503" i="10"/>
  <c r="M868" i="10"/>
  <c r="I502" i="10"/>
  <c r="B502" i="10"/>
  <c r="I501" i="10"/>
  <c r="B501" i="10"/>
  <c r="I500" i="10"/>
  <c r="B500" i="10"/>
  <c r="I499" i="10"/>
  <c r="M387" i="10"/>
  <c r="I498" i="10"/>
  <c r="B498" i="10"/>
  <c r="M386" i="10"/>
  <c r="I497" i="10"/>
  <c r="B497" i="10"/>
  <c r="I496" i="10"/>
  <c r="B496" i="10"/>
  <c r="I495" i="10"/>
  <c r="M247" i="10"/>
  <c r="I494" i="10"/>
  <c r="B494" i="10"/>
  <c r="M146" i="10"/>
  <c r="I493" i="10"/>
  <c r="B493" i="10"/>
  <c r="M505" i="10"/>
  <c r="I492" i="10"/>
  <c r="B492" i="10"/>
  <c r="M383" i="10"/>
  <c r="I491" i="10"/>
  <c r="B491" i="10"/>
  <c r="I490" i="10"/>
  <c r="M382" i="10"/>
  <c r="I489" i="10"/>
  <c r="B489" i="10"/>
  <c r="M290" i="10"/>
  <c r="I488" i="10"/>
  <c r="B488" i="10"/>
  <c r="M289" i="10"/>
  <c r="I487" i="10"/>
  <c r="B487" i="10"/>
  <c r="M145" i="10"/>
  <c r="I486" i="10"/>
  <c r="B486" i="10"/>
  <c r="M867" i="10"/>
  <c r="I485" i="10"/>
  <c r="B485" i="10"/>
  <c r="M866" i="10"/>
  <c r="I484" i="10"/>
  <c r="B484" i="10"/>
  <c r="M850" i="10"/>
  <c r="I483" i="10"/>
  <c r="B483" i="10"/>
  <c r="I482" i="10"/>
  <c r="B482" i="10"/>
  <c r="I481" i="10"/>
  <c r="B481" i="10"/>
  <c r="I480" i="10"/>
  <c r="B480" i="10"/>
  <c r="I479" i="10"/>
  <c r="B479" i="10"/>
  <c r="I478" i="10"/>
  <c r="B478" i="10"/>
  <c r="M637" i="10"/>
  <c r="I477" i="10"/>
  <c r="I476" i="10"/>
  <c r="B476" i="10"/>
  <c r="I475" i="10"/>
  <c r="B475" i="10"/>
  <c r="I474" i="10"/>
  <c r="B474" i="10"/>
  <c r="I473" i="10"/>
  <c r="B473" i="10"/>
  <c r="I472" i="10"/>
  <c r="B472" i="10"/>
  <c r="M381" i="10"/>
  <c r="I471" i="10"/>
  <c r="B471" i="10"/>
  <c r="I470" i="10"/>
  <c r="B470" i="10"/>
  <c r="I469" i="10"/>
  <c r="B469" i="10"/>
  <c r="M378" i="10"/>
  <c r="I468" i="10"/>
  <c r="B468" i="10"/>
  <c r="I467" i="10"/>
  <c r="B467" i="10"/>
  <c r="I466" i="10"/>
  <c r="B466" i="10"/>
  <c r="I465" i="10"/>
  <c r="I464" i="10"/>
  <c r="B464" i="10"/>
  <c r="I463" i="10"/>
  <c r="B463" i="10"/>
  <c r="M778" i="10"/>
  <c r="I462" i="10"/>
  <c r="I461" i="10"/>
  <c r="I460" i="10"/>
  <c r="B460" i="10"/>
  <c r="M635" i="10"/>
  <c r="I459" i="10"/>
  <c r="B459" i="10"/>
  <c r="I458" i="10"/>
  <c r="B458" i="10"/>
  <c r="I457" i="10"/>
  <c r="I456" i="10"/>
  <c r="B456" i="10"/>
  <c r="I455" i="10"/>
  <c r="B455" i="10"/>
  <c r="I454" i="10"/>
  <c r="B454" i="10"/>
  <c r="M497" i="10"/>
  <c r="I453" i="10"/>
  <c r="B453" i="10"/>
  <c r="I452" i="10"/>
  <c r="B452" i="10"/>
  <c r="M495" i="10"/>
  <c r="I451" i="10"/>
  <c r="B451" i="10"/>
  <c r="M375" i="10"/>
  <c r="I450" i="10"/>
  <c r="B450" i="10"/>
  <c r="M374" i="10"/>
  <c r="I449" i="10"/>
  <c r="B449" i="10"/>
  <c r="M373" i="10"/>
  <c r="I448" i="10"/>
  <c r="B448" i="10"/>
  <c r="M372" i="10"/>
  <c r="I447" i="10"/>
  <c r="B447" i="10"/>
  <c r="M245" i="10"/>
  <c r="I446" i="10"/>
  <c r="B446" i="10"/>
  <c r="M244" i="10"/>
  <c r="I445" i="10"/>
  <c r="B445" i="10"/>
  <c r="I444" i="10"/>
  <c r="B444" i="10"/>
  <c r="M775" i="10"/>
  <c r="I443" i="10"/>
  <c r="I442" i="10"/>
  <c r="B442" i="10"/>
  <c r="I441" i="10"/>
  <c r="B441" i="10"/>
  <c r="I440" i="10"/>
  <c r="B440" i="10"/>
  <c r="I439" i="10"/>
  <c r="B439" i="10"/>
  <c r="I438" i="10"/>
  <c r="B438" i="10"/>
  <c r="I437" i="10"/>
  <c r="B437" i="10"/>
  <c r="I436" i="10"/>
  <c r="B436" i="10"/>
  <c r="M494" i="10"/>
  <c r="I435" i="10"/>
  <c r="B435" i="10"/>
  <c r="M371" i="10"/>
  <c r="I434" i="10"/>
  <c r="B434" i="10"/>
  <c r="M370" i="10"/>
  <c r="I433" i="10"/>
  <c r="B433" i="10"/>
  <c r="I432" i="10"/>
  <c r="B432" i="10"/>
  <c r="I431" i="10"/>
  <c r="B431" i="10"/>
  <c r="I430" i="10"/>
  <c r="B430" i="10"/>
  <c r="M243" i="10"/>
  <c r="I429" i="10"/>
  <c r="B429" i="10"/>
  <c r="M242" i="10"/>
  <c r="I428" i="10"/>
  <c r="B428" i="10"/>
  <c r="M241" i="10"/>
  <c r="I427" i="10"/>
  <c r="B427" i="10"/>
  <c r="M240" i="10"/>
  <c r="I426" i="10"/>
  <c r="B426" i="10"/>
  <c r="I425" i="10"/>
  <c r="B425" i="10"/>
  <c r="M864" i="10"/>
  <c r="I424" i="10"/>
  <c r="B424" i="10"/>
  <c r="M366" i="10"/>
  <c r="I423" i="10"/>
  <c r="I422" i="10"/>
  <c r="B422" i="10"/>
  <c r="M493" i="10"/>
  <c r="I421" i="10"/>
  <c r="B421" i="10"/>
  <c r="M770" i="10"/>
  <c r="I420" i="10"/>
  <c r="B420" i="10"/>
  <c r="M628" i="10"/>
  <c r="I419" i="10"/>
  <c r="B419" i="10"/>
  <c r="I418" i="10"/>
  <c r="B418" i="10"/>
  <c r="M492" i="10"/>
  <c r="I417" i="10"/>
  <c r="M491" i="10"/>
  <c r="I416" i="10"/>
  <c r="M365" i="10"/>
  <c r="I415" i="10"/>
  <c r="I414" i="10"/>
  <c r="B414" i="10"/>
  <c r="I413" i="10"/>
  <c r="A413" i="10"/>
  <c r="M626" i="10"/>
  <c r="I412" i="10"/>
  <c r="M363" i="10"/>
  <c r="I411" i="10"/>
  <c r="B411" i="10"/>
  <c r="M362" i="10"/>
  <c r="I410" i="10"/>
  <c r="B410" i="10"/>
  <c r="M361" i="10"/>
  <c r="I409" i="10"/>
  <c r="B409" i="10"/>
  <c r="M360" i="10"/>
  <c r="I408" i="10"/>
  <c r="M359" i="10"/>
  <c r="I407" i="10"/>
  <c r="B407" i="10"/>
  <c r="M358" i="10"/>
  <c r="I406" i="10"/>
  <c r="I405" i="10"/>
  <c r="B405" i="10"/>
  <c r="M238" i="10"/>
  <c r="I404" i="10"/>
  <c r="B404" i="10"/>
  <c r="M237" i="10"/>
  <c r="I403" i="10"/>
  <c r="B403" i="10"/>
  <c r="I402" i="10"/>
  <c r="B402" i="10"/>
  <c r="M235" i="10"/>
  <c r="I401" i="10"/>
  <c r="B401" i="10"/>
  <c r="M234" i="10"/>
  <c r="I400" i="10"/>
  <c r="B400" i="10"/>
  <c r="M233" i="10"/>
  <c r="I399" i="10"/>
  <c r="B399" i="10"/>
  <c r="M769" i="10"/>
  <c r="I398" i="10"/>
  <c r="M768" i="10"/>
  <c r="I397" i="10"/>
  <c r="B397" i="10"/>
  <c r="I396" i="10"/>
  <c r="B396" i="10"/>
  <c r="M625" i="10"/>
  <c r="I395" i="10"/>
  <c r="B395" i="10"/>
  <c r="I394" i="10"/>
  <c r="M623" i="10"/>
  <c r="I393" i="10"/>
  <c r="B393" i="10"/>
  <c r="I392" i="10"/>
  <c r="B392" i="10"/>
  <c r="I391" i="10"/>
  <c r="B391" i="10"/>
  <c r="M287" i="10"/>
  <c r="I390" i="10"/>
  <c r="B390" i="10"/>
  <c r="M232" i="10"/>
  <c r="I389" i="10"/>
  <c r="B389" i="10"/>
  <c r="M231" i="10"/>
  <c r="I388" i="10"/>
  <c r="B388" i="10"/>
  <c r="M230" i="10"/>
  <c r="I387" i="10"/>
  <c r="B387" i="10"/>
  <c r="M143" i="10"/>
  <c r="I386" i="10"/>
  <c r="B386" i="10"/>
  <c r="M142" i="10"/>
  <c r="I385" i="10"/>
  <c r="I384" i="10"/>
  <c r="B384" i="10"/>
  <c r="M863" i="10"/>
  <c r="I383" i="10"/>
  <c r="M862" i="10"/>
  <c r="I382" i="10"/>
  <c r="I381" i="10"/>
  <c r="B381" i="10"/>
  <c r="M766" i="10"/>
  <c r="I380" i="10"/>
  <c r="B380" i="10"/>
  <c r="M621" i="10"/>
  <c r="I379" i="10"/>
  <c r="I378" i="10"/>
  <c r="B378" i="10"/>
  <c r="I377" i="10"/>
  <c r="B377" i="10"/>
  <c r="I376" i="10"/>
  <c r="B376" i="10"/>
  <c r="I375" i="10"/>
  <c r="B375" i="10"/>
  <c r="I374" i="10"/>
  <c r="B374" i="10"/>
  <c r="I373" i="10"/>
  <c r="B373" i="10"/>
  <c r="I372" i="10"/>
  <c r="B372" i="10"/>
  <c r="M613" i="10"/>
  <c r="I371" i="10"/>
  <c r="B371" i="10"/>
  <c r="I370" i="10"/>
  <c r="B370" i="10"/>
  <c r="M489" i="10"/>
  <c r="I369" i="10"/>
  <c r="B369" i="10"/>
  <c r="I368" i="10"/>
  <c r="B368" i="10"/>
  <c r="I367" i="10"/>
  <c r="B367" i="10"/>
  <c r="M354" i="10"/>
  <c r="I366" i="10"/>
  <c r="B366" i="10"/>
  <c r="I365" i="10"/>
  <c r="B365" i="10"/>
  <c r="I364" i="10"/>
  <c r="B364" i="10"/>
  <c r="M351" i="10"/>
  <c r="I363" i="10"/>
  <c r="I362" i="10"/>
  <c r="B362" i="10"/>
  <c r="M349" i="10"/>
  <c r="I361" i="10"/>
  <c r="B361" i="10"/>
  <c r="M286" i="10"/>
  <c r="I360" i="10"/>
  <c r="B360" i="10"/>
  <c r="M285" i="10"/>
  <c r="I359" i="10"/>
  <c r="B359" i="10"/>
  <c r="M229" i="10"/>
  <c r="I358" i="10"/>
  <c r="B358" i="10"/>
  <c r="I357" i="10"/>
  <c r="B357" i="10"/>
  <c r="I356" i="10"/>
  <c r="B356" i="10"/>
  <c r="I355" i="10"/>
  <c r="B355" i="10"/>
  <c r="I354" i="10"/>
  <c r="M141" i="10"/>
  <c r="I353" i="10"/>
  <c r="B353" i="10"/>
  <c r="M348" i="10"/>
  <c r="I352" i="10"/>
  <c r="B352" i="10"/>
  <c r="M347" i="10"/>
  <c r="I351" i="10"/>
  <c r="B351" i="10"/>
  <c r="I350" i="10"/>
  <c r="B350" i="10"/>
  <c r="M283" i="10"/>
  <c r="I349" i="10"/>
  <c r="B349" i="10"/>
  <c r="I348" i="10"/>
  <c r="B348" i="10"/>
  <c r="M849" i="10"/>
  <c r="I347" i="10"/>
  <c r="M765" i="10"/>
  <c r="I346" i="10"/>
  <c r="I345" i="10"/>
  <c r="B345" i="10"/>
  <c r="M763" i="10"/>
  <c r="I344" i="10"/>
  <c r="B344" i="10"/>
  <c r="M612" i="10"/>
  <c r="I343" i="10"/>
  <c r="B343" i="10"/>
  <c r="M611" i="10"/>
  <c r="I342" i="10"/>
  <c r="B342" i="10"/>
  <c r="M610" i="10"/>
  <c r="I341" i="10"/>
  <c r="B341" i="10"/>
  <c r="M762" i="10"/>
  <c r="I340" i="10"/>
  <c r="I339" i="10"/>
  <c r="B339" i="10"/>
  <c r="I338" i="10"/>
  <c r="B338" i="10"/>
  <c r="I337" i="10"/>
  <c r="B337" i="10"/>
  <c r="M760" i="10"/>
  <c r="I336" i="10"/>
  <c r="I335" i="10"/>
  <c r="B335" i="10"/>
  <c r="I334" i="10"/>
  <c r="B334" i="10"/>
  <c r="I333" i="10"/>
  <c r="B333" i="10"/>
  <c r="I332" i="10"/>
  <c r="M759" i="10"/>
  <c r="I331" i="10"/>
  <c r="B331" i="10"/>
  <c r="M758" i="10"/>
  <c r="I330" i="10"/>
  <c r="B330" i="10"/>
  <c r="I329" i="10"/>
  <c r="I328" i="10"/>
  <c r="I327" i="10"/>
  <c r="A327" i="10"/>
  <c r="I326" i="10"/>
  <c r="I325" i="10"/>
  <c r="M486" i="10"/>
  <c r="I324" i="10"/>
  <c r="B324" i="10"/>
  <c r="M485" i="10"/>
  <c r="I323" i="10"/>
  <c r="B323" i="10"/>
  <c r="M860" i="10"/>
  <c r="I322" i="10"/>
  <c r="B322" i="10"/>
  <c r="M756" i="10"/>
  <c r="I321" i="10"/>
  <c r="B321" i="10"/>
  <c r="M755" i="10"/>
  <c r="I320" i="10"/>
  <c r="B320" i="10"/>
  <c r="M603" i="10"/>
  <c r="I319" i="10"/>
  <c r="B319" i="10"/>
  <c r="I318" i="10"/>
  <c r="B318" i="10"/>
  <c r="M601" i="10"/>
  <c r="I317" i="10"/>
  <c r="B317" i="10"/>
  <c r="I316" i="10"/>
  <c r="B316" i="10"/>
  <c r="I315" i="10"/>
  <c r="B315" i="10"/>
  <c r="M483" i="10"/>
  <c r="I314" i="10"/>
  <c r="B314" i="10"/>
  <c r="I313" i="10"/>
  <c r="A313" i="10"/>
  <c r="I312" i="10"/>
  <c r="B312" i="10"/>
  <c r="M480" i="10"/>
  <c r="I311" i="10"/>
  <c r="B311" i="10"/>
  <c r="I310" i="10"/>
  <c r="B310" i="10"/>
  <c r="M282" i="10"/>
  <c r="I309" i="10"/>
  <c r="B309" i="10"/>
  <c r="M754" i="10"/>
  <c r="I308" i="10"/>
  <c r="B308" i="10"/>
  <c r="M479" i="10"/>
  <c r="I307" i="10"/>
  <c r="B307" i="10"/>
  <c r="I306" i="10"/>
  <c r="B306" i="10"/>
  <c r="I305" i="10"/>
  <c r="A305" i="10"/>
  <c r="I304" i="10"/>
  <c r="B304" i="10"/>
  <c r="I303" i="10"/>
  <c r="A303" i="10"/>
  <c r="M221" i="10"/>
  <c r="I302" i="10"/>
  <c r="B302" i="10"/>
  <c r="I301" i="10"/>
  <c r="A301" i="10"/>
  <c r="I300" i="10"/>
  <c r="B300" i="10"/>
  <c r="I299" i="10"/>
  <c r="B299" i="10"/>
  <c r="M477" i="10"/>
  <c r="I298" i="10"/>
  <c r="B298" i="10"/>
  <c r="I297" i="10"/>
  <c r="I296" i="10"/>
  <c r="I295" i="10"/>
  <c r="M476" i="10"/>
  <c r="I294" i="10"/>
  <c r="B294" i="10"/>
  <c r="I293" i="10"/>
  <c r="A293" i="10"/>
  <c r="M281" i="10"/>
  <c r="I292" i="10"/>
  <c r="B292" i="10"/>
  <c r="I291" i="10"/>
  <c r="A291" i="10"/>
  <c r="I290" i="10"/>
  <c r="B290" i="10"/>
  <c r="I289" i="10"/>
  <c r="B289" i="10"/>
  <c r="I288" i="10"/>
  <c r="B288" i="10"/>
  <c r="I287" i="10"/>
  <c r="B287" i="10"/>
  <c r="I286" i="10"/>
  <c r="B286" i="10"/>
  <c r="M280" i="10"/>
  <c r="I285" i="10"/>
  <c r="B285" i="10"/>
  <c r="M217" i="10"/>
  <c r="I284" i="10"/>
  <c r="B284" i="10"/>
  <c r="M859" i="10"/>
  <c r="I283" i="10"/>
  <c r="I282" i="10"/>
  <c r="B282" i="10"/>
  <c r="I281" i="10"/>
  <c r="M594" i="10"/>
  <c r="I280" i="10"/>
  <c r="I279" i="10"/>
  <c r="B279" i="10"/>
  <c r="I278" i="10"/>
  <c r="B278" i="10"/>
  <c r="I277" i="10"/>
  <c r="B277" i="10"/>
  <c r="M339" i="10"/>
  <c r="I276" i="10"/>
  <c r="B276" i="10"/>
  <c r="I275" i="10"/>
  <c r="B275" i="10"/>
  <c r="I274" i="10"/>
  <c r="B274" i="10"/>
  <c r="I273" i="10"/>
  <c r="B273" i="10"/>
  <c r="I272" i="10"/>
  <c r="B272" i="10"/>
  <c r="I271" i="10"/>
  <c r="B271" i="10"/>
  <c r="M751" i="10"/>
  <c r="I270" i="10"/>
  <c r="B270" i="10"/>
  <c r="I269" i="10"/>
  <c r="I268" i="10"/>
  <c r="B268" i="10"/>
  <c r="I267" i="10"/>
  <c r="M747" i="10"/>
  <c r="I266" i="10"/>
  <c r="B266" i="10"/>
  <c r="I265" i="10"/>
  <c r="B265" i="10"/>
  <c r="I264" i="10"/>
  <c r="B264" i="10"/>
  <c r="I263" i="10"/>
  <c r="B263" i="10"/>
  <c r="I262" i="10"/>
  <c r="B262" i="10"/>
  <c r="I261" i="10"/>
  <c r="B261" i="10"/>
  <c r="I260" i="10"/>
  <c r="B260" i="10"/>
  <c r="M589" i="10"/>
  <c r="I259" i="10"/>
  <c r="B259" i="10"/>
  <c r="I258" i="10"/>
  <c r="B258" i="10"/>
  <c r="I257" i="10"/>
  <c r="B257" i="10"/>
  <c r="M586" i="10"/>
  <c r="I256" i="10"/>
  <c r="B256" i="10"/>
  <c r="I255" i="10"/>
  <c r="B255" i="10"/>
  <c r="I254" i="10"/>
  <c r="B254" i="10"/>
  <c r="M583" i="10"/>
  <c r="I253" i="10"/>
  <c r="B253" i="10"/>
  <c r="M471" i="10"/>
  <c r="I252" i="10"/>
  <c r="B252" i="10"/>
  <c r="M470" i="10"/>
  <c r="I251" i="10"/>
  <c r="B251" i="10"/>
  <c r="M469" i="10"/>
  <c r="I250" i="10"/>
  <c r="B250" i="10"/>
  <c r="M468" i="10"/>
  <c r="I249" i="10"/>
  <c r="B249" i="10"/>
  <c r="I248" i="10"/>
  <c r="B248" i="10"/>
  <c r="I247" i="10"/>
  <c r="B247" i="10"/>
  <c r="I246" i="10"/>
  <c r="B246" i="10"/>
  <c r="I245" i="10"/>
  <c r="B245" i="10"/>
  <c r="M336" i="10"/>
  <c r="I244" i="10"/>
  <c r="B244" i="10"/>
  <c r="I243" i="10"/>
  <c r="B243" i="10"/>
  <c r="I242" i="10"/>
  <c r="B242" i="10"/>
  <c r="I241" i="10"/>
  <c r="B241" i="10"/>
  <c r="I240" i="10"/>
  <c r="B240" i="10"/>
  <c r="I239" i="10"/>
  <c r="B239" i="10"/>
  <c r="I238" i="10"/>
  <c r="B238" i="10"/>
  <c r="I237" i="10"/>
  <c r="B237" i="10"/>
  <c r="I236" i="10"/>
  <c r="B236" i="10"/>
  <c r="M214" i="10"/>
  <c r="I235" i="10"/>
  <c r="B235" i="10"/>
  <c r="I234" i="10"/>
  <c r="B234" i="10"/>
  <c r="M893" i="10"/>
  <c r="I233" i="10"/>
  <c r="M857" i="10"/>
  <c r="I232" i="10"/>
  <c r="B232" i="10"/>
  <c r="M743" i="10"/>
  <c r="I231" i="10"/>
  <c r="B231" i="10"/>
  <c r="I230" i="10"/>
  <c r="B230" i="10"/>
  <c r="I229" i="10"/>
  <c r="B229" i="10"/>
  <c r="M582" i="10"/>
  <c r="I228" i="10"/>
  <c r="B228" i="10"/>
  <c r="M581" i="10"/>
  <c r="I227" i="10"/>
  <c r="B227" i="10"/>
  <c r="M580" i="10"/>
  <c r="I226" i="10"/>
  <c r="B226" i="10"/>
  <c r="I225" i="10"/>
  <c r="B225" i="10"/>
  <c r="I224" i="10"/>
  <c r="B224" i="10"/>
  <c r="I223" i="10"/>
  <c r="B223" i="10"/>
  <c r="I222" i="10"/>
  <c r="B222" i="10"/>
  <c r="I221" i="10"/>
  <c r="B221" i="10"/>
  <c r="I220" i="10"/>
  <c r="B220" i="10"/>
  <c r="M326" i="10"/>
  <c r="I219" i="10"/>
  <c r="B219" i="10"/>
  <c r="I218" i="10"/>
  <c r="B218" i="10"/>
  <c r="M211" i="10"/>
  <c r="I217" i="10"/>
  <c r="I216" i="10"/>
  <c r="M856" i="10"/>
  <c r="I215" i="10"/>
  <c r="B215" i="10"/>
  <c r="M739" i="10"/>
  <c r="I214" i="10"/>
  <c r="M579" i="10"/>
  <c r="I213" i="10"/>
  <c r="B213" i="10"/>
  <c r="M578" i="10"/>
  <c r="I212" i="10"/>
  <c r="B212" i="10"/>
  <c r="I211" i="10"/>
  <c r="B211" i="10"/>
  <c r="I210" i="10"/>
  <c r="B210" i="10"/>
  <c r="M462" i="10"/>
  <c r="I209" i="10"/>
  <c r="B209" i="10"/>
  <c r="M325" i="10"/>
  <c r="I208" i="10"/>
  <c r="B208" i="10"/>
  <c r="M324" i="10"/>
  <c r="I207" i="10"/>
  <c r="B207" i="10"/>
  <c r="M323" i="10"/>
  <c r="I206" i="10"/>
  <c r="B206" i="10"/>
  <c r="I205" i="10"/>
  <c r="B205" i="10"/>
  <c r="I204" i="10"/>
  <c r="B204" i="10"/>
  <c r="I203" i="10"/>
  <c r="B203" i="10"/>
  <c r="M277" i="10"/>
  <c r="I202" i="10"/>
  <c r="B202" i="10"/>
  <c r="M210" i="10"/>
  <c r="I201" i="10"/>
  <c r="B201" i="10"/>
  <c r="M189" i="10"/>
  <c r="I200" i="10"/>
  <c r="B200" i="10"/>
  <c r="M188" i="10"/>
  <c r="I199" i="10"/>
  <c r="B199" i="10"/>
  <c r="I198" i="10"/>
  <c r="I197" i="10"/>
  <c r="B197" i="10"/>
  <c r="I196" i="10"/>
  <c r="M735" i="10"/>
  <c r="I195" i="10"/>
  <c r="B195" i="10"/>
  <c r="I194" i="10"/>
  <c r="B194" i="10"/>
  <c r="I193" i="10"/>
  <c r="B193" i="10"/>
  <c r="I192" i="10"/>
  <c r="B192" i="10"/>
  <c r="M574" i="10"/>
  <c r="I191" i="10"/>
  <c r="I190" i="10"/>
  <c r="M461" i="10"/>
  <c r="I189" i="10"/>
  <c r="B189" i="10"/>
  <c r="I188" i="10"/>
  <c r="B188" i="10"/>
  <c r="I187" i="10"/>
  <c r="B187" i="10"/>
  <c r="I186" i="10"/>
  <c r="B186" i="10"/>
  <c r="I185" i="10"/>
  <c r="B185" i="10"/>
  <c r="I184" i="10"/>
  <c r="B184" i="10"/>
  <c r="I183" i="10"/>
  <c r="B183" i="10"/>
  <c r="I182" i="10"/>
  <c r="B182" i="10"/>
  <c r="I181" i="10"/>
  <c r="B181" i="10"/>
  <c r="I180" i="10"/>
  <c r="B180" i="10"/>
  <c r="M314" i="10"/>
  <c r="I179" i="10"/>
  <c r="B179" i="10"/>
  <c r="I178" i="10"/>
  <c r="B178" i="10"/>
  <c r="M208" i="10"/>
  <c r="I177" i="10"/>
  <c r="B177" i="10"/>
  <c r="I176" i="10"/>
  <c r="B176" i="10"/>
  <c r="M140" i="10"/>
  <c r="I175" i="10"/>
  <c r="B175" i="10"/>
  <c r="I174" i="10"/>
  <c r="B174" i="10"/>
  <c r="I173" i="10"/>
  <c r="B173" i="10"/>
  <c r="M75" i="10"/>
  <c r="I172" i="10"/>
  <c r="B172" i="10"/>
  <c r="M572" i="10"/>
  <c r="I171" i="10"/>
  <c r="B171" i="10"/>
  <c r="M313" i="10"/>
  <c r="I170" i="10"/>
  <c r="B170" i="10"/>
  <c r="I169" i="10"/>
  <c r="B169" i="10"/>
  <c r="M312" i="10"/>
  <c r="I168" i="10"/>
  <c r="B168" i="10"/>
  <c r="M311" i="10"/>
  <c r="I167" i="10"/>
  <c r="B167" i="10"/>
  <c r="M137" i="10"/>
  <c r="I166" i="10"/>
  <c r="B166" i="10"/>
  <c r="I165" i="10"/>
  <c r="B165" i="10"/>
  <c r="M846" i="10"/>
  <c r="I164" i="10"/>
  <c r="B164" i="10"/>
  <c r="I163" i="10"/>
  <c r="B163" i="10"/>
  <c r="M570" i="10"/>
  <c r="I162" i="10"/>
  <c r="B162" i="10"/>
  <c r="I161" i="10"/>
  <c r="B161" i="10"/>
  <c r="I160" i="10"/>
  <c r="B160" i="10"/>
  <c r="I159" i="10"/>
  <c r="I158" i="10"/>
  <c r="B158" i="10"/>
  <c r="M565" i="10"/>
  <c r="I157" i="10"/>
  <c r="I156" i="10"/>
  <c r="B156" i="10"/>
  <c r="I155" i="10"/>
  <c r="I154" i="10"/>
  <c r="B154" i="10"/>
  <c r="I153" i="10"/>
  <c r="B153" i="10"/>
  <c r="M456" i="10"/>
  <c r="I152" i="10"/>
  <c r="B152" i="10"/>
  <c r="I151" i="10"/>
  <c r="B151" i="10"/>
  <c r="M454" i="10"/>
  <c r="I150" i="10"/>
  <c r="B150" i="10"/>
  <c r="I149" i="10"/>
  <c r="M452" i="10"/>
  <c r="I148" i="10"/>
  <c r="B148" i="10"/>
  <c r="M450" i="10"/>
  <c r="I147" i="10"/>
  <c r="B147" i="10"/>
  <c r="I146" i="10"/>
  <c r="B146" i="10"/>
  <c r="I145" i="10"/>
  <c r="B145" i="10"/>
  <c r="M309" i="10"/>
  <c r="I144" i="10"/>
  <c r="B144" i="10"/>
  <c r="I143" i="10"/>
  <c r="B143" i="10"/>
  <c r="I142" i="10"/>
  <c r="I141" i="10"/>
  <c r="M305" i="10"/>
  <c r="I140" i="10"/>
  <c r="M304" i="10"/>
  <c r="I139" i="10"/>
  <c r="B139" i="10"/>
  <c r="M303" i="10"/>
  <c r="I138" i="10"/>
  <c r="B138" i="10"/>
  <c r="I137" i="10"/>
  <c r="B137" i="10"/>
  <c r="I136" i="10"/>
  <c r="B136" i="10"/>
  <c r="I135" i="10"/>
  <c r="B135" i="10"/>
  <c r="I134" i="10"/>
  <c r="B134" i="10"/>
  <c r="M206" i="10"/>
  <c r="I133" i="10"/>
  <c r="B133" i="10"/>
  <c r="M205" i="10"/>
  <c r="I132" i="10"/>
  <c r="B132" i="10"/>
  <c r="I131" i="10"/>
  <c r="B131" i="10"/>
  <c r="I130" i="10"/>
  <c r="B130" i="10"/>
  <c r="I129" i="10"/>
  <c r="B129" i="10"/>
  <c r="M134" i="10"/>
  <c r="I128" i="10"/>
  <c r="B128" i="10"/>
  <c r="M133" i="10"/>
  <c r="I127" i="10"/>
  <c r="B127" i="10"/>
  <c r="M132" i="10"/>
  <c r="I126" i="10"/>
  <c r="B126" i="10"/>
  <c r="I125" i="10"/>
  <c r="B125" i="10"/>
  <c r="M130" i="10"/>
  <c r="I124" i="10"/>
  <c r="B124" i="10"/>
  <c r="M129" i="10"/>
  <c r="I123" i="10"/>
  <c r="B123" i="10"/>
  <c r="M128" i="10"/>
  <c r="I122" i="10"/>
  <c r="B122" i="10"/>
  <c r="M127" i="10"/>
  <c r="I121" i="10"/>
  <c r="B121" i="10"/>
  <c r="I120" i="10"/>
  <c r="B120" i="10"/>
  <c r="M125" i="10"/>
  <c r="I119" i="10"/>
  <c r="B119" i="10"/>
  <c r="M124" i="10"/>
  <c r="I118" i="10"/>
  <c r="B118" i="10"/>
  <c r="I117" i="10"/>
  <c r="B117" i="10"/>
  <c r="M122" i="10"/>
  <c r="I116" i="10"/>
  <c r="B116" i="10"/>
  <c r="M121" i="10"/>
  <c r="I115" i="10"/>
  <c r="B115" i="10"/>
  <c r="I114" i="10"/>
  <c r="B114" i="10"/>
  <c r="M119" i="10"/>
  <c r="I113" i="10"/>
  <c r="B113" i="10"/>
  <c r="M118" i="10"/>
  <c r="I112" i="10"/>
  <c r="B112" i="10"/>
  <c r="M117" i="10"/>
  <c r="I111" i="10"/>
  <c r="B111" i="10"/>
  <c r="M116" i="10"/>
  <c r="I110" i="10"/>
  <c r="B110" i="10"/>
  <c r="M115" i="10"/>
  <c r="I109" i="10"/>
  <c r="B109" i="10"/>
  <c r="I108" i="10"/>
  <c r="B108" i="10"/>
  <c r="I107" i="10"/>
  <c r="B107" i="10"/>
  <c r="M112" i="10"/>
  <c r="I106" i="10"/>
  <c r="B106" i="10"/>
  <c r="M111" i="10"/>
  <c r="I105" i="10"/>
  <c r="B105" i="10"/>
  <c r="M110" i="10"/>
  <c r="I104" i="10"/>
  <c r="B104" i="10"/>
  <c r="M109" i="10"/>
  <c r="I103" i="10"/>
  <c r="B103" i="10"/>
  <c r="M108" i="10"/>
  <c r="I102" i="10"/>
  <c r="B102" i="10"/>
  <c r="M107" i="10"/>
  <c r="I101" i="10"/>
  <c r="B101" i="10"/>
  <c r="I100" i="10"/>
  <c r="B100" i="10"/>
  <c r="I99" i="10"/>
  <c r="B99" i="10"/>
  <c r="I98" i="10"/>
  <c r="B98" i="10"/>
  <c r="M103" i="10"/>
  <c r="I97" i="10"/>
  <c r="B97" i="10"/>
  <c r="M102" i="10"/>
  <c r="I96" i="10"/>
  <c r="B96" i="10"/>
  <c r="M101" i="10"/>
  <c r="I95" i="10"/>
  <c r="B95" i="10"/>
  <c r="I94" i="10"/>
  <c r="B94" i="10"/>
  <c r="M99" i="10"/>
  <c r="I93" i="10"/>
  <c r="B93" i="10"/>
  <c r="M98" i="10"/>
  <c r="I92" i="10"/>
  <c r="B92" i="10"/>
  <c r="M97" i="10"/>
  <c r="I91" i="10"/>
  <c r="B91" i="10"/>
  <c r="M96" i="10"/>
  <c r="I90" i="10"/>
  <c r="B90" i="10"/>
  <c r="I89" i="10"/>
  <c r="B89" i="10"/>
  <c r="M94" i="10"/>
  <c r="I88" i="10"/>
  <c r="B88" i="10"/>
  <c r="M93" i="10"/>
  <c r="I87" i="10"/>
  <c r="B87" i="10"/>
  <c r="M92" i="10"/>
  <c r="I86" i="10"/>
  <c r="B86" i="10"/>
  <c r="M91" i="10"/>
  <c r="I85" i="10"/>
  <c r="B85" i="10"/>
  <c r="M90" i="10"/>
  <c r="I84" i="10"/>
  <c r="B84" i="10"/>
  <c r="M89" i="10"/>
  <c r="I83" i="10"/>
  <c r="B83" i="10"/>
  <c r="M88" i="10"/>
  <c r="I82" i="10"/>
  <c r="B82" i="10"/>
  <c r="M87" i="10"/>
  <c r="I81" i="10"/>
  <c r="B81" i="10"/>
  <c r="M86" i="10"/>
  <c r="I80" i="10"/>
  <c r="B80" i="10"/>
  <c r="M85" i="10"/>
  <c r="I79" i="10"/>
  <c r="B79" i="10"/>
  <c r="M84" i="10"/>
  <c r="I78" i="10"/>
  <c r="B78" i="10"/>
  <c r="M83" i="10"/>
  <c r="I77" i="10"/>
  <c r="B77" i="10"/>
  <c r="M82" i="10"/>
  <c r="I76" i="10"/>
  <c r="B76" i="10"/>
  <c r="M81"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M2" i="10"/>
  <c r="L2" i="10"/>
  <c r="K2" i="10"/>
  <c r="C2" i="10"/>
  <c r="G2" i="10" s="1"/>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M2" i="9"/>
  <c r="L2" i="9"/>
  <c r="K2" i="9"/>
  <c r="C2" i="9"/>
  <c r="G2" i="9" s="1"/>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M2" i="8"/>
  <c r="L2" i="8"/>
  <c r="K2" i="8"/>
  <c r="C2" i="8"/>
  <c r="I2" i="8" s="1"/>
  <c r="I161" i="7"/>
  <c r="B161" i="7"/>
  <c r="I160" i="7"/>
  <c r="B160" i="7"/>
  <c r="I159" i="7"/>
  <c r="B159" i="7"/>
  <c r="I158" i="7"/>
  <c r="B158" i="7"/>
  <c r="I157" i="7"/>
  <c r="B157" i="7"/>
  <c r="I156" i="7"/>
  <c r="B156" i="7"/>
  <c r="I155" i="7"/>
  <c r="B155" i="7"/>
  <c r="I154" i="7"/>
  <c r="B154" i="7"/>
  <c r="I153" i="7"/>
  <c r="B153" i="7"/>
  <c r="M152" i="7"/>
  <c r="I152" i="7"/>
  <c r="B152" i="7"/>
  <c r="I151" i="7"/>
  <c r="B151" i="7"/>
  <c r="I150" i="7"/>
  <c r="B150" i="7"/>
  <c r="I149" i="7"/>
  <c r="I148" i="7"/>
  <c r="B148" i="7"/>
  <c r="I147" i="7"/>
  <c r="B147" i="7"/>
  <c r="M146" i="7"/>
  <c r="I146" i="7"/>
  <c r="M145" i="7"/>
  <c r="I145" i="7"/>
  <c r="B145" i="7"/>
  <c r="M144" i="7"/>
  <c r="I144" i="7"/>
  <c r="B144" i="7"/>
  <c r="I143" i="7"/>
  <c r="B143" i="7"/>
  <c r="I142" i="7"/>
  <c r="B142" i="7"/>
  <c r="I141" i="7"/>
  <c r="B141" i="7"/>
  <c r="I140" i="7"/>
  <c r="B140" i="7"/>
  <c r="I139" i="7"/>
  <c r="B139" i="7"/>
  <c r="I138" i="7"/>
  <c r="B138" i="7"/>
  <c r="I137" i="7"/>
  <c r="B137" i="7"/>
  <c r="I136" i="7"/>
  <c r="B136" i="7"/>
  <c r="M135" i="7"/>
  <c r="I135" i="7"/>
  <c r="I134" i="7"/>
  <c r="B134" i="7"/>
  <c r="I133" i="7"/>
  <c r="B133" i="7"/>
  <c r="I132" i="7"/>
  <c r="B132" i="7"/>
  <c r="I131" i="7"/>
  <c r="B131" i="7"/>
  <c r="I130" i="7"/>
  <c r="B130" i="7"/>
  <c r="I129" i="7"/>
  <c r="B129" i="7"/>
  <c r="I128" i="7"/>
  <c r="B128" i="7"/>
  <c r="I127" i="7"/>
  <c r="B127" i="7"/>
  <c r="I126" i="7"/>
  <c r="M125" i="7"/>
  <c r="I125" i="7"/>
  <c r="M124" i="7"/>
  <c r="I124" i="7"/>
  <c r="B124" i="7"/>
  <c r="I123" i="7"/>
  <c r="B123" i="7"/>
  <c r="I122" i="7"/>
  <c r="B122" i="7"/>
  <c r="M121" i="7"/>
  <c r="I121" i="7"/>
  <c r="B121" i="7"/>
  <c r="I120" i="7"/>
  <c r="B120" i="7"/>
  <c r="I119" i="7"/>
  <c r="B119" i="7"/>
  <c r="I118" i="7"/>
  <c r="B118" i="7"/>
  <c r="M117" i="7"/>
  <c r="I117" i="7"/>
  <c r="B117" i="7"/>
  <c r="I116" i="7"/>
  <c r="B116" i="7"/>
  <c r="M115" i="7"/>
  <c r="I115" i="7"/>
  <c r="I114" i="7"/>
  <c r="B114" i="7"/>
  <c r="I113" i="7"/>
  <c r="B113" i="7"/>
  <c r="I112" i="7"/>
  <c r="B112" i="7"/>
  <c r="I111" i="7"/>
  <c r="B111" i="7"/>
  <c r="I110" i="7"/>
  <c r="B110" i="7"/>
  <c r="M109" i="7"/>
  <c r="I109" i="7"/>
  <c r="B109" i="7"/>
  <c r="I108" i="7"/>
  <c r="I107" i="7"/>
  <c r="I106" i="7"/>
  <c r="B106" i="7"/>
  <c r="M105" i="7"/>
  <c r="I105" i="7"/>
  <c r="I104" i="7"/>
  <c r="B104" i="7"/>
  <c r="I103" i="7"/>
  <c r="B103" i="7"/>
  <c r="I102" i="7"/>
  <c r="B102" i="7"/>
  <c r="I101" i="7"/>
  <c r="B101" i="7"/>
  <c r="I100" i="7"/>
  <c r="B100" i="7"/>
  <c r="M99" i="7"/>
  <c r="I99" i="7"/>
  <c r="B99" i="7"/>
  <c r="M98" i="7"/>
  <c r="I98" i="7"/>
  <c r="B98" i="7"/>
  <c r="M97" i="7"/>
  <c r="I97" i="7"/>
  <c r="B97" i="7"/>
  <c r="M96" i="7"/>
  <c r="I96" i="7"/>
  <c r="B96" i="7"/>
  <c r="I95" i="7"/>
  <c r="A95" i="7"/>
  <c r="M94" i="7"/>
  <c r="I94" i="7"/>
  <c r="B94" i="7"/>
  <c r="M93" i="7"/>
  <c r="I93" i="7"/>
  <c r="I92" i="7"/>
  <c r="B92" i="7"/>
  <c r="I91" i="7"/>
  <c r="B91" i="7"/>
  <c r="I90" i="7"/>
  <c r="B90" i="7"/>
  <c r="M89" i="7"/>
  <c r="I89" i="7"/>
  <c r="I88" i="7"/>
  <c r="B88" i="7"/>
  <c r="I87" i="7"/>
  <c r="B87" i="7"/>
  <c r="I86" i="7"/>
  <c r="B86" i="7"/>
  <c r="I85" i="7"/>
  <c r="B85" i="7"/>
  <c r="I84" i="7"/>
  <c r="B84" i="7"/>
  <c r="I83" i="7"/>
  <c r="B83" i="7"/>
  <c r="I82" i="7"/>
  <c r="B82" i="7"/>
  <c r="M81" i="7"/>
  <c r="I81" i="7"/>
  <c r="B81" i="7"/>
  <c r="M80" i="7"/>
  <c r="I80" i="7"/>
  <c r="B80" i="7"/>
  <c r="I79" i="7"/>
  <c r="I78" i="7"/>
  <c r="B78" i="7"/>
  <c r="M77" i="7"/>
  <c r="I77" i="7"/>
  <c r="B77" i="7"/>
  <c r="M76" i="7"/>
  <c r="I76" i="7"/>
  <c r="M75" i="7"/>
  <c r="I75" i="7"/>
  <c r="M74" i="7"/>
  <c r="I74" i="7"/>
  <c r="I73" i="7"/>
  <c r="B73" i="7"/>
  <c r="M72" i="7"/>
  <c r="I72" i="7"/>
  <c r="M71" i="7"/>
  <c r="I71" i="7"/>
  <c r="I70" i="7"/>
  <c r="B70" i="7"/>
  <c r="M69" i="7"/>
  <c r="I69" i="7"/>
  <c r="B69" i="7"/>
  <c r="M68" i="7"/>
  <c r="I68" i="7"/>
  <c r="B68" i="7"/>
  <c r="I67" i="7"/>
  <c r="B67" i="7"/>
  <c r="M66" i="7"/>
  <c r="I66" i="7"/>
  <c r="B66" i="7"/>
  <c r="I65" i="7"/>
  <c r="B65" i="7"/>
  <c r="I64" i="7"/>
  <c r="B64" i="7"/>
  <c r="I63" i="7"/>
  <c r="B63" i="7"/>
  <c r="M62" i="7"/>
  <c r="I62" i="7"/>
  <c r="M61" i="7"/>
  <c r="I61" i="7"/>
  <c r="B61" i="7"/>
  <c r="I60" i="7"/>
  <c r="B60" i="7"/>
  <c r="I59" i="7"/>
  <c r="B59" i="7"/>
  <c r="I58" i="7"/>
  <c r="I57" i="7"/>
  <c r="I56" i="7"/>
  <c r="I55" i="7"/>
  <c r="B55" i="7"/>
  <c r="M54" i="7"/>
  <c r="I54" i="7"/>
  <c r="B54" i="7"/>
  <c r="I53" i="7"/>
  <c r="I52" i="7"/>
  <c r="B52" i="7"/>
  <c r="M51" i="7"/>
  <c r="I51" i="7"/>
  <c r="B51" i="7"/>
  <c r="I50" i="7"/>
  <c r="B50" i="7"/>
  <c r="I49" i="7"/>
  <c r="B49" i="7"/>
  <c r="I48" i="7"/>
  <c r="I47" i="7"/>
  <c r="I46" i="7"/>
  <c r="B46" i="7"/>
  <c r="M45" i="7"/>
  <c r="I45" i="7"/>
  <c r="B45" i="7"/>
  <c r="I44" i="7"/>
  <c r="B44" i="7"/>
  <c r="I43" i="7"/>
  <c r="B43" i="7"/>
  <c r="I42" i="7"/>
  <c r="I41" i="7"/>
  <c r="I40" i="7"/>
  <c r="B40" i="7"/>
  <c r="I39" i="7"/>
  <c r="B39" i="7"/>
  <c r="I38" i="7"/>
  <c r="A38" i="7"/>
  <c r="I37" i="7"/>
  <c r="A37" i="7"/>
  <c r="I36" i="7"/>
  <c r="B36" i="7"/>
  <c r="M35" i="7"/>
  <c r="I35" i="7"/>
  <c r="B35" i="7"/>
  <c r="M34" i="7"/>
  <c r="I34" i="7"/>
  <c r="B34" i="7"/>
  <c r="I33" i="7"/>
  <c r="B33" i="7"/>
  <c r="M32" i="7"/>
  <c r="I32" i="7"/>
  <c r="B32" i="7"/>
  <c r="M31" i="7"/>
  <c r="I31" i="7"/>
  <c r="B31" i="7"/>
  <c r="I30" i="7"/>
  <c r="B30" i="7"/>
  <c r="I29" i="7"/>
  <c r="B29" i="7"/>
  <c r="I28" i="7"/>
  <c r="B28" i="7"/>
  <c r="I27" i="7"/>
  <c r="B27" i="7"/>
  <c r="I26" i="7"/>
  <c r="B26" i="7"/>
  <c r="I25" i="7"/>
  <c r="B25" i="7"/>
  <c r="I24" i="7"/>
  <c r="B24" i="7"/>
  <c r="I22" i="7"/>
  <c r="I21" i="7"/>
  <c r="B21" i="7"/>
  <c r="I19" i="7"/>
  <c r="B19" i="7"/>
  <c r="I18" i="7"/>
  <c r="B18" i="7"/>
  <c r="I17" i="7"/>
  <c r="I16" i="7"/>
  <c r="B16" i="7"/>
  <c r="I15" i="7"/>
  <c r="B15" i="7"/>
  <c r="I14" i="7"/>
  <c r="B14" i="7"/>
  <c r="I13" i="7"/>
  <c r="B13" i="7"/>
  <c r="I12" i="7"/>
  <c r="B12" i="7"/>
  <c r="I11" i="7"/>
  <c r="B11" i="7"/>
  <c r="I10" i="7"/>
  <c r="B10" i="7"/>
  <c r="I9" i="7"/>
  <c r="B9" i="7"/>
  <c r="I8" i="7"/>
  <c r="B8" i="7"/>
  <c r="I7" i="7"/>
  <c r="B7" i="7"/>
  <c r="I6" i="7"/>
  <c r="I5" i="7"/>
  <c r="B5" i="7"/>
  <c r="M4" i="7"/>
  <c r="I4" i="7"/>
  <c r="B4" i="7"/>
  <c r="I3" i="7"/>
  <c r="B3" i="7"/>
  <c r="M2" i="7"/>
  <c r="L2" i="7"/>
  <c r="K2" i="7"/>
  <c r="C2" i="7"/>
  <c r="F2" i="7" s="1"/>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M2" i="6"/>
  <c r="L2" i="6"/>
  <c r="K2" i="6"/>
  <c r="C2" i="6"/>
  <c r="I2" i="6" s="1"/>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I5" i="5"/>
  <c r="B5" i="5"/>
  <c r="M2" i="5"/>
  <c r="L2" i="5"/>
  <c r="K2" i="5"/>
  <c r="C2" i="5"/>
  <c r="D2" i="5" s="1"/>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B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M5" i="4"/>
  <c r="I5" i="4"/>
  <c r="M4" i="4"/>
  <c r="I4" i="4"/>
  <c r="M3" i="4"/>
  <c r="I3" i="4"/>
  <c r="M2" i="4"/>
  <c r="L2" i="4"/>
  <c r="K2" i="4"/>
  <c r="C2" i="4"/>
  <c r="J2" i="4" s="1"/>
  <c r="I250" i="3"/>
  <c r="B250" i="3"/>
  <c r="I249" i="3"/>
  <c r="B249" i="3"/>
  <c r="I248" i="3"/>
  <c r="B248" i="3"/>
  <c r="I247" i="3"/>
  <c r="B247" i="3"/>
  <c r="I246" i="3"/>
  <c r="B246" i="3"/>
  <c r="I245" i="3"/>
  <c r="B245" i="3"/>
  <c r="I244" i="3"/>
  <c r="B244" i="3"/>
  <c r="I243" i="3"/>
  <c r="B243" i="3"/>
  <c r="I242" i="3"/>
  <c r="B242" i="3"/>
  <c r="I241" i="3"/>
  <c r="I240" i="3"/>
  <c r="B240" i="3"/>
  <c r="I239" i="3"/>
  <c r="B239" i="3"/>
  <c r="I238" i="3"/>
  <c r="B238" i="3"/>
  <c r="I237" i="3"/>
  <c r="B237" i="3"/>
  <c r="I236" i="3"/>
  <c r="B236" i="3"/>
  <c r="I235" i="3"/>
  <c r="B235" i="3"/>
  <c r="I234" i="3"/>
  <c r="B234" i="3"/>
  <c r="I233" i="3"/>
  <c r="B233" i="3"/>
  <c r="I232" i="3"/>
  <c r="B232" i="3"/>
  <c r="I231" i="3"/>
  <c r="B231" i="3"/>
  <c r="I230" i="3"/>
  <c r="I229" i="3"/>
  <c r="B229" i="3"/>
  <c r="I228" i="3"/>
  <c r="B228" i="3"/>
  <c r="I227" i="3"/>
  <c r="B227" i="3"/>
  <c r="I226" i="3"/>
  <c r="B226" i="3"/>
  <c r="I225" i="3"/>
  <c r="B225" i="3"/>
  <c r="I224" i="3"/>
  <c r="B224" i="3"/>
  <c r="I223" i="3"/>
  <c r="B223" i="3"/>
  <c r="I222" i="3"/>
  <c r="B222" i="3"/>
  <c r="I221" i="3"/>
  <c r="B221" i="3"/>
  <c r="I220" i="3"/>
  <c r="B220" i="3"/>
  <c r="I219" i="3"/>
  <c r="I218" i="3"/>
  <c r="B218" i="3"/>
  <c r="I217" i="3"/>
  <c r="B217" i="3"/>
  <c r="I216" i="3"/>
  <c r="B216" i="3"/>
  <c r="I215" i="3"/>
  <c r="B215" i="3"/>
  <c r="I214" i="3"/>
  <c r="B214" i="3"/>
  <c r="I213" i="3"/>
  <c r="B213" i="3"/>
  <c r="I212" i="3"/>
  <c r="B212" i="3"/>
  <c r="I211" i="3"/>
  <c r="B211" i="3"/>
  <c r="I210" i="3"/>
  <c r="B210" i="3"/>
  <c r="I209" i="3"/>
  <c r="B209" i="3"/>
  <c r="I208" i="3"/>
  <c r="I207" i="3"/>
  <c r="B207" i="3"/>
  <c r="I206" i="3"/>
  <c r="B206" i="3"/>
  <c r="I205" i="3"/>
  <c r="B205" i="3"/>
  <c r="I204" i="3"/>
  <c r="B204" i="3"/>
  <c r="I203" i="3"/>
  <c r="B203" i="3"/>
  <c r="I202" i="3"/>
  <c r="B202" i="3"/>
  <c r="I201" i="3"/>
  <c r="B201" i="3"/>
  <c r="I200" i="3"/>
  <c r="B200" i="3"/>
  <c r="I199" i="3"/>
  <c r="B199" i="3"/>
  <c r="I198" i="3"/>
  <c r="B198" i="3"/>
  <c r="I197" i="3"/>
  <c r="I196" i="3"/>
  <c r="B196" i="3"/>
  <c r="I195" i="3"/>
  <c r="B195" i="3"/>
  <c r="I194" i="3"/>
  <c r="B194" i="3"/>
  <c r="I193" i="3"/>
  <c r="B193" i="3"/>
  <c r="I192" i="3"/>
  <c r="B192" i="3"/>
  <c r="I191" i="3"/>
  <c r="B191" i="3"/>
  <c r="I190" i="3"/>
  <c r="B190" i="3"/>
  <c r="I189" i="3"/>
  <c r="B189" i="3"/>
  <c r="I188" i="3"/>
  <c r="B188" i="3"/>
  <c r="I187" i="3"/>
  <c r="B187" i="3"/>
  <c r="I186" i="3"/>
  <c r="I185" i="3"/>
  <c r="B185" i="3"/>
  <c r="I184" i="3"/>
  <c r="B184" i="3"/>
  <c r="I183" i="3"/>
  <c r="B183" i="3"/>
  <c r="I182" i="3"/>
  <c r="B182" i="3"/>
  <c r="I181" i="3"/>
  <c r="B181" i="3"/>
  <c r="I180" i="3"/>
  <c r="B180" i="3"/>
  <c r="I179" i="3"/>
  <c r="B179" i="3"/>
  <c r="I178" i="3"/>
  <c r="B178" i="3"/>
  <c r="I177" i="3"/>
  <c r="B177" i="3"/>
  <c r="I176" i="3"/>
  <c r="B176" i="3"/>
  <c r="I175" i="3"/>
  <c r="I174" i="3"/>
  <c r="B174" i="3"/>
  <c r="I173" i="3"/>
  <c r="B173" i="3"/>
  <c r="I172" i="3"/>
  <c r="B172" i="3"/>
  <c r="I171" i="3"/>
  <c r="B171" i="3"/>
  <c r="I170" i="3"/>
  <c r="B170" i="3"/>
  <c r="I169" i="3"/>
  <c r="B169" i="3"/>
  <c r="I168" i="3"/>
  <c r="B168" i="3"/>
  <c r="I167" i="3"/>
  <c r="B167" i="3"/>
  <c r="I166" i="3"/>
  <c r="B166" i="3"/>
  <c r="I165" i="3"/>
  <c r="I164" i="3"/>
  <c r="B164" i="3"/>
  <c r="I163" i="3"/>
  <c r="B163" i="3"/>
  <c r="I162" i="3"/>
  <c r="B162" i="3"/>
  <c r="I161" i="3"/>
  <c r="B161" i="3"/>
  <c r="I160" i="3"/>
  <c r="B160" i="3"/>
  <c r="I159" i="3"/>
  <c r="B159" i="3"/>
  <c r="I158" i="3"/>
  <c r="B158" i="3"/>
  <c r="I157" i="3"/>
  <c r="B157" i="3"/>
  <c r="I156" i="3"/>
  <c r="B156" i="3"/>
  <c r="I155" i="3"/>
  <c r="B155" i="3"/>
  <c r="I154" i="3"/>
  <c r="I153" i="3"/>
  <c r="B153" i="3"/>
  <c r="I152" i="3"/>
  <c r="B152" i="3"/>
  <c r="I151" i="3"/>
  <c r="B151" i="3"/>
  <c r="I150" i="3"/>
  <c r="B150" i="3"/>
  <c r="I149" i="3"/>
  <c r="B149" i="3"/>
  <c r="I148" i="3"/>
  <c r="B148" i="3"/>
  <c r="I147" i="3"/>
  <c r="B147" i="3"/>
  <c r="I146" i="3"/>
  <c r="B146" i="3"/>
  <c r="I145" i="3"/>
  <c r="B145" i="3"/>
  <c r="I144" i="3"/>
  <c r="B144" i="3"/>
  <c r="I143" i="3"/>
  <c r="I142" i="3"/>
  <c r="B142" i="3"/>
  <c r="I141" i="3"/>
  <c r="B141" i="3"/>
  <c r="I140" i="3"/>
  <c r="B140" i="3"/>
  <c r="I139" i="3"/>
  <c r="B139" i="3"/>
  <c r="I138" i="3"/>
  <c r="B138" i="3"/>
  <c r="I137" i="3"/>
  <c r="B137" i="3"/>
  <c r="I136" i="3"/>
  <c r="B136" i="3"/>
  <c r="I135" i="3"/>
  <c r="B135" i="3"/>
  <c r="I134" i="3"/>
  <c r="B134" i="3"/>
  <c r="M133" i="3"/>
  <c r="I133" i="3"/>
  <c r="B133" i="3"/>
  <c r="M132" i="3"/>
  <c r="I132" i="3"/>
  <c r="B132" i="3"/>
  <c r="M131" i="3"/>
  <c r="I131" i="3"/>
  <c r="B131" i="3"/>
  <c r="M130" i="3"/>
  <c r="I130" i="3"/>
  <c r="B130" i="3"/>
  <c r="M129" i="3"/>
  <c r="I129" i="3"/>
  <c r="B129" i="3"/>
  <c r="M128" i="3"/>
  <c r="I128" i="3"/>
  <c r="B128" i="3"/>
  <c r="M127" i="3"/>
  <c r="I127" i="3"/>
  <c r="B127" i="3"/>
  <c r="M126" i="3"/>
  <c r="I126" i="3"/>
  <c r="B126" i="3"/>
  <c r="M125" i="3"/>
  <c r="I125" i="3"/>
  <c r="B125" i="3"/>
  <c r="M124" i="3"/>
  <c r="I124" i="3"/>
  <c r="B124" i="3"/>
  <c r="I123" i="3"/>
  <c r="I122" i="3"/>
  <c r="I121" i="3"/>
  <c r="M120" i="3"/>
  <c r="I120" i="3"/>
  <c r="B120" i="3"/>
  <c r="I119" i="3"/>
  <c r="B119" i="3"/>
  <c r="M118" i="3"/>
  <c r="I118" i="3"/>
  <c r="B118" i="3"/>
  <c r="M117" i="3"/>
  <c r="I117" i="3"/>
  <c r="B117" i="3"/>
  <c r="M116" i="3"/>
  <c r="I116" i="3"/>
  <c r="I115" i="3"/>
  <c r="I114" i="3"/>
  <c r="B114" i="3"/>
  <c r="M113"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I99" i="3"/>
  <c r="M98" i="3"/>
  <c r="I98" i="3"/>
  <c r="B98" i="3"/>
  <c r="I97" i="3"/>
  <c r="B97" i="3"/>
  <c r="M96" i="3"/>
  <c r="I96" i="3"/>
  <c r="B96" i="3"/>
  <c r="M95" i="3"/>
  <c r="I95" i="3"/>
  <c r="B95" i="3"/>
  <c r="I94" i="3"/>
  <c r="B94" i="3"/>
  <c r="I93" i="3"/>
  <c r="B93" i="3"/>
  <c r="M92" i="3"/>
  <c r="I92" i="3"/>
  <c r="M91" i="3"/>
  <c r="I91" i="3"/>
  <c r="M90" i="3"/>
  <c r="I90" i="3"/>
  <c r="I89" i="3"/>
  <c r="M88" i="3"/>
  <c r="I88" i="3"/>
  <c r="B88" i="3"/>
  <c r="M87" i="3"/>
  <c r="I87" i="3"/>
  <c r="B87"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M76" i="3"/>
  <c r="I76" i="3"/>
  <c r="B76" i="3"/>
  <c r="M75" i="3"/>
  <c r="I75" i="3"/>
  <c r="B75" i="3"/>
  <c r="I74" i="3"/>
  <c r="M73" i="3"/>
  <c r="I73" i="3"/>
  <c r="B73" i="3"/>
  <c r="M72" i="3"/>
  <c r="I72" i="3"/>
  <c r="B72" i="3"/>
  <c r="M71" i="3"/>
  <c r="I71" i="3"/>
  <c r="B71" i="3"/>
  <c r="M70" i="3"/>
  <c r="I70" i="3"/>
  <c r="M69" i="3"/>
  <c r="I69" i="3"/>
  <c r="B69" i="3"/>
  <c r="M68" i="3"/>
  <c r="I68" i="3"/>
  <c r="B68" i="3"/>
  <c r="M67" i="3"/>
  <c r="I67" i="3"/>
  <c r="B67" i="3"/>
  <c r="M66" i="3"/>
  <c r="I66" i="3"/>
  <c r="M65" i="3"/>
  <c r="I65" i="3"/>
  <c r="I64" i="3"/>
  <c r="M63" i="3"/>
  <c r="I63" i="3"/>
  <c r="B63" i="3"/>
  <c r="M62" i="3"/>
  <c r="I62" i="3"/>
  <c r="B62" i="3"/>
  <c r="M61" i="3"/>
  <c r="I61" i="3"/>
  <c r="B61" i="3"/>
  <c r="M60" i="3"/>
  <c r="I60" i="3"/>
  <c r="B60" i="3"/>
  <c r="I59" i="3"/>
  <c r="B59" i="3"/>
  <c r="M58" i="3"/>
  <c r="I58" i="3"/>
  <c r="B58" i="3"/>
  <c r="M57" i="3"/>
  <c r="I57" i="3"/>
  <c r="B57" i="3"/>
  <c r="M56" i="3"/>
  <c r="I56" i="3"/>
  <c r="B56" i="3"/>
  <c r="I55" i="3"/>
  <c r="M54" i="3"/>
  <c r="I54" i="3"/>
  <c r="B54" i="3"/>
  <c r="M53" i="3"/>
  <c r="I53" i="3"/>
  <c r="B53" i="3"/>
  <c r="M52" i="3"/>
  <c r="I52" i="3"/>
  <c r="B52" i="3"/>
  <c r="M51" i="3"/>
  <c r="I51" i="3"/>
  <c r="B51" i="3"/>
  <c r="M50" i="3"/>
  <c r="I50" i="3"/>
  <c r="B50" i="3"/>
  <c r="M49" i="3"/>
  <c r="I49" i="3"/>
  <c r="B49" i="3"/>
  <c r="M47" i="3"/>
  <c r="I47" i="3"/>
  <c r="M46" i="3"/>
  <c r="I46" i="3"/>
  <c r="I44" i="3"/>
  <c r="B44" i="3"/>
  <c r="M43" i="3"/>
  <c r="I43" i="3"/>
  <c r="B43" i="3"/>
  <c r="M42" i="3"/>
  <c r="I42" i="3"/>
  <c r="B42" i="3"/>
  <c r="M41" i="3"/>
  <c r="I41" i="3"/>
  <c r="B41" i="3"/>
  <c r="M40" i="3"/>
  <c r="I40" i="3"/>
  <c r="B40" i="3"/>
  <c r="M39" i="3"/>
  <c r="I39" i="3"/>
  <c r="B39" i="3"/>
  <c r="M38" i="3"/>
  <c r="I38" i="3"/>
  <c r="B38" i="3"/>
  <c r="M37" i="3"/>
  <c r="I37" i="3"/>
  <c r="B37" i="3"/>
  <c r="M36" i="3"/>
  <c r="I36" i="3"/>
  <c r="B36" i="3"/>
  <c r="M35" i="3"/>
  <c r="I35" i="3"/>
  <c r="B35" i="3"/>
  <c r="M34" i="3"/>
  <c r="I34" i="3"/>
  <c r="B34" i="3"/>
  <c r="M33" i="3"/>
  <c r="I33" i="3"/>
  <c r="B33" i="3"/>
  <c r="M32" i="3"/>
  <c r="I32" i="3"/>
  <c r="B32" i="3"/>
  <c r="M31" i="3"/>
  <c r="I31" i="3"/>
  <c r="M29" i="3"/>
  <c r="I29" i="3"/>
  <c r="B29" i="3"/>
  <c r="M28" i="3"/>
  <c r="I28" i="3"/>
  <c r="B28" i="3"/>
  <c r="M27" i="3"/>
  <c r="I27" i="3"/>
  <c r="B27" i="3"/>
  <c r="M26" i="3"/>
  <c r="I26" i="3"/>
  <c r="B26" i="3"/>
  <c r="M25" i="3"/>
  <c r="I25" i="3"/>
  <c r="B25" i="3"/>
  <c r="M24" i="3"/>
  <c r="I24" i="3"/>
  <c r="B24" i="3"/>
  <c r="M23" i="3"/>
  <c r="I23" i="3"/>
  <c r="B23" i="3"/>
  <c r="M22" i="3"/>
  <c r="I22" i="3"/>
  <c r="B22" i="3"/>
  <c r="M21" i="3"/>
  <c r="I21" i="3"/>
  <c r="B21" i="3"/>
  <c r="M20" i="3"/>
  <c r="I20" i="3"/>
  <c r="B20" i="3"/>
  <c r="M19" i="3"/>
  <c r="I19" i="3"/>
  <c r="B19" i="3"/>
  <c r="M18" i="3"/>
  <c r="I18" i="3"/>
  <c r="B18" i="3"/>
  <c r="M17" i="3"/>
  <c r="I17" i="3"/>
  <c r="B17" i="3"/>
  <c r="M16" i="3"/>
  <c r="I16" i="3"/>
  <c r="B16" i="3"/>
  <c r="I15" i="3"/>
  <c r="I14" i="3"/>
  <c r="I13" i="3"/>
  <c r="M12" i="3"/>
  <c r="I12" i="3"/>
  <c r="B12" i="3"/>
  <c r="M11" i="3"/>
  <c r="I11" i="3"/>
  <c r="B11" i="3"/>
  <c r="M10" i="3"/>
  <c r="I10" i="3"/>
  <c r="M9" i="3"/>
  <c r="I9" i="3"/>
  <c r="I8" i="3"/>
  <c r="I7" i="3"/>
  <c r="I6" i="3"/>
  <c r="I5" i="3"/>
  <c r="I4" i="3"/>
  <c r="I3" i="3"/>
  <c r="M2" i="3"/>
  <c r="L2" i="3"/>
  <c r="K2" i="3"/>
  <c r="C2" i="3"/>
  <c r="D2" i="3" s="1"/>
  <c r="B60" i="1"/>
  <c r="B58" i="1"/>
  <c r="B57" i="1"/>
  <c r="B56" i="1"/>
  <c r="B55" i="1"/>
  <c r="B49" i="1"/>
  <c r="B48" i="1"/>
  <c r="B47" i="1"/>
  <c r="B46" i="1"/>
  <c r="B42" i="1"/>
  <c r="B35" i="1"/>
  <c r="B7" i="1"/>
  <c r="E2" i="1"/>
  <c r="H2" i="9" l="1"/>
  <c r="E2" i="8"/>
  <c r="J2" i="8"/>
  <c r="H2" i="8"/>
  <c r="G2" i="7"/>
  <c r="H2" i="7"/>
  <c r="E2" i="7"/>
  <c r="J2" i="7"/>
  <c r="D2" i="6"/>
  <c r="G2" i="6"/>
  <c r="J2" i="6"/>
  <c r="F2" i="4"/>
  <c r="I2" i="4"/>
  <c r="E2" i="3"/>
  <c r="G2" i="3"/>
  <c r="J2" i="3"/>
  <c r="F2" i="3"/>
  <c r="H2" i="3"/>
  <c r="H2" i="10"/>
  <c r="E2" i="5"/>
  <c r="D2" i="4"/>
  <c r="F2" i="5"/>
  <c r="E2" i="6"/>
  <c r="I2" i="9"/>
  <c r="I2" i="3"/>
  <c r="E2" i="4"/>
  <c r="G2" i="5"/>
  <c r="F2" i="6"/>
  <c r="I2" i="7"/>
  <c r="D2" i="8"/>
  <c r="J2" i="9"/>
  <c r="I2" i="10"/>
  <c r="J2" i="10"/>
  <c r="H2" i="5"/>
  <c r="G2" i="4"/>
  <c r="I2" i="5"/>
  <c r="H2" i="6"/>
  <c r="F2" i="8"/>
  <c r="D2" i="9"/>
  <c r="H2" i="4"/>
  <c r="J2" i="5"/>
  <c r="D2" i="7"/>
  <c r="G2" i="8"/>
  <c r="E2" i="9"/>
  <c r="D2" i="10"/>
  <c r="F2" i="9"/>
  <c r="E2" i="10"/>
  <c r="F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274" authorId="0" shapeId="0" xr:uid="{00000000-0006-0000-09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 ref="M432" authorId="0" shapeId="0" xr:uid="{00000000-0006-0000-0900-000001000000}">
      <text>
        <r>
          <rPr>
            <sz val="10"/>
            <color rgb="FF000000"/>
            <rFont val="Arial"/>
          </rPr>
          <t>Or shorter: 
https://github.com/ilyesLtifi/Competitive-Programming/blob/master/UVA/UVA%2010325.cpp</t>
        </r>
      </text>
    </comment>
    <comment ref="M443" authorId="0" shapeId="0" xr:uid="{00000000-0006-0000-0900-000003000000}">
      <text>
        <r>
          <rPr>
            <sz val="10"/>
            <color rgb="FF000000"/>
            <rFont val="Arial"/>
          </rPr>
          <t>Or shorter: http://naivered.github.io/2016/07/03/Problem_Solving/UVa/UVa-10168-Summation-of-Four-Primes/</t>
        </r>
      </text>
    </comment>
    <comment ref="B824" authorId="0" shapeId="0" xr:uid="{00000000-0006-0000-0900-000002000000}">
      <text>
        <r>
          <rPr>
            <sz val="10"/>
            <color rgb="FF000000"/>
            <rFont val="Arial"/>
          </rPr>
          <t>Google first Goldbach's conjecture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16" authorId="0" shapeId="0" xr:uid="{00000000-0006-0000-0400-000001000000}">
      <text>
        <r>
          <rPr>
            <sz val="10"/>
            <color rgb="FF000000"/>
            <rFont val="Arial"/>
          </rPr>
          <t>Google first Goldbach's conjecture</t>
        </r>
      </text>
    </comment>
    <comment ref="M16" authorId="0" shapeId="0" xr:uid="{00000000-0006-0000-0400-000002000000}">
      <text>
        <r>
          <rPr>
            <sz val="10"/>
            <color rgb="FF000000"/>
            <rFont val="Arial"/>
          </rPr>
          <t>Or shorter: 
http://naivered.github.io/2016/07/03/Problem_Solving/UVa/UVa-10168-Summation-of-Four-Primes/</t>
        </r>
      </text>
    </comment>
    <comment ref="M17" authorId="0" shapeId="0" xr:uid="{00000000-0006-0000-0400-000003000000}">
      <text>
        <r>
          <rPr>
            <sz val="10"/>
            <color rgb="FF000000"/>
            <rFont val="Arial"/>
          </rPr>
          <t>Or shorter: 
https://github.com/ilyesLtifi/Competitive-Programming/blob/master/UVA/UVA%2010325.cpp</t>
        </r>
      </text>
    </comment>
    <comment ref="M75" authorId="0" shapeId="0" xr:uid="{00000000-0006-0000-04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ADITI</author>
  </authors>
  <commentList>
    <comment ref="A258" authorId="0" shapeId="0" xr:uid="{D269DECC-2B25-497B-82E3-AA643798F642}">
      <text>
        <r>
          <rPr>
            <b/>
            <sz val="9"/>
            <color indexed="81"/>
            <rFont val="Tahoma"/>
            <charset val="1"/>
          </rPr>
          <t>ADITI:</t>
        </r>
        <r>
          <rPr>
            <sz val="9"/>
            <color indexed="81"/>
            <rFont val="Tahoma"/>
            <charset val="1"/>
          </rPr>
          <t xml:space="preserve">
</t>
        </r>
      </text>
    </comment>
  </commentList>
</comments>
</file>

<file path=xl/sharedStrings.xml><?xml version="1.0" encoding="utf-8"?>
<sst xmlns="http://schemas.openxmlformats.org/spreadsheetml/2006/main" count="48994" uniqueCount="15012">
  <si>
    <t>Problem Solving Sheet</t>
  </si>
  <si>
    <r>
      <t xml:space="preserve">This google sheet is created by </t>
    </r>
    <r>
      <rPr>
        <b/>
        <sz val="10"/>
        <rFont val="Arial"/>
      </rPr>
      <t>Dr Mostafa Saad Ibrahim</t>
    </r>
    <r>
      <rPr>
        <sz val="10"/>
        <color rgb="FF000000"/>
        <rFont val="Arial"/>
      </rPr>
      <t xml:space="preserve">. Overall </t>
    </r>
    <r>
      <rPr>
        <b/>
        <sz val="10"/>
        <rFont val="Arial"/>
      </rPr>
      <t>~950</t>
    </r>
    <r>
      <rPr>
        <sz val="10"/>
        <color rgb="FF000000"/>
        <rFont val="Arial"/>
      </rPr>
      <t xml:space="preserve"> problems for </t>
    </r>
    <r>
      <rPr>
        <b/>
        <sz val="10"/>
        <rFont val="Arial"/>
      </rPr>
      <t>newcomers</t>
    </r>
    <r>
      <rPr>
        <sz val="10"/>
        <color rgb="FF000000"/>
        <rFont val="Arial"/>
      </rPr>
      <t xml:space="preserve"> to problem solving.</t>
    </r>
  </si>
  <si>
    <r>
      <t xml:space="preserve">Currenet Version </t>
    </r>
    <r>
      <rPr>
        <b/>
        <sz val="10"/>
        <rFont val="Arial"/>
      </rPr>
      <t>V7.0</t>
    </r>
  </si>
  <si>
    <t>This is read-access only file. Read line 17 to create your OWN COPY.</t>
  </si>
  <si>
    <t>mostafa.saad.fci@gmail.com</t>
  </si>
  <si>
    <t>Site</t>
  </si>
  <si>
    <t>To understand the sheet, watch these videos</t>
  </si>
  <si>
    <t>New Video explaining the sheet</t>
  </si>
  <si>
    <r>
      <t xml:space="preserve">To know how an online judge work: watch 2 </t>
    </r>
    <r>
      <rPr>
        <u/>
        <sz val="10"/>
        <color rgb="FF1155CC"/>
        <rFont val="Arial"/>
      </rPr>
      <t>videos</t>
    </r>
    <r>
      <rPr>
        <sz val="10"/>
        <color rgb="FF00000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</si>
  <si>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</si>
  <si>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</si>
  <si>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t>
  </si>
  <si>
    <t>How to train?</t>
  </si>
  <si>
    <r>
      <t xml:space="preserve">- You can train in one of the following ways:
- A) </t>
    </r>
    <r>
      <rPr>
        <b/>
        <sz val="10"/>
        <rFont val="Arial"/>
      </rPr>
      <t>Blind-Order training style</t>
    </r>
    <r>
      <rPr>
        <sz val="10"/>
        <color rgb="FF00000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color rgb="FF000000"/>
        <rFont val="Arial"/>
      </rPr>
      <t xml:space="preserve"> way, though most camps/training-approaches don't use this style
- B) </t>
    </r>
    <r>
      <rPr>
        <b/>
        <sz val="10"/>
        <rFont val="Arial"/>
      </rPr>
      <t xml:space="preserve">Topics-Based training style
</t>
    </r>
    <r>
      <rPr>
        <sz val="10"/>
        <color rgb="FF000000"/>
        <rFont val="Arial"/>
      </rPr>
      <t xml:space="preserve">- See sheet page (Topics). It has the same sheet problems (A to D3) ordered by category and level, around 950 problems
- </t>
    </r>
    <r>
      <rPr>
        <b/>
        <sz val="10"/>
        <rFont val="Arial"/>
      </rPr>
      <t>Ideas Quality column</t>
    </r>
    <r>
      <rPr>
        <sz val="10"/>
        <color rgb="FF00000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</si>
  <si>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</si>
  <si>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</si>
  <si>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t xml:space="preserve">Your Sheet </t>
    </r>
    <r>
      <rPr>
        <sz val="10"/>
        <color rgb="FF0000FF"/>
        <rFont val="Arial"/>
      </rPr>
      <t>COPY</t>
    </r>
  </si>
  <si>
    <r>
      <t>This is a personal Google sheet for you [</t>
    </r>
    <r>
      <rPr>
        <b/>
        <sz val="10"/>
        <rFont val="Arial"/>
      </rPr>
      <t>Make a copy</t>
    </r>
    <r>
      <rPr>
        <sz val="10"/>
        <color rgb="FF000000"/>
        <rFont val="Arial"/>
      </rPr>
      <t xml:space="preserve"> from file MENU] to have sets of problems to solve coupled with algorithms to learn
- Don't download the sheet, Use it online
- Can't edit it? Because it is </t>
    </r>
    <r>
      <rPr>
        <b/>
        <sz val="10"/>
        <rFont val="Arial"/>
      </rPr>
      <t>read-only</t>
    </r>
    <r>
      <rPr>
        <sz val="10"/>
        <color rgb="FF00000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color rgb="FF00000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</si>
  <si>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</si>
  <si>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</si>
  <si>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Prerequisites?</t>
  </si>
  <si>
    <t>Just basic programing skills, preferred using C++ language</t>
  </si>
  <si>
    <t>C++ Programming</t>
  </si>
  <si>
    <t>Slides</t>
  </si>
  <si>
    <r>
      <t xml:space="preserve">If you already know programming, still solve all series homeworks and practices first. Solutions on </t>
    </r>
    <r>
      <rPr>
        <u/>
        <sz val="10"/>
        <color rgb="FF1155CC"/>
        <rFont val="Arial"/>
      </rPr>
      <t>github</t>
    </r>
    <r>
      <rPr>
        <sz val="10"/>
        <color rgb="FF000000"/>
        <rFont val="Arial"/>
      </rPr>
      <t>.</t>
    </r>
  </si>
  <si>
    <t>Regardless of the language or course you learned, FIRST solve all excersies in the above playlist</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</si>
  <si>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</si>
  <si>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</si>
  <si>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</si>
  <si>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</si>
  <si>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</si>
  <si>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</si>
  <si>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</si>
  <si>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</si>
  <si>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</si>
  <si>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</si>
  <si>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</si>
  <si>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</si>
  <si>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</si>
  <si>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</si>
  <si>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</si>
  <si>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</si>
  <si>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</si>
  <si>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</si>
  <si>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</si>
  <si>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</si>
  <si>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</si>
  <si>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</si>
  <si>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</si>
  <si>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</si>
  <si>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</si>
  <si>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</si>
  <si>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</si>
  <si>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</si>
  <si>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</si>
  <si>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</si>
  <si>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</si>
  <si>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</si>
  <si>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</si>
  <si>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</si>
  <si>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</si>
  <si>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</si>
  <si>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</si>
  <si>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</si>
  <si>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</si>
  <si>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</si>
  <si>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</si>
  <si>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</si>
  <si>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</si>
  <si>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</si>
  <si>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</si>
  <si>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</si>
  <si>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</si>
  <si>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</si>
  <si>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</si>
  <si>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
      </rPr>
      <t>Thanks</t>
    </r>
    <r>
      <rPr>
        <sz val="10"/>
        <color rgb="FF000000"/>
        <rFont val="Arial"/>
      </rPr>
      <t xml:space="preserve"> for all guys who sent sheet feedback: Mariam Alshereef, Magdy Hassan, Ahmed Yasser, Ahmed Elsayed Awad, Mohamed Nasser, Mostafa Ali Mansour, Aya elymany, Ayyad shenouda, Others.</t>
    </r>
  </si>
  <si>
    <t>Special Thanks for Coach Alhussain Aly for his continuous help</t>
  </si>
  <si>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</si>
  <si>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</si>
  <si>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</si>
  <si>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</si>
  <si>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color rgb="FF000000"/>
        <rFont val="Arial"/>
      </rPr>
      <t xml:space="preserve">
215*20+93*30+270*40+178*60+127*75+53*90 = ~700 hours (say max 900 hours)
If you trained in the summer vacation seriously for 2 month (e.g. 10 hours * 30 days * 2 month = 600 hours) + the reamining of the year effort, you could solve the whole sheet smoothly and move to Div2-E level goal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</si>
  <si>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</si>
  <si>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</si>
  <si>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</si>
  <si>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</si>
  <si>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</si>
  <si>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</si>
  <si>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</si>
  <si>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</si>
  <si>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</si>
  <si>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</si>
  <si>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</si>
  <si>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</si>
  <si>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</si>
  <si>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</si>
  <si>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t xml:space="preserve">Q) When I watch a </t>
    </r>
    <r>
      <rPr>
        <b/>
        <sz val="10"/>
        <rFont val="Arial"/>
      </rPr>
      <t>video</t>
    </r>
    <r>
      <rPr>
        <sz val="10"/>
        <color rgb="FF000000"/>
        <rFont val="Arial"/>
      </rPr>
      <t xml:space="preserve">, should I solve the </t>
    </r>
    <r>
      <rPr>
        <b/>
        <sz val="10"/>
        <rFont val="Arial"/>
      </rPr>
      <t>problems</t>
    </r>
    <r>
      <rPr>
        <sz val="10"/>
        <color rgb="FF000000"/>
        <rFont val="Arial"/>
      </rPr>
      <t xml:space="preserve"> in its info section?</t>
    </r>
  </si>
  <si>
    <t>- No, sheet has subset of these problems already in specific order
- Sheet is self-contained</t>
  </si>
  <si>
    <r>
      <t xml:space="preserve">Q) I watched the </t>
    </r>
    <r>
      <rPr>
        <b/>
        <sz val="10"/>
        <rFont val="Arial"/>
      </rPr>
      <t>video</t>
    </r>
    <r>
      <rPr>
        <sz val="10"/>
        <color rgb="FF000000"/>
        <rFont val="Arial"/>
      </rPr>
      <t xml:space="preserve">, but it is </t>
    </r>
    <r>
      <rPr>
        <b/>
        <sz val="10"/>
        <rFont val="Arial"/>
      </rPr>
      <t>hard</t>
    </r>
    <r>
      <rPr>
        <sz val="10"/>
        <color rgb="FF000000"/>
        <rFont val="Arial"/>
      </rPr>
      <t>, any tips?</t>
    </r>
  </si>
  <si>
    <t>- Algorithms are hard, learn to struggle
- Watch the video 2-3 times, try to rewrite its code by yourself
- Still can't get it? Google for more materials from the web (ppt/pdf/videos) and try to learn
- In worst case, leave it for now and return to it later</t>
  </si>
  <si>
    <r>
      <t xml:space="preserve">Q) How does your sheet prepare for </t>
    </r>
    <r>
      <rPr>
        <b/>
        <sz val="10"/>
        <rFont val="Arial"/>
      </rPr>
      <t>ECPC/ACPC</t>
    </r>
    <r>
      <rPr>
        <sz val="10"/>
        <color rgb="FF000000"/>
        <rFont val="Arial"/>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</si>
  <si>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</si>
  <si>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</si>
  <si>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t xml:space="preserve">Q) How different is your sheet versus </t>
    </r>
    <r>
      <rPr>
        <b/>
        <sz val="10"/>
        <rFont val="Arial"/>
      </rPr>
      <t>Ahmed Aly Ladders</t>
    </r>
    <r>
      <rPr>
        <sz val="10"/>
        <color rgb="FF000000"/>
        <rFont val="Arial"/>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</si>
  <si>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</si>
  <si>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t xml:space="preserve">Q) How did you </t>
    </r>
    <r>
      <rPr>
        <b/>
        <sz val="10"/>
        <rFont val="Arial"/>
      </rPr>
      <t>select problems</t>
    </r>
    <r>
      <rPr>
        <sz val="10"/>
        <color rgb="FF000000"/>
        <rFont val="Arial"/>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</si>
  <si>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</si>
  <si>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t xml:space="preserve">Q) can't </t>
    </r>
    <r>
      <rPr>
        <b/>
        <sz val="10"/>
        <rFont val="Arial"/>
      </rPr>
      <t>access</t>
    </r>
    <r>
      <rPr>
        <sz val="10"/>
        <color rgb="FF000000"/>
        <rFont val="Arial"/>
      </rPr>
      <t xml:space="preserve"> the sheet in </t>
    </r>
    <r>
      <rPr>
        <b/>
        <sz val="10"/>
        <rFont val="Arial"/>
      </rPr>
      <t>edit</t>
    </r>
    <r>
      <rPr>
        <sz val="10"/>
        <color rgb="FF000000"/>
        <rFont val="Arial"/>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</si>
  <si>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</si>
  <si>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t xml:space="preserve">Q) What to write in the </t>
    </r>
    <r>
      <rPr>
        <b/>
        <sz val="10"/>
        <rFont val="Arial"/>
      </rPr>
      <t>category column</t>
    </r>
    <r>
      <rPr>
        <sz val="10"/>
        <color rgb="FF000000"/>
        <rFont val="Arial"/>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</si>
  <si>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</si>
  <si>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t xml:space="preserve">Q) Are problems really sorted based on </t>
    </r>
    <r>
      <rPr>
        <b/>
        <sz val="10"/>
        <rFont val="Arial"/>
      </rPr>
      <t>easiness</t>
    </r>
    <r>
      <rPr>
        <sz val="10"/>
        <color rgb="FF000000"/>
        <rFont val="Arial"/>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</si>
  <si>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</si>
  <si>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t xml:space="preserve">Q) What are these problems </t>
    </r>
    <r>
      <rPr>
        <b/>
        <sz val="10"/>
        <rFont val="Arial"/>
      </rPr>
      <t>colors</t>
    </r>
    <r>
      <rPr>
        <sz val="10"/>
        <color rgb="FF000000"/>
        <rFont val="Arial"/>
      </rPr>
      <t>?</t>
    </r>
  </si>
  <si>
    <t>See "Problems Colors" notes in info page</t>
  </si>
  <si>
    <r>
      <t xml:space="preserve">Q) Are the problems </t>
    </r>
    <r>
      <rPr>
        <b/>
        <sz val="10"/>
        <rFont val="Arial"/>
      </rPr>
      <t>sorted</t>
    </r>
    <r>
      <rPr>
        <sz val="10"/>
        <color rgb="FF000000"/>
        <rFont val="Arial"/>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</si>
  <si>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</si>
  <si>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t xml:space="preserve">Q) Why problem-solving is that </t>
    </r>
    <r>
      <rPr>
        <b/>
        <sz val="10"/>
        <rFont val="Arial"/>
      </rPr>
      <t>important</t>
    </r>
    <r>
      <rPr>
        <sz val="10"/>
        <color rgb="FF000000"/>
        <rFont val="Arial"/>
      </rPr>
      <t>?</t>
    </r>
  </si>
  <si>
    <t>See the first 2 videos here: https://www.youtube.com/playlist?list=PLPt2dINI2MIaNcU070HIAO8JWYBcafuyG</t>
  </si>
  <si>
    <r>
      <t xml:space="preserve">Q) I </t>
    </r>
    <r>
      <rPr>
        <b/>
        <sz val="10"/>
        <rFont val="Arial"/>
      </rPr>
      <t>feel bored</t>
    </r>
    <r>
      <rPr>
        <sz val="10"/>
        <color rgb="FF000000"/>
        <rFont val="Arial"/>
      </rPr>
      <t xml:space="preserve"> when solving problems compare to doing projects?</t>
    </r>
  </si>
  <si>
    <t>https://ask.fm/mostafasaad87/answers/145333554402</t>
  </si>
  <si>
    <r>
      <t xml:space="preserve">Q) I would like to </t>
    </r>
    <r>
      <rPr>
        <b/>
        <sz val="10"/>
        <rFont val="Arial"/>
      </rPr>
      <t>freeze</t>
    </r>
    <r>
      <rPr>
        <sz val="10"/>
        <color rgb="FF000000"/>
        <rFont val="Arial"/>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</si>
  <si>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</si>
  <si>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</si>
  <si>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</si>
  <si>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</si>
  <si>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</si>
  <si>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</si>
  <si>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</si>
  <si>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</si>
  <si>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</si>
  <si>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</si>
  <si>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</si>
  <si>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</si>
  <si>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</si>
  <si>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</si>
  <si>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</si>
  <si>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</si>
  <si>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</si>
  <si>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</si>
  <si>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</si>
  <si>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</si>
  <si>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</si>
  <si>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</si>
  <si>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</si>
  <si>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</si>
  <si>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</si>
  <si>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</si>
  <si>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</si>
  <si>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</si>
  <si>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</si>
  <si>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</si>
  <si>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</si>
  <si>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</si>
  <si>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rFont val="Arial"/>
      </rPr>
      <t>Target AC from 1st</t>
    </r>
    <r>
      <rPr>
        <sz val="10"/>
        <color rgb="FF000000"/>
        <rFont val="Arial"/>
      </rPr>
      <t xml:space="preserve"> submission. Think more before submission.
</t>
    </r>
  </si>
  <si>
    <t>Sample Name2</t>
  </si>
  <si>
    <t>Sample Link2</t>
  </si>
  <si>
    <t>No</t>
  </si>
  <si>
    <t>Impl</t>
  </si>
  <si>
    <r>
      <t xml:space="preserve">I had to check the editorial
</t>
    </r>
    <r>
      <rPr>
        <b/>
        <sz val="10"/>
        <color rgb="FF9900FF"/>
        <rFont val="Arial"/>
      </rPr>
      <t xml:space="preserve">
My Performance Notes: </t>
    </r>
    <r>
      <rPr>
        <sz val="10"/>
        <color rgb="FF00000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</si>
  <si>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</si>
  <si>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</si>
  <si>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</si>
  <si>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t xml:space="preserve">Please always write and study your timings.
</t>
    </r>
    <r>
      <rPr>
        <b/>
        <sz val="10"/>
        <color rgb="FF0000FF"/>
        <rFont val="Arial"/>
      </rPr>
      <t xml:space="preserve">My Performance Notes: </t>
    </r>
    <r>
      <rPr>
        <sz val="10"/>
        <color rgb="FF00000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</si>
  <si>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</si>
  <si>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</si>
  <si>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</si>
  <si>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</si>
  <si>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</si>
  <si>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</si>
  <si>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</si>
  <si>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</si>
  <si>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</si>
  <si>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</si>
  <si>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</si>
  <si>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</si>
  <si>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</si>
  <si>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</si>
  <si>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</si>
  <si>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</si>
  <si>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</si>
  <si>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</si>
  <si>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</si>
  <si>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</si>
  <si>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</si>
  <si>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</si>
  <si>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</si>
  <si>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</si>
  <si>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</si>
  <si>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</si>
  <si>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</si>
  <si>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</si>
  <si>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</si>
  <si>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</si>
  <si>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</si>
  <si>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</si>
  <si>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</si>
  <si>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</si>
  <si>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</si>
  <si>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</si>
  <si>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</si>
  <si>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</si>
  <si>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</si>
  <si>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</si>
  <si>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</si>
  <si>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</si>
  <si>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</si>
  <si>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</si>
  <si>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</si>
  <si>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</si>
  <si>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</si>
  <si>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</si>
  <si>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</si>
  <si>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</si>
  <si>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</si>
  <si>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</si>
  <si>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</si>
  <si>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</si>
  <si>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</si>
  <si>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</si>
  <si>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</si>
  <si>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</si>
  <si>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</si>
  <si>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</si>
  <si>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</si>
  <si>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</si>
  <si>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</si>
  <si>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</si>
  <si>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</si>
  <si>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</si>
  <si>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</si>
  <si>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</si>
  <si>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</si>
  <si>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</si>
  <si>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</si>
  <si>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</si>
  <si>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</si>
  <si>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</si>
  <si>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</si>
  <si>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</si>
  <si>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</si>
  <si>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</si>
  <si>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</si>
  <si>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</si>
  <si>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</si>
  <si>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</si>
  <si>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</si>
  <si>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</si>
  <si>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</si>
  <si>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</si>
  <si>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</si>
  <si>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</si>
  <si>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</si>
  <si>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</si>
  <si>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</si>
  <si>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</si>
  <si>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</si>
  <si>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</si>
  <si>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</si>
  <si>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</si>
  <si>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</si>
  <si>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</si>
  <si>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</si>
  <si>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</si>
  <si>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</si>
  <si>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</si>
  <si>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</si>
  <si>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</si>
  <si>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</si>
  <si>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</si>
  <si>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</si>
  <si>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</si>
  <si>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</si>
  <si>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</si>
  <si>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</si>
  <si>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</si>
  <si>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</si>
  <si>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</si>
  <si>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</si>
  <si>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</si>
  <si>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</si>
  <si>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</si>
  <si>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</si>
  <si>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</si>
  <si>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</si>
  <si>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</si>
  <si>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</si>
  <si>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</si>
  <si>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</si>
  <si>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</si>
  <si>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</si>
  <si>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</si>
  <si>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</si>
  <si>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</si>
  <si>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</si>
  <si>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</si>
  <si>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</si>
  <si>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</si>
  <si>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</si>
  <si>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</si>
  <si>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</si>
  <si>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</si>
  <si>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</si>
  <si>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</si>
  <si>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</si>
  <si>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</si>
  <si>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</si>
  <si>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</si>
  <si>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</si>
  <si>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</si>
  <si>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</si>
  <si>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</si>
  <si>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</si>
  <si>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</si>
  <si>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</si>
  <si>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</si>
  <si>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</si>
  <si>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</si>
  <si>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</si>
  <si>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</si>
  <si>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</si>
  <si>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</si>
  <si>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</si>
  <si>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</si>
  <si>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</si>
  <si>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</si>
  <si>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</si>
  <si>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</si>
  <si>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</si>
  <si>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</si>
  <si>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</si>
  <si>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</si>
  <si>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</si>
  <si>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</si>
  <si>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</si>
  <si>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</si>
  <si>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</si>
  <si>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</si>
  <si>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</si>
  <si>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</si>
  <si>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</si>
  <si>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</si>
  <si>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</si>
  <si>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</si>
  <si>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</si>
  <si>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</si>
  <si>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</si>
  <si>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</si>
  <si>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</si>
  <si>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</si>
  <si>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</si>
  <si>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</si>
  <si>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</si>
  <si>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</si>
  <si>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</si>
  <si>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</si>
  <si>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</si>
  <si>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</si>
  <si>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</si>
  <si>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</si>
  <si>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</si>
  <si>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</si>
  <si>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</si>
  <si>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</si>
  <si>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</si>
  <si>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</si>
  <si>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</si>
  <si>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</si>
  <si>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</si>
  <si>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</si>
  <si>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</si>
  <si>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</si>
  <si>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</si>
  <si>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</si>
  <si>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</si>
  <si>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</si>
  <si>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</si>
  <si>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</si>
  <si>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</si>
  <si>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</si>
  <si>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</si>
  <si>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</si>
  <si>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</si>
  <si>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</si>
  <si>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</si>
  <si>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</si>
  <si>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</si>
  <si>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</si>
  <si>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</si>
  <si>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</si>
  <si>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</si>
  <si>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</si>
  <si>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</si>
  <si>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</si>
  <si>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</si>
  <si>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</si>
  <si>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</si>
  <si>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</si>
  <si>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</si>
  <si>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</si>
  <si>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</si>
  <si>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</si>
  <si>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</si>
  <si>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</si>
  <si>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</si>
  <si>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</si>
  <si>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</si>
  <si>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</si>
  <si>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</si>
  <si>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</si>
  <si>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</si>
  <si>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</si>
  <si>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</si>
  <si>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</si>
  <si>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</si>
  <si>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</si>
  <si>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</si>
  <si>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</si>
  <si>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</si>
  <si>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</si>
  <si>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</si>
  <si>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</si>
  <si>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</si>
  <si>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</si>
  <si>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</si>
  <si>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</si>
  <si>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</si>
  <si>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</si>
  <si>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</si>
  <si>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</si>
  <si>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</si>
  <si>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</si>
  <si>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</si>
  <si>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</si>
  <si>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</si>
  <si>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</si>
  <si>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</si>
  <si>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</si>
  <si>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</si>
  <si>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</si>
  <si>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</si>
  <si>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</si>
  <si>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</si>
  <si>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</si>
  <si>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</si>
  <si>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</si>
  <si>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</si>
  <si>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</si>
  <si>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</si>
  <si>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</si>
  <si>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</si>
  <si>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</si>
  <si>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</si>
  <si>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</si>
  <si>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</si>
  <si>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</si>
  <si>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</si>
  <si>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</si>
  <si>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</si>
  <si>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</si>
  <si>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</si>
  <si>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</si>
  <si>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</si>
  <si>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</si>
  <si>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</si>
  <si>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</si>
  <si>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OR in Matrix</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</si>
  <si>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</si>
  <si>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</si>
  <si>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</si>
  <si>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</si>
  <si>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</si>
  <si>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</si>
  <si>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</si>
  <si>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</si>
  <si>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</si>
  <si>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</si>
  <si>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</si>
  <si>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</si>
  <si>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</si>
  <si>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</si>
  <si>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</si>
  <si>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</si>
  <si>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</si>
  <si>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</si>
  <si>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</si>
  <si>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</si>
  <si>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</si>
  <si>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</si>
  <si>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</si>
  <si>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</si>
  <si>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</si>
  <si>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</si>
  <si>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</si>
  <si>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</si>
  <si>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</si>
  <si>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</si>
  <si>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</si>
  <si>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</si>
  <si>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</si>
  <si>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</si>
  <si>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</si>
  <si>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</si>
  <si>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</si>
  <si>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</si>
  <si>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</si>
  <si>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</si>
  <si>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</si>
  <si>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</si>
  <si>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</si>
  <si>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</si>
  <si>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</si>
  <si>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</si>
  <si>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</si>
  <si>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</si>
  <si>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</si>
  <si>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</si>
  <si>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</si>
  <si>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</si>
  <si>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</si>
  <si>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</si>
  <si>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</si>
  <si>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</si>
  <si>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</si>
  <si>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</si>
  <si>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</si>
  <si>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</si>
  <si>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</si>
  <si>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</si>
  <si>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</si>
  <si>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</si>
  <si>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</si>
  <si>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</si>
  <si>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</si>
  <si>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</si>
  <si>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</si>
  <si>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</si>
  <si>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</si>
  <si>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</si>
  <si>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</si>
  <si>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</si>
  <si>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</si>
  <si>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</si>
  <si>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</si>
  <si>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</si>
  <si>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</si>
  <si>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</si>
  <si>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</si>
  <si>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</si>
  <si>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</si>
  <si>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</si>
  <si>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</si>
  <si>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</si>
  <si>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</si>
  <si>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</si>
  <si>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</si>
  <si>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</si>
  <si>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</si>
  <si>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</si>
  <si>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</si>
  <si>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</si>
  <si>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t xml:space="preserve">Remove the given link and write a comment. Start your comment with a classification for the problem: </t>
    </r>
    <r>
      <rPr>
        <b/>
        <sz val="10"/>
        <rFont val="Arial"/>
      </rPr>
      <t>Useless, repeated idea, boring, normal, good problem, interesting problem or important problem</t>
    </r>
    <r>
      <rPr>
        <sz val="10"/>
        <color rgb="FF000000"/>
        <rFont val="Arial"/>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</si>
  <si>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</si>
  <si>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</si>
  <si>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</si>
  <si>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</si>
  <si>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</si>
  <si>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</si>
  <si>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</si>
  <si>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</si>
  <si>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</si>
  <si>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</si>
  <si>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</si>
  <si>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</si>
  <si>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</si>
  <si>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</si>
  <si>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</si>
  <si>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</si>
  <si>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</si>
  <si>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</si>
  <si>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</si>
  <si>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</si>
  <si>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</si>
  <si>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</si>
  <si>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</si>
  <si>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</si>
  <si>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</si>
  <si>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</si>
  <si>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</si>
  <si>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</si>
  <si>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</si>
  <si>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</si>
  <si>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</si>
  <si>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</si>
  <si>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</si>
  <si>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</si>
  <si>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</si>
  <si>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</si>
  <si>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</si>
  <si>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</si>
  <si>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</si>
  <si>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</si>
  <si>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</si>
  <si>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</si>
  <si>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</si>
  <si>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</si>
  <si>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</si>
  <si>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</si>
  <si>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</si>
  <si>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</si>
  <si>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</si>
  <si>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</si>
  <si>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</si>
  <si>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</si>
  <si>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</si>
  <si>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</si>
  <si>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</si>
  <si>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</si>
  <si>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</si>
  <si>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</si>
  <si>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</si>
  <si>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</si>
  <si>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</si>
  <si>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</si>
  <si>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</si>
  <si>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</si>
  <si>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</si>
  <si>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</si>
  <si>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</si>
  <si>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</si>
  <si>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</si>
  <si>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</si>
  <si>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</si>
  <si>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</si>
  <si>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</si>
  <si>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</si>
  <si>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</si>
  <si>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</si>
  <si>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</si>
  <si>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</si>
  <si>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</si>
  <si>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</si>
  <si>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</si>
  <si>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</si>
  <si>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</si>
  <si>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</si>
  <si>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</si>
  <si>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</si>
  <si>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</si>
  <si>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</si>
  <si>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</si>
  <si>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</si>
  <si>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</si>
  <si>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</si>
  <si>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</si>
  <si>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</si>
  <si>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</si>
  <si>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</si>
  <si>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</si>
  <si>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</si>
  <si>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</si>
  <si>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</si>
  <si>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</si>
  <si>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</si>
  <si>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</si>
  <si>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</si>
  <si>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</si>
  <si>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</si>
  <si>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</si>
  <si>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</si>
  <si>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</si>
  <si>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</si>
  <si>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</si>
  <si>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</si>
  <si>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</si>
  <si>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</si>
  <si>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</si>
  <si>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</si>
  <si>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</si>
  <si>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</si>
  <si>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</si>
  <si>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</si>
  <si>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</si>
  <si>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</si>
  <si>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</si>
  <si>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</si>
  <si>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</si>
  <si>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</si>
  <si>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</si>
  <si>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</si>
  <si>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</si>
  <si>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</si>
  <si>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</si>
  <si>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</si>
  <si>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</si>
  <si>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</si>
  <si>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</si>
  <si>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</si>
  <si>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</si>
  <si>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</si>
  <si>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</si>
  <si>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</si>
  <si>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</si>
  <si>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</si>
  <si>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</si>
  <si>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</si>
  <si>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</si>
  <si>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</si>
  <si>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</si>
  <si>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</si>
  <si>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</si>
  <si>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</si>
  <si>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</si>
  <si>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</si>
  <si>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</si>
  <si>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</si>
  <si>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</si>
  <si>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</si>
  <si>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</si>
  <si>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</si>
  <si>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</si>
  <si>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</si>
  <si>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</si>
  <si>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</si>
  <si>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</si>
  <si>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</si>
  <si>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</si>
  <si>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</si>
  <si>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</si>
  <si>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</si>
  <si>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</si>
  <si>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</si>
  <si>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</si>
  <si>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</si>
  <si>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</si>
  <si>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</si>
  <si>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</si>
  <si>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</si>
  <si>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</si>
  <si>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</si>
  <si>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</si>
  <si>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</si>
  <si>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</si>
  <si>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</si>
  <si>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</si>
  <si>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</si>
  <si>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</si>
  <si>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</si>
  <si>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</si>
  <si>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</si>
  <si>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</si>
  <si>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</si>
  <si>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</si>
  <si>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</si>
  <si>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</si>
  <si>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</si>
  <si>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</si>
  <si>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</si>
  <si>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</si>
  <si>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</si>
  <si>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</si>
  <si>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</si>
  <si>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</si>
  <si>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</si>
  <si>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</si>
  <si>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</si>
  <si>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</si>
  <si>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</si>
  <si>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</si>
  <si>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</si>
  <si>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</si>
  <si>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</si>
  <si>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</si>
  <si>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</si>
  <si>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</si>
  <si>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</si>
  <si>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</si>
  <si>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</si>
  <si>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</si>
  <si>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</si>
  <si>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</si>
  <si>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</si>
  <si>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</si>
  <si>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</si>
  <si>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</si>
  <si>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</si>
  <si>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</si>
  <si>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</si>
  <si>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</si>
  <si>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</si>
  <si>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</si>
  <si>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</si>
  <si>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</si>
  <si>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</si>
  <si>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</si>
  <si>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</si>
  <si>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</si>
  <si>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</si>
  <si>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</si>
  <si>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</si>
  <si>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</si>
  <si>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</si>
  <si>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</si>
  <si>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</si>
  <si>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</si>
  <si>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</si>
  <si>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</si>
  <si>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</si>
  <si>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</si>
  <si>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</si>
  <si>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</si>
  <si>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</si>
  <si>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</si>
  <si>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</si>
  <si>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</si>
  <si>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</si>
  <si>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</si>
  <si>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</si>
  <si>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</si>
  <si>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</si>
  <si>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</si>
  <si>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</si>
  <si>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</si>
  <si>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</si>
  <si>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</si>
  <si>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</si>
  <si>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</si>
  <si>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</si>
  <si>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</si>
  <si>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</si>
  <si>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</si>
  <si>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</si>
  <si>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</si>
  <si>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</si>
  <si>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</si>
  <si>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</si>
  <si>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</si>
  <si>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</si>
  <si>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</si>
  <si>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</si>
  <si>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</si>
  <si>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</si>
  <si>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</si>
  <si>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</si>
  <si>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</si>
  <si>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</si>
  <si>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</si>
  <si>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</si>
  <si>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</si>
  <si>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</si>
  <si>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</si>
  <si>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</si>
  <si>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</si>
  <si>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</si>
  <si>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</si>
  <si>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</si>
  <si>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</si>
  <si>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</si>
  <si>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</si>
  <si>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</si>
  <si>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</si>
  <si>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</si>
  <si>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</si>
  <si>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</si>
  <si>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</si>
  <si>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</si>
  <si>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</si>
  <si>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</si>
  <si>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</si>
  <si>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</si>
  <si>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</si>
  <si>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</si>
  <si>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</si>
  <si>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</si>
  <si>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</si>
  <si>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</si>
  <si>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</si>
  <si>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</si>
  <si>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</si>
  <si>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</si>
  <si>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</si>
  <si>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</si>
  <si>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</si>
  <si>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</si>
  <si>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</si>
  <si>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</si>
  <si>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</si>
  <si>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</si>
  <si>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</si>
  <si>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</si>
  <si>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</si>
  <si>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</si>
  <si>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</si>
  <si>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</si>
  <si>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</si>
  <si>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</si>
  <si>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</si>
  <si>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</si>
  <si>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</si>
  <si>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</si>
  <si>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</si>
  <si>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</si>
  <si>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</si>
  <si>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</si>
  <si>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</si>
  <si>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</si>
  <si>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</si>
  <si>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</si>
  <si>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</si>
  <si>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</si>
  <si>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</si>
  <si>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</si>
  <si>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</si>
  <si>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</si>
  <si>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</si>
  <si>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</si>
  <si>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</si>
  <si>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</si>
  <si>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</si>
  <si>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</si>
  <si>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</si>
  <si>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</si>
  <si>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</si>
  <si>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</si>
  <si>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</si>
  <si>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</si>
  <si>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</si>
  <si>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</si>
  <si>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</si>
  <si>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</si>
  <si>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</si>
  <si>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</si>
  <si>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</si>
  <si>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</si>
  <si>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</si>
  <si>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</si>
  <si>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</si>
  <si>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</si>
  <si>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</si>
  <si>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</si>
  <si>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</si>
  <si>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</si>
  <si>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</si>
  <si>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</si>
  <si>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</si>
  <si>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</si>
  <si>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</si>
  <si>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</si>
  <si>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</si>
  <si>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</si>
  <si>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</si>
  <si>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</si>
  <si>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</si>
  <si>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</si>
  <si>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</si>
  <si>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</si>
  <si>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</si>
  <si>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</si>
  <si>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</si>
  <si>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</si>
  <si>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</si>
  <si>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</si>
  <si>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</si>
  <si>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</si>
  <si>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</si>
  <si>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</si>
  <si>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</si>
  <si>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</si>
  <si>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</si>
  <si>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</si>
  <si>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</si>
  <si>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</si>
  <si>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</si>
  <si>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</si>
  <si>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</si>
  <si>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</si>
  <si>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</si>
  <si>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</si>
  <si>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</si>
  <si>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</si>
  <si>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</si>
  <si>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</si>
  <si>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</si>
  <si>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</si>
  <si>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</si>
  <si>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</si>
  <si>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</si>
  <si>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</si>
  <si>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</si>
  <si>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</si>
  <si>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</si>
  <si>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</si>
  <si>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</si>
  <si>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</si>
  <si>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</si>
  <si>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</si>
  <si>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</si>
  <si>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</si>
  <si>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</si>
  <si>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</si>
  <si>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</si>
  <si>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</si>
  <si>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</si>
  <si>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</si>
  <si>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</si>
  <si>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</si>
  <si>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</si>
  <si>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</si>
  <si>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</si>
  <si>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</si>
  <si>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</si>
  <si>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</si>
  <si>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</si>
  <si>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</si>
  <si>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</si>
  <si>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</si>
  <si>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</si>
  <si>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</si>
  <si>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</si>
  <si>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</si>
  <si>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</si>
  <si>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</si>
  <si>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</si>
  <si>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</si>
  <si>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</si>
  <si>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</si>
  <si>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</si>
  <si>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</si>
  <si>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</si>
  <si>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</si>
  <si>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</si>
  <si>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</si>
  <si>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</si>
  <si>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</si>
  <si>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</si>
  <si>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</si>
  <si>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</si>
  <si>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</si>
  <si>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</si>
  <si>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</si>
  <si>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</si>
  <si>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</si>
  <si>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</si>
  <si>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</si>
  <si>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</si>
  <si>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</si>
  <si>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</si>
  <si>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</si>
  <si>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</si>
  <si>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</si>
  <si>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</si>
  <si>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</si>
  <si>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</si>
  <si>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</si>
  <si>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</si>
  <si>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</si>
  <si>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</si>
  <si>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</si>
  <si>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</si>
  <si>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</si>
  <si>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</si>
  <si>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</si>
  <si>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</si>
  <si>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</si>
  <si>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</si>
  <si>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</si>
  <si>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</si>
  <si>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</si>
  <si>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</si>
  <si>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</si>
  <si>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</si>
  <si>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</si>
  <si>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</si>
  <si>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</si>
  <si>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</si>
  <si>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</si>
  <si>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</si>
  <si>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</si>
  <si>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</si>
  <si>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</si>
  <si>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</si>
  <si>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</si>
  <si>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</si>
  <si>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</si>
  <si>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</si>
  <si>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</si>
  <si>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</si>
  <si>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</si>
  <si>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</si>
  <si>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</si>
  <si>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</si>
  <si>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</si>
  <si>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</si>
  <si>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</si>
  <si>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</si>
  <si>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</si>
  <si>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</si>
  <si>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</si>
  <si>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</si>
  <si>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</si>
  <si>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</si>
  <si>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</si>
  <si>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</si>
  <si>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</si>
  <si>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</si>
  <si>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</si>
  <si>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</si>
  <si>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</si>
  <si>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</si>
  <si>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</si>
  <si>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</si>
  <si>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</si>
  <si>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</si>
  <si>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</si>
  <si>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</si>
  <si>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</si>
  <si>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</si>
  <si>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</si>
  <si>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</si>
  <si>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</si>
  <si>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</si>
  <si>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</si>
  <si>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</si>
  <si>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</si>
  <si>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</si>
  <si>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</si>
  <si>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</si>
  <si>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</si>
  <si>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</si>
  <si>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</si>
  <si>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</si>
  <si>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</si>
  <si>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</si>
  <si>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</si>
  <si>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</si>
  <si>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</si>
  <si>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</si>
  <si>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</si>
  <si>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</si>
  <si>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</si>
  <si>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</si>
  <si>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</si>
  <si>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</si>
  <si>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</si>
  <si>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</si>
  <si>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</si>
  <si>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</si>
  <si>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</si>
  <si>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</si>
  <si>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</si>
  <si>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</si>
  <si>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</si>
  <si>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</si>
  <si>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</si>
  <si>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</si>
  <si>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</si>
  <si>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</si>
  <si>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</si>
  <si>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</si>
  <si>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</si>
  <si>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</si>
  <si>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</si>
  <si>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</si>
  <si>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</si>
  <si>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</si>
  <si>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</si>
  <si>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</si>
  <si>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</si>
  <si>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</si>
  <si>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</si>
  <si>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</si>
  <si>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</si>
  <si>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</si>
  <si>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</si>
  <si>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</si>
  <si>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</si>
  <si>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</si>
  <si>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</si>
  <si>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</si>
  <si>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</si>
  <si>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</si>
  <si>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</si>
  <si>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</si>
  <si>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</si>
  <si>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</si>
  <si>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</si>
  <si>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</si>
  <si>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</si>
  <si>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</si>
  <si>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</si>
  <si>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</si>
  <si>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</si>
  <si>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</si>
  <si>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</si>
  <si>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</si>
  <si>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</si>
  <si>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</si>
  <si>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</si>
  <si>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</si>
  <si>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</si>
  <si>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</si>
  <si>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</si>
  <si>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</si>
  <si>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</si>
  <si>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</si>
  <si>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</si>
  <si>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</si>
  <si>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</si>
  <si>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</si>
  <si>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</si>
  <si>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</si>
  <si>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</si>
  <si>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</si>
  <si>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</si>
  <si>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</si>
  <si>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</si>
  <si>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</si>
  <si>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</si>
  <si>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</si>
  <si>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</si>
  <si>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</si>
  <si>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</si>
  <si>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</si>
  <si>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</si>
  <si>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</si>
  <si>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</si>
  <si>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</si>
  <si>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</si>
  <si>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</si>
  <si>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</si>
  <si>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</si>
  <si>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</si>
  <si>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</si>
  <si>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</si>
  <si>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</si>
  <si>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</si>
  <si>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</si>
  <si>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</si>
  <si>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</si>
  <si>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</si>
  <si>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</si>
  <si>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</si>
  <si>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</si>
  <si>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</si>
  <si>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</si>
  <si>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</si>
  <si>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</si>
  <si>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</si>
  <si>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</si>
  <si>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</si>
  <si>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</si>
  <si>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</si>
  <si>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</si>
  <si>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</si>
  <si>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</si>
  <si>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</si>
  <si>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</si>
  <si>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</si>
  <si>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</si>
  <si>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</si>
  <si>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</si>
  <si>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</si>
  <si>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</si>
  <si>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</si>
  <si>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</si>
  <si>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</si>
  <si>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</si>
  <si>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</si>
  <si>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</si>
  <si>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</si>
  <si>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</si>
  <si>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</si>
  <si>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</si>
  <si>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</si>
  <si>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</si>
  <si>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</si>
  <si>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</si>
  <si>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</si>
  <si>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</si>
  <si>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</si>
  <si>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</si>
  <si>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</si>
  <si>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</si>
  <si>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</si>
  <si>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</si>
  <si>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</si>
  <si>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</si>
  <si>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</si>
  <si>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</si>
  <si>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</si>
  <si>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</si>
  <si>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</si>
  <si>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</si>
  <si>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</si>
  <si>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</si>
  <si>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</si>
  <si>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</si>
  <si>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</si>
  <si>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</si>
  <si>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</si>
  <si>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</si>
  <si>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</si>
  <si>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</si>
  <si>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</si>
  <si>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</si>
  <si>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</si>
  <si>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</si>
  <si>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</si>
  <si>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</si>
  <si>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</si>
  <si>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</si>
  <si>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</si>
  <si>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</si>
  <si>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</si>
  <si>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</si>
  <si>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</si>
  <si>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</si>
  <si>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</si>
  <si>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</si>
  <si>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</si>
  <si>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</si>
  <si>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</si>
  <si>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</si>
  <si>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</si>
  <si>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</si>
  <si>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</si>
  <si>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</si>
  <si>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</si>
  <si>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</si>
  <si>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</si>
  <si>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</si>
  <si>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</si>
  <si>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</si>
  <si>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</si>
  <si>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</si>
  <si>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</si>
  <si>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</si>
  <si>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</si>
  <si>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</si>
  <si>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</si>
  <si>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</si>
  <si>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</si>
  <si>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</si>
  <si>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</si>
  <si>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</si>
  <si>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</si>
  <si>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</si>
  <si>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</si>
  <si>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</si>
  <si>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</si>
  <si>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</si>
  <si>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</si>
  <si>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</si>
  <si>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</si>
  <si>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</si>
  <si>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</si>
  <si>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</si>
  <si>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</si>
  <si>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</si>
  <si>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</si>
  <si>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</si>
  <si>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</si>
  <si>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</si>
  <si>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</si>
  <si>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</si>
  <si>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</si>
  <si>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</si>
  <si>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</si>
  <si>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</si>
  <si>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</si>
  <si>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</si>
  <si>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</si>
  <si>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</si>
  <si>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</si>
  <si>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</si>
  <si>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</si>
  <si>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</si>
  <si>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</si>
  <si>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</si>
  <si>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</si>
  <si>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</si>
  <si>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</si>
  <si>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</si>
  <si>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</si>
  <si>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</si>
  <si>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</si>
  <si>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</si>
  <si>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</si>
  <si>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</si>
  <si>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</si>
  <si>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</si>
  <si>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</si>
  <si>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</si>
  <si>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</si>
  <si>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</si>
  <si>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</si>
  <si>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</si>
  <si>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</si>
  <si>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</si>
  <si>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</si>
  <si>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</si>
  <si>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</si>
  <si>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</si>
  <si>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</si>
  <si>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</si>
  <si>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</si>
  <si>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</si>
  <si>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</si>
  <si>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</si>
  <si>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</si>
  <si>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</si>
  <si>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</si>
  <si>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</si>
  <si>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</si>
  <si>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</si>
  <si>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</si>
  <si>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</si>
  <si>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</si>
  <si>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</si>
  <si>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</si>
  <si>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</si>
  <si>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</si>
  <si>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</si>
  <si>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</si>
  <si>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</si>
  <si>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</si>
  <si>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</si>
  <si>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</si>
  <si>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</si>
  <si>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</si>
  <si>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</si>
  <si>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</si>
  <si>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</si>
  <si>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</si>
  <si>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</si>
  <si>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</si>
  <si>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</si>
  <si>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</si>
  <si>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</si>
  <si>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</si>
  <si>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</si>
  <si>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</si>
  <si>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</si>
  <si>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</si>
  <si>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</si>
  <si>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</si>
  <si>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</si>
  <si>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</si>
  <si>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</si>
  <si>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</si>
  <si>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</si>
  <si>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</si>
  <si>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</si>
  <si>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</si>
  <si>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</si>
  <si>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</si>
  <si>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</si>
  <si>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</si>
  <si>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</si>
  <si>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</si>
  <si>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</si>
  <si>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</si>
  <si>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</si>
  <si>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</si>
  <si>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</si>
  <si>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</si>
  <si>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</si>
  <si>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</si>
  <si>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</si>
  <si>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</si>
  <si>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</si>
  <si>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</si>
  <si>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</si>
  <si>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</si>
  <si>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</si>
  <si>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</si>
  <si>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</si>
  <si>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</si>
  <si>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</si>
  <si>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</si>
  <si>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</si>
  <si>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</si>
  <si>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</si>
  <si>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</si>
  <si>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</si>
  <si>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</si>
  <si>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</si>
  <si>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</si>
  <si>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</si>
  <si>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</si>
  <si>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</si>
  <si>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</si>
  <si>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</si>
  <si>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</si>
  <si>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</si>
  <si>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</si>
  <si>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</si>
  <si>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</si>
  <si>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</si>
  <si>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</si>
  <si>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</si>
  <si>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</si>
  <si>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</si>
  <si>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</si>
  <si>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</si>
  <si>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</si>
  <si>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</si>
  <si>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</si>
  <si>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</si>
  <si>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</si>
  <si>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</si>
  <si>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</si>
  <si>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</si>
  <si>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</si>
  <si>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</si>
  <si>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</si>
  <si>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</si>
  <si>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</si>
  <si>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</si>
  <si>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</si>
  <si>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</si>
  <si>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</si>
  <si>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</si>
  <si>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</si>
  <si>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</si>
  <si>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</si>
  <si>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</si>
  <si>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</si>
  <si>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</si>
  <si>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</si>
  <si>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</si>
  <si>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</si>
  <si>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</si>
  <si>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</si>
  <si>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</si>
  <si>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</si>
  <si>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</si>
  <si>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</si>
  <si>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</si>
  <si>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</si>
  <si>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</si>
  <si>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</si>
  <si>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</si>
  <si>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</si>
  <si>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</si>
  <si>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</si>
  <si>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</si>
  <si>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</si>
  <si>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</si>
  <si>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</si>
  <si>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</si>
  <si>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</si>
  <si>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</si>
  <si>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</si>
  <si>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</si>
  <si>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</si>
  <si>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</si>
  <si>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</si>
  <si>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</si>
  <si>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</si>
  <si>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</si>
  <si>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</si>
  <si>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</si>
  <si>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</si>
  <si>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</si>
  <si>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</si>
  <si>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</si>
  <si>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</si>
  <si>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</si>
  <si>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</si>
  <si>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</si>
  <si>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</si>
  <si>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</si>
  <si>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</si>
  <si>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</si>
  <si>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</si>
  <si>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</si>
  <si>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</si>
  <si>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</si>
  <si>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</si>
  <si>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</si>
  <si>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</si>
  <si>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</si>
  <si>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</si>
  <si>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</si>
  <si>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</si>
  <si>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</si>
  <si>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</si>
  <si>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</si>
  <si>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</si>
  <si>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</si>
  <si>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</si>
  <si>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</si>
  <si>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</si>
  <si>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</si>
  <si>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</si>
  <si>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</si>
  <si>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</si>
  <si>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</si>
  <si>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</si>
  <si>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</si>
  <si>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</si>
  <si>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</si>
  <si>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</si>
  <si>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</si>
  <si>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</si>
  <si>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</si>
  <si>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</si>
  <si>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</si>
  <si>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</si>
  <si>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</si>
  <si>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</si>
  <si>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</si>
  <si>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</si>
  <si>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</si>
  <si>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</si>
  <si>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</si>
  <si>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</si>
  <si>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</si>
  <si>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</si>
  <si>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</si>
  <si>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</si>
  <si>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</si>
  <si>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</si>
  <si>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</si>
  <si>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</si>
  <si>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</si>
  <si>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</si>
  <si>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</si>
  <si>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</si>
  <si>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</si>
  <si>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</si>
  <si>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</si>
  <si>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</si>
  <si>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</si>
  <si>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</si>
  <si>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</si>
  <si>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</si>
  <si>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</si>
  <si>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</si>
  <si>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</si>
  <si>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</si>
  <si>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</si>
  <si>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</si>
  <si>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</si>
  <si>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</si>
  <si>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</si>
  <si>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</si>
  <si>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</si>
  <si>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</si>
  <si>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</si>
  <si>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</si>
  <si>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</si>
  <si>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</si>
  <si>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</si>
  <si>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</si>
  <si>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</si>
  <si>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</si>
  <si>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</si>
  <si>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</si>
  <si>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</si>
  <si>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</si>
  <si>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</si>
  <si>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</si>
  <si>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</si>
  <si>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</si>
  <si>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</si>
  <si>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</si>
  <si>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</si>
  <si>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</si>
  <si>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</si>
  <si>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</si>
  <si>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</si>
  <si>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</si>
  <si>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</si>
  <si>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</si>
  <si>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</si>
  <si>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</si>
  <si>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</si>
  <si>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</si>
  <si>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</si>
  <si>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</si>
  <si>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</si>
  <si>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</si>
  <si>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</si>
  <si>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</si>
  <si>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</si>
  <si>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</si>
  <si>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</si>
  <si>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</si>
  <si>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</si>
  <si>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</si>
  <si>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</si>
  <si>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</si>
  <si>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</si>
  <si>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</si>
  <si>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</si>
  <si>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</si>
  <si>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</si>
  <si>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</si>
  <si>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</si>
  <si>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</si>
  <si>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</si>
  <si>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</si>
  <si>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</si>
  <si>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</si>
  <si>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</si>
  <si>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</si>
  <si>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</si>
  <si>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</si>
  <si>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</si>
  <si>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</si>
  <si>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</si>
  <si>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</si>
  <si>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</si>
  <si>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</si>
  <si>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</si>
  <si>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</si>
  <si>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</si>
  <si>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</si>
  <si>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</si>
  <si>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</si>
  <si>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</si>
  <si>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</si>
  <si>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</si>
  <si>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</si>
  <si>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</si>
  <si>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</si>
  <si>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</si>
  <si>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</si>
  <si>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</si>
  <si>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</si>
  <si>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</si>
  <si>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</si>
  <si>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</si>
  <si>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</si>
  <si>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</si>
  <si>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</si>
  <si>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</si>
  <si>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</si>
  <si>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</si>
  <si>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</si>
  <si>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</si>
  <si>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</si>
  <si>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</si>
  <si>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</si>
  <si>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</si>
  <si>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</si>
  <si>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</si>
  <si>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</si>
  <si>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</si>
  <si>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</si>
  <si>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</si>
  <si>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</si>
  <si>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</si>
  <si>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</si>
  <si>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</si>
  <si>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</si>
  <si>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</si>
  <si>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</si>
  <si>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</si>
  <si>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</si>
  <si>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</si>
  <si>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</si>
  <si>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</si>
  <si>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</si>
  <si>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</si>
  <si>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</si>
  <si>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</si>
  <si>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</si>
  <si>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</si>
  <si>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</si>
  <si>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</si>
  <si>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</si>
  <si>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</si>
  <si>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</si>
  <si>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</si>
  <si>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</si>
  <si>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</si>
  <si>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</si>
  <si>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</si>
  <si>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done</t>
  </si>
  <si>
    <t>imple</t>
  </si>
  <si>
    <t>topo imple</t>
  </si>
  <si>
    <t>no</t>
  </si>
  <si>
    <t>gen. all</t>
  </si>
  <si>
    <t>bfs sp</t>
  </si>
  <si>
    <t>union by rank</t>
  </si>
  <si>
    <t>find two mst</t>
  </si>
  <si>
    <t>theorem direct</t>
  </si>
  <si>
    <t>easy pr- prime and prime factorisation</t>
  </si>
  <si>
    <t>easy thinkable</t>
  </si>
  <si>
    <t>ad-hoc</t>
  </si>
  <si>
    <t>[1]</t>
  </si>
  <si>
    <t>ad-hoc, analysis</t>
  </si>
  <si>
    <t>ad-hoc, annoying</t>
  </si>
  <si>
    <t>ad-hoc, games, bipartite graphs, combinatorics, [https://people.eecs.berkeley.edu/~vitchyr/chomp_the_graph.pdf,Upsolving from regional contest. Only solved it after having found the key idea from a 2011 paper. With that out of the way, this is easy. But otherwise this is definitely one of the hardest problem during contest.]</t>
  </si>
  <si>
    <t>ad-hoc, constructive</t>
  </si>
  <si>
    <t>ad-hoc, constructive, probability, bits</t>
  </si>
  <si>
    <t>ad-hoc, analysis, precalc</t>
  </si>
  <si>
    <t>ad-hoc, hamiltonian, impl</t>
  </si>
  <si>
    <t>ad-hoc, hashing</t>
  </si>
  <si>
    <t>ad-hoc, impl</t>
  </si>
  <si>
    <t>ad-hoc, observations</t>
  </si>
  <si>
    <t>ad-hoc, observations, divisors</t>
  </si>
  <si>
    <t>ad-hoc, probability, combinatorics</t>
  </si>
  <si>
    <t>ad-hoc, d&amp;c, quick select, interactive</t>
  </si>
  <si>
    <t>ad-hoc, binary search, observations, [1. reversing the operations 2. using the fact that when x&gt;=y, x%y&lt;x/2, so modding a number only happens log times before it becomes 1.]</t>
  </si>
  <si>
    <t>ad-hoc, observations, [3x3 matrix rotate, invariants]</t>
  </si>
  <si>
    <t>ad-hoc, preprocess, prefix sum, binary search</t>
  </si>
  <si>
    <t>ad-hoc, bitset or bf or suffix array, kmp</t>
  </si>
  <si>
    <t>ad-hoc, probability, bitset, interactive</t>
  </si>
  <si>
    <t>ad-hoc, analysis, simulation</t>
  </si>
  <si>
    <t>ad-hoc, constructive, induction trick</t>
  </si>
  <si>
    <t>ad-hoc or bf, binary search</t>
  </si>
  <si>
    <t>ad-hoc, graph, recursion, [hard text]</t>
  </si>
  <si>
    <t>ad-hoc, bitmasks, [Cool use of bitmasks]</t>
  </si>
  <si>
    <t>ad-hoc, constructive, interactive</t>
  </si>
  <si>
    <t>ad-hoc, graph, constructive</t>
  </si>
  <si>
    <t>ad-hoc, constructive, d&amp;c, [permutations]</t>
  </si>
  <si>
    <t>ad-hoc, Manhattan2DRotation, sweep ine, range query, [meeting point], For rotation trick, solve CF124-D2-D first</t>
  </si>
  <si>
    <t>ad-hoc, constructive or misc</t>
  </si>
  <si>
    <t>Another Sol</t>
  </si>
  <si>
    <t>ad-hoc, constructive, hamiltonian path, cases</t>
  </si>
  <si>
    <t>ad-hoc, permutation, randomization, [https://github.com/DrSchwad/CompetitiveProgramming/blob/master/CodeForces/CF102154-GYM-C.cpp]</t>
  </si>
  <si>
    <t>ad-hoc, constructive, shortest paths count, greedy, fibonacci numbers, binary representation, zeckendorf's theorem, partition problem</t>
  </si>
  <si>
    <t>ad-hoc, greedy, math</t>
  </si>
  <si>
    <t>ad-hoc, simulation, observation or math, sqrt optimizations</t>
  </si>
  <si>
    <t>ad-hoc, sqrt blocks</t>
  </si>
  <si>
    <t>ad-hoc, constructive, patterns</t>
  </si>
  <si>
    <t>ad-hoc, constructive algorithms</t>
  </si>
  <si>
    <t>ad-hoc, interactive, binary search</t>
  </si>
  <si>
    <t>ad-hoc, string processing, greedy or dp</t>
  </si>
  <si>
    <t>ad-hoc, two pointers, [https://github.com/DrSchwad/CompetitiveProgramming/blob/master/CodeForces/CF102147-GYM-D.cpp]</t>
  </si>
  <si>
    <t>ad-hoc, bf, hashing, sqrt</t>
  </si>
  <si>
    <t>ad-hoc, bitmasks, binary search, constructive</t>
  </si>
  <si>
    <t>ad-hoc, constructive, sortings, impl</t>
  </si>
  <si>
    <t>ad-hoc, divisors, formula, impl, [cases]</t>
  </si>
  <si>
    <t>ad-hoc, constructive, game</t>
  </si>
  <si>
    <t>ad-hoc, Manhattan2DRotation*, number theory</t>
  </si>
  <si>
    <t>ad-hoc, bitmasks or dp</t>
  </si>
  <si>
    <t>p3 v2</t>
  </si>
  <si>
    <t>ad-hoc or dp, binary search, math</t>
  </si>
  <si>
    <t>ad-hoc, math, interactive</t>
  </si>
  <si>
    <t>ad-hoc, difference array</t>
  </si>
  <si>
    <t>ad-hoc, Blagewoosh#6trick, Interactive</t>
  </si>
  <si>
    <t>ad-hoc, complex number class</t>
  </si>
  <si>
    <t>ad-hoc, constructive, math, proof, [The reason why this works is that when the final k%n steps happen, no value increases up to n (because each one would need n-i and r &lt; n-i)]</t>
  </si>
  <si>
    <t>ad-hoc or sqrt decomposition, [repeated idea]</t>
  </si>
  <si>
    <t>ad-hoc, constructive, ranomization, cases or misc</t>
  </si>
  <si>
    <t>ad-hoc, d&amp;c, interactive</t>
  </si>
  <si>
    <t>ad-hoc, Manhattan2DRotation, observation</t>
  </si>
  <si>
    <t>ad-hoc, sorting</t>
  </si>
  <si>
    <t>ad-hoc, constructive, impl</t>
  </si>
  <si>
    <t>Editorial</t>
  </si>
  <si>
    <t>ad-hoc, greedy or topo sort, [cases]</t>
  </si>
  <si>
    <t>ad-hoc, prefix sum, impl</t>
  </si>
  <si>
    <t>ad-hock, greedy</t>
  </si>
  <si>
    <t>ad-hoc, precalc, bf, [multiview]</t>
  </si>
  <si>
    <t>ad-hoc, prefix sum, geometry</t>
  </si>
  <si>
    <t>ad-hoc, quad tree or impl, recursion</t>
  </si>
  <si>
    <t>ad-hoc, bitmasks, parsing or topological sort</t>
  </si>
  <si>
    <t>ad-hoc, cyclic shifts, partial sum or segment tree</t>
  </si>
  <si>
    <t>p2 v3</t>
  </si>
  <si>
    <t>ad-hoc or ternary search ?</t>
  </si>
  <si>
    <t>v2</t>
  </si>
  <si>
    <t>ad-hoc, preprocess, prefix sum</t>
  </si>
  <si>
    <t>ad-hoc, sortings, overflow, greedy, math</t>
  </si>
  <si>
    <t>ad-hoc, binary search, bitmasks or rmq</t>
  </si>
  <si>
    <t>ad-hoc, bitmasks, constructive</t>
  </si>
  <si>
    <t>ad-hoc, bitset, math</t>
  </si>
  <si>
    <t>ad-hoc, set</t>
  </si>
  <si>
    <t>ad-hoc, sorting, [print the smallest lexicographically]</t>
  </si>
  <si>
    <t>ad-hoc, math, strings</t>
  </si>
  <si>
    <t>ad-hoc, prefix sum</t>
  </si>
  <si>
    <t>ad-hoc, [cases, boring]</t>
  </si>
  <si>
    <t>ad-hoc, counting</t>
  </si>
  <si>
    <t>ad-hoc, days</t>
  </si>
  <si>
    <t>ad-hoc, recursion, impl</t>
  </si>
  <si>
    <t>ad-hoc, string, convert to hex, impl</t>
  </si>
  <si>
    <t>v3</t>
  </si>
  <si>
    <t>ad-hoc, sorting or fb</t>
  </si>
  <si>
    <t>ad-hoc ,math</t>
  </si>
  <si>
    <t>ad-hoc, bitmasks, [=SPOJ IITKWPCH]</t>
  </si>
  <si>
    <t>ad-hoc, canonical form, bf or greedy</t>
  </si>
  <si>
    <t>ad-hoc, coordinate systems, math or simulation, [spiral grid]</t>
  </si>
  <si>
    <t>ad-hoc, jouseph or dp_ad-hoc</t>
  </si>
  <si>
    <t>ad-hoc, constructive, [cases]</t>
  </si>
  <si>
    <t>ad-hoc, string prefix</t>
  </si>
  <si>
    <t>ad-hoc, math, sorting</t>
  </si>
  <si>
    <t>ad-hoc, string parsing</t>
  </si>
  <si>
    <t>ad-hoc, strings</t>
  </si>
  <si>
    <t>ad-hoc, preprocess</t>
  </si>
  <si>
    <t>ad-hoc, string, math</t>
  </si>
  <si>
    <t>ad-hoc, bitmasks, interactive</t>
  </si>
  <si>
    <t>ad-hoc, constructive, sweep or two pointers</t>
  </si>
  <si>
    <t>ad-hoc, canonical form, [unclear/incorrect text]</t>
  </si>
  <si>
    <t>Sol - text clarification</t>
  </si>
  <si>
    <t>ad-hoc, LL or dp</t>
  </si>
  <si>
    <t>ad-hoc, math</t>
  </si>
  <si>
    <t>ad-hoc, sorting, [bubble sort]</t>
  </si>
  <si>
    <t>ad-hoc, [cases]</t>
  </si>
  <si>
    <t>ad-hoc, bitmasks</t>
  </si>
  <si>
    <t>ad-hoc, cases</t>
  </si>
  <si>
    <t>ad-hoc, greedy</t>
  </si>
  <si>
    <t>ad-hoc, permutation, inversions</t>
  </si>
  <si>
    <t>ad-hoc, sorting, data structures, implementation</t>
  </si>
  <si>
    <t>ad-hoc or bit</t>
  </si>
  <si>
    <t>ad-hoc or binary search</t>
  </si>
  <si>
    <t>ad-hoc, [WAs]</t>
  </si>
  <si>
    <t>v1</t>
  </si>
  <si>
    <t>ad-hoc, cycle detection for Iterated function</t>
  </si>
  <si>
    <t>Find O(n) Solution</t>
  </si>
  <si>
    <t>ad-hoc, string</t>
  </si>
  <si>
    <t>ad-hoc, chess</t>
  </si>
  <si>
    <t>ad-hoc, cycle, probability</t>
  </si>
  <si>
    <t>ad-hoc, recursion, [Horner's rule]</t>
  </si>
  <si>
    <t>ad-hoc, stable sort</t>
  </si>
  <si>
    <t>ad-hoc, calender, leap year</t>
  </si>
  <si>
    <t>ad-hoc, prefix sum or bit</t>
  </si>
  <si>
    <t>ad-hoc, sorting or bit</t>
  </si>
  <si>
    <t>bf, impl, [TLE]</t>
  </si>
  <si>
    <t>[2]</t>
  </si>
  <si>
    <t>bf, prune, impl</t>
  </si>
  <si>
    <t>TC Forum</t>
  </si>
  <si>
    <t>bf, observation, [hard text]</t>
  </si>
  <si>
    <t>bf, prune</t>
  </si>
  <si>
    <t>bf, geometry, recursion, counting</t>
  </si>
  <si>
    <t>bf, optimizations</t>
  </si>
  <si>
    <t>bf, [optimize using bitset]</t>
  </si>
  <si>
    <t>bf, bitmasks</t>
  </si>
  <si>
    <t>bf, counting, backtrack</t>
  </si>
  <si>
    <t>bf, dp, sorting</t>
  </si>
  <si>
    <t>bf, search</t>
  </si>
  <si>
    <t>bf, masks, summation</t>
  </si>
  <si>
    <t>bf, math, search, impl</t>
  </si>
  <si>
    <t>p1 v3</t>
  </si>
  <si>
    <t>bfs, dp</t>
  </si>
  <si>
    <t>bf, math, impl</t>
  </si>
  <si>
    <t>bf, number theory, [local verifications]</t>
  </si>
  <si>
    <t>bf, greedy, induction, math or dp</t>
  </si>
  <si>
    <t>bf, bitmasks, constructuve, interactive, xor</t>
  </si>
  <si>
    <t>bf, bitmasks, impl</t>
  </si>
  <si>
    <t>bf, bitmasks, search</t>
  </si>
  <si>
    <t>bf, implementation, simulation</t>
  </si>
  <si>
    <t>bf, all permutations, combination, generation, impl</t>
  </si>
  <si>
    <t>bf, impl, math, ad-hoc</t>
  </si>
  <si>
    <t>bf, [restrict time]</t>
  </si>
  <si>
    <t>bf, expression parsing</t>
  </si>
  <si>
    <t>bf, geometry</t>
  </si>
  <si>
    <t>bf, geometry, search</t>
  </si>
  <si>
    <t>bf, graph</t>
  </si>
  <si>
    <t>bf, graph, search</t>
  </si>
  <si>
    <t>bf, impl, number theory</t>
  </si>
  <si>
    <t>bf, math, strings</t>
  </si>
  <si>
    <t>bf, greedy, geometry, [strict tle]</t>
  </si>
  <si>
    <t>bf, all permutations, [hard text]</t>
  </si>
  <si>
    <t>bf, impl, sortings</t>
  </si>
  <si>
    <t>bf, Manhattan2DRotation, prefix sum</t>
  </si>
  <si>
    <t>bf, hashing, impl, [Tricky Time Complexity - functions like fibonacci grow very fast.]</t>
  </si>
  <si>
    <t>bf, math, logs, [one solution use complex numbers], [https://github.com/ilyesLtifi/Competitive-Programming/blob/master/CodeForces/CF621-D2-D.cpp]</t>
  </si>
  <si>
    <t>bf, bitmasks or dp_ad-hoc</t>
  </si>
  <si>
    <t>bf, impl, interactive</t>
  </si>
  <si>
    <t>bf, pigeonhole principle</t>
  </si>
  <si>
    <t>p2 v1</t>
  </si>
  <si>
    <t>bf, [Anany: harder version where m &lt;= 2e5 can be solved using treap]</t>
  </si>
  <si>
    <t>bf, combinatorics, impl, [cases]</t>
  </si>
  <si>
    <t>bf or binary search</t>
  </si>
  <si>
    <t>bf, [chessboard]</t>
  </si>
  <si>
    <t>bf, greedy</t>
  </si>
  <si>
    <t>bf, math, repeated squaring</t>
  </si>
  <si>
    <t>bf, simulation, sorting, strings</t>
  </si>
  <si>
    <t>bf, sorting</t>
  </si>
  <si>
    <t>bf, recursion</t>
  </si>
  <si>
    <t>bf, impl, reverse thinking</t>
  </si>
  <si>
    <t>p1 v2</t>
  </si>
  <si>
    <t>bf, greedy, math</t>
  </si>
  <si>
    <t>bf, math_ad-hoc, impl</t>
  </si>
  <si>
    <t>sol</t>
  </si>
  <si>
    <t>bf, optimize</t>
  </si>
  <si>
    <t>bf, bitmasks, np-complete, [TLEs]</t>
  </si>
  <si>
    <t>bf, sorting, strings</t>
  </si>
  <si>
    <t>bf, greedy, easy math or bfs</t>
  </si>
  <si>
    <t>bf, all perm, probability</t>
  </si>
  <si>
    <t>bf, observation</t>
  </si>
  <si>
    <t>bf, impl or bit , binary search</t>
  </si>
  <si>
    <t>bf, optimized, pigeonhole principle, [much processing but AC]</t>
  </si>
  <si>
    <t>bf or segment tree or sqrt decomposition</t>
  </si>
  <si>
    <t>bf, all permutations</t>
  </si>
  <si>
    <t>bf, primes</t>
  </si>
  <si>
    <t>bf, simulation, strings</t>
  </si>
  <si>
    <t>bf, dice</t>
  </si>
  <si>
    <t>bf, next_permutation</t>
  </si>
  <si>
    <t>bf, bitmasks, math</t>
  </si>
  <si>
    <t>bf, prev_permutation</t>
  </si>
  <si>
    <t>bf, recursion, simulation</t>
  </si>
  <si>
    <t>bf, strings</t>
  </si>
  <si>
    <t>[3]</t>
  </si>
  <si>
    <t>simulation, [direct, tedious]</t>
  </si>
  <si>
    <t>simulation, recusion, matrix</t>
  </si>
  <si>
    <t>simulation, geometry, [abstract editorial]</t>
  </si>
  <si>
    <t>simulation, physics</t>
  </si>
  <si>
    <t>simulation, cycles, constructive, [period based on bitwise operations], [https://github.com/stefdasca/CompetitiveProgramming/blob/master/AtCoder/AGC%20011/AtCoder011-AGC-D.cpp]</t>
  </si>
  <si>
    <t>Sol (match editrial easily)</t>
  </si>
  <si>
    <t>simulation, d&amp;c, proof</t>
  </si>
  <si>
    <t>Prove your solution</t>
  </si>
  <si>
    <t>simulation, math, impl, [~=CF1058-D2-E]</t>
  </si>
  <si>
    <t>simulation, math, impl</t>
  </si>
  <si>
    <t>simulation, gcd</t>
  </si>
  <si>
    <t>simulation, impl, gates</t>
  </si>
  <si>
    <t>simulation, backtrack, bitmkasks, counting</t>
  </si>
  <si>
    <t>simulation, graph, bitmasks</t>
  </si>
  <si>
    <t>simulation, impl, stl</t>
  </si>
  <si>
    <t>simulation, spiral</t>
  </si>
  <si>
    <t>simulation, datastructures</t>
  </si>
  <si>
    <t>p1 v1</t>
  </si>
  <si>
    <t>simulation, impl, [hard impl]</t>
  </si>
  <si>
    <t>simulation, stack</t>
  </si>
  <si>
    <t>simulation or bf</t>
  </si>
  <si>
    <t>simulation, binary search, [observations to avoid TLE]</t>
  </si>
  <si>
    <t>simulation, binary search, bf</t>
  </si>
  <si>
    <t>simulation, greedy</t>
  </si>
  <si>
    <t>simulation, optimization</t>
  </si>
  <si>
    <t>simulation, preprocessing or precalculation</t>
  </si>
  <si>
    <t>simulation, [no constraints]</t>
  </si>
  <si>
    <t>simulation, math</t>
  </si>
  <si>
    <t>simulation, formula, [WAs, tricky]</t>
  </si>
  <si>
    <t>Can you get AC first submission</t>
  </si>
  <si>
    <t>simulation, tricky, [WAs]</t>
  </si>
  <si>
    <t>simulation, game theory, impl</t>
  </si>
  <si>
    <t>simulation, sorting</t>
  </si>
  <si>
    <t>datastructures, binary search, two pointers</t>
  </si>
  <si>
    <t>[4]</t>
  </si>
  <si>
    <t>datastructures, persistence</t>
  </si>
  <si>
    <t>datastructures, binary lifting</t>
  </si>
  <si>
    <t>datastructures, stl, long impl or treap</t>
  </si>
  <si>
    <t>datastructures, stack, slope_trick, [simple if know slope trick], [https://github.com/tmwilliamlin168/CompetitiveProgramming/blob/master/AtCoder/R070-E.cpp]</t>
  </si>
  <si>
    <t>datastructures, d&amp;c, [small-to-large]</t>
  </si>
  <si>
    <t>datastructures, d&amp;c, impl or rmq</t>
  </si>
  <si>
    <t>datastructures, monotonic queue or bit or 2d rmq, [no editorial]</t>
  </si>
  <si>
    <t>datastructures, greedy or segment tree, subSegment ST, [Maximum sum of k-disjoint subarrays]</t>
  </si>
  <si>
    <t>datastructures, d&amp;c or segment tree, impl, [segment tree idea don't handle cases manually but longer]</t>
  </si>
  <si>
    <t>datastructures, greedy, stl, [prove]</t>
  </si>
  <si>
    <t>Sol. Try to prove</t>
  </si>
  <si>
    <t>datastructures</t>
  </si>
  <si>
    <t>datastructures or 2d bit, offline processing</t>
  </si>
  <si>
    <t>datastructures, [several ways]</t>
  </si>
  <si>
    <t>Sol. Read the 2 editorials</t>
  </si>
  <si>
    <t>datastructures, monotonic stack</t>
  </si>
  <si>
    <t>datastructures, heap, [counting subarrays with sum k, solve SPOJ ABA12E first]</t>
  </si>
  <si>
    <t>datastructures, binary search, greedy, [https://math.stackexchange.com/questions/1506675/k-th-subset-in-order-of-increasing-sum]</t>
  </si>
  <si>
    <t>datastructures, 2D linkedlist</t>
  </si>
  <si>
    <t>datastructures, inversions</t>
  </si>
  <si>
    <t>datastructures, set, impl</t>
  </si>
  <si>
    <t>datastructures, set, observations</t>
  </si>
  <si>
    <t>datastructures, stack or priority queue, fib, cycles, dp or segment tree, dp, [Me author, decomposition[</t>
  </si>
  <si>
    <t>datastructures, bst, impl</t>
  </si>
  <si>
    <t>datastructures, greedy</t>
  </si>
  <si>
    <t>datastructures, heap, sorting, sweep</t>
  </si>
  <si>
    <t>datastructures, stack or segment tree, lis</t>
  </si>
  <si>
    <t>datastructures, dequeue</t>
  </si>
  <si>
    <t>datastructures, hashing</t>
  </si>
  <si>
    <t>datastructures, heap, greedy</t>
  </si>
  <si>
    <t>datastructures, sweep</t>
  </si>
  <si>
    <t>datastructures, stack &amp; queue, [Postfix Expression]</t>
  </si>
  <si>
    <t>datastructures, set or segment tree</t>
  </si>
  <si>
    <t>datastructures, binary search</t>
  </si>
  <si>
    <t>p2 v2</t>
  </si>
  <si>
    <t>datastructures, careful impl</t>
  </si>
  <si>
    <t>datastructures, heap, max_min heap or ad-hoc</t>
  </si>
  <si>
    <t>datastructures, gcd or segment tree, persistent</t>
  </si>
  <si>
    <t>Sol. Note, restricted time limit.</t>
  </si>
  <si>
    <t>datastructures or rmq</t>
  </si>
  <si>
    <t>datastructures, d&amp;c or monotonic stack</t>
  </si>
  <si>
    <t>Find O(n)</t>
  </si>
  <si>
    <t>datastructures, math, impl, [mn/mx heap]</t>
  </si>
  <si>
    <t>Sol Must Read</t>
  </si>
  <si>
    <t>datastructures, queue or rmq</t>
  </si>
  <si>
    <t>datastructures or segment tree</t>
  </si>
  <si>
    <t>datastructures, [can use dequeue]</t>
  </si>
  <si>
    <t>datastructures, [ternary search passes but weak cases]</t>
  </si>
  <si>
    <t>datastructures, impl, math</t>
  </si>
  <si>
    <t>datastructures, sorting</t>
  </si>
  <si>
    <t>datastructures, multimap</t>
  </si>
  <si>
    <t>datastructures, stl</t>
  </si>
  <si>
    <t>backtrack or dp_profile</t>
  </si>
  <si>
    <t>Sol not in editorial</t>
  </si>
  <si>
    <t>[5]</t>
  </si>
  <si>
    <t>backtrack, trees, impl</t>
  </si>
  <si>
    <t>Read official sol</t>
  </si>
  <si>
    <t>backtrack, prune</t>
  </si>
  <si>
    <t>backtrack, prune, bitmasks</t>
  </si>
  <si>
    <t>backtrack, optimization, impl</t>
  </si>
  <si>
    <t>backtrack, bitmasks or meet in middle, [careful impl]</t>
  </si>
  <si>
    <t>backtrack, primes, impl</t>
  </si>
  <si>
    <t>backtrack, string</t>
  </si>
  <si>
    <t>backtrack, sudoku</t>
  </si>
  <si>
    <t>backtrack, prune, bitmasks, np-complete, graph, dominating set</t>
  </si>
  <si>
    <t>backtrack or bf</t>
  </si>
  <si>
    <t>backtrack, [annoying text]</t>
  </si>
  <si>
    <t>backtrack, geometry</t>
  </si>
  <si>
    <t>backtrack, random_shuffle</t>
  </si>
  <si>
    <t>backtrack, hexagon grid</t>
  </si>
  <si>
    <t>Z - add to juniors</t>
  </si>
  <si>
    <t>backtrack or bf, [annoying]</t>
  </si>
  <si>
    <t>backtrack or dp</t>
  </si>
  <si>
    <t>backtrack or dp_bitmasks</t>
  </si>
  <si>
    <t>backtrack, bitmasks</t>
  </si>
  <si>
    <t>backtrack, impl, [hamiltonian path]</t>
  </si>
  <si>
    <t>backtrack, primes</t>
  </si>
  <si>
    <t>backtrack or bf, permutation</t>
  </si>
  <si>
    <t>backtrack, bitmasks or dp or mcmf</t>
  </si>
  <si>
    <t>backtrack, prune or bf, next_perm or dp_bitmasks</t>
  </si>
  <si>
    <t>backtrack, expression parsing, greedy</t>
  </si>
  <si>
    <t>[6]</t>
  </si>
  <si>
    <t>backtrack, expression parsing, [WAs]</t>
  </si>
  <si>
    <t>backtrack, expression parsing or ad-hoc</t>
  </si>
  <si>
    <t>backtrack, expression parsing, expression tree</t>
  </si>
  <si>
    <t>backtrack, expression parsing, impl</t>
  </si>
  <si>
    <t>backtrack, expression parsing, graph, observations</t>
  </si>
  <si>
    <t>backtrack, expression parsing, impl, datastructures</t>
  </si>
  <si>
    <t>backtrack, expression parsing, [java has advantage</t>
  </si>
  <si>
    <t>search</t>
  </si>
  <si>
    <t>[7]</t>
  </si>
  <si>
    <t>search, d&amp;c, two pointers</t>
  </si>
  <si>
    <t>search, bitmasks, [unclear text]</t>
  </si>
  <si>
    <t>search, d&amp;c, sortings</t>
  </si>
  <si>
    <t>search, min-max, alpha-beta</t>
  </si>
  <si>
    <t>search, math, sorting</t>
  </si>
  <si>
    <t>search, prove complexity</t>
  </si>
  <si>
    <t>search, recursion</t>
  </si>
  <si>
    <t>search, recursion, math</t>
  </si>
  <si>
    <t>search, recursion, trees, html processing</t>
  </si>
  <si>
    <t>search, bf, math</t>
  </si>
  <si>
    <t>search, recursion, simulation, strings</t>
  </si>
  <si>
    <t>search, math</t>
  </si>
  <si>
    <t>search, np-complete, graph, clique</t>
  </si>
  <si>
    <t>search, algorithm X</t>
  </si>
  <si>
    <t>search, np-complete, bipartite graph, [constraints to make it polynomial]</t>
  </si>
  <si>
    <t>search, dp</t>
  </si>
  <si>
    <t>search, math, like dijkstra</t>
  </si>
  <si>
    <t>search, bitmasks, d&amp;c, math</t>
  </si>
  <si>
    <t>search, [hard text, Don't print line after last test case]</t>
  </si>
  <si>
    <t>search, d&amp;c, interactive</t>
  </si>
  <si>
    <t>search, impl</t>
  </si>
  <si>
    <t>search, [complete search]</t>
  </si>
  <si>
    <t>search, d&amp;c</t>
  </si>
  <si>
    <t>search, strings, impl</t>
  </si>
  <si>
    <t>search, algorithm x</t>
  </si>
  <si>
    <t>[8]</t>
  </si>
  <si>
    <t>search, algorithm x or backtrack, prune</t>
  </si>
  <si>
    <t>binary search, bf</t>
  </si>
  <si>
    <t>[9]</t>
  </si>
  <si>
    <t>binary search, impl</t>
  </si>
  <si>
    <t>binary search, [normal, hard to impl]</t>
  </si>
  <si>
    <t>binary search, interactive</t>
  </si>
  <si>
    <t>Find O(nlogn) sol</t>
  </si>
  <si>
    <t>binary search, parallel binary search, segment tree, [https://szkopul.edu.pl/problemset/problem/7JrCYZ7LhEK4nBR5zbAXpcmM/site/?key=statement]</t>
  </si>
  <si>
    <t>Sol - must read</t>
  </si>
  <si>
    <t>binary search, datastructures</t>
  </si>
  <si>
    <t>binary search, parallel binary search, euler tour, [solve SPOJ METEORS first]</t>
  </si>
  <si>
    <t>binary search, two pointers, greedy, sweep</t>
  </si>
  <si>
    <t>binary search, datastructure, Manhattan2DRotation, [For rotation trick, solve CF124-D2-D first]</t>
  </si>
  <si>
    <t>binary search, greedy, dp</t>
  </si>
  <si>
    <t>binary search, impl, math or dp, randomization, Blogewoosh#6</t>
  </si>
  <si>
    <t>binary search, dp, graph</t>
  </si>
  <si>
    <t>binary search, dp</t>
  </si>
  <si>
    <t>binary search, greedy, bfs or dp_trees</t>
  </si>
  <si>
    <t>binary search, parallel binary search, d&amp;c or mo's algorithm or dsu-persistent, binary search</t>
  </si>
  <si>
    <t>Sol-must read</t>
  </si>
  <si>
    <t>binary search, interacticve, Intermediate value theorem, [Asia 18]</t>
  </si>
  <si>
    <t>binary search, impl, math, bf</t>
  </si>
  <si>
    <t>binary search, spaning tree, interactive</t>
  </si>
  <si>
    <t>binary search, gcd, inclusion-exclusion, factorization</t>
  </si>
  <si>
    <t>binary search, randomization or segment tree</t>
  </si>
  <si>
    <t>binary search, geometry</t>
  </si>
  <si>
    <t>binary search, d&amp;c, [issues in IO, seems diffcult, but easy sol]</t>
  </si>
  <si>
    <t>Read FIRST SPOJ users' comments about IO. See here sol</t>
  </si>
  <si>
    <t>binary search, constructive, observation</t>
  </si>
  <si>
    <t>binary search, priority queue, [set TLE]</t>
  </si>
  <si>
    <t>binary search, randomization, interactive</t>
  </si>
  <si>
    <t>binary search, interactive, impl</t>
  </si>
  <si>
    <t>binary search, numerical or ternary</t>
  </si>
  <si>
    <t>binary search, prefix sum or sweep line, greedy</t>
  </si>
  <si>
    <t>binary search, simulation</t>
  </si>
  <si>
    <t>binary search, math, impl</t>
  </si>
  <si>
    <t>binary search or greedy</t>
  </si>
  <si>
    <t>binary search, bf or greedy</t>
  </si>
  <si>
    <t>binary search, greedy</t>
  </si>
  <si>
    <t>binary search, greedy, impl</t>
  </si>
  <si>
    <t>binary search, dp, operservation</t>
  </si>
  <si>
    <t>binary search, multiset</t>
  </si>
  <si>
    <t>binary search, trees, segment tree or bit or lca</t>
  </si>
  <si>
    <t>binary search or math</t>
  </si>
  <si>
    <t>binary search, prefix sum or bf</t>
  </si>
  <si>
    <t>binary search, sterling approximation</t>
  </si>
  <si>
    <t>binary search, implementation</t>
  </si>
  <si>
    <t>binary search, sorting</t>
  </si>
  <si>
    <t>binary search, math, sortings, impl</t>
  </si>
  <si>
    <t>binary search, bf, permutations</t>
  </si>
  <si>
    <t>binary search, datastructures, greedy</t>
  </si>
  <si>
    <t>binary search, greedy , datastructures</t>
  </si>
  <si>
    <t>binary search, nested binary search</t>
  </si>
  <si>
    <t>binary search, sorting, greedy</t>
  </si>
  <si>
    <t>binary search, lower bound, gcd, impl</t>
  </si>
  <si>
    <t>binary search, precision</t>
  </si>
  <si>
    <t>binary search, datastructures, set</t>
  </si>
  <si>
    <t>binary search, math, [known problem]</t>
  </si>
  <si>
    <t>binary search, [unclear text]</t>
  </si>
  <si>
    <t>binary search, bitmasks, [meet in middle??]</t>
  </si>
  <si>
    <t>binary search, bitmasks, bf</t>
  </si>
  <si>
    <t>binary search, geometry or math</t>
  </si>
  <si>
    <t>binary search or greedy or formula</t>
  </si>
  <si>
    <t>binary search, prefix sum</t>
  </si>
  <si>
    <t>binary search or dp</t>
  </si>
  <si>
    <t>ternary search, geometry</t>
  </si>
  <si>
    <t>[10]</t>
  </si>
  <si>
    <t>ternary search, geometry 3d or ad-hoc</t>
  </si>
  <si>
    <t>ternary search, geometry, [rectangle rotation]</t>
  </si>
  <si>
    <t>ternary search, interpolation or math</t>
  </si>
  <si>
    <t>ternary search, nested</t>
  </si>
  <si>
    <t>ternary search, weighted tree diameter, math or binary search, [https://github.com/stefdasca/CompetitiveProgramming/blob/master/CS%20Academy/Round%20%2384/CSA84-E.cpp]</t>
  </si>
  <si>
    <t>ternary search, math, [https://github.com/shashank0107/CompetitiveProgramming/blob/master/UVA/11702.cpp</t>
  </si>
  <si>
    <t>Sol (no editorial)</t>
  </si>
  <si>
    <r>
      <t>ternary search or </t>
    </r>
    <r>
      <rPr>
        <b/>
        <sz val="10"/>
        <color rgb="FF000000"/>
        <rFont val="Arial"/>
        <family val="2"/>
      </rPr>
      <t>math, probability</t>
    </r>
  </si>
  <si>
    <t>ternary search, discrete</t>
  </si>
  <si>
    <t>ternary search or math</t>
  </si>
  <si>
    <t>ternary search, dijkstra</t>
  </si>
  <si>
    <t>ternary search</t>
  </si>
  <si>
    <t>ternary search, 3d ternary, geometry, 3d</t>
  </si>
  <si>
    <t>ternary search or greedy, two pointers</t>
  </si>
  <si>
    <t>ternary search, discrete, geometry, [cross product sol: who understand: https://codeforces.com/contest/250/submission/23281272 https://codeforces.com/contest/250/submission/2660257]</t>
  </si>
  <si>
    <t>ternary search or binary search</t>
  </si>
  <si>
    <t>ternary search, tricky</t>
  </si>
  <si>
    <t>ternary search, binary search</t>
  </si>
  <si>
    <t>ternary search, graph, math or binary search</t>
  </si>
  <si>
    <t>ternary search or ad-hoc, math</t>
  </si>
  <si>
    <t>ternary search or math, laws of motion</t>
  </si>
  <si>
    <t>ternary search, math</t>
  </si>
  <si>
    <t>Read the editorials</t>
  </si>
  <si>
    <t>ternary search or greedy, math</t>
  </si>
  <si>
    <t>meet in middle, dp, combinations or backtrack, snoob/gosper's hack</t>
  </si>
  <si>
    <t>[11]</t>
  </si>
  <si>
    <t>meet in middle, dp</t>
  </si>
  <si>
    <t>meet in middle, dp_bitmask, optimizations or bf, optimizations</t>
  </si>
  <si>
    <t>meet in middle, bitmasks, binary search</t>
  </si>
  <si>
    <t>meet in middle</t>
  </si>
  <si>
    <t>meet in middle, bitmasks, inclusion-exclusion</t>
  </si>
  <si>
    <t>meet in middle, dp, max cliques or Bron–Kerbosch algorithm</t>
  </si>
  <si>
    <t>meet in middle, backtrack</t>
  </si>
  <si>
    <t>meet in middle, binary search, number theory, two pointers</t>
  </si>
  <si>
    <t>meet in middle, dp, bitmasks, [non standard dp]</t>
  </si>
  <si>
    <t>meet in middle, dp_bitmasks</t>
  </si>
  <si>
    <t>meet in middle, kmp, bitmasks, impl</t>
  </si>
  <si>
    <t>meet in middle, [strict tl], [=CF585-D1-D]</t>
  </si>
  <si>
    <r>
      <t>meet in middle, bfs, [</t>
    </r>
    <r>
      <rPr>
        <b/>
        <sz val="10"/>
        <color rgb="FF000000"/>
        <rFont val="Arial"/>
        <family val="2"/>
      </rPr>
      <t>long impl</t>
    </r>
    <r>
      <rPr>
        <sz val="10"/>
        <color rgb="FF000000"/>
        <rFont val="Arial"/>
        <family val="2"/>
      </rPr>
      <t>] or bfs, prune</t>
    </r>
  </si>
  <si>
    <t>NO Sol</t>
  </si>
  <si>
    <t>meet in middle, bfs or bf</t>
  </si>
  <si>
    <t>meet in middle or search, recursion, [Hexagonal number]</t>
  </si>
  <si>
    <t>meet in middle or bf [long impl]</t>
  </si>
  <si>
    <t>meet in middle or bf, prune</t>
  </si>
  <si>
    <t>meet in middle, [~ CODECHEF CHEFCODE]</t>
  </si>
  <si>
    <t>meet in middle, bfs, [long impl]</t>
  </si>
  <si>
    <t>meet in middle, bfs, no editorial</t>
  </si>
  <si>
    <t>meet in middle, binary search</t>
  </si>
  <si>
    <t>meet in middle, dp, combinations or greedy</t>
  </si>
  <si>
    <t>meet in middle, two pointers</t>
  </si>
  <si>
    <t>meet in middle, ternarymask</t>
  </si>
  <si>
    <t>meet in middle, bf, hasing</t>
  </si>
  <si>
    <t>meet in middle, hashing, [solve SPOJ ABCDEF first]</t>
  </si>
  <si>
    <t>meet in middle or backtrack, bignum</t>
  </si>
  <si>
    <t>meet in middle, bitmasks</t>
  </si>
  <si>
    <t>rmq, 2d rmq</t>
  </si>
  <si>
    <t>[12]</t>
  </si>
  <si>
    <t>rmq, binary lifting, successor graph</t>
  </si>
  <si>
    <t>rmq, formula or segment tree</t>
  </si>
  <si>
    <t>rmq, lca, binary search</t>
  </si>
  <si>
    <t>rmq, xor or bit or bf, smart</t>
  </si>
  <si>
    <t>rmq, [basic]</t>
  </si>
  <si>
    <t>rmq, bit, [set min reminder]</t>
  </si>
  <si>
    <t>rmq, sparce table, binary search or datastructures or bit or segment tree, impl</t>
  </si>
  <si>
    <t>rmq</t>
  </si>
  <si>
    <t>Use RMQ</t>
  </si>
  <si>
    <t>rmq, [guys getting WAs]</t>
  </si>
  <si>
    <t>rmq, binary lifting, graphs</t>
  </si>
  <si>
    <t>rmq, d&amp;c or datastructure, [Largest Rectangle in a Histogram, ~=UVA 12462 = SRM337-D1-500 = UVA 11871 = SPOJ CTGAME]</t>
  </si>
  <si>
    <t>Sol. Don't implement as ad-hoc/greedy/Pure STL. Use a data structure.</t>
  </si>
  <si>
    <t>rmq, sparse table</t>
  </si>
  <si>
    <t>rmq, [direct]</t>
  </si>
  <si>
    <t>[13]</t>
  </si>
  <si>
    <t>segment tree, persistent, Manhattan2DRotation, [2D implicit segment trees is slow], [For rotation trick, solve CF124-D2-D first]</t>
  </si>
  <si>
    <t>segment tree, persistent, suffix tree, impl</t>
  </si>
  <si>
    <t>segment tree, LiChao or dp_convex_hull</t>
  </si>
  <si>
    <t>segment tree, dsu, binary search</t>
  </si>
  <si>
    <t>segment tree, subsequence ST</t>
  </si>
  <si>
    <t>segment tree, persistent, dijkstra, hashing</t>
  </si>
  <si>
    <t>segment tree, persistent, lca</t>
  </si>
  <si>
    <t>segment tree or bit</t>
  </si>
  <si>
    <t>segment tree, [solve GSS6 first]</t>
  </si>
  <si>
    <t>segment tree, binary search or fractional cascading</t>
  </si>
  <si>
    <t>segment tree, persistent or fractional cascading</t>
  </si>
  <si>
    <t>segment tree, lazy, combinatorics</t>
  </si>
  <si>
    <t>segment tree, math</t>
  </si>
  <si>
    <t>segment tree, lca, cases</t>
  </si>
  <si>
    <t>segment tree, beats</t>
  </si>
  <si>
    <t>segment tree, lazy segt, primes, euler, factorization</t>
  </si>
  <si>
    <t>segment tree or bit or dsu</t>
  </si>
  <si>
    <t>segment tree, [from LCA/Treaps/RMQ on Dynamic Array]</t>
  </si>
  <si>
    <t>segment tree, dp</t>
  </si>
  <si>
    <t>segment tree, gauss basis</t>
  </si>
  <si>
    <t>segment tree, sqrt decompositions</t>
  </si>
  <si>
    <t>segment tree, CASCADE</t>
  </si>
  <si>
    <t>p5 v2</t>
  </si>
  <si>
    <t>segment tree, two pointers, crt, [repeated]</t>
  </si>
  <si>
    <t>segment tree, beats or sqrt decomposition</t>
  </si>
  <si>
    <t>segment tree, presistent, grid compression, binary search</t>
  </si>
  <si>
    <t>segment tree, lazy, dynamic, impl</t>
  </si>
  <si>
    <t>segment tree, [based on min-cut formulation]</t>
  </si>
  <si>
    <t>segment tree, dsu, d&amp;c</t>
  </si>
  <si>
    <t>p4 v2</t>
  </si>
  <si>
    <t>segment tree, beats, impl, [https://github.com/aviroop123/CompetitiveProgramming/blob/master/HDU/5306.cpp] [https://github.com/taow-com-prog/problemsolving/blob/master/HDU/HDU%205306.cpp]</t>
  </si>
  <si>
    <r>
      <t>segment tree, bit, [</t>
    </r>
    <r>
      <rPr>
        <b/>
        <sz val="10"/>
        <color rgb="FF000000"/>
        <rFont val="Arial"/>
        <family val="2"/>
      </rPr>
      <t>bit as nodes</t>
    </r>
    <r>
      <rPr>
        <sz val="10"/>
        <color rgb="FF000000"/>
        <rFont val="Arial"/>
        <family val="2"/>
      </rPr>
      <t> in seg]</t>
    </r>
  </si>
  <si>
    <t>segment tree, convex hull, rotating calipers</t>
  </si>
  <si>
    <t>segment tree, [count distinct increasing subsequences + Stirling numbers * fac[n]]</t>
  </si>
  <si>
    <t>segment tree, lcm</t>
  </si>
  <si>
    <t>segment tree or bit or datastructures</t>
  </si>
  <si>
    <t>segment tree or bit, dsu</t>
  </si>
  <si>
    <r>
      <t>segment tree, </t>
    </r>
    <r>
      <rPr>
        <b/>
        <sz val="10"/>
        <color rgb="FF000000"/>
        <rFont val="Arial"/>
        <family val="2"/>
      </rPr>
      <t>beats</t>
    </r>
    <r>
      <rPr>
        <sz val="10"/>
        <color rgb="FF000000"/>
        <rFont val="Arial"/>
        <family val="2"/>
      </rPr>
      <t>, [chineese txt - long]</t>
    </r>
  </si>
  <si>
    <r>
      <t>segment tree, </t>
    </r>
    <r>
      <rPr>
        <b/>
        <sz val="10"/>
        <color rgb="FF000000"/>
        <rFont val="Arial"/>
        <family val="2"/>
      </rPr>
      <t>beats</t>
    </r>
    <r>
      <rPr>
        <sz val="10"/>
        <color rgb="FF000000"/>
        <rFont val="Arial"/>
        <family val="2"/>
      </rPr>
      <t>, [chineese txt - short]</t>
    </r>
  </si>
  <si>
    <t>segment tree, bitmasks, [boring]</t>
  </si>
  <si>
    <t>segment tree, d&amp;c or bit</t>
  </si>
  <si>
    <t>segment tree, persistent, hashing</t>
  </si>
  <si>
    <t>segment tree, persistent, math, [math is the hard part]</t>
  </si>
  <si>
    <t>segment tree, binomial theorem, impl or bit</t>
  </si>
  <si>
    <t>segment tree or sqrt decomposition</t>
  </si>
  <si>
    <t>segment tree, [solve SPOJ GSS1 first]</t>
  </si>
  <si>
    <t>segment tree or rmq or dp_d&amp;c_opt or dp, [just dp https://github.com/stefdasca/CompetitiveProgramming/blob/master/AtCoder/ARC%20067/AtCoder067-ARC-F.cpp]</t>
  </si>
  <si>
    <t>segment tree, dfs order</t>
  </si>
  <si>
    <t>segment tree, math or datastructures, [can be used as sub-problem in some others]</t>
  </si>
  <si>
    <t>segment tree, strings</t>
  </si>
  <si>
    <t>segment tree, greedy, [small-to-large], [Interesting greedy observations, although the official solution is DP.], [greedy, bf https://github.com/pranavjangir/CompetitiveProgramming/blob/master/CodeForces/CF1042-D2-F.cpp ]</t>
  </si>
  <si>
    <t>Sol (not the official)</t>
  </si>
  <si>
    <t>segment tree, impl or datastructures</t>
  </si>
  <si>
    <t>segment tree, persistent or bit, binary search or order_statistics_tree</t>
  </si>
  <si>
    <t>Compute Complxity. One sol</t>
  </si>
  <si>
    <t>segment tree, persistent, binary search</t>
  </si>
  <si>
    <t>segment tree, sorting</t>
  </si>
  <si>
    <t>segment tree or datastructure</t>
  </si>
  <si>
    <t>segment tree, sieve, factorization, dfs, overflow or bit, binary search]</t>
  </si>
  <si>
    <t>Bits Sol</t>
  </si>
  <si>
    <t>segment tree, matrix pow, [strict tl/mem]</t>
  </si>
  <si>
    <t>segment tree, inclusion-exclusion, relative primes</t>
  </si>
  <si>
    <t>segment tree, 2 segment trees, dijkstra</t>
  </si>
  <si>
    <t>segment tree, dsu or sqrt decomposition, [bf pass!]</t>
  </si>
  <si>
    <t>segment tree, merge, dfs order</t>
  </si>
  <si>
    <t>segment tree, persistent, sqrt decomposition ,cases</t>
  </si>
  <si>
    <t>segment tree, persistent, rmq, lca or hld</t>
  </si>
  <si>
    <t>segment tree, totient, impl</t>
  </si>
  <si>
    <t>segment tree, lazy propagation, 2D [though 1D pass, is weak cases?]</t>
  </si>
  <si>
    <t>segment tree or bit or bbst</t>
  </si>
  <si>
    <t>segment tree or bit or bbst, treap</t>
  </si>
  <si>
    <t>segment tree or bit or dp</t>
  </si>
  <si>
    <t>segment tree, 2d, impl or bbst, bit, [classical], [https://github.com/tr0j4n034/SPOJ/blob/master/XXXXXXXX.cpp]</t>
  </si>
  <si>
    <t>segment tree, expectation</t>
  </si>
  <si>
    <t>segment tree, hashing</t>
  </si>
  <si>
    <t>segment tree, implicit</t>
  </si>
  <si>
    <t>segment trees, fibonacci, [query maximum perimeter of a non degenerate triangle]</t>
  </si>
  <si>
    <t>segment tree or d&amp;c</t>
  </si>
  <si>
    <t>segment tree, mo's algorithm or rmq, sparse table</t>
  </si>
  <si>
    <t>segment tree, bit or min-cut, greedy</t>
  </si>
  <si>
    <t>Sol (not in editorial)</t>
  </si>
  <si>
    <t>segment tree, geometry, [https://www.cnblogs.com/demian/p/6164613.html]</t>
  </si>
  <si>
    <t>segment trees, rerooting, [Rerooting without ETT]</t>
  </si>
  <si>
    <t>segment tree, presistent or sg_mergesort or sqrt decomposition or wavelet trees or centroid-decomposition</t>
  </si>
  <si>
    <t>p3 v1</t>
  </si>
  <si>
    <t>segment tree, amortized or sqrt decomposition or bit, [educational]</t>
  </si>
  <si>
    <t>segment tree, masks, impl</t>
  </si>
  <si>
    <t>Read Editorials</t>
  </si>
  <si>
    <t>segment tree, math, bitmasks</t>
  </si>
  <si>
    <t>segment tree, persistent or merge sort or wavlet tree or mo's algorithm, [classic]</t>
  </si>
  <si>
    <t>Learn Persistent segment tree</t>
  </si>
  <si>
    <t>segment tree, subsequence Segment tree</t>
  </si>
  <si>
    <t>segment tree, bf</t>
  </si>
  <si>
    <t>segment tree, lazy</t>
  </si>
  <si>
    <t>segment tree, merge sort</t>
  </si>
  <si>
    <t>segment tree, tricky impl</t>
  </si>
  <si>
    <t>segment tree or bit or order-statistic tree</t>
  </si>
  <si>
    <t>segment tree or sorting, intervals</t>
  </si>
  <si>
    <t>segment tree, dfs or bit, dp_trees, impl</t>
  </si>
  <si>
    <t>segment tree, dp, binary search</t>
  </si>
  <si>
    <t>segment tree, persistent or trie, xor, impl</t>
  </si>
  <si>
    <t>segment tree, persistent, bf</t>
  </si>
  <si>
    <t>segment tree, persistent, sweep line or bit</t>
  </si>
  <si>
    <t>segment tree, lazy propagation, lcm, sieve, impl</t>
  </si>
  <si>
    <t>segment tree or solutions-bag, impl</t>
  </si>
  <si>
    <t>segment tree, binary search</t>
  </si>
  <si>
    <t>segment tree, dynamic max prefix sum query</t>
  </si>
  <si>
    <t>segment tree or binary search, ad-hoc</t>
  </si>
  <si>
    <t>segment tree or prefix sum, binary search</t>
  </si>
  <si>
    <t>segment tree or two pinters or binary search, prime factors, prefix sum</t>
  </si>
  <si>
    <t>segment tree, 2D tree, Manhattan2DRotation, [For rotation trick, solve CF124-D2-D first]</t>
  </si>
  <si>
    <t>segment tree, datastructures</t>
  </si>
  <si>
    <t>segment tree, factorial, divsibility</t>
  </si>
  <si>
    <t>segment tree, grid compress, dp</t>
  </si>
  <si>
    <t>segment tree, lazy propagation, bitmasks, [boring?]</t>
  </si>
  <si>
    <t>segment tree, persistent or trie</t>
  </si>
  <si>
    <t>segment tree, presistent or trie. [easy if know it is presistent[</t>
  </si>
  <si>
    <t>segment tree, queue</t>
  </si>
  <si>
    <t>segment tree, xor</t>
  </si>
  <si>
    <t>segment tree or bit, math, lis</t>
  </si>
  <si>
    <t>segment tree or bit or sqrt decomposition or order-statistic tree or bbst</t>
  </si>
  <si>
    <t>segment tree or bit, sieve or bbst or policy-based-datastructures, [Kth element segment tree]</t>
  </si>
  <si>
    <t>segment tree or centroid-decomposition</t>
  </si>
  <si>
    <r>
      <t>segment tree, lazy propagation, </t>
    </r>
    <r>
      <rPr>
        <b/>
        <sz val="10"/>
        <color rgb="FF000000"/>
        <rFont val="Arial"/>
        <family val="2"/>
      </rPr>
      <t>trickty to impl</t>
    </r>
    <r>
      <rPr>
        <sz val="10"/>
        <color rgb="FF000000"/>
        <rFont val="Arial"/>
        <family val="2"/>
      </rPr>
      <t>, [count sort] or sqrt decomposition</t>
    </r>
  </si>
  <si>
    <t>segment tree or sqrt decomposition, hashing</t>
  </si>
  <si>
    <t>Find O(nlogn)</t>
  </si>
  <si>
    <t>segment tree, [~=SPOJ GSS5], [SPOJ GSS1]</t>
  </si>
  <si>
    <t>p3 v3</t>
  </si>
  <si>
    <t>segment tree, trees</t>
  </si>
  <si>
    <t>ACE</t>
  </si>
  <si>
    <t>segment tree or greedy, game</t>
  </si>
  <si>
    <t>segment tree, dfs</t>
  </si>
  <si>
    <t>segment tree, lazy propagation, euler tour on tree, bitmasks</t>
  </si>
  <si>
    <t>segment tree, prefix sums or ad-hoc, recursion</t>
  </si>
  <si>
    <t>segment tree or bit or set, divisors</t>
  </si>
  <si>
    <t>segment tree, 2d segment tree, rmq or quad tree</t>
  </si>
  <si>
    <t>segment tree, bitmasks or datastructure</t>
  </si>
  <si>
    <t>segment tree, dp or bit or bbst, treap or datastructures</t>
  </si>
  <si>
    <t>segment tree, rmq or lis</t>
  </si>
  <si>
    <t>segment tree or datastructures</t>
  </si>
  <si>
    <t>segment tree, lazy propagaion, euler walk</t>
  </si>
  <si>
    <t>Sol - Video</t>
  </si>
  <si>
    <t>segment tree, [max sum, part of GSS series: http://blog.csdn.net/bhiaibogf/article/details/50719199]</t>
  </si>
  <si>
    <t>segment tree, kth element</t>
  </si>
  <si>
    <t>See sscanf and sprintf usage</t>
  </si>
  <si>
    <t>segment tree, gcd</t>
  </si>
  <si>
    <t>segment tree, ad-hoc</t>
  </si>
  <si>
    <t>segment tree or wavelet tree, [boring, inversion count, ~=CF459-D2-D]</t>
  </si>
  <si>
    <t>segment tree, [N trees or unneccessirly 2D rmq]</t>
  </si>
  <si>
    <t>segment tree, lazy, grid compress or implicit segment tree or heap</t>
  </si>
  <si>
    <t>segment tree, grid compress or bst or datastructure, [=LightOJ 1207]</t>
  </si>
  <si>
    <t>segment tree, implicit, [ECPC18]</t>
  </si>
  <si>
    <t>segment tree, persistent, [direct impl</t>
  </si>
  <si>
    <t>segment tree, [Mido there is an awesome solution using bitset ( but too slow for this OJ). Basically we can do updates in like O(N/32). Also this looks like a constant optimization, 16000/32 is just 500 :).]</t>
  </si>
  <si>
    <t>segment tree or ad-hoc</t>
  </si>
  <si>
    <t>segment tree or mo's algorithm or ad-hoc, stack</t>
  </si>
  <si>
    <t>segment tree or bbst, treap or ad-hoc</t>
  </si>
  <si>
    <t>Don't implement as ad-hoc/greedy/Pure STL. Use a data structure</t>
  </si>
  <si>
    <t>bit</t>
  </si>
  <si>
    <t>[15]</t>
  </si>
  <si>
    <t>bit, mst, dsu</t>
  </si>
  <si>
    <t>bit, preorder traveral on trees</t>
  </si>
  <si>
    <t>bit, two pointers, euler_tour or dp, binary search, lca, prefix sum</t>
  </si>
  <si>
    <t>bit, 2d bit, grid compress or sqrt decomposition or segment tree</t>
  </si>
  <si>
    <t>bit, mo's algorithm, [tight limits]</t>
  </si>
  <si>
    <t>bit or segment tree</t>
  </si>
  <si>
    <t>bit or segment tree or merge sort, impl, [classical, boring]</t>
  </si>
  <si>
    <t>bit, sweep line, [pair segments intersections</t>
  </si>
  <si>
    <t>bit, constructive</t>
  </si>
  <si>
    <t>bit, dp, grid compress or segment tree, dp, [solve SPOJ INCSEQ first]</t>
  </si>
  <si>
    <t>bit, dfs, tree, [solve CF101142-gym-G first], [independent subproblems]</t>
  </si>
  <si>
    <t>bit, dp_subrectangle or treaps, [count sub matrices of given range sum], [quora idea tle https://github.com/shashank0107/CompetitiveProgramming/blob/master/SPOJ/KPMATRIX.cpp ?]</t>
  </si>
  <si>
    <t>bit, grid compress, dp or merge sort, [simpler than SPOJ INCDSEQ]</t>
  </si>
  <si>
    <t>bit, counting or dp, grid compress or stack, Constructive</t>
  </si>
  <si>
    <t>bit, 2d bit, xor or segment tree 2D</t>
  </si>
  <si>
    <t>bit, sieve</t>
  </si>
  <si>
    <t>bit or segment tree or datastructures</t>
  </si>
  <si>
    <t>bit or segment tree, impl</t>
  </si>
  <si>
    <r>
      <t>bit, binary search, policy-based-datastructures, trees or datastructures, [inversion count, </t>
    </r>
    <r>
      <rPr>
        <b/>
        <strike/>
        <sz val="10"/>
        <color rgb="FF000000"/>
        <rFont val="Arial"/>
        <family val="2"/>
      </rPr>
      <t>boring</t>
    </r>
    <r>
      <rPr>
        <strike/>
        <sz val="10"/>
        <color rgb="FF000000"/>
        <rFont val="Arial"/>
        <family val="2"/>
      </rPr>
      <t>]</t>
    </r>
  </si>
  <si>
    <t>bit, linearity of expectation, impl</t>
  </si>
  <si>
    <t>bit or segment tree, math or ad-hoc</t>
  </si>
  <si>
    <t>bit, sweep line, grid compress or segment tree or sqrt decomposition</t>
  </si>
  <si>
    <t>bit or sets or treap or centroid-decomposition</t>
  </si>
  <si>
    <t>bit, set</t>
  </si>
  <si>
    <t>bit, [using several bits]</t>
  </si>
  <si>
    <t>bit, factoradics, permutation or order-statistic tree or segment tree</t>
  </si>
  <si>
    <t>bit, count inversion or merge sort, [=CODECHEF REACAR]</t>
  </si>
  <si>
    <t>Use a datastructure. Sol</t>
  </si>
  <si>
    <t>bit, lis, [https://github.com/shashank0107/CompetitiveProgramming/blob/master/UVA/11031.cpp]</t>
  </si>
  <si>
    <t>bit, dp, grid compress or dp, like nlogn LIS, [strict time]</t>
  </si>
  <si>
    <t>bit, grid compress or segment tree, dp</t>
  </si>
  <si>
    <t>bit, 2d bit, hashing</t>
  </si>
  <si>
    <t>bit or bbst, treap or binary search, datastructures</t>
  </si>
  <si>
    <t>bit or dp, binary search</t>
  </si>
  <si>
    <t>bit or segment tree, geometry, lines</t>
  </si>
  <si>
    <t>bit, 2d bit or ad-hoc</t>
  </si>
  <si>
    <t>Don't implement as ad-hoc or pure STL. Use a data structure or algorithm.</t>
  </si>
  <si>
    <t>bit, binary search</t>
  </si>
  <si>
    <t>bit, sieve or math</t>
  </si>
  <si>
    <t>bit or segment tree or sqrt decomposition, [Josephus problem]</t>
  </si>
  <si>
    <t>Use BIT (Attached code). Read editorial for several other approaches</t>
  </si>
  <si>
    <t>bit, datastructures, grid compress or segment tree</t>
  </si>
  <si>
    <t>bit, binary search, math</t>
  </si>
  <si>
    <t>bit, sorting</t>
  </si>
  <si>
    <t>bit, dp or two pointers</t>
  </si>
  <si>
    <t>bit or segment tree or solutions-bag or binary search, sliding window, [bs https://github.com/magdy-hasan/competitive-programming/blob/f47c3c4a14d22528a3553414d4809aa083e37ef0/uva%2012697%20-%20Minimal%20Subarray%20Length.cpp]</t>
  </si>
  <si>
    <t>bit or segment tree or datastructures, [https://github.com/shashank0107/CompetitiveProgramming/blob/master/UVA/1428.cpp]</t>
  </si>
  <si>
    <t>Don't use segment tree or pure STL. Sol</t>
  </si>
  <si>
    <t>bit or segment tree or sweep line</t>
  </si>
  <si>
    <t>bit, grid compress or policy-based-datastructures</t>
  </si>
  <si>
    <t>bit or segment tree or bbst, grid compress or order-statistic tree</t>
  </si>
  <si>
    <t>bit or sorting, ad-hoc</t>
  </si>
  <si>
    <t>bit, binary search or datastructures</t>
  </si>
  <si>
    <t>Don't implement as ad-hoc or pure STL. Use a data structure or algorithm.. Try to understand the problem by yourself, if failed see https://www.youtube.com/watch?v=kP7FJGzorpI</t>
  </si>
  <si>
    <t>bit, constructive, dfs, binary search</t>
  </si>
  <si>
    <t>bit, dsu, binary search or segment tree, [kth elemeent]</t>
  </si>
  <si>
    <t>bit or ad-hoc</t>
  </si>
  <si>
    <t>bit or segment tree or datastructures, stl</t>
  </si>
  <si>
    <t>bit or segment tree, [standard]</t>
  </si>
  <si>
    <t>bit or segment tree, lazy propagation</t>
  </si>
  <si>
    <t>bit, binary search or dp_bitmasks</t>
  </si>
  <si>
    <t>bit, binary search or segment tree, [basic]</t>
  </si>
  <si>
    <t>Sl</t>
  </si>
  <si>
    <t>bit or segment tree or merge sort, count inversions, [=SPOJ INVCNT]</t>
  </si>
  <si>
    <t>bit, [WA?]</t>
  </si>
  <si>
    <t>bit, 3d bit, inclusion-execlusion, [=PKU 1195 is 2d case]</t>
  </si>
  <si>
    <t>bit or merge sort, [=SPOJ RATING]</t>
  </si>
  <si>
    <t>bit or merge sort, game, [count inversion]</t>
  </si>
  <si>
    <t>bit, [invesions?]</t>
  </si>
  <si>
    <t>bit, 2d bit</t>
  </si>
  <si>
    <t>bit, inversions</t>
  </si>
  <si>
    <t>bit or segment tree or merge sort, d&amp;c</t>
  </si>
  <si>
    <t>dp, [longest path on graph of strictly increasing edges]</t>
  </si>
  <si>
    <t>[16]</t>
  </si>
  <si>
    <t>dp, solutions-bag or divide and conquer</t>
  </si>
  <si>
    <t>dp, optimizations, [small-to-large], [similar to IOI 18-meetings]</t>
  </si>
  <si>
    <t>dp, [complex, ternary]</t>
  </si>
  <si>
    <t>dp, d&amp;c, combinatorics or dp, [no d&amp;c opt]</t>
  </si>
  <si>
    <t>dp, slope_trick, [small-to-large], [solve APIO 16-fireworks first]</t>
  </si>
  <si>
    <t>dp, [Steiner's Tree]</t>
  </si>
  <si>
    <t>dp, meet in middle (type trick)</t>
  </si>
  <si>
    <t>dp, binary search, math</t>
  </si>
  <si>
    <t>dp, binary search, trees, [small-to-large]</t>
  </si>
  <si>
    <t>dp, bitmasks</t>
  </si>
  <si>
    <t>dp, impl</t>
  </si>
  <si>
    <t>dp or fast_walsh_hadamard_transform or fft (whft), fast long long multiplication modulo M</t>
  </si>
  <si>
    <t>dp, geometry</t>
  </si>
  <si>
    <t>dp, graph</t>
  </si>
  <si>
    <t>dp, solutions-bag</t>
  </si>
  <si>
    <t>Sol - also analysis from USACO site</t>
  </si>
  <si>
    <t>dp, [guy got tle]</t>
  </si>
  <si>
    <t>dp, dp_expectation, dp_state_reduce, combinatorics, [interesting use of complements]</t>
  </si>
  <si>
    <t>dp, optimizations</t>
  </si>
  <si>
    <t>dp, trie, mcm</t>
  </si>
  <si>
    <t>dp, stack</t>
  </si>
  <si>
    <t>dp, graph, combinatorics</t>
  </si>
  <si>
    <t>dp, precompute, lcs</t>
  </si>
  <si>
    <t>dp, monotonic queue or dp, rmq</t>
  </si>
  <si>
    <t>dp, math or math, observations</t>
  </si>
  <si>
    <t>Sol must read</t>
  </si>
  <si>
    <t>dp or bf</t>
  </si>
  <si>
    <t>dp, binary search</t>
  </si>
  <si>
    <t>dp, combinatorics</t>
  </si>
  <si>
    <t>dp, dp_masks, math, constructive</t>
  </si>
  <si>
    <t>dp, geometry, [number of convex polygons]</t>
  </si>
  <si>
    <t>dp, math, fib, observations</t>
  </si>
  <si>
    <t>dp, rectangles</t>
  </si>
  <si>
    <t>dp, trees, path compression, optimization</t>
  </si>
  <si>
    <t>dp, grid-compress, math, ad-hoc</t>
  </si>
  <si>
    <t>dp, observations</t>
  </si>
  <si>
    <t>dp, segment tree, datastructures, [same technique from AtCoder067-ARC-F</t>
  </si>
  <si>
    <t>Find O(n) sol</t>
  </si>
  <si>
    <t>dp, reduce to subset sum</t>
  </si>
  <si>
    <t>dp or ad-hoc, regex</t>
  </si>
  <si>
    <t>dp or combinatorics, mod inv or lagrange or matrix pow, [oeis helps]</t>
  </si>
  <si>
    <t>editorial</t>
  </si>
  <si>
    <t>dp, [boring]</t>
  </si>
  <si>
    <t>dp, 2 dp or string processing, aho_corasick, dp or automta, dp</t>
  </si>
  <si>
    <t>dp, datastructures, [don't assign, rare DS]</t>
  </si>
  <si>
    <t>dp, fast knapsack</t>
  </si>
  <si>
    <t>dp, geometry, angles, intersections</t>
  </si>
  <si>
    <t>dp, graph, math</t>
  </si>
  <si>
    <t>dp, graph, matrices</t>
  </si>
  <si>
    <t>dp, lis, nlogn, level ??</t>
  </si>
  <si>
    <t>dp, optimizations, [dp over factors]</t>
  </si>
  <si>
    <t>dp, d&amp;c, offline dynamic connectivity, [not d&amp;c opt], [has another tricky nice dp sol]</t>
  </si>
  <si>
    <t>dp, mod inv, clique, graph construction</t>
  </si>
  <si>
    <t>dp, datastructures or greedy</t>
  </si>
  <si>
    <t>dp, datastructures, [cases]</t>
  </si>
  <si>
    <t>dp, Lex-Kth</t>
  </si>
  <si>
    <t>dp, bfs, combinatorics</t>
  </si>
  <si>
    <t>dp, lcs or dp, d&amp;c or dp_sibling</t>
  </si>
  <si>
    <t>dp, math, [coin change, __int128]</t>
  </si>
  <si>
    <t>dp, greedy, strings</t>
  </si>
  <si>
    <t>p4 v1</t>
  </si>
  <si>
    <t>dp, ad-hoc or binary search, [solve TIMUS 1223 first, classical eggs problem - big limits/strict time/overflow]</t>
  </si>
  <si>
    <t>dp or sweep line, datastructures</t>
  </si>
  <si>
    <t>dp or z-algo or hashing</t>
  </si>
  <si>
    <t>dp, 2 dp, [CLR]</t>
  </si>
  <si>
    <t>dp, gcd, inclusion-exclusion or randomization, [classical for some trainees]</t>
  </si>
  <si>
    <t>dp, graph or sat</t>
  </si>
  <si>
    <t>Sol (different but longer)</t>
  </si>
  <si>
    <t>dp, iterative sparse</t>
  </si>
  <si>
    <t>dp, perfect matching in trees</t>
  </si>
  <si>
    <t>dp, sorting</t>
  </si>
  <si>
    <t>dp, tree, greedy</t>
  </si>
  <si>
    <t>dp, [subsets of masks]</t>
  </si>
  <si>
    <t>dp, dp_game theory, dijkstra</t>
  </si>
  <si>
    <t>dp, dps_sos, sqrt decomp</t>
  </si>
  <si>
    <t>dp, matrix pow, math or repeated squaring</t>
  </si>
  <si>
    <t>dp, strings</t>
  </si>
  <si>
    <t>dp, binary search, prefix sum</t>
  </si>
  <si>
    <t>dp, optimizations, impl or math</t>
  </si>
  <si>
    <t>dp, sweep or segment tree, dp, bitset, knapsack</t>
  </si>
  <si>
    <t>dp, math, trees</t>
  </si>
  <si>
    <t>dp, stack, math, [overflows]</t>
  </si>
  <si>
    <t>dp, lis, binary search or segment tree or dp_trees</t>
  </si>
  <si>
    <t>dp, constructive, interactive</t>
  </si>
  <si>
    <t>dp, meet in middle, [NP]</t>
  </si>
  <si>
    <t>dp, stiriling mumbers or inclusion-exclusion</t>
  </si>
  <si>
    <t>dp, deque</t>
  </si>
  <si>
    <t>dp or segment tree</t>
  </si>
  <si>
    <t>dp, 2 dp</t>
  </si>
  <si>
    <t>dp, reduction, simulation</t>
  </si>
  <si>
    <t>dp, scc?</t>
  </si>
  <si>
    <t>dp, greedy, math, [exchange arguments greedy], [Laaksonen's CP handbook, 4.2.3 (tasks and deadlines), or 6.3 in the online version of the book]</t>
  </si>
  <si>
    <t>dp, dp, dp_ad-hoc or binary search, [eggs problem - small limits]</t>
  </si>
  <si>
    <t>dp, observation or greedy</t>
  </si>
  <si>
    <t>dp or graph, lca, binary lifting, dfs</t>
  </si>
  <si>
    <t>dp, kmp or z-algo</t>
  </si>
  <si>
    <t>dp, lis, [repeated?</t>
  </si>
  <si>
    <t>dp, masks</t>
  </si>
  <si>
    <t>dp, math, number theory</t>
  </si>
  <si>
    <t>dp, optimize, game theory, binary search</t>
  </si>
  <si>
    <t>dp, permutation, sorting</t>
  </si>
  <si>
    <t>dp, strings, lcp</t>
  </si>
  <si>
    <t>dp or datastructures, [https://morris821028.github.io/2016/02/29/uva-13014/]</t>
  </si>
  <si>
    <t>dp, [repeated]</t>
  </si>
  <si>
    <t>Sol(no editorial)</t>
  </si>
  <si>
    <t>dp, geometry, math</t>
  </si>
  <si>
    <t>dp, Knapsack 0-1 variation</t>
  </si>
  <si>
    <t>dp, sorting or rmq</t>
  </si>
  <si>
    <t>dp, [available on hackerrank]</t>
  </si>
  <si>
    <t>dp, string</t>
  </si>
  <si>
    <t>dp or backtrack</t>
  </si>
  <si>
    <t>dp or fft, [boring]</t>
  </si>
  <si>
    <t>dp, [number of subsequences that are arithmetic progressions]</t>
  </si>
  <si>
    <t>dp, ad-hoc, 2 dp</t>
  </si>
  <si>
    <t>dp, bfs, optimizations</t>
  </si>
  <si>
    <t>dp, dp_expectation</t>
  </si>
  <si>
    <t>dp, knapsack or bf</t>
  </si>
  <si>
    <t>dp, like fib recurrance, geometry</t>
  </si>
  <si>
    <t>dp, math, combinatorics</t>
  </si>
  <si>
    <t>dp, string matching</t>
  </si>
  <si>
    <t>dp, monotonic queue or dp, segment tree</t>
  </si>
  <si>
    <t>dp, sieve, math or bf, [TLE]</t>
  </si>
  <si>
    <t>dp, bf</t>
  </si>
  <si>
    <t>dp, [ternary search might be used]</t>
  </si>
  <si>
    <t>dp, bits</t>
  </si>
  <si>
    <t>dp, greedy, sorting</t>
  </si>
  <si>
    <t>dp, math or ad-hoc, [contribution technique]</t>
  </si>
  <si>
    <t>dp, math, binary search</t>
  </si>
  <si>
    <t>dp, observation, greedy</t>
  </si>
  <si>
    <t>dp, prime factors</t>
  </si>
  <si>
    <t>dp_subrectangle</t>
  </si>
  <si>
    <t>dp, topological sort</t>
  </si>
  <si>
    <t>dp or math</t>
  </si>
  <si>
    <t>dp or trie</t>
  </si>
  <si>
    <t>dp, dp_bitmasls, math, [harder version https://www.codechef.com/SNCK1A19/problems/CHEFADD]</t>
  </si>
  <si>
    <t>dp, flood-fill</t>
  </si>
  <si>
    <t>dp, graph, sorting</t>
  </si>
  <si>
    <t>dp, greedy or bfs</t>
  </si>
  <si>
    <t>dp or greedy, [tc trick ppl with n=15]</t>
  </si>
  <si>
    <t>dp, datastructures</t>
  </si>
  <si>
    <t>dp, sortings, graph</t>
  </si>
  <si>
    <t>dp, backtracking, observation</t>
  </si>
  <si>
    <t>dp, 2 pointers</t>
  </si>
  <si>
    <t>dp, summations, max-min product</t>
  </si>
  <si>
    <t>dp, precalculation</t>
  </si>
  <si>
    <t>dp, lcs, dsu</t>
  </si>
  <si>
    <t>dp, prefix sum, [greedy fails]</t>
  </si>
  <si>
    <t>dp, recursion, math or math</t>
  </si>
  <si>
    <t>dp or ad-hoc</t>
  </si>
  <si>
    <t>dp or tricky greedy</t>
  </si>
  <si>
    <t>dp, binary search or greedy</t>
  </si>
  <si>
    <t>dp, binary search or greedy, sorting</t>
  </si>
  <si>
    <t>dp, binary search, revise category?</t>
  </si>
  <si>
    <t>dp, calculus, [unclear text]</t>
  </si>
  <si>
    <t>dp, complete binary tree or, greedy, [hard text]</t>
  </si>
  <si>
    <t>dp, datastructure</t>
  </si>
  <si>
    <t>dp, dp_masks, greedy</t>
  </si>
  <si>
    <t>dp, lis</t>
  </si>
  <si>
    <t>dp, lis nlogn, sort</t>
  </si>
  <si>
    <t>dp, palindromes, strings</t>
  </si>
  <si>
    <t>dp, prefix sum, graph</t>
  </si>
  <si>
    <t>dp, search, math</t>
  </si>
  <si>
    <t>dp, tree, [hard text?]</t>
  </si>
  <si>
    <t>dp, trees, gcd</t>
  </si>
  <si>
    <t>ACC</t>
  </si>
  <si>
    <t>dp, [unclear txt?]</t>
  </si>
  <si>
    <t>dp, bitmask, dfs</t>
  </si>
  <si>
    <t>dp, lis (n^2)</t>
  </si>
  <si>
    <t>dp, 2D grid</t>
  </si>
  <si>
    <t>dp, dp_bitmass</t>
  </si>
  <si>
    <t>dp, lds, nlogn or greedy</t>
  </si>
  <si>
    <t>dp, [reverse thinking]</t>
  </si>
  <si>
    <t>dp, prefix sum or mo's algorithm</t>
  </si>
  <si>
    <t>dp, [elementary symmetric polynomials]</t>
  </si>
  <si>
    <t>dp, [lis releated]</t>
  </si>
  <si>
    <t>dp, graph, strings</t>
  </si>
  <si>
    <t>dp, lds or ad-hoc</t>
  </si>
  <si>
    <t>dp, recurrences</t>
  </si>
  <si>
    <t>dp, search</t>
  </si>
  <si>
    <t>dp, [coin change]</t>
  </si>
  <si>
    <t>dp, bf or bfs</t>
  </si>
  <si>
    <t>dp, tree or ad-hoc</t>
  </si>
  <si>
    <t>dp or dp_knuth, [use scanf, you may need to avoid memset or use table methd]</t>
  </si>
  <si>
    <t>dp, math, [-ve mod]</t>
  </si>
  <si>
    <t>dp or graph, min-cost-max-flow or ad-hoc</t>
  </si>
  <si>
    <t>dp, [greedy fails]</t>
  </si>
  <si>
    <t>dp, lis nlogn</t>
  </si>
  <si>
    <t>dp, math, state symmetry</t>
  </si>
  <si>
    <t>dp, prefix sum</t>
  </si>
  <si>
    <t>dp, knapsack, constructive, number theory, bitsets</t>
  </si>
  <si>
    <t>dp, observations, linear recurrence [Berlekamp-Massey Algorithm]</t>
  </si>
  <si>
    <t>Read Later</t>
  </si>
  <si>
    <t>dp, dp_cyclic, matrix, gaussian elimination</t>
  </si>
  <si>
    <t>[17]</t>
  </si>
  <si>
    <t>dp, dp_cyclic, gaussian elimination or upper triangular matrix solving</t>
  </si>
  <si>
    <t>dp, dp_cyclic, matrix, gaussian elimination or upper triangular matrix solving</t>
  </si>
  <si>
    <t>dp, dp_cyclic, gaussian elimination</t>
  </si>
  <si>
    <t>dp, dp_cyclic, state as vector, sorting state, dsu, tricky complexity</t>
  </si>
  <si>
    <t>dp, dp_cyclic, dp_expectation or dp_depth or gaussian elimination or upper triangular matrix solving</t>
  </si>
  <si>
    <t>dp, dp_cyclic, dp_probability</t>
  </si>
  <si>
    <t>dp, dp_cyclic, gaussian elemination</t>
  </si>
  <si>
    <t>dp, dp_cyclic, dp_probability or dp_depth</t>
  </si>
  <si>
    <t>dp, dp_cyclic, dp_probability or dp_depth or gaussian elimination</t>
  </si>
  <si>
    <t>dp, dp_cyclic, dp_expectation, gaussian elimination</t>
  </si>
  <si>
    <t>dp, dp_cyclic, expectation or bf, simulation</t>
  </si>
  <si>
    <t>dp, dp_cyclic</t>
  </si>
  <si>
    <t>dp, dp_cyclic, dp_expectation or dp_depth</t>
  </si>
  <si>
    <t>dp, dp_cyclic, expectation, [algebra handling]</t>
  </si>
  <si>
    <t>dp, dp_state_reduce, dp_subrectangle, 2D prefix sum</t>
  </si>
  <si>
    <t>[18]</t>
  </si>
  <si>
    <t>dp, dp_state_reduce, dp_table, greedy fails</t>
  </si>
  <si>
    <t>dp, dp_state_reduce, dp_games, [min max]</t>
  </si>
  <si>
    <t>Find O(N^2) sol. Sol</t>
  </si>
  <si>
    <t>dp, dp_state_reduce, matrix pow</t>
  </si>
  <si>
    <t>dp, dp_state_reduce, dp_counting, inclusion-exclusion, [change object to dp, ~=CF100589-GYM-F]</t>
  </si>
  <si>
    <t>dp, dp_state_reduce, dp_counting</t>
  </si>
  <si>
    <t>dp, dp_state_reduce, knapsack</t>
  </si>
  <si>
    <t>dp, dp_state_reduce</t>
  </si>
  <si>
    <t>dp, dp_state_reduce, dp_games</t>
  </si>
  <si>
    <t>dp, dp_optimal_substructure_analysis, dp_probability, inclusion-exclusion</t>
  </si>
  <si>
    <t>[19]</t>
  </si>
  <si>
    <t>dp, dp_optimal_substructure_analysis, [maximum array sum with consecutives (&lt;=k length)-blocks ]</t>
  </si>
  <si>
    <t>dp, dp_subrectangle, Manhattan2DRotation or inclusion-execlusion, [For rotation trick, solve CF124-D2-D first]</t>
  </si>
  <si>
    <t>[20]</t>
  </si>
  <si>
    <t>dp, dp_subrectangle</t>
  </si>
  <si>
    <t>dp, dp_subrectangle, 2d, observations, dot product, Largest Rectangle general, [Author: Mostafa Saad - I am authot.The math equations are for an important observation in linear SVM]</t>
  </si>
  <si>
    <t>dp, dp_subrectangle, 2d, [harder version of UVA 108]</t>
  </si>
  <si>
    <t>dp, dp_subrectangle, 2d or max-flow</t>
  </si>
  <si>
    <t>dp, dp_subrectangle, 1d, [more direct UVA 12640]</t>
  </si>
  <si>
    <t>dp, memoize or backtrack, herustics</t>
  </si>
  <si>
    <t>[21]</t>
  </si>
  <si>
    <t>dp, memoize map or bf, hard impl</t>
  </si>
  <si>
    <t>See DP solution</t>
  </si>
  <si>
    <t>dp, memoize in set, [CFG]</t>
  </si>
  <si>
    <t>dp, memoize in map, gcd, [proof Bezout's identity] or randomization [such in CF1043-D12-F], [dp sol https://github.com/MedoN11/CompetitiveProgramming/blob/master/TopCoder/SRM358-D1-500.cpp]</t>
  </si>
  <si>
    <t>dp, memoize in map or math</t>
  </si>
  <si>
    <t>dp, memoize in map, expectation</t>
  </si>
  <si>
    <t>dp, memoize in map, games</t>
  </si>
  <si>
    <t>dp, memoize in map</t>
  </si>
  <si>
    <t>dp, dp_ad-hoc, pigeonhole principle, [knapsack optimization]</t>
  </si>
  <si>
    <t>[22]</t>
  </si>
  <si>
    <t>dp, dp_ad-hoc, [tiling]</t>
  </si>
  <si>
    <t>dp, dp_ad-hoc, [small-to-large] or dsu-on-trees or centroid-decomposition</t>
  </si>
  <si>
    <t>dp, dp_ad-hoc, dp_inequality_constraints or bf, OEIS [=CF714-D2-E]</t>
  </si>
  <si>
    <t>Sol. Read Editorial.</t>
  </si>
  <si>
    <t>dp, dp_ad-hoc, dp_games, state, impl</t>
  </si>
  <si>
    <t>dp, dp_ad-hoc</t>
  </si>
  <si>
    <t>dp, dp_ad-hoc, dp_table, [tiling, ~=10918]</t>
  </si>
  <si>
    <t>dp, dp_ad-hoc or bfs</t>
  </si>
  <si>
    <t>dp, dp_ad-hoc, [non standard]</t>
  </si>
  <si>
    <t>dp, dp_ad-hoc, [tiling], [in my videos], [https://github.com/yazanKabbany/CompetitiveProgramming/blob/master/UVA/UVA%2010918.cpp]</t>
  </si>
  <si>
    <t>dp, dp_ad-hoc, bfs, counting</t>
  </si>
  <si>
    <t>dp, dp_ad-hoc, state, [strict TLE]</t>
  </si>
  <si>
    <t>dp, dp_ad-hoc, jouseph or bf, pattern</t>
  </si>
  <si>
    <t>dp, dp_table, roll table, dp_bitmasks</t>
  </si>
  <si>
    <t>[23]</t>
  </si>
  <si>
    <t>dp, dp_table, dp_counting, [permutation dp, stars&amp;bars], [solve CODECHEF AMBALLS first]</t>
  </si>
  <si>
    <t>dp, dp_table, dp_build_output</t>
  </si>
  <si>
    <t>dp, dp_table, dp_susbstates_analysis, Manhattan2DRotation, [solve CF124-D2-D - SRM520-D1-500 first], [ECPC13, I am author]</t>
  </si>
  <si>
    <t>dp, dp_table, dp_counting, [permutation dp, stars&amp;bars], [CSA_Beta7-E (distinct_neighbours)]</t>
  </si>
  <si>
    <t>dp, dp_table, permutations</t>
  </si>
  <si>
    <t>dp, dp_table, dp_counting</t>
  </si>
  <si>
    <t>dp, dp_table, dp_susbstates_analysis, [subproblem in CF100283-GYM-C]</t>
  </si>
  <si>
    <t>dp, dp_table, datastructures, math</t>
  </si>
  <si>
    <t>dp, dp_table, tricky</t>
  </si>
  <si>
    <t>Sol. Read Editorial for an interesting sol</t>
  </si>
  <si>
    <t>dp, dp_table, [cycles are cancelled], [memoization fails for RTE depth]</t>
  </si>
  <si>
    <t>dp, dp_table or dp_bitmasks, mask-all-subsets</t>
  </si>
  <si>
    <t>dp, dp_table, roll table, [https://github.com/MetalBall887/Competitive-Programming/blob/master/UVA/UVA%2011266.cpp]</t>
  </si>
  <si>
    <t>JS Add</t>
  </si>
  <si>
    <t>dp, dp_table, dp_bitmasks, knapsack, factorization, [table to reduce memory]</t>
  </si>
  <si>
    <t>dp, dp_table, accumulation optimization</t>
  </si>
  <si>
    <t>dp, dp_table, [greedy fails]</t>
  </si>
  <si>
    <t>[24]</t>
  </si>
  <si>
    <t>dp, dp_bitmasks, observations</t>
  </si>
  <si>
    <t>Author Amr Samir</t>
  </si>
  <si>
    <t>dp, dp_bitmasks, dp_ternarymask, impl</t>
  </si>
  <si>
    <t>dp, dp_bitmasks, intervals</t>
  </si>
  <si>
    <t>dp, dp_bitmasks, 2 dp</t>
  </si>
  <si>
    <t>dp, dp_bitmasks, lowest Bit DP</t>
  </si>
  <si>
    <t>dp, dp_bitmasks, dfs</t>
  </si>
  <si>
    <t>dp, dp_bitmasks, mask-all-subsets, prune</t>
  </si>
  <si>
    <t>dp, dp_bitmasks, [even if intermediate calcs are wrong, they may not affect results]</t>
  </si>
  <si>
    <t>dp, dp_bitmasks, dp_ternarymask</t>
  </si>
  <si>
    <t>dp, dp_bitmasks, Mersenne primes</t>
  </si>
  <si>
    <t>dp, dp_bitmasks, sweep line</t>
  </si>
  <si>
    <t>dp, dp_bitmasks, topological sort to build dp</t>
  </si>
  <si>
    <t>dp, dp_bitmasks, cases</t>
  </si>
  <si>
    <t>dp, dp_bitmasks, nested dps</t>
  </si>
  <si>
    <t>dp, dp_bitmasks, greedy</t>
  </si>
  <si>
    <t>dp, dp_bitmasks, optimizations, marriage graph or bf</t>
  </si>
  <si>
    <t>dp, dp_bitmasks, cliques, np-hard or randomization</t>
  </si>
  <si>
    <t>dp, dp_bitmasks, dp_build_output, greedy</t>
  </si>
  <si>
    <t>dp, dp_bitmasks or graph, min-cost-max-flow, [knight distance in infinite chess]</t>
  </si>
  <si>
    <t>dp, dp_bitmasks, binary search, [repeated idea]</t>
  </si>
  <si>
    <t>dp, dp_bitmasks, number theory</t>
  </si>
  <si>
    <t>dp, dp_bitmasks, polygon triangulation, [prove, greedy fails]</t>
  </si>
  <si>
    <t>dp, dp_bitmasks, geometry</t>
  </si>
  <si>
    <t>dp, dp_bitmasks or fft</t>
  </si>
  <si>
    <t>dp, dp_bitmasks or max-flow</t>
  </si>
  <si>
    <t>dp, dp_bitmasks, math</t>
  </si>
  <si>
    <t>dp, dp_bitmasks, binary search</t>
  </si>
  <si>
    <t>dp, dp_bitmasks, dp_countig or inclusion-exclusion, [cases]</t>
  </si>
  <si>
    <t>dp, dp_bitmasks or min-cost-max-flow</t>
  </si>
  <si>
    <t>dp, dp_bitmasks, tsp oe bfs, impl</t>
  </si>
  <si>
    <t>dp, dp_bitmasks or ad-hoc, masks, d&amp;c</t>
  </si>
  <si>
    <t>dp, dp_bitmasks or bfs, bitmasks</t>
  </si>
  <si>
    <t>dp, dp_bitmasks, dp_counting, hard text</t>
  </si>
  <si>
    <t>dp, dp_bitmasks or dp_sos</t>
  </si>
  <si>
    <t>dp, dp_bitmasks or dijkstra</t>
  </si>
  <si>
    <t>dp, dp_bitmasks, [kmp may help]</t>
  </si>
  <si>
    <t>dp, dp_bitmasks, dp_games, [minimax]</t>
  </si>
  <si>
    <t>dp, dp_bitmasks, primes</t>
  </si>
  <si>
    <t>dp, dp_bitmasks, dp_counting</t>
  </si>
  <si>
    <t>dp, dp_bitmasks or shortest path</t>
  </si>
  <si>
    <t>dp, dp_bitmasks, graph</t>
  </si>
  <si>
    <t>dp, dp_counting, combinatorics</t>
  </si>
  <si>
    <t>[26]</t>
  </si>
  <si>
    <t>dp, dp_counting, combinatorics, observations</t>
  </si>
  <si>
    <t>dp, dp_counting, mod inv, [reduced to number of topological orderings]</t>
  </si>
  <si>
    <t>dp, dp_counting, matrix pow, [optimize dp with matrix pow]</t>
  </si>
  <si>
    <t>dp, dp_counting, trees</t>
  </si>
  <si>
    <t>dp, dp_counting, [burnside's lemma]</t>
  </si>
  <si>
    <t>dp, dp_counting, segment tree</t>
  </si>
  <si>
    <t>dp, dp_counting, stirling numbers, A trick from Errichto,</t>
  </si>
  <si>
    <t>dp, dp_counting, dp_ranges, 2 dp</t>
  </si>
  <si>
    <t>dp, dp_counting, sieve, sieve bitmasks, combinatorics</t>
  </si>
  <si>
    <t>dp, dp_counting, dsu, datastructures</t>
  </si>
  <si>
    <t>dp, dp_counting, permutations</t>
  </si>
  <si>
    <t>dp, dp_counting, patterns</t>
  </si>
  <si>
    <t>dp, dp_counting, inclusion-exclusion, perfect matchings count</t>
  </si>
  <si>
    <t>dp, dp_counting, dp_probability, dp_table, permutations</t>
  </si>
  <si>
    <t>dp, dp_counting, [double-counting]</t>
  </si>
  <si>
    <t>dp, dp_counting, dp_bitmasks, graph, [dublicate countings]</t>
  </si>
  <si>
    <t>dp, dp_counting, permutations, LIS, [reduce to: find the number of permutations of size N with LIS not 3 or 4], [deep understanding on LIS and a creative mind]</t>
  </si>
  <si>
    <t>dp, dp_counting or math, combinatorics, [independence property]</t>
  </si>
  <si>
    <t>dp, dp_counting, summation order, perumtations, [fake constraint]</t>
  </si>
  <si>
    <t>dp, dp_counting, summations or math, combinatorics, [independence property]</t>
  </si>
  <si>
    <t>dp, dp_counting, graph</t>
  </si>
  <si>
    <t>dp, dp_counting, bicoloring, [double counting]</t>
  </si>
  <si>
    <t>dp, dp_counting, number theory</t>
  </si>
  <si>
    <t>dp, dp_counting or combinatorics, binary search, binomial therom</t>
  </si>
  <si>
    <t>dp, dp_counting, mod inv</t>
  </si>
  <si>
    <t>dp, dp_counting, pow</t>
  </si>
  <si>
    <t>dp, dp_counting, knapsack</t>
  </si>
  <si>
    <t>dp, dp_counting, probability, mod inv</t>
  </si>
  <si>
    <t>dp, dp_counting or bf, [boring]</t>
  </si>
  <si>
    <t>dp, dp_counting, factorization or backtrack</t>
  </si>
  <si>
    <t>dp, dp_counting, inclusion-exclusion</t>
  </si>
  <si>
    <t>dp, dp_counting or perm, ad-hoc</t>
  </si>
  <si>
    <t>dp, dp_counting, symbolic thinking</t>
  </si>
  <si>
    <t>dp, dp_counting, 2 pointers</t>
  </si>
  <si>
    <t>dp, dp_counting or impl???</t>
  </si>
  <si>
    <t>dp, dp_counting or math, combinatorics, [repeated]</t>
  </si>
  <si>
    <t>dp, dp_counting, tree, dfs</t>
  </si>
  <si>
    <t>dp, dp_counting or combinatorics</t>
  </si>
  <si>
    <t>dp, dp_counting, bignum</t>
  </si>
  <si>
    <t>dp, dp_counting, combinations, mod</t>
  </si>
  <si>
    <t>dp, dp_counting, combinatorics or ad-hoc</t>
  </si>
  <si>
    <t>dp, dp_games, dp_counting</t>
  </si>
  <si>
    <t>[28]</t>
  </si>
  <si>
    <t>dp, dp_games or grundy</t>
  </si>
  <si>
    <t>dp, dp_games, optimization, [needs O(n^2) not O(n^3), dp trick to reduce order]</t>
  </si>
  <si>
    <t>dp, dp_games, optimization, primes, set</t>
  </si>
  <si>
    <t>dp, dp_games, graphs or dijkstra or dfs, DAG</t>
  </si>
  <si>
    <t>dp, dp_games, [cases]</t>
  </si>
  <si>
    <t>dp, dp_games or game theory, nim</t>
  </si>
  <si>
    <t>dp, dp_games, dp_bitmasks</t>
  </si>
  <si>
    <t>dp, dp_games, minmax</t>
  </si>
  <si>
    <t>dp, dp_games, dp_bitmasks, repeated, [~=CF69-D2-D, SRM522-D1-250, SRM534-D1-250]</t>
  </si>
  <si>
    <t>dp, dp_games, [Harmonic progression]</t>
  </si>
  <si>
    <t>dp, dp_games, dp_bitmasks or bf</t>
  </si>
  <si>
    <t>dp, dp_games or game theory</t>
  </si>
  <si>
    <t>dp, dp_games, [nim]</t>
  </si>
  <si>
    <t>dp, dp_games, dp_bitmasks or ad-hoc</t>
  </si>
  <si>
    <t>[29]</t>
  </si>
  <si>
    <t>dp, dp_probability or ad-hoc</t>
  </si>
  <si>
    <t>dp, dp_probability, [skip small probabilities trick]</t>
  </si>
  <si>
    <t>dp, dp_probability or gaussian elimination</t>
  </si>
  <si>
    <t>dp, dp_probability, dp_bitmasks</t>
  </si>
  <si>
    <t>dp, dp_probability, dp_ranges</t>
  </si>
  <si>
    <t>dp, dp_probability, circular style, greedy fails</t>
  </si>
  <si>
    <t>dp, dp_probability, math, number theory</t>
  </si>
  <si>
    <t>dp, dp_probability or gaussian elimination, [tridiagonal matrix algorithm], [https://github.com/DrSchwad/CompetitiveProgramming/blob/master/TopCoder/SRM614-D2-1000.cpp]</t>
  </si>
  <si>
    <t>dp, dp_probability, bitmasks, combinations</t>
  </si>
  <si>
    <t>dp, dp_probability, dp_depth or bf</t>
  </si>
  <si>
    <t>dp, dp_probability, datastructure or d&amp;c</t>
  </si>
  <si>
    <t>dp, dp_probability, ?? level</t>
  </si>
  <si>
    <t>dp, dp_probability, bignum</t>
  </si>
  <si>
    <t>dp, dp_probability, dp_table, [independence property], [prove correctness?]</t>
  </si>
  <si>
    <t>dp, dp_probability, combinatorics or ad-hoc</t>
  </si>
  <si>
    <t>dp, dp_probability, [print is the challenge]</t>
  </si>
  <si>
    <t>dp, dp_probability or math, pow or matrix pow</t>
  </si>
  <si>
    <t>dp, dp_probability, [educational]</t>
  </si>
  <si>
    <t>dp, dp_probability, floyd</t>
  </si>
  <si>
    <t>dp, dp_probability, [=PKU 3071]</t>
  </si>
  <si>
    <t>dp, dp_probability, dp_masks</t>
  </si>
  <si>
    <t>dp, dp_probability, dp_expectation</t>
  </si>
  <si>
    <t>[30]</t>
  </si>
  <si>
    <t>dp, dp_probability, dp_expectation, linearity of expectation</t>
  </si>
  <si>
    <t>dp, dp_probability, dp_expectation, max-min expectation</t>
  </si>
  <si>
    <t>dp, dp_probability, dp_expectation, [new style - linearity of expectation + some similiraity. basically simulating expectation here is n^3, but if you simulate the right part it's n^2, and using basic combinatronics you can derive the n^3 simulation in o(1)....note : code doesn't have doubles because author asks to represent as p*q^-1 ( p and q primes and answer is guranteed to be representable in such form).]</t>
  </si>
  <si>
    <t>dp, dp_probability, dp_expectation, law of total expectation</t>
  </si>
  <si>
    <t>dp, dp_probability, dp_expectation, dp_bitmasks, minimax</t>
  </si>
  <si>
    <t>dp, dp_probability, dp_expectation, dp_depth</t>
  </si>
  <si>
    <t>dp, dp_probability, dp_expectation, dp_bitmasks</t>
  </si>
  <si>
    <t>dp, dp_probability, dp_expectation, dijkstra</t>
  </si>
  <si>
    <t>dp, dp_probability, dp_expectation or expectation, easy formula hard proof, combinatorics</t>
  </si>
  <si>
    <t>dp, dp_probability, dp_expectation or graph, randomization, probability, [similar to old LA problem]</t>
  </si>
  <si>
    <t>dp, dp_probability, dp_expectation or math, [hard text for few]</t>
  </si>
  <si>
    <t>dp, dp_probability, dp_expectation, impl</t>
  </si>
  <si>
    <t>dp, dp_probability, dp_expectation or math, probability</t>
  </si>
  <si>
    <t>dp, dp_probability, dp_expectation, dp_table, roll table</t>
  </si>
  <si>
    <t>dp, dp_probability, dp_expectation or expectation</t>
  </si>
  <si>
    <t>dp, dp_probability, dp_expectation, gcd, fraction, [hard text?]</t>
  </si>
  <si>
    <t>dp, dp_probability, dp_expectation, dp_masks or math, expectation</t>
  </si>
  <si>
    <t>dp, dp_probability, dp_expectation, linearity of expectation, graph or expectation</t>
  </si>
  <si>
    <t>dp, dp_probability, dp_expectation, recursive expectation</t>
  </si>
  <si>
    <t>dp, dp_probability, dp_expectation, combinatorics</t>
  </si>
  <si>
    <t>[31]</t>
  </si>
  <si>
    <t>dp, dp_ranges or greedy</t>
  </si>
  <si>
    <t>dp, dp_ranges, [https://github.com/magdy-hasan/competitive-programming/blob/cfe86781fa1fe38080fbbd25e25e2ff40120c2ec/uva-/uva%201336%20-%20Fixing%20the%20Great%20Wall.cpp]</t>
  </si>
  <si>
    <t>dp, dp_ranges, string cycle using kmp or dp, hashing or ad-hoc</t>
  </si>
  <si>
    <t>dp, dp_ranges, dp_counting, [consective ranges]</t>
  </si>
  <si>
    <r>
      <t>dp, dp_ranges, </t>
    </r>
    <r>
      <rPr>
        <b/>
        <sz val="10"/>
        <color rgb="FF000000"/>
        <rFont val="Arial"/>
        <family val="2"/>
      </rPr>
      <t>hard to impl</t>
    </r>
    <r>
      <rPr>
        <sz val="10"/>
        <color rgb="FF000000"/>
        <rFont val="Arial"/>
        <family val="2"/>
      </rPr>
      <t>, floyd, [cases, edit distance]</t>
    </r>
  </si>
  <si>
    <t>dp, dp_ranges, [weird input]</t>
  </si>
  <si>
    <t>dp, dp_ranges, [=SPOJ ZUMA, CF538-D2]</t>
  </si>
  <si>
    <t>dp, dp_ranges, combinatorics</t>
  </si>
  <si>
    <t>dp, dp_ranges or ad-hoc</t>
  </si>
  <si>
    <t>dp, dp_ranges, [consective ranges, in videos]</t>
  </si>
  <si>
    <t>dp, dp_ranges, [nested ranges]</t>
  </si>
  <si>
    <t>dp, dp_ranges, strings</t>
  </si>
  <si>
    <t>dp, dp_ranges, impl, [consective ranges], [is repeated idea in the sheet?]</t>
  </si>
  <si>
    <t>[32]</t>
  </si>
  <si>
    <t>greedy, bitmasks</t>
  </si>
  <si>
    <t>greedy, search, math</t>
  </si>
  <si>
    <t>greedy, binary search</t>
  </si>
  <si>
    <t>greedy, painful casework</t>
  </si>
  <si>
    <t>greedy, math, [Interesting proofs]</t>
  </si>
  <si>
    <t>greedy, interactive</t>
  </si>
  <si>
    <t>greedy, hamiltanion cycle</t>
  </si>
  <si>
    <t>greedy, simulation, bf, observations</t>
  </si>
  <si>
    <t>greedy, binary search or rmq</t>
  </si>
  <si>
    <t>For me: http://contest.usaco.org/TESTDATA/FEB10.corral.htm</t>
  </si>
  <si>
    <t>greedy, datastructures</t>
  </si>
  <si>
    <t>Check other approaches</t>
  </si>
  <si>
    <t>greedy, constructive, primves, divisors</t>
  </si>
  <si>
    <t>greedy, strings</t>
  </si>
  <si>
    <t>greedy, priority queue, slope_trick or dp or min-cost-max-flow</t>
  </si>
  <si>
    <t>Note: many elegant solutions can be explored</t>
  </si>
  <si>
    <t>greedy, sortings, [cases]</t>
  </si>
  <si>
    <t>greedy, math, gcd</t>
  </si>
  <si>
    <t>greedy, binary system, constructive</t>
  </si>
  <si>
    <t>greedy, constructive, [tricky]</t>
  </si>
  <si>
    <t>greedy, pattern analysis</t>
  </si>
  <si>
    <t>greedy, dp, math</t>
  </si>
  <si>
    <t>greedy, impl, [boring ?]</t>
  </si>
  <si>
    <t>greedy, simulation</t>
  </si>
  <si>
    <t>greedy, sorting, [long/unclear text]</t>
  </si>
  <si>
    <t>greedy, math, observations</t>
  </si>
  <si>
    <t>greedy, simulation, graph, bipartite</t>
  </si>
  <si>
    <t>greedy, bf, knapsack</t>
  </si>
  <si>
    <t>greedy, binary search, dfs</t>
  </si>
  <si>
    <t>greedy, binary search, impl</t>
  </si>
  <si>
    <t>greedy, binary search, sorting</t>
  </si>
  <si>
    <t>Try to prove</t>
  </si>
  <si>
    <t>greedy, datastructures, heap, [hard to prove]</t>
  </si>
  <si>
    <t>greedy, induction or dp, [solve timus 1515 first]</t>
  </si>
  <si>
    <t>greedy, induction trick, math</t>
  </si>
  <si>
    <t>greedy, search, bitmasks, [LightedPanels]</t>
  </si>
  <si>
    <t>greedy, graph, dfs, sort states</t>
  </si>
  <si>
    <t>greedy, trees, sparse tables, euer, [lca-like] or hld</t>
  </si>
  <si>
    <t>greedy, graph, impl, [~=CF954-D2-G]</t>
  </si>
  <si>
    <t>greedy, math, [simple if know tower of hanoi]</t>
  </si>
  <si>
    <t>greedy, math, combinations or dp</t>
  </si>
  <si>
    <t>greedy, math, datastructures, [short impl]</t>
  </si>
  <si>
    <t>greedy, palindromes, string, [pigeonhole]</t>
  </si>
  <si>
    <t>greedy or game theory, nim</t>
  </si>
  <si>
    <t>greedy, math, constructive, symbolic representation</t>
  </si>
  <si>
    <t>greedy, [bad text?]</t>
  </si>
  <si>
    <t>Author yasser</t>
  </si>
  <si>
    <t>greedy, [easy idea, cases]</t>
  </si>
  <si>
    <t>greedy, print blank line between cases only WAs</t>
  </si>
  <si>
    <t>greedy, [easy greedy, many cases to impl]</t>
  </si>
  <si>
    <t>greedy, bf, math</t>
  </si>
  <si>
    <t>greedy, cases, impl</t>
  </si>
  <si>
    <t>greedy, comparison</t>
  </si>
  <si>
    <t>greedy, graph matchings</t>
  </si>
  <si>
    <t>greedy, math, search, constructive</t>
  </si>
  <si>
    <t>greedy, number theory</t>
  </si>
  <si>
    <t>greedy, search, strings</t>
  </si>
  <si>
    <t>greedy or ternary search</t>
  </si>
  <si>
    <t>greedy, [flow concepts needed]</t>
  </si>
  <si>
    <t>greedy, dp, bitmasks, [=APIO 15-sculpture]</t>
  </si>
  <si>
    <t>greedy, d&amp;c, constructive</t>
  </si>
  <si>
    <t>greedy, bf, mask, impl, lexicographically or dp_digits, dp_build_output</t>
  </si>
  <si>
    <t>Sol - not in editorial</t>
  </si>
  <si>
    <t>greedy, constructive, impl</t>
  </si>
  <si>
    <t>greedy, datastructures, impl</t>
  </si>
  <si>
    <t>greedy, induction trick, constructive</t>
  </si>
  <si>
    <t>greedy, math, ad-hoc, impl</t>
  </si>
  <si>
    <t>greedy, sort, prefix sum, [maybe solve SRM502-D1-500 first]</t>
  </si>
  <si>
    <t>greedy or dp, impl</t>
  </si>
  <si>
    <t>greedy, bf, impl, [tricky complexity]</t>
  </si>
  <si>
    <t>greedy, constructive, map</t>
  </si>
  <si>
    <t>greedy, observations, math</t>
  </si>
  <si>
    <t>Prove your sol</t>
  </si>
  <si>
    <t>greedy, prefix sum</t>
  </si>
  <si>
    <t>greedy, two pointers matching like</t>
  </si>
  <si>
    <t>greedy, sorting, math</t>
  </si>
  <si>
    <t>greedy, sorting, [exchange arguments]</t>
  </si>
  <si>
    <t>greedy, lexographical sol, [japaneese txt]</t>
  </si>
  <si>
    <t>greedy, datastructures, constructive, [https://github.com/magdy-hasan/competitive-programming/blob/4974957766ecea93197be6f59e4d8d09dc6a76a6/Codeforces/CF101917-gym-B.cpp]</t>
  </si>
  <si>
    <t>greedy, inversions</t>
  </si>
  <si>
    <t>greedy, sorting, datastructures, logic</t>
  </si>
  <si>
    <t>greedy or dijkstra, [multiple start nodes], [https://github.com/ahmedsamir221/CompetitiveProgramming/blob/master/CodeForces/CF101149-GYM-G.cpp]</t>
  </si>
  <si>
    <t>greedy, brute force, sorting</t>
  </si>
  <si>
    <t>Read editorials proof</t>
  </si>
  <si>
    <t>greedy, knapsack, math or ternary [https://github.com/ahmedsamir221/CompetitiveProgramming/blob/master/UVA/UVA%2012325.cpp]</t>
  </si>
  <si>
    <t>Prove your Solution</t>
  </si>
  <si>
    <t>greedy, matching or bipartite matching</t>
  </si>
  <si>
    <t>greedy, mod, math or segment tree, binary search</t>
  </si>
  <si>
    <t>Sol. Find proof (See editorial comments)</t>
  </si>
  <si>
    <t>greedy, job scheduling, datastructures, heap, [=CF101498-GYM-f]</t>
  </si>
  <si>
    <t>greedy, precision</t>
  </si>
  <si>
    <t>greedy, sortings, math</t>
  </si>
  <si>
    <t>Sol to read</t>
  </si>
  <si>
    <t>greedy, math, sorting</t>
  </si>
  <si>
    <t>greedy, search</t>
  </si>
  <si>
    <t>greedy, simulation, impl</t>
  </si>
  <si>
    <t>greedy, simulation, sortings, set, direct</t>
  </si>
  <si>
    <t>greedy, sorting, matching, multiset</t>
  </si>
  <si>
    <t>greedy, sortings, bf</t>
  </si>
  <si>
    <t>greedy, stack</t>
  </si>
  <si>
    <t>greedy, strings or bf</t>
  </si>
  <si>
    <t>greedy, simulation, priority queue, [WAs]</t>
  </si>
  <si>
    <t>greedy, sorting, dp</t>
  </si>
  <si>
    <t>greedy, sorting or segment tree</t>
  </si>
  <si>
    <t>greedy, [WAs]</t>
  </si>
  <si>
    <t>greedy, grid compress</t>
  </si>
  <si>
    <t>greedy, impl, math</t>
  </si>
  <si>
    <t>greedy, heap</t>
  </si>
  <si>
    <t>greedy, sweep</t>
  </si>
  <si>
    <t>greedy, impl, interactive</t>
  </si>
  <si>
    <t>greedy, bipartite matching</t>
  </si>
  <si>
    <t>greedy, load balancing greedy</t>
  </si>
  <si>
    <t>greedy, math, [prove it]</t>
  </si>
  <si>
    <t>Write correctness proof</t>
  </si>
  <si>
    <t>greedy or maybe kmp</t>
  </si>
  <si>
    <t>greedy, bfs</t>
  </si>
  <si>
    <t>greedy, datastructures, lowerbound</t>
  </si>
  <si>
    <t>greedy, impl, unclear text?</t>
  </si>
  <si>
    <t>greedy, prefix sum 2D</t>
  </si>
  <si>
    <t>greedy, search, sorting</t>
  </si>
  <si>
    <t>greedy, sorting, [PEs]</t>
  </si>
  <si>
    <t>greedy or search, d&amp;c, impl</t>
  </si>
  <si>
    <t>greedy, binary search, double</t>
  </si>
  <si>
    <t>greedy or backtrack, prune</t>
  </si>
  <si>
    <t>greedy or complete search</t>
  </si>
  <si>
    <t>greedy, search or bfs</t>
  </si>
  <si>
    <t>game theory, dfs, [observation]</t>
  </si>
  <si>
    <t>[33]</t>
  </si>
  <si>
    <t>game theory, sorting</t>
  </si>
  <si>
    <t>game theory, math</t>
  </si>
  <si>
    <t>game theory, [https://github.com/MetalBall887/Competitive-Programming/blob/master/TopCoder/SRM338-D1-1000.cpp]</t>
  </si>
  <si>
    <t>game theory</t>
  </si>
  <si>
    <t>No web sol so far?</t>
  </si>
  <si>
    <t>game theory, math, even/odd</t>
  </si>
  <si>
    <r>
      <t>game theory, bfs, </t>
    </r>
    <r>
      <rPr>
        <b/>
        <sz val="10"/>
        <color rgb="FF000000"/>
        <rFont val="Arial"/>
        <family val="2"/>
      </rPr>
      <t>impl</t>
    </r>
    <r>
      <rPr>
        <sz val="10"/>
        <color rgb="FF000000"/>
        <rFont val="Arial"/>
        <family val="2"/>
      </rPr>
      <t> or dp_depth, [mainly heavy impl]</t>
    </r>
  </si>
  <si>
    <t>game theory or dp_games, [http://www.voidcn.com/article/p-aqgjmhcx-bdu.html], [http://www.voidcn.com/article/p-wipzkilq-vy.html]</t>
  </si>
  <si>
    <t>game theory, pattern, observation, [https://github.com/goswami-rahul/competitive-coding/blob/master/CompetitiveProgramming/spoj/GAME2.cpp]</t>
  </si>
  <si>
    <t>game theory, expectation</t>
  </si>
  <si>
    <t>game theory, bfs, impl, [bfs for a game on graphs]</t>
  </si>
  <si>
    <t>game theory, [cases]</t>
  </si>
  <si>
    <t>game theory, observations</t>
  </si>
  <si>
    <t>game theory, cases, observations, [short impl]</t>
  </si>
  <si>
    <t>game theory, cases</t>
  </si>
  <si>
    <t>game theory, greedy or dp_digit</t>
  </si>
  <si>
    <t>NO Editorial</t>
  </si>
  <si>
    <t>game theory, pattern</t>
  </si>
  <si>
    <t>game theory, dfs or dp_games</t>
  </si>
  <si>
    <t>game theory, ad-hoc, [unclear/misleading txt]</t>
  </si>
  <si>
    <t>game theory, [Possible Moves of NIM]</t>
  </si>
  <si>
    <t>game theory, factorization, [Win unless 2 prime factors]</t>
  </si>
  <si>
    <t>game theory, backtrack</t>
  </si>
  <si>
    <t>game theory, tree</t>
  </si>
  <si>
    <t>game theory, divisors, greedy or dp_games</t>
  </si>
  <si>
    <t>game theory, observation, divisors or dp_games</t>
  </si>
  <si>
    <t>game theory, gcd, dfs or pattern, [why each time if I have multiple branches from the current state I can win, why always there is a win leaf state for me if I have multiple branches from the current state?]</t>
  </si>
  <si>
    <t>game theory, [tracing samples]</t>
  </si>
  <si>
    <t>Think in prove. See discussions</t>
  </si>
  <si>
    <t>game theory, nim</t>
  </si>
  <si>
    <t>[34]</t>
  </si>
  <si>
    <t>game theory, nim, [no editorials]</t>
  </si>
  <si>
    <t>game theory, nim, misere nim, [https://github.com/MetalBall887/Competitive-Programming/blob/master/TopCoder/SRM710-D1-500.cpp]</t>
  </si>
  <si>
    <t>game theory, nim, [nim?]</t>
  </si>
  <si>
    <t>game theory, nim, k-nim, [retreat is useless], [tricky cases]</t>
  </si>
  <si>
    <t>game theory, nim, linear independence, gaussian elimination</t>
  </si>
  <si>
    <t>game theory, nim, [staircase nim]</t>
  </si>
  <si>
    <t>game theory, nim, [=UVA 11534]</t>
  </si>
  <si>
    <t>game theory, nim, misere nim, [=LIVEARCHIVE 3830]</t>
  </si>
  <si>
    <t>game theory, nim, [need a prove]</t>
  </si>
  <si>
    <t>Notes to read</t>
  </si>
  <si>
    <t>game theory, nim, direct, standard</t>
  </si>
  <si>
    <t>game theory, nim, k-nim, gaussian elimination, bitmasks %3</t>
  </si>
  <si>
    <t>game theory, grundy or pattern</t>
  </si>
  <si>
    <t>[35]</t>
  </si>
  <si>
    <t>game theory, grundy</t>
  </si>
  <si>
    <t>game theory, grundy, compound games, WTIA</t>
  </si>
  <si>
    <t>game theory, grundy, smallest # steps</t>
  </si>
  <si>
    <t>game theory, grundy, dp, [Interesting way to reduce dp states]</t>
  </si>
  <si>
    <t>game theory, grundy, trie, [https://github.com/farmerboy95/CompetitiveProgramming/blob/master/AtCoder/AtCoder087-ARC-C.cpp]</t>
  </si>
  <si>
    <t>game theory, grundy, trees, geometry</t>
  </si>
  <si>
    <t>game theory, grundy or dp_games</t>
  </si>
  <si>
    <t>game theory, grundy, graph</t>
  </si>
  <si>
    <t>game theory, grundy, [https://github.com/MetalBall887/Competitive-Programming/blob/master/UVA/UVA%201378.cpp]</t>
  </si>
  <si>
    <t>game theory, grundy, [tricky cases]</t>
  </si>
  <si>
    <t>game theory, grundy, bitmasks, [independence property - 2d grid]</t>
  </si>
  <si>
    <t>game theory, grundy, datastructures</t>
  </si>
  <si>
    <t>game theory, grundy, bitset</t>
  </si>
  <si>
    <t>game theory, grundy, dp on segment tree</t>
  </si>
  <si>
    <t>game theory, grundy, [=SRM624-D2-1000]</t>
  </si>
  <si>
    <t>game theory, grundy, mex sub-states first, cases analysis, impl, [~SPOJ CHAOS_CC, UVA 10561 - https://github.com/Mahmoud3ali/CompetitiveProgramming/blob/master/UVA/UVA%2010561.cpp https://github.com/goswami-rahul/competitive-coding/blob/master/CompetitiveProgramming/spoj/TRIOMINO.cpp ]</t>
  </si>
  <si>
    <t>game theory, grundy, observations</t>
  </si>
  <si>
    <t>game theory, grundy, primes</t>
  </si>
  <si>
    <t>game theory, grundy, xor properties or games</t>
  </si>
  <si>
    <t>game theory, grundy, segment tree</t>
  </si>
  <si>
    <t>game theory, grundy, sieve</t>
  </si>
  <si>
    <t>game theory, grundy, seive</t>
  </si>
  <si>
    <t>game theory, grundy, mex sub-states first</t>
  </si>
  <si>
    <t>game theory, grundy, dp or formula</t>
  </si>
  <si>
    <t>game theory, grundy, recursive pattern</t>
  </si>
  <si>
    <t>game theory, grundy, pattern</t>
  </si>
  <si>
    <t>game theory, wythoff's game</t>
  </si>
  <si>
    <t>[36]</t>
  </si>
  <si>
    <t>game theory, wythoff's game or dp</t>
  </si>
  <si>
    <t>game theory, wythoff's game, winner first action</t>
  </si>
  <si>
    <t>[37]</t>
  </si>
  <si>
    <t>geometry, trigonometry</t>
  </si>
  <si>
    <t>geometry, trigonometry, bf, counting</t>
  </si>
  <si>
    <t>geometry, ad-hoc</t>
  </si>
  <si>
    <t>geometry, bf, [pack cyclinders in triangles]</t>
  </si>
  <si>
    <t>NO SOL</t>
  </si>
  <si>
    <t>geometry, trianges, search, [contour lines, closed form to avoid TLE]</t>
  </si>
  <si>
    <t>geometry, trigonometry, counting</t>
  </si>
  <si>
    <t>geometry, binary search, [cp, dp]</t>
  </si>
  <si>
    <t>geometry, greedy</t>
  </si>
  <si>
    <t>geometry, binary search, impl</t>
  </si>
  <si>
    <t>geometry, dp</t>
  </si>
  <si>
    <t>geometry, impl, sortings</t>
  </si>
  <si>
    <t>geometry, binary search, circles</t>
  </si>
  <si>
    <t>geometry, binary search, tangents</t>
  </si>
  <si>
    <t>geometry, canonicalize, 3d, bf</t>
  </si>
  <si>
    <t>geometry, impl, bf, [clock segments, hardcode shapes, many ignored in contest]</t>
  </si>
  <si>
    <t>geometry, rectangles</t>
  </si>
  <si>
    <t>geometry, rectangles, rectangles intersection, dfs or ad-hoc</t>
  </si>
  <si>
    <t>geometry, search, some search technique, ??</t>
  </si>
  <si>
    <t>geometry, triangles</t>
  </si>
  <si>
    <t>geometry, impl, polygon cut? or voronoi</t>
  </si>
  <si>
    <t>geometry, probability, [ignore small probabilities trick ]</t>
  </si>
  <si>
    <t>geometry, [ElSaghier: O(n^2 log n). Package solution with hashmaps and sets O(n^3)]</t>
  </si>
  <si>
    <t>geometry, analysis, equations, binary search</t>
  </si>
  <si>
    <t>geometry, binary search, hard to impl</t>
  </si>
  <si>
    <t>geometry, constructive</t>
  </si>
  <si>
    <t>geometry, counting or fft, [seems easy with fft]</t>
  </si>
  <si>
    <t>geometry, formula</t>
  </si>
  <si>
    <t>geometry, gcd</t>
  </si>
  <si>
    <t>geometry, math, simulation</t>
  </si>
  <si>
    <t>geometry, planarity</t>
  </si>
  <si>
    <t>geometry, precision</t>
  </si>
  <si>
    <t>geometry, segments. impl</t>
  </si>
  <si>
    <t>geometry, transformation, impl, cases</t>
  </si>
  <si>
    <t>geometry, triangles, angles</t>
  </si>
  <si>
    <t>geometry, angles, sorting, [how many trapezoids], [https://morris821028.github.io/2014/12/09/uva-11123/]</t>
  </si>
  <si>
    <t>geometry, plane, [rotate rectangle to fit]</t>
  </si>
  <si>
    <t>geometry, ternary search, constructive or geometry</t>
  </si>
  <si>
    <t>geometry, angles, binary search</t>
  </si>
  <si>
    <t>geometry, area, volume</t>
  </si>
  <si>
    <t>sol at</t>
  </si>
  <si>
    <r>
      <t>geometry, pattern, </t>
    </r>
    <r>
      <rPr>
        <b/>
        <sz val="10"/>
        <color rgb="FF000000"/>
        <rFont val="Arial"/>
        <family val="2"/>
      </rPr>
      <t>impl</t>
    </r>
  </si>
  <si>
    <t>geometry, [Nqrt(N)log(N)], [#right angle triangles]</t>
  </si>
  <si>
    <t>web sol TLE</t>
  </si>
  <si>
    <t>geometry, ellipse</t>
  </si>
  <si>
    <t>geometry, vornoi diagram, shortest path, [yasser sol use no voronoi]</t>
  </si>
  <si>
    <t>geometry, angles, bf, rotate, [try every 0.01, rotate path of points]</t>
  </si>
  <si>
    <t>geometry, bfs</t>
  </si>
  <si>
    <t>geometry, search</t>
  </si>
  <si>
    <t>Sol - Text/Background Clarification</t>
  </si>
  <si>
    <t>geometry, angles, intersections</t>
  </si>
  <si>
    <t>geometry, bf, baby step</t>
  </si>
  <si>
    <t>geometry, rectangles, multiview, impl</t>
  </si>
  <si>
    <t>geometry, rectangles, math</t>
  </si>
  <si>
    <t>geometry, constructive, observation</t>
  </si>
  <si>
    <t>geometry, math, [middle points reflection]</t>
  </si>
  <si>
    <t>geometry, datastructures, intersection</t>
  </si>
  <si>
    <t>geometry, ad-hoc or min-cost-max-flow</t>
  </si>
  <si>
    <t>geometry, rectangles, bf</t>
  </si>
  <si>
    <t>geometry, triangulation, intersections, dp, [is diagonal functionality]</t>
  </si>
  <si>
    <t>geometry, rectangles, sorting</t>
  </si>
  <si>
    <t>geometry, angles, sorting, impl</t>
  </si>
  <si>
    <t>geometry, angles, [sum coverage of apartments]</t>
  </si>
  <si>
    <t>geometry, formula, calculus or lagrange multiplier</t>
  </si>
  <si>
    <t>geometry, triangles or ternary search, [ts https://apps.topcoder.com/forums/?module=Thread&amp;threadID=630623&amp;start=0&amp;mc=7#1052585]</t>
  </si>
  <si>
    <t>geometry, [high school]</t>
  </si>
  <si>
    <t>geometry, points</t>
  </si>
  <si>
    <t>geometry, triangles, hero's formula, sorting</t>
  </si>
  <si>
    <t>Sol - Prove</t>
  </si>
  <si>
    <t>geometry, binary search, dijsktra</t>
  </si>
  <si>
    <t>geometry, binary search, Interactive</t>
  </si>
  <si>
    <t>geometry, ad-hoc, math, interactive</t>
  </si>
  <si>
    <t>geometry, [ppl scared in contest, but easy], [bad statement?]</t>
  </si>
  <si>
    <t>ol</t>
  </si>
  <si>
    <t>geometry, binary search, bfs or dijkstra</t>
  </si>
  <si>
    <t>geometry, equations</t>
  </si>
  <si>
    <t>geometry, bf or d&amp;c</t>
  </si>
  <si>
    <t>geometry, grid compress, [like a sweep, count rectangles have no pts], [can be done without compression, but strict tl https://github.com/aboodJAD/CompetitiveProgramming/blob/master/UVA/UVA%2012957.cpp]</t>
  </si>
  <si>
    <t>geometry, plane graph, euler</t>
  </si>
  <si>
    <t>geometry, triangles, number theory, constructive</t>
  </si>
  <si>
    <t>geometry, quadrilateral, Brahmagupta's formula</t>
  </si>
  <si>
    <t>geometry, translation, parallelogram</t>
  </si>
  <si>
    <t>geometry, area of an ellipsis, pythagoras' theorem</t>
  </si>
  <si>
    <t>geometry, atan2, [high precision sensitive problem]</t>
  </si>
  <si>
    <t>geometry, mod</t>
  </si>
  <si>
    <t>geometry, probability</t>
  </si>
  <si>
    <t>geometry, rectangles, bf or greedy</t>
  </si>
  <si>
    <t>geometry, square, 2d grid, [hard text]</t>
  </si>
  <si>
    <t>geometry, angles, [angle sort]</t>
  </si>
  <si>
    <t>geometry, impl, area from 3 points</t>
  </si>
  <si>
    <t>geometry, binary search, physics, [EPS handling: read editorial]</t>
  </si>
  <si>
    <t>geometry, [hard text?]</t>
  </si>
  <si>
    <t>Sol with a problem Summary</t>
  </si>
  <si>
    <t>geometry, [tricky cases]</t>
  </si>
  <si>
    <t>geometry, angles, [heron]</t>
  </si>
  <si>
    <t>geometry, angles, [impl, short code]</t>
  </si>
  <si>
    <t>geometry, angles, simulation, [precision]</t>
  </si>
  <si>
    <t>geometry, bf, impl</t>
  </si>
  <si>
    <t>geometry, binary search, physics</t>
  </si>
  <si>
    <t>geometry, calculus, quadratic equation</t>
  </si>
  <si>
    <t>geometry, great circle distances</t>
  </si>
  <si>
    <t>geometry, great circle distances, brute force</t>
  </si>
  <si>
    <t>Read ME first</t>
  </si>
  <si>
    <t>geometry, greedy, [annoying output]</t>
  </si>
  <si>
    <t>geometry, math</t>
  </si>
  <si>
    <t>geometry, or equations</t>
  </si>
  <si>
    <t>geometry, rectangles intersect, impl</t>
  </si>
  <si>
    <t>geometry, squares, ad-hoc or floyd</t>
  </si>
  <si>
    <t>geometry, triangles, [precision]</t>
  </si>
  <si>
    <t>geometry, trinagles, bfs, simulation</t>
  </si>
  <si>
    <t>My video</t>
  </si>
  <si>
    <t>geometry, impl</t>
  </si>
  <si>
    <t>geometry, [meeting point]</t>
  </si>
  <si>
    <t>geometry, rectangles, rectangles intersection</t>
  </si>
  <si>
    <t>geometry, simulation</t>
  </si>
  <si>
    <t>geometry, triangles, triangle inequality</t>
  </si>
  <si>
    <t>geometry, rectangles, [overlap area, =UVA 460]</t>
  </si>
  <si>
    <t>Text Note: Points are unique</t>
  </si>
  <si>
    <t>geometry, angles, [sort based on angles]</t>
  </si>
  <si>
    <t>geometry, angles, squares, bf</t>
  </si>
  <si>
    <t>geometry, dsu</t>
  </si>
  <si>
    <t>geometry, sortings</t>
  </si>
  <si>
    <t>geometry, circles, tangents, [intersections, long impl]</t>
  </si>
  <si>
    <t>[38]</t>
  </si>
  <si>
    <t>geometry, circles, [annoying precision]</t>
  </si>
  <si>
    <t>geometry, circles or voronoi, [tourist voronoi http://codeforces.com/contest/442/submission/6921847], [Blagewoosh #6 trick]</t>
  </si>
  <si>
    <t>geometry, circles, tangents, lines, lines intersection</t>
  </si>
  <si>
    <t>geometry, circles, bitmasks</t>
  </si>
  <si>
    <t>geometry, circles, search, easy idea hard impl or hard idea easy impl</t>
  </si>
  <si>
    <t>geometry, circles, sector area, binary search</t>
  </si>
  <si>
    <t>geometry, circles, dfs, ad-hoc</t>
  </si>
  <si>
    <t>geometry, circles or min enclosing circle, recheck??</t>
  </si>
  <si>
    <t>geometry, circles, binary search</t>
  </si>
  <si>
    <t>geometry, circles, intersections</t>
  </si>
  <si>
    <t>geometry, circles, intersections, angles</t>
  </si>
  <si>
    <t>geometry, circles, sector, angles, bad statement?</t>
  </si>
  <si>
    <t>geometry, circles, tangents</t>
  </si>
  <si>
    <t>geometry, circles, lines, intersections, impl</t>
  </si>
  <si>
    <t>geometry, circles, observation, stl or segment tree</t>
  </si>
  <si>
    <t>geometry, circles, planer graph, [eps prune]</t>
  </si>
  <si>
    <t>geometry, circles, rotation</t>
  </si>
  <si>
    <t>geometry, circles, rotation or ad-hoc, generation</t>
  </si>
  <si>
    <t>geometry, circles, tangents, point on segment, precision, [https://github.com/ZeyadKhattab/Competitive-Programming/blob/master/UVA/UVA%2010180.java https://github.com/ahmedsamir221/CompetitiveProgramming/blob/master/UVA/UVA%2010180.cpp]</t>
  </si>
  <si>
    <t>geometry, circles, binay search or ternary search</t>
  </si>
  <si>
    <t>p4 v3</t>
  </si>
  <si>
    <t>geometry, circles, min enclosing circle, [=SPOJ QCJ4]</t>
  </si>
  <si>
    <t>Sol - Practice on min enclosing circle</t>
  </si>
  <si>
    <t>geometry, circles, distances, triangles</t>
  </si>
  <si>
    <t>geometry, circles, triangles</t>
  </si>
  <si>
    <t>geometry, circles, [max points in the circle circumf]</t>
  </si>
  <si>
    <t>geometry, circles, bf</t>
  </si>
  <si>
    <t>geometry, circles, [segment-circle intersection]</t>
  </si>
  <si>
    <t>geometry, lines, intersections, [long impl]</t>
  </si>
  <si>
    <t>[39]</t>
  </si>
  <si>
    <t>geometry, lines, intersections, rotate</t>
  </si>
  <si>
    <t>geometry, lines, distances, binary search, dfs</t>
  </si>
  <si>
    <t>geometry, lines, [russian editorial only]</t>
  </si>
  <si>
    <t>geometry, lines, intersections, symmetry</t>
  </si>
  <si>
    <t>geometry, lines, ternary search or math, [approximate the polynomial curve from 2 polylines]</t>
  </si>
  <si>
    <t>geometry, lines, distances</t>
  </si>
  <si>
    <t>geometry, lines, angles</t>
  </si>
  <si>
    <t>geometry, lines, ccw</t>
  </si>
  <si>
    <t>geometry, lines, combinatrocis</t>
  </si>
  <si>
    <t>geometry, lines, LIS</t>
  </si>
  <si>
    <t>geometry, lines, tangents, impl</t>
  </si>
  <si>
    <r>
      <t>geometry, lines, floyd, </t>
    </r>
    <r>
      <rPr>
        <b/>
        <sz val="10"/>
        <color rgb="FF000000"/>
        <rFont val="Arial"/>
        <family val="2"/>
      </rPr>
      <t>hard to impl</t>
    </r>
  </si>
  <si>
    <t>geometry, lines, triangles</t>
  </si>
  <si>
    <t>geometry, lines, dijkstra, impl, [https://github.com/LeTrongDat/CompetitiveProgramming/blob/master/SPOJ/WIJGT.cpp], [https://github.com/taran-1407/CompetitveProgrammingDirectories/blob/master/SPOJ/SPOJ%20WIJGT.java]</t>
  </si>
  <si>
    <t>geometry, lines, distances, shrink</t>
  </si>
  <si>
    <t>geometry, lines, [reflection trick]</t>
  </si>
  <si>
    <t>Sol. See also Eryx's solution</t>
  </si>
  <si>
    <t>geometry, lines, [perpendicular bisectors]</t>
  </si>
  <si>
    <t>geometry, lines, binary search or ad-hoc, [need high school background: poin reflection]</t>
  </si>
  <si>
    <t>p1 v5</t>
  </si>
  <si>
    <t>geometry, lines, distances, projection</t>
  </si>
  <si>
    <t>geometry, lines, precision, math, [ternary fails]</t>
  </si>
  <si>
    <t>geometry, lines, slopes</t>
  </si>
  <si>
    <t>geometry, lines, intersection, triangles</t>
  </si>
  <si>
    <t>geometry, lines, polyline intersection, bf, NA??</t>
  </si>
  <si>
    <t>geometry, lines, distances, ad-hoc</t>
  </si>
  <si>
    <t>geometry, lines, impl, [boring]</t>
  </si>
  <si>
    <t>geometry, lines, bf</t>
  </si>
  <si>
    <t>geometry, lines, dfs, impl</t>
  </si>
  <si>
    <t>geometry, lines, lines intersection</t>
  </si>
  <si>
    <t>Don't code O(N^3). Sols to read.</t>
  </si>
  <si>
    <t>geometry, lines intersection</t>
  </si>
  <si>
    <t>geometry, lines, [in videos]</t>
  </si>
  <si>
    <t>geometry, lines, intersections, [=uva 273??]</t>
  </si>
  <si>
    <t>geometry, lines, slope</t>
  </si>
  <si>
    <t>[40]</t>
  </si>
  <si>
    <t>geometry, polygon, analysis</t>
  </si>
  <si>
    <t>geometry, polygon, circles, dp</t>
  </si>
  <si>
    <t>geometry, polygon, dijkstra</t>
  </si>
  <si>
    <t>geometry, polygon, centroid</t>
  </si>
  <si>
    <t>Sol at</t>
  </si>
  <si>
    <t>geometry, polygon, polygon intersection, ternary search</t>
  </si>
  <si>
    <t>geometry, polygon, formula, combinatorics, [regular polygon counting]</t>
  </si>
  <si>
    <t>geometry, polygon, lines, intersections</t>
  </si>
  <si>
    <t>geometry, polygon, pip, segments, visibility, dijkstra, binary search</t>
  </si>
  <si>
    <t>geometry, polygon, angles, intersections</t>
  </si>
  <si>
    <t>geometry, polygon, circle-convex poly intersection</t>
  </si>
  <si>
    <t>geometry, polygon, pip, bfs or dfs</t>
  </si>
  <si>
    <t>geometry, polygon, segments, bit</t>
  </si>
  <si>
    <t>geometry, polygon, triangles, ccw, dp</t>
  </si>
  <si>
    <t>geometry, polygon or triangles or convex hull</t>
  </si>
  <si>
    <t>geometry, polygon, [polygons-ellipse intersections]</t>
  </si>
  <si>
    <t>geometry, polygon, centroid, polyhedron</t>
  </si>
  <si>
    <t>geometry, polygon, centroid, precision</t>
  </si>
  <si>
    <t>geometry, polygon, construtive algorithm, sub-polygons, dijkstra, [compute covered area of polygon of specific holes]</t>
  </si>
  <si>
    <t>geometry, polygon, dp</t>
  </si>
  <si>
    <t>geometry, polygon, observations, bf, impl, tricky, precision, [~=UVA 10867]</t>
  </si>
  <si>
    <t>geometry, polygon, pip</t>
  </si>
  <si>
    <t>geometry, polygon, pip, intersections</t>
  </si>
  <si>
    <t>geometry, polygon, polygon-cut-circle</t>
  </si>
  <si>
    <t>geometry, polygon, search</t>
  </si>
  <si>
    <t>geometry, polygon, angles, rotations</t>
  </si>
  <si>
    <t>geometry, polygon, backtrack</t>
  </si>
  <si>
    <t>geometry, polygon, online code WA</t>
  </si>
  <si>
    <t>geometry, polygon, constructive</t>
  </si>
  <si>
    <t>geometry, polygon, centroid, rotations, precision</t>
  </si>
  <si>
    <t>geometry, polygon, pip, lines, intersections</t>
  </si>
  <si>
    <t>geometry, polygon, Manhattan2DRotation, greedy</t>
  </si>
  <si>
    <t>geometry, polygon, countings, shoelace formula or harder impl</t>
  </si>
  <si>
    <t>geometry, polygon, sortings, multiview</t>
  </si>
  <si>
    <t>geometry, polygon, triangles, lines, intersections</t>
  </si>
  <si>
    <t>geometry, polygon, centriod, hard to understand?</t>
  </si>
  <si>
    <t>geometry, polygon, combinatorics</t>
  </si>
  <si>
    <t>geometry, polygon, pip, intersections, impl or convex hull or polygon cut</t>
  </si>
  <si>
    <t>geometry, polygon, [cases]</t>
  </si>
  <si>
    <t>geometry, polygon, convex, kmp, [mix of 2 concepts]</t>
  </si>
  <si>
    <t>geometry, polygon, bf, [polygon area]</t>
  </si>
  <si>
    <t>geometry, polygon, pip, circles, tangets, segments, bf</t>
  </si>
  <si>
    <t>geometry, polygon, [may use shoelace formula]</t>
  </si>
  <si>
    <t>geometry, polygon, angles, [long doubles?]</t>
  </si>
  <si>
    <t>geometry, polygon, perimeter</t>
  </si>
  <si>
    <t>geometry, polygon, [bad precision]</t>
  </si>
  <si>
    <t>geometry, polygon, polygon cut, binary search</t>
  </si>
  <si>
    <t>Other sol at - ~= LIVEARCHIVE 3890</t>
  </si>
  <si>
    <t>[41]</t>
  </si>
  <si>
    <t>Code sol on disk: ZOJ 2325</t>
  </si>
  <si>
    <t>geometry, polygon, polygon cut, lines</t>
  </si>
  <si>
    <t>geometry, polygon, polygon cut, pip, convex hull, ccw</t>
  </si>
  <si>
    <t>geometry, polygon, polygon cut, pip, convex hull, is convex</t>
  </si>
  <si>
    <t>geometry, polygon, polygon cut, lines, pip, convex hull</t>
  </si>
  <si>
    <t>geometry, polygon, polygon cut, backtrack, impl</t>
  </si>
  <si>
    <t>geometry, polygon, polygon cut or ad-hoc</t>
  </si>
  <si>
    <t>Use polygon cut</t>
  </si>
  <si>
    <t>geometry, polygon, polygon cut or ad-hoc, triangles</t>
  </si>
  <si>
    <t>Solve using polygon cut</t>
  </si>
  <si>
    <t>geometry, polygon, polygon cut or pip, intersections or convex hull</t>
  </si>
  <si>
    <t>geometry, polygon, polygon cut or ad-hoc. [largest empty circle]</t>
  </si>
  <si>
    <t>geometry, polygon, convex hull, dijkstra</t>
  </si>
  <si>
    <t>[42]</t>
  </si>
  <si>
    <t>geometry, polygon, convex hull, [domain reinterpretion]</t>
  </si>
  <si>
    <t>geometry, polygon, convex hull, [mapping to points, optimize x*y]</t>
  </si>
  <si>
    <t>Notes</t>
  </si>
  <si>
    <t>geometry, polygon, convex hull, [pack polygon in rectangle]</t>
  </si>
  <si>
    <t>Web sol</t>
  </si>
  <si>
    <t>geometry, polygon, convex hull, polygon area, dp</t>
  </si>
  <si>
    <t>geometry, polygon, convex hull</t>
  </si>
  <si>
    <t>geometry, polygon, convex hull, distances, dp, impl</t>
  </si>
  <si>
    <t>geometry, polygon, convex hull, pip, intersections, [Min Enclosing Rectangle]</t>
  </si>
  <si>
    <t>geometry, polygon, convex hull, circles, [fence length]</t>
  </si>
  <si>
    <t>ONLINE sol WA</t>
  </si>
  <si>
    <t>geometry, polygon, convex hull, triangle area, two pointers</t>
  </si>
  <si>
    <t>geometry, polygon, convex hull, dp, angles</t>
  </si>
  <si>
    <t>geometry, polygon, convex hull, pip, intersections</t>
  </si>
  <si>
    <t>geometry, polygon, convex hull, segments, angles, binary search</t>
  </si>
  <si>
    <t>geometry, polygon, convex hull, pip, pip logn, intersections, lines</t>
  </si>
  <si>
    <t>geometry, polygon, convex hull, ad-hoc</t>
  </si>
  <si>
    <t>geometry, polygon, convex hull, monotone chain</t>
  </si>
  <si>
    <t>geometry, polygon, convex hull, polygon intersection, pip</t>
  </si>
  <si>
    <t>geometry, polygon, convex hull, impl</t>
  </si>
  <si>
    <t>geometry, polygon, convex hull, integer ternary search, rotating calipers</t>
  </si>
  <si>
    <t>geometry, polygon, convex hull, pip, pip logn</t>
  </si>
  <si>
    <t>geometry, polygon, convex hull, rotate, polygon cut</t>
  </si>
  <si>
    <t>geometry, polygon, convex hull or ad-hoc</t>
  </si>
  <si>
    <t>geometry, polygon, convex hull, [polygons intersection]</t>
  </si>
  <si>
    <t>geometry, polygon, convex hull, circles</t>
  </si>
  <si>
    <t>geometry, polygon, convex hull, distances</t>
  </si>
  <si>
    <t>geometry, polygon, convex hull, pip</t>
  </si>
  <si>
    <t>geometry, polygon, convex hull, pip, [standard]</t>
  </si>
  <si>
    <t>geometry, polygon, convex hull, polygon area</t>
  </si>
  <si>
    <t>geometry, polygon, convex hull, tree</t>
  </si>
  <si>
    <t>geometry, polygon, convex hull, [print CH]</t>
  </si>
  <si>
    <t>geometry, polygon, convex hull, centroid, [close ideas of area/preimeter UVA 218, UVA 11096, UVA 1206, SRM249-D1-1000, UVA 10065]</t>
  </si>
  <si>
    <t>[43]</t>
  </si>
  <si>
    <t>geometry, polygon, pick's theorem, ??</t>
  </si>
  <si>
    <t>geometry, polygon, pick's theorem or pattern</t>
  </si>
  <si>
    <t>geometry, sweep line</t>
  </si>
  <si>
    <t>[44]</t>
  </si>
  <si>
    <t>geometry, sweep line, bbst</t>
  </si>
  <si>
    <t>geometry, sweep line, polygon</t>
  </si>
  <si>
    <t>geometry, sweep line, impl, [total circles area]</t>
  </si>
  <si>
    <t>geometry, sweep line, circles, lines, intersections</t>
  </si>
  <si>
    <t>geometry, sweep line, bit or segment tree</t>
  </si>
  <si>
    <t>geometry, sweep line, polyline, [MLE]</t>
  </si>
  <si>
    <t>geometry, sweep line, polygons or ad-hoc, d&amp;c, [can use seg tree with sweep]</t>
  </si>
  <si>
    <t>geometry, sweep line, segment tree, binary search</t>
  </si>
  <si>
    <t>geometry, sweep line, lines, intersections, triangles</t>
  </si>
  <si>
    <r>
      <t>geometry, sweep line, segments, topological sort, </t>
    </r>
    <r>
      <rPr>
        <b/>
        <sz val="10"/>
        <color rgb="FF000000"/>
        <rFont val="Arial"/>
        <family val="2"/>
      </rPr>
      <t>hard to impl</t>
    </r>
  </si>
  <si>
    <t>geometry, sweep line or datastructures or dsu, greedy, bf [largest rectangle (empty) area, N=1000, =UVA 1312]</t>
  </si>
  <si>
    <t>geometry, sweep line, angular sweep, [fixed circle radius contains max points], [https://github.com/DrSchwad/CompetitiveProgramming/blob/master/SPOJ/SPOJ%20CERC07C.cpp]</t>
  </si>
  <si>
    <t>geometry, sweep line, angular sweep, polygon, constructive, [build polygon], [https://github.com/morris821028/UVa/blob/master/volume122/12226%20-%20Simple%20Polygon.cpp]</t>
  </si>
  <si>
    <t>geometry, sweep line, binary search, datastructures</t>
  </si>
  <si>
    <t>geometry, sweep line, pip, lines, intersections, angles</t>
  </si>
  <si>
    <t>geometry, sweep line, segments</t>
  </si>
  <si>
    <t>geometry, sweep line, circles, [covered grid pos]</t>
  </si>
  <si>
    <t>geometry, sweep line, angular sweep, two pointers, [line splits points equally], [https://blog.csdn.net/zxy_snow/article/details/6692271]</t>
  </si>
  <si>
    <t>geometry, sweep line, segment tree, lazy</t>
  </si>
  <si>
    <t>geometry, sweep line, rectangles, dp, [simple sweep with little smart dp]</t>
  </si>
  <si>
    <t>geometry, sweep line, sets</t>
  </si>
  <si>
    <t>geometry, sweep line or hasing or rmq</t>
  </si>
  <si>
    <t>geometry, sweep line, [may solve SPOJ NICEDAY]</t>
  </si>
  <si>
    <t>geometry, sweep line, impl or bf</t>
  </si>
  <si>
    <t>geometry, sweep line or ad-hoc</t>
  </si>
  <si>
    <t>geometry, sweep line, circles</t>
  </si>
  <si>
    <t>geometry, sweep line, greedy or bit, binary search</t>
  </si>
  <si>
    <t>geometry, sweep line, grid compress</t>
  </si>
  <si>
    <t>geometry, sweep line, binary search</t>
  </si>
  <si>
    <t>geometry, sweep line or ad-hoc or bf</t>
  </si>
  <si>
    <t>Don't solve using BF/Greedy/ad-hoc ways. Use a technique</t>
  </si>
  <si>
    <t>geometry, sweep line, [standard], [video, direct on segments]</t>
  </si>
  <si>
    <t>geometry, sweep line, [https://github.com/YazanZebak/CompetitiveProgramming/blob/master/Codeforces/CF100622-GYM-C.cpp]</t>
  </si>
  <si>
    <t>geometry, sweep line, radical sweep or ad-hoc, slope, map, [simple version UVA 12194]</t>
  </si>
  <si>
    <t>geometry, sweep line or segment tree, [rectangles primeter]</t>
  </si>
  <si>
    <t>geometry, sweep line, polyline or greedy, [TLE]</t>
  </si>
  <si>
    <t>geometry, sweep line, [rectangles area, in video]</t>
  </si>
  <si>
    <t>Sol must read - video code has bug</t>
  </si>
  <si>
    <t>geometry, sweep line, closest pair, [~=SPOJ CLOPPAIR]</t>
  </si>
  <si>
    <t>geometry, sweep line, closest pair, [~=URI 1295]</t>
  </si>
  <si>
    <t>geometry, sweep line or greedy</t>
  </si>
  <si>
    <t>Use sweep algorithm. Sol</t>
  </si>
  <si>
    <t>geometry, 3d, circles intersection, graph</t>
  </si>
  <si>
    <t>[45]</t>
  </si>
  <si>
    <t>geometry, 3d, trinagles, dfs, hard impl</t>
  </si>
  <si>
    <t>geometry, 3d, cylinder</t>
  </si>
  <si>
    <t>geometry, 3d, integration, simpson</t>
  </si>
  <si>
    <t>geometry, 3d</t>
  </si>
  <si>
    <t>geometry, 3d, counting, impl, [no knolwedge needed]</t>
  </si>
  <si>
    <t>geometry, 3d, convex hull</t>
  </si>
  <si>
    <t>geometry, 3d, binary search</t>
  </si>
  <si>
    <t>geometry, 3d, dijkstra</t>
  </si>
  <si>
    <t>geometry, 3d, floodfill</t>
  </si>
  <si>
    <t>geometry, 3d, ternary search or convex hull, ad-hoc</t>
  </si>
  <si>
    <t>geometry, 3d, integration, simpson, [cylinder]</t>
  </si>
  <si>
    <t>geometry, 3d, sphere, bf, next_permutation</t>
  </si>
  <si>
    <t>geometry, 3d, [differentiation needed for proof]</t>
  </si>
  <si>
    <t>geometry, 3d, impl, math, [physics, kinematics], [independence property on dimensions]</t>
  </si>
  <si>
    <t>geometry, 3d, lines, distances, binary search, precision, [line segment in 3D plane]</t>
  </si>
  <si>
    <t>geometry, 3d, sorting, ad-hoc, constructive</t>
  </si>
  <si>
    <t>geometry, 3d, sphere, floyd</t>
  </si>
  <si>
    <t>geometry, 3d, cones, volumes, formula</t>
  </si>
  <si>
    <t>geometry, 3d, great circle distance</t>
  </si>
  <si>
    <t>geometry, 3d, ternary search</t>
  </si>
  <si>
    <t>[46]</t>
  </si>
  <si>
    <t>graph, cycles, [=UVA 11446]</t>
  </si>
  <si>
    <t>graph, cycles</t>
  </si>
  <si>
    <t>graph, datastructures, [smallest topological labelling]</t>
  </si>
  <si>
    <t>graph, mods, randomization</t>
  </si>
  <si>
    <t>graph, ad-hoc, impl</t>
  </si>
  <si>
    <t>graph, trees, math</t>
  </si>
  <si>
    <t>graph, cc, cycles, [cases]</t>
  </si>
  <si>
    <t>graph, coprimes, dfs</t>
  </si>
  <si>
    <t>graph, datastructures or centroid-decomposition, TLEs</t>
  </si>
  <si>
    <t>graph, tree, cycles, impl</t>
  </si>
  <si>
    <t>graph, bicoloring, ad-hoc constructive</t>
  </si>
  <si>
    <t>graph, trees, [small-to-large trick]</t>
  </si>
  <si>
    <t>graph, trees, binary search, interactive</t>
  </si>
  <si>
    <t>graph, cycles, dp_counting, [cases]</t>
  </si>
  <si>
    <t>graph, clique</t>
  </si>
  <si>
    <t>graph, dominator tree</t>
  </si>
  <si>
    <t>graph, math</t>
  </si>
  <si>
    <t>graph, steiner tree, floyd</t>
  </si>
  <si>
    <t>graph, matchings, dp_bitmasks, [misc]</t>
  </si>
  <si>
    <t>graph, matrices, constructive, matrix pow</t>
  </si>
  <si>
    <t>graph, steiner tree</t>
  </si>
  <si>
    <t>graph, tree, math, constructive</t>
  </si>
  <si>
    <t>graph, bf, dfs, ad-hoc</t>
  </si>
  <si>
    <t>graph, ad-hoc, constructive, center of tree, [centroid-decomposition for the proof]</t>
  </si>
  <si>
    <t>graph, binary search, [scc related]</t>
  </si>
  <si>
    <t>graph, Cayley's formula, combinatorics</t>
  </si>
  <si>
    <t>graph, tree compress</t>
  </si>
  <si>
    <t>graph, binary search, [Erdos–Gallai theorem]</t>
  </si>
  <si>
    <t>graph, clique, bitmasks</t>
  </si>
  <si>
    <t>Author me</t>
  </si>
  <si>
    <t>graph, max flow</t>
  </si>
  <si>
    <t>graph, xor, euler, impl</t>
  </si>
  <si>
    <t>graph, constructive, dfs</t>
  </si>
  <si>
    <t>graph, datastructures, hashing</t>
  </si>
  <si>
    <t>graph, bipartite graph, 4-Coloring</t>
  </si>
  <si>
    <t>graph, permutation, constructive or pattern</t>
  </si>
  <si>
    <t>graph, constructive, pigeonhole principle, [decompose]</t>
  </si>
  <si>
    <t>graph, math, bitmasks, cc, greedy</t>
  </si>
  <si>
    <t>p5 v1</t>
  </si>
  <si>
    <t>graph, d&amp;c, coptimes, [find tree of specific properties], [https://github.com/s-nandi/CompetitiveProgramming/blob/master/LiveArchive/Livearchive-8257.cpp]</t>
  </si>
  <si>
    <t>graph, greedy, gcd, [gcd(x, x + 1) = 1</t>
  </si>
  <si>
    <t>graph, tree, greedy, binary search</t>
  </si>
  <si>
    <t>graph, trees, dfs or dp</t>
  </si>
  <si>
    <t>graph, math, impl, [based on erdos galli theorem]</t>
  </si>
  <si>
    <t>graph, tree, datastructures, [small-to-large]</t>
  </si>
  <si>
    <r>
      <t>graph, cc, prufer_codes, [</t>
    </r>
    <r>
      <rPr>
        <b/>
        <sz val="10"/>
        <color rgb="FF000000"/>
        <rFont val="Arial"/>
        <family val="2"/>
      </rPr>
      <t>Cayley's</t>
    </r>
    <r>
      <rPr>
        <sz val="10"/>
        <color rgb="FF000000"/>
        <rFont val="Arial"/>
        <family val="2"/>
      </rPr>
      <t> formula], or mst, bf, bitmasks</t>
    </r>
  </si>
  <si>
    <t>must read sol - also see editorials</t>
  </si>
  <si>
    <t>graph, bicoloring</t>
  </si>
  <si>
    <t>graph, bipartite, dp, [theory]</t>
  </si>
  <si>
    <t>graph, ad-hoc or randimization</t>
  </si>
  <si>
    <t>Sol (!editorial)</t>
  </si>
  <si>
    <t>graph, max flow, [https://github.com/shashank0107/CompetitiveProgramming/blob/master/Codeforces/CF101484-GYM-H.cpp]</t>
  </si>
  <si>
    <t>graph, cycles, dp_bitmasks</t>
  </si>
  <si>
    <t>graph, simulation, graph cycle, [prove skills, may use scc]</t>
  </si>
  <si>
    <t>Prove your Solution. Read editorials</t>
  </si>
  <si>
    <t>graph, combinatorics</t>
  </si>
  <si>
    <t>graph, math, [prove using Cayley's formula]</t>
  </si>
  <si>
    <t>graph, constructive, combinatorics, dfs, bipartite graph, cycle</t>
  </si>
  <si>
    <t>graph, trees, centroid or dp_trees</t>
  </si>
  <si>
    <t>graph, greedy, flood-fill</t>
  </si>
  <si>
    <t>graph, hashing</t>
  </si>
  <si>
    <t>graph, impl</t>
  </si>
  <si>
    <t>Reading later</t>
  </si>
  <si>
    <t>graph, tree, constructive</t>
  </si>
  <si>
    <t>graph, trees, bf</t>
  </si>
  <si>
    <t>graph, adjacency matrix or scc</t>
  </si>
  <si>
    <t>graph, greedy, datastructures, [cases]</t>
  </si>
  <si>
    <t>graph, hashing on graph, [easy but need careful values for collision]</t>
  </si>
  <si>
    <t>graph, probability</t>
  </si>
  <si>
    <t>graph, ad-hoc</t>
  </si>
  <si>
    <t>graph, bf, ad hoc</t>
  </si>
  <si>
    <t>graph, bf, bitmasks, cover</t>
  </si>
  <si>
    <t>graph, bicoloring, is bipartite or 2-sat</t>
  </si>
  <si>
    <t>graph, binary search on graph</t>
  </si>
  <si>
    <t>graph, construction, [construction for graphs using binary numbers]</t>
  </si>
  <si>
    <t>graph, counting or pattern</t>
  </si>
  <si>
    <t>graph, cycle, gcd</t>
  </si>
  <si>
    <t>graph, euler</t>
  </si>
  <si>
    <t>graph, gcd</t>
  </si>
  <si>
    <t>graph, sortings</t>
  </si>
  <si>
    <t>graph, sp or bfs</t>
  </si>
  <si>
    <t>graph, strings</t>
  </si>
  <si>
    <t>graph, trees, dfs, impl</t>
  </si>
  <si>
    <t>graph, bf, floyd or max flow or matrix pow</t>
  </si>
  <si>
    <t>graph, tree, constructive algorithm</t>
  </si>
  <si>
    <t>graph, trees, dfs, prefix sum or dp_trees, cases</t>
  </si>
  <si>
    <t>graph, trees, greedy, constructive</t>
  </si>
  <si>
    <t>graph, bipartite, tilling</t>
  </si>
  <si>
    <t>graph, cliques, np-hard</t>
  </si>
  <si>
    <t>graph, cycle, cnstructive</t>
  </si>
  <si>
    <t>graph, trees, ranges on binary tree</t>
  </si>
  <si>
    <t>graph, trees, dp</t>
  </si>
  <si>
    <t>graph, bicoloring or 2-sat, dsu</t>
  </si>
  <si>
    <t>graph, impl, tricky</t>
  </si>
  <si>
    <t>graph, is bipartite</t>
  </si>
  <si>
    <t>graph, steiner tree, kruskal is slow?</t>
  </si>
  <si>
    <t>graph, tree, impl</t>
  </si>
  <si>
    <t>graph, trees, constructive algorithm, [cases]</t>
  </si>
  <si>
    <t>graph, search</t>
  </si>
  <si>
    <t>graph, constructive, ad-hoc</t>
  </si>
  <si>
    <t>graph, constructive, prove using e.g. scc</t>
  </si>
  <si>
    <t>graph, dijsktra, reminders, math</t>
  </si>
  <si>
    <t>graph, binary search, greedy</t>
  </si>
  <si>
    <t>graph, constructive</t>
  </si>
  <si>
    <t>graph, constructive, observations</t>
  </si>
  <si>
    <t>graph, trees, observation</t>
  </si>
  <si>
    <t>graph, incidence matrix verification, [WAs]</t>
  </si>
  <si>
    <t>graph, bicoloring, is bipartite</t>
  </si>
  <si>
    <t>graph, greedy, search</t>
  </si>
  <si>
    <t>graph, math, strings</t>
  </si>
  <si>
    <t>graph, trees, pascal triangle</t>
  </si>
  <si>
    <t>graph, trees, math, generate pattern</t>
  </si>
  <si>
    <t>graph, tree isomorphism</t>
  </si>
  <si>
    <t>graph, greedy, longest path</t>
  </si>
  <si>
    <t>graph, complete search</t>
  </si>
  <si>
    <t>graph, cycles, [bad text]</t>
  </si>
  <si>
    <t>graph, datastructures</t>
  </si>
  <si>
    <t>graph, observations or dfs, long code</t>
  </si>
  <si>
    <t>FB</t>
  </si>
  <si>
    <t>graph, complete binary tree</t>
  </si>
  <si>
    <t>graph, adhoc, [transform the linear inequalities to the graph problem]</t>
  </si>
  <si>
    <t>graph, trees, greedy, constructive, [monovariant depth]</t>
  </si>
  <si>
    <t>graph, bellmanford, [all guys got WA, avoid[</t>
  </si>
  <si>
    <t>[47]</t>
  </si>
  <si>
    <t>graph, bellmanford, difference constraints, geometry</t>
  </si>
  <si>
    <t>graph, bellmanford, difference constraints</t>
  </si>
  <si>
    <t>graph, bellmanford or spfa, difference constraints ??</t>
  </si>
  <si>
    <t>graph, bellmanford</t>
  </si>
  <si>
    <t>graph, bellmanford, difference constraints, Minimum Mean Weight Cycle or karp algorithm</t>
  </si>
  <si>
    <t>graph, bellmanford, Minimum Mean Weight Cycle or karp algorithm, [=SPOJ WORDRING, I outlined in my cycles summary video]</t>
  </si>
  <si>
    <t>graph, bellmanford, [~CODECHEF BESTPATH]</t>
  </si>
  <si>
    <t>graph, bellmanford, bfs or floyd, negative cycles. tricky</t>
  </si>
  <si>
    <t>graph, bellmanford, scc</t>
  </si>
  <si>
    <t>graph, bellmanford, cycles</t>
  </si>
  <si>
    <t>[48]</t>
  </si>
  <si>
    <t>graph, bfs, binary search</t>
  </si>
  <si>
    <t>graph, bfs, [observations from bf]</t>
  </si>
  <si>
    <t>graph, bfs, state hashing, optimizations</t>
  </si>
  <si>
    <t>graph, bfs, impl [direct, state representation using ints]</t>
  </si>
  <si>
    <t>graph, bfs, math</t>
  </si>
  <si>
    <t>graph, bfs, dp, tps, Knight’s tours, Warnsdorf’s rule, [see new CP book]</t>
  </si>
  <si>
    <t>graph, bfs or dfs, state, tricky encoding</t>
  </si>
  <si>
    <t>graph, bfs, 2 pointers, math</t>
  </si>
  <si>
    <t>graph, bfs, bits, dsu, cycles or scc</t>
  </si>
  <si>
    <t>graph, bfs, build graph, greedy, long code, almost direct?</t>
  </si>
  <si>
    <t>graph, bfs, line sweep, shortest path, [0/1 bfs trick for 0/1 graphs]</t>
  </si>
  <si>
    <t>Study bfs trick for 0/1 graphs</t>
  </si>
  <si>
    <t>graph, bfs, topological sort, all topological sorts, misc</t>
  </si>
  <si>
    <t>graph, bfs, math, observations</t>
  </si>
  <si>
    <t>graph, bfs, dp</t>
  </si>
  <si>
    <t>graph, bfs, hashing, impl, const opt, [knights infinite chessboard], [can it be only bf: knights have K^2 moves not 8^K]</t>
  </si>
  <si>
    <t>graph, bfs, greedy, sorting, [WAs]</t>
  </si>
  <si>
    <t>graph, bfs, topological sort, dp</t>
  </si>
  <si>
    <t>graph, bfs, greedy or ad-hoc</t>
  </si>
  <si>
    <t>graph, bfs, impl or dijkstra</t>
  </si>
  <si>
    <t>graph, bfs, state, hash or IDA</t>
  </si>
  <si>
    <t>graph, bfs, scc, [floyd]</t>
  </si>
  <si>
    <t>graph, bfs, state</t>
  </si>
  <si>
    <t>graph, bfs, 2d predix sum, [good impl]</t>
  </si>
  <si>
    <t>graph, bfs, binary search, impl</t>
  </si>
  <si>
    <t>graph, bfs or dfs</t>
  </si>
  <si>
    <t>graph, bfs, [=CF677-D2-D]</t>
  </si>
  <si>
    <t>graph, bfs, [2 bfs]</t>
  </si>
  <si>
    <t>graph, bfs, [hard text]</t>
  </si>
  <si>
    <t>graph, bfs, [tricky state]</t>
  </si>
  <si>
    <t>graph, bfs, bitmasks, impl</t>
  </si>
  <si>
    <t>graph, bfs, greedy</t>
  </si>
  <si>
    <t>graph, bfs, hamilton</t>
  </si>
  <si>
    <t>graph, bfs, impl, [chess, many states, boring]</t>
  </si>
  <si>
    <t>graph, bfs, state space search</t>
  </si>
  <si>
    <t>graph, bfs, bitmasks or dp</t>
  </si>
  <si>
    <t>graph, bfs, [BFS over numbers (K*10+d)%N]</t>
  </si>
  <si>
    <t>graph, bfs, bf, bitmasks</t>
  </si>
  <si>
    <t>graph, bfs, cycles, [cycle with smallest number of vertices]</t>
  </si>
  <si>
    <t>graph, bfs, cyclic games or dp_games</t>
  </si>
  <si>
    <t>graph, bfs, dp_bitmasks, sp preocess then dp</t>
  </si>
  <si>
    <t>graph, bfs, permutations or dfs</t>
  </si>
  <si>
    <t>graph, bfs, 0/1 bfs, [CF1064-D2-D, CF877-D2-D, SPOJ KATHTHI]</t>
  </si>
  <si>
    <t>graph, bfs, 0-1 bfs</t>
  </si>
  <si>
    <t>graph, bfs, grid</t>
  </si>
  <si>
    <t>graph, bfs, interactive, impl</t>
  </si>
  <si>
    <t>graph, bfs, masks, tsp or dp_bitmasks, bfs</t>
  </si>
  <si>
    <t>graph, bfs or dfs, state</t>
  </si>
  <si>
    <t>graph, bfs, cycle</t>
  </si>
  <si>
    <t>graph, bfs, [bfs body part of complexity]</t>
  </si>
  <si>
    <t>graph, bfs, sieve, mod, [iterate fast on edges]</t>
  </si>
  <si>
    <t>graph, bfs or dp</t>
  </si>
  <si>
    <t>graph, bfs, ad-hoc, [hard impl]</t>
  </si>
  <si>
    <t>graph, bfs, bf</t>
  </si>
  <si>
    <t>graph, bfs, bitmasks</t>
  </si>
  <si>
    <t>graph, bfs, hard impl</t>
  </si>
  <si>
    <t>graph, bfs, hashmap</t>
  </si>
  <si>
    <t>graph, bfs, shortest path</t>
  </si>
  <si>
    <t>graph, bfs or ad-hoc</t>
  </si>
  <si>
    <t>graph, bfs, binary search or dijkstra</t>
  </si>
  <si>
    <t>graph, bfs, primes</t>
  </si>
  <si>
    <t>graph, bfs, print, [start from final state]</t>
  </si>
  <si>
    <t>graph, bfs, simulation, [WAs]</t>
  </si>
  <si>
    <t>graph, bfs or bellmanford, [long statement]</t>
  </si>
  <si>
    <t>graph, bfs or dfs, [unclear text]</t>
  </si>
  <si>
    <t>graph, bfs or dijkstra</t>
  </si>
  <si>
    <t>graph, bfs or bf</t>
  </si>
  <si>
    <t>graph, bfs, floyd</t>
  </si>
  <si>
    <t>graph, bfs, gcd</t>
  </si>
  <si>
    <t>graph, bfs, mod, divisibility, print path or math or backtrack</t>
  </si>
  <si>
    <t>graph, bfs, tree diameter, [find/remove diam, prove why], [involves LCA?]</t>
  </si>
  <si>
    <t>[49]</t>
  </si>
  <si>
    <t>graph, bfs, tree diameter</t>
  </si>
  <si>
    <t>graph, bfs, tree diameter or dp_trees</t>
  </si>
  <si>
    <t>graph, bfs, tree diameter, greedy or dp_bitmasks, binary search</t>
  </si>
  <si>
    <t>graph, bfs, tree diameter or bf, optimizations</t>
  </si>
  <si>
    <t>Sol. See editorials</t>
  </si>
  <si>
    <t>graph, bfs, tree diameter or dfs</t>
  </si>
  <si>
    <t>graph, bfs, tree diameter or floyd</t>
  </si>
  <si>
    <t>graph, bfs, tree diameter or dp, [hard text]</t>
  </si>
  <si>
    <t>graph, bfs, tree diameter, [in video]</t>
  </si>
  <si>
    <t>[50]</t>
  </si>
  <si>
    <t>graph, dfs, dp</t>
  </si>
  <si>
    <t>Web sol?</t>
  </si>
  <si>
    <t>graph, dfs, datastructures</t>
  </si>
  <si>
    <t>graph, dfs, dfs order, segment tree, dp</t>
  </si>
  <si>
    <t>graph, dfs, cycles</t>
  </si>
  <si>
    <t>graph, dfs, lstm, xor or scc, biconnected components</t>
  </si>
  <si>
    <t>graph, dfs, tree, cycles</t>
  </si>
  <si>
    <t>graph, dfs, cycles, centroid, hamilton path</t>
  </si>
  <si>
    <t>graph, dfs, dfs tree, bipartite or datastructures or dp_trres</t>
  </si>
  <si>
    <t>Reading after trial</t>
  </si>
  <si>
    <t>graph, dfs, greedy, [centroid-dec seems might be used for some better order?]</t>
  </si>
  <si>
    <t>graph, dfs, binary search</t>
  </si>
  <si>
    <t>graph, dfs, datastructures, [boring]</t>
  </si>
  <si>
    <t>graph, dfs, iterative dfs, bfs, sieve bitmasks</t>
  </si>
  <si>
    <t>graph, dfs, like lca, probability</t>
  </si>
  <si>
    <t>graph, dfs, math</t>
  </si>
  <si>
    <t>graph, dfs, prune, impl</t>
  </si>
  <si>
    <t>graph, dfs, bf or sqrt decomposition</t>
  </si>
  <si>
    <t>graph, dfs, binary search, xor</t>
  </si>
  <si>
    <t>graph, dfs, dfs using stack or dp</t>
  </si>
  <si>
    <t>graph, dfs or ad-hoc</t>
  </si>
  <si>
    <t>graph, dfs, iterative dfs or A*, permutation rank, [solve UVA 652 first]</t>
  </si>
  <si>
    <t>graph, dfs, iterative deepening, prune or backtrack, prune, heuristics</t>
  </si>
  <si>
    <t>graph, dfs or bfs or dsu, [easy if solved similar ideas]</t>
  </si>
  <si>
    <t>graph, dfs, cycle checking, math, datastructures</t>
  </si>
  <si>
    <t>graph, dfs, d&amp;c, interactive or centroid-decomposition, hld</t>
  </si>
  <si>
    <t>graph, dfs, iterative deepening, [nice but rare]</t>
  </si>
  <si>
    <t>graph, dfs, bfs</t>
  </si>
  <si>
    <t>graph, dfs, math or dsu</t>
  </si>
  <si>
    <t>graph, dfs, prune or dp, counting, [Hamiltonian]</t>
  </si>
  <si>
    <t>graph, dfs, datastructure, merging sets trick, inequalities</t>
  </si>
  <si>
    <t>Compute Complexity</t>
  </si>
  <si>
    <t>graph, dfs, [DAG with cycles]</t>
  </si>
  <si>
    <t>graph, dfs, [Find all cycles in cactus]</t>
  </si>
  <si>
    <t>graph, dfs or dp or dsu-on-tree, [similar to CF101992-GYM-M from ECPC2018]</t>
  </si>
  <si>
    <t>graph, dfs or dp, trees</t>
  </si>
  <si>
    <t>graph, dfs or scc</t>
  </si>
  <si>
    <t>graph, dfs, [overflow]</t>
  </si>
  <si>
    <t>graph, dfs, datastructures, greedy</t>
  </si>
  <si>
    <t>Try to Prove</t>
  </si>
  <si>
    <t>graph, dfs or segment tree, topo sort, [speed topo using segment - dfs sol is smarter]</t>
  </si>
  <si>
    <t>graph, dfs, bitmasks, bf, impl</t>
  </si>
  <si>
    <t>graph, dfs, cycles or scc</t>
  </si>
  <si>
    <t>graph, dfs, number theory</t>
  </si>
  <si>
    <t>graph, dfs, combinatorics, [standard]</t>
  </si>
  <si>
    <t>graph, dfs, cycle</t>
  </si>
  <si>
    <t>graph, dfs, cycle detection</t>
  </si>
  <si>
    <t>graph, dfs, trees</t>
  </si>
  <si>
    <t>graph, dfs, rerooting</t>
  </si>
  <si>
    <t>graph, dfs, binary search, optimize, [counting number of components problem]</t>
  </si>
  <si>
    <t>graph, dfs, constructive</t>
  </si>
  <si>
    <t>graph, dfs, dfs_order</t>
  </si>
  <si>
    <t>graph, dfs or centroid-decomposition</t>
  </si>
  <si>
    <t>graph, dfs, bipartite, combinatorics</t>
  </si>
  <si>
    <t>graph, dfs, tree, greedy</t>
  </si>
  <si>
    <t>graph, dfs, [disjoint cycles]</t>
  </si>
  <si>
    <t>graph, dfs or algorithm x</t>
  </si>
  <si>
    <t>graph, dfs, [dfs order, complete binary tree]</t>
  </si>
  <si>
    <t>graph, dfs, cc</t>
  </si>
  <si>
    <t>graph, dfs, tree</t>
  </si>
  <si>
    <t>graph, dfs, ad-hoc</t>
  </si>
  <si>
    <t>graph, dfs, [internal connected components in board]</t>
  </si>
  <si>
    <t>graph, dfs, cc, dp knapsack</t>
  </si>
  <si>
    <t>graph, dfs or dsu</t>
  </si>
  <si>
    <t>graph, dfs, enumerate path, sorting, [unclear text]</t>
  </si>
  <si>
    <t>graph, dfs or bfs or floyd</t>
  </si>
  <si>
    <t>graph, dfs or lca</t>
  </si>
  <si>
    <t>graph, dfs, [dominoes], [little annoying output]</t>
  </si>
  <si>
    <t>graph, dfs, [lca if bigger limits]</t>
  </si>
  <si>
    <t>graph, dfs, bfs, [unclear constraints]</t>
  </si>
  <si>
    <t>graph, dfs, gcd</t>
  </si>
  <si>
    <t>graph, dijkstra, cards, A*</t>
  </si>
  <si>
    <t>[52]</t>
  </si>
  <si>
    <t>graph, dijkstra, linear porgramming</t>
  </si>
  <si>
    <t>graph, dijkstra, pattern, tricky, [weak test cases]</t>
  </si>
  <si>
    <t>TC forum</t>
  </si>
  <si>
    <t>graph, dijkstra, dsu, binary search</t>
  </si>
  <si>
    <t>Read editorial/others sols</t>
  </si>
  <si>
    <t>graph, dijkstra, geometry, lines, intersections</t>
  </si>
  <si>
    <t>graph, dijkstra, binary search</t>
  </si>
  <si>
    <t>graph, dijkstra, observations, [Used Dijkstra to avoid DP cyclic dependencies]</t>
  </si>
  <si>
    <t>graph, dijkstra, kth sp (general)</t>
  </si>
  <si>
    <t>NO sol</t>
  </si>
  <si>
    <t>graph, dijkstra, [hard txt ?]</t>
  </si>
  <si>
    <t>graph, dijkstra, binary search, dijkstra like or dp</t>
  </si>
  <si>
    <t>graph, dijkstra or spfa</t>
  </si>
  <si>
    <t>graph, dijkstra, cycles</t>
  </si>
  <si>
    <t>graph, dijkstra, dp</t>
  </si>
  <si>
    <t>graph, dijkstra, binary search or dp</t>
  </si>
  <si>
    <r>
      <t>graph, dijkstra, sparse graph or segment tree, </t>
    </r>
    <r>
      <rPr>
        <b/>
        <sz val="10"/>
        <color rgb="FF000000"/>
        <rFont val="Arial"/>
        <family val="2"/>
      </rPr>
      <t>impl</t>
    </r>
  </si>
  <si>
    <t>graph, dijkstra or spfa, [direct problem, hard text]</t>
  </si>
  <si>
    <t>graph, dijkstra, differentiation, math or binary search or ternary search</t>
  </si>
  <si>
    <t>graph, dijkstra, dp, hashing</t>
  </si>
  <si>
    <t>graph, dijkstra, binary search or other sp</t>
  </si>
  <si>
    <t>graph, dijkstra, backtrack, prune or bfs or dp</t>
  </si>
  <si>
    <t>graph, dijkstra, hard text</t>
  </si>
  <si>
    <t>graph, dijkstra, impl or spfa, [DP fails]</t>
  </si>
  <si>
    <t>graph, dijkstra, nested dijkstra or bfs, [long impl]</t>
  </si>
  <si>
    <t>graph, dijkstra, bfs</t>
  </si>
  <si>
    <t>graph, dijkstra, kth SP (k=2) or floyd</t>
  </si>
  <si>
    <t>Sol - read the statement clarification</t>
  </si>
  <si>
    <t>graph, dijkstra, multisource</t>
  </si>
  <si>
    <t>graph, dijkstra or dp, binary search</t>
  </si>
  <si>
    <t>graph, dijkstra, floyd, [just impl, bad statement?]</t>
  </si>
  <si>
    <t>graph, dijkstra or floyd</t>
  </si>
  <si>
    <t>Video Sol</t>
  </si>
  <si>
    <t>graph, dijkstra, [many sources]</t>
  </si>
  <si>
    <t>graph, dijkstra, dp or bfs</t>
  </si>
  <si>
    <t>graph, dijkstra, grid compress</t>
  </si>
  <si>
    <t>graph, dijkstra, [precision or force integers]</t>
  </si>
  <si>
    <t>graph, dijkstra or bfs or floyd</t>
  </si>
  <si>
    <t>graph, dijkstra, [bad text]</t>
  </si>
  <si>
    <t>graph, dijkstra or bfs</t>
  </si>
  <si>
    <t>graph, dijkstra or spfa, 2 dijkstra or sp preocess then dp</t>
  </si>
  <si>
    <t>graph, dijkstra, impl</t>
  </si>
  <si>
    <t>graph, dijkstra, kth SP (k=2) or min-cost-max-flow</t>
  </si>
  <si>
    <t>graph, dijkstra or spfa, 2 dijkstra</t>
  </si>
  <si>
    <t>graph, dijkstra or spfa, geometry</t>
  </si>
  <si>
    <t>graph, dijkstra, [cost on node]</t>
  </si>
  <si>
    <t>graph, dijkstra, [direct]</t>
  </si>
  <si>
    <t>graph, dsu, greedy</t>
  </si>
  <si>
    <t>[53]</t>
  </si>
  <si>
    <t>graph, dsu, trees, binary search</t>
  </si>
  <si>
    <t>graph, dsu, impl</t>
  </si>
  <si>
    <t>graph, dsu, math, [may be not so interesting]</t>
  </si>
  <si>
    <t>graph, dsu, binary search, [optimization trick]</t>
  </si>
  <si>
    <t>graph, dsu, [Maximum cactus-forest]</t>
  </si>
  <si>
    <t>graph, dsu, impl, [how many paths have a certain edge as the edge with maximum weight]</t>
  </si>
  <si>
    <t>graph, dsu, presistent, [small-to-large], [=LiveArchive 7903]</t>
  </si>
  <si>
    <t>graph, dsu, ad-hoc dsu</t>
  </si>
  <si>
    <t>graph, dsu, 2-sat with xor</t>
  </si>
  <si>
    <t>graph, dsu, combinatorics</t>
  </si>
  <si>
    <t>graph, dsu, [sparse memory]</t>
  </si>
  <si>
    <t>graph, dsu, [small-to-large]</t>
  </si>
  <si>
    <t>graph, dsu, greedy, combinatorics</t>
  </si>
  <si>
    <t>graph, dsu, map</t>
  </si>
  <si>
    <t>graph, dsu, math</t>
  </si>
  <si>
    <t>sol (not as editorial)</t>
  </si>
  <si>
    <t>graph, dsu, dynamic, bit, hashing, [make use of it being tree for easier code]</t>
  </si>
  <si>
    <t>graph, dsu, greedy, impl</t>
  </si>
  <si>
    <t>graph, dsu, [For each edge in MST determine if it must be a part of any MST, some or never. Idea involves bridges.]</t>
  </si>
  <si>
    <t>graph, dsu, paths</t>
  </si>
  <si>
    <t>graph, dsu, greedy, trees</t>
  </si>
  <si>
    <t>graph, dsu, trees, dfs, offline</t>
  </si>
  <si>
    <t>graph, dsu, llnear dependence in a matrix</t>
  </si>
  <si>
    <t>graph, dsu or dfs, rmq, segment tree</t>
  </si>
  <si>
    <t>p2 v4</t>
  </si>
  <si>
    <t>graph, dsu, math, observation</t>
  </si>
  <si>
    <t>graph, dsu, dynamic, impl, [ACPC 16]</t>
  </si>
  <si>
    <t>graph, dsu, number theory</t>
  </si>
  <si>
    <t>graph, dsu, prefix sum</t>
  </si>
  <si>
    <t>graph, dsu, binary search</t>
  </si>
  <si>
    <t>graph, dsu, datastructures</t>
  </si>
  <si>
    <t>graph, dsu, [Main a prefix and suffix of DSU's then for each query between [L,R], you merge prefix and suffix. Can sometimes be used instead of dynamic DSU.]</t>
  </si>
  <si>
    <t>Don't use DFS/BFS approach. Read Editorials.</t>
  </si>
  <si>
    <t>graph, dsu, geometry</t>
  </si>
  <si>
    <t>graph, dsu, dp</t>
  </si>
  <si>
    <t>graph, dsu, observation</t>
  </si>
  <si>
    <t>graph, dsu or 2-sat</t>
  </si>
  <si>
    <t>graph, dsu or dfs</t>
  </si>
  <si>
    <t>Read first Euler Formula</t>
  </si>
  <si>
    <t>graph, dsu, direct, [fast io]</t>
  </si>
  <si>
    <t>graph, dsu, grid compress</t>
  </si>
  <si>
    <t>graph, dsu, permutation, [unclear text]</t>
  </si>
  <si>
    <t>Test case</t>
  </si>
  <si>
    <t>graph, dsu, trie or ad-hoc, sorting</t>
  </si>
  <si>
    <t>graph, dsu or dfs, [count CCs]</t>
  </si>
  <si>
    <t>graph, euler tour or flow</t>
  </si>
  <si>
    <t>[54]</t>
  </si>
  <si>
    <t>graph, euler tour, [lexicographically minimum euler tour]</t>
  </si>
  <si>
    <t>graph, euler tour, dsu</t>
  </si>
  <si>
    <t>graph, euler tour, planer, dsu, geom</t>
  </si>
  <si>
    <t>graph, euler tour properties, ad-hoc, [cases]</t>
  </si>
  <si>
    <t>graph, euler tour</t>
  </si>
  <si>
    <t>graph, euler tour or dfs</t>
  </si>
  <si>
    <t>graph, euler tour, np-complete-special-case</t>
  </si>
  <si>
    <t>graph, euler tour, De Bruijn, [solve first UVA 10040]</t>
  </si>
  <si>
    <t>graph, euler tour, segment tree</t>
  </si>
  <si>
    <t>graph, euler tour or scc, biconnected components or min-cost-max-flow</t>
  </si>
  <si>
    <t>graph, euler tour, ad-hoc, bitmask</t>
  </si>
  <si>
    <t>graph, euler tour, De Bruijn or greedy, pattern</t>
  </si>
  <si>
    <t>graph, euler tour, [solve first SRM268-D1-500]</t>
  </si>
  <si>
    <t>SolTMe</t>
  </si>
  <si>
    <t>graph, euler tour, math, [required a solid understanding of euler tours]</t>
  </si>
  <si>
    <t>graph, euler tour, greedy</t>
  </si>
  <si>
    <t>graph, euler tour or scc, biconnected components</t>
  </si>
  <si>
    <t>graph, euler tour, [high limits, =CF508-D2-D - reasonable limits]</t>
  </si>
  <si>
    <t>graph, euler tour, math or sum of divisors</t>
  </si>
  <si>
    <t>graph, euler tour, dp_bitmasks</t>
  </si>
  <si>
    <t>graph, euler tour, stack, [solve SRM298-D1-500 first]</t>
  </si>
  <si>
    <t>graph, euler tour, handshaking lemma, cc</t>
  </si>
  <si>
    <t>graph, euler tour, print</t>
  </si>
  <si>
    <t>graph, euler tour, [unclear text]</t>
  </si>
  <si>
    <t>graph, euler tour, [is there euler cycle?]</t>
  </si>
  <si>
    <t>graph, euler tour, dijkstra</t>
  </si>
  <si>
    <t>graph, euler tour, [directed]</t>
  </si>
  <si>
    <t>graph, floyd, successive floyd, suffixes, mapping, analysis</t>
  </si>
  <si>
    <t>[55]</t>
  </si>
  <si>
    <t>graph, floyd, transitive closure, cycles, geometry</t>
  </si>
  <si>
    <t>graph, floyd or bf</t>
  </si>
  <si>
    <t>graph, floyd, bf</t>
  </si>
  <si>
    <t>graph, floyd, nodes order</t>
  </si>
  <si>
    <t>graph, floyd, dp, [complexity may confuse: 99%, we don't count # of test cases in order. Cases are just there to verify the algorithm order itself is ok. So a test case computation here is 10^8. In ACM ICPC style, if your operations are within 200 million operations, you are good to go. Remember, the file will have many small test cases.]</t>
  </si>
  <si>
    <t>graph, floyd, great-circle distances</t>
  </si>
  <si>
    <t>graph, floyd, topological sort</t>
  </si>
  <si>
    <t>graph, floyd, nodes order, [solve SPOJ RDNWK first], [UVA 13211]</t>
  </si>
  <si>
    <t>graph, floyd, bfs</t>
  </si>
  <si>
    <t>graph, floyd or dp_bitmasks</t>
  </si>
  <si>
    <t>graph, floyd or mst</t>
  </si>
  <si>
    <t>graph, floyd or sp</t>
  </si>
  <si>
    <t>graph, floyd, counting, [WA from Hugo Garcia]</t>
  </si>
  <si>
    <t>graph, floyd or bfs</t>
  </si>
  <si>
    <t>graph, floyd or dijkstra, [printed additional line at the end]</t>
  </si>
  <si>
    <t>See compleixty analysis for problem G</t>
  </si>
  <si>
    <t>graph, floyd, impl or sp</t>
  </si>
  <si>
    <t>graph, floyd or bfs, multisource</t>
  </si>
  <si>
    <t>graph, floyd or dijkstra</t>
  </si>
  <si>
    <t>graph, floyd, [tricky statement]</t>
  </si>
  <si>
    <t>graph, floyd, cycles or bellmanford</t>
  </si>
  <si>
    <t>Use Floyd</t>
  </si>
  <si>
    <t>graph, floyd, transitive closure or ad-hoc</t>
  </si>
  <si>
    <t>graph, floyd or dfs</t>
  </si>
  <si>
    <t>[56]</t>
  </si>
  <si>
    <t>graph, max-flow, [double capacity]</t>
  </si>
  <si>
    <t>graph, max-flow, [AVOID, max density subgraph, need knowledge, rare]</t>
  </si>
  <si>
    <t>graph, max-flow, [flow with dependencies, dinic</t>
  </si>
  <si>
    <t>graph, max-flow, ??</t>
  </si>
  <si>
    <t>graph, max-flow, min-circluation</t>
  </si>
  <si>
    <t>Dol</t>
  </si>
  <si>
    <t>graph, max-flow, constructing solution</t>
  </si>
  <si>
    <t>graph, max-flow, flow circulation or simplex</t>
  </si>
  <si>
    <t>Walid Simplex</t>
  </si>
  <si>
    <t>graph, max-flow, vertex constraints, min-cut, circles</t>
  </si>
  <si>
    <t>graph, max-flow, binary search on answer</t>
  </si>
  <si>
    <t>graph, max-flow, circulation problem</t>
  </si>
  <si>
    <t>graph, max-flow, tripartite graph</t>
  </si>
  <si>
    <t>graph, max-flow, tripartite graph or 2-sat</t>
  </si>
  <si>
    <t>graph, max-flow, [capacity scaling trick]</t>
  </si>
  <si>
    <t>graph, max-flow, edge-disjoint paths, dijkstra, [tricky complexity]</t>
  </si>
  <si>
    <t>graph, max-flow, [Edmond's Blossom Algortihm for finding the maximum matching in a general graph.]</t>
  </si>
  <si>
    <t>graph, max-flow, binary search or min-cost-max-flow</t>
  </si>
  <si>
    <t>graph, max-flow, dfs, impl</t>
  </si>
  <si>
    <t>graph, max-flow, [Max flow on planar graph</t>
  </si>
  <si>
    <t>graph, max-flow, gcd, [TLEs, from GCD build graph]</t>
  </si>
  <si>
    <t>graph, max-flow, log/exp, [min vertex cover]</t>
  </si>
  <si>
    <t>graph, max-flow, binary search</t>
  </si>
  <si>
    <t>graph, max-flow, maximum independant set</t>
  </si>
  <si>
    <t>graph, max-flow, dijkstra, [two classical problems combined]</t>
  </si>
  <si>
    <t>graph, max-flow, sp, [paths count]</t>
  </si>
  <si>
    <t>graph, max-flow, vertex constraints, [print sol], [https://github.com/goswami-rahul/competitive-coding/blob/master/CompetitiveProgramming/uva/10511.cpp]</t>
  </si>
  <si>
    <t>graph, max-flow, dijkstra</t>
  </si>
  <si>
    <t>graph, max-flow, [disjoint paths]</t>
  </si>
  <si>
    <t>graph, max-flow, primes [use Dinic to avoid TLE]</t>
  </si>
  <si>
    <t>graph, max-flow or ad-hoc</t>
  </si>
  <si>
    <t>graph, max-flow, [https://github.com/goswami-rahul/competitive-coding/blob/master/CompetitiveProgramming/codeforces/CF101845-GYM-F.cpp], [https://github.com/shashank0107/CompetitiveProgramming/blob/master/UVA/1194.cpp]</t>
  </si>
  <si>
    <t>graph, max-flow, matrix rotate and reflect or search, bf</t>
  </si>
  <si>
    <t>graph, max-flow, [Ford TLE, use dinic]</t>
  </si>
  <si>
    <t>graph, max-flow or dfs, binary search, [unclear text[</t>
  </si>
  <si>
    <t>graph, max-flow, [direct in video]</t>
  </si>
  <si>
    <t>graph, max-flow, [direct]</t>
  </si>
  <si>
    <t>graph, max-flow, bipartite match, dfs, [min vertex cover in biparatite graph - a must nodes]</t>
  </si>
  <si>
    <t>[58]</t>
  </si>
  <si>
    <t>graph, max-flow, bipartite match, expectation, hall's theorem, dp_bitmasks</t>
  </si>
  <si>
    <t>graph, max-flow, bipartite match, [code https://community.topcoder.com/stat?c=problem_solution&amp;cr=22688641&amp;rd=16708&amp;pm=14180]</t>
  </si>
  <si>
    <t>Some Editorial</t>
  </si>
  <si>
    <t>graph, max-flow, bipartite match, [Maximal independent set]</t>
  </si>
  <si>
    <t>graph, max-flow, bipartite match, factorization</t>
  </si>
  <si>
    <t>graph, max-flow, bipartite match, lca, [TLE, maximum weighted independent in bipartite graph]</t>
  </si>
  <si>
    <t>graph, max-flow, bipartite match, euler tour in a mixed graph</t>
  </si>
  <si>
    <t>graph, max-flow, bipartite match, search, perfect matching, [original]</t>
  </si>
  <si>
    <t>graph, max-flow, bipartite match, [Hall's marriage theorem]</t>
  </si>
  <si>
    <t>graph, max-flow, bipartite match, geometry, [max indepndent set]</t>
  </si>
  <si>
    <t>graph, max-flow, bipartite match, impl</t>
  </si>
  <si>
    <t>graph, max-flow, bipartite match, lexographically smallest, greedy</t>
  </si>
  <si>
    <t>graph, max-flow, bipartite match, min path cover</t>
  </si>
  <si>
    <t>graph, max-flow, bipartite match, floyd</t>
  </si>
  <si>
    <t>graph, max-flow, bipartite match, min vertex cover</t>
  </si>
  <si>
    <t>graph, max-flow, bipartite match, geometry, [direct</t>
  </si>
  <si>
    <t>graph, max-flow, bipartite match, [essential edges], [https://github.com/shashank0107/CompetitiveProgramming/blob/master/UVA/663.cpp]</t>
  </si>
  <si>
    <t>graph, max-flow, bipartite match or bfs ??</t>
  </si>
  <si>
    <t>graph, max-flow, bipartite match, [vertex split]</t>
  </si>
  <si>
    <t>graph, max-flow, bipartite match, [fast impl]</t>
  </si>
  <si>
    <t>graph, max-flow, bipartite match, Dilworth's theorem</t>
  </si>
  <si>
    <t>graph, max-flow, bipartite match, dp, math or dp_trees</t>
  </si>
  <si>
    <t>graph, max-flow, bipartite match, greedy</t>
  </si>
  <si>
    <t>graph, max-flow, bipartite match, lexographically smallest</t>
  </si>
  <si>
    <t>graph, max-flow, bipartite match, lexioutput or greedy</t>
  </si>
  <si>
    <t>graph, max-flow, bipartite match, maximum independent set or dp, dp_bitmasks, mask-all-subsets, [proof is an extension of the König's theorem for weighted graphs]</t>
  </si>
  <si>
    <t>graph, max-flow, bipartite match, min vertex cover, [standard]</t>
  </si>
  <si>
    <t>graph, max-flow, bipartite match or dp, dp_build_output</t>
  </si>
  <si>
    <t>graph, max-flow, bipartite match, binary search</t>
  </si>
  <si>
    <t>graph, max-flow, bipartite match, min vertex cover, [Konig’s theorem]</t>
  </si>
  <si>
    <t>Sol - 2 ways</t>
  </si>
  <si>
    <t>graph, max-flow, bipartite match, max independent set or min-cut</t>
  </si>
  <si>
    <t>graph, max-flow, bipartite match or ad-hoc</t>
  </si>
  <si>
    <t>graph, max-flow, bipartite match, [https://github.com/shashank0107/CompetitiveProgramming/blob/master/SPOJ/STEAD.cpp]</t>
  </si>
  <si>
    <t>graph, max-flow, bipartite match, min path cover or greedy or binary search</t>
  </si>
  <si>
    <t>Easy greedy. Try it as min path coverage</t>
  </si>
  <si>
    <t>graph, max-flow, bipartite match, min path cover, [direct, =UVA 1201, UVA 12083]</t>
  </si>
  <si>
    <t>graph, max-flow, bipartite match or greedy or segment tree</t>
  </si>
  <si>
    <t>Sol. Don't just greedy it</t>
  </si>
  <si>
    <t>graph, max-flow, bipartite match, triangles</t>
  </si>
  <si>
    <t>graph, max-flow, bipartite match, chessboard matching</t>
  </si>
  <si>
    <t>graph, max-flow, bipartite match, bfs, binary search</t>
  </si>
  <si>
    <t>graph, max-flow, bipartite match, min vertex cover or dp</t>
  </si>
  <si>
    <t>graph, max-flow, bipartite match or dp</t>
  </si>
  <si>
    <t>graph, max-flow, bipartite match or dp, trees</t>
  </si>
  <si>
    <t>Don't DP. Sol</t>
  </si>
  <si>
    <t>graph, max-flow, bipartite match or greedy, two pointers</t>
  </si>
  <si>
    <t>graph, max-flow, bipartite match, [Ford TLE]</t>
  </si>
  <si>
    <t>graph, min-cost-max-flow, [chess, Author yasser yehia]</t>
  </si>
  <si>
    <t>[59]</t>
  </si>
  <si>
    <t>graph, min-cost-max-flow, [Slow version = TLE]</t>
  </si>
  <si>
    <t>graph, min-cost-max-flow or binary search trick, [Mido: Ignore MCMF solution. Check Dotorya's Comment here : http://codeforces.com/blog/entry/51600. Basically, this guy is outlining a technique/trick so that if we have a problem of the sort : Knapsack where you must take K elements + some other conditions, he drops the K parameter and replaces it with Binary search.]</t>
  </si>
  <si>
    <t>Study Dotorya's Comment</t>
  </si>
  <si>
    <t>graph, min-cost-max-flow or flow-demands</t>
  </si>
  <si>
    <t>graph, min-cost-max-flow, [correctness prove]</t>
  </si>
  <si>
    <t>graph, min-cost-max-flow</t>
  </si>
  <si>
    <t>graph, min-cost-max-flow, [AC spfa - TLE Dij]</t>
  </si>
  <si>
    <t>graph, min-cost-max-flow or dp, dp_bitmasks</t>
  </si>
  <si>
    <t>graph, min-cost-max-flow or max-flow</t>
  </si>
  <si>
    <t>graph, min-cost-max-flow, binary search</t>
  </si>
  <si>
    <t>graph, min-cost-max-flow, [Harder version: SPOJ BOX]</t>
  </si>
  <si>
    <t>TC</t>
  </si>
  <si>
    <t>graph, min-cost-max-flow, max-cost, [WAs for precision]</t>
  </si>
  <si>
    <t>graph, min-cost-max-flow or dp, search</t>
  </si>
  <si>
    <t>Don't code as dp</t>
  </si>
  <si>
    <t>graph, min-cost-max-flow or max-flow or dp, [direct]</t>
  </si>
  <si>
    <t>graph, min-cost-max-flow or max-flow, vertex split</t>
  </si>
  <si>
    <t>graph, min-cost-max-flow, weighted bipartite match</t>
  </si>
  <si>
    <t>graph, min-cost-max-flow or dp_bitmasks, precision</t>
  </si>
  <si>
    <t>graph, mst, kinetic spanning tree</t>
  </si>
  <si>
    <t>[60]</t>
  </si>
  <si>
    <t>graph, mst, [directed mst, Edmonds' algorithm] or dfs</t>
  </si>
  <si>
    <t>One way to solve</t>
  </si>
  <si>
    <t>graph, mst, binary search, aliens_trick, [good MST understanding, solve kattis blazingnewtrails first]</t>
  </si>
  <si>
    <t>graph, mst, modified mst, binary search, dfs</t>
  </si>
  <si>
    <t>graph, mst, binary search, aliens_trick</t>
  </si>
  <si>
    <t>graph, mst, lca, [collpase edges, requires a deep understanding of kruskal - using binary lifting to speed up to O(nlogn).]</t>
  </si>
  <si>
    <t>graph, mst, [solving CF1108-D3-F helps]</t>
  </si>
  <si>
    <t>graph, mst, sorting. [mst properties]</t>
  </si>
  <si>
    <t>graph, mst, kirchhoff's theorem, determinant, crt, [count the number of MSTs], [https://blog.csdn.net/liguan1/article/details/9532315]</t>
  </si>
  <si>
    <t>graph, mst, dijkstra</t>
  </si>
  <si>
    <t>graph, mst, two msts simultanously, greedy, [https://github.com/peon-pasado/CompetitiveProgramming/blob/master/UVA/10807.cpp]</t>
  </si>
  <si>
    <t>graph, mst, minimum diameter spanning tree, optimizations</t>
  </si>
  <si>
    <t>graph, mst, sortings, [mst understanding]</t>
  </si>
  <si>
    <t>graph, mst, bitmasks, mask-all-subsets or bfs, bitmasks</t>
  </si>
  <si>
    <t>graph, mst, constructive</t>
  </si>
  <si>
    <t>graph, mst, boruvka or d&amp;c on trees, trie</t>
  </si>
  <si>
    <t>graph, mst, minimum diameter spanning tree</t>
  </si>
  <si>
    <t>graph, mst, guessing, math</t>
  </si>
  <si>
    <t>graph, mst, sorting</t>
  </si>
  <si>
    <t>graph, mst, construction, [tricky case]</t>
  </si>
  <si>
    <t>graph, mst, observations, [I am author, ECPC13]</t>
  </si>
  <si>
    <t>graph, mst, dfs</t>
  </si>
  <si>
    <t>graph, mst, lca or binary search, parallel</t>
  </si>
  <si>
    <t>graph, mst , lca</t>
  </si>
  <si>
    <t>graph, mst, binary search</t>
  </si>
  <si>
    <t>graph, mst, [print edges]</t>
  </si>
  <si>
    <t>graph, mst, math</t>
  </si>
  <si>
    <t>graph, mst, prime fails</t>
  </si>
  <si>
    <t>graph, mst, combinatorics, bf [idea seems repeated in other problems[</t>
  </si>
  <si>
    <t>graph, mst, flood-fill</t>
  </si>
  <si>
    <t>Theory result to read</t>
  </si>
  <si>
    <t>graph, mst, bfs</t>
  </si>
  <si>
    <t>graph, mst or dfs</t>
  </si>
  <si>
    <t>graph, scc, backtrack</t>
  </si>
  <si>
    <t>[61]</t>
  </si>
  <si>
    <t>graph, scc, dp or dp_trees</t>
  </si>
  <si>
    <t>graph, scc, bfs, [cycles, bcc]</t>
  </si>
  <si>
    <t>graph, scc, matrix or optimized bf, [using the Property of the Adjecency matrix for cycles, # of paths]</t>
  </si>
  <si>
    <t>graph, scc, bitset, [https://github.com/shashank0107/CompetitiveProgramming/blob/master/SPOJ/BREAK.cpp]</t>
  </si>
  <si>
    <t>graph, scc, dp, impl [~=CF894-D2-E]</t>
  </si>
  <si>
    <t>graph, scc, dfs, cycles</t>
  </si>
  <si>
    <t>graph, scc, [https://github.com/ahmedsamir221/CompetitiveProgramming/blob/master/UVA/UVA%2012167.cpp], [https://github.com/shashank0107/CompetitiveProgramming/blob/master/UVA/12167.cpp]</t>
  </si>
  <si>
    <t>graph, scc, greedy</t>
  </si>
  <si>
    <t>graph, scc, greedy, [component], [scc floyd]</t>
  </si>
  <si>
    <t>graph, scc, hashing or dfs, impl</t>
  </si>
  <si>
    <t>graph, scc, [direct] or ad-hoc</t>
  </si>
  <si>
    <t>graph, scc or dfs</t>
  </si>
  <si>
    <t>graph, scc, [https://github.com/shashank0107/CompetitiveProgramming/blob/master/SPOJ/BOTTOM.cpp]</t>
  </si>
  <si>
    <t>graph, scc, impl</t>
  </si>
  <si>
    <t>graph, scc, circles, direct, [scc floyd]</t>
  </si>
  <si>
    <t>graph, scc, dfs, [clique]</t>
  </si>
  <si>
    <t>graph, scc, 2-sat, dfs</t>
  </si>
  <si>
    <t>Can do it in O(N+M) ?</t>
  </si>
  <si>
    <t>[62]</t>
  </si>
  <si>
    <t>graph, scc, 2-sat, binary search</t>
  </si>
  <si>
    <t>graph, scc, 2-sat, greedy, build lexi-output</t>
  </si>
  <si>
    <t>graph, scc, 2-sat, topological sort, dp</t>
  </si>
  <si>
    <t>graph, scc, 2-sat</t>
  </si>
  <si>
    <t>graph, scc, 2-sat, [build output]</t>
  </si>
  <si>
    <t>graph, scc, 2-sat, scc using floyd, [hard text]</t>
  </si>
  <si>
    <t>graph, scc, 2-sat or dsu or greedy</t>
  </si>
  <si>
    <t>graph, scc, 2-sat or dp</t>
  </si>
  <si>
    <t>graph, scc, 2-sat, dsu, topological sort or gaussian elimination</t>
  </si>
  <si>
    <t>graph, scc, 2-sat, [simple dfs, Bipartite graph]</t>
  </si>
  <si>
    <t>graph, scc, 2-sat or greedy</t>
  </si>
  <si>
    <t>graph, scc, articulation point, cycles, classify_edges, [is cactus]</t>
  </si>
  <si>
    <t>[63]</t>
  </si>
  <si>
    <t>graph, scc, articulation point, counting</t>
  </si>
  <si>
    <t>graph, scc, articulation point</t>
  </si>
  <si>
    <t>graph, scc, articulation point or dsu, bf</t>
  </si>
  <si>
    <t>Use SCC</t>
  </si>
  <si>
    <t>graph, scc, biconnected components, bignum, [solve UVA 10510 first, graph cactusness]</t>
  </si>
  <si>
    <t>[64]</t>
  </si>
  <si>
    <t>graph, scc, biconnected components, bride tree algorithm?</t>
  </si>
  <si>
    <t>graph, scc, biconnected components</t>
  </si>
  <si>
    <t>graph, scc, biconnected components, cactus, zabat</t>
  </si>
  <si>
    <t>graph, scc, biconnected components, d&amp;c, compress cycles, [find Online Bridge]</t>
  </si>
  <si>
    <t>graph, scc, biconnected components, min-cut</t>
  </si>
  <si>
    <t>graph, scc, biconnected components, odd cycles, is bipartite</t>
  </si>
  <si>
    <t>Read if hard text or wanna more examples</t>
  </si>
  <si>
    <t>graph, scc, biconnected components, euler</t>
  </si>
  <si>
    <t>graph, scc, biconnected components, binary search</t>
  </si>
  <si>
    <t>graph, scc, biconnected components, bridge tree</t>
  </si>
  <si>
    <t>graph, scc, biconnected components, Menger's Theorem, dsu</t>
  </si>
  <si>
    <t>graph, scc, biconnected components, tree diameter, [long code]</t>
  </si>
  <si>
    <t>graph, scc, biconnected components, math</t>
  </si>
  <si>
    <t>graph, scc, biconnected components, [=CF118-D2-E]</t>
  </si>
  <si>
    <t>graph, scc, biconnected components, [Diameter of the bridge tree</t>
  </si>
  <si>
    <t>graph, scc, biconnected components or dp, [dp https://github.com/QuickSorting/CompetitiveProgramming/blob/master/CodeForces/CF-1214-D12-D.cpp]</t>
  </si>
  <si>
    <t>graph, scc, biconnected components, [https://github.com/ahmedsamir221/CompetitiveProgramming/blob/master/CodeForces/CF100342-GYM-I.cpp]</t>
  </si>
  <si>
    <t>graph, scc, biconnected components, interactive</t>
  </si>
  <si>
    <t>graph, lca, datastructures</t>
  </si>
  <si>
    <t>[65]</t>
  </si>
  <si>
    <t>graph, lca, mst</t>
  </si>
  <si>
    <t>graph, lca, segment tree</t>
  </si>
  <si>
    <t>graph, lca, dp_tree, math</t>
  </si>
  <si>
    <t>graph, lca, dynamic or lin-cut</t>
  </si>
  <si>
    <t>graph, lca, mst, dfs, dp</t>
  </si>
  <si>
    <t>graph, lca, rmq, hard impl</t>
  </si>
  <si>
    <t>graph, lca, segment tree, linearize tree, dynamic root, euler or lca, bit, [tricky to impl]</t>
  </si>
  <si>
    <t>graph, lca, hld, rmq, lazy</t>
  </si>
  <si>
    <t>graph, lca, convex hull</t>
  </si>
  <si>
    <t>graph, lca, dsu</t>
  </si>
  <si>
    <t>graph, lca, tree distances or hld, lazy</t>
  </si>
  <si>
    <t>graph, lca, dp_sibling, [many details]</t>
  </si>
  <si>
    <t>graph, lca or dynamic dsu</t>
  </si>
  <si>
    <t>graph, lca or dsu, offline queries</t>
  </si>
  <si>
    <t>graph, lca, dp, binary lifting, impl or segment tree, persistent</t>
  </si>
  <si>
    <t>graph, lca, tree diameter</t>
  </si>
  <si>
    <t>graph, lca, block-cut tree, [beautiful impl of block-cut]</t>
  </si>
  <si>
    <t>Siol - must read</t>
  </si>
  <si>
    <t>graph, lca, scc, cactus, impl</t>
  </si>
  <si>
    <t>graph, lca, segment tree or bit or hld</t>
  </si>
  <si>
    <t>graph, lca, condensation</t>
  </si>
  <si>
    <t>graph, lca, trees</t>
  </si>
  <si>
    <t>graph, lca, tree diameter, [~=KATTIS tourists]</t>
  </si>
  <si>
    <t>graph, lca, 2nd mst</t>
  </si>
  <si>
    <t>graph, lca</t>
  </si>
  <si>
    <t>graph, lca, cycle, impl</t>
  </si>
  <si>
    <t>graph, lca, lca on tree, rmq, impl</t>
  </si>
  <si>
    <t>graph, lca, mst or floyd</t>
  </si>
  <si>
    <t>graph, lca, dp or hld</t>
  </si>
  <si>
    <t>graph, lca, dp, binary lifting, [educational], [https://ideone.com/KNlLl1]</t>
  </si>
  <si>
    <t>graph, lca, sieve</t>
  </si>
  <si>
    <t>graph, lca, geometry or bitset</t>
  </si>
  <si>
    <t>See</t>
  </si>
  <si>
    <t>graph, lca, [or with dp, binary lifting]</t>
  </si>
  <si>
    <t>graph, lca, impl</t>
  </si>
  <si>
    <t>graph, lca. math</t>
  </si>
  <si>
    <t>graph, lca, preorder sorting</t>
  </si>
  <si>
    <t>graph, lca, [in video, ~=PKU 1986, LIVEARCHIVE 4805, TIMUS 1471]</t>
  </si>
  <si>
    <t>graph, lca, [direct, =LIVEARCHIVE 2045]</t>
  </si>
  <si>
    <t>graph, stable marriage</t>
  </si>
  <si>
    <t>[66]</t>
  </si>
  <si>
    <t>graph, stable marriage or segment tree or binary search</t>
  </si>
  <si>
    <t>grid compress, bf, counting</t>
  </si>
  <si>
    <t>[67]</t>
  </si>
  <si>
    <t>grid compress</t>
  </si>
  <si>
    <t>grid compress, dijkstra</t>
  </si>
  <si>
    <t>grid compress, dijkstra or A*</t>
  </si>
  <si>
    <t>grid compress, flood-fill, impl, [TLEs]</t>
  </si>
  <si>
    <t>grid compress, flood-fill</t>
  </si>
  <si>
    <t>grid compress, dfs or bfs</t>
  </si>
  <si>
    <t>grid compress, rectangles, dfs, counting or dsu, sweep line</t>
  </si>
  <si>
    <t>Find grid-compress based idea</t>
  </si>
  <si>
    <t>grid compress, prefix sum or segment tree</t>
  </si>
  <si>
    <t>[68]</t>
  </si>
  <si>
    <t>math, phsyics, sorting, [velocity]</t>
  </si>
  <si>
    <t>math, ad-hoc</t>
  </si>
  <si>
    <t>math, nnt, dfs, counting or fft</t>
  </si>
  <si>
    <t>math, quadratic equation</t>
  </si>
  <si>
    <t>math, number theory, [multiplication under prime mod using primitive roots]</t>
  </si>
  <si>
    <t>math, simulation</t>
  </si>
  <si>
    <t>math, number repres, observations</t>
  </si>
  <si>
    <t>math, interpolation, observation</t>
  </si>
  <si>
    <t>math, greedy, queue</t>
  </si>
  <si>
    <t>math, grey code</t>
  </si>
  <si>
    <t>math, randomization, substring counting</t>
  </si>
  <si>
    <t>math, recursion</t>
  </si>
  <si>
    <t>math, simulation, analysis, impl</t>
  </si>
  <si>
    <t>math, number theory, constructive</t>
  </si>
  <si>
    <t>math, primes, binary search</t>
  </si>
  <si>
    <t>math, fraction</t>
  </si>
  <si>
    <t>math, pattern, periodic sequence</t>
  </si>
  <si>
    <t>math, bf, [tricky]</t>
  </si>
  <si>
    <t>math, d&amp;c, gaussian elimination</t>
  </si>
  <si>
    <t>math, lagrange multiplier, [help understand lagrange]</t>
  </si>
  <si>
    <t>sOL</t>
  </si>
  <si>
    <t>math, number theory, primitive root, impl</t>
  </si>
  <si>
    <t>math, precision, [sqrt(max(x, 0)) when x is close to 0]</t>
  </si>
  <si>
    <t>math, randomization or gaussian, xor</t>
  </si>
  <si>
    <t>math, big integer</t>
  </si>
  <si>
    <t>math, paths count on grid, linear algebra, [one way is wiki formula]</t>
  </si>
  <si>
    <t>math, quadratic equation, binary search</t>
  </si>
  <si>
    <t>math, reccurance</t>
  </si>
  <si>
    <t>math, sorting</t>
  </si>
  <si>
    <t>math, geometry, interpolation or ternary search</t>
  </si>
  <si>
    <t>math, greedy or ternary search</t>
  </si>
  <si>
    <t>math, prime-testing</t>
  </si>
  <si>
    <t>Explantation</t>
  </si>
  <si>
    <t>math, maximising a product</t>
  </si>
  <si>
    <t>math, number theory, ad-hoc, binary search, sieve</t>
  </si>
  <si>
    <t>math, dp</t>
  </si>
  <si>
    <r>
      <t>math, number theory, bf, </t>
    </r>
    <r>
      <rPr>
        <b/>
        <sz val="10"/>
        <color rgb="FF000000"/>
        <rFont val="Arial"/>
        <family val="2"/>
      </rPr>
      <t>hard to impl</t>
    </r>
  </si>
  <si>
    <t>math, number theory, stack</t>
  </si>
  <si>
    <t>math, observations or ternary search</t>
  </si>
  <si>
    <t>math, randomization, factorization, probability</t>
  </si>
  <si>
    <t>math, greedy, dp</t>
  </si>
  <si>
    <t>math, geometric/arithmatic progression, observations</t>
  </si>
  <si>
    <t>math, greedy</t>
  </si>
  <si>
    <t>math, quadratic equation, [hard text, pen and paper work]</t>
  </si>
  <si>
    <t>math, observation, sorting</t>
  </si>
  <si>
    <t>math, stack, ad-hoc, [Lipshitz], [to geometry view] or rmq</t>
  </si>
  <si>
    <t>Sol (Another sol)</t>
  </si>
  <si>
    <t>math, ad-hoc, interactive, bitmasks</t>
  </si>
  <si>
    <t>math, greedy, interactive</t>
  </si>
  <si>
    <t>math, interactive</t>
  </si>
  <si>
    <t>math, bf, ad-hoc</t>
  </si>
  <si>
    <t>math, bf, pattern, Mersenne exponents</t>
  </si>
  <si>
    <t>math, bf, [useless]</t>
  </si>
  <si>
    <t>math, randomization, polynomials, equation evalaution</t>
  </si>
  <si>
    <t>math, d&amp;c</t>
  </si>
  <si>
    <t>math, math_adhock, lucas's theorem</t>
  </si>
  <si>
    <t>math, implementation, interactive</t>
  </si>
  <si>
    <t>math, number theory, [guy got WA]</t>
  </si>
  <si>
    <t>math, randomization, bitset</t>
  </si>
  <si>
    <t>math, randomization, unifrom dist</t>
  </si>
  <si>
    <t>math, ad-hoc, pattern, impl</t>
  </si>
  <si>
    <t>math, greedy, number theory or sweep line</t>
  </si>
  <si>
    <t>math, fermat's little theorem, crt or baby step giant step</t>
  </si>
  <si>
    <t>math, strings, derive equations</t>
  </si>
  <si>
    <t>math, complex numbers</t>
  </si>
  <si>
    <t>math, faray sequence generation</t>
  </si>
  <si>
    <t>Sol (link to study)</t>
  </si>
  <si>
    <t>math, fractions</t>
  </si>
  <si>
    <t>math, inequalities or ternary search</t>
  </si>
  <si>
    <t>Read first</t>
  </si>
  <si>
    <t>math, number theory, divisors, ranges</t>
  </si>
  <si>
    <t>math, sorting, strings</t>
  </si>
  <si>
    <t>math, bf, binary search</t>
  </si>
  <si>
    <t>math, observations, constructive, cases</t>
  </si>
  <si>
    <t>math, two pointer, ad-hoc</t>
  </si>
  <si>
    <t>math, observation</t>
  </si>
  <si>
    <t>math, sorting, prefix sum, binary search</t>
  </si>
  <si>
    <t>math, bf</t>
  </si>
  <si>
    <t>Read post and comments after trying (C++)</t>
  </si>
  <si>
    <t>math, [Mido: Releated to Diophantine equation]</t>
  </si>
  <si>
    <t>math, ad-hoc, palyndromes, [short code]</t>
  </si>
  <si>
    <t>math, binary search, precision or ternary search</t>
  </si>
  <si>
    <t>Sol (not intended)</t>
  </si>
  <si>
    <t>math, constructive algorithm</t>
  </si>
  <si>
    <t>math, datastructures</t>
  </si>
  <si>
    <t>math, [hard text]</t>
  </si>
  <si>
    <t>math, bf, simulation</t>
  </si>
  <si>
    <t>math, binary search, rmq</t>
  </si>
  <si>
    <t>math, randomization or max-flow</t>
  </si>
  <si>
    <t>math, ad-hoc or logarithm, pow or exp</t>
  </si>
  <si>
    <t>math, bf, [precision]</t>
  </si>
  <si>
    <t>math, combinatroics</t>
  </si>
  <si>
    <t>math, constructive algorithsms</t>
  </si>
  <si>
    <t>math, expectation</t>
  </si>
  <si>
    <t>math, number theory, prefix sum</t>
  </si>
  <si>
    <t>math, oeis</t>
  </si>
  <si>
    <t>math, pattern, observations, [cases],[do bf to detect pattern],[boring]</t>
  </si>
  <si>
    <t>math, pattern, search</t>
  </si>
  <si>
    <t>math, quadratic equations, geometry</t>
  </si>
  <si>
    <t>math, number theory, strings, [dig*10^sufix*(choose sufix)*^Prefix]</t>
  </si>
  <si>
    <t>math, xor</t>
  </si>
  <si>
    <t>math, randomization, interactive</t>
  </si>
  <si>
    <t>math or bit</t>
  </si>
  <si>
    <t>math, bitmasks</t>
  </si>
  <si>
    <t>math, prefix sum, [https://www.youtube.com/watch?v=S0nKXwwWG8Y&amp;t=1s]</t>
  </si>
  <si>
    <t>math, log, [double limits], [https://github.com/magdy-hasan/competitive-programming/blob/master/uva-/uva%20113%20-%20Power%20of%20Cryptography.cpp]</t>
  </si>
  <si>
    <t>math, cases. bf</t>
  </si>
  <si>
    <t>math, polynomial division</t>
  </si>
  <si>
    <t>math, [precision]</t>
  </si>
  <si>
    <t>math, [trivial]</t>
  </si>
  <si>
    <t>math, integration, binary search</t>
  </si>
  <si>
    <t>math, equations, bhaskara or binary search</t>
  </si>
  <si>
    <t>math, observations</t>
  </si>
  <si>
    <t>Sol. Learn __int128</t>
  </si>
  <si>
    <t>math, pattern, cycle, mod</t>
  </si>
  <si>
    <t>math, ad-hoc, recursion</t>
  </si>
  <si>
    <t>math, base conversions, bignum</t>
  </si>
  <si>
    <t>math, impl, counting</t>
  </si>
  <si>
    <t>math, intervals</t>
  </si>
  <si>
    <t>math, prefix sum, [direct 2d]</t>
  </si>
  <si>
    <t>math, [long division]</t>
  </si>
  <si>
    <t>Find a formula</t>
  </si>
  <si>
    <t>math, roman numerals</t>
  </si>
  <si>
    <t>math, factorial, combinatorics, pascal</t>
  </si>
  <si>
    <t>[70]</t>
  </si>
  <si>
    <t>math, factorial, counting</t>
  </si>
  <si>
    <t>math, factorial or dp_bitmasks</t>
  </si>
  <si>
    <r>
      <t>math, factorial, factoradic index, </t>
    </r>
    <r>
      <rPr>
        <b/>
        <sz val="10"/>
        <color rgb="FF000000"/>
        <rFont val="Arial"/>
        <family val="2"/>
      </rPr>
      <t>impl</t>
    </r>
    <r>
      <rPr>
        <sz val="10"/>
        <color rgb="FF000000"/>
        <rFont val="Arial"/>
        <family val="2"/>
      </rPr>
      <t>, bigint</t>
    </r>
  </si>
  <si>
    <t>math, factorial, permutations</t>
  </si>
  <si>
    <t>math, factorial, factorization, binary search</t>
  </si>
  <si>
    <t>math, factorial, overflow</t>
  </si>
  <si>
    <t>math, fib, bf</t>
  </si>
  <si>
    <t>[71]</t>
  </si>
  <si>
    <t>math, fib, permutation or dp</t>
  </si>
  <si>
    <t>math, fibonacci, linear algebra, matrix pow</t>
  </si>
  <si>
    <t>math, fibonacci</t>
  </si>
  <si>
    <t>math, fib, cycle detection</t>
  </si>
  <si>
    <t>math, fib</t>
  </si>
  <si>
    <t>math, formula, gcd</t>
  </si>
  <si>
    <t>[72]</t>
  </si>
  <si>
    <t>math, formula, precision, [bad statement]</t>
  </si>
  <si>
    <t>math, formula, bitmasks</t>
  </si>
  <si>
    <t>math, formula, [cases analysis]</t>
  </si>
  <si>
    <t>math, formula, simulation, physics</t>
  </si>
  <si>
    <t>math, formula, integration</t>
  </si>
  <si>
    <t>math, formula, basic geometry</t>
  </si>
  <si>
    <t>math, formula, pattern or bs</t>
  </si>
  <si>
    <t>math, formula, arithmetic</t>
  </si>
  <si>
    <t>math, formula, counting swaps</t>
  </si>
  <si>
    <t>[73]</t>
  </si>
  <si>
    <t>math, gcd, constructive</t>
  </si>
  <si>
    <t>math, gcd, lcm, [all lcm pairs, ECPC 18 D]</t>
  </si>
  <si>
    <t>math, gcd, binary lifting</t>
  </si>
  <si>
    <t>math, gcd, backtrack</t>
  </si>
  <si>
    <t>math, gcd or dp</t>
  </si>
  <si>
    <t>math, gcd, [how many integer points are on a line segment, study pick theorem first]</t>
  </si>
  <si>
    <t>math, gcd, bf</t>
  </si>
  <si>
    <t>math, gcd, lcm, graph</t>
  </si>
  <si>
    <t>math, gcd, Polynomials</t>
  </si>
  <si>
    <t>math, gcd or rmq, binary search, [TLEs]</t>
  </si>
  <si>
    <t>math, gcd, mod, [cases]</t>
  </si>
  <si>
    <t>math, gcd, mod, number theory, Bezout's identity</t>
  </si>
  <si>
    <t>math, gcd, lcm, cyclic permutation</t>
  </si>
  <si>
    <t>math, gcd, [cases analysis]</t>
  </si>
  <si>
    <t>math, gcd, bf, [LL]</t>
  </si>
  <si>
    <t>math, gcd, Bezout's identity, observations</t>
  </si>
  <si>
    <t>math, gcd, greedy</t>
  </si>
  <si>
    <t>math, gcd, lcm, bfs or crt</t>
  </si>
  <si>
    <t>math, gcd, mod</t>
  </si>
  <si>
    <t>math, gcd, search</t>
  </si>
  <si>
    <t>math, gcd, Bezout's identity or patter, OEIS</t>
  </si>
  <si>
    <t>math, gcd, arithmetic, repeated squaring</t>
  </si>
  <si>
    <t>math, gcd or ad-hoc</t>
  </si>
  <si>
    <t>math, gcd, lcm, data structures</t>
  </si>
  <si>
    <t>math, gcd, arithmetic</t>
  </si>
  <si>
    <t>math, gcd, lcm, multiply fractions</t>
  </si>
  <si>
    <t>[74]</t>
  </si>
  <si>
    <t>math, mode 2 trick</t>
  </si>
  <si>
    <t>math, mod, dp or ad-hoc</t>
  </si>
  <si>
    <t>math, repeated squaring or binary search</t>
  </si>
  <si>
    <t>[75]</t>
  </si>
  <si>
    <t>math, repeated squaring</t>
  </si>
  <si>
    <t>math, repeated squaring, mod</t>
  </si>
  <si>
    <t>math, repeated squaring, combinatorics</t>
  </si>
  <si>
    <t>math, search</t>
  </si>
  <si>
    <t>[76]</t>
  </si>
  <si>
    <t>math, search, simulation</t>
  </si>
  <si>
    <t>math, summations, formula or bf</t>
  </si>
  <si>
    <t>[77]</t>
  </si>
  <si>
    <t>math, summations, pow sum [1^k+2^k..], [harder version CF622-D12-F needs Lagrange polynomial]</t>
  </si>
  <si>
    <t>math, summations, ??</t>
  </si>
  <si>
    <t>math, summations, reccurance or binary search, mod congruences, overflows</t>
  </si>
  <si>
    <t>math, summations, factorial, log or ad-hoc or approximation formula for binomial distribution</t>
  </si>
  <si>
    <t>math, summations, summation order, binomial, bignum</t>
  </si>
  <si>
    <t>math, summations, reminder summations</t>
  </si>
  <si>
    <t>CF616E editorial</t>
  </si>
  <si>
    <t>math, summations, gcd, power, gaussian elimination</t>
  </si>
  <si>
    <t>math, summations, mod</t>
  </si>
  <si>
    <t>math, summations, lcm</t>
  </si>
  <si>
    <t>math, summations, in my videos</t>
  </si>
  <si>
    <t>Watch if needed</t>
  </si>
  <si>
    <t>math, summations, factorization, divisors sum</t>
  </si>
  <si>
    <t>math, summations, [sum of squares of distances between all pairs]</t>
  </si>
  <si>
    <t>math, summations, digits sum</t>
  </si>
  <si>
    <t>math, summations, geometry, manhatan</t>
  </si>
  <si>
    <t>math, summations, sqrt</t>
  </si>
  <si>
    <t>math, summations, recursion</t>
  </si>
  <si>
    <t>math, summations, binary search</t>
  </si>
  <si>
    <t>math, summations, formula</t>
  </si>
  <si>
    <t>math, summations, gcd</t>
  </si>
  <si>
    <t>[78]</t>
  </si>
  <si>
    <t>math, infix to postfix, expression parsing</t>
  </si>
  <si>
    <t>math, logarithm, [hard text?]</t>
  </si>
  <si>
    <t>[79]</t>
  </si>
  <si>
    <t>math, logarithm, formula or binary search</t>
  </si>
  <si>
    <t>math, logarithm, formula</t>
  </si>
  <si>
    <t>math, logarithm</t>
  </si>
  <si>
    <t>math, number base conversion</t>
  </si>
  <si>
    <t>[80]</t>
  </si>
  <si>
    <t>math, number base conversion, -ve base</t>
  </si>
  <si>
    <t>math, number base conversion, bf</t>
  </si>
  <si>
    <t>math, number base conversion, impl, basic bignum</t>
  </si>
  <si>
    <t>math, combinatorics, counting, repeated squaring</t>
  </si>
  <si>
    <t>[82]</t>
  </si>
  <si>
    <t>math, combinatorics, datastructures, bs, impl</t>
  </si>
  <si>
    <t>math, combinatorics, number theory</t>
  </si>
  <si>
    <t>math, combinatorics or FFT</t>
  </si>
  <si>
    <t>math, combinatorics, counting, cycles, double-counting or dp</t>
  </si>
  <si>
    <t>math, combinatorics, dfs, trees</t>
  </si>
  <si>
    <t>math, combinatorics, sieve, formula, gcd</t>
  </si>
  <si>
    <t>Sol - must to read</t>
  </si>
  <si>
    <t>ASol</t>
  </si>
  <si>
    <t>math, combinatorics, counting or dp_diagonal</t>
  </si>
  <si>
    <t>math, combinatorics, counting, mod, backtrack</t>
  </si>
  <si>
    <t>math, combinatorics, bf, impl</t>
  </si>
  <si>
    <t>math, combinatorics, counting, overflow, ??</t>
  </si>
  <si>
    <t>math, combinatorics, inv combinations</t>
  </si>
  <si>
    <t>math, combinatorics, ad-hoc, [new idea]</t>
  </si>
  <si>
    <t>math, combinatorics, [pascal's triangle, reduce to formula]</t>
  </si>
  <si>
    <t>math, combinatorics, datastructures, two pointers or observations, dp</t>
  </si>
  <si>
    <t>Solve in 2 ways</t>
  </si>
  <si>
    <t>math, combinatorics, combinations</t>
  </si>
  <si>
    <t>math, combinatorics, pattern or dp_counting</t>
  </si>
  <si>
    <t>math, combinatorics, bf or dp</t>
  </si>
  <si>
    <t>math, combinatorics, logarithms</t>
  </si>
  <si>
    <t>math, combinatorics, trees or dp_trees</t>
  </si>
  <si>
    <t>math, combinatorics, geometry, two pointers, sorting</t>
  </si>
  <si>
    <t>math, combinatorics, mod inv, [stars and bars]</t>
  </si>
  <si>
    <t>math, combinatorics, probability</t>
  </si>
  <si>
    <t>math, combinatorics, Factorial number system, impl</t>
  </si>
  <si>
    <t>math, combinatorics, counting, cubes, rotations or formula, Burnside Lemma</t>
  </si>
  <si>
    <t>math, combinatorics, inclusion-exclusion</t>
  </si>
  <si>
    <t>math, combinatorics, palindromes</t>
  </si>
  <si>
    <t>math, combinatorics, permutations, precalculation, impl</t>
  </si>
  <si>
    <t>math, combinatorics, binary search or dp_counting</t>
  </si>
  <si>
    <t>math, combinatorics, [mov inv one sol]</t>
  </si>
  <si>
    <t>math, combinatorics, first/last K digits 2^N, [=UVA 11029]</t>
  </si>
  <si>
    <t>math, combinatorics, [corner cases]</t>
  </si>
  <si>
    <t>math, combinatorics or dp_digit</t>
  </si>
  <si>
    <t>math, combinatorics, permutations, [big num??]</t>
  </si>
  <si>
    <t>math, combinatorics, bst</t>
  </si>
  <si>
    <t>math, combinatorics, permutations, factoradics</t>
  </si>
  <si>
    <t>math, combinatorics, permutations, factoradics or segment tree ir bit, treap, bbst</t>
  </si>
  <si>
    <t>math, combinatorics, permutations, impl</t>
  </si>
  <si>
    <t>math, combinatorics, search</t>
  </si>
  <si>
    <t>math, combinatorics, basic geometry</t>
  </si>
  <si>
    <t>math, combinatorics, bf or pattern</t>
  </si>
  <si>
    <t>math, combinatorics, combinations, permutations</t>
  </si>
  <si>
    <t>math, combinatorics, factorial</t>
  </si>
  <si>
    <t>math, combinatorics, counting, gcd</t>
  </si>
  <si>
    <t>math, combinatorics, formula, [AP sum formula and series sum formulas of sum of squares]</t>
  </si>
  <si>
    <t>math, combinatorics, pow</t>
  </si>
  <si>
    <t>math, combinatorics, preprocessing</t>
  </si>
  <si>
    <t>math, combinatorics, counting, mod</t>
  </si>
  <si>
    <t>math, combinatorics, trees</t>
  </si>
  <si>
    <t>math, cyclic permutation, factorization, lcm</t>
  </si>
  <si>
    <t>[84]</t>
  </si>
  <si>
    <t>math, cyclic permutation</t>
  </si>
  <si>
    <t>math, cyclic permutation or ad-hoc</t>
  </si>
  <si>
    <t>math, cyclic permutation, ??</t>
  </si>
  <si>
    <t>math, cyclic permutation, search, [no editorial]</t>
  </si>
  <si>
    <t>math, cyclic permutation, [in video]</t>
  </si>
  <si>
    <t>math, cyclic permutation, ?? revise</t>
  </si>
  <si>
    <t>math, cyclic permutation, greedy</t>
  </si>
  <si>
    <t>math, cyclic permutation, greedy, constructive</t>
  </si>
  <si>
    <t>math, cyclic permutation, graph cycles, even, odd</t>
  </si>
  <si>
    <t>math, cyclic permutation or backtrack, prune, [backtrack https://github.com/racsosabe/CompetitiveProgramming/blob/master/TopCoder/SRM280-D2-1000.cpp]</t>
  </si>
  <si>
    <t>See Editorial</t>
  </si>
  <si>
    <t>math, cyclic permutation, dfs, trees</t>
  </si>
  <si>
    <t>math, cyclic permutation, stirling number of first kind, dp, probability, [how many permutation that have number of cycle &lt;= m]</t>
  </si>
  <si>
    <t>math, cyclic permutation or backtrack, dsu</t>
  </si>
  <si>
    <t>Understand TC editorial</t>
  </si>
  <si>
    <t>math, cyclic permutation or dfs</t>
  </si>
  <si>
    <t>math, factorization, pollard rho</t>
  </si>
  <si>
    <t>[85]</t>
  </si>
  <si>
    <t>math, factorization, bf</t>
  </si>
  <si>
    <t>math, factorization, dp</t>
  </si>
  <si>
    <t>math, factorization, graph, impl, [boring?]</t>
  </si>
  <si>
    <t>math, factorization, sieve bitmasks, max pow divide</t>
  </si>
  <si>
    <t>math, factorization, search</t>
  </si>
  <si>
    <t>math, factorization, pow, triangles</t>
  </si>
  <si>
    <t>math, factorization, sieve in range, greedy</t>
  </si>
  <si>
    <t>math, factorization, divisors, infinite periodic array, [may solve CF582C first]</t>
  </si>
  <si>
    <t>math, factorization, events, [101840 buggy, use 101856]</t>
  </si>
  <si>
    <t>math, factorization, number base, primes or pollard_rho, millar_rabin</t>
  </si>
  <si>
    <t>math, factorization, binary search, [optimizations]</t>
  </si>
  <si>
    <t>math, factorization, sieve, pow_divides !n, heaps</t>
  </si>
  <si>
    <t>math, factorization, divisors sum, [strict time]</t>
  </si>
  <si>
    <t>math, factorization, gcd</t>
  </si>
  <si>
    <t>math, factorization, divisors, bf</t>
  </si>
  <si>
    <t>math, factorization, fibonaci</t>
  </si>
  <si>
    <t>math, factorization, binary search, analysis, [prime factors till cube]</t>
  </si>
  <si>
    <t>math, factorization, [Formula for sum divisors Prod(Sum(fac-powers))]</t>
  </si>
  <si>
    <t>math, factorization, impl or dp</t>
  </si>
  <si>
    <t>math, factorization, precalc</t>
  </si>
  <si>
    <t>math, factorization, bf, gauss sum</t>
  </si>
  <si>
    <t>math, factorization, divisors sum, fib</t>
  </si>
  <si>
    <t>math, factorization, primes</t>
  </si>
  <si>
    <t>Solve in O(1)</t>
  </si>
  <si>
    <t>math, factorization, bignum optionally</t>
  </si>
  <si>
    <t>math, inclusion-exclusion, matrix pow</t>
  </si>
  <si>
    <t>[86]</t>
  </si>
  <si>
    <t>math, inclusion-exclusion or dp, matrix pow</t>
  </si>
  <si>
    <t>math, inclusion-exclusion, combinatorics, gcd reduction trick</t>
  </si>
  <si>
    <t>math, inclusion-exclusion, observations, rmq</t>
  </si>
  <si>
    <t>math, inclusion-exclusion or dp</t>
  </si>
  <si>
    <t>math, inclusion-exclusion, combinatorics</t>
  </si>
  <si>
    <t>math, inclusion-exclusion, dp</t>
  </si>
  <si>
    <t>math, inclusion-exclusion, number theory</t>
  </si>
  <si>
    <t>math, inclusion-exclusion, bitmasks or number theory, lucas's theorem, generating functions</t>
  </si>
  <si>
    <t>math, inclusion-exclusion, mobius, [repeated]</t>
  </si>
  <si>
    <t>math, inclusion-exclusion or mobius inversion or dp_counting</t>
  </si>
  <si>
    <t>math, inclusion-exclusion, combinatorics, bitmasks</t>
  </si>
  <si>
    <t>math, inclusion-exclusion, lcm, mod inv</t>
  </si>
  <si>
    <t>math, inclusion-exclusion, dp, sieve, [Leader trick in combinatronics]</t>
  </si>
  <si>
    <t>math, inclusion-exclusion, squarefree numbers</t>
  </si>
  <si>
    <t>math, inclusion-exclusion, gcd, masks</t>
  </si>
  <si>
    <t>math, inclusion-exclusion, primes</t>
  </si>
  <si>
    <t>math, inclusion-exclusion, lcm, combinatorics</t>
  </si>
  <si>
    <t>math, inclusion-exclusion, prefix sum or dp_counting, 4d cumulative sum</t>
  </si>
  <si>
    <t>math, inclusion-exclusion, permutations or dp_bitmasks</t>
  </si>
  <si>
    <t>math, math_ad-hoc, gray code</t>
  </si>
  <si>
    <t>[87]</t>
  </si>
  <si>
    <t>math, math_ad-hoc, roman numerals</t>
  </si>
  <si>
    <t>math, math_ad-hoc, polynomials, fractions. Faulhaber's formula, [classical]</t>
  </si>
  <si>
    <t>math, math_ad-hoc, complex numbers, simulation, mandelbrot set</t>
  </si>
  <si>
    <t>math, math_ad-hoc, formula or bbst, splay tree</t>
  </si>
  <si>
    <t>math, math_ad-hoc, pascal trinagle, recursion, analysis</t>
  </si>
  <si>
    <t>math, math_ad-hoc</t>
  </si>
  <si>
    <t>math, math_ad-hoc, boolean logic</t>
  </si>
  <si>
    <t>math, math_ad-hoc, complex numbers, de moivre's theorem</t>
  </si>
  <si>
    <t>math, math_ad-hoc, complex numbers, number base conversion</t>
  </si>
  <si>
    <t>math, math_ad-hoc, de moivre's formula, chebyshev polynomials</t>
  </si>
  <si>
    <t>math, math_ad-hoc, polynomials, gcd</t>
  </si>
  <si>
    <t>math, math_ad-hoc, graph</t>
  </si>
  <si>
    <t>math, math_ad-hoc, case analysis</t>
  </si>
  <si>
    <t>math, math_ad-hoc, linear algebra</t>
  </si>
  <si>
    <t>math, math_ad-hoc, catlan, [Bertrand's ballot theorem]</t>
  </si>
  <si>
    <t>math, math_ad-hoc, polynomials, polynomial roots</t>
  </si>
  <si>
    <t>math, math_ad-hoc, pigeonhole principle, mod, [=TIMUS 1032]</t>
  </si>
  <si>
    <t>math, math_ad-hoc, algebra, substitution</t>
  </si>
  <si>
    <t>math, math_ad-hoc, impl</t>
  </si>
  <si>
    <t>math, math_ad-hoc, patterns or factorization</t>
  </si>
  <si>
    <t>math, math_ad-hoc, catlan</t>
  </si>
  <si>
    <t>math, math_ad-hoc, patterns</t>
  </si>
  <si>
    <t>math, math_ad-hoc, polynomials</t>
  </si>
  <si>
    <t>math, math_ad-hoc, fermat little theorm</t>
  </si>
  <si>
    <t>math, math_ad-hoc, catlan or bignum</t>
  </si>
  <si>
    <t>math, math_ad-hoc, catlan, bignum</t>
  </si>
  <si>
    <t>math, math_ad-hoc, pigeonhole principle, dp</t>
  </si>
  <si>
    <t>math, math_ad-hoc, polynomials, simulation</t>
  </si>
  <si>
    <t>math, math_ad-hoc, fermat last theorm</t>
  </si>
  <si>
    <t>Learn Fermat’s Last Theorem</t>
  </si>
  <si>
    <t>math, math_ad-hoc, recurrences</t>
  </si>
  <si>
    <t>[88]</t>
  </si>
  <si>
    <t>math, matrix, ad-hoc</t>
  </si>
  <si>
    <t>math, matrix pow</t>
  </si>
  <si>
    <t>math, matrix pow, probability</t>
  </si>
  <si>
    <t>math, matrix power, mod inv, dp_probability</t>
  </si>
  <si>
    <t>math, matrix, rotate, impl</t>
  </si>
  <si>
    <t>math, matrix, matrix pow, fib</t>
  </si>
  <si>
    <t>[89]</t>
  </si>
  <si>
    <t>math, matrix, matrix pow</t>
  </si>
  <si>
    <t>math, matrix, matrix pow, counting</t>
  </si>
  <si>
    <t>math, matrix, matrix pow, graph</t>
  </si>
  <si>
    <t>math, matrix, matrix pow, log</t>
  </si>
  <si>
    <t>math, matrix, matrix pow, [paths count]</t>
  </si>
  <si>
    <t>math, matrix, matrix pow, bits operations?</t>
  </si>
  <si>
    <t>math, matrix, matrix pow, fib sequence sum, [oeis may help]</t>
  </si>
  <si>
    <t>math, matrix, matrix pow, dp, [unclear txt]</t>
  </si>
  <si>
    <t>math, matrix, matrix pow, floyd, binary search, [adjacency^k)</t>
  </si>
  <si>
    <t>math, matrix, matrix pow, matrix pow sum [A^0+A1+A2...], [~=UVA 11149]</t>
  </si>
  <si>
    <t>math, matrix, matrix pow, [non linear reccurance]</t>
  </si>
  <si>
    <t>math, matrix, matrix pow, expectation, [permutation, adjacent swap]</t>
  </si>
  <si>
    <t>math, matrix, matrix pow, dp</t>
  </si>
  <si>
    <t>math, matrix, matrix pow, graph, matrix pow min, floyd or floyd, dp_digit</t>
  </si>
  <si>
    <t>math, matrix, matrix pow, linearity of expecation, [efficient mat pow]</t>
  </si>
  <si>
    <t>math, matrix, matrix pow, reccurance, generating function or dp</t>
  </si>
  <si>
    <t>math, matrix, matrix pow or dp, d&amp;c</t>
  </si>
  <si>
    <t>math, matrix, matrix pow, dp, sweepline, sorting</t>
  </si>
  <si>
    <t>math, matrix, matrix pow, complex numbers, linear recurrences</t>
  </si>
  <si>
    <t>math, matrix, matrix pow, impl</t>
  </si>
  <si>
    <t>math, matrix, matrix pow, matrix pow max, dp</t>
  </si>
  <si>
    <t>math, matrix, matrix pow, oeis</t>
  </si>
  <si>
    <t>math, matrix, matrix pow, graph, dp</t>
  </si>
  <si>
    <t>math, matrix, matrix pow or dp</t>
  </si>
  <si>
    <t>math, matrix, matrix pow, [basic hint in video]</t>
  </si>
  <si>
    <t>Sol.</t>
  </si>
  <si>
    <t>math, matrix, matrix pow, [fib sum]</t>
  </si>
  <si>
    <t>math, matrix, matrix pow, [fib]</t>
  </si>
  <si>
    <t>math, matrix, matrix pow, fib, or pattern [direct fb]</t>
  </si>
  <si>
    <t>math, matrix, matrix pow, [pisano period]</t>
  </si>
  <si>
    <t>math, matrix, gaussian elimination</t>
  </si>
  <si>
    <t>[90]</t>
  </si>
  <si>
    <t>math, matrix, gaussian elimination, complex numbers</t>
  </si>
  <si>
    <t>math, matrix, gaussian elimination, matrix inv</t>
  </si>
  <si>
    <t>math, matrix, gaussian elimination, gauss-xor, vector space, dynamic-dsu</t>
  </si>
  <si>
    <t>math, matrix, gaussian elimination, gauss-xor, vector space</t>
  </si>
  <si>
    <t>math, matrix, gaussian elimination, gauss-xor or dp</t>
  </si>
  <si>
    <t>math, matrix, gaussian elimination, mst, matrix tree theorem</t>
  </si>
  <si>
    <t>math, matrix, gaussian elimination, xor</t>
  </si>
  <si>
    <t>math, matrix, gaussian elimination, [optimization]</t>
  </si>
  <si>
    <t>math, matrix, gaussian elimination, sieve, is similar to SRM306-D1-500?</t>
  </si>
  <si>
    <t>math, matrix, gaussian elimination, bitset</t>
  </si>
  <si>
    <t>Editorial (Google Sol)</t>
  </si>
  <si>
    <t>math, matrix, gaussian elimination, determinant</t>
  </si>
  <si>
    <t>math, matrix, gaussian elimination, gauss-xor, [education problem]</t>
  </si>
  <si>
    <t>math, matrix, gaussian elimination or ad-hoc</t>
  </si>
  <si>
    <t>math, matrix, gaussian elimination, det</t>
  </si>
  <si>
    <t>[91]</t>
  </si>
  <si>
    <t>math, probability, trees</t>
  </si>
  <si>
    <t>math, probability, hashing or kmp</t>
  </si>
  <si>
    <t>math, probability, tree, dfs, sorting</t>
  </si>
  <si>
    <t>math, probability, percision</t>
  </si>
  <si>
    <t>math, probability, quadratic equation</t>
  </si>
  <si>
    <t>math, probability, [Huffman encoding?]</t>
  </si>
  <si>
    <t>math, probability, arithmetic</t>
  </si>
  <si>
    <t>math, probability, randomization</t>
  </si>
  <si>
    <t>math, probability, graph</t>
  </si>
  <si>
    <t>math, probability, sorting, multiview</t>
  </si>
  <si>
    <t>math, probability, randomization, interactive</t>
  </si>
  <si>
    <t>math, probability, cdf, integration</t>
  </si>
  <si>
    <t>math, probability, bf, bitmask or greedy</t>
  </si>
  <si>
    <t>math, probability, combinatronics, [https://github.com/ahmedsamir221/CompetitiveProgramming/blob/master/UVA/UVA%20557.cpp]</t>
  </si>
  <si>
    <t>math, probability, factorial, logarithm, catlan, reflection principle, [solve first SPOJ FUNPROB]</t>
  </si>
  <si>
    <t>Sol - must read. If hard, try SPOJ FUNPROB first</t>
  </si>
  <si>
    <t>math, probability, bf, simulation</t>
  </si>
  <si>
    <t>math, probability, formula, catalan, [https://github.com/ZeyadKhattab/Competitive-Programming/blob/master/Spoj/SPOJ%20FUNPROB.java]</t>
  </si>
  <si>
    <t>math, probability, geometry or algebra</t>
  </si>
  <si>
    <t>math, probability, recursion, precision, [hard txt?]</t>
  </si>
  <si>
    <t>math, probability, greedy, [https://github.com/ahmedsamir221/CompetitiveProgramming/blob/master/UVA/UVA%2012461.cpp]</t>
  </si>
  <si>
    <t>math, probability or dp, [bad statement]</t>
  </si>
  <si>
    <t>math, probability, simulation, [Might not be working on LA (but on CF y)]</t>
  </si>
  <si>
    <t>math, probability, gcd, counting style</t>
  </si>
  <si>
    <t>Revise Probability</t>
  </si>
  <si>
    <t>math, sieve, prime factorization, crt or fft</t>
  </si>
  <si>
    <t>Sol analysis</t>
  </si>
  <si>
    <t>[93]</t>
  </si>
  <si>
    <t>math, sieve, [hard / boring?]</t>
  </si>
  <si>
    <t>math, sieve, counting</t>
  </si>
  <si>
    <t>math, sieve, stack</t>
  </si>
  <si>
    <t>math, sieve, dfs</t>
  </si>
  <si>
    <t>math, sieve, factorization, factorial</t>
  </si>
  <si>
    <t>math, sieve, factorization, gcd, lcm</t>
  </si>
  <si>
    <t>math, sieve, factorial, factorization</t>
  </si>
  <si>
    <t>math, sieve, fib, [first k digits of a really big number, approximation to Fibonacci as a power., gcd(Fn,Fm) = F(gcd(N,M))]</t>
  </si>
  <si>
    <t>math, sieve, wilson's theorem</t>
  </si>
  <si>
    <t>math, sieve, greedy, constructive, [Genius trick]</t>
  </si>
  <si>
    <t>math, sieve, sieve bitmasks</t>
  </si>
  <si>
    <t>math, sieve, factorization, counting</t>
  </si>
  <si>
    <t>math, sieve, sieve bitmasks, factorization</t>
  </si>
  <si>
    <t>math, sieve, prime testing, [SPOJ PRIMPERM is easier]</t>
  </si>
  <si>
    <t>math, sieve, dp</t>
  </si>
  <si>
    <t>math, sieve, factorization, gaussian prime</t>
  </si>
  <si>
    <t>math, sieve, prime testing</t>
  </si>
  <si>
    <t>math, sieve, [is boring? remove from sheet?]</t>
  </si>
  <si>
    <t>math, sieve, repeated squaring</t>
  </si>
  <si>
    <t>math, sieve, sieve bitmasks, factorization, backtrack</t>
  </si>
  <si>
    <t>math, sieve, [direct]</t>
  </si>
  <si>
    <t>math, sieve, factorization, divisors</t>
  </si>
  <si>
    <t>math, sieve, lcm</t>
  </si>
  <si>
    <t>math, sieve, sieve like</t>
  </si>
  <si>
    <t>math, sieve, bfs, [=spoj ppath]</t>
  </si>
  <si>
    <t>math, sieve, bitmasks, bf</t>
  </si>
  <si>
    <t>math, sieve, generate</t>
  </si>
  <si>
    <t>math, sieve, modified sieve</t>
  </si>
  <si>
    <t>math, extended gcd</t>
  </si>
  <si>
    <t>[94]</t>
  </si>
  <si>
    <t>math, extended gcd, geometry</t>
  </si>
  <si>
    <t>Test cases are wrong. Case 1 4 1 82: judge output :19 6 - correct output: 1 78. Sol Link</t>
  </si>
  <si>
    <t>math, extended gcd, totient</t>
  </si>
  <si>
    <t>math, extended gcd, logarithm, [avoid - baby-step giant-step algorithm]</t>
  </si>
  <si>
    <t>math, extended gcd or gcd, simple math</t>
  </si>
  <si>
    <t>math, diophantine, arithmetic</t>
  </si>
  <si>
    <t>[95]</t>
  </si>
  <si>
    <t>math, diophantine, extended gcd, mod congruences</t>
  </si>
  <si>
    <t>math, diophantine</t>
  </si>
  <si>
    <t>math, diophantine, extended gcd, lattice points, impl, [~=SGU 106]</t>
  </si>
  <si>
    <t>math, diophantine, extended gcd, mod congruences, dsu, [solve LightOJ 1306 first], [https://github.com/MetalBall887/Competitive-Programming/blob/master/UVA/UVA%20718.cpp]</t>
  </si>
  <si>
    <t>math, diophantine, extended gcd or number theory, [unclear, boring]</t>
  </si>
  <si>
    <t>math, diophantine, extended gcd</t>
  </si>
  <si>
    <t>math, mod inv, combinatorics, geometric progression</t>
  </si>
  <si>
    <t>[96]</t>
  </si>
  <si>
    <t>math, mod inv, factorial inv</t>
  </si>
  <si>
    <t>math, mod inv, factorial inv, catlan</t>
  </si>
  <si>
    <t>math, mod inv, factorial inv, combinatorics</t>
  </si>
  <si>
    <t>math, mod inv, Manhattan2DRotation, [For rotation trick, solve CF124-D2-D first]</t>
  </si>
  <si>
    <t>math, mod inv, summations, powers sum, [Author=Mostafa]</t>
  </si>
  <si>
    <t>math, mod inv, factorial, dp_counting</t>
  </si>
  <si>
    <t>math, mod inv, counting</t>
  </si>
  <si>
    <t>math, mod inv, factorial</t>
  </si>
  <si>
    <t>math, mod inv, [permutations as functions], [group theory helps understanding editorial]</t>
  </si>
  <si>
    <t>math, mod inv, factorial, crt</t>
  </si>
  <si>
    <t>math, mod inv</t>
  </si>
  <si>
    <t>math, mod inv, crt</t>
  </si>
  <si>
    <t>math, mod inv, crt, search</t>
  </si>
  <si>
    <t>math, mod inv, probability</t>
  </si>
  <si>
    <t>math, mod inv, crt, euler, big pow mod</t>
  </si>
  <si>
    <t>math, mod inv, probability, combinatorics</t>
  </si>
  <si>
    <t>math, mod inv, extended gcd</t>
  </si>
  <si>
    <t>math, mod inv, inclusion-execulsion</t>
  </si>
  <si>
    <t>math, mod inv, summations, combinatorics or Vandermonde's identity</t>
  </si>
  <si>
    <t>Read this solution after trying</t>
  </si>
  <si>
    <t>math, mod inv, factorials, combinatorics, [independence property]</t>
  </si>
  <si>
    <t>math, mod inv, [easier version Timus 1132]</t>
  </si>
  <si>
    <t>math, mod inv, gcd</t>
  </si>
  <si>
    <t>math, mod inv, combinations, pattern</t>
  </si>
  <si>
    <t>Sol - See CF post</t>
  </si>
  <si>
    <t>math, mod inv, combinatorics</t>
  </si>
  <si>
    <t>math, mod inv, combinatorics, impl</t>
  </si>
  <si>
    <t>math, mod inv, factorization, gcd, lcm, observations</t>
  </si>
  <si>
    <t>math, mod inv, dp, combinations</t>
  </si>
  <si>
    <t>math, mod inv or ad-hoc math</t>
  </si>
  <si>
    <t>math, mod inv, combinatorics, binomial coefficients, [independency property]</t>
  </si>
  <si>
    <t>math, mod inv, fermat's little theorem</t>
  </si>
  <si>
    <t>math, mod inv, primes, crt</t>
  </si>
  <si>
    <t>math, mod inv, factorial inv or permutation</t>
  </si>
  <si>
    <t>math, totient, impl</t>
  </si>
  <si>
    <t>[97]</t>
  </si>
  <si>
    <t>math, totient, observations</t>
  </si>
  <si>
    <t>math, totient, inclusion-exclusion, [atmost-exact]</t>
  </si>
  <si>
    <t>math, totient, primes, search, [~=UVA 11073]</t>
  </si>
  <si>
    <t>math, totient, power tower, [misc approaches such ad-hoc, crt]</t>
  </si>
  <si>
    <t>math, totient, power tower, [factorial]</t>
  </si>
  <si>
    <t>Sol. Solve LIVEARCHIVE 3343 first</t>
  </si>
  <si>
    <t>math, totient, power tower</t>
  </si>
  <si>
    <t>math, totient, [hard to /no proof]</t>
  </si>
  <si>
    <t>math, totient, dp</t>
  </si>
  <si>
    <t>math, totient, mod inv</t>
  </si>
  <si>
    <t>math, totient, power tower, edge cases, [simiar to LIVEARCHIVE 3343]</t>
  </si>
  <si>
    <t>math, totient, sieve, mod inv</t>
  </si>
  <si>
    <t>math, totient</t>
  </si>
  <si>
    <t>math, totient, sieve</t>
  </si>
  <si>
    <t>math, totient, [=SPOJ GCDEX]</t>
  </si>
  <si>
    <t>math, totient, sieve, factorization</t>
  </si>
  <si>
    <t>math, totient, [cases]</t>
  </si>
  <si>
    <t>math, totient, sieve, sums, gcd</t>
  </si>
  <si>
    <t>math, mobius, mobius inversion, [solve UVA 11426 first]</t>
  </si>
  <si>
    <t>[98]</t>
  </si>
  <si>
    <t>math, mobius, mobius inversion, inclusion-exclusion</t>
  </si>
  <si>
    <t>math, mobius, mobius inversion, [lcm pairs]</t>
  </si>
  <si>
    <t>math, mobius</t>
  </si>
  <si>
    <t>math, mobius, inclusion-exclusion</t>
  </si>
  <si>
    <t>math, mobius, inclusion-exclusion or dp_counting or pattern, [generalized stars and bars]</t>
  </si>
  <si>
    <t>math, numerical analysis, integration, simpson, ellipse</t>
  </si>
  <si>
    <t>[99]</t>
  </si>
  <si>
    <t>math, numerical analysis, simpson</t>
  </si>
  <si>
    <t>math, numerical analysis, integration</t>
  </si>
  <si>
    <t>math, numerical analysis, teranry search, simpson, teranry search</t>
  </si>
  <si>
    <t>Amr Samir Solved</t>
  </si>
  <si>
    <t>math, numerical analysis, integration or ternary search</t>
  </si>
  <si>
    <t>math, numerical analysis, integration, simpson</t>
  </si>
  <si>
    <t>math, numerical analysis, binary search or bisection, root finding</t>
  </si>
  <si>
    <t>math, numerical analysis, binary search, circles</t>
  </si>
  <si>
    <t>[101]</t>
  </si>
  <si>
    <t>string processing, trie or dp, long code</t>
  </si>
  <si>
    <t>string processing, trie, bitset</t>
  </si>
  <si>
    <t>string processing, trie, merge nodes, dp</t>
  </si>
  <si>
    <t>string processing, trie, lca, xor, [path with max xor]</t>
  </si>
  <si>
    <t>string processing, trie, dfs on trie, counting</t>
  </si>
  <si>
    <t>string processing, trie, persistance</t>
  </si>
  <si>
    <t>string processing, trie, dp</t>
  </si>
  <si>
    <t>string processing, trie, xor or sqrt decomposition</t>
  </si>
  <si>
    <t>string processing, trie, dp or ad-hoc</t>
  </si>
  <si>
    <t>string processing, trie, parity, [tricky]</t>
  </si>
  <si>
    <t>string processing, trie or ad-hoc</t>
  </si>
  <si>
    <t>Don't implement as ad-hoc/greedy/Pure STL. Use a data structure.</t>
  </si>
  <si>
    <t>string processing, trie or segment tree</t>
  </si>
  <si>
    <t>string processing, trie or X algo</t>
  </si>
  <si>
    <t>string processing, trie with maps, dp</t>
  </si>
  <si>
    <t>string processing, trie, tree, bitmasks, impl, [TLE]</t>
  </si>
  <si>
    <t>string processing, trie, persistent or segment tree, persistent, Mo's algo</t>
  </si>
  <si>
    <t>string processing, trie or impl</t>
  </si>
  <si>
    <t>string processing, trie, bit</t>
  </si>
  <si>
    <t>string processing, trie, game theory</t>
  </si>
  <si>
    <t>string processing, trie, recursion</t>
  </si>
  <si>
    <t>string processing, trie or bf</t>
  </si>
  <si>
    <t>string processing, trie or rolling hash</t>
  </si>
  <si>
    <t>string processing, trie, bitmasks</t>
  </si>
  <si>
    <t>string processing, trie, dp or dp</t>
  </si>
  <si>
    <t>string processing, trie, dp, [optimization]</t>
  </si>
  <si>
    <t>string processing, trie or dp</t>
  </si>
  <si>
    <t>string processing, trie, greedy</t>
  </si>
  <si>
    <t>string processing, trie or bf, unordered_map/set</t>
  </si>
  <si>
    <t>Don't implement as ad-hoc/greedy/Pure STL. Use a data structure. Sol</t>
  </si>
  <si>
    <t>string processing, trie, bitmasks or bf</t>
  </si>
  <si>
    <t>string processing, kmp or bit</t>
  </si>
  <si>
    <t>[102]</t>
  </si>
  <si>
    <t>string processing, kmp or ad-hoc</t>
  </si>
  <si>
    <t>string processing, kmp or z-algo</t>
  </si>
  <si>
    <t>string processing, kmp, dp, ??</t>
  </si>
  <si>
    <t>string processing, kmp, impl, [memory?]</t>
  </si>
  <si>
    <t>string processing, kmp, math or z-algo</t>
  </si>
  <si>
    <t>string processing, kmp, dp</t>
  </si>
  <si>
    <t>string processing, kmp, dp or z-algo, prefix sum</t>
  </si>
  <si>
    <t>string processing, kmp, dp or segment tree</t>
  </si>
  <si>
    <t>string processing, kmp, dp, [https://github.com/goswami-rahul/competitive-coding/blob/master/CompetitiveProgramming/livearchive/6029.cpp]</t>
  </si>
  <si>
    <t>string processing, kmp or aho_corasick, dp</t>
  </si>
  <si>
    <t>string processing, kmp, bitmask</t>
  </si>
  <si>
    <t>string processing, kmp or rolling hash</t>
  </si>
  <si>
    <t>string processing, kmp, period</t>
  </si>
  <si>
    <t>string processing, kmp. bf</t>
  </si>
  <si>
    <t>string processing, kmp, constructive</t>
  </si>
  <si>
    <t>string processing, kmp or z-function, [~CF127-D2-D]</t>
  </si>
  <si>
    <t>Don't implement as ad-hoc/greedy/Pure STL. Use algorithm. Sol</t>
  </si>
  <si>
    <t>string processing, kmp or z-function or suffix array</t>
  </si>
  <si>
    <t>string processing, kmp,dp or aho_corasic, dp</t>
  </si>
  <si>
    <t>Please do using 2 string processing algorithms. See Problem 10 in Stanford guide</t>
  </si>
  <si>
    <t>string processing, kmp or bf</t>
  </si>
  <si>
    <t>Don't implement as ad-hoc/greedy/Pure STL. Use algorithm</t>
  </si>
  <si>
    <t>string processing, kmp, period or rolling hash</t>
  </si>
  <si>
    <t>string processing, kmp or suffix array or aho_corasick, pattern search or suffix automat</t>
  </si>
  <si>
    <t>string processing, kmp, 2d</t>
  </si>
  <si>
    <t>string processing, kmp, period max</t>
  </si>
  <si>
    <t>string processing, aho_corasick, dp, [classic, Aho-Corasick automaton (ACA)]</t>
  </si>
  <si>
    <t>[103]</t>
  </si>
  <si>
    <t>string processing, aho_corasick</t>
  </si>
  <si>
    <t>string processing, aho_corasick, dp, matrix pow</t>
  </si>
  <si>
    <t>string processing, aho_corasick, dp</t>
  </si>
  <si>
    <t>string processing, aho_corasick or trie</t>
  </si>
  <si>
    <t>string processing, aho_corasick, dp, [solve first SPOJ DNALAB]</t>
  </si>
  <si>
    <t>string processing, aho_corasick, dp, level?</t>
  </si>
  <si>
    <t>string processing, aho_corasick, level?</t>
  </si>
  <si>
    <t>string processing, aho_corasick, impl</t>
  </si>
  <si>
    <t>string processing, aho_corasick or suffix array or ad-hoc</t>
  </si>
  <si>
    <t>string processing, aho_corasick or AC Automta</t>
  </si>
  <si>
    <t>string processing, aho_corasick or ad-hoc</t>
  </si>
  <si>
    <t>string processing, aho_corasick, dp or kmp, dp</t>
  </si>
  <si>
    <t>string processing, aho_corasick or suffix array</t>
  </si>
  <si>
    <t>string processing, suffix array, segment tree, dp, two pointers, observations</t>
  </si>
  <si>
    <t>[104]</t>
  </si>
  <si>
    <t>string processing, suffix array or suffix automaton</t>
  </si>
  <si>
    <t>string processing, suffix array</t>
  </si>
  <si>
    <t>string processing, suffix array or aho_corasick</t>
  </si>
  <si>
    <t>Author ?</t>
  </si>
  <si>
    <t>string processing, suffix array or aho_corasick or suffix Automaton</t>
  </si>
  <si>
    <t>string processing, suffix array, lcp, [reduce tree to strings]</t>
  </si>
  <si>
    <t>string processing, suffix array or aho_corasic or ad-hoc</t>
  </si>
  <si>
    <t>string processing, suffix array, rmq</t>
  </si>
  <si>
    <t>string processing, suffix array, rmq, bs</t>
  </si>
  <si>
    <t>string processing, suffix array, rmq, set</t>
  </si>
  <si>
    <t>string processing, suffix array, segment tree</t>
  </si>
  <si>
    <t>string processing, suffix array, [actually Suffix Automat]</t>
  </si>
  <si>
    <t>string processing, suffix array, lcp</t>
  </si>
  <si>
    <t>string processing, suffix array, recheck</t>
  </si>
  <si>
    <t>string processing, suffix array, suffix tree or suffix automata, dp</t>
  </si>
  <si>
    <t>string processing, suffix array, binary search</t>
  </si>
  <si>
    <t>Coach doc</t>
  </si>
  <si>
    <t>string processing, suffix array, lcp, rmq</t>
  </si>
  <si>
    <t>string processing, suffix array, rmq, dp</t>
  </si>
  <si>
    <t>string processing, suffix array, dp or suffix trie</t>
  </si>
  <si>
    <t>string processing, suffix array, rmq or suffix automaton</t>
  </si>
  <si>
    <t>string processing, suffix array or kmp or suffix automaton or z-algo, impl, [=822E]</t>
  </si>
  <si>
    <t>string processing, suffix array, dp</t>
  </si>
  <si>
    <t>string processing, suffix array, frequent substrings</t>
  </si>
  <si>
    <t>string processing, suffix array, Kth lexographical substring or impl</t>
  </si>
  <si>
    <t>string processing, suffix array, segment tree or aho_corasick</t>
  </si>
  <si>
    <t>string processing, suffix array, lcp, binary search or rmq or rolling hash, [=LIVEARCHIVE 3628, SRM187-D1-1000, LIVEARCHIVE 4513]</t>
  </si>
  <si>
    <t>Coach doc or Stammering Alins in pdf.</t>
  </si>
  <si>
    <t>string processing, suffix array, lcp or rolling hash or Manacher</t>
  </si>
  <si>
    <t>string processing, suffix array, lcp, LCS k substrings, [UVA 760, TIMUS 1517]</t>
  </si>
  <si>
    <t>string processing, suffix array, lcp or datastructures or trie</t>
  </si>
  <si>
    <t>string processing, suffix array, rmq or rolling hash</t>
  </si>
  <si>
    <t>Problem 9 Sol in stanfrod suffix array - read problem from this doc</t>
  </si>
  <si>
    <t>string processing, suffix array, lcp, smallest rotation or ad-hoc, [nlogn^2 give tle, =UVA 719, UVA 1314, LIVEARCHIVE 2755, SPOJ BEADS]</t>
  </si>
  <si>
    <t>string processing, suffix array, lcp, dp or suffix automaton or ad-hoc, [It is solvable using DP in O(n^2), suffix automaton solution runs in O(n)]</t>
  </si>
  <si>
    <t>string processing, suffix array, lcp, distinct substrings</t>
  </si>
  <si>
    <t>Coach doc or stamford suffix array document - problem 4. Similar: SPOJ DISUBSTR, TIMUS 1590</t>
  </si>
  <si>
    <t>string processing, suffix array or kmp or ad-hoc</t>
  </si>
  <si>
    <t>string processing, rolling hash, binary lifting, binary search</t>
  </si>
  <si>
    <t>[105]</t>
  </si>
  <si>
    <t>string processing, rolling hash or or manachar’s agorithm, [number of palindromes]</t>
  </si>
  <si>
    <t>string processing, rolling hash, impl or kmp or z-algo</t>
  </si>
  <si>
    <t>string processing, rolling hash, dp</t>
  </si>
  <si>
    <t>string processing, rolling hash, greedy, binary search</t>
  </si>
  <si>
    <r>
      <t>string processing, rolling hash, two pointer, </t>
    </r>
    <r>
      <rPr>
        <b/>
        <sz val="10"/>
        <color rgb="FF000000"/>
        <rFont val="Arial"/>
        <family val="2"/>
      </rPr>
      <t>impl</t>
    </r>
    <r>
      <rPr>
        <sz val="10"/>
        <color rgb="FF000000"/>
        <rFont val="Arial"/>
        <family val="2"/>
      </rPr>
      <t> or manachar’s agorithm, [Longest Palindromic Sub-string]</t>
    </r>
  </si>
  <si>
    <t>string processing, rolling hash</t>
  </si>
  <si>
    <t>string processing, rolling hash, math</t>
  </si>
  <si>
    <t>string processing, rolling hash or suffix array</t>
  </si>
  <si>
    <t>string processing, rolling hash or suffix array or dp</t>
  </si>
  <si>
    <t>string processing, rolling hash, mo's algorithm</t>
  </si>
  <si>
    <t>string processing, rolling hash, longest palindrome or manacher algo</t>
  </si>
  <si>
    <t>bbst, link-cut tree</t>
  </si>
  <si>
    <t>[106]</t>
  </si>
  <si>
    <t>bbst, treap persistent or avl, persistent or ad-hoc, cycle</t>
  </si>
  <si>
    <t>bbst, bbst like operations</t>
  </si>
  <si>
    <t>bbst, treap or iterative segment tree, grid compress [Errichto stream]</t>
  </si>
  <si>
    <t>bbst, splay tree, ??</t>
  </si>
  <si>
    <t>bbst, link-cut tree or mo's algorithm, dsu</t>
  </si>
  <si>
    <t>bbst, splay tree or link/cut trees or cartesian tre, [forest edges insert/delete]</t>
  </si>
  <si>
    <t>bbst, treap or segment tree</t>
  </si>
  <si>
    <t>bbst, treap, binary search</t>
  </si>
  <si>
    <t>bbst, treap or bit</t>
  </si>
  <si>
    <t>bbst, splay tree</t>
  </si>
  <si>
    <t>bbst, splay tree or link-cut tree</t>
  </si>
  <si>
    <t>bbst, treap</t>
  </si>
  <si>
    <t>bbst, treap, impl, offline query answering or policy-based-datastructures or segment tree</t>
  </si>
  <si>
    <t>bbst, treap, segment tree, lazy or splay tree</t>
  </si>
  <si>
    <t>bbst, treap or splay tree or avl tree, [solve GSS3 first], [Conceptually very easy and classical problem but some trick in treap]</t>
  </si>
  <si>
    <t>bbst, treap, [direct]</t>
  </si>
  <si>
    <t>bbst, treap, impl</t>
  </si>
  <si>
    <t>Discu</t>
  </si>
  <si>
    <t>bbst, treaps</t>
  </si>
  <si>
    <t>bbst, treap or cartesian tree or order-statistic tree</t>
  </si>
  <si>
    <t>bbst, treap, [Iterate from back — get+remove]</t>
  </si>
  <si>
    <t>bbst, treap or avl or splay tree</t>
  </si>
  <si>
    <t>bbst, treap or Indexable skiplist</t>
  </si>
  <si>
    <t>mo's algorithm</t>
  </si>
  <si>
    <t>[107]</t>
  </si>
  <si>
    <t>mo's algorithm or segment tree</t>
  </si>
  <si>
    <t>mo's algorithm, segment tree, euler tour on tree, long impl, [Strict TLE]</t>
  </si>
  <si>
    <t>mo's algorithm, [solve first SPOJ DQUERY]</t>
  </si>
  <si>
    <t>mo's algorithm on tree or graph, hld, lca</t>
  </si>
  <si>
    <t>mo's algorithm or wavelt tree or d&amp;c, [mo needs constant optimization]</t>
  </si>
  <si>
    <t>See Editorial comments for other ways.</t>
  </si>
  <si>
    <t>mo's algorithm, [strict time, inline trick]</t>
  </si>
  <si>
    <t>mo's algorithm, suffix array or graph, dsu-on-trees or centroid-decomposition, impl</t>
  </si>
  <si>
    <t>mo's algorithm, compress</t>
  </si>
  <si>
    <t>mo's algorithm, [strict time/mem], [~=CODECHEF QCHEF]</t>
  </si>
  <si>
    <t>mo's algorithm, order-statistic tree, median</t>
  </si>
  <si>
    <t>mo's algorithm, trees, dfs or dsu-on-trees or datastructure, [small-to-large]</t>
  </si>
  <si>
    <t>mo's algorithm or bit or sqrt decomposition or datastructures</t>
  </si>
  <si>
    <t>One sol in example problem</t>
  </si>
  <si>
    <t>mo's algorithm, bit</t>
  </si>
  <si>
    <t>mo's algorithm, bit, [count inversion]</t>
  </si>
  <si>
    <t>mo's algorithm or segment tree or sqrt decomposition, treap</t>
  </si>
  <si>
    <t>mo's algorithm or segment tree persistence or bit or ad-hoc, [# of distinct in range, standard to learn MO]</t>
  </si>
  <si>
    <t>bst, impl</t>
  </si>
  <si>
    <t>[108]</t>
  </si>
  <si>
    <t>bst, expression parsing, postfix parsing</t>
  </si>
  <si>
    <t>bst, math or dp_trees</t>
  </si>
  <si>
    <t>bst</t>
  </si>
  <si>
    <t>bst, greedy, combinatorics or dp</t>
  </si>
  <si>
    <t>bst, analysis</t>
  </si>
  <si>
    <t>impl, binary search</t>
  </si>
  <si>
    <t>[109]</t>
  </si>
  <si>
    <t>impl, math, bitmasks, [NO editorial]</t>
  </si>
  <si>
    <t>impl, math, cases, no editoiral, ignore?</t>
  </si>
  <si>
    <t>impl, observations</t>
  </si>
  <si>
    <t>impl, fib</t>
  </si>
  <si>
    <t>impl, greedy, math</t>
  </si>
  <si>
    <t>impl, datastructures</t>
  </si>
  <si>
    <t>impl, game theory</t>
  </si>
  <si>
    <t>impl, bf</t>
  </si>
  <si>
    <t>impl, domain specific, think to simplify</t>
  </si>
  <si>
    <t>impl, 52 card game</t>
  </si>
  <si>
    <t>impl, greedy, game theory, [direct, tricky impl]</t>
  </si>
  <si>
    <t>impl, calender</t>
  </si>
  <si>
    <t>impl, expression parsing</t>
  </si>
  <si>
    <t>impl, partial dervatives</t>
  </si>
  <si>
    <t>impl, repeated squaring</t>
  </si>
  <si>
    <t>impl, greedy, datastructures</t>
  </si>
  <si>
    <t>impl. ordered set</t>
  </si>
  <si>
    <t>impl, graph</t>
  </si>
  <si>
    <t>impl, math, sortings</t>
  </si>
  <si>
    <t>impl, tricky to impl or bs, greedy</t>
  </si>
  <si>
    <t>impl, ULL</t>
  </si>
  <si>
    <t>impl, chess</t>
  </si>
  <si>
    <t>impl, calculus, pyshics</t>
  </si>
  <si>
    <t>impl, geometry, binary search or datastructures, heap</t>
  </si>
  <si>
    <t>impl, observation</t>
  </si>
  <si>
    <t>impl, pattern</t>
  </si>
  <si>
    <t>impl, strings, [WAs]</t>
  </si>
  <si>
    <t>impl, datastructures, [heavy impl]</t>
  </si>
  <si>
    <t>impl, dice, [annoying impl]</t>
  </si>
  <si>
    <t>impl, expectation, [hard text, annoying impl]</t>
  </si>
  <si>
    <t>impl, math, graph</t>
  </si>
  <si>
    <t>impl, strings</t>
  </si>
  <si>
    <t>impl, math, counting</t>
  </si>
  <si>
    <t>impl, unclear statement</t>
  </si>
  <si>
    <t>impl, annoying to code, [unclear text]</t>
  </si>
  <si>
    <t>impl, cycles, strings</t>
  </si>
  <si>
    <t>impl, dir array</t>
  </si>
  <si>
    <t>impl, [hard text]</t>
  </si>
  <si>
    <t>two pointers, dfs order, datastructures or hld</t>
  </si>
  <si>
    <t>[110]</t>
  </si>
  <si>
    <t>two pointers, observation, [tricky though simple]</t>
  </si>
  <si>
    <t>two pointers, math or bf, impl</t>
  </si>
  <si>
    <t>two pointers, sorting</t>
  </si>
  <si>
    <t>two pointers, dp, DAG or greedy</t>
  </si>
  <si>
    <t>two pointers, bf, impl, matrix</t>
  </si>
  <si>
    <t>two pointers, datastructures</t>
  </si>
  <si>
    <t>two pointers, greedy</t>
  </si>
  <si>
    <t>two pointers, strings</t>
  </si>
  <si>
    <t>two pointers or greedy, [hard text?]</t>
  </si>
  <si>
    <t>two pointers, sliding window, [extends mis] or segment tree</t>
  </si>
  <si>
    <t>two pointers, multiset</t>
  </si>
  <si>
    <t>two pointers, set</t>
  </si>
  <si>
    <t>two pointers or ad-hoc</t>
  </si>
  <si>
    <t>two pointers or ad-hoc or kmp-like</t>
  </si>
  <si>
    <t>two pointers, [solve SPOJ ALIEN first]</t>
  </si>
  <si>
    <t>two pointers, math, dp</t>
  </si>
  <si>
    <t>two pointers, prefix sum 2d or backtrack, observations</t>
  </si>
  <si>
    <t>two pointers, bf</t>
  </si>
  <si>
    <t>two pointers, sliding window</t>
  </si>
  <si>
    <t>two pointers, sliding window, [if prefix sum of anything is increasing and we want to maximize/minimize a subarray” BS/2ptrs is applicable, also sometimes this isn’t easy to spot. ( grid problems binary numbers, etc)]</t>
  </si>
  <si>
    <t>[111]</t>
  </si>
  <si>
    <t>dp, dp_build_output, impl</t>
  </si>
  <si>
    <t>dp, dp_build_output, lexicograpically solution</t>
  </si>
  <si>
    <t>dp, dp_build_output, [hard to code print]</t>
  </si>
  <si>
    <t>dp, dp_build_output, bfs for output, dag</t>
  </si>
  <si>
    <t>dp, dp_build_output, graph, lexi</t>
  </si>
  <si>
    <t>dp, dp_build_output, [russian]</t>
  </si>
  <si>
    <t>dp, dp_build_output, [annoying IO style]</t>
  </si>
  <si>
    <t>dp, dp_build_output, [hard text]</t>
  </si>
  <si>
    <t>dp, dp_build_output, lexicograpically solution or sorting</t>
  </si>
  <si>
    <t>dp, dp_d&amp;c_opt, dijkstra, euler or dp_knuth</t>
  </si>
  <si>
    <t>[112]</t>
  </si>
  <si>
    <t>dp, dp_d&amp;c_opt, [easy if know technique]</t>
  </si>
  <si>
    <t>dp, dp_d&amp;c_opt</t>
  </si>
  <si>
    <t>dp, dp_d&amp;c_opt or dp_convex_hull</t>
  </si>
  <si>
    <t>dp, dp_d&amp;c_opt or others</t>
  </si>
  <si>
    <t>dp, dp_d&amp;c_opt, [Blogewoosh #1] or dp, hld</t>
  </si>
  <si>
    <t>dp, dp_d&amp;c_opt or segment tree, combinatorics</t>
  </si>
  <si>
    <t>dp, dp_d&amp;c_opt or dp_convex_hull or dp_knuth</t>
  </si>
  <si>
    <t>Sol. Solve using each one of the 3 dp optimizations</t>
  </si>
  <si>
    <t>dp, dp_d&amp;c_opt, segment tree, [Mido: When computing DP D &amp;C layer by layer, we can sometimes merge layer answers togther in a way to avoid using an extra data structure. For example if cost function requires logN to calculate, if this trick applies we can remove it.]</t>
  </si>
  <si>
    <t>dp, dp_d&amp;c_opt or dp_knuth, [standard problem, strict tle]</t>
  </si>
  <si>
    <t>dp, dp_d&amp;c_opt, [standard], [~UVA 12524, ~CF100212-GYM-C]</t>
  </si>
  <si>
    <t>dp, dp_d&amp;c_opt or dp</t>
  </si>
  <si>
    <t>Use one of DP optimizations</t>
  </si>
  <si>
    <t>dp, dp_depth, observations</t>
  </si>
  <si>
    <t>[113]</t>
  </si>
  <si>
    <t>dp, dp_digit, greedy</t>
  </si>
  <si>
    <t>[114]</t>
  </si>
  <si>
    <t>dp, dp_digit, dp_counting</t>
  </si>
  <si>
    <t>dp, dp_digit or math</t>
  </si>
  <si>
    <t>dp, dp_digit</t>
  </si>
  <si>
    <t>dp, dp_digit, dp_counting, [bad editorial?]</t>
  </si>
  <si>
    <t>dp, dp_digits, dp_bitmasks, queries, impl</t>
  </si>
  <si>
    <t>dp, dp_digit, binary search or ad-hoc</t>
  </si>
  <si>
    <t>dp, dp_digit, dp_counting, [editorial https://www.topcoder.com/blog/single-round-match-741-editorials/]</t>
  </si>
  <si>
    <t>dp, dp_digit, mod, divisor</t>
  </si>
  <si>
    <t>dp, dp_digit or greedy</t>
  </si>
  <si>
    <t>dp, dp_digits, impl or greedy or binary search</t>
  </si>
  <si>
    <t>dp, dp_digit, [repeated idea]</t>
  </si>
  <si>
    <t>dp, dp_digit, dp_bitmasks or ad-hoc</t>
  </si>
  <si>
    <t>dp, dp_digit or binary search or impl</t>
  </si>
  <si>
    <t>dp, dp_digit, dp_counting or combinatorics</t>
  </si>
  <si>
    <t>See editorials</t>
  </si>
  <si>
    <t>dp, dp_digit or bf</t>
  </si>
  <si>
    <t>dp, dp_digit, dp_counting, lower/upper bounds, [~=UVA 12670, UVA 12208]</t>
  </si>
  <si>
    <t>dp, dp_digits</t>
  </si>
  <si>
    <t>dp, dp_sibling, [ACPC 14]</t>
  </si>
  <si>
    <t>[115]</t>
  </si>
  <si>
    <t>dp, dp_sibling, [knapsack dp on siblings], [Mido: This trick can sometimes change O(N^3) DP solutions to O(N^2).]</t>
  </si>
  <si>
    <t>Try, then read</t>
  </si>
  <si>
    <r>
      <t>dp, dp_sibling, dp_build_output, </t>
    </r>
    <r>
      <rPr>
        <b/>
        <sz val="10"/>
        <color rgb="FF000000"/>
        <rFont val="Arial"/>
        <family val="2"/>
      </rPr>
      <t>hard to impl</t>
    </r>
    <r>
      <rPr>
        <sz val="10"/>
        <color rgb="FF000000"/>
        <rFont val="Arial"/>
        <family val="2"/>
      </rPr>
      <t>, [https://github.com/farmerboy95/CompetitiveProgramming/blob/master/Codeforces/CF440-D12-D.cpp</t>
    </r>
  </si>
  <si>
    <t>dp, dp_sibling or graph, trees, dfs, case analysis</t>
  </si>
  <si>
    <t>dp, dp_sibling</t>
  </si>
  <si>
    <t>dp, dp_profile, [broken profile]</t>
  </si>
  <si>
    <t>[116]</t>
  </si>
  <si>
    <t>dp, dp_profile, maximum matching, games</t>
  </si>
  <si>
    <t>dp, dp_profile, impl</t>
  </si>
  <si>
    <t>dp, dp_profile, dp_bitmasks</t>
  </si>
  <si>
    <t>dp, dp_profile</t>
  </si>
  <si>
    <t>dp, dp_profile, hexagonal patterns</t>
  </si>
  <si>
    <t>dp, dp_profile, dp_bitmasks, [editorial states what is profile - oversimplifid dp profile], [another editorial http://sk765.blogspot.com/2012/02/dynamic-programming-with-profile.html]</t>
  </si>
  <si>
    <t>Read Editorials too</t>
  </si>
  <si>
    <t>[117]</t>
  </si>
  <si>
    <t>graph, dfs, flood-fill, stack or dsu, [RTE problem]</t>
  </si>
  <si>
    <t>graph, dfs, flood-fill, impl or backtrack, optimizations, [http://codeforces.com/gym/100646/attachments]</t>
  </si>
  <si>
    <t>graph, dfs, flood-fill, geometry</t>
  </si>
  <si>
    <t>graph, dfs, flood-fill, impl</t>
  </si>
  <si>
    <t>graph, dfs, flood-fill, [unclear text]</t>
  </si>
  <si>
    <t>graph, dfs, flood-fill, [hard text]</t>
  </si>
  <si>
    <t>graph, dfs, flood-fill, [WAs?]</t>
  </si>
  <si>
    <t>graph, dfs, isomorphism, tree center, tree isomorphism, impl</t>
  </si>
  <si>
    <t>[118]</t>
  </si>
  <si>
    <t>graph, dfs, isomorphism, matching bf, impl</t>
  </si>
  <si>
    <t>graph, dfs, isomorphism, graph</t>
  </si>
  <si>
    <t>graph, dfs, isomorphism, canonical form or ad-hoc decomposition</t>
  </si>
  <si>
    <t>Sol to learn</t>
  </si>
  <si>
    <t>graph, dfs, isomorphism, parsing, center of tree</t>
  </si>
  <si>
    <t>[119]</t>
  </si>
  <si>
    <t>graph, dfs, topological sort, impl, [I thought of a greedy solution, which failed, this problem was actually published in a research paper which is very long, and algorithm has no proof!]</t>
  </si>
  <si>
    <t>graph, dfs, topological sort or dp_siblings, parsing</t>
  </si>
  <si>
    <t>graph, dfs, topological sort or euler, [https://www.youtube.com/watch?v=O7BnKy7wEto]</t>
  </si>
  <si>
    <t>graph, dfs, topological sort, bitmask, [MLE]</t>
  </si>
  <si>
    <t>graph, dfs, topological sort, cases</t>
  </si>
  <si>
    <t>graph, dfs, topological sort, impl or construcive</t>
  </si>
  <si>
    <t>graph, dfs, topological sort, greedy</t>
  </si>
  <si>
    <t>graph, dfs, topological sort, [fast cin, direct]</t>
  </si>
  <si>
    <t>graph, dfs, topological sort or scc</t>
  </si>
  <si>
    <t>graph, dfs, topological sort, [repeated]</t>
  </si>
  <si>
    <t>graph, dfs, topological sort, misc</t>
  </si>
  <si>
    <t>graph, dfs, topological sort, forest or bfs</t>
  </si>
  <si>
    <t>graph, dfs, topological sort, dsu or ad-hoc, [TLE, hard text?]</t>
  </si>
  <si>
    <t>Use knuth</t>
  </si>
  <si>
    <t>graph, max-flow, min-cut, [repeated]</t>
  </si>
  <si>
    <t>[120]</t>
  </si>
  <si>
    <t>graph, max-flow, min-cut, expectation</t>
  </si>
  <si>
    <t>graph, max-flow, min-cut, dp_table</t>
  </si>
  <si>
    <t>graph, max-flow, min-cut, geometry</t>
  </si>
  <si>
    <t>graph, max-flow, min-cut, independent set</t>
  </si>
  <si>
    <t>graph, max-flow, min-cut, 2-sat style</t>
  </si>
  <si>
    <t>graph, max-flow, min-cut or min-vertex-cover, [print sol is the important part]</t>
  </si>
  <si>
    <t>graph, max-flow, min-cut, [Stoer–Wagner algo]</t>
  </si>
  <si>
    <t>graph, max-flow, min-cut, [https://github.com/shashank0107/CompetitiveProgramming/blob/master/Topcoder/SRM465-D1-500.cpp]</t>
  </si>
  <si>
    <t>graph, max-flow, min-cut, cut edges, [not intended sol https://ideone.com/DaQgYh]</t>
  </si>
  <si>
    <t>graph, max-flow, min-cut or dp or bf, [bf https://github.com/ZeyadKhattab/Competitive-Programming/blob/master/Topcoder/SRM447-D1-500.java]</t>
  </si>
  <si>
    <t>Don't use DP. Check it later in editorial. Sol</t>
  </si>
  <si>
    <t>graph, max-flow, min-cut, vertex split, [direct]</t>
  </si>
  <si>
    <t>graph, max-flow, min-cut, [bf all pairs]</t>
  </si>
  <si>
    <t>[121]</t>
  </si>
  <si>
    <t>math, probability, expectation, binomial coefficient, mod, inversion</t>
  </si>
  <si>
    <t>math, probability, expectation, quadratic equation</t>
  </si>
  <si>
    <t>math, probability, expectation, bicoloring, backtracking</t>
  </si>
  <si>
    <t>math, probability, expectation, recursion, [master theorm helps]</t>
  </si>
  <si>
    <t>math, probability, expectation, linearity of expectation, sweep or dp_probability or segment tree</t>
  </si>
  <si>
    <t>Read Editorials for several approaches</t>
  </si>
  <si>
    <t>math, probability, expectation, linearity of expectation, [https://s3.amazonaws.com/codechef_shared/download/editorials/acmamr12/fssync.pdf]</t>
  </si>
  <si>
    <t>math, probability, expectation or oeis</t>
  </si>
  <si>
    <t>math, probability, expectation, bfs</t>
  </si>
  <si>
    <t>math, probability, expectation, lineary of expectation, bf, counting</t>
  </si>
  <si>
    <t>math, probability, expectation, summations</t>
  </si>
  <si>
    <t>math, probability, expectation, [scary in begin]</t>
  </si>
  <si>
    <t>math, probability, expectation, [hard text]</t>
  </si>
  <si>
    <t>Revise Expected Value</t>
  </si>
  <si>
    <t>graph, hld, bit</t>
  </si>
  <si>
    <t>[122]</t>
  </si>
  <si>
    <t>graph, hld, block-cut tree, bcc, impl, [ok idea, hard impl]</t>
  </si>
  <si>
    <t>graph, hld, dp, tree</t>
  </si>
  <si>
    <t>graph, hld, segment tree</t>
  </si>
  <si>
    <t>graph, hld, segment tree or link-cut tree</t>
  </si>
  <si>
    <t>graph, hld, segment tree or mo's algorithm</t>
  </si>
  <si>
    <t>graph, hld, 2-sat</t>
  </si>
  <si>
    <t>graph, hld, kmp, datastructures</t>
  </si>
  <si>
    <t>graph, hld</t>
  </si>
  <si>
    <t>graph, hld, lca, segment tree, lazy propagation</t>
  </si>
  <si>
    <t>graph, hld, impl or virtual tree, sortings</t>
  </si>
  <si>
    <t>graph, hld or sqrt decomposition, [boring]</t>
  </si>
  <si>
    <t>graph, hld, lca</t>
  </si>
  <si>
    <t>graph, hld, bit or bbst, splay tree, [complexity analysis]</t>
  </si>
  <si>
    <t>graph, hld or lca, segment tree, presistent or mo's algorithm on tree, [easy if solved SPOJ MKTHNUM]</t>
  </si>
  <si>
    <t>graph, hld, persistance, arithmatic operation</t>
  </si>
  <si>
    <t>graph, hld, math</t>
  </si>
  <si>
    <t>graph, hld, segment tree, [solve GSS1 first]</t>
  </si>
  <si>
    <t>graph, hld, segment tree, bfs or dsu-on-trees</t>
  </si>
  <si>
    <t>graph, hld or lca, bit</t>
  </si>
  <si>
    <t>graph, hld or segment tree or bfs</t>
  </si>
  <si>
    <t>graph, hld, lca, segment tree or splay tree, [in video]</t>
  </si>
  <si>
    <t>graph, hld, segment tree or mo's algorithm or bit or merge sort trees</t>
  </si>
  <si>
    <t>graph, hld, bit or sqrt decomposition</t>
  </si>
  <si>
    <t>graph, centroid-decomposition, parallel binary search, binary indexed tree, lca</t>
  </si>
  <si>
    <t>[123]</t>
  </si>
  <si>
    <t>graph, centroid-decomposition, constructive, impl</t>
  </si>
  <si>
    <r>
      <t>graph, centroid-decomposition, </t>
    </r>
    <r>
      <rPr>
        <b/>
        <sz val="10"/>
        <color rgb="FF000000"/>
        <rFont val="Arial"/>
        <family val="2"/>
      </rPr>
      <t>hard to impl</t>
    </r>
    <r>
      <rPr>
        <sz val="10"/>
        <color rgb="FF000000"/>
        <rFont val="Arial"/>
        <family val="2"/>
      </rPr>
      <t> or bit or treap, [standard]</t>
    </r>
  </si>
  <si>
    <t>graph, centroid-decomposition, bitmasks or dsu-on-trees, [classical]</t>
  </si>
  <si>
    <t>graph, centroid-decomposition</t>
  </si>
  <si>
    <t>graph, centroid-decomposition, sieve or math, fft or dfs, flat tree</t>
  </si>
  <si>
    <t>graph, centroid-decomposition, d&amp;c</t>
  </si>
  <si>
    <t>graph, centroid-decomposition, [~= IOI 11-race], [offline queries to static centroid-decomposition]</t>
  </si>
  <si>
    <t>graph, centroid-decomposition or hld, [harder version CF342-D2-E]</t>
  </si>
  <si>
    <t>graph, centroid-decomposition or dp_trees, [=COCI 19-deblo]</t>
  </si>
  <si>
    <t>graph, centroid-decomposition or dsu-on-trees, bit [=UVA 13164]</t>
  </si>
  <si>
    <t>graph, centroid-decomposition, segment tree</t>
  </si>
  <si>
    <t>graph, centroid-decomposition, dp, math or dsu-on-trees, [classical]</t>
  </si>
  <si>
    <t>graph, centroid-decomposition, [tutorial problem]</t>
  </si>
  <si>
    <t>graph, centroid-decomposition, primes</t>
  </si>
  <si>
    <t>dp, dp_convex_hull</t>
  </si>
  <si>
    <t>[124]</t>
  </si>
  <si>
    <t>dp, dp_convex_hull, [!cht]</t>
  </si>
  <si>
    <t>Editorials</t>
  </si>
  <si>
    <t>dp, dp_convex_hull, [type 1 or 3]</t>
  </si>
  <si>
    <t>dp, dp_convex_hull, segment tree or mo's algorithm</t>
  </si>
  <si>
    <t>dp, dp_convex_hull, [type 3]</t>
  </si>
  <si>
    <t>dp, dp_convex_hull, !dp, datastructure, LiChao</t>
  </si>
  <si>
    <t>dp, dp_convex_hull, d&amp;c</t>
  </si>
  <si>
    <t>dp, dp_convex_hull, LIS or segment tree, LiChao implicit, [solve LIVEARCHIVE 5133 first[], [https://github.com/MetalBall887/Competitive-Programming/blob/master/LiveArchive/LIVEARCHIVE%205133.cpp]</t>
  </si>
  <si>
    <t>dp, dp_convex_hull, segment tree</t>
  </si>
  <si>
    <t>dp, dp_convex_hull, segment tree, impl or dsu-on-trees</t>
  </si>
  <si>
    <t>dp, dp_convex_hull, [=COCI 11-traka]</t>
  </si>
  <si>
    <t>dp, dp_convex_hull, greedy, [https://github.com/MetalBall887/Competitive-Programming/blob/master/HACKERRANK/HACKR%20sword-profit.cpp]</t>
  </si>
  <si>
    <t>dp, dp_convex_hull, greedy, [type 2]</t>
  </si>
  <si>
    <t>dp, dp_convex_hull, binary search, tricky impl</t>
  </si>
  <si>
    <t>dp, dp_convex_hull, sqrt decomposition</t>
  </si>
  <si>
    <t>dp, dp_convex_hull, dynamic, [https://github.com/MetalBall887/Competitive-Programming/blob/master/CodeChef/CODECHEF%20CYCLRACE.cpp]</t>
  </si>
  <si>
    <t>dp, dp_convex_hull, [practice problem]</t>
  </si>
  <si>
    <t>dp, dp_convex_hull, [in video], [needs bbst (e.g. set) not usual deque - line's angle coefficient is not monotune)</t>
  </si>
  <si>
    <t>dp, dp_convex_hull, [type 1], [in editorial], [txt clarification: In this problem FJ can actually *REARRANGE* the plots and then groups them. * I misunderstood the statement by the word 'successive'.]</t>
  </si>
  <si>
    <t>dp, dp_convex_hull or LiChao, [straightforward, LiChao link]</t>
  </si>
  <si>
    <t>dp, dp_convex_hull or segment tree, LiChao implicit, [in CF blog]</t>
  </si>
  <si>
    <t>graph, dsu-on-trees or kmp on tree</t>
  </si>
  <si>
    <t>[125]</t>
  </si>
  <si>
    <t>graph, dsu-on-trees, [standard]</t>
  </si>
  <si>
    <t>graph, dsu-on-trees, [standard, , [Main a prefix and suffix of DSU's then for each query between [L,R], you merge prefix and suffix. Can sometimes be used instead of dynamic DSU.]]</t>
  </si>
  <si>
    <t>graph, dsu-on-trees</t>
  </si>
  <si>
    <t>graph, dsu-on-trees or graph, euler tour, binary search, trees</t>
  </si>
  <si>
    <t>graph, dsu-on-trees or trees, dfs, binary search or segment tree</t>
  </si>
  <si>
    <t>sqrt decomposition, dsu</t>
  </si>
  <si>
    <t>[126]</t>
  </si>
  <si>
    <t>sqrt decomposition</t>
  </si>
  <si>
    <t>sqrt decomposition or segment tree, impl</t>
  </si>
  <si>
    <t>sqrt decomposition, dp knapscak</t>
  </si>
  <si>
    <t>sqrt decomposition, meet in middle, math</t>
  </si>
  <si>
    <t>sqrt decomposition, dp</t>
  </si>
  <si>
    <t>sqrt decomposition, datastructures</t>
  </si>
  <si>
    <t>sqrt decomposition, lca,bit or link-cut, [sqrt decomposition is interesting, but trivial with link cut tree]</t>
  </si>
  <si>
    <t>sqrt decomposition, long impl or treap</t>
  </si>
  <si>
    <t>sqrt decomposition, trie, impl</t>
  </si>
  <si>
    <t>sqrt decomposition, geometry or segment tree, convex hull trick</t>
  </si>
  <si>
    <t>sqrt decomposition, kmp, trie or suffix automaton or suffix array, segment tree, persistent</t>
  </si>
  <si>
    <t>sqrt decomposition, convex_hull_trick</t>
  </si>
  <si>
    <t>sqrt decomposition, dsu or segment tree [https://gist.github.com/luciocf/57c6dd2b3924fa02bae77f281618346d]</t>
  </si>
  <si>
    <t>sqrt decomposition, binary search, [repeated, standard]</t>
  </si>
  <si>
    <t>sqrt decomposition, bfs or centroid-decomposition, lca or hld, [standard, solve first SPOJ QTREE5]</t>
  </si>
  <si>
    <t>sqrt decomposition, [standard]</t>
  </si>
  <si>
    <t>sqrt decomposition or Mo's algorithm</t>
  </si>
  <si>
    <t>dp, dp_alien, [aka lambda optimization]</t>
  </si>
  <si>
    <t>[127]</t>
  </si>
  <si>
    <t>dp, dp_knuth, sparse table or dp_d&amp;c</t>
  </si>
  <si>
    <t>Find O(NK) Sol</t>
  </si>
  <si>
    <t>[128]</t>
  </si>
  <si>
    <t>dp, dp_knuth, [standard]</t>
  </si>
  <si>
    <t>dp, dp_knuth, [standard], [=UVA 12057]</t>
  </si>
  <si>
    <t>dp, dp_open_close, graph, permutation or greedy, dp_component</t>
  </si>
  <si>
    <t>[129]</t>
  </si>
  <si>
    <t>dp, dp_open_close, dp_counting</t>
  </si>
  <si>
    <t>dp, dp_open_close, dp_counting, [dp_component ?]</t>
  </si>
  <si>
    <t>Find O(NNM) Sol</t>
  </si>
  <si>
    <t>dp, dp_trick</t>
  </si>
  <si>
    <t>[130]</t>
  </si>
  <si>
    <t>dp, dp_trick, aliens_trick or greedy</t>
  </si>
  <si>
    <t>Nice Read</t>
  </si>
  <si>
    <t>dp, dp_trick, aliens_trick or dp_d&amp;c_opt, [solve CF739-D1-E first], [China, this method is called wqs divide&amp;conquer, because the true name of s-quark is Qinshi Wang, http://codeforces.com/blog/entry/46693 http://codeforces.com/blog/entry/49691 http://tsinsen.com/resources/Train2012-sol-wqs.pdf]</t>
  </si>
  <si>
    <t>Find O(nlogk) sol</t>
  </si>
  <si>
    <t>dp, dp_trick, aliens_trick, [solve CF674-D12-C first]</t>
  </si>
  <si>
    <t>dp, dp_trick, dp_subrectangle, Manhattan2DRotation or inclusion-execlusion, [tricky dp], [For rotation trick, solve CF124-D2-D first]</t>
  </si>
  <si>
    <t>string processing, suffix tree, impl</t>
  </si>
  <si>
    <t>[132]</t>
  </si>
  <si>
    <t>string processing, z-algo</t>
  </si>
  <si>
    <t>[133]</t>
  </si>
  <si>
    <t>dp, dp_sos, todo</t>
  </si>
  <si>
    <t>[134]</t>
  </si>
  <si>
    <t>dp, dp_sos, todo, d&amp;c</t>
  </si>
  <si>
    <t>dp, dp_sos or bf, np-hard</t>
  </si>
  <si>
    <t>dp, dp_sos</t>
  </si>
  <si>
    <t>dp, dp_sos, lucas' theorem, xor. [same as infoarena xortransform]</t>
  </si>
  <si>
    <t>dp, dp_sos, number theory</t>
  </si>
  <si>
    <t>dp, dp_sos or ad-hoc, bitmasks, fast_walsh_hadamard_transform or fft</t>
  </si>
  <si>
    <t>Solvable in several ways. Read editorials</t>
  </si>
  <si>
    <t>dp, dp_sos, inclusion-exclusion, [~=HACKR vim-war]</t>
  </si>
  <si>
    <t>dp, dp_sos, [no oj]</t>
  </si>
  <si>
    <t>watched Errichto's video</t>
  </si>
  <si>
    <t>dp, dp_sos, meet in middle or only meet in middle, []</t>
  </si>
  <si>
    <t>dp, dp_sos or ad-hoc, bitmasks</t>
  </si>
  <si>
    <t>dp, dp_sos, inclusion-exclusion or ad-hoc</t>
  </si>
  <si>
    <t>dp, dp_sos, math</t>
  </si>
  <si>
    <t>string processing, suffix automaton</t>
  </si>
  <si>
    <t>[135]</t>
  </si>
  <si>
    <t>[136]</t>
  </si>
  <si>
    <t>dp, dp_trees, polynomial interpolation, ad-hoc</t>
  </si>
  <si>
    <t>dp, dp_trees, binary search, impl</t>
  </si>
  <si>
    <t>dp, dp_trees, bignum</t>
  </si>
  <si>
    <t>dp, dp_trees, greedy, observation</t>
  </si>
  <si>
    <t>dp, dp_trees, observation</t>
  </si>
  <si>
    <t>dp, dp_trees, [O(n^2) is challenging]</t>
  </si>
  <si>
    <t>After AC, Can u develop O(n^2) sol?</t>
  </si>
  <si>
    <t>dp, dp_trees, edit distance, [several sub-problems]</t>
  </si>
  <si>
    <t>dp, dp_trees, impl, [solve first CF14-D2-D - repeated idea?]</t>
  </si>
  <si>
    <t>dp, dp_trees, combinatorics</t>
  </si>
  <si>
    <t>dp, dp_trees, dp_counting</t>
  </si>
  <si>
    <t>dp, dp_trees. lcm</t>
  </si>
  <si>
    <t>dp, dp_trees, greedy, recursion</t>
  </si>
  <si>
    <t>dp, dp_trees, optimizations</t>
  </si>
  <si>
    <t>dp, dp_trees, lca</t>
  </si>
  <si>
    <t>dp, dp_trees, combinatroics</t>
  </si>
  <si>
    <t>dp, dp_trees, [reroot tree]</t>
  </si>
  <si>
    <t>dp, dp_trees, dp_parametric, dfs, [Mido I know this trick from a guy named dotorya. In enough conditions it can optimise DP's by a factor of N.]</t>
  </si>
  <si>
    <t>dp, dp_trees, impl</t>
  </si>
  <si>
    <t>dp, dp_trees or combinatorics, mod inv</t>
  </si>
  <si>
    <t>dp, dp_trees, dfs</t>
  </si>
  <si>
    <t>dp, dp_trees or greedy, dfs</t>
  </si>
  <si>
    <t>dp, dp_trees, [standard]</t>
  </si>
  <si>
    <t>dp, dp_trees, tree vertex cover or dfs, [optimize 2 vals to M * a + b]</t>
  </si>
  <si>
    <t>dp, dp_trees, d&amp;c</t>
  </si>
  <si>
    <t>dp, dp_trees or dp_sibling</t>
  </si>
  <si>
    <t>dp, dp_trees or dfs, diameter like, [tricky to guess its level]</t>
  </si>
  <si>
    <t>dp, dp_trees, binary search or greedy</t>
  </si>
  <si>
    <t>dp, dp_trees, [repeated dea]</t>
  </si>
  <si>
    <t>dp, dp_trees, math or centroid-decomposition</t>
  </si>
  <si>
    <t>dp, dp_trees or dsu-on-trees or centroid-decomposition , dp_trees</t>
  </si>
  <si>
    <t>string processing, greedy, [new trick]</t>
  </si>
  <si>
    <t>[137]</t>
  </si>
  <si>
    <t>string processing, hashing</t>
  </si>
  <si>
    <t>string processing, palindrome, hasing, greedy, impl</t>
  </si>
  <si>
    <t>string processing, observation</t>
  </si>
  <si>
    <t>string processing, hashing or trie</t>
  </si>
  <si>
    <t>math, fft, generating functions or ntt</t>
  </si>
  <si>
    <t>[138]</t>
  </si>
  <si>
    <t>math, fft, faulhaber's formula, newton sums, polynomial interpolation, sqrt decomposition or math, fft, d&amp;c, combinatorics, formal power series</t>
  </si>
  <si>
    <t>math, fft or bf [triples of arithmatic progression]</t>
  </si>
  <si>
    <t>math, fft</t>
  </si>
  <si>
    <t>math, fft, power series, combinatorics</t>
  </si>
  <si>
    <t>math, fft or nnt, [second stirling number]</t>
  </si>
  <si>
    <t>math, fft, matching, bits</t>
  </si>
  <si>
    <t>math, fft, [direct if know fft]</t>
  </si>
  <si>
    <t>math, fft, number theory or precalculation, [not geom problem, just little rectanlges calculations]</t>
  </si>
  <si>
    <t>math, fft, xor, graph</t>
  </si>
  <si>
    <t>math, fft, nnt, dp_counting</t>
  </si>
  <si>
    <t>math, fft, sqrt decomposition, [optimising sqrt decomp]</t>
  </si>
  <si>
    <t>math, fft or nnt</t>
  </si>
  <si>
    <t>Browse others solutions if new to fft/nnt</t>
  </si>
  <si>
    <t>math, fft, d&amp;c</t>
  </si>
  <si>
    <t>math, fft, [practice]</t>
  </si>
  <si>
    <t>graph, max-flow, general matching, game theory, [reduction]</t>
  </si>
  <si>
    <t>[139]</t>
  </si>
  <si>
    <t>graph, max-flow, general matching, [reduction]</t>
  </si>
  <si>
    <t>graph, max-flow, general matching, max cost</t>
  </si>
  <si>
    <t>graph, max-flow, general matching</t>
  </si>
  <si>
    <t>graph, max-flow, general matching, [direct]</t>
  </si>
  <si>
    <t>graph, max-flow, general matching, binary search</t>
  </si>
  <si>
    <t>level</t>
  </si>
  <si>
    <t>Category ID</t>
  </si>
  <si>
    <t>Importance</t>
  </si>
  <si>
    <t>Can't solve</t>
  </si>
  <si>
    <t>Tried to solve</t>
  </si>
  <si>
    <t>LIVEARCHIVE 2236</t>
  </si>
  <si>
    <t>LIVEARCHIVE 7156</t>
  </si>
  <si>
    <t>LIVEARCHIVE 4121</t>
  </si>
  <si>
    <t>CSA4-F</t>
  </si>
  <si>
    <t>LIVEARCHIVE 2993</t>
  </si>
  <si>
    <t>LIVEARCHIVE 3568</t>
  </si>
  <si>
    <t>LIVEARCHIVE 4785</t>
  </si>
  <si>
    <t>LIVEARCHIVE 7162</t>
  </si>
  <si>
    <t>LIVEARCHIVE 7588</t>
  </si>
  <si>
    <t>LIVEARCHIVE 2480</t>
  </si>
  <si>
    <t>kattis hanoi18.bipartitebattle</t>
  </si>
  <si>
    <t>LIVEARCHIVE 2998</t>
  </si>
  <si>
    <t>CF1097-D12-E</t>
  </si>
  <si>
    <t>CF1070-D12-L</t>
  </si>
  <si>
    <t>LIVEARCHIVE 6397</t>
  </si>
  <si>
    <t>LIVEARCHIVE 6770</t>
  </si>
  <si>
    <t>CS47-F</t>
  </si>
  <si>
    <t>LIVEARCHIVE 6774</t>
  </si>
  <si>
    <t>CSA1-G</t>
  </si>
  <si>
    <t>LIVEARCHIVE 8045</t>
  </si>
  <si>
    <t>LIVEARCHIVE 3567</t>
  </si>
  <si>
    <t>CF930-D1-D</t>
  </si>
  <si>
    <t>CF1179-D1-E</t>
  </si>
  <si>
    <t>CSA58-G</t>
  </si>
  <si>
    <t>CF1063-D1-E</t>
  </si>
  <si>
    <t>AtCoder003-AGC-E</t>
  </si>
  <si>
    <t>AtCoder006-AGC-E</t>
  </si>
  <si>
    <t>CF101889-gym-L</t>
  </si>
  <si>
    <t>CF914-D12-F</t>
  </si>
  <si>
    <t>CF1081-D12-F</t>
  </si>
  <si>
    <t>CF128-D1-D</t>
  </si>
  <si>
    <t>LIVEARCHIVE 4786</t>
  </si>
  <si>
    <t>LIVEARCHIVE 6037</t>
  </si>
  <si>
    <t>CF1127-D12-G</t>
  </si>
  <si>
    <t>CF1173-D2-F</t>
  </si>
  <si>
    <t>CODECHEF ELPHANT</t>
  </si>
  <si>
    <t>LIVEARCHIVE 7580</t>
  </si>
  <si>
    <t>LIVEARCHIVE 2239</t>
  </si>
  <si>
    <t>CF1097-D12-F</t>
  </si>
  <si>
    <t>CF1287-D2-E2</t>
  </si>
  <si>
    <t>CF1072-D2-E</t>
  </si>
  <si>
    <t>CF909-D2-F</t>
  </si>
  <si>
    <t>HACKR meeting-point</t>
  </si>
  <si>
    <t>CF936-D1-C</t>
  </si>
  <si>
    <t>kattis hanoi18.jurassicjungle</t>
  </si>
  <si>
    <t>CF1100-D2-D</t>
  </si>
  <si>
    <t>CF102154-GYM-C</t>
  </si>
  <si>
    <t>kattis hanoi18.grabagraph</t>
  </si>
  <si>
    <t>CF611-D12-E</t>
  </si>
  <si>
    <t>CF1230-D2-F</t>
  </si>
  <si>
    <t>SRM675-D1-500</t>
  </si>
  <si>
    <t>CF1159-D2-D</t>
  </si>
  <si>
    <t>CF1067-D12-F</t>
  </si>
  <si>
    <t>CF1261-D1-E</t>
  </si>
  <si>
    <t>CODEJAM 19-Qualification-D</t>
  </si>
  <si>
    <t>SRM541-D1-500</t>
  </si>
  <si>
    <t>CF102147-GYM-D</t>
  </si>
  <si>
    <t>CF425-D1-D</t>
  </si>
  <si>
    <t>Atcoder092-ARC-B</t>
  </si>
  <si>
    <t>CF109-D1-D</t>
  </si>
  <si>
    <t>CF1004-D2-D</t>
  </si>
  <si>
    <t>AtCoder029-AGC-D</t>
  </si>
  <si>
    <t>CF124-D2-D</t>
  </si>
  <si>
    <t>UVA 1406</t>
  </si>
  <si>
    <t>CF1084-D2-E</t>
  </si>
  <si>
    <t>CF898-D2-F</t>
  </si>
  <si>
    <t>CF1117-D2-E</t>
  </si>
  <si>
    <t>ACMWF19-D</t>
  </si>
  <si>
    <t>SRM333-D1-500</t>
  </si>
  <si>
    <t>SRM480-D2-1000</t>
  </si>
  <si>
    <t>CF101149-gym-E</t>
  </si>
  <si>
    <t>UVA 12946</t>
  </si>
  <si>
    <t>AtCoder079-ARC-B</t>
  </si>
  <si>
    <t>CF101806-gym-T</t>
  </si>
  <si>
    <t>CF1282-D2-D</t>
  </si>
  <si>
    <t>CF907-D12-D</t>
  </si>
  <si>
    <t>CF101149-gym-M</t>
  </si>
  <si>
    <t>Kickstart 19-RH-B</t>
  </si>
  <si>
    <t>CF333-D1-D</t>
  </si>
  <si>
    <t>AtCoder079-ARC-C</t>
  </si>
  <si>
    <t>CF1214-D12-E</t>
  </si>
  <si>
    <t>CF591-D2-C</t>
  </si>
  <si>
    <t>SRM432-D1-500</t>
  </si>
  <si>
    <t>KICKSTART 19-RC-B</t>
  </si>
  <si>
    <t>CF1296-D3-E2</t>
  </si>
  <si>
    <t>LIVEARCHIVE 2996</t>
  </si>
  <si>
    <t>LIVEARCHIVE 3695</t>
  </si>
  <si>
    <t>LIVEARCHIVE 2726</t>
  </si>
  <si>
    <t>CF1230-D2-D</t>
  </si>
  <si>
    <t>CF779-D2-E</t>
  </si>
  <si>
    <t>CF101807-GYM-F</t>
  </si>
  <si>
    <t>CF867-D2-C</t>
  </si>
  <si>
    <t>CF868-D12-C</t>
  </si>
  <si>
    <t>SPOJ PAIRSUM</t>
  </si>
  <si>
    <t>CF23-D12-C</t>
  </si>
  <si>
    <t>CF309-D1-C</t>
  </si>
  <si>
    <t>CF1174-D2-D</t>
  </si>
  <si>
    <t>SPOJ UCBINTC</t>
  </si>
  <si>
    <t>CF1204-D2-D</t>
  </si>
  <si>
    <t>CF1270-D12-D</t>
  </si>
  <si>
    <t>CF41-D2-E</t>
  </si>
  <si>
    <t>CF1092-D3-D1</t>
  </si>
  <si>
    <t>CF100488-GYM-M</t>
  </si>
  <si>
    <t>CF1110-D12-E</t>
  </si>
  <si>
    <t>CF344-D2-D</t>
  </si>
  <si>
    <t>SRM174-D1-500</t>
  </si>
  <si>
    <t>CF1005-D3-E1</t>
  </si>
  <si>
    <t>AtCoder003-AGC-A</t>
  </si>
  <si>
    <t>CF100182-GYM-B</t>
  </si>
  <si>
    <t>CF63-D2-D</t>
  </si>
  <si>
    <t>CF957-D2-D</t>
  </si>
  <si>
    <t>CODECHEF FRCPRT</t>
  </si>
  <si>
    <t>CODEJAM 18-R2-A</t>
  </si>
  <si>
    <t>LIVEARCHIVE 5454</t>
  </si>
  <si>
    <t>CF1047-D2-D</t>
  </si>
  <si>
    <t>AtCoder004-AGC-C</t>
  </si>
  <si>
    <t>SRM576-D2-1000</t>
  </si>
  <si>
    <t>UVA 1727</t>
  </si>
  <si>
    <t>CF56-D2-C</t>
  </si>
  <si>
    <t>ZOJ 3713</t>
  </si>
  <si>
    <t>CF189-D2-C</t>
  </si>
  <si>
    <t>AtCoder019-AGC-B</t>
  </si>
  <si>
    <t>TIMUS 1689</t>
  </si>
  <si>
    <t>Atcoder006-AGC-B</t>
  </si>
  <si>
    <t>Codechef LENTMO</t>
  </si>
  <si>
    <t>CF1148-D12-C</t>
  </si>
  <si>
    <t>UVA 10774</t>
  </si>
  <si>
    <t>CF157-D2-D</t>
  </si>
  <si>
    <t>CF1042-D2-C</t>
  </si>
  <si>
    <t>CF808-D12-D</t>
  </si>
  <si>
    <t>AtCoder005-AGC-A</t>
  </si>
  <si>
    <t>CF298-D2-D</t>
  </si>
  <si>
    <t>CF353-D2-D</t>
  </si>
  <si>
    <t>CF124-D2-C</t>
  </si>
  <si>
    <t>CF493-D2-D</t>
  </si>
  <si>
    <t>LIVEARCHIVE 2325</t>
  </si>
  <si>
    <t>UVA 1726</t>
  </si>
  <si>
    <t>CF195-D2-C</t>
  </si>
  <si>
    <t>CF59-D2-C</t>
  </si>
  <si>
    <t>SRM180-D1-500</t>
  </si>
  <si>
    <t>SPOJ PLUSEVI</t>
  </si>
  <si>
    <t>CF1066-D3-E</t>
  </si>
  <si>
    <t>TIMUS 1212</t>
  </si>
  <si>
    <t>CF375-D1-B</t>
  </si>
  <si>
    <t>SRM155-D1-500</t>
  </si>
  <si>
    <t>CF1207-D12-E</t>
  </si>
  <si>
    <t>CF1043-D12-C</t>
  </si>
  <si>
    <t>CF1075-D2-C</t>
  </si>
  <si>
    <t>CF122-D2-D</t>
  </si>
  <si>
    <t>CODECHEF OPPOSITE</t>
  </si>
  <si>
    <t>CF466-D2-C</t>
  </si>
  <si>
    <t>CF112-D2-D</t>
  </si>
  <si>
    <t>CF296-D2-C</t>
  </si>
  <si>
    <t>SRM695-D2-500</t>
  </si>
  <si>
    <t>CF733-D2-D</t>
  </si>
  <si>
    <t>CF822-D2-C</t>
  </si>
  <si>
    <t>CF869-D2-B</t>
  </si>
  <si>
    <t>CODECHEF ORMATRIX</t>
  </si>
  <si>
    <t>TIMUS 1350</t>
  </si>
  <si>
    <t>CF479-D2-D</t>
  </si>
  <si>
    <t>CF677-D2-C</t>
  </si>
  <si>
    <t>CF862-D2-C</t>
  </si>
  <si>
    <t>AtCoder002-AGC-A</t>
  </si>
  <si>
    <t>CF913-D12-C</t>
  </si>
  <si>
    <t>SPOJ MMINPER</t>
  </si>
  <si>
    <t>CF976-D2-C</t>
  </si>
  <si>
    <t>SRM202-D1-500</t>
  </si>
  <si>
    <t>CF978-D3-F</t>
  </si>
  <si>
    <t>SRM157-D1-500</t>
  </si>
  <si>
    <t>CF900-D2-C</t>
  </si>
  <si>
    <t>CF21-D12-C</t>
  </si>
  <si>
    <t>SPOJ RANGESUM</t>
  </si>
  <si>
    <t>CF869-D2-A</t>
  </si>
  <si>
    <t>CF897-D2-B</t>
  </si>
  <si>
    <t>CSA59-C</t>
  </si>
  <si>
    <t>SRM324-D1-500</t>
  </si>
  <si>
    <t>ZOJ 3295</t>
  </si>
  <si>
    <t>SRM154-D1-500</t>
  </si>
  <si>
    <t>CF740-D2-C</t>
  </si>
  <si>
    <t>UVA 11053</t>
  </si>
  <si>
    <t>SPOJ MAIN8_E</t>
  </si>
  <si>
    <t>AtCoder134-ABC-D</t>
  </si>
  <si>
    <t>CF88-D2-D</t>
  </si>
  <si>
    <t>UVA 12155</t>
  </si>
  <si>
    <t>UVA 227</t>
  </si>
  <si>
    <t>CF42-D12-B</t>
  </si>
  <si>
    <t>SRM426-D2-500</t>
  </si>
  <si>
    <t>UVA 188</t>
  </si>
  <si>
    <t>CSA27-C</t>
  </si>
  <si>
    <t>TIMUS 1059</t>
  </si>
  <si>
    <t>TIMUS 1100</t>
  </si>
  <si>
    <t>UVA 12148</t>
  </si>
  <si>
    <t>CODECHEF EXTRAN</t>
  </si>
  <si>
    <t>CODECHEF XENTASK</t>
  </si>
  <si>
    <t>SPOJ LCPC12F</t>
  </si>
  <si>
    <t>Timus 1567</t>
  </si>
  <si>
    <t>UVA 12444</t>
  </si>
  <si>
    <t>UVA 1326</t>
  </si>
  <si>
    <t>SRM161-D1-500</t>
  </si>
  <si>
    <t>SPOJ CSUMQ</t>
  </si>
  <si>
    <t>SRM164-D1-500</t>
  </si>
  <si>
    <t>CODECHEF CULPRO</t>
  </si>
  <si>
    <t>LIVEARCHIVE 8040</t>
  </si>
  <si>
    <t>SPOJ MAXISET</t>
  </si>
  <si>
    <t>UVA 1481</t>
  </si>
  <si>
    <t>LIVEARCHIVE 4122</t>
  </si>
  <si>
    <t>SRM500-D1-500</t>
  </si>
  <si>
    <t>CF97-D12-A</t>
  </si>
  <si>
    <t>LIVEARCHIVE 6401</t>
  </si>
  <si>
    <t>SRM190-D1-500</t>
  </si>
  <si>
    <t>CF754-D2-E</t>
  </si>
  <si>
    <t>LIVEARCHIVE 6773</t>
  </si>
  <si>
    <t>SRM457-D2-1000</t>
  </si>
  <si>
    <t>SRM310-D1-1000</t>
  </si>
  <si>
    <t>SRM552-D1-500</t>
  </si>
  <si>
    <t>UVA 1381</t>
  </si>
  <si>
    <t>SRM512-D1-500</t>
  </si>
  <si>
    <t>CF460-D2-D</t>
  </si>
  <si>
    <t>CF457-D12-C</t>
  </si>
  <si>
    <t>CSA-fii-code-2020-round-2-E</t>
  </si>
  <si>
    <t>CF1041-D2-F</t>
  </si>
  <si>
    <t>CF365-D2-E</t>
  </si>
  <si>
    <t>SRM406-D1-500</t>
  </si>
  <si>
    <t>CF680-D2-D</t>
  </si>
  <si>
    <t>CF868-D2-D</t>
  </si>
  <si>
    <t>CF835-D2-E</t>
  </si>
  <si>
    <t>UVA 11699</t>
  </si>
  <si>
    <t>CF424-D2-D</t>
  </si>
  <si>
    <t>SRM232-D1-500</t>
  </si>
  <si>
    <t>CF100517-GYM-D</t>
  </si>
  <si>
    <t>UVA 10568</t>
  </si>
  <si>
    <t>CF366-D2-E</t>
  </si>
  <si>
    <t>CF250-D2-E</t>
  </si>
  <si>
    <t>SRM514-D2-1000</t>
  </si>
  <si>
    <t>SRM224-D1-500</t>
  </si>
  <si>
    <t>CF745-D2-D</t>
  </si>
  <si>
    <t>CF552-D2-E</t>
  </si>
  <si>
    <t>SRM574-D2-1000</t>
  </si>
  <si>
    <t>SRM579-D2-1000</t>
  </si>
  <si>
    <t>SRM291-D1-500</t>
  </si>
  <si>
    <t>SRM506-D2-1000</t>
  </si>
  <si>
    <t>CF448-D2-E</t>
  </si>
  <si>
    <t>SRM409-D1-500</t>
  </si>
  <si>
    <t>SRM213-D1-500</t>
  </si>
  <si>
    <t>SRM265-D1-500</t>
  </si>
  <si>
    <t>CF594-D1-C</t>
  </si>
  <si>
    <t>CF1166-D2-E</t>
  </si>
  <si>
    <t>CF68-D12-C</t>
  </si>
  <si>
    <t>CF361-D2-C</t>
  </si>
  <si>
    <t>CF42-D12-C</t>
  </si>
  <si>
    <t>LIVEARCHIVE 3808</t>
  </si>
  <si>
    <t>CF370-D2-D</t>
  </si>
  <si>
    <t>CF105-D12-C</t>
  </si>
  <si>
    <t>CODECHEF AVGMAT</t>
  </si>
  <si>
    <t>CF633-D12-D</t>
  </si>
  <si>
    <t>CF621-D2-D</t>
  </si>
  <si>
    <t>CF799-D12-D</t>
  </si>
  <si>
    <t>CF818-D12-D</t>
  </si>
  <si>
    <t>CF1017-D12-D</t>
  </si>
  <si>
    <t>CF31-D2-D</t>
  </si>
  <si>
    <t>CF872-D2-D</t>
  </si>
  <si>
    <t>CF1169-D2-D</t>
  </si>
  <si>
    <t>CF146-D2-D</t>
  </si>
  <si>
    <t>CF1077-D3-E</t>
  </si>
  <si>
    <t>CF863-D12-D</t>
  </si>
  <si>
    <t>CF490-D2-C</t>
  </si>
  <si>
    <t>CF252-D2-D</t>
  </si>
  <si>
    <t>CF332-D2-E</t>
  </si>
  <si>
    <t>CF465-D2-D</t>
  </si>
  <si>
    <t>CF550-D2-C</t>
  </si>
  <si>
    <t>CF58-D2-C</t>
  </si>
  <si>
    <t>SRM207-D1-500</t>
  </si>
  <si>
    <t>UVA 11140</t>
  </si>
  <si>
    <t>UVA 11961</t>
  </si>
  <si>
    <t>SRM510-D2-1000</t>
  </si>
  <si>
    <t>CF336-D2-C</t>
  </si>
  <si>
    <t>TIMUS 1034</t>
  </si>
  <si>
    <t>SRM409-D2-1000</t>
  </si>
  <si>
    <t>SRM527-D2-1000</t>
  </si>
  <si>
    <t>UVA 1640</t>
  </si>
  <si>
    <t>SRM412-D2-1000</t>
  </si>
  <si>
    <t>CF426-D2-C</t>
  </si>
  <si>
    <t>SRM522-D1-500</t>
  </si>
  <si>
    <t>CF557-D2-C</t>
  </si>
  <si>
    <t>SRM234-D1-500</t>
  </si>
  <si>
    <t>CF1036-D2-C</t>
  </si>
  <si>
    <t>CF63-D2-C</t>
  </si>
  <si>
    <t>CF71-D2-D</t>
  </si>
  <si>
    <t>CF365-D2-C</t>
  </si>
  <si>
    <t>CF496-D2-C</t>
  </si>
  <si>
    <t>SRM492-D2-500</t>
  </si>
  <si>
    <t>CF192-D2-D</t>
  </si>
  <si>
    <t>SRM451-D2-1000</t>
  </si>
  <si>
    <t>CF526-D12-C</t>
  </si>
  <si>
    <t>SRM393-D1-500</t>
  </si>
  <si>
    <t>UVA 11701</t>
  </si>
  <si>
    <t>AtCoder004-AGC-B</t>
  </si>
  <si>
    <t>SRM422-D2-1000</t>
  </si>
  <si>
    <t>UVA 565</t>
  </si>
  <si>
    <t>SRM466-D2-1000</t>
  </si>
  <si>
    <t>CF558-D2-C</t>
  </si>
  <si>
    <t>CF55-D12-B</t>
  </si>
  <si>
    <t>CF911-D12-D</t>
  </si>
  <si>
    <t>CF1073-D2-D</t>
  </si>
  <si>
    <t>UVA 11898</t>
  </si>
  <si>
    <t>CF255-D2-C</t>
  </si>
  <si>
    <t>SRM158-D1-500</t>
  </si>
  <si>
    <t>SRM168-D1-500</t>
  </si>
  <si>
    <t>SRM171-D1-500</t>
  </si>
  <si>
    <t>SRM181-D1-500</t>
  </si>
  <si>
    <t>SRM504-D2-1000</t>
  </si>
  <si>
    <t>SRM611-D2-1000</t>
  </si>
  <si>
    <t>UVA 12249</t>
  </si>
  <si>
    <t>SRM246-D1-500</t>
  </si>
  <si>
    <t>UVA 257</t>
  </si>
  <si>
    <t>CF118-D2-C</t>
  </si>
  <si>
    <t>CF219-D2-C</t>
  </si>
  <si>
    <t>CF672-D2-C</t>
  </si>
  <si>
    <t>SRM315-D1-500</t>
  </si>
  <si>
    <t>UVA 234</t>
  </si>
  <si>
    <t>CF443-D2-C</t>
  </si>
  <si>
    <t>CF439-D2-C</t>
  </si>
  <si>
    <t>CF200-D2-C</t>
  </si>
  <si>
    <t>CF368-D2-C</t>
  </si>
  <si>
    <t>UVA 12649</t>
  </si>
  <si>
    <t>CF686-D2-C</t>
  </si>
  <si>
    <t>SRM522-D2-1000</t>
  </si>
  <si>
    <t>SRM223-D1-500</t>
  </si>
  <si>
    <t>SRM427-D2-1000</t>
  </si>
  <si>
    <t>SRM366-D1-500</t>
  </si>
  <si>
    <t>SRM399-D2-1000</t>
  </si>
  <si>
    <t>CF101609-GYM-G</t>
  </si>
  <si>
    <t>UVA 418</t>
  </si>
  <si>
    <t>SRM262-D1-500</t>
  </si>
  <si>
    <t>SRM592-D2-500</t>
  </si>
  <si>
    <t>CF189-D2-A</t>
  </si>
  <si>
    <t>SRM173-D1-500</t>
  </si>
  <si>
    <t>SRM182-D1-500</t>
  </si>
  <si>
    <t>SRM402-D1-500</t>
  </si>
  <si>
    <t>SRM504.5-D1-500</t>
  </si>
  <si>
    <t>UVA 11412</t>
  </si>
  <si>
    <t>SRM539-D2-500</t>
  </si>
  <si>
    <t>SRM445-D2-1000</t>
  </si>
  <si>
    <t>CF402-D2-C</t>
  </si>
  <si>
    <t>SRM156-D1-500</t>
  </si>
  <si>
    <t>UVA 1523</t>
  </si>
  <si>
    <t>SRM191-D1-500</t>
  </si>
  <si>
    <t>SRM148-D1-500</t>
  </si>
  <si>
    <t>UVA 1209</t>
  </si>
  <si>
    <t>SRM251-D1-500</t>
  </si>
  <si>
    <t>SRM258-D1-500</t>
  </si>
  <si>
    <t>LIVEARCHIVE 5222</t>
  </si>
  <si>
    <t>LIVEARCHIVE 2727</t>
  </si>
  <si>
    <t>LIVEARCHIVE 2723</t>
  </si>
  <si>
    <t>SRM281-D1-500</t>
  </si>
  <si>
    <t>LIVEARCHIVE 3810</t>
  </si>
  <si>
    <t>AtCoder011-AGC-D</t>
  </si>
  <si>
    <t>SRM177-D1-500</t>
  </si>
  <si>
    <t>CF161-D12-C</t>
  </si>
  <si>
    <t>SRM208-D1-500</t>
  </si>
  <si>
    <t>UVA 335</t>
  </si>
  <si>
    <t>CF1030-D12-E</t>
  </si>
  <si>
    <t>CF879-D2-D</t>
  </si>
  <si>
    <t>CF950-D2-D</t>
  </si>
  <si>
    <t>SPOJ HITOMISS</t>
  </si>
  <si>
    <t>SRM152-D1-500</t>
  </si>
  <si>
    <t>SRM249-D1-500</t>
  </si>
  <si>
    <t>SRM293-D1-500</t>
  </si>
  <si>
    <t>SRM326-D2-1000</t>
  </si>
  <si>
    <t>SRM147-D1-500</t>
  </si>
  <si>
    <t>LIVEARCHIVE 4446</t>
  </si>
  <si>
    <t>UVA 1262</t>
  </si>
  <si>
    <t>LIVEARCHIVE 2724</t>
  </si>
  <si>
    <t>CF101201-gym-J</t>
  </si>
  <si>
    <t>SRM160-D1-500</t>
  </si>
  <si>
    <t>TIMUS 1037</t>
  </si>
  <si>
    <t>AtCoder002-AGC-B</t>
  </si>
  <si>
    <t>UVA 10315</t>
  </si>
  <si>
    <t>LIVEARCHIVE 3736</t>
  </si>
  <si>
    <t>UVA 11036</t>
  </si>
  <si>
    <t>SRM469-D2-1000</t>
  </si>
  <si>
    <t>UVA 12598</t>
  </si>
  <si>
    <t>SRM145-D1-500</t>
  </si>
  <si>
    <t>UVA 10134</t>
  </si>
  <si>
    <t>UVA 12608</t>
  </si>
  <si>
    <t>UVA 11860</t>
  </si>
  <si>
    <t>UVA 11230</t>
  </si>
  <si>
    <t>SRM260-D1-500</t>
  </si>
  <si>
    <t>UVA 326</t>
  </si>
  <si>
    <t>UVA 962</t>
  </si>
  <si>
    <t>SRM415-D2-1000</t>
  </si>
  <si>
    <t>LIVEARCHIVE 2232</t>
  </si>
  <si>
    <t>UVA 101</t>
  </si>
  <si>
    <t>LIVEARCHIVE 2365</t>
  </si>
  <si>
    <t>UVA 13059</t>
  </si>
  <si>
    <t>TIMUS 1607</t>
  </si>
  <si>
    <t>SRM284-D1-500</t>
  </si>
  <si>
    <t>UVA 12750</t>
  </si>
  <si>
    <t>SRM151-D1-500</t>
  </si>
  <si>
    <t>CF1034-D1-D</t>
  </si>
  <si>
    <t>CodeChef ARMYOFME</t>
  </si>
  <si>
    <t>CF1079-D2-G</t>
  </si>
  <si>
    <t>CF182-D2-C</t>
  </si>
  <si>
    <t>AtCoder070-ARC-C</t>
  </si>
  <si>
    <t>CF1181-D2-E2</t>
  </si>
  <si>
    <t>CF876-D12-F</t>
  </si>
  <si>
    <t>CF15-D12-D</t>
  </si>
  <si>
    <t>SPOJ SFLIP</t>
  </si>
  <si>
    <t>CF413-D12-E</t>
  </si>
  <si>
    <t>CF313-D2-E</t>
  </si>
  <si>
    <t>CF100488-GYM-L</t>
  </si>
  <si>
    <t>CF707-D2-E</t>
  </si>
  <si>
    <t>CF500-D12-E</t>
  </si>
  <si>
    <t>CF875-D1-D</t>
  </si>
  <si>
    <t>CSA79-E</t>
  </si>
  <si>
    <t>CF1121-D2-D</t>
  </si>
  <si>
    <t>CF706-D2-E</t>
  </si>
  <si>
    <t>CF1269-D2-E</t>
  </si>
  <si>
    <t>CODECHEF SEATS</t>
  </si>
  <si>
    <t>CF897-D2-E</t>
  </si>
  <si>
    <t>SPOJ FSEQ</t>
  </si>
  <si>
    <t>CF894-D2-D</t>
  </si>
  <si>
    <t>CSA19-D</t>
  </si>
  <si>
    <t>CF754-D2-D</t>
  </si>
  <si>
    <t>UVA 12674</t>
  </si>
  <si>
    <t>AtCoder018-AGC-C</t>
  </si>
  <si>
    <t>CF286-D1-B</t>
  </si>
  <si>
    <t>CF114-D2-D</t>
  </si>
  <si>
    <t>UVA 1153</t>
  </si>
  <si>
    <t>CSA75-D</t>
  </si>
  <si>
    <t>UVA 11234</t>
  </si>
  <si>
    <t>CF219-D2-E</t>
  </si>
  <si>
    <t>CF1208-D12-E</t>
  </si>
  <si>
    <t>CF862-D2-E</t>
  </si>
  <si>
    <t>CF224-D2-C</t>
  </si>
  <si>
    <t>CF548-D2-D</t>
  </si>
  <si>
    <t>CF1236-D2-D</t>
  </si>
  <si>
    <t>CF319-D1-B</t>
  </si>
  <si>
    <t>UVA 12657</t>
  </si>
  <si>
    <t>CF899-D2-E</t>
  </si>
  <si>
    <t>CF982-D2-D</t>
  </si>
  <si>
    <t>UVA 12266</t>
  </si>
  <si>
    <t>CF475-D12-D</t>
  </si>
  <si>
    <t>CF911-D12-E</t>
  </si>
  <si>
    <t>SPOJ WEIRDFN</t>
  </si>
  <si>
    <t>CF1095-D3-E</t>
  </si>
  <si>
    <t>CF5-D12-C</t>
  </si>
  <si>
    <t>CF817-D12-D</t>
  </si>
  <si>
    <t>SPOJ RMID2</t>
  </si>
  <si>
    <t>CF45-D12-C</t>
  </si>
  <si>
    <t>UVA 501</t>
  </si>
  <si>
    <t>LiveArchive 3634</t>
  </si>
  <si>
    <t>UVA 12393</t>
  </si>
  <si>
    <t>CF731-D2-D</t>
  </si>
  <si>
    <t>CF522-D2-D</t>
  </si>
  <si>
    <t>UVA 12207</t>
  </si>
  <si>
    <t>CSA84-D</t>
  </si>
  <si>
    <t>AtCoder005-AGC-B</t>
  </si>
  <si>
    <t>SRM257-D1-500</t>
  </si>
  <si>
    <t>CF284-D2-C</t>
  </si>
  <si>
    <t>CF675-D2-D</t>
  </si>
  <si>
    <t>CF681-D2-C</t>
  </si>
  <si>
    <t>CF697-D2-C</t>
  </si>
  <si>
    <t>CF845-D2-D</t>
  </si>
  <si>
    <t>LiveArchive 8078</t>
  </si>
  <si>
    <t>CF1140-D12-C</t>
  </si>
  <si>
    <t>CF92-D2-D</t>
  </si>
  <si>
    <t>CF705-D2-C</t>
  </si>
  <si>
    <t>UVA 1592</t>
  </si>
  <si>
    <t>CF714-D2-C</t>
  </si>
  <si>
    <t>CSA82-C</t>
  </si>
  <si>
    <t>HACKR watsons-love-for-arrays</t>
  </si>
  <si>
    <t>CF276-D2-C</t>
  </si>
  <si>
    <t>UVA 12651</t>
  </si>
  <si>
    <t>UVA 10686</t>
  </si>
  <si>
    <t>CF357-D2-C</t>
  </si>
  <si>
    <t>CF272-D2-C</t>
  </si>
  <si>
    <t>CF518-D2-C</t>
  </si>
  <si>
    <t>CF527-D2-C</t>
  </si>
  <si>
    <t>SPOJ BYTESE2</t>
  </si>
  <si>
    <t>SRM449-D2-1000</t>
  </si>
  <si>
    <t>CF101498-GYM-M</t>
  </si>
  <si>
    <t>UVA 11127</t>
  </si>
  <si>
    <t>FbHkrCup 19-R0-D</t>
  </si>
  <si>
    <t>UVA 11201</t>
  </si>
  <si>
    <t>LIVEARCHIVE 3476</t>
  </si>
  <si>
    <t>UVA 649</t>
  </si>
  <si>
    <t>UVA 307</t>
  </si>
  <si>
    <t>UVA 10123</t>
  </si>
  <si>
    <t>SRM523-D1-1000</t>
  </si>
  <si>
    <t>CF161-D12-E</t>
  </si>
  <si>
    <t>SRM496-D2-1000</t>
  </si>
  <si>
    <t>UVA 10957</t>
  </si>
  <si>
    <t>UVA 10160</t>
  </si>
  <si>
    <t>SRM392-D2-1000</t>
  </si>
  <si>
    <t>SRM571-D2-1000</t>
  </si>
  <si>
    <t>TJU 1533</t>
  </si>
  <si>
    <t>CODEJAM 19-R1A-A</t>
  </si>
  <si>
    <t>UVA 12639</t>
  </si>
  <si>
    <t>SRM425-D2-1000</t>
  </si>
  <si>
    <t>CF47-D2-D</t>
  </si>
  <si>
    <t>UVA 604</t>
  </si>
  <si>
    <t>SRM479-D2-1000</t>
  </si>
  <si>
    <t>UVA 222</t>
  </si>
  <si>
    <t>UVA 12022</t>
  </si>
  <si>
    <t>LiveArchive 6585</t>
  </si>
  <si>
    <t>SPOJ MYQ8</t>
  </si>
  <si>
    <t>CF101191-gym-C</t>
  </si>
  <si>
    <t>UVA 10890</t>
  </si>
  <si>
    <t>CF100952-GYM-E</t>
  </si>
  <si>
    <t>SPOJ UCI2009D</t>
  </si>
  <si>
    <t>SRM146-D2-1000</t>
  </si>
  <si>
    <t>UVA 750</t>
  </si>
  <si>
    <t>SRM237-D1-500</t>
  </si>
  <si>
    <t>UVA 193</t>
  </si>
  <si>
    <t>SPOJ COMCB</t>
  </si>
  <si>
    <t>TJU 1542</t>
  </si>
  <si>
    <t>UVA 10624</t>
  </si>
  <si>
    <t>UVA 10854</t>
  </si>
  <si>
    <t>SPOJ TETRAVEX</t>
  </si>
  <si>
    <t>SPOJ LINEUP</t>
  </si>
  <si>
    <t>UVA 10496</t>
  </si>
  <si>
    <t>UVA 10285</t>
  </si>
  <si>
    <t>UVA 10344</t>
  </si>
  <si>
    <t>UVA 12166</t>
  </si>
  <si>
    <t>UVA 10875</t>
  </si>
  <si>
    <t>ZOJ 1145</t>
  </si>
  <si>
    <t>UVA 1662</t>
  </si>
  <si>
    <t>UVA 814</t>
  </si>
  <si>
    <t>UVA 174</t>
  </si>
  <si>
    <t>UVA 12219</t>
  </si>
  <si>
    <t>UVA 1596</t>
  </si>
  <si>
    <t>TIMUS 1186</t>
  </si>
  <si>
    <t>UVA 622</t>
  </si>
  <si>
    <t>UVA 592</t>
  </si>
  <si>
    <t>ZOJ 1097</t>
  </si>
  <si>
    <t>UVA 10058</t>
  </si>
  <si>
    <t>LIVEARCHIVE 2234</t>
  </si>
  <si>
    <t>CODECHEF ANKINTER</t>
  </si>
  <si>
    <t>LIVEARCHIVE 5217</t>
  </si>
  <si>
    <t>LIVEARCHIVE 5218</t>
  </si>
  <si>
    <t>CF415-D2-E</t>
  </si>
  <si>
    <t>LIVEARCHIVE 4451</t>
  </si>
  <si>
    <t>SRM336-D1-500</t>
  </si>
  <si>
    <t>LIVEARCHIVE 6030</t>
  </si>
  <si>
    <t>SRM403-D1-500</t>
  </si>
  <si>
    <t>SRM264-D1-500</t>
  </si>
  <si>
    <t>SRM214-D1-500</t>
  </si>
  <si>
    <t>SRM426-D2-1000</t>
  </si>
  <si>
    <t>SRM438-D2-1000</t>
  </si>
  <si>
    <t>UVA 10950</t>
  </si>
  <si>
    <t>SRM547-D1-500</t>
  </si>
  <si>
    <t>UVA 10661</t>
  </si>
  <si>
    <t>SPOJ SUDOKU</t>
  </si>
  <si>
    <t>SRM389-D1-500</t>
  </si>
  <si>
    <t>SRM496-D1-500</t>
  </si>
  <si>
    <t>UVA 10506</t>
  </si>
  <si>
    <t>UVA 12648</t>
  </si>
  <si>
    <t>CODEJAM 18-R2-B</t>
  </si>
  <si>
    <t>SRM437-D2-1000</t>
  </si>
  <si>
    <t>SRM236-D1-500</t>
  </si>
  <si>
    <t>CF244-D2-C</t>
  </si>
  <si>
    <t>LIVEARCHIVE 2237</t>
  </si>
  <si>
    <t>CF862-D2-D</t>
  </si>
  <si>
    <t>UVA 10475</t>
  </si>
  <si>
    <t>SRM344-D1-500</t>
  </si>
  <si>
    <t>CF448-D2-C</t>
  </si>
  <si>
    <t>SRM473-D2-1000</t>
  </si>
  <si>
    <t>SRM490-D2-1000</t>
  </si>
  <si>
    <t>CF897-D2-C</t>
  </si>
  <si>
    <t>UVA 12291</t>
  </si>
  <si>
    <t>SRM186-D1-500</t>
  </si>
  <si>
    <t>SRM266-D1-500</t>
  </si>
  <si>
    <t>UVA 11214</t>
  </si>
  <si>
    <t>UVA 10094</t>
  </si>
  <si>
    <t>UVA 745</t>
  </si>
  <si>
    <t>SPOJ NQUEEN</t>
  </si>
  <si>
    <t>LIVEARCHIVE 2994</t>
  </si>
  <si>
    <t>CF121-D1-D</t>
  </si>
  <si>
    <t>AtCoder020-AGC-D</t>
  </si>
  <si>
    <t>CF1008-D2-E</t>
  </si>
  <si>
    <t>SPOJ METEORS</t>
  </si>
  <si>
    <t>AtCoder006-AGC-D</t>
  </si>
  <si>
    <t>HACKER make-n00b_land-great-again-circuits</t>
  </si>
  <si>
    <t>CF981-D12-F</t>
  </si>
  <si>
    <t>CF163-D12-B</t>
  </si>
  <si>
    <t>UVA 1199</t>
  </si>
  <si>
    <t>CF314-D1-D</t>
  </si>
  <si>
    <t>SRM456-D1-500</t>
  </si>
  <si>
    <t>CF875-D12-E</t>
  </si>
  <si>
    <t>CF1101-D12-F</t>
  </si>
  <si>
    <t>CF489-D2-E</t>
  </si>
  <si>
    <t>CF993-D1-D</t>
  </si>
  <si>
    <t>CF627-D12-D</t>
  </si>
  <si>
    <t>CF989-D2-D</t>
  </si>
  <si>
    <t>AtCoder002-AGC-D</t>
  </si>
  <si>
    <t>kattis hanoi18.dividedoughnut</t>
  </si>
  <si>
    <t>CF555-D1-D</t>
  </si>
  <si>
    <t>CF1033-D12-E</t>
  </si>
  <si>
    <t>CF920-D12-G</t>
  </si>
  <si>
    <t>SPOJ PATULJCI</t>
  </si>
  <si>
    <t>CF350-D2-D</t>
  </si>
  <si>
    <t>SRM535-D1-500</t>
  </si>
  <si>
    <t>SPOJ MSE07E</t>
  </si>
  <si>
    <t>CF847-D12-E</t>
  </si>
  <si>
    <t>CF1277-D2-F</t>
  </si>
  <si>
    <t>CF727-D2-F</t>
  </si>
  <si>
    <t>CF1132-D12-D</t>
  </si>
  <si>
    <t>CF1114-D2-E</t>
  </si>
  <si>
    <t>CF1153-D2-E</t>
  </si>
  <si>
    <t>CF713-D1-B</t>
  </si>
  <si>
    <t>UVA 1476</t>
  </si>
  <si>
    <t>CF429-D1-D</t>
  </si>
  <si>
    <t>FbHkrCup 18-R1-C</t>
  </si>
  <si>
    <t>UVA 12609</t>
  </si>
  <si>
    <t>SRM329-D1-500</t>
  </si>
  <si>
    <t>UVA 12673</t>
  </si>
  <si>
    <t>CODECHEF SCHEDULE</t>
  </si>
  <si>
    <t>CF378-D2-D</t>
  </si>
  <si>
    <t>CF810-D2-D</t>
  </si>
  <si>
    <t>AtCoder070-ARC-B</t>
  </si>
  <si>
    <t>CF750-D12-C</t>
  </si>
  <si>
    <t>UVA 11020</t>
  </si>
  <si>
    <t>CF739-D1-B</t>
  </si>
  <si>
    <t>UVA 11692</t>
  </si>
  <si>
    <t>SRM325-D1-500</t>
  </si>
  <si>
    <t>CF1041-D2-D</t>
  </si>
  <si>
    <t>CF817-D12-C</t>
  </si>
  <si>
    <t>UVA 1555</t>
  </si>
  <si>
    <t>CF448-D2-D</t>
  </si>
  <si>
    <t>CODECHEF CIRCINTE</t>
  </si>
  <si>
    <t>CF1063-D1-C</t>
  </si>
  <si>
    <t>AtCoder149-ABC-E</t>
  </si>
  <si>
    <t>SPOJ FUNFACT</t>
  </si>
  <si>
    <t>CF1060-D12-C</t>
  </si>
  <si>
    <t>CF255-D2-D</t>
  </si>
  <si>
    <t>CSA28-D</t>
  </si>
  <si>
    <t>AtCoder155-ABC-D</t>
  </si>
  <si>
    <t>CF985-D12-D</t>
  </si>
  <si>
    <t>CF1260-D12-D</t>
  </si>
  <si>
    <t>CF1010-D1-B</t>
  </si>
  <si>
    <t>CF83-D1-B</t>
  </si>
  <si>
    <t>CF344-D2-E</t>
  </si>
  <si>
    <t>CF616-D2-D</t>
  </si>
  <si>
    <t>UVA 11881</t>
  </si>
  <si>
    <t>UVA 13177</t>
  </si>
  <si>
    <t>LIVEARCHIVE 4445</t>
  </si>
  <si>
    <t>CF725-D12-D</t>
  </si>
  <si>
    <t>CODECHEF CHGCDG</t>
  </si>
  <si>
    <t>CODECHEF BANDMATR</t>
  </si>
  <si>
    <t>LIVEARCHIVE 2477</t>
  </si>
  <si>
    <t>LIVEARCHIVE 6398</t>
  </si>
  <si>
    <t>CSA79-C</t>
  </si>
  <si>
    <t>SRM290-D1-500</t>
  </si>
  <si>
    <t>SRM355-D2-1000</t>
  </si>
  <si>
    <t>SRM450-D2-1000</t>
  </si>
  <si>
    <t>CF913-D12-D</t>
  </si>
  <si>
    <t>CF1138-D2-C</t>
  </si>
  <si>
    <t>CF381-D2-C</t>
  </si>
  <si>
    <t>SPOJ DICTSUB</t>
  </si>
  <si>
    <t>CF732-D2-D</t>
  </si>
  <si>
    <t>CF237-D2-C</t>
  </si>
  <si>
    <t>SPOJ GLASNICI</t>
  </si>
  <si>
    <t>CF492-D2-D</t>
  </si>
  <si>
    <t>CF84-D2-D</t>
  </si>
  <si>
    <t>SPOJ BOOKS1</t>
  </si>
  <si>
    <t>UVA 12190</t>
  </si>
  <si>
    <t>CF471-D2-C</t>
  </si>
  <si>
    <t>CF567-D2-D</t>
  </si>
  <si>
    <t>SPOJ MKUHAR</t>
  </si>
  <si>
    <t>CF1117-D12-C</t>
  </si>
  <si>
    <t>CF812-D2-C</t>
  </si>
  <si>
    <t>CF1118-D3-D2</t>
  </si>
  <si>
    <t>CF270-D2-C</t>
  </si>
  <si>
    <t>CF651-D2-D</t>
  </si>
  <si>
    <t>CF75-D2-C</t>
  </si>
  <si>
    <t>SPOJ SVADA</t>
  </si>
  <si>
    <t>CF779-D2-D</t>
  </si>
  <si>
    <t>SPOJ ICPCS</t>
  </si>
  <si>
    <t>UVA 10611</t>
  </si>
  <si>
    <t>UVA 12390</t>
  </si>
  <si>
    <t>UVA 12911</t>
  </si>
  <si>
    <t>SRM592-D2-1000</t>
  </si>
  <si>
    <t>TIMUS 1066</t>
  </si>
  <si>
    <t>CF1146-D12-C</t>
  </si>
  <si>
    <t>LIVEARCHIVE 2439</t>
  </si>
  <si>
    <t>UVA 10276</t>
  </si>
  <si>
    <t>UVA 10077</t>
  </si>
  <si>
    <t>UVA 12791</t>
  </si>
  <si>
    <t>CF975-D2-C</t>
  </si>
  <si>
    <t>AtCoder134-ABC-E</t>
  </si>
  <si>
    <t>LIVEARCHIVE 8043</t>
  </si>
  <si>
    <t>SPOJ AGGRCOW</t>
  </si>
  <si>
    <t>CODECHEF SNAKEEAT</t>
  </si>
  <si>
    <t>SRM169-D1-500</t>
  </si>
  <si>
    <t>TC(Rafting)</t>
  </si>
  <si>
    <t>UVA 10794</t>
  </si>
  <si>
    <t>UVA 11243</t>
  </si>
  <si>
    <t>TC(DRIVING)</t>
  </si>
  <si>
    <t>LIVEARCHIVE 6341</t>
  </si>
  <si>
    <t>CSA84-E</t>
  </si>
  <si>
    <t>UVA 11702</t>
  </si>
  <si>
    <t>SRM253-D1-1000</t>
  </si>
  <si>
    <t>SRM543-D2-1000</t>
  </si>
  <si>
    <t>SRM347-D1-500</t>
  </si>
  <si>
    <t>UVA 13010</t>
  </si>
  <si>
    <t>CF101102-GYM-I</t>
  </si>
  <si>
    <t>CF626-D2-E</t>
  </si>
  <si>
    <t>CF106-D2-E</t>
  </si>
  <si>
    <t>CF939-D2-E</t>
  </si>
  <si>
    <t>CODEJAM 09-R1C-B</t>
  </si>
  <si>
    <t>CF250-D2-D</t>
  </si>
  <si>
    <t>SRM426-D1-500</t>
  </si>
  <si>
    <t>UVA 10385</t>
  </si>
  <si>
    <t>CF1244-D2-E</t>
  </si>
  <si>
    <t>CF818-D12-F</t>
  </si>
  <si>
    <t>CF702-D12-D</t>
  </si>
  <si>
    <t>TC(MONKEYTREEDISTANCE)</t>
  </si>
  <si>
    <t>CF304-D2-D</t>
  </si>
  <si>
    <t>SPOJ HAMSTER1</t>
  </si>
  <si>
    <t>SRM287-D1-500</t>
  </si>
  <si>
    <t>CF439-D2-D</t>
  </si>
  <si>
    <t>SRM258-D2-1000</t>
  </si>
  <si>
    <t>SPOJ KOPC12A</t>
  </si>
  <si>
    <t>SPOJ TRICKTRT</t>
  </si>
  <si>
    <t>SRM629-D2-500</t>
  </si>
  <si>
    <t>SRM528-D1-500</t>
  </si>
  <si>
    <t>CODECHEF LEBOXES</t>
  </si>
  <si>
    <t>SRM388-D1-1000</t>
  </si>
  <si>
    <t>CODECHEF XORSORT2</t>
  </si>
  <si>
    <t>CF1257-D12-F</t>
  </si>
  <si>
    <t>SPOJ SUBSET</t>
  </si>
  <si>
    <t>CF839-D2-E</t>
  </si>
  <si>
    <t>SRM307-D1-1000</t>
  </si>
  <si>
    <t>CF912-D2-E</t>
  </si>
  <si>
    <t>CSA67-E</t>
  </si>
  <si>
    <t>CF327-D2-E</t>
  </si>
  <si>
    <t>CODECHEF MATPER</t>
  </si>
  <si>
    <t>CF585-D1-D</t>
  </si>
  <si>
    <t>SPOJ SOLIT</t>
  </si>
  <si>
    <t>CSA60-D</t>
  </si>
  <si>
    <t>SPOJ COLOR_CC</t>
  </si>
  <si>
    <t>CF490-D2-D</t>
  </si>
  <si>
    <t>SRM205-D1-500</t>
  </si>
  <si>
    <t>CF1006-D3-F</t>
  </si>
  <si>
    <t>LIVEARCHIVE 3888</t>
  </si>
  <si>
    <t>UVA 10125</t>
  </si>
  <si>
    <t>CF888-D12-E</t>
  </si>
  <si>
    <t>UVA 704</t>
  </si>
  <si>
    <t>SRM446-D2-1000</t>
  </si>
  <si>
    <t>TC(KNAPSACKPROBLEM)</t>
  </si>
  <si>
    <t>SRM404-D1-500</t>
  </si>
  <si>
    <t>SRM415-D1-500</t>
  </si>
  <si>
    <t>CF525-D2-E</t>
  </si>
  <si>
    <t>AtCoder026-AGC-C</t>
  </si>
  <si>
    <t>SPOJ SUMFOUR</t>
  </si>
  <si>
    <t>SPOJ SUBSUMS</t>
  </si>
  <si>
    <t>SPOJ ABCDEF</t>
  </si>
  <si>
    <t>CF101064-GYM-H</t>
  </si>
  <si>
    <t>CODECHEF AMITNITI</t>
  </si>
  <si>
    <t>CF713-D1-D</t>
  </si>
  <si>
    <t>CF1143-D2-E</t>
  </si>
  <si>
    <t>CF515-D2-E</t>
  </si>
  <si>
    <t>CF1062-D2-E</t>
  </si>
  <si>
    <t>CF869-D2-E</t>
  </si>
  <si>
    <t>CODECHEF UPDOTR</t>
  </si>
  <si>
    <t>PKU 3145</t>
  </si>
  <si>
    <t>CF689-D2-D</t>
  </si>
  <si>
    <t>CF359-D2-D</t>
  </si>
  <si>
    <t>CF1237-D12-D</t>
  </si>
  <si>
    <t>CF514-D2-D</t>
  </si>
  <si>
    <t>PKU 2452</t>
  </si>
  <si>
    <t>CF702-D2-E</t>
  </si>
  <si>
    <t>SPOJ HISTOGRA</t>
  </si>
  <si>
    <t>CF100093-GYM-E</t>
  </si>
  <si>
    <t>SPOJ THRBL</t>
  </si>
  <si>
    <t>SPOJ RPLN</t>
  </si>
  <si>
    <t>CODECHEF IDOLS</t>
  </si>
  <si>
    <t>CODECHEF MUPDO</t>
  </si>
  <si>
    <t>CF1037-D12-H</t>
  </si>
  <si>
    <t>CSA70-E</t>
  </si>
  <si>
    <t>CF447-D2-E</t>
  </si>
  <si>
    <t>CF1060-D12-G</t>
  </si>
  <si>
    <t>CF1083-D1-D</t>
  </si>
  <si>
    <t>HACKR basketball-tournament-1</t>
  </si>
  <si>
    <t>CF280-D1-D</t>
  </si>
  <si>
    <t>CF464-D1-E</t>
  </si>
  <si>
    <t>CODECHEF CHAQOT</t>
  </si>
  <si>
    <t>CF101055-GYM-B</t>
  </si>
  <si>
    <t>CF220-D1-E</t>
  </si>
  <si>
    <t>SPOJ GSS8</t>
  </si>
  <si>
    <t>CF260-D2-E</t>
  </si>
  <si>
    <t>CODECHEF DISTNUM2</t>
  </si>
  <si>
    <t>CF283-D1-E</t>
  </si>
  <si>
    <t>CF1172-D1-F</t>
  </si>
  <si>
    <t>CF529-D1-C</t>
  </si>
  <si>
    <t>CF1044-D12-F</t>
  </si>
  <si>
    <t>CF763-D1-E</t>
  </si>
  <si>
    <t>CF1084-D2-F</t>
  </si>
  <si>
    <t>CF679-D1-E</t>
  </si>
  <si>
    <t>CF1109-D1-E</t>
  </si>
  <si>
    <t>CF445-D2-E</t>
  </si>
  <si>
    <t>SRM339-D1-1000</t>
  </si>
  <si>
    <t>CODECHEF COT5</t>
  </si>
  <si>
    <t>HACKR animal-transport</t>
  </si>
  <si>
    <t>CF587-D1-E</t>
  </si>
  <si>
    <t>SPOJ SIGNGAME</t>
  </si>
  <si>
    <t>CODECHEF FNCS</t>
  </si>
  <si>
    <t>CF765-D12-F</t>
  </si>
  <si>
    <t>CF722-D12-F</t>
  </si>
  <si>
    <t>CF453-D1-E</t>
  </si>
  <si>
    <t>CF484-D1-E</t>
  </si>
  <si>
    <t>CODECHEF CBFEAST</t>
  </si>
  <si>
    <t>CF903-D12-G</t>
  </si>
  <si>
    <t>CF811-D2-E</t>
  </si>
  <si>
    <t>CF377-D1-D</t>
  </si>
  <si>
    <t>HDU 5306</t>
  </si>
  <si>
    <t>CF849-D2-E</t>
  </si>
  <si>
    <t>CODECHEF MXDIST</t>
  </si>
  <si>
    <t>CF817-D12-F</t>
  </si>
  <si>
    <t>HACKR two-arrays-1</t>
  </si>
  <si>
    <t>CF100956-GYM-J</t>
  </si>
  <si>
    <t>CF498-D1-D</t>
  </si>
  <si>
    <t>SRM310-D1-500</t>
  </si>
  <si>
    <t>SPOJ CPAIR</t>
  </si>
  <si>
    <t>UOJ 164</t>
  </si>
  <si>
    <t>BZOJ 3064</t>
  </si>
  <si>
    <t>CF173-D12-E</t>
  </si>
  <si>
    <t>CF633-D12-G</t>
  </si>
  <si>
    <t>CF526-D12-F</t>
  </si>
  <si>
    <t>CF256-D1-E</t>
  </si>
  <si>
    <t>CSA84-G</t>
  </si>
  <si>
    <t>CODECHEF FRBSUM</t>
  </si>
  <si>
    <t>CF163-D2-E</t>
  </si>
  <si>
    <t>CF516-D1-C</t>
  </si>
  <si>
    <t>SPOJ GSS2</t>
  </si>
  <si>
    <t>AtCoder067-ARC-F</t>
  </si>
  <si>
    <t>CF258-D1-E</t>
  </si>
  <si>
    <t>CF438-D1-D</t>
  </si>
  <si>
    <t>CF610-D2-E</t>
  </si>
  <si>
    <t>CF1042-D2-F</t>
  </si>
  <si>
    <t>CF981-D12-G</t>
  </si>
  <si>
    <t>CF786-D1-C</t>
  </si>
  <si>
    <t>CF1080-D2-F</t>
  </si>
  <si>
    <t>CF115-D1-E</t>
  </si>
  <si>
    <t>CF100182-GYM-E</t>
  </si>
  <si>
    <t>CF555-D1-C</t>
  </si>
  <si>
    <t>CF381-D2-E</t>
  </si>
  <si>
    <t>UVA 11990</t>
  </si>
  <si>
    <t>CF132-D1-D</t>
  </si>
  <si>
    <t>UVA 11669</t>
  </si>
  <si>
    <t>CF719-D2-E</t>
  </si>
  <si>
    <t>CF101492-gym-C</t>
  </si>
  <si>
    <t>CF787-D2-D</t>
  </si>
  <si>
    <t>Atcoder-DP-Intervals</t>
  </si>
  <si>
    <t>CF911-D2-G</t>
  </si>
  <si>
    <t>CF1239-D1-C</t>
  </si>
  <si>
    <t>CF893-D12-F</t>
  </si>
  <si>
    <t>Codechef COOLCHEF</t>
  </si>
  <si>
    <t>SPOJ COT</t>
  </si>
  <si>
    <t>CF1114-D2-F</t>
  </si>
  <si>
    <t>UVA 11992</t>
  </si>
  <si>
    <t>CF420-D1-D</t>
  </si>
  <si>
    <t>CODECHEF BOMBING</t>
  </si>
  <si>
    <t>CODECHEF SLIS</t>
  </si>
  <si>
    <t>SPOJ XXXXXXXX</t>
  </si>
  <si>
    <t>CF833-D1-B</t>
  </si>
  <si>
    <t>CF150-D1-C</t>
  </si>
  <si>
    <t>CF580-D2-E</t>
  </si>
  <si>
    <t>CF803-D12-G</t>
  </si>
  <si>
    <t>CODECHE PSHTRG</t>
  </si>
  <si>
    <t>CSA78-D</t>
  </si>
  <si>
    <t>CF1107-D12-G</t>
  </si>
  <si>
    <t>SPOJ FREQUENT</t>
  </si>
  <si>
    <t>CSA41-E</t>
  </si>
  <si>
    <t>PKU 2991</t>
  </si>
  <si>
    <t>CF1110-D12-F</t>
  </si>
  <si>
    <t>CF813-D12-E</t>
  </si>
  <si>
    <t>CF462-D2-E</t>
  </si>
  <si>
    <t>CF121-D1-E</t>
  </si>
  <si>
    <t>CF1023-D12-G</t>
  </si>
  <si>
    <t>CF1093-D12-G</t>
  </si>
  <si>
    <t>SPOJ MKTHNUM</t>
  </si>
  <si>
    <t>CF739-D1-C</t>
  </si>
  <si>
    <t>SPOJ SAMTWARR</t>
  </si>
  <si>
    <t>CF101194-GYM-C</t>
  </si>
  <si>
    <t>CF1136-D2-E</t>
  </si>
  <si>
    <t>IFHLC19-C2-D</t>
  </si>
  <si>
    <t>CF145-D1-E</t>
  </si>
  <si>
    <t>CF1146-D12-E</t>
  </si>
  <si>
    <t>CF397-D2-E</t>
  </si>
  <si>
    <t>CODECHEF MBOARD</t>
  </si>
  <si>
    <t>CF1108-D3-E2</t>
  </si>
  <si>
    <t>CF762-D12-E</t>
  </si>
  <si>
    <t>CF1099-D2-F</t>
  </si>
  <si>
    <t>CF1197-D12-E</t>
  </si>
  <si>
    <t>CODECHEF XRQRS</t>
  </si>
  <si>
    <t>CODECHEF CHANOQ</t>
  </si>
  <si>
    <t>SPOJ CCOST</t>
  </si>
  <si>
    <t>CF160-D2-E</t>
  </si>
  <si>
    <t>SPOJ LGLOVE</t>
  </si>
  <si>
    <t>kattis whiteboard</t>
  </si>
  <si>
    <t>CF1180-D2-E</t>
  </si>
  <si>
    <t>SPOJ AE5B2</t>
  </si>
  <si>
    <t>CF19-D12-D</t>
  </si>
  <si>
    <t>CF56-D2-E</t>
  </si>
  <si>
    <t>CODECHEF BESTSUM</t>
  </si>
  <si>
    <t>CF818-D12-E</t>
  </si>
  <si>
    <t>URI 1511</t>
  </si>
  <si>
    <t>CODECHEF KCOMPRES</t>
  </si>
  <si>
    <t>HACKR cyclical-queries</t>
  </si>
  <si>
    <t>HACKR factorial-array</t>
  </si>
  <si>
    <t>CF777-D12-E</t>
  </si>
  <si>
    <t>CF242-D2-E</t>
  </si>
  <si>
    <t>CF101086-GYM-C</t>
  </si>
  <si>
    <t>CF916-D2-D</t>
  </si>
  <si>
    <t>CF174-D2-C</t>
  </si>
  <si>
    <t>HACKR xorry-queries</t>
  </si>
  <si>
    <t>CF486-D2-E</t>
  </si>
  <si>
    <t>CF669-D2-E</t>
  </si>
  <si>
    <t>UVA 10909</t>
  </si>
  <si>
    <t>CF1156-D12-D</t>
  </si>
  <si>
    <t>CF558-D2-E</t>
  </si>
  <si>
    <t>CODECHEF MATCH2</t>
  </si>
  <si>
    <t>SPOJ GSS3</t>
  </si>
  <si>
    <t>SPOJ SEGSQRSS</t>
  </si>
  <si>
    <t>CF380-D1-C</t>
  </si>
  <si>
    <t>CF101807-GYM-J</t>
  </si>
  <si>
    <t>AtCoder127-ABC-F</t>
  </si>
  <si>
    <t>SPOJ PERMPATT</t>
  </si>
  <si>
    <t>SPOJ GSS4</t>
  </si>
  <si>
    <t>CF1191-D2-E</t>
  </si>
  <si>
    <t>CF102154-GYM-B</t>
  </si>
  <si>
    <t>SPOJ ORDERS</t>
  </si>
  <si>
    <t>CF620-D12-E</t>
  </si>
  <si>
    <t>CF920-D2-F</t>
  </si>
  <si>
    <t>UVA 1232</t>
  </si>
  <si>
    <t>UVA 11297</t>
  </si>
  <si>
    <t>CF482-D1-B</t>
  </si>
  <si>
    <t>CF483-D2-D</t>
  </si>
  <si>
    <t>CF400-D2-E</t>
  </si>
  <si>
    <t>CF474-D2-E</t>
  </si>
  <si>
    <t>CF1263-D2-E</t>
  </si>
  <si>
    <t>CF67-D12-D</t>
  </si>
  <si>
    <t>CF847-D12-D</t>
  </si>
  <si>
    <t>SPOJ DCEPC11I</t>
  </si>
  <si>
    <t>CF877-D2-E</t>
  </si>
  <si>
    <t>SPOJ BRCKTS</t>
  </si>
  <si>
    <t>SPOJ GSS1</t>
  </si>
  <si>
    <t>SPOJ que2</t>
  </si>
  <si>
    <t>UVA 12299</t>
  </si>
  <si>
    <t>PKU 2374</t>
  </si>
  <si>
    <t>CF474-D2-F</t>
  </si>
  <si>
    <t>SPOJ ANDROUND</t>
  </si>
  <si>
    <t>CF1187-D12-D</t>
  </si>
  <si>
    <t>SPOJ GOODE</t>
  </si>
  <si>
    <t>CF460-D2-C</t>
  </si>
  <si>
    <t>CF61-D2-E</t>
  </si>
  <si>
    <t>PKU 2019</t>
  </si>
  <si>
    <t>HACKR car-show</t>
  </si>
  <si>
    <t>UVA 11402</t>
  </si>
  <si>
    <t>HACKER weird-planet-2000a170</t>
  </si>
  <si>
    <t>CF100739-gym-A</t>
  </si>
  <si>
    <t>CF240-D1-F</t>
  </si>
  <si>
    <t>CF830-D1-B</t>
  </si>
  <si>
    <t>HACKER test-problem-13-1db9a7bd</t>
  </si>
  <si>
    <t>CF914-D12-D</t>
  </si>
  <si>
    <t>SPOJ POSTERS</t>
  </si>
  <si>
    <t>CF101992-GYM-M</t>
  </si>
  <si>
    <t>SPOJ PSEGTREE</t>
  </si>
  <si>
    <t>PKU 1823</t>
  </si>
  <si>
    <t>SPOJ KGSS</t>
  </si>
  <si>
    <t>SPOJ CITY2</t>
  </si>
  <si>
    <t>SPOJ HELPR2D2</t>
  </si>
  <si>
    <t>SPOJ LITE</t>
  </si>
  <si>
    <t>TIMUS 1724</t>
  </si>
  <si>
    <t>CF52-D12-C</t>
  </si>
  <si>
    <t>CF339-D2-D</t>
  </si>
  <si>
    <t>SPOJ TREEGAME</t>
  </si>
  <si>
    <t>CF295-D1-A</t>
  </si>
  <si>
    <t>SPOJ MULTQ3</t>
  </si>
  <si>
    <t>SPOJ MON2012</t>
  </si>
  <si>
    <t>SPOJ HORRIBLE</t>
  </si>
  <si>
    <t>SPOJ CNTPRIME</t>
  </si>
  <si>
    <t>CF100812-GYM-E</t>
  </si>
  <si>
    <t>CF85-D12-D</t>
  </si>
  <si>
    <t>SPOJ CDC12_H</t>
  </si>
  <si>
    <t>CODECHEF FLIPCOIN</t>
  </si>
  <si>
    <t>LIVEARCHIVE 2191</t>
  </si>
  <si>
    <t>SPOJ COURAGE</t>
  </si>
  <si>
    <t>UVA 12532</t>
  </si>
  <si>
    <t>TJU 3328</t>
  </si>
  <si>
    <t>TJU 3527</t>
  </si>
  <si>
    <t>SPOJ ZIGZAG2</t>
  </si>
  <si>
    <t>TJU 1502</t>
  </si>
  <si>
    <t>TJU 3312</t>
  </si>
  <si>
    <t>CSA84-F</t>
  </si>
  <si>
    <t>LightOJ 1348</t>
  </si>
  <si>
    <t>CF516-D1-D</t>
  </si>
  <si>
    <t>CF1093-D12-E</t>
  </si>
  <si>
    <t>SPOJ SWAPS</t>
  </si>
  <si>
    <t>CF504-D1-B</t>
  </si>
  <si>
    <t>CF542-D1-A</t>
  </si>
  <si>
    <t>CODECHEF URBANDEV</t>
  </si>
  <si>
    <t>CF1087-D2-F</t>
  </si>
  <si>
    <t>SPOJ INCDSEQ</t>
  </si>
  <si>
    <t>CF228-D2-D</t>
  </si>
  <si>
    <t>UVA 11423</t>
  </si>
  <si>
    <t>CODECHEF TEMPQUE</t>
  </si>
  <si>
    <t>CF384-D2-E</t>
  </si>
  <si>
    <t>SPOJ KPMATRIX</t>
  </si>
  <si>
    <t>SPOJ INCSEQ</t>
  </si>
  <si>
    <t>CF5-D12-E</t>
  </si>
  <si>
    <t>CF341-D1-D</t>
  </si>
  <si>
    <t>CF301-D1-D</t>
  </si>
  <si>
    <t>CF276-D2-E</t>
  </si>
  <si>
    <t>PKU 1990</t>
  </si>
  <si>
    <t>CF100182-GYM-F</t>
  </si>
  <si>
    <t>CF369-D2-E</t>
  </si>
  <si>
    <t>CF540-D2-E</t>
  </si>
  <si>
    <t>CF749-D2-E</t>
  </si>
  <si>
    <t>CF538-D12-F</t>
  </si>
  <si>
    <t>SPOJ CRAYON</t>
  </si>
  <si>
    <t>CF899-D2-F</t>
  </si>
  <si>
    <t>CF827-D1-C</t>
  </si>
  <si>
    <t>CF501-D2-D</t>
  </si>
  <si>
    <t>SPOJ BRICKS</t>
  </si>
  <si>
    <t>UVA 11031</t>
  </si>
  <si>
    <t>LIVEARCHIVE 4976</t>
  </si>
  <si>
    <t>CF629-D2-D</t>
  </si>
  <si>
    <t>kattis keepthemseparated</t>
  </si>
  <si>
    <t>CF431-D2-E</t>
  </si>
  <si>
    <t>CF374-D2-D</t>
  </si>
  <si>
    <t>CF610-D2-D</t>
  </si>
  <si>
    <t>SPOJ WINDVANE</t>
  </si>
  <si>
    <t>CF191-D1-E</t>
  </si>
  <si>
    <t>UVA 11610</t>
  </si>
  <si>
    <t>SRM315-D2-1000</t>
  </si>
  <si>
    <t>CF12-D2-D</t>
  </si>
  <si>
    <t>CF1268-D1-C</t>
  </si>
  <si>
    <t>CF1285-D2-E</t>
  </si>
  <si>
    <t>UVA 12951</t>
  </si>
  <si>
    <t>CF985-D12-E</t>
  </si>
  <si>
    <t>UVA 12697</t>
  </si>
  <si>
    <t>SPOJ DCEPC705</t>
  </si>
  <si>
    <t>CF597-D12-C</t>
  </si>
  <si>
    <t>UVA 1428</t>
  </si>
  <si>
    <t>SPOJ NICEDAY</t>
  </si>
  <si>
    <t>DCP 422</t>
  </si>
  <si>
    <t>SPOJ ORDERSET</t>
  </si>
  <si>
    <t>SPOJ PLONK</t>
  </si>
  <si>
    <t>SPOJ CTRICK</t>
  </si>
  <si>
    <t>CF1278-D12-E</t>
  </si>
  <si>
    <t>PKU 2985</t>
  </si>
  <si>
    <t>SPOJ MCHAOS</t>
  </si>
  <si>
    <t>SRM424-D1-1000</t>
  </si>
  <si>
    <t>CF102-D2-D</t>
  </si>
  <si>
    <t>UVA 12663</t>
  </si>
  <si>
    <t>UVA 1513</t>
  </si>
  <si>
    <t>SPOJ CVJETICI</t>
  </si>
  <si>
    <t>SPOJ INTERVA2</t>
  </si>
  <si>
    <t>CF387-D2-E</t>
  </si>
  <si>
    <t>Kickstart 19-RH-A</t>
  </si>
  <si>
    <t>TIMUS 1028</t>
  </si>
  <si>
    <t>SRM234-D1-1000</t>
  </si>
  <si>
    <t>LiveArchive 7591</t>
  </si>
  <si>
    <t>TIMUS 1470</t>
  </si>
  <si>
    <t>TJU 3243</t>
  </si>
  <si>
    <t>SPOJ MSE06H</t>
  </si>
  <si>
    <t>UVA 11495</t>
  </si>
  <si>
    <t>SPOJ KQUERY</t>
  </si>
  <si>
    <t>TJU 3314</t>
  </si>
  <si>
    <t>SPOJ MATSUM</t>
  </si>
  <si>
    <t>SPOJ NKMOBILE</t>
  </si>
  <si>
    <t>SPOJ SAS001</t>
  </si>
  <si>
    <t>SPOJ AKVQLD03</t>
  </si>
  <si>
    <t>SPOJ YODANESS</t>
  </si>
  <si>
    <t>CF261-D1-E</t>
  </si>
  <si>
    <t>CF797-D12-F</t>
  </si>
  <si>
    <t>CODECHEF SAFPAR</t>
  </si>
  <si>
    <t>SRM543-D1-500</t>
  </si>
  <si>
    <t>HACKR demidenko-farmer</t>
  </si>
  <si>
    <t>CODECHEF TREEBAL</t>
  </si>
  <si>
    <t>UVA 1496</t>
  </si>
  <si>
    <t>CF388-D1-D</t>
  </si>
  <si>
    <t>HACKER quadruple-counting</t>
  </si>
  <si>
    <t>HACKER julia-and-operational-summation</t>
  </si>
  <si>
    <t>UVA 1350</t>
  </si>
  <si>
    <t>AtCoder007-AGC-E</t>
  </si>
  <si>
    <t>CF1103-D1-D</t>
  </si>
  <si>
    <t>CF354-D1-E</t>
  </si>
  <si>
    <t>CF518-D2-F</t>
  </si>
  <si>
    <t>CF453-D1-D</t>
  </si>
  <si>
    <t>CF228-D2-C</t>
  </si>
  <si>
    <t>CF254-D2-E</t>
  </si>
  <si>
    <t>CF526-D12-E</t>
  </si>
  <si>
    <t>UVA 12260</t>
  </si>
  <si>
    <t>CF438-D1-C</t>
  </si>
  <si>
    <t>CF353-D2-E</t>
  </si>
  <si>
    <t>CF316-D12-D3</t>
  </si>
  <si>
    <t>CF57-D12-D</t>
  </si>
  <si>
    <t>USACO 11feb-GenericCowProtests</t>
  </si>
  <si>
    <t>SPOJ PAINTWAL</t>
  </si>
  <si>
    <t>CF722-D12-E</t>
  </si>
  <si>
    <t>AtCoder033-AGC-D</t>
  </si>
  <si>
    <t>CF178-D12-F2</t>
  </si>
  <si>
    <t>CF1131-D2-G</t>
  </si>
  <si>
    <t>CF101064-GYM-L</t>
  </si>
  <si>
    <t>AtCoder036-AGC-D</t>
  </si>
  <si>
    <t>SRM354-D1-1000</t>
  </si>
  <si>
    <t>CF979-D2-E</t>
  </si>
  <si>
    <t>CF477-D1-D</t>
  </si>
  <si>
    <t>CF939-D2-F</t>
  </si>
  <si>
    <t>SRM452-D1-500</t>
  </si>
  <si>
    <t>CF150-D1-D</t>
  </si>
  <si>
    <t>CF58-D2-E</t>
  </si>
  <si>
    <t>CF913-D12-F</t>
  </si>
  <si>
    <t>CF407-D1-D</t>
  </si>
  <si>
    <t>CF1055-D12-E</t>
  </si>
  <si>
    <t>CODECHEF BIPFAMIL</t>
  </si>
  <si>
    <t>AtCoder035-AGC-D</t>
  </si>
  <si>
    <t>CF1146-D12-H</t>
  </si>
  <si>
    <t>CF1056-D12-F</t>
  </si>
  <si>
    <t>CF126-D1-D</t>
  </si>
  <si>
    <t>SRM315-D1-1000</t>
  </si>
  <si>
    <t>AtCoder086-ARC-E</t>
  </si>
  <si>
    <t>FbHkrCup 18-R1-D</t>
  </si>
  <si>
    <t>SRM728-D1-500</t>
  </si>
  <si>
    <t>AtCoder-YahooProcon-D</t>
  </si>
  <si>
    <t>FbHkrCup 18-R2-D</t>
  </si>
  <si>
    <t>CF356-D1-D</t>
  </si>
  <si>
    <t>CF365-D2-D</t>
  </si>
  <si>
    <t>CF655-D12-E</t>
  </si>
  <si>
    <t>LIVEARCHIVE 6036</t>
  </si>
  <si>
    <t>LIVEARCHIVE 7584</t>
  </si>
  <si>
    <t>SRM382-D2-1000</t>
  </si>
  <si>
    <t>SRM497-D1-500</t>
  </si>
  <si>
    <t>UVA 10128</t>
  </si>
  <si>
    <t>UVA 1158</t>
  </si>
  <si>
    <t>LIVEARCHIVE 7586</t>
  </si>
  <si>
    <t>CODECHEF BBRICKS</t>
  </si>
  <si>
    <t>CF261-D1-D</t>
  </si>
  <si>
    <t>LIVEARCHIVE 4126</t>
  </si>
  <si>
    <t>CF101492-GYM-J</t>
  </si>
  <si>
    <t>CODECHEF RIVER</t>
  </si>
  <si>
    <t>CF95-D1-E</t>
  </si>
  <si>
    <t>UVA 10412</t>
  </si>
  <si>
    <t>CF685-D1-E</t>
  </si>
  <si>
    <t>SRM393-D2-1000</t>
  </si>
  <si>
    <t>SRM371-D1-1000</t>
  </si>
  <si>
    <t>CF352-D2-E</t>
  </si>
  <si>
    <t>CF77-D1-D</t>
  </si>
  <si>
    <t>CF198-D1-D</t>
  </si>
  <si>
    <t>CF283-D1-D</t>
  </si>
  <si>
    <t>CF101490-GYM-H</t>
  </si>
  <si>
    <t>CF1065-D12-G</t>
  </si>
  <si>
    <t>CF1178-D12-F2</t>
  </si>
  <si>
    <t>CF500-D12-F</t>
  </si>
  <si>
    <t>CF801-D12-E</t>
  </si>
  <si>
    <t>FbHkrCup 19-R2-C</t>
  </si>
  <si>
    <t>AtCoder019-AGC-D</t>
  </si>
  <si>
    <t>CF650-D1-D</t>
  </si>
  <si>
    <t>CF101522-GYM-J</t>
  </si>
  <si>
    <t>CF624-D2-D</t>
  </si>
  <si>
    <t>CF296-D2-E</t>
  </si>
  <si>
    <t>AtCoder-YahooProcon-F</t>
  </si>
  <si>
    <t>AtCoder032-AGC-D</t>
  </si>
  <si>
    <t>CF178-D12-F3</t>
  </si>
  <si>
    <t>CODECHEF COINDENO</t>
  </si>
  <si>
    <t>CF645-D12-E</t>
  </si>
  <si>
    <t>CF888-D12-F</t>
  </si>
  <si>
    <t>SRM469-D1-1000</t>
  </si>
  <si>
    <t>SPOJ NPC2015E</t>
  </si>
  <si>
    <t>CF1131-D2-E</t>
  </si>
  <si>
    <t>CF1264-D1-D1</t>
  </si>
  <si>
    <t>CF845-D12-F</t>
  </si>
  <si>
    <t>HACKER number-of-ways-1</t>
  </si>
  <si>
    <t>CF1189-D2-F</t>
  </si>
  <si>
    <t>CF1051-D12-E</t>
  </si>
  <si>
    <t>LIVEARCHIVE 4791</t>
  </si>
  <si>
    <t>CF796-D2-E</t>
  </si>
  <si>
    <t>CF1043-D12-F</t>
  </si>
  <si>
    <t>SRM418-D1-500</t>
  </si>
  <si>
    <t>CF17-D12-C</t>
  </si>
  <si>
    <t>CF1079-D2-F</t>
  </si>
  <si>
    <t>CF1253-D2-E</t>
  </si>
  <si>
    <t>CF1088-D2-F</t>
  </si>
  <si>
    <t>Atcoder-caddi2018-D</t>
  </si>
  <si>
    <t>CF1068-D2-D</t>
  </si>
  <si>
    <t>CF373-D2-E</t>
  </si>
  <si>
    <t>CF480-D1-C</t>
  </si>
  <si>
    <t>CF744-D1-C</t>
  </si>
  <si>
    <t>CODECHEF KNICOV</t>
  </si>
  <si>
    <t>FbHkrCup 18-R2-C</t>
  </si>
  <si>
    <t>SRM369-D2-1000</t>
  </si>
  <si>
    <t>CF71-D2-E</t>
  </si>
  <si>
    <t>CF536-D1-D</t>
  </si>
  <si>
    <t>CODECHEF DANYANUM</t>
  </si>
  <si>
    <t>SRM556-D1-500</t>
  </si>
  <si>
    <t>CF697-D2-E</t>
  </si>
  <si>
    <t>SRM302-D1-1000</t>
  </si>
  <si>
    <t>CF1247-D2-E</t>
  </si>
  <si>
    <t>CF814-D2-E</t>
  </si>
  <si>
    <t>CF981-D12-E</t>
  </si>
  <si>
    <t>CF1237-D12-E</t>
  </si>
  <si>
    <t>Atcoder-caddi2018-C</t>
  </si>
  <si>
    <t>CF490-D2-F</t>
  </si>
  <si>
    <t>CF1146-D12-F</t>
  </si>
  <si>
    <t>CF1206-D2-E</t>
  </si>
  <si>
    <t>CF1178-D12-F1</t>
  </si>
  <si>
    <t>CF1105-D2-E</t>
  </si>
  <si>
    <t>CF569-D2-D</t>
  </si>
  <si>
    <t>CF922-D2-E</t>
  </si>
  <si>
    <t>CF133-D2-E</t>
  </si>
  <si>
    <t>SRM511-D2-1000</t>
  </si>
  <si>
    <t>LIVEARCHIVE 6400</t>
  </si>
  <si>
    <t>CF124-D2-E</t>
  </si>
  <si>
    <t>CF505-D2-D</t>
  </si>
  <si>
    <t>SRM502-D1-500</t>
  </si>
  <si>
    <t>CF623-D1-B</t>
  </si>
  <si>
    <t>TIMUS 1223</t>
  </si>
  <si>
    <t>CF1260-D12-E</t>
  </si>
  <si>
    <t>AtCoder145-ABC-F</t>
  </si>
  <si>
    <t>UVA 13179</t>
  </si>
  <si>
    <t>CF1175-D12-E</t>
  </si>
  <si>
    <t>SRM492-D1-500</t>
  </si>
  <si>
    <t>CF1121-D2-F</t>
  </si>
  <si>
    <t>CF1257-D2-E</t>
  </si>
  <si>
    <t>CF1169-D2-E</t>
  </si>
  <si>
    <t>CF102014-GYM-I</t>
  </si>
  <si>
    <t>CF1174-D2-E</t>
  </si>
  <si>
    <t>AtCoder007-AGC-D</t>
  </si>
  <si>
    <t>SRM526.5-D2-1000</t>
  </si>
  <si>
    <t>CF611-D12-D</t>
  </si>
  <si>
    <t>CODECHEF ABDTOLL</t>
  </si>
  <si>
    <t>CF101510-GYM-D</t>
  </si>
  <si>
    <t>LIVEARCHIVE 6175</t>
  </si>
  <si>
    <t>UVA 13014</t>
  </si>
  <si>
    <t>CF100503-GYM-F</t>
  </si>
  <si>
    <t>UVA 1427</t>
  </si>
  <si>
    <t>SRM404-D2-1000</t>
  </si>
  <si>
    <t>CF1079-D2-E</t>
  </si>
  <si>
    <t>CF920-D2-D</t>
  </si>
  <si>
    <t>CF372-D1-C</t>
  </si>
  <si>
    <t>CF984-D2-D</t>
  </si>
  <si>
    <t>LIVEARCHIVE 6761</t>
  </si>
  <si>
    <t>CF476-D2-E</t>
  </si>
  <si>
    <t>CF101492-GYM-L</t>
  </si>
  <si>
    <t>CF208-D2-B</t>
  </si>
  <si>
    <t>CF590-D1-D</t>
  </si>
  <si>
    <t>CF675-D2-E</t>
  </si>
  <si>
    <t>SRM548-D1-500</t>
  </si>
  <si>
    <t>SRM553-D2-1000</t>
  </si>
  <si>
    <t>LIVEARCHIVE 3565</t>
  </si>
  <si>
    <t>CF300-D2-D</t>
  </si>
  <si>
    <t>UVA 11654</t>
  </si>
  <si>
    <t>UVA 12002</t>
  </si>
  <si>
    <t>CF677-D2-D</t>
  </si>
  <si>
    <t>CF235-D1-B</t>
  </si>
  <si>
    <t>SRM499-D1-500</t>
  </si>
  <si>
    <t>LIVEARCHIVE 5137</t>
  </si>
  <si>
    <t>UVA 12256</t>
  </si>
  <si>
    <t>CF157-D2-E</t>
  </si>
  <si>
    <t>SRM484-D1-500</t>
  </si>
  <si>
    <t>CODECHEF MKSTR</t>
  </si>
  <si>
    <t>ZOJ 2349</t>
  </si>
  <si>
    <t>CF1025-D2-D</t>
  </si>
  <si>
    <t>CF313-D2-D</t>
  </si>
  <si>
    <t>CF488-D2-D</t>
  </si>
  <si>
    <t>CF822-D2-D</t>
  </si>
  <si>
    <t>CF762-D12-D</t>
  </si>
  <si>
    <t>CF1013-D2-E</t>
  </si>
  <si>
    <t>CF149-D2-D</t>
  </si>
  <si>
    <t>CF10-D12-D</t>
  </si>
  <si>
    <t>CF18-D12-E</t>
  </si>
  <si>
    <t>KICKSTART 19-RC-C</t>
  </si>
  <si>
    <t>LiveArchive 8024</t>
  </si>
  <si>
    <t>SPOJ EQ2</t>
  </si>
  <si>
    <t>CF264-D1-C</t>
  </si>
  <si>
    <t>CF808-D12-E</t>
  </si>
  <si>
    <t>CF284-D2-D</t>
  </si>
  <si>
    <t>SRM399-D1-500</t>
  </si>
  <si>
    <t>CF1066-D3-F</t>
  </si>
  <si>
    <t>CF1271-D2-D</t>
  </si>
  <si>
    <t>CF102021-GYM-K</t>
  </si>
  <si>
    <t>CF1151-D2-E</t>
  </si>
  <si>
    <t>UVA 348</t>
  </si>
  <si>
    <t>Kickstart 19-RH-C</t>
  </si>
  <si>
    <t>CF895-D2-C</t>
  </si>
  <si>
    <t>CF1148-D12-D</t>
  </si>
  <si>
    <t>CF1114-D2-D</t>
  </si>
  <si>
    <t>CF1256-D3-E</t>
  </si>
  <si>
    <t>CF1077-D3-F2</t>
  </si>
  <si>
    <t>CF1012-D1-C</t>
  </si>
  <si>
    <t>CODECHEF DINCPATH</t>
  </si>
  <si>
    <t>SRM570-D2-1000</t>
  </si>
  <si>
    <t>SRM272-D1-500</t>
  </si>
  <si>
    <t>SRM229-D1-500</t>
  </si>
  <si>
    <t>SRM275-D1-500</t>
  </si>
  <si>
    <t>SRM351-D1-500</t>
  </si>
  <si>
    <t>SRM366-D1-1000</t>
  </si>
  <si>
    <t>SRM387-D1-500</t>
  </si>
  <si>
    <t>SRM400-D1-500</t>
  </si>
  <si>
    <t>UVA 1646</t>
  </si>
  <si>
    <t>SRM204-D1-500</t>
  </si>
  <si>
    <t>SRM328-D1-500</t>
  </si>
  <si>
    <t>CF285-D2-D</t>
  </si>
  <si>
    <t>CODECHEF KGP13G</t>
  </si>
  <si>
    <t>SRM397-D2-1000</t>
  </si>
  <si>
    <t>CF361-D2-D</t>
  </si>
  <si>
    <t>CF627-D12-A</t>
  </si>
  <si>
    <t>UVA 976</t>
  </si>
  <si>
    <t>SPOJ MPOLY</t>
  </si>
  <si>
    <t>SRM416-D2-1000</t>
  </si>
  <si>
    <t>SRM247-D1-500</t>
  </si>
  <si>
    <t>CF404-D2-D</t>
  </si>
  <si>
    <t>AtCoder118-ABC-D</t>
  </si>
  <si>
    <t>CF202-D2-D</t>
  </si>
  <si>
    <t>SRM367-D1-500</t>
  </si>
  <si>
    <t>SRM440-D2-1000</t>
  </si>
  <si>
    <t>SRM410-D2-1000</t>
  </si>
  <si>
    <t>CF1072-D2-D</t>
  </si>
  <si>
    <t>SRM254-D1-500</t>
  </si>
  <si>
    <t>CF6-D12-D</t>
  </si>
  <si>
    <t>CF101979-GYM-D</t>
  </si>
  <si>
    <t>CF459-D2-E</t>
  </si>
  <si>
    <t>CF598-D12-E</t>
  </si>
  <si>
    <t>CODECHEF CHSIGN</t>
  </si>
  <si>
    <t>CF494-D1-B</t>
  </si>
  <si>
    <t>AtCoder087-ARC-B</t>
  </si>
  <si>
    <t>CF1132-D12-F</t>
  </si>
  <si>
    <t>CF13-D12-C</t>
  </si>
  <si>
    <t>CF383-D1-D</t>
  </si>
  <si>
    <t>CF900-D2-E</t>
  </si>
  <si>
    <t>SPOJ NUMTSN</t>
  </si>
  <si>
    <t>CF1241-D2-D</t>
  </si>
  <si>
    <t>SPOJ COLORSEG</t>
  </si>
  <si>
    <t>UVA 10534</t>
  </si>
  <si>
    <t>CF340-D2-D</t>
  </si>
  <si>
    <t>AtCoder132-ABC-F</t>
  </si>
  <si>
    <t>CF1197-D12-D</t>
  </si>
  <si>
    <t>CF265-D2-D</t>
  </si>
  <si>
    <t>AtCoder145-ABC-E</t>
  </si>
  <si>
    <t>UVA 10690</t>
  </si>
  <si>
    <t>CF366-D2-C</t>
  </si>
  <si>
    <t>AtCoder155-ABC-E</t>
  </si>
  <si>
    <t>CF1140-D12-D</t>
  </si>
  <si>
    <t>CF101-D1-B</t>
  </si>
  <si>
    <t>CF721-D2-C</t>
  </si>
  <si>
    <t>CF1107-D12-D</t>
  </si>
  <si>
    <t>CF2-D12-B</t>
  </si>
  <si>
    <t>CF506-D1-A</t>
  </si>
  <si>
    <t>CF946-D12-D</t>
  </si>
  <si>
    <t>CF608-D2-C</t>
  </si>
  <si>
    <t>SPOJ FATAWY</t>
  </si>
  <si>
    <t>SRM288-D1-500</t>
  </si>
  <si>
    <t>SRM296-D1-500</t>
  </si>
  <si>
    <t>AtCoder021-AGC-D</t>
  </si>
  <si>
    <t>CF1096-D12-D</t>
  </si>
  <si>
    <t>CF225-D2-C</t>
  </si>
  <si>
    <t>CF407-D1-B</t>
  </si>
  <si>
    <t>CF699-D2-C</t>
  </si>
  <si>
    <t>CF811-D2-C</t>
  </si>
  <si>
    <t>CODECHEF RWALK</t>
  </si>
  <si>
    <t>SPOJ SERVICE</t>
  </si>
  <si>
    <t>SRM372-D1-500</t>
  </si>
  <si>
    <t>SRM454-D2-1000</t>
  </si>
  <si>
    <t>SRM586-D2-1000</t>
  </si>
  <si>
    <t>UVA 1172</t>
  </si>
  <si>
    <t>SRM389-D2-1000</t>
  </si>
  <si>
    <t>SRM239-D1-500</t>
  </si>
  <si>
    <t>SRM277-D1-500</t>
  </si>
  <si>
    <t>CF991-D2-D</t>
  </si>
  <si>
    <t>CF527-D2-D</t>
  </si>
  <si>
    <t>CODECHEF VOGOZO</t>
  </si>
  <si>
    <t>CF101411-GYM-H</t>
  </si>
  <si>
    <t>SRM209-D1-500</t>
  </si>
  <si>
    <t>UVA 10185</t>
  </si>
  <si>
    <t>CF607-D1-D</t>
  </si>
  <si>
    <t>CF417-D2-D</t>
  </si>
  <si>
    <t>LIVEARCHIVE 2151</t>
  </si>
  <si>
    <t>UVA 1238</t>
  </si>
  <si>
    <t>CF270-D2-D</t>
  </si>
  <si>
    <t>CSA61-D</t>
  </si>
  <si>
    <t>SPOJ BRDGHRD</t>
  </si>
  <si>
    <t>SRM353-D1-500</t>
  </si>
  <si>
    <t>CF245-D12-H</t>
  </si>
  <si>
    <t>SRM453.5-D1-500</t>
  </si>
  <si>
    <t>SRM353-D2-1000</t>
  </si>
  <si>
    <t>PKU 1155</t>
  </si>
  <si>
    <t>CF842-D2-C</t>
  </si>
  <si>
    <t>SPOJ STRSEQ</t>
  </si>
  <si>
    <t>SPOJ NAIVELOK</t>
  </si>
  <si>
    <t>CF706-D2-C</t>
  </si>
  <si>
    <t>FbHkrCup 18-RQ-A</t>
  </si>
  <si>
    <t>CF430-D2-D</t>
  </si>
  <si>
    <t>CF358-D2-D</t>
  </si>
  <si>
    <t>CF408-D2-D</t>
  </si>
  <si>
    <t>CF456-D2-C</t>
  </si>
  <si>
    <t>CF682-D2-D</t>
  </si>
  <si>
    <t>CF711-D2-C</t>
  </si>
  <si>
    <t>LIVEARCHIVE 8044</t>
  </si>
  <si>
    <t>UVA 10617</t>
  </si>
  <si>
    <t>UVA 607</t>
  </si>
  <si>
    <t>SRM548-D2-1000</t>
  </si>
  <si>
    <t>CODECHEF TACNTSTR</t>
  </si>
  <si>
    <t>AtCoder119-ABC-C</t>
  </si>
  <si>
    <t>CF792-D2-C</t>
  </si>
  <si>
    <t>TIMUS 1342</t>
  </si>
  <si>
    <t>CF4-D2-D</t>
  </si>
  <si>
    <t>MAUC 18-short-trade-transaction</t>
  </si>
  <si>
    <t>UVA 12131</t>
  </si>
  <si>
    <t>SRM418-D2-1000</t>
  </si>
  <si>
    <t>SPOJ WAYHOME</t>
  </si>
  <si>
    <t>CF604-D2-C</t>
  </si>
  <si>
    <t>CF1057-D12-C</t>
  </si>
  <si>
    <t>CF1102-D3-F</t>
  </si>
  <si>
    <t>ZOJ 1025</t>
  </si>
  <si>
    <t>SRM351-D2-1000</t>
  </si>
  <si>
    <t>UVA 10980</t>
  </si>
  <si>
    <t>CF221-D2-D</t>
  </si>
  <si>
    <t>CF415-D2-D</t>
  </si>
  <si>
    <t>CF919-D2-D</t>
  </si>
  <si>
    <t>SRM253-D1-500</t>
  </si>
  <si>
    <t>SRM398-D1-500</t>
  </si>
  <si>
    <t>UVA 10739</t>
  </si>
  <si>
    <t>UVA 11002</t>
  </si>
  <si>
    <t>UVA 12063</t>
  </si>
  <si>
    <t>UVA 12904</t>
  </si>
  <si>
    <t>UVA 11026</t>
  </si>
  <si>
    <t>SRM295-D1-500</t>
  </si>
  <si>
    <t>UVA 10819</t>
  </si>
  <si>
    <t>SRM159-D1-500</t>
  </si>
  <si>
    <t>CF545-D2-C</t>
  </si>
  <si>
    <t>SRM599-D2-1000</t>
  </si>
  <si>
    <t>CF489-D2-C</t>
  </si>
  <si>
    <t>CF41-D2-D</t>
  </si>
  <si>
    <t>ZOJ 1093</t>
  </si>
  <si>
    <t>CF463-D2-D</t>
  </si>
  <si>
    <t>UVA 497</t>
  </si>
  <si>
    <t>UVA 11310</t>
  </si>
  <si>
    <t>SRM370-D1-500</t>
  </si>
  <si>
    <t>UVA 812</t>
  </si>
  <si>
    <t>SPOJ NOCHANGE</t>
  </si>
  <si>
    <t>SPOJ UOFTAB</t>
  </si>
  <si>
    <t>UVA 10100</t>
  </si>
  <si>
    <t>LIVEARCHIVE 2585</t>
  </si>
  <si>
    <t>LIVEARCHIVE 3574</t>
  </si>
  <si>
    <t>SPOJ NOVICE63</t>
  </si>
  <si>
    <t>UVA 10003</t>
  </si>
  <si>
    <t>UVA 10036</t>
  </si>
  <si>
    <t>SPOJ DCOWS</t>
  </si>
  <si>
    <t>SPOJ TRT</t>
  </si>
  <si>
    <t>SRM395-D2-1000</t>
  </si>
  <si>
    <t>TIMUS 1346</t>
  </si>
  <si>
    <t>UVA 11420</t>
  </si>
  <si>
    <t>UVA 1231</t>
  </si>
  <si>
    <t>UVA 1647</t>
  </si>
  <si>
    <t>UVA 562</t>
  </si>
  <si>
    <t>SRM371-D1-500</t>
  </si>
  <si>
    <t>SRM248-D1-500</t>
  </si>
  <si>
    <t>CF67-D2-A</t>
  </si>
  <si>
    <t>SRM462-D2-1000</t>
  </si>
  <si>
    <t>UVA 10192</t>
  </si>
  <si>
    <t>UVA 1196</t>
  </si>
  <si>
    <t>SRM577-D2-1000</t>
  </si>
  <si>
    <t>SRM551-D2-1000</t>
  </si>
  <si>
    <t>SRM299-D1-500</t>
  </si>
  <si>
    <t>SPOJ BYTESM2</t>
  </si>
  <si>
    <t>SRM314-D1-500</t>
  </si>
  <si>
    <t>UVA 1225</t>
  </si>
  <si>
    <t>CF1225-D12-G</t>
  </si>
  <si>
    <t>CF506-D1-E</t>
  </si>
  <si>
    <t>UVA 1413</t>
  </si>
  <si>
    <t>CF24-D12-D</t>
  </si>
  <si>
    <t>SRM504.5-D1-1000</t>
  </si>
  <si>
    <t>HACKR palindromes</t>
  </si>
  <si>
    <t>UVA 1390</t>
  </si>
  <si>
    <t>CODEJAM 09-R1A-C</t>
  </si>
  <si>
    <t>TC(MONSTERSANDBUNNIES)</t>
  </si>
  <si>
    <t>UVA 215</t>
  </si>
  <si>
    <t>CF102190-GYM-B</t>
  </si>
  <si>
    <t>UVA 11755</t>
  </si>
  <si>
    <t>SPOJ GS</t>
  </si>
  <si>
    <t>SRM318-D1-500</t>
  </si>
  <si>
    <t>SRM334-D1-500</t>
  </si>
  <si>
    <t>SRM488-D1-250</t>
  </si>
  <si>
    <t>SRM568-D2-1000</t>
  </si>
  <si>
    <t>AtCoder004-AGC-E</t>
  </si>
  <si>
    <t>UVA 12099</t>
  </si>
  <si>
    <t>TC(SISTERSERASINGLETTERS)</t>
  </si>
  <si>
    <t>CF351-D1-C</t>
  </si>
  <si>
    <t>CF559-D1-C</t>
  </si>
  <si>
    <t>CF1140-D12-E</t>
  </si>
  <si>
    <t>SRM508-D1-500</t>
  </si>
  <si>
    <t>LightOJ 1126</t>
  </si>
  <si>
    <t>CF837-D12-D</t>
  </si>
  <si>
    <t>SRM511-D1-500</t>
  </si>
  <si>
    <t>SRM540-D1-500</t>
  </si>
  <si>
    <t>HACKR BILLBOARDS</t>
  </si>
  <si>
    <t>LIVEARCHIVE 5132</t>
  </si>
  <si>
    <t>CF1199-D2-F</t>
  </si>
  <si>
    <t>UVA 1366</t>
  </si>
  <si>
    <t>TIMUS 1389</t>
  </si>
  <si>
    <t>CF75-D2-D</t>
  </si>
  <si>
    <t>UVA 10827</t>
  </si>
  <si>
    <t>SPOJ BCAKE</t>
  </si>
  <si>
    <t>UVA 507</t>
  </si>
  <si>
    <t>UVA 10667</t>
  </si>
  <si>
    <t>LIVEARCHIVE 5128</t>
  </si>
  <si>
    <t>SRM525-D2-1000</t>
  </si>
  <si>
    <t>UVA 10597</t>
  </si>
  <si>
    <t>SRM358-D1-500</t>
  </si>
  <si>
    <t>SRM566-D1-250</t>
  </si>
  <si>
    <t>SRM402-D1-250</t>
  </si>
  <si>
    <t>CF38-D12-F</t>
  </si>
  <si>
    <t>SRM413-D1-500</t>
  </si>
  <si>
    <t>SRM413-D2-1000</t>
  </si>
  <si>
    <t>CODECHEF BUYING</t>
  </si>
  <si>
    <t>UVA 1224</t>
  </si>
  <si>
    <t>CF600-D12-E</t>
  </si>
  <si>
    <t>SRM416-D1-500</t>
  </si>
  <si>
    <t>LIVEARCHIVE 3930</t>
  </si>
  <si>
    <t>UVA 12222</t>
  </si>
  <si>
    <t>UVA 1638</t>
  </si>
  <si>
    <t>CF1051-D12-D</t>
  </si>
  <si>
    <t>UVA 11545</t>
  </si>
  <si>
    <t>FbHkrCup 18-R1-A</t>
  </si>
  <si>
    <t>UVA 10918</t>
  </si>
  <si>
    <t>UVA 1424</t>
  </si>
  <si>
    <t>UVA 11487</t>
  </si>
  <si>
    <t>PKU 1170</t>
  </si>
  <si>
    <t>UVA 10940</t>
  </si>
  <si>
    <t>UVA 12235</t>
  </si>
  <si>
    <t>CF840-D1-C</t>
  </si>
  <si>
    <t>CF101606-GYM-E</t>
  </si>
  <si>
    <t>CF100283-Gym-C</t>
  </si>
  <si>
    <t>CF570-D2-E</t>
  </si>
  <si>
    <t>CF101490-GYM-D</t>
  </si>
  <si>
    <t>CODECHEF AMBALLS</t>
  </si>
  <si>
    <t>CSA40-D</t>
  </si>
  <si>
    <t>SRM520-D1-500</t>
  </si>
  <si>
    <t>CF940-D2-E</t>
  </si>
  <si>
    <t>CF813-D12-D</t>
  </si>
  <si>
    <t>CF710-D12-E</t>
  </si>
  <si>
    <t>CF418-D1-B</t>
  </si>
  <si>
    <t>UVA 11266</t>
  </si>
  <si>
    <t>SRM534-D1-500</t>
  </si>
  <si>
    <t>CF478-D2-D</t>
  </si>
  <si>
    <t>CF192-D2-C</t>
  </si>
  <si>
    <t>SRM728-D2-500</t>
  </si>
  <si>
    <t>CF667-D2-C</t>
  </si>
  <si>
    <t>SRM502-D2-1000</t>
  </si>
  <si>
    <t>CF101915-Gym-E</t>
  </si>
  <si>
    <t>CF662-D12-C</t>
  </si>
  <si>
    <t>CF1198-D1-F</t>
  </si>
  <si>
    <t>SPOJ PWORDS</t>
  </si>
  <si>
    <t>SRM549-D1-500</t>
  </si>
  <si>
    <t>AtCoder012-AGC-E</t>
  </si>
  <si>
    <t>LIVEARCHIVE 6028</t>
  </si>
  <si>
    <t>CF544-D2-E</t>
  </si>
  <si>
    <t>CF367-D1-D</t>
  </si>
  <si>
    <t>LIVEARCHIVE 4794</t>
  </si>
  <si>
    <t>CF543-D1-C</t>
  </si>
  <si>
    <t>TC(Avoid9)</t>
  </si>
  <si>
    <t>CF454-D2-D</t>
  </si>
  <si>
    <t>UVA 1323</t>
  </si>
  <si>
    <t>CF1313-D2-D</t>
  </si>
  <si>
    <t>SRM549-D2-1000</t>
  </si>
  <si>
    <t>CF413-D12-D</t>
  </si>
  <si>
    <t>CF743-D2-E</t>
  </si>
  <si>
    <t>CF342-D2-D</t>
  </si>
  <si>
    <t>CODECHEF FAVGAME</t>
  </si>
  <si>
    <t>CF1209-D12-E2</t>
  </si>
  <si>
    <t>SRM356-D1-500</t>
  </si>
  <si>
    <t>CF378-D2-E</t>
  </si>
  <si>
    <t>HACKR charity</t>
  </si>
  <si>
    <t>CF907-D2-E</t>
  </si>
  <si>
    <t>SPOJ DNALAB</t>
  </si>
  <si>
    <t>LIVEARCHIVE 4970</t>
  </si>
  <si>
    <t>CF453-D1-B</t>
  </si>
  <si>
    <t>CF757-D12-D</t>
  </si>
  <si>
    <t>SRM386-D1-500</t>
  </si>
  <si>
    <t>CF1234-D3-F</t>
  </si>
  <si>
    <t>CF100212-GYM-E</t>
  </si>
  <si>
    <t>CF385-D2-D</t>
  </si>
  <si>
    <t>UVA 1252</t>
  </si>
  <si>
    <t>AtCoder113-ABC-D</t>
  </si>
  <si>
    <t>CF101484-GYM-K</t>
  </si>
  <si>
    <t>SPOJ HELPBOB</t>
  </si>
  <si>
    <t>CF472-D12-G</t>
  </si>
  <si>
    <t>SRM575-D2-1000</t>
  </si>
  <si>
    <t>CF510-D2-D</t>
  </si>
  <si>
    <t>CF102219-GYM-F</t>
  </si>
  <si>
    <t>LIVEARCHIVE 3995</t>
  </si>
  <si>
    <t>CF100155-GYM-F</t>
  </si>
  <si>
    <t>SRM390-D1-500</t>
  </si>
  <si>
    <t>CF903-D12-F</t>
  </si>
  <si>
    <t>UVA 11806</t>
  </si>
  <si>
    <t>CF101055-gym-E</t>
  </si>
  <si>
    <t>SPOJ ANARC08I</t>
  </si>
  <si>
    <t>SRM189-D1-500</t>
  </si>
  <si>
    <t>SRM364-D1-500</t>
  </si>
  <si>
    <t>SRM364-D2-1000</t>
  </si>
  <si>
    <t>SRM469-D1-500</t>
  </si>
  <si>
    <t>TJU 1189</t>
  </si>
  <si>
    <t>UVA 11084</t>
  </si>
  <si>
    <t>UVA 1240</t>
  </si>
  <si>
    <t>SPOJ BABY</t>
  </si>
  <si>
    <t>SRM508-D2-1000</t>
  </si>
  <si>
    <t>SRM523-D2-1000</t>
  </si>
  <si>
    <t>UVA 12030</t>
  </si>
  <si>
    <t>UVA 10264</t>
  </si>
  <si>
    <t>SPOJ TAILS</t>
  </si>
  <si>
    <t>UVA 11008</t>
  </si>
  <si>
    <t>SRM562-D2-1000</t>
  </si>
  <si>
    <t>CF580-D2-D</t>
  </si>
  <si>
    <t>SPOJ PERMUT1</t>
  </si>
  <si>
    <t>UVA 10651</t>
  </si>
  <si>
    <t>SPOJ ASSIGN</t>
  </si>
  <si>
    <t>SRM390-D2-1000</t>
  </si>
  <si>
    <t>UVA 11088</t>
  </si>
  <si>
    <t>SPOJ TRSTAGE</t>
  </si>
  <si>
    <t>LIVEARCHIVE 5856</t>
  </si>
  <si>
    <t>SRM407-D1-500</t>
  </si>
  <si>
    <t>SRM279-D1-500</t>
  </si>
  <si>
    <t>SRM547-D2-1000</t>
  </si>
  <si>
    <t>UVA 11795</t>
  </si>
  <si>
    <t>SPOJ MMINPAID</t>
  </si>
  <si>
    <t>TIMUS 1152</t>
  </si>
  <si>
    <t>SRM430-D2-1000</t>
  </si>
  <si>
    <t>HACKR polita-sets</t>
  </si>
  <si>
    <t>HACKR digit-products</t>
  </si>
  <si>
    <t>AtCoder002-AGC-F</t>
  </si>
  <si>
    <t>AtCoder013-AGC-E</t>
  </si>
  <si>
    <t>CF1034-D1-C</t>
  </si>
  <si>
    <t>AtCoder009-AGC-E</t>
  </si>
  <si>
    <t>CODECHEF ADIMAT</t>
  </si>
  <si>
    <t>CODECHEF TBGRAPH</t>
  </si>
  <si>
    <t>CF1097-D12-G</t>
  </si>
  <si>
    <t>CF747-D2-F</t>
  </si>
  <si>
    <t>SRM145-D1-1000</t>
  </si>
  <si>
    <t>SRM147-D1-1000</t>
  </si>
  <si>
    <t>AtCoder028-AGC-D</t>
  </si>
  <si>
    <t>AtCoder001-AGC-E</t>
  </si>
  <si>
    <t>UVA 11828</t>
  </si>
  <si>
    <t>UVA 12298</t>
  </si>
  <si>
    <t>AtCoder026-AGC-D</t>
  </si>
  <si>
    <t>CF841-D2-E</t>
  </si>
  <si>
    <t>HACKR alien-languages</t>
  </si>
  <si>
    <t>CF101411-GYM-E</t>
  </si>
  <si>
    <t>CF295-D1-D</t>
  </si>
  <si>
    <t>SRM553-D1-500</t>
  </si>
  <si>
    <t>AtCoder005-AGC-D</t>
  </si>
  <si>
    <t>AtCoder030-AGC-D</t>
  </si>
  <si>
    <t>AtCoder013-AGC-D</t>
  </si>
  <si>
    <t>CF1172-D1-C2</t>
  </si>
  <si>
    <t>SRM532-D1-500</t>
  </si>
  <si>
    <t>CF101064-GYM-B</t>
  </si>
  <si>
    <t>CF37-D12-D</t>
  </si>
  <si>
    <t>CF1185-D2-G2</t>
  </si>
  <si>
    <t>CF1204-D2-E</t>
  </si>
  <si>
    <t>CF1237-D12-F</t>
  </si>
  <si>
    <t>CF659-D2-G</t>
  </si>
  <si>
    <t>CF129-D12-E</t>
  </si>
  <si>
    <t>CODECHEF SEAEQ</t>
  </si>
  <si>
    <t>CF128-D1-C</t>
  </si>
  <si>
    <t>CF403-D1-D</t>
  </si>
  <si>
    <t>LIVEARCHIVE 4123</t>
  </si>
  <si>
    <t>CF1279-D12-E</t>
  </si>
  <si>
    <t>CF295-D1-C</t>
  </si>
  <si>
    <t>SRM523-D1-500</t>
  </si>
  <si>
    <t>SRM406-D2-1000</t>
  </si>
  <si>
    <t>SPOJ RIOI_3_2</t>
  </si>
  <si>
    <t>LIVEARCHIVE 8299</t>
  </si>
  <si>
    <t>CF258-D1-C</t>
  </si>
  <si>
    <t>CF233-D2-D</t>
  </si>
  <si>
    <t>TC(FamilySeatingArrangement)</t>
  </si>
  <si>
    <t>CF1111-D2-D</t>
  </si>
  <si>
    <t>CF1156-D12-F</t>
  </si>
  <si>
    <t>CF156-D1-C</t>
  </si>
  <si>
    <t>SRM602-D2-1000</t>
  </si>
  <si>
    <t>CF489-D2-F</t>
  </si>
  <si>
    <t>UVA 986</t>
  </si>
  <si>
    <t>LIVEARCHIVE 6396</t>
  </si>
  <si>
    <t>UVA 11981</t>
  </si>
  <si>
    <t>SRM477-D2-1000</t>
  </si>
  <si>
    <t>SRM459-D1-500</t>
  </si>
  <si>
    <t>CF888-D12-D</t>
  </si>
  <si>
    <t>SPOJ DCEPC810</t>
  </si>
  <si>
    <t>CF100531-gym-K</t>
  </si>
  <si>
    <t>CF991-D2-E</t>
  </si>
  <si>
    <t>SRM395-D1-500</t>
  </si>
  <si>
    <t>SRM520-D2-1000</t>
  </si>
  <si>
    <t>SRM554-D2-1000</t>
  </si>
  <si>
    <t>UVA 1645</t>
  </si>
  <si>
    <t>HACKR volleyball-match</t>
  </si>
  <si>
    <t>UVA 11655</t>
  </si>
  <si>
    <t>CF1084-D2-C</t>
  </si>
  <si>
    <t>SRM578-D2-1000</t>
  </si>
  <si>
    <t>CF474-D2-D</t>
  </si>
  <si>
    <t>UVA 12223</t>
  </si>
  <si>
    <t>HACKR construct-the-array</t>
  </si>
  <si>
    <t>UVA 10198</t>
  </si>
  <si>
    <t>UVA 12034</t>
  </si>
  <si>
    <t>CF431-D2-C</t>
  </si>
  <si>
    <t>CF118-D2-D</t>
  </si>
  <si>
    <t>SRM227-D1-500</t>
  </si>
  <si>
    <t>HACKR lexicographic-steps</t>
  </si>
  <si>
    <t>CF382-D2-E</t>
  </si>
  <si>
    <t>CF317-D1-D</t>
  </si>
  <si>
    <t>SPOJ XOINC</t>
  </si>
  <si>
    <t>SRM526-D1-500</t>
  </si>
  <si>
    <t>CF48-D12-E</t>
  </si>
  <si>
    <t>SRM419-D1-500</t>
  </si>
  <si>
    <t>SRM216-D1-1000</t>
  </si>
  <si>
    <t>SRM343-D1-500</t>
  </si>
  <si>
    <t>UVA 10111</t>
  </si>
  <si>
    <t>SRM384-D2-1000</t>
  </si>
  <si>
    <t>CF731-D2-E</t>
  </si>
  <si>
    <t>SRM360-D2-1000</t>
  </si>
  <si>
    <t>TIMUS 1398</t>
  </si>
  <si>
    <t>CF63-D2-E</t>
  </si>
  <si>
    <t>CF917-D1-B</t>
  </si>
  <si>
    <t>CF148-D2-D</t>
  </si>
  <si>
    <t>UVA 10578</t>
  </si>
  <si>
    <t>UVA 10536</t>
  </si>
  <si>
    <t>CF1033-D12-C</t>
  </si>
  <si>
    <t>SRM606-D2-1000</t>
  </si>
  <si>
    <t>UVA 10404</t>
  </si>
  <si>
    <t>SRM172-D1-500</t>
  </si>
  <si>
    <t>UVA 12469</t>
  </si>
  <si>
    <t>UVA 11311</t>
  </si>
  <si>
    <t>CF698-D1-C</t>
  </si>
  <si>
    <t>CF249-D1-C</t>
  </si>
  <si>
    <t>CF175-D12-D</t>
  </si>
  <si>
    <t>TIMUS 1359</t>
  </si>
  <si>
    <t>CF464-D1-D</t>
  </si>
  <si>
    <t>SPOJ LIM</t>
  </si>
  <si>
    <t>SRM542-D1-500</t>
  </si>
  <si>
    <t>CF596-D2-D</t>
  </si>
  <si>
    <t>CF867-D12-D</t>
  </si>
  <si>
    <t>CF513-D12-G2</t>
  </si>
  <si>
    <t>UVA 10529</t>
  </si>
  <si>
    <t>CF1097-D12-D</t>
  </si>
  <si>
    <t>CF499-D2-D</t>
  </si>
  <si>
    <t>SRM614-D2-1000</t>
  </si>
  <si>
    <t>SRM476-D1-500</t>
  </si>
  <si>
    <t>SRM460-D1-500</t>
  </si>
  <si>
    <t>SRM603-D2-1000</t>
  </si>
  <si>
    <t>CF908-D12-D</t>
  </si>
  <si>
    <t>UVA 11176</t>
  </si>
  <si>
    <t>CF68-D12-D</t>
  </si>
  <si>
    <t>SRM513-D1-500</t>
  </si>
  <si>
    <t>CF236-D2-D</t>
  </si>
  <si>
    <t>CF167-D1-D</t>
  </si>
  <si>
    <t>SRM304-D1-500</t>
  </si>
  <si>
    <t>CF768-D2-D</t>
  </si>
  <si>
    <t>UVA 11021</t>
  </si>
  <si>
    <t>CF28-D12-C</t>
  </si>
  <si>
    <t>UVA 10169</t>
  </si>
  <si>
    <t>CF678-D12-E</t>
  </si>
  <si>
    <t>CF859-D12-D</t>
  </si>
  <si>
    <t>CF16-D2-E</t>
  </si>
  <si>
    <t>UVA 10218</t>
  </si>
  <si>
    <t>PKU 3744</t>
  </si>
  <si>
    <t>PKU 2151</t>
  </si>
  <si>
    <t>UVA 12179</t>
  </si>
  <si>
    <t>SRM394-D1-1000</t>
  </si>
  <si>
    <t>SRM408-D2-1000</t>
  </si>
  <si>
    <t>UVA 542</t>
  </si>
  <si>
    <t>CF540-D2-D</t>
  </si>
  <si>
    <t>UVA 10759</t>
  </si>
  <si>
    <t>PKU 3071</t>
  </si>
  <si>
    <t>CF168-D2-D</t>
  </si>
  <si>
    <t>SRM338-D1-500</t>
  </si>
  <si>
    <t>CF101726-GYM-B</t>
  </si>
  <si>
    <t>CF54-D12-C</t>
  </si>
  <si>
    <t>UVA 12024</t>
  </si>
  <si>
    <t>SRM504.5-D2-1000</t>
  </si>
  <si>
    <t>UVA 12457</t>
  </si>
  <si>
    <t>TJU 3051</t>
  </si>
  <si>
    <t>HACKR colorful-polygon</t>
  </si>
  <si>
    <t>LIVEARCHIVE 6777</t>
  </si>
  <si>
    <t>HACKR bear-and-dancing</t>
  </si>
  <si>
    <t>CF138-D1-D</t>
  </si>
  <si>
    <t>CF183-D12-D</t>
  </si>
  <si>
    <t>SRM727-D1-1000</t>
  </si>
  <si>
    <t>CF258-D1-D</t>
  </si>
  <si>
    <t>SRM515-D1-500</t>
  </si>
  <si>
    <t>SRM384-D1-500</t>
  </si>
  <si>
    <t>SRM462-D1-500</t>
  </si>
  <si>
    <t>CF101808-gym-D</t>
  </si>
  <si>
    <t>CF101620-gym-G</t>
  </si>
  <si>
    <t>CF602-D2-E</t>
  </si>
  <si>
    <t>CF1278-D12-F</t>
  </si>
  <si>
    <t>CF399-D2-D</t>
  </si>
  <si>
    <t>CF697-D2-D</t>
  </si>
  <si>
    <t>HACKR connect-the-country</t>
  </si>
  <si>
    <t>UVA 11427</t>
  </si>
  <si>
    <t>UVA 1456</t>
  </si>
  <si>
    <t>AtCoder144-ABC-F</t>
  </si>
  <si>
    <t>AtCoder149-ABC-F</t>
  </si>
  <si>
    <t>PKU 2096</t>
  </si>
  <si>
    <t>CF1245-D2-E</t>
  </si>
  <si>
    <t>SPOJ LOOPEXP</t>
  </si>
  <si>
    <t>SRM420-D1-500</t>
  </si>
  <si>
    <t>SRM533-D2-1000</t>
  </si>
  <si>
    <t>UVA 10288</t>
  </si>
  <si>
    <t>CF1265-D2-E</t>
  </si>
  <si>
    <t>UVA 12369</t>
  </si>
  <si>
    <t>SRM184-D1-500</t>
  </si>
  <si>
    <t>SRM561-D2-1000</t>
  </si>
  <si>
    <t>SRM402-D2-1000</t>
  </si>
  <si>
    <t>SRM518-D2-1000</t>
  </si>
  <si>
    <t>SRM249-D1-250</t>
  </si>
  <si>
    <t>TC(BANKLOTTERY)</t>
  </si>
  <si>
    <t>CF30-D12-C</t>
  </si>
  <si>
    <t>CF518-D2-D</t>
  </si>
  <si>
    <t>UVA 10454</t>
  </si>
  <si>
    <t>CF508-D2-E</t>
  </si>
  <si>
    <t>UVA 1336</t>
  </si>
  <si>
    <t>UVA 12283</t>
  </si>
  <si>
    <t>UVA 12656</t>
  </si>
  <si>
    <t>UVA 12800</t>
  </si>
  <si>
    <t>CF1107-D12-E</t>
  </si>
  <si>
    <t>UVA 1351</t>
  </si>
  <si>
    <t>UVA 1626</t>
  </si>
  <si>
    <t>SRM240-D1-1000</t>
  </si>
  <si>
    <t>UVA 1362</t>
  </si>
  <si>
    <t>UVA 1239</t>
  </si>
  <si>
    <t>UVA 12245</t>
  </si>
  <si>
    <t>LIVEARCHIVE 2675</t>
  </si>
  <si>
    <t>SPOJ GCJ1C09C</t>
  </si>
  <si>
    <t>UVA 11022</t>
  </si>
  <si>
    <t>SRM366-D2-1000</t>
  </si>
  <si>
    <t>UVA 11753</t>
  </si>
  <si>
    <t>LIVEARCHIVE 2587</t>
  </si>
  <si>
    <t>SRM367-D2-1000</t>
  </si>
  <si>
    <t>LIVEARCHIVE 8046</t>
  </si>
  <si>
    <t>CF1054-D12-G</t>
  </si>
  <si>
    <t>SRM307-D1-500</t>
  </si>
  <si>
    <t>CF249-D1-B</t>
  </si>
  <si>
    <t>CF1012-D1-D</t>
  </si>
  <si>
    <t>HACKR diverse-strings</t>
  </si>
  <si>
    <t>CF1147-D1-E</t>
  </si>
  <si>
    <t>LIVEARCHIVE 7585</t>
  </si>
  <si>
    <t>CF42-D12-D</t>
  </si>
  <si>
    <t>CF725-D12-E</t>
  </si>
  <si>
    <t>CF767-D2-E</t>
  </si>
  <si>
    <t>LIVEARCHIVE 6780</t>
  </si>
  <si>
    <t>CF436-D12-E</t>
  </si>
  <si>
    <t>CF922-D2-F</t>
  </si>
  <si>
    <t>AtCoder037-AGC-E</t>
  </si>
  <si>
    <t>CF713-D1-C</t>
  </si>
  <si>
    <t>AtCoder043-AGC-D</t>
  </si>
  <si>
    <t>CF1091-D12-F</t>
  </si>
  <si>
    <t>CF203-D2-E</t>
  </si>
  <si>
    <t>AtCoder027-AGC-D</t>
  </si>
  <si>
    <t>AtCoder103-ARC-D</t>
  </si>
  <si>
    <t>CF297-D1-C</t>
  </si>
  <si>
    <t>AtCoder028-AGC-C</t>
  </si>
  <si>
    <t>CF1076-D12-F</t>
  </si>
  <si>
    <t>CF962-D12-E</t>
  </si>
  <si>
    <t>CF144-D2-E</t>
  </si>
  <si>
    <t>SRM463-D1-500</t>
  </si>
  <si>
    <t>CF273-D1-C</t>
  </si>
  <si>
    <t>CF1054-D12-E</t>
  </si>
  <si>
    <t>LIVEARCHIVE 7576</t>
  </si>
  <si>
    <t>LIVEARCHIVE 7158</t>
  </si>
  <si>
    <t>CODECHEF STICKS2</t>
  </si>
  <si>
    <t>AtCoder027-AGC-B</t>
  </si>
  <si>
    <t>CF1013-D2-D</t>
  </si>
  <si>
    <t>CF799-D12-E</t>
  </si>
  <si>
    <t>CF1132-D12-E</t>
  </si>
  <si>
    <t>CF1059-D2-E</t>
  </si>
  <si>
    <t>CF404-D2-E</t>
  </si>
  <si>
    <t>AtCoder143-ABC-F</t>
  </si>
  <si>
    <t>SPOJ LAZYPROG</t>
  </si>
  <si>
    <t>SRM331-D1-500</t>
  </si>
  <si>
    <t>CF996-D2-E</t>
  </si>
  <si>
    <t>AtCoder030-AGC-B</t>
  </si>
  <si>
    <t>SRM400-D2-1000</t>
  </si>
  <si>
    <t>AtCoder001-AGC-D</t>
  </si>
  <si>
    <t>CF101498-GYM-G</t>
  </si>
  <si>
    <t>SRM443-D1-500</t>
  </si>
  <si>
    <t>SRM594-D2-1000</t>
  </si>
  <si>
    <t>LIVEARCHIVE 4788</t>
  </si>
  <si>
    <t>CF980-D2-E</t>
  </si>
  <si>
    <t>CF867-D12-E</t>
  </si>
  <si>
    <t>ACMWF19-A</t>
  </si>
  <si>
    <t>CF467-D2-E</t>
  </si>
  <si>
    <t>CF807-D2-E</t>
  </si>
  <si>
    <t>CF946-D12-E</t>
  </si>
  <si>
    <t>CF1054-D12-D</t>
  </si>
  <si>
    <t>CF908-D12-F</t>
  </si>
  <si>
    <t>CF1166-D2-D</t>
  </si>
  <si>
    <t>SRM378-D2-1000</t>
  </si>
  <si>
    <t>SRM612-D2-1000</t>
  </si>
  <si>
    <t>AtCoder025-AGC-C</t>
  </si>
  <si>
    <t>CF1178-D12-E</t>
  </si>
  <si>
    <t>SRM345-D1-500</t>
  </si>
  <si>
    <t>SRM463-D2-1000</t>
  </si>
  <si>
    <t>SPOJ MCLB</t>
  </si>
  <si>
    <t>CODECHEF GHMC</t>
  </si>
  <si>
    <t>AtCoder140-ABC-F</t>
  </si>
  <si>
    <t>CF550-D2-E</t>
  </si>
  <si>
    <t>UVA 10148</t>
  </si>
  <si>
    <t>CF432-D2-E</t>
  </si>
  <si>
    <t>CF627-D12-C</t>
  </si>
  <si>
    <t>CF884-D12-D</t>
  </si>
  <si>
    <t>CODECHEF CENTREE</t>
  </si>
  <si>
    <t>SRM421-D1-500</t>
  </si>
  <si>
    <t>SRM538-D2-1000</t>
  </si>
  <si>
    <t>SRM554-D1-500</t>
  </si>
  <si>
    <t>UVA 1346</t>
  </si>
  <si>
    <t>CF679-D1-B</t>
  </si>
  <si>
    <t>CF518-D2-E</t>
  </si>
  <si>
    <t>CF463-D2-E</t>
  </si>
  <si>
    <t>CF748-D12-E</t>
  </si>
  <si>
    <t>CF416-D2-D</t>
  </si>
  <si>
    <t>UVA 11269</t>
  </si>
  <si>
    <t>LIVEARCHIVE 3835</t>
  </si>
  <si>
    <t>SRM480-D1-500</t>
  </si>
  <si>
    <t>CF86-D12-B</t>
  </si>
  <si>
    <t>CF746-D2-E</t>
  </si>
  <si>
    <t>SRM379-D1-500</t>
  </si>
  <si>
    <t>SRM361-D1-500</t>
  </si>
  <si>
    <t>CODECHEF XTGR</t>
  </si>
  <si>
    <t>SRM396-D2-1000</t>
  </si>
  <si>
    <t>CF976-D2-E</t>
  </si>
  <si>
    <t>CF100956-GYM-D</t>
  </si>
  <si>
    <t>CF427-D2-E</t>
  </si>
  <si>
    <t>CF965-D2-D</t>
  </si>
  <si>
    <t>CF981-D12-D</t>
  </si>
  <si>
    <t>CF794-D12-C</t>
  </si>
  <si>
    <t>CF1099-D2-D</t>
  </si>
  <si>
    <t>CODECHEF BJUDGE</t>
  </si>
  <si>
    <t>AtCoder008-AGC-D</t>
  </si>
  <si>
    <t>CF1061-D2-D</t>
  </si>
  <si>
    <t>CF549-D12-B</t>
  </si>
  <si>
    <t>CF1023-D12-E</t>
  </si>
  <si>
    <t>CF104-D2-D</t>
  </si>
  <si>
    <t>CF1043-D12-E</t>
  </si>
  <si>
    <t>CF447-D2-D</t>
  </si>
  <si>
    <t>CF402-D2-D</t>
  </si>
  <si>
    <t>CF496-D2-D</t>
  </si>
  <si>
    <t>CF672-D2-D</t>
  </si>
  <si>
    <t>CF128-D12-D</t>
  </si>
  <si>
    <t>CODEJAM 18-R3-A</t>
  </si>
  <si>
    <t>CF1082-D12-E</t>
  </si>
  <si>
    <t>CF76-D12-B</t>
  </si>
  <si>
    <t>CF897-D2-D</t>
  </si>
  <si>
    <t>CF135-D1-C</t>
  </si>
  <si>
    <t>CF159-D2-E</t>
  </si>
  <si>
    <t>CF414-D2-C</t>
  </si>
  <si>
    <t>CF515-D2-D</t>
  </si>
  <si>
    <t>CF893-D2-D</t>
  </si>
  <si>
    <t>SRM442-D1-500</t>
  </si>
  <si>
    <t>AtCoder003-AGC-B</t>
  </si>
  <si>
    <t>CF102215-GYM-I</t>
  </si>
  <si>
    <t>SRM346-D1-500</t>
  </si>
  <si>
    <t>CF670-D2-F</t>
  </si>
  <si>
    <t>CF238-D1-B</t>
  </si>
  <si>
    <t>SRM560-D2-1000</t>
  </si>
  <si>
    <t>CF101341-GYM-E</t>
  </si>
  <si>
    <t>CF922-D2-D</t>
  </si>
  <si>
    <t>AtCoder009-ABC-C</t>
  </si>
  <si>
    <t>SPOJ ROADTRIP</t>
  </si>
  <si>
    <t>CF709-D2-D</t>
  </si>
  <si>
    <t>CF141-D2-C</t>
  </si>
  <si>
    <t>CF101917-gym-B</t>
  </si>
  <si>
    <t>CF1256-D3-F</t>
  </si>
  <si>
    <t>CF94-D2-D</t>
  </si>
  <si>
    <t>CF1183-D3-G</t>
  </si>
  <si>
    <t>CF1175-D12-D</t>
  </si>
  <si>
    <t>CF313-D2-C</t>
  </si>
  <si>
    <t>CF101917-D12-D</t>
  </si>
  <si>
    <t>CF1153-D2-D</t>
  </si>
  <si>
    <t>CF737-D1-C</t>
  </si>
  <si>
    <t>CF465-D2-C</t>
  </si>
  <si>
    <t>CF101149-GYM-G</t>
  </si>
  <si>
    <t>CF1012-D1-A</t>
  </si>
  <si>
    <t>AtCoder002-AGC-C</t>
  </si>
  <si>
    <t>SGU 321</t>
  </si>
  <si>
    <t>CF242-D2-D</t>
  </si>
  <si>
    <t>CF1038-D2-D</t>
  </si>
  <si>
    <t>LIVEARCHIVE 3277</t>
  </si>
  <si>
    <t>FbHkrCup 19-R1-B</t>
  </si>
  <si>
    <t>CF239-D2-D</t>
  </si>
  <si>
    <t>SRM619-D2-1000</t>
  </si>
  <si>
    <t>SPOJ SAM</t>
  </si>
  <si>
    <t>CF954-D2-E</t>
  </si>
  <si>
    <t>CF227-D2-D</t>
  </si>
  <si>
    <t>CF100883-GYM-C</t>
  </si>
  <si>
    <t>CF10149-GYM-F</t>
  </si>
  <si>
    <t>CF101492-GYM-E</t>
  </si>
  <si>
    <t>CF215-D2-D</t>
  </si>
  <si>
    <t>CF738-D2-E</t>
  </si>
  <si>
    <t>CF898-D2-E</t>
  </si>
  <si>
    <t>CF950-D2-C</t>
  </si>
  <si>
    <t>CF978-D3-G</t>
  </si>
  <si>
    <t>CSA34-D</t>
  </si>
  <si>
    <t>SRM381-D1-500</t>
  </si>
  <si>
    <t>SRM544-D2-500</t>
  </si>
  <si>
    <t>TIMUS 1515</t>
  </si>
  <si>
    <t>CF131-D2-E</t>
  </si>
  <si>
    <t>CF551-D2-C</t>
  </si>
  <si>
    <t>CF286-D1-C</t>
  </si>
  <si>
    <t>UVA 1595</t>
  </si>
  <si>
    <t>SRM357-D1-500</t>
  </si>
  <si>
    <t>CF358-D2-C</t>
  </si>
  <si>
    <t>CF917-D1-A</t>
  </si>
  <si>
    <t>CF1062-D2-C</t>
  </si>
  <si>
    <t>CF476-D2-D</t>
  </si>
  <si>
    <t>SRM544-D1-500</t>
  </si>
  <si>
    <t>UVA 13032</t>
  </si>
  <si>
    <t>SRM486-D2-1000</t>
  </si>
  <si>
    <t>CF546-D2-D</t>
  </si>
  <si>
    <t>SRM380-D1-500</t>
  </si>
  <si>
    <t>SRM450-D1-500</t>
  </si>
  <si>
    <t>CF732-D2-E</t>
  </si>
  <si>
    <t>AtCoder003-AGC-C</t>
  </si>
  <si>
    <t>CF779-D2-C</t>
  </si>
  <si>
    <t>SRM263-D1-500</t>
  </si>
  <si>
    <t>SRM361-D2-1000</t>
  </si>
  <si>
    <t>SRM382-D1-500</t>
  </si>
  <si>
    <t>SRM516-D1-500</t>
  </si>
  <si>
    <t>CF222-D2-D</t>
  </si>
  <si>
    <t>CF529-D1-B</t>
  </si>
  <si>
    <t>CF797-D12-C</t>
  </si>
  <si>
    <t>SRM433-D2-1000</t>
  </si>
  <si>
    <t>CF1087-D2-D</t>
  </si>
  <si>
    <t>LiveArchive 8260</t>
  </si>
  <si>
    <t>CF729-D12-D</t>
  </si>
  <si>
    <t>CF519-D2-D</t>
  </si>
  <si>
    <t>CF486-D2-C</t>
  </si>
  <si>
    <t>SPOJ KAOS</t>
  </si>
  <si>
    <t>CF584-D2-C</t>
  </si>
  <si>
    <t>CF735-D2-C</t>
  </si>
  <si>
    <t>CF230-D2-C</t>
  </si>
  <si>
    <t>CF234-D2-H</t>
  </si>
  <si>
    <t>CF384-D2-C</t>
  </si>
  <si>
    <t>CF508-D2-C</t>
  </si>
  <si>
    <t>CF720-D1-A</t>
  </si>
  <si>
    <t>CF721-D2-D</t>
  </si>
  <si>
    <t>CF723-D2-C</t>
  </si>
  <si>
    <t>CF898-D2-D</t>
  </si>
  <si>
    <t>CF92-D2-C</t>
  </si>
  <si>
    <t>CF985-D12-C</t>
  </si>
  <si>
    <t>SRM372-D2-1000</t>
  </si>
  <si>
    <t>SPOJ BLOPER</t>
  </si>
  <si>
    <t>CF148-D2-C</t>
  </si>
  <si>
    <t>CF287-D2-C</t>
  </si>
  <si>
    <t>SRM408-D1-500</t>
  </si>
  <si>
    <t>CF371-D2-D</t>
  </si>
  <si>
    <t>CF260-D2-C</t>
  </si>
  <si>
    <t>CF387-D2-C</t>
  </si>
  <si>
    <t>CF405-D2-D</t>
  </si>
  <si>
    <t>CF266-D2-C</t>
  </si>
  <si>
    <t>SRM380-D2-1000</t>
  </si>
  <si>
    <t>UVA 12259</t>
  </si>
  <si>
    <t>CF747-D2-D</t>
  </si>
  <si>
    <t>CF58-D2-D</t>
  </si>
  <si>
    <t>CF883-D12-K</t>
  </si>
  <si>
    <t>SRM398-D2-1000</t>
  </si>
  <si>
    <t>SRM453-D2-1000</t>
  </si>
  <si>
    <t>UVA 12124</t>
  </si>
  <si>
    <t>CODECHEF KSUM</t>
  </si>
  <si>
    <t>CF1151-D2-D</t>
  </si>
  <si>
    <t>LiveArchive 7887</t>
  </si>
  <si>
    <t>CF1064-D2-C</t>
  </si>
  <si>
    <t>CF101597-gym-J</t>
  </si>
  <si>
    <t>CF534-D2-D</t>
  </si>
  <si>
    <t>CF1065-D12-C</t>
  </si>
  <si>
    <t>CF445-D2-C</t>
  </si>
  <si>
    <t>CF567-D2-C</t>
  </si>
  <si>
    <t>CF1056-D12-C</t>
  </si>
  <si>
    <t>CSES 1084</t>
  </si>
  <si>
    <t>CSES 1090</t>
  </si>
  <si>
    <t>CF899-D2-C</t>
  </si>
  <si>
    <t>CF376-D2-D</t>
  </si>
  <si>
    <t>CF103-D1-C</t>
  </si>
  <si>
    <t>CF116-D2-D</t>
  </si>
  <si>
    <t>CF1180-D2-D</t>
  </si>
  <si>
    <t>CF216-D2-C</t>
  </si>
  <si>
    <t>CF240-D1-D</t>
  </si>
  <si>
    <t>CF545-D2-D</t>
  </si>
  <si>
    <t>CF81-D12-D</t>
  </si>
  <si>
    <t>CF920-D2-C</t>
  </si>
  <si>
    <t>CF980-D2-C</t>
  </si>
  <si>
    <t>SRM481-D2-1000</t>
  </si>
  <si>
    <t>SRM518-D1-500</t>
  </si>
  <si>
    <t>SRM566-D2-500</t>
  </si>
  <si>
    <t>CF754-D2-C</t>
  </si>
  <si>
    <t>UVA 11452</t>
  </si>
  <si>
    <t>CF909-D2-E</t>
  </si>
  <si>
    <t>CF370-D2-C</t>
  </si>
  <si>
    <t>CF401-D2-C</t>
  </si>
  <si>
    <t>UVA 1623</t>
  </si>
  <si>
    <t>CF59-D2-D</t>
  </si>
  <si>
    <t>CF166-D2-C</t>
  </si>
  <si>
    <t>CF515-D2-C</t>
  </si>
  <si>
    <t>CF835-D2-C</t>
  </si>
  <si>
    <t>SRM499-D2-1000</t>
  </si>
  <si>
    <t>SRM348-D1-500</t>
  </si>
  <si>
    <t>CF137-D2-C</t>
  </si>
  <si>
    <t>CF432-D2-C</t>
  </si>
  <si>
    <t>CF492-D2-C</t>
  </si>
  <si>
    <t>ZOJ 1171</t>
  </si>
  <si>
    <t>SRM414-D1-500</t>
  </si>
  <si>
    <t>CF1104-D2-C</t>
  </si>
  <si>
    <t>CF416-D2-C</t>
  </si>
  <si>
    <t>CF979-D2-B</t>
  </si>
  <si>
    <t>SPOJ CHOCOLA</t>
  </si>
  <si>
    <t>CF234-D2-G</t>
  </si>
  <si>
    <t>CF1102-D3-E</t>
  </si>
  <si>
    <t>CF597-D12-B</t>
  </si>
  <si>
    <t>CF637-D12-B</t>
  </si>
  <si>
    <t>CF51-D12-C</t>
  </si>
  <si>
    <t>CF847-D12-K</t>
  </si>
  <si>
    <t>SRM507-D2-500</t>
  </si>
  <si>
    <t>UVA 12694</t>
  </si>
  <si>
    <t>SPOJ INS14K</t>
  </si>
  <si>
    <t>SRM556-D2-1000</t>
  </si>
  <si>
    <t>CF140-D12-C</t>
  </si>
  <si>
    <t>CF265-D2-C</t>
  </si>
  <si>
    <t>CF350-D2-C</t>
  </si>
  <si>
    <t>CF363-D2-C</t>
  </si>
  <si>
    <t>CF659-D2-C</t>
  </si>
  <si>
    <t>CF112-D2-C</t>
  </si>
  <si>
    <t>SRM498-D2-1000</t>
  </si>
  <si>
    <t>CF203-D2-C</t>
  </si>
  <si>
    <t>SRM163-D1-500</t>
  </si>
  <si>
    <t>ZOJ 1966</t>
  </si>
  <si>
    <t>AtCoder001-AGC-A</t>
  </si>
  <si>
    <t>AtCoder005-AGC-E</t>
  </si>
  <si>
    <t>AtCoder002-AGC-E</t>
  </si>
  <si>
    <t>CF154-D1-D</t>
  </si>
  <si>
    <t>SRM338-D1-1000</t>
  </si>
  <si>
    <t>SPOJ NUMGAME</t>
  </si>
  <si>
    <t>CF794-D12-E</t>
  </si>
  <si>
    <t>SRM423-D1-500</t>
  </si>
  <si>
    <t>UVA 1489</t>
  </si>
  <si>
    <t>AtCoder010-AGC-D</t>
  </si>
  <si>
    <t>SPOJ GAME2</t>
  </si>
  <si>
    <t>HACKR the-white-lotus-and-caterpillar-game</t>
  </si>
  <si>
    <t>CF919-D2-F</t>
  </si>
  <si>
    <t>CF181-D2-E</t>
  </si>
  <si>
    <t>AtCoder064-ARC-D</t>
  </si>
  <si>
    <t>CF101808-GYM-I</t>
  </si>
  <si>
    <t>CF549-D12-C</t>
  </si>
  <si>
    <t>CF136-D2-E</t>
  </si>
  <si>
    <t>CF279-D2-E</t>
  </si>
  <si>
    <t>CF1147-D1-C</t>
  </si>
  <si>
    <t>TIMUS 1051</t>
  </si>
  <si>
    <t>CF120-D12-E</t>
  </si>
  <si>
    <t>CODECHEF RANDGAME</t>
  </si>
  <si>
    <t>CF936-D1-B</t>
  </si>
  <si>
    <t>SPOJ PEBBMOV</t>
  </si>
  <si>
    <t>CSA63-D</t>
  </si>
  <si>
    <t>CF594-D1-A</t>
  </si>
  <si>
    <t>SPOJ GAME3</t>
  </si>
  <si>
    <t>SPOJ EALP1</t>
  </si>
  <si>
    <t>SPOJ CHGROOM</t>
  </si>
  <si>
    <t>CF1191-D2-D</t>
  </si>
  <si>
    <t>CF36-D12-D</t>
  </si>
  <si>
    <t>UVA 12917</t>
  </si>
  <si>
    <t>SRM598-D2-1000</t>
  </si>
  <si>
    <t>SRM271-D1-500</t>
  </si>
  <si>
    <t>CF100090-gym-H</t>
  </si>
  <si>
    <t>CF101979-GYM-A</t>
  </si>
  <si>
    <t>CF151-D2-C</t>
  </si>
  <si>
    <t>CF347-D2-C</t>
  </si>
  <si>
    <t>CF101489-GYM-I</t>
  </si>
  <si>
    <t>CF100500-GYM-A</t>
  </si>
  <si>
    <t>CF78-D2-C</t>
  </si>
  <si>
    <t>UVA 10368</t>
  </si>
  <si>
    <t>CF914-D2-B</t>
  </si>
  <si>
    <t>CODECHEF NUMGAME</t>
  </si>
  <si>
    <t>CODECHEF NUMGAME2</t>
  </si>
  <si>
    <t>SPOJ IITKWPCN</t>
  </si>
  <si>
    <t>TIMUS 1023</t>
  </si>
  <si>
    <t>UVA 11489</t>
  </si>
  <si>
    <t>CF55-D12-C</t>
  </si>
  <si>
    <t>TIMUS 1639</t>
  </si>
  <si>
    <t>IPSC10-K</t>
  </si>
  <si>
    <t>SPOJ TEAMNIM</t>
  </si>
  <si>
    <t>SRM710-D1-500</t>
  </si>
  <si>
    <t>SPOJ ADAXMAS</t>
  </si>
  <si>
    <t>SRM309-D1-1000</t>
  </si>
  <si>
    <t>CF142-D1-D</t>
  </si>
  <si>
    <t>SRM396-D1-1000</t>
  </si>
  <si>
    <t>HACKR MOVE-THE-COINS</t>
  </si>
  <si>
    <t>PKU 1704</t>
  </si>
  <si>
    <t>CODECHEF ABGAME</t>
  </si>
  <si>
    <t>CODECHEF QCJ6</t>
  </si>
  <si>
    <t>SRM558-D2-1000</t>
  </si>
  <si>
    <t>SPOJ MMMGAME</t>
  </si>
  <si>
    <t>UVA 11892</t>
  </si>
  <si>
    <t>SPOJ HUBULLU</t>
  </si>
  <si>
    <t>UVA 10165</t>
  </si>
  <si>
    <t>PKU 2975</t>
  </si>
  <si>
    <t>CF102394-gym-G</t>
  </si>
  <si>
    <t>CODECHEF KNIGHT01</t>
  </si>
  <si>
    <t>CODECHEF G3</t>
  </si>
  <si>
    <t>CODECHEF GTH</t>
  </si>
  <si>
    <t>CODECHEF WPLAY</t>
  </si>
  <si>
    <t>SRM384-D1-1000</t>
  </si>
  <si>
    <t>CODECHEF ASTRGAME</t>
  </si>
  <si>
    <t>CODECHEF BIGPIZA</t>
  </si>
  <si>
    <t>CODECHEF CHEFBRO</t>
  </si>
  <si>
    <t>CODECHEF TUZGMBR</t>
  </si>
  <si>
    <t>COJ 1822</t>
  </si>
  <si>
    <t>CF1037-D12-G</t>
  </si>
  <si>
    <t>Atcoder087-ARC-C</t>
  </si>
  <si>
    <t>SRM561-D1-500</t>
  </si>
  <si>
    <t>AtCoder043-AGC-C</t>
  </si>
  <si>
    <t>CF101908-GYM-B</t>
  </si>
  <si>
    <t>CODECHEF GHVSSI</t>
  </si>
  <si>
    <t>AtCoder017-AGC-D</t>
  </si>
  <si>
    <t>CF305-D2-E</t>
  </si>
  <si>
    <t>UVA 1378</t>
  </si>
  <si>
    <t>UVA 11840</t>
  </si>
  <si>
    <t>SRM389-D1-1000</t>
  </si>
  <si>
    <t>CODEJAM 19-R1C-C</t>
  </si>
  <si>
    <t>CF851-D2-E</t>
  </si>
  <si>
    <t>CF256-D1-C</t>
  </si>
  <si>
    <t>CF604-D2-E</t>
  </si>
  <si>
    <t>CF87-D1-C</t>
  </si>
  <si>
    <t>TIMUS 1540</t>
  </si>
  <si>
    <t>CF102058-GYM-F</t>
  </si>
  <si>
    <t>SPOJ TRIOMINO</t>
  </si>
  <si>
    <t>CODECHEF ADAPWNS</t>
  </si>
  <si>
    <t>HACKR digits-square-board-1</t>
  </si>
  <si>
    <t>CF88-D2-E</t>
  </si>
  <si>
    <t>CF15-D12-C</t>
  </si>
  <si>
    <t>UVA 11927</t>
  </si>
  <si>
    <t>CODECHEF PSHTBRTH</t>
  </si>
  <si>
    <t>HACKER prime-game-1</t>
  </si>
  <si>
    <t>UVA 11859</t>
  </si>
  <si>
    <t>PKU 2311</t>
  </si>
  <si>
    <t>CF768-D12-E</t>
  </si>
  <si>
    <t>UVA 1482</t>
  </si>
  <si>
    <t>SPOJ SYNC13C</t>
  </si>
  <si>
    <t>SPOJ QCJ3</t>
  </si>
  <si>
    <t>CF100500-GYM-E</t>
  </si>
  <si>
    <t>CODECHEF LAMQUGAM</t>
  </si>
  <si>
    <t>CF100379-GYM-G</t>
  </si>
  <si>
    <t>CF282-D2-D</t>
  </si>
  <si>
    <t>HDU 2177</t>
  </si>
  <si>
    <t>CF98-D1-C</t>
  </si>
  <si>
    <t>HACKR hard-homework</t>
  </si>
  <si>
    <t>HACKR n-letter</t>
  </si>
  <si>
    <t>LIVEARCHIVE 7581</t>
  </si>
  <si>
    <t>CODECHEF RUBBER</t>
  </si>
  <si>
    <t>UVA 11784</t>
  </si>
  <si>
    <t>LIVEARCHIVE 5223</t>
  </si>
  <si>
    <t>LIVEARCHIVE 4790</t>
  </si>
  <si>
    <t>HACKR count-triangles</t>
  </si>
  <si>
    <t>CF420-D1-E</t>
  </si>
  <si>
    <t>CF213-D1-D</t>
  </si>
  <si>
    <t>UVA 12603</t>
  </si>
  <si>
    <t>LIVEARCHIVE 6775</t>
  </si>
  <si>
    <t>CF46-D12-G</t>
  </si>
  <si>
    <t>CF67-D12-E</t>
  </si>
  <si>
    <t>CF82-D12-E</t>
  </si>
  <si>
    <t>CF30-D12-D</t>
  </si>
  <si>
    <t>CF1071-D1-E</t>
  </si>
  <si>
    <t>CF55-D12-E</t>
  </si>
  <si>
    <t>CF13-D12-D</t>
  </si>
  <si>
    <t>CF62-D12-C</t>
  </si>
  <si>
    <t>UVA 10206</t>
  </si>
  <si>
    <t>UVA 922</t>
  </si>
  <si>
    <t>UVA 11277</t>
  </si>
  <si>
    <t>UVA 11373</t>
  </si>
  <si>
    <t>UVA 11562</t>
  </si>
  <si>
    <t>SRM414-D2-1000</t>
  </si>
  <si>
    <t>LIVEARCHIVE 7579</t>
  </si>
  <si>
    <t>UVA 883</t>
  </si>
  <si>
    <t>UVA 10864</t>
  </si>
  <si>
    <t>UVA 12945</t>
  </si>
  <si>
    <t>UVA 11529</t>
  </si>
  <si>
    <t>UVA 13213</t>
  </si>
  <si>
    <t>CF559-D1-D</t>
  </si>
  <si>
    <t>SRM585-D2-1000</t>
  </si>
  <si>
    <t>UVA 11880</t>
  </si>
  <si>
    <t>UVA 12483</t>
  </si>
  <si>
    <t>UVA 12535</t>
  </si>
  <si>
    <t>UVA 578</t>
  </si>
  <si>
    <t>CF100015-GYM-E</t>
  </si>
  <si>
    <t>UVA 12954</t>
  </si>
  <si>
    <t>UVA 10468</t>
  </si>
  <si>
    <t>UVA 10725</t>
  </si>
  <si>
    <t>UVA 11509</t>
  </si>
  <si>
    <t>SRM278-D1-500</t>
  </si>
  <si>
    <t>CF592-D2-E</t>
  </si>
  <si>
    <t>SRM332-D1-500</t>
  </si>
  <si>
    <t>HACKR isosceles-triangles</t>
  </si>
  <si>
    <t>UVA 12630</t>
  </si>
  <si>
    <t>UVA 316</t>
  </si>
  <si>
    <t>SRM217-D1-500</t>
  </si>
  <si>
    <t>UVA 10768</t>
  </si>
  <si>
    <t>UVA 10697</t>
  </si>
  <si>
    <t>UVA 11106</t>
  </si>
  <si>
    <t>UVA 11894</t>
  </si>
  <si>
    <t>LIVEARCHIVE 4276</t>
  </si>
  <si>
    <t>UVA 12123</t>
  </si>
  <si>
    <t>UVA 12301</t>
  </si>
  <si>
    <t>UVA 1510</t>
  </si>
  <si>
    <t>UVA 12404</t>
  </si>
  <si>
    <t>UVA 11123</t>
  </si>
  <si>
    <t>CF1159-D2-F</t>
  </si>
  <si>
    <t>SPOJ EQBOX</t>
  </si>
  <si>
    <t>CF667-D2-E</t>
  </si>
  <si>
    <t>UVA 10709</t>
  </si>
  <si>
    <t>UVA 11281</t>
  </si>
  <si>
    <t>UVA 11601</t>
  </si>
  <si>
    <t>UVA 12178</t>
  </si>
  <si>
    <t>UVA 1602</t>
  </si>
  <si>
    <t>UVA 609</t>
  </si>
  <si>
    <t>UVA 10517</t>
  </si>
  <si>
    <t>UVA 11186</t>
  </si>
  <si>
    <t>UVA 1447</t>
  </si>
  <si>
    <t>UVA 358</t>
  </si>
  <si>
    <t>UVA 10175</t>
  </si>
  <si>
    <t>UVA 10159</t>
  </si>
  <si>
    <t>SRM326-D1-500</t>
  </si>
  <si>
    <t>SRM433-D1-500</t>
  </si>
  <si>
    <t>SPOJ IITKWPCC</t>
  </si>
  <si>
    <t>CF76-D12-F</t>
  </si>
  <si>
    <t>UVA 10495</t>
  </si>
  <si>
    <t>UVA 10713</t>
  </si>
  <si>
    <t>UVA 11116</t>
  </si>
  <si>
    <t>UVA 415</t>
  </si>
  <si>
    <t>UVA 428</t>
  </si>
  <si>
    <t>UVA 11355</t>
  </si>
  <si>
    <t>UVA 10351</t>
  </si>
  <si>
    <t>SRM323-D1-500</t>
  </si>
  <si>
    <t>UVA 12115</t>
  </si>
  <si>
    <t>UVA 12395</t>
  </si>
  <si>
    <t>LIVEARCHIVE 3270</t>
  </si>
  <si>
    <t>LIVEARCHIVE 2377</t>
  </si>
  <si>
    <t>TIMUS 1451</t>
  </si>
  <si>
    <t>SRM432-D2-1000</t>
  </si>
  <si>
    <t>UVA 11178</t>
  </si>
  <si>
    <t>UVA 427</t>
  </si>
  <si>
    <t>CF281-D2-C</t>
  </si>
  <si>
    <t>AtCoder016-AGC-C</t>
  </si>
  <si>
    <t>CF1270-D12-E</t>
  </si>
  <si>
    <t>CF23-D12-D</t>
  </si>
  <si>
    <t>HACKER flying-square</t>
  </si>
  <si>
    <t>CF100935-GYM-I</t>
  </si>
  <si>
    <t>CF703-D2-C</t>
  </si>
  <si>
    <t>CF101726-gym-J</t>
  </si>
  <si>
    <t>LIVEARCHIVE 4043</t>
  </si>
  <si>
    <t>CF1074-D1-C</t>
  </si>
  <si>
    <t>SRM331-D1-1000</t>
  </si>
  <si>
    <t>TIMUS 1647</t>
  </si>
  <si>
    <t>UVA 1331</t>
  </si>
  <si>
    <t>SRM521-D2-1000</t>
  </si>
  <si>
    <t>CF600-D12-D</t>
  </si>
  <si>
    <t>UVA 11130</t>
  </si>
  <si>
    <t>UVA 1606</t>
  </si>
  <si>
    <t>CF346-D1-D</t>
  </si>
  <si>
    <t>UVA 1249</t>
  </si>
  <si>
    <t>UVA 12575</t>
  </si>
  <si>
    <t>LIVEARCHIVE 3273</t>
  </si>
  <si>
    <t>UVA 11314</t>
  </si>
  <si>
    <t>SPOJ TRICENTR</t>
  </si>
  <si>
    <t>UVA 11524</t>
  </si>
  <si>
    <t>UVA 10228</t>
  </si>
  <si>
    <t>UVA 11579</t>
  </si>
  <si>
    <t>SPOJ WRONG</t>
  </si>
  <si>
    <t>CF100112-GYM-E</t>
  </si>
  <si>
    <t>CF1064-D2-E</t>
  </si>
  <si>
    <t>AtCoder001-AGC-B</t>
  </si>
  <si>
    <t>CODECHEF MANRECT</t>
  </si>
  <si>
    <t>CF101917-D12-E</t>
  </si>
  <si>
    <t>CF100531-gym-H</t>
  </si>
  <si>
    <t>CF101177-GYM-D</t>
  </si>
  <si>
    <t>UVA 10210</t>
  </si>
  <si>
    <t>LIVEARCHIVE 2688</t>
  </si>
  <si>
    <t>CF1030-D12-D</t>
  </si>
  <si>
    <t>UVA 11909</t>
  </si>
  <si>
    <t>TIMUS 1084</t>
  </si>
  <si>
    <t>SPOJ BILLIARD</t>
  </si>
  <si>
    <t>CF101064-gym-A</t>
  </si>
  <si>
    <t>CF342-D2-C</t>
  </si>
  <si>
    <t>IFHLC19-C3-I</t>
  </si>
  <si>
    <t>CF552-D2-D</t>
  </si>
  <si>
    <t>CF101864-GYM-L</t>
  </si>
  <si>
    <t>CF97-D12-B</t>
  </si>
  <si>
    <t>CF1016-D2-E</t>
  </si>
  <si>
    <t>UVA 12957</t>
  </si>
  <si>
    <t>CF1058-D2-D</t>
  </si>
  <si>
    <t>UVA 10545</t>
  </si>
  <si>
    <t>UVA 10250</t>
  </si>
  <si>
    <t>UVA 11326</t>
  </si>
  <si>
    <t>UVA 1643</t>
  </si>
  <si>
    <t>CF101726-GYM-F</t>
  </si>
  <si>
    <t>UVA 10678</t>
  </si>
  <si>
    <t>CF598-D12-C</t>
  </si>
  <si>
    <t>SRM538-D1-500</t>
  </si>
  <si>
    <t>CF404-D2-B</t>
  </si>
  <si>
    <t>SRM621-D1-250</t>
  </si>
  <si>
    <t>SRM280-D1-500</t>
  </si>
  <si>
    <t>PKU 3251</t>
  </si>
  <si>
    <t>SPOJ KOLICA</t>
  </si>
  <si>
    <t>HACKR a-circle-and-a-square</t>
  </si>
  <si>
    <t>CF659-D2-D</t>
  </si>
  <si>
    <t>CF707-D2-C</t>
  </si>
  <si>
    <t>SPOJ PIR</t>
  </si>
  <si>
    <t>CF100531-GYM-J</t>
  </si>
  <si>
    <t>UVA 10927</t>
  </si>
  <si>
    <t>AtCoder151-ABC-F</t>
  </si>
  <si>
    <t>CF618-D12-C</t>
  </si>
  <si>
    <t>SRM493-D2-1000</t>
  </si>
  <si>
    <t>ZOJ 1041</t>
  </si>
  <si>
    <t>CF1100-D2-C</t>
  </si>
  <si>
    <t>CF560-D2-C</t>
  </si>
  <si>
    <t>HACKR xrange-and-pizza</t>
  </si>
  <si>
    <t>CF60-D12-C</t>
  </si>
  <si>
    <t>CF100495-GYM-K</t>
  </si>
  <si>
    <t>CF101435-GYM-B</t>
  </si>
  <si>
    <t>CF275-D2-C</t>
  </si>
  <si>
    <t>CF336-D2-B</t>
  </si>
  <si>
    <t>CF409-D1-B</t>
  </si>
  <si>
    <t>SPOJ DISTANCE</t>
  </si>
  <si>
    <t>SRM237-D1-250</t>
  </si>
  <si>
    <t>UVA 837</t>
  </si>
  <si>
    <t>UVA 815</t>
  </si>
  <si>
    <t>CF407-D1-A</t>
  </si>
  <si>
    <t>CF257-D2-C</t>
  </si>
  <si>
    <t>UVA 10991</t>
  </si>
  <si>
    <t>LIVEARCHIVE 7150</t>
  </si>
  <si>
    <t>UVA 11519</t>
  </si>
  <si>
    <t>CF14-D2-C</t>
  </si>
  <si>
    <t>CF590-D1-B</t>
  </si>
  <si>
    <t>UVA 10215</t>
  </si>
  <si>
    <t>CF651-D2-C</t>
  </si>
  <si>
    <t>UVA 10897</t>
  </si>
  <si>
    <t>UVA 10316</t>
  </si>
  <si>
    <t>UVA 697</t>
  </si>
  <si>
    <t>CF1096-D12-C</t>
  </si>
  <si>
    <t>ZOJ 3194</t>
  </si>
  <si>
    <t>CF1080-D2-C</t>
  </si>
  <si>
    <t>TIMUS 1235</t>
  </si>
  <si>
    <t>UVA 201</t>
  </si>
  <si>
    <t>UVA 143</t>
  </si>
  <si>
    <t>UVA 10734</t>
  </si>
  <si>
    <t>CF474-D2-C</t>
  </si>
  <si>
    <t>UVA 460</t>
  </si>
  <si>
    <t>UVA 634</t>
  </si>
  <si>
    <t>UVA 10466</t>
  </si>
  <si>
    <t>CF136-D2-D</t>
  </si>
  <si>
    <t>UVA 638</t>
  </si>
  <si>
    <t>HACKR hyperspace-travel</t>
  </si>
  <si>
    <t>CF101492-GYM-F</t>
  </si>
  <si>
    <t>CF135-D1-B</t>
  </si>
  <si>
    <t>CF498-D1-A</t>
  </si>
  <si>
    <t>CF559-D1-A</t>
  </si>
  <si>
    <t>SPOJ CISTFILL</t>
  </si>
  <si>
    <t>SRM431-D2-500</t>
  </si>
  <si>
    <t>TIMUS 1020</t>
  </si>
  <si>
    <t>TIMUS 1405</t>
  </si>
  <si>
    <t>TJU 3044</t>
  </si>
  <si>
    <t>UVA 10283</t>
  </si>
  <si>
    <t>UVA 476</t>
  </si>
  <si>
    <t>UVA 920</t>
  </si>
  <si>
    <t>CF617-D2-C</t>
  </si>
  <si>
    <t>CF908-D12-C</t>
  </si>
  <si>
    <t>CF667-D2-A</t>
  </si>
  <si>
    <t>UVA 142</t>
  </si>
  <si>
    <t>UVA 11639</t>
  </si>
  <si>
    <t>UVA 587</t>
  </si>
  <si>
    <t>HACKR baby-step-giant-step</t>
  </si>
  <si>
    <t>UVA 10242</t>
  </si>
  <si>
    <t>UVA 11207</t>
  </si>
  <si>
    <t>UVA 11345</t>
  </si>
  <si>
    <t>UVA 10865</t>
  </si>
  <si>
    <t>SRM237-D2-500</t>
  </si>
  <si>
    <t>UVA 10221</t>
  </si>
  <si>
    <t>UVA 10574</t>
  </si>
  <si>
    <t>HACKR polar-angles</t>
  </si>
  <si>
    <t>SRM668-D2-500</t>
  </si>
  <si>
    <t>CF706-D2-A</t>
  </si>
  <si>
    <t>UVA 10167</t>
  </si>
  <si>
    <t>SPOJ ANTTT</t>
  </si>
  <si>
    <t>ZOJ 1496</t>
  </si>
  <si>
    <t>HACKR points-on-rectangle</t>
  </si>
  <si>
    <t>CF593-D2-B</t>
  </si>
  <si>
    <t>CF671-D1-A</t>
  </si>
  <si>
    <t>LIVEARCHIVE 4120</t>
  </si>
  <si>
    <t>SRM346-D1-1000</t>
  </si>
  <si>
    <t>LIVEARCHIVE 2999</t>
  </si>
  <si>
    <t>CF442-D1-E</t>
  </si>
  <si>
    <t>UVA 313</t>
  </si>
  <si>
    <t>UVA 10969</t>
  </si>
  <si>
    <t>UVA 11681</t>
  </si>
  <si>
    <t>LIVEARCHIVE 4448</t>
  </si>
  <si>
    <t>UVA 10834</t>
  </si>
  <si>
    <t>ZOJ 2318</t>
  </si>
  <si>
    <t>SRM183-D1-500</t>
  </si>
  <si>
    <t>LIVEARCHIVE 6076</t>
  </si>
  <si>
    <t>UVA 12302</t>
  </si>
  <si>
    <t>UVA 11731</t>
  </si>
  <si>
    <t>UVA 11646</t>
  </si>
  <si>
    <t>UVA 12304</t>
  </si>
  <si>
    <t>UVA 10320</t>
  </si>
  <si>
    <t>UVA 10011</t>
  </si>
  <si>
    <t>CF2-D12-C</t>
  </si>
  <si>
    <t>CF101630-gym-A</t>
  </si>
  <si>
    <t>CF100200-GYM-C</t>
  </si>
  <si>
    <t>UVA 10792</t>
  </si>
  <si>
    <t>LIVEARCHIVE 3411</t>
  </si>
  <si>
    <t>UVA 10136</t>
  </si>
  <si>
    <t>HACKR house-location</t>
  </si>
  <si>
    <t>UVA 10577</t>
  </si>
  <si>
    <t>CF1059-D2-D</t>
  </si>
  <si>
    <t>UVA 10005</t>
  </si>
  <si>
    <t>CF102021-GYM-B</t>
  </si>
  <si>
    <t>SPOJ ALIENS</t>
  </si>
  <si>
    <t>UVA 10439</t>
  </si>
  <si>
    <t>TJU 1916</t>
  </si>
  <si>
    <t>SRM162-D1-500</t>
  </si>
  <si>
    <t>UVA 10823</t>
  </si>
  <si>
    <t>CF140-D12-A</t>
  </si>
  <si>
    <t>CF199-D2-B</t>
  </si>
  <si>
    <t>UVA 12240</t>
  </si>
  <si>
    <t>UVA 11515</t>
  </si>
  <si>
    <t>CF84-D2-C</t>
  </si>
  <si>
    <t>UVA 477</t>
  </si>
  <si>
    <t>HACKR circle-city</t>
  </si>
  <si>
    <t>UVA 10301</t>
  </si>
  <si>
    <t>UVA 356</t>
  </si>
  <si>
    <t>UVA 438</t>
  </si>
  <si>
    <t>HACKR sherlock-and-geometry</t>
  </si>
  <si>
    <t>UVA 12748</t>
  </si>
  <si>
    <t>LIVEARCHIVE 3269</t>
  </si>
  <si>
    <t>PKU 1070</t>
  </si>
  <si>
    <t>LIVEARCHIVE 6168</t>
  </si>
  <si>
    <t>LIVEARCHIVE 4113</t>
  </si>
  <si>
    <t>CF249-D1-A</t>
  </si>
  <si>
    <t>SRM394-D1-500</t>
  </si>
  <si>
    <t>LIVEARCHIVE 4124</t>
  </si>
  <si>
    <t>UVA 11836</t>
  </si>
  <si>
    <t>UVA 11016</t>
  </si>
  <si>
    <t>UVA 149</t>
  </si>
  <si>
    <t>UVA 527</t>
  </si>
  <si>
    <t>SRM545-D1-500</t>
  </si>
  <si>
    <t>LIVEARCHIVE 3928</t>
  </si>
  <si>
    <t>CF101606-GYM-L</t>
  </si>
  <si>
    <t>UVA 10674</t>
  </si>
  <si>
    <t>UVA 432</t>
  </si>
  <si>
    <t>UVA 10744</t>
  </si>
  <si>
    <t>SRM313-D1-1000</t>
  </si>
  <si>
    <t>SRM355-D1-500</t>
  </si>
  <si>
    <t>UVA 754</t>
  </si>
  <si>
    <t>SPOJ WIJGT</t>
  </si>
  <si>
    <t>UVA 11796</t>
  </si>
  <si>
    <t>SRM244-D1-500</t>
  </si>
  <si>
    <t>CSA33-D</t>
  </si>
  <si>
    <t>CF248-D2-C</t>
  </si>
  <si>
    <t>UVA 12173</t>
  </si>
  <si>
    <t>SRM528-D2-1000</t>
  </si>
  <si>
    <t>CF100112-GYM-G</t>
  </si>
  <si>
    <t>CF961-D12-D</t>
  </si>
  <si>
    <t>UVA 11437</t>
  </si>
  <si>
    <t>SPOJ GEOM</t>
  </si>
  <si>
    <t>UVA 866</t>
  </si>
  <si>
    <t>UVA 737</t>
  </si>
  <si>
    <t>UVA 833</t>
  </si>
  <si>
    <t>HACKR stars</t>
  </si>
  <si>
    <t>UVA 10790</t>
  </si>
  <si>
    <t>UVA 10961</t>
  </si>
  <si>
    <t>LIVEARCHIVE 3000</t>
  </si>
  <si>
    <t>UVA 378</t>
  </si>
  <si>
    <t>UVA 10902</t>
  </si>
  <si>
    <t>LIVEARCHIVE 3381</t>
  </si>
  <si>
    <t>UVA 11783</t>
  </si>
  <si>
    <t>UVA 10263</t>
  </si>
  <si>
    <t>UVA 270</t>
  </si>
  <si>
    <t>UVA 11473</t>
  </si>
  <si>
    <t>UVA 273</t>
  </si>
  <si>
    <t>HACKR jim-beam</t>
  </si>
  <si>
    <t>ZOJ 1560</t>
  </si>
  <si>
    <t>SPOJ SICRANO</t>
  </si>
  <si>
    <t>UVA 10357</t>
  </si>
  <si>
    <t>CF617-D2-D</t>
  </si>
  <si>
    <t>UVA 191</t>
  </si>
  <si>
    <t>UVA 11343</t>
  </si>
  <si>
    <t>TJU 1567</t>
  </si>
  <si>
    <t>SRM674-D2-500</t>
  </si>
  <si>
    <t>LIVEARCHIVE 3275</t>
  </si>
  <si>
    <t>LIVEARCHIVE 6399</t>
  </si>
  <si>
    <t>LIVEARCHIVE 5134</t>
  </si>
  <si>
    <t>LIVEARCHIVE 6781</t>
  </si>
  <si>
    <t>UVA 11460</t>
  </si>
  <si>
    <t>LIVEARCHIVE 7151</t>
  </si>
  <si>
    <t>HACKR polygons</t>
  </si>
  <si>
    <t>SRM300-D1-1000</t>
  </si>
  <si>
    <t>LIVEARCHIVE 2397</t>
  </si>
  <si>
    <t>UVA 10335</t>
  </si>
  <si>
    <t>UVA 11177</t>
  </si>
  <si>
    <t>UVA 11759</t>
  </si>
  <si>
    <t>UVA 13009</t>
  </si>
  <si>
    <t>SRM566-D2-1000</t>
  </si>
  <si>
    <t>UVA 1340</t>
  </si>
  <si>
    <t>UVA 132</t>
  </si>
  <si>
    <t>HACKR good-point</t>
  </si>
  <si>
    <t>LIVEARCHIVE 4589</t>
  </si>
  <si>
    <t>LIVEARCHIVE 6772</t>
  </si>
  <si>
    <t>LIVEARCHIVE 2479</t>
  </si>
  <si>
    <t>CODECHEF BALANPOL</t>
  </si>
  <si>
    <t>LIVEARCHIVE 8039</t>
  </si>
  <si>
    <t>UVA 11030</t>
  </si>
  <si>
    <t>UVA 10907</t>
  </si>
  <si>
    <t>LIVEARCHIVE 6402</t>
  </si>
  <si>
    <t>SRM360-D1-1000</t>
  </si>
  <si>
    <t>UVA 11447</t>
  </si>
  <si>
    <t>LIVEARCHIVE 5138</t>
  </si>
  <si>
    <t>UVA 225</t>
  </si>
  <si>
    <t>UVA 10575</t>
  </si>
  <si>
    <t>CF278-D2-D</t>
  </si>
  <si>
    <t>UVA 10406</t>
  </si>
  <si>
    <t>CF975-D2-E</t>
  </si>
  <si>
    <t>UVA 10256</t>
  </si>
  <si>
    <t>UVA 10348</t>
  </si>
  <si>
    <t>CF1075-D2-E</t>
  </si>
  <si>
    <t>CF101142-GYM-I</t>
  </si>
  <si>
    <t>CF166-D2-B</t>
  </si>
  <si>
    <t>PKU 3449</t>
  </si>
  <si>
    <t>SRM235-D1-500</t>
  </si>
  <si>
    <t>CSA34-E</t>
  </si>
  <si>
    <t>UVA 137</t>
  </si>
  <si>
    <t>SRM739-D2-1000</t>
  </si>
  <si>
    <t>CF1017-D12-E</t>
  </si>
  <si>
    <t>CF340-D2-B</t>
  </si>
  <si>
    <t>CF801-D2-D</t>
  </si>
  <si>
    <t>UVA 659</t>
  </si>
  <si>
    <t>UVA 10585</t>
  </si>
  <si>
    <t>LIVEARCHIVE 5108</t>
  </si>
  <si>
    <t>UVA 12300</t>
  </si>
  <si>
    <t>ZOJ 2157</t>
  </si>
  <si>
    <t>CF408-D2-C</t>
  </si>
  <si>
    <t>CF1-D12-C</t>
  </si>
  <si>
    <t>UVA 1396</t>
  </si>
  <si>
    <t>LIVEARCHIVE 3112</t>
  </si>
  <si>
    <t>SPOJ BAC</t>
  </si>
  <si>
    <t>UVA 10445</t>
  </si>
  <si>
    <t>UVA 11072</t>
  </si>
  <si>
    <t>PKU 1279</t>
  </si>
  <si>
    <t>UVA 11265</t>
  </si>
  <si>
    <t>UVA 10117</t>
  </si>
  <si>
    <t>UVA 588</t>
  </si>
  <si>
    <t>TJU 1537</t>
  </si>
  <si>
    <t>UVA 10321</t>
  </si>
  <si>
    <t>UVA 10084</t>
  </si>
  <si>
    <t>SPOJ RUNAWAY</t>
  </si>
  <si>
    <t>HACKR elastic-rope</t>
  </si>
  <si>
    <t>HACKR best-sum</t>
  </si>
  <si>
    <t>CF101982-gym-M</t>
  </si>
  <si>
    <t>LIVEARCHIVE 5219</t>
  </si>
  <si>
    <t>SRM173-D1-1000</t>
  </si>
  <si>
    <t>UVA 675</t>
  </si>
  <si>
    <t>UVA 11919</t>
  </si>
  <si>
    <t>UVA 12307</t>
  </si>
  <si>
    <t>CF70-D12-D</t>
  </si>
  <si>
    <t>SPOJ GCPC11G</t>
  </si>
  <si>
    <t>CF682-D2-E</t>
  </si>
  <si>
    <t>CF536-D1-C</t>
  </si>
  <si>
    <t>SPOJ AXIS</t>
  </si>
  <si>
    <t>UVA 596</t>
  </si>
  <si>
    <t>LIVEARCHIVE 4450</t>
  </si>
  <si>
    <t>UVA 10173</t>
  </si>
  <si>
    <t>UVA 12901</t>
  </si>
  <si>
    <t>SPOJ SPOINTS</t>
  </si>
  <si>
    <t>UVA 11122</t>
  </si>
  <si>
    <t>CF1143-D2-F</t>
  </si>
  <si>
    <t>SRM250-D1-1000</t>
  </si>
  <si>
    <t>UVA 10135</t>
  </si>
  <si>
    <t>SPOJ TFOSS</t>
  </si>
  <si>
    <t>UVA 312</t>
  </si>
  <si>
    <t>CODECHEF ADADET</t>
  </si>
  <si>
    <t>UVA 12048</t>
  </si>
  <si>
    <t>UVA 10652</t>
  </si>
  <si>
    <t>SPOJ VMILI</t>
  </si>
  <si>
    <t>UVA 109</t>
  </si>
  <si>
    <t>CF101484-GYM-E</t>
  </si>
  <si>
    <t>SPOJ DOORSPEN</t>
  </si>
  <si>
    <t>TIMUS 1185</t>
  </si>
  <si>
    <t>UVA 11168</t>
  </si>
  <si>
    <t>UVA 361</t>
  </si>
  <si>
    <t>SRM365-D2-1000</t>
  </si>
  <si>
    <t>UVA 681</t>
  </si>
  <si>
    <t>UVA 811</t>
  </si>
  <si>
    <t>LIVEARCHIVE 4558</t>
  </si>
  <si>
    <t>UVA 11626</t>
  </si>
  <si>
    <t>SPOJ BSHEEP</t>
  </si>
  <si>
    <t>UVA 10002</t>
  </si>
  <si>
    <t>LIVEARCHIVE 2395</t>
  </si>
  <si>
    <t>HACKR polygon</t>
  </si>
  <si>
    <t>LIVEARCHIVE 4884</t>
  </si>
  <si>
    <t>USACO FENCE9</t>
  </si>
  <si>
    <t>UVA 10088</t>
  </si>
  <si>
    <t>UVA 1641</t>
  </si>
  <si>
    <t>TJU 1011</t>
  </si>
  <si>
    <t>LIVEARCHIVE 2482</t>
  </si>
  <si>
    <t>LIVEARCHIVE 3809</t>
  </si>
  <si>
    <t>LIVEARCHIVE 4125</t>
  </si>
  <si>
    <t>LIVEARCHIVE 2725</t>
  </si>
  <si>
    <t>SPOJ VCIRCLES</t>
  </si>
  <si>
    <t>UVA 1308</t>
  </si>
  <si>
    <t>LIVEARCHIVE 3905</t>
  </si>
  <si>
    <t>LIVEARCHIVE 8050</t>
  </si>
  <si>
    <t>LIVEARCHIVE 6034</t>
  </si>
  <si>
    <t>CF35-D2-E</t>
  </si>
  <si>
    <t>TC(CORNERSDECODING)</t>
  </si>
  <si>
    <t>LIVEARCHIVE 8042</t>
  </si>
  <si>
    <t>LIVEARCHIVE 5136</t>
  </si>
  <si>
    <t>CF685-D1-D</t>
  </si>
  <si>
    <t>LIVEARCHIVE 4127</t>
  </si>
  <si>
    <t>SPOJ RAIN1</t>
  </si>
  <si>
    <t>UVA 10043</t>
  </si>
  <si>
    <t>SPOJ CERC07C</t>
  </si>
  <si>
    <t>UVA 12226</t>
  </si>
  <si>
    <t>CF845-D12-E</t>
  </si>
  <si>
    <t>UVA 303</t>
  </si>
  <si>
    <t>LIVEARCHIVE 5795</t>
  </si>
  <si>
    <t>UVA 10613</t>
  </si>
  <si>
    <t>UVA 1468</t>
  </si>
  <si>
    <t>UVA 11704</t>
  </si>
  <si>
    <t>CSA67-D</t>
  </si>
  <si>
    <t>LIVEARCHIVE 6348</t>
  </si>
  <si>
    <t>SPOJ WILD</t>
  </si>
  <si>
    <t>CF1284-D12-D</t>
  </si>
  <si>
    <t>Livearchive 3525</t>
  </si>
  <si>
    <t>SPOJ SHORTCUT</t>
  </si>
  <si>
    <t>SRM322-D1-1000</t>
  </si>
  <si>
    <t>SPOJ WIRELESS</t>
  </si>
  <si>
    <t>CF101147-GYM-I</t>
  </si>
  <si>
    <t>CF1278-D12-D</t>
  </si>
  <si>
    <t>CF1046-D12-A</t>
  </si>
  <si>
    <t>CF496-D2-E</t>
  </si>
  <si>
    <t>UVA 10483</t>
  </si>
  <si>
    <t>SRM206-D1-500</t>
  </si>
  <si>
    <t>TIMUS 1469</t>
  </si>
  <si>
    <t>CF100622-GYM-C</t>
  </si>
  <si>
    <t>ZOJ 2694</t>
  </si>
  <si>
    <t>SPOJ RIGHTTRI</t>
  </si>
  <si>
    <t>PKU 1177</t>
  </si>
  <si>
    <t>SPOJ CEPC08B</t>
  </si>
  <si>
    <t>CF1000-D12-C</t>
  </si>
  <si>
    <t>SPOJ NKMARS</t>
  </si>
  <si>
    <t>UVA 11378</t>
  </si>
  <si>
    <t>HACKR cloudy-day</t>
  </si>
  <si>
    <t>UVA 10750</t>
  </si>
  <si>
    <t>CF845-D12-C</t>
  </si>
  <si>
    <t>UVA 105</t>
  </si>
  <si>
    <t>LIVEARCHIVE 6035</t>
  </si>
  <si>
    <t>LIVEARCHIVE 4447</t>
  </si>
  <si>
    <t>SRM401-D1-500</t>
  </si>
  <si>
    <t>SRM333-D1-1000</t>
  </si>
  <si>
    <t>CF89-D1-D</t>
  </si>
  <si>
    <t>LIVEARCHIVE 4795</t>
  </si>
  <si>
    <t>LIVEARCHIVE 2995</t>
  </si>
  <si>
    <t>UVA 11769</t>
  </si>
  <si>
    <t>Timus 1075</t>
  </si>
  <si>
    <t>UVA 11275</t>
  </si>
  <si>
    <t>LIVEARCHIVE 7153</t>
  </si>
  <si>
    <t>LIVEARCHIVE 4792</t>
  </si>
  <si>
    <t>UVA 13011</t>
  </si>
  <si>
    <t>UVA 10425</t>
  </si>
  <si>
    <t>UVA 1473</t>
  </si>
  <si>
    <t>ZOJ 2369</t>
  </si>
  <si>
    <t>LIVEARCHIVE 2474</t>
  </si>
  <si>
    <t>UVA 11232</t>
  </si>
  <si>
    <t>CF203-D2-D</t>
  </si>
  <si>
    <t>CF65-D12-C</t>
  </si>
  <si>
    <t>CF1237-D12-C2</t>
  </si>
  <si>
    <t>LIVEARCHIVE 2233</t>
  </si>
  <si>
    <t>SPOJ BLCONE</t>
  </si>
  <si>
    <t>UVA 10297</t>
  </si>
  <si>
    <t>UVA 11817</t>
  </si>
  <si>
    <t>HACKR spheres</t>
  </si>
  <si>
    <t>LIVEARCHIVE 2235</t>
  </si>
  <si>
    <t>SRM184-D1-1000</t>
  </si>
  <si>
    <t>CF528-D1-C</t>
  </si>
  <si>
    <t>AtCoder001-AGC-F</t>
  </si>
  <si>
    <t>CF995-D1-E</t>
  </si>
  <si>
    <t>CF641-D12-G</t>
  </si>
  <si>
    <t>CSA21-H</t>
  </si>
  <si>
    <t>CF724-D12-G</t>
  </si>
  <si>
    <t>CF101968-gym-E</t>
  </si>
  <si>
    <t>AtCoder010-AGC-E</t>
  </si>
  <si>
    <t>SPOJ QTREE4</t>
  </si>
  <si>
    <t>AtCoder004-AGC-F</t>
  </si>
  <si>
    <t>CF297-D1-D</t>
  </si>
  <si>
    <t>CF1218-D12-H</t>
  </si>
  <si>
    <t>CF1129-D1-E</t>
  </si>
  <si>
    <t>AtCoder008-AGC-E</t>
  </si>
  <si>
    <t>CF101669-GYM-L</t>
  </si>
  <si>
    <t>SRM571-D1-500</t>
  </si>
  <si>
    <t>CF100513-gym-L</t>
  </si>
  <si>
    <t>CODECHEF GRAPHCNT</t>
  </si>
  <si>
    <t>CF101726-GYM-A</t>
  </si>
  <si>
    <t>SRM303-D1-1000</t>
  </si>
  <si>
    <t>CF79-D12-D</t>
  </si>
  <si>
    <t>CODEJAM 18-R3-B</t>
  </si>
  <si>
    <t>CF1104-D2-E</t>
  </si>
  <si>
    <t>SRM530-D2-1000</t>
  </si>
  <si>
    <t>SRM559-D2-1000</t>
  </si>
  <si>
    <t>UVA 10863</t>
  </si>
  <si>
    <t>AtCoder103-ARC-F</t>
  </si>
  <si>
    <t>CODEJAM 18-R2-D</t>
  </si>
  <si>
    <t>CF748-D12-F</t>
  </si>
  <si>
    <t>CF879-D2-E</t>
  </si>
  <si>
    <t>CF1113-D2-E</t>
  </si>
  <si>
    <t>SRM530-D1-500</t>
  </si>
  <si>
    <t>CF1168-D1-D</t>
  </si>
  <si>
    <t>UVA 12786</t>
  </si>
  <si>
    <t>SPOJ MENMARS</t>
  </si>
  <si>
    <t>SRM365-D1-1000</t>
  </si>
  <si>
    <t>SRM358-D1-1000</t>
  </si>
  <si>
    <t>AtCoder016-AGC-D</t>
  </si>
  <si>
    <t>CF405-D2-E</t>
  </si>
  <si>
    <t>CF1209-D12-F</t>
  </si>
  <si>
    <t>CODECHEF CYCLECOL</t>
  </si>
  <si>
    <t>SRM364-D1-1000</t>
  </si>
  <si>
    <t>AtCoder025-AGC-D</t>
  </si>
  <si>
    <t>CF986-D1-C</t>
  </si>
  <si>
    <t>Livearchive 8257</t>
  </si>
  <si>
    <t>TIMUS 1040</t>
  </si>
  <si>
    <t>CF1098-D1-C</t>
  </si>
  <si>
    <t>CF538-D12-E</t>
  </si>
  <si>
    <t>CF1091-D12-E</t>
  </si>
  <si>
    <t>CF100729-GYM-D</t>
  </si>
  <si>
    <t>CF101939-gym-K</t>
  </si>
  <si>
    <t>SRM460-D2-1000</t>
  </si>
  <si>
    <t>CF782-D2-E</t>
  </si>
  <si>
    <t>CF742-D2-E</t>
  </si>
  <si>
    <t>AtCoder099-ARC-C</t>
  </si>
  <si>
    <t>CF1199-D2-E</t>
  </si>
  <si>
    <t>CF101484-GYM-H</t>
  </si>
  <si>
    <t>CF1243-D2-E</t>
  </si>
  <si>
    <t>SRM531-D1-500</t>
  </si>
  <si>
    <t>SRM587-D2-1000</t>
  </si>
  <si>
    <t>CODECHEF CHANGNUM</t>
  </si>
  <si>
    <t>CF100513-GYM-L</t>
  </si>
  <si>
    <t>SPOJ SPCE</t>
  </si>
  <si>
    <t>CF272-D2-E</t>
  </si>
  <si>
    <t>CF708-D1-C</t>
  </si>
  <si>
    <t>CF769-D12-C</t>
  </si>
  <si>
    <t>CF794-D12-D</t>
  </si>
  <si>
    <t>CF412-D12-D</t>
  </si>
  <si>
    <t>CF1092-D3-E</t>
  </si>
  <si>
    <t>CF960-D12-D</t>
  </si>
  <si>
    <t>CF746-D2-G</t>
  </si>
  <si>
    <t>CF402-D2-E</t>
  </si>
  <si>
    <t>CODECHEF F2NDMAX</t>
  </si>
  <si>
    <t>CF155-D2-E</t>
  </si>
  <si>
    <t>CF510-D2-E</t>
  </si>
  <si>
    <t>CF362-D2-D</t>
  </si>
  <si>
    <t>CF101142-GYM-C</t>
  </si>
  <si>
    <t>CF315-D2-D</t>
  </si>
  <si>
    <t>UVA 165</t>
  </si>
  <si>
    <t>LIVEARCHIVE 3278</t>
  </si>
  <si>
    <t>CF27-D2-D</t>
  </si>
  <si>
    <t>CF101490-GYM-E</t>
  </si>
  <si>
    <t>CF389-D2-D</t>
  </si>
  <si>
    <t>UVA 11202</t>
  </si>
  <si>
    <t>CF542-D1-C</t>
  </si>
  <si>
    <t>UVA 12118</t>
  </si>
  <si>
    <t>SRM398-D1-1000</t>
  </si>
  <si>
    <t>CF368-D2-E</t>
  </si>
  <si>
    <t>CF332-D2-D</t>
  </si>
  <si>
    <t>CF101615-GYM-G</t>
  </si>
  <si>
    <t>TJU 1526</t>
  </si>
  <si>
    <t>SRM405-D1-500</t>
  </si>
  <si>
    <t>CF101191-GYM-G</t>
  </si>
  <si>
    <t>CF275-D2-D</t>
  </si>
  <si>
    <t>AtCoder103-ARC-E</t>
  </si>
  <si>
    <t>CF1311-D3-E</t>
  </si>
  <si>
    <t>CF486-D2-D</t>
  </si>
  <si>
    <t>CF1041-D2-E</t>
  </si>
  <si>
    <t>CF1269-D2-D</t>
  </si>
  <si>
    <t>LiveArchive 7616</t>
  </si>
  <si>
    <t>CF233-D2-C</t>
  </si>
  <si>
    <t>CF154-D1-C</t>
  </si>
  <si>
    <t>CF797-D12-D</t>
  </si>
  <si>
    <t>FbHkrCup 18-R2-B</t>
  </si>
  <si>
    <t>CF664-D2-D</t>
  </si>
  <si>
    <t>SRM210-D1-500</t>
  </si>
  <si>
    <t>CF557-D2-D</t>
  </si>
  <si>
    <t>SRM452-D2-1000</t>
  </si>
  <si>
    <t>SPOJ TICKET</t>
  </si>
  <si>
    <t>AtCoder005-AGC-C</t>
  </si>
  <si>
    <t>CF1003-D3-E</t>
  </si>
  <si>
    <t>SRM396-D1-500</t>
  </si>
  <si>
    <t>CF125-D12-C</t>
  </si>
  <si>
    <t>CF550-D2-D</t>
  </si>
  <si>
    <t>CF1146-D12-D</t>
  </si>
  <si>
    <t>CF1060-D12-D</t>
  </si>
  <si>
    <t>CF102001-GYM-G</t>
  </si>
  <si>
    <t>AtCoder-Tenka118-D</t>
  </si>
  <si>
    <t>CF1082-D12-D</t>
  </si>
  <si>
    <t>CF1296-D3-F</t>
  </si>
  <si>
    <t>CF1189-D2-D2</t>
  </si>
  <si>
    <t>UVA 11550</t>
  </si>
  <si>
    <t>CF430-D2-C</t>
  </si>
  <si>
    <t>CF741-D1-C</t>
  </si>
  <si>
    <t>TJU 1077</t>
  </si>
  <si>
    <t>FbHkrCup 18-R2-A</t>
  </si>
  <si>
    <t>CF363-D2-D</t>
  </si>
  <si>
    <t>SRM583-D2-1000</t>
  </si>
  <si>
    <t>CF1277-D2-E</t>
  </si>
  <si>
    <t>SRM429-D2-1000</t>
  </si>
  <si>
    <t>SRM392-D1-500</t>
  </si>
  <si>
    <t>UVA 1264</t>
  </si>
  <si>
    <t>TJU 2798</t>
  </si>
  <si>
    <t>SRM256-D1-500</t>
  </si>
  <si>
    <t>CF764-D2-C</t>
  </si>
  <si>
    <t>CF902-D2-C</t>
  </si>
  <si>
    <t>CF102035-GYM-H</t>
  </si>
  <si>
    <t>CF1068-D2-C</t>
  </si>
  <si>
    <t>CF61-D2-D</t>
  </si>
  <si>
    <t>UVA 615</t>
  </si>
  <si>
    <t>CF106-D2-D</t>
  </si>
  <si>
    <t>CF246-D2-D</t>
  </si>
  <si>
    <t>CF586-D2-D</t>
  </si>
  <si>
    <t>CSA41-D</t>
  </si>
  <si>
    <t>SRM484-D2-1000</t>
  </si>
  <si>
    <t>UVA 656</t>
  </si>
  <si>
    <t>UVA 12132</t>
  </si>
  <si>
    <t>TIMUS 1069</t>
  </si>
  <si>
    <t>SRM195-D1-500</t>
  </si>
  <si>
    <t>CF839-D2-B</t>
  </si>
  <si>
    <t>SPOJ XYI</t>
  </si>
  <si>
    <t>SRM350-D2-1000</t>
  </si>
  <si>
    <t>UVA 10452</t>
  </si>
  <si>
    <t>UVA 11615</t>
  </si>
  <si>
    <t>UVA 11414</t>
  </si>
  <si>
    <t>UVA 122</t>
  </si>
  <si>
    <t>CF441-D2-C</t>
  </si>
  <si>
    <t>CF102394-gym-A</t>
  </si>
  <si>
    <t>CF1225-D12-F</t>
  </si>
  <si>
    <t>SPOJ SEGMENTS</t>
  </si>
  <si>
    <t>LIVEARCHIVE 3002</t>
  </si>
  <si>
    <t>LIVEARCHIVE 4885</t>
  </si>
  <si>
    <t>SPOJ SPRING</t>
  </si>
  <si>
    <t>PKU 3169</t>
  </si>
  <si>
    <t>LIVEARCHIVE 2438</t>
  </si>
  <si>
    <t>LIVEARCHIVE 4131</t>
  </si>
  <si>
    <t>UVA 11478</t>
  </si>
  <si>
    <t>UVA 11090</t>
  </si>
  <si>
    <t>CF101498-GYM-L</t>
  </si>
  <si>
    <t>SRM270-D1-500</t>
  </si>
  <si>
    <t>UVA 11721</t>
  </si>
  <si>
    <t>LIVEARCHIVE 4509</t>
  </si>
  <si>
    <t>CODECHEF AVGSHORT</t>
  </si>
  <si>
    <t>UVA 558</t>
  </si>
  <si>
    <t>UVA 515</t>
  </si>
  <si>
    <t>UVA 10557</t>
  </si>
  <si>
    <t>UVA 10449</t>
  </si>
  <si>
    <t>LIVEARCHIVE 2240</t>
  </si>
  <si>
    <t>SRM524-D1-500</t>
  </si>
  <si>
    <t>CF29-D2-E</t>
  </si>
  <si>
    <t>CF591-D2-E</t>
  </si>
  <si>
    <t>CF1031-D12-F</t>
  </si>
  <si>
    <t>CODECHEF BLOCKDRO</t>
  </si>
  <si>
    <t>SRM376-D1-1000</t>
  </si>
  <si>
    <t>LIVEARCHIVE 3807</t>
  </si>
  <si>
    <t>SRM422-D1-500</t>
  </si>
  <si>
    <t>UVA 11643</t>
  </si>
  <si>
    <t>CF716-D2-D</t>
  </si>
  <si>
    <t>SRM238-D1-500</t>
  </si>
  <si>
    <t>UVA 12858</t>
  </si>
  <si>
    <t>UVA 10770</t>
  </si>
  <si>
    <t>CF414-D1-D</t>
  </si>
  <si>
    <t>UVA 12274</t>
  </si>
  <si>
    <t>UVA 12860</t>
  </si>
  <si>
    <t>CF354-D1-D</t>
  </si>
  <si>
    <t>USACO LASERS</t>
  </si>
  <si>
    <t>UVA 715</t>
  </si>
  <si>
    <t>CF789-D2-E</t>
  </si>
  <si>
    <t>TIMUS 2034</t>
  </si>
  <si>
    <t>CF369-D2-D</t>
  </si>
  <si>
    <t>UVA 10748</t>
  </si>
  <si>
    <t>SRM425-D1-500</t>
  </si>
  <si>
    <t>CF651-D2-E</t>
  </si>
  <si>
    <t>UVA 12466</t>
  </si>
  <si>
    <t>CF1037-D12-E</t>
  </si>
  <si>
    <t>CF187-D1-C</t>
  </si>
  <si>
    <t>UVA 652</t>
  </si>
  <si>
    <t>UVA 521</t>
  </si>
  <si>
    <t>UVA 1604</t>
  </si>
  <si>
    <t>CF679-D1-C</t>
  </si>
  <si>
    <t>CF1262-D2-E</t>
  </si>
  <si>
    <t>UVA 10985</t>
  </si>
  <si>
    <t>CF269-D1-C</t>
  </si>
  <si>
    <t>SRM233-D1-500</t>
  </si>
  <si>
    <t>SRM729-D1-500</t>
  </si>
  <si>
    <t>UVA 10968</t>
  </si>
  <si>
    <t>UVA 12130</t>
  </si>
  <si>
    <t>CF359-D2-E</t>
  </si>
  <si>
    <t>LIVEARCHIVE 7155</t>
  </si>
  <si>
    <t>TIMUS 1314</t>
  </si>
  <si>
    <t>SRM374-D2-1000</t>
  </si>
  <si>
    <t>LIVEARCHIVE 3564</t>
  </si>
  <si>
    <t>CF225-D2-D</t>
  </si>
  <si>
    <t>UVA 10917</t>
  </si>
  <si>
    <t>CF525-D2-D</t>
  </si>
  <si>
    <t>UVA 775</t>
  </si>
  <si>
    <t>CF1065-D12-D</t>
  </si>
  <si>
    <t>CF59-D12-E</t>
  </si>
  <si>
    <t>CF821-D2-D</t>
  </si>
  <si>
    <t>UVA 11329</t>
  </si>
  <si>
    <t>CF1005-D3-F</t>
  </si>
  <si>
    <t>CF877-D2-D</t>
  </si>
  <si>
    <t>SPOJ MULTII</t>
  </si>
  <si>
    <t>CF1206-D2-D</t>
  </si>
  <si>
    <t>UVA 10937</t>
  </si>
  <si>
    <t>UVA 12544</t>
  </si>
  <si>
    <t>CF787-D2-C</t>
  </si>
  <si>
    <t>LIVEARCHIVE 2040</t>
  </si>
  <si>
    <t>SRM211-D1-500</t>
  </si>
  <si>
    <t>UVA 12160</t>
  </si>
  <si>
    <t>UVA 985</t>
  </si>
  <si>
    <t>UVA 11405</t>
  </si>
  <si>
    <t>UVA 11198</t>
  </si>
  <si>
    <t>SPOJ ADV04F1</t>
  </si>
  <si>
    <t>HACKER pasha-jumps-on-a-permutation</t>
  </si>
  <si>
    <t>SPOJ PUCMM223</t>
  </si>
  <si>
    <t>CF1105-D2-D</t>
  </si>
  <si>
    <t>CF811-D2-D</t>
  </si>
  <si>
    <t>SPOJ A_W_S_N</t>
  </si>
  <si>
    <t>UVA 10422</t>
  </si>
  <si>
    <t>CF253-D2-C</t>
  </si>
  <si>
    <t>CF131-D2-D</t>
  </si>
  <si>
    <t>CF786-D1-A</t>
  </si>
  <si>
    <t>SRM221-D1-500</t>
  </si>
  <si>
    <t>SRM487-D2-1000</t>
  </si>
  <si>
    <t>SRM222-D1-500</t>
  </si>
  <si>
    <t>SRM308-D1-500</t>
  </si>
  <si>
    <t>SRM374-D1-500</t>
  </si>
  <si>
    <t>SRM385-D1-500</t>
  </si>
  <si>
    <t>UVA 10682</t>
  </si>
  <si>
    <t>UVA 928</t>
  </si>
  <si>
    <t>SPOJ MLASERP</t>
  </si>
  <si>
    <t>SRM341-D1-500</t>
  </si>
  <si>
    <t>CF667-D2-D</t>
  </si>
  <si>
    <t>UVA 11974</t>
  </si>
  <si>
    <t>LIVEARCHIVE 5216</t>
  </si>
  <si>
    <t>UVA 10085</t>
  </si>
  <si>
    <t>CF954-D2-D</t>
  </si>
  <si>
    <t>SPOJ ANARC08A</t>
  </si>
  <si>
    <t>CF242-D2-C</t>
  </si>
  <si>
    <t>SPOJ CERC07K</t>
  </si>
  <si>
    <t>CF676-D2-D</t>
  </si>
  <si>
    <t>SPOJ QUEEN</t>
  </si>
  <si>
    <t>CF404-D2-C</t>
  </si>
  <si>
    <t>CF489-D2-D</t>
  </si>
  <si>
    <t>TIMUS 1643</t>
  </si>
  <si>
    <t>UVA 11792</t>
  </si>
  <si>
    <t>UVA 859</t>
  </si>
  <si>
    <t>SPOJ CATM</t>
  </si>
  <si>
    <t>CF230-D2-D</t>
  </si>
  <si>
    <t>SPOJ CLEANRBT</t>
  </si>
  <si>
    <t>SRM376-D2-1000</t>
  </si>
  <si>
    <t>SRM524-D2-1000</t>
  </si>
  <si>
    <t>UVA 11730</t>
  </si>
  <si>
    <t>UVA 11513</t>
  </si>
  <si>
    <t>SRM618-D2-1000</t>
  </si>
  <si>
    <t>SRM467-D2-1000</t>
  </si>
  <si>
    <t>CF1183-D3-E</t>
  </si>
  <si>
    <t>UVA 571</t>
  </si>
  <si>
    <t>AtCoder005-ARC-C</t>
  </si>
  <si>
    <t>TIMUS 1096</t>
  </si>
  <si>
    <t>CF35-D2-C</t>
  </si>
  <si>
    <t>SPOJ TOE1</t>
  </si>
  <si>
    <t>SPOJ TOE2</t>
  </si>
  <si>
    <t>SRM241-D1-500</t>
  </si>
  <si>
    <t>SRM354-D1-500</t>
  </si>
  <si>
    <t>SRM556-D2-500</t>
  </si>
  <si>
    <t>UVA 11049</t>
  </si>
  <si>
    <t>UVA 12460</t>
  </si>
  <si>
    <t>UVA 1600</t>
  </si>
  <si>
    <t>SRM198-D1-500</t>
  </si>
  <si>
    <t>CF174-D2-D</t>
  </si>
  <si>
    <t>SPOJ CLOCKS</t>
  </si>
  <si>
    <t>UVA 12135</t>
  </si>
  <si>
    <t>UVA 439</t>
  </si>
  <si>
    <t>SRM166-D1-500</t>
  </si>
  <si>
    <t>SPOJ CHMAZE</t>
  </si>
  <si>
    <t>UVA 10356</t>
  </si>
  <si>
    <t>SRM509-D2-1000</t>
  </si>
  <si>
    <t>SRM541-D2-1000</t>
  </si>
  <si>
    <t>SPOJ BITMAP</t>
  </si>
  <si>
    <t>SPOJ DCEPC706</t>
  </si>
  <si>
    <t>CF199-D2-D</t>
  </si>
  <si>
    <t>CF330-D2-D</t>
  </si>
  <si>
    <t>SPOJ EQDIV</t>
  </si>
  <si>
    <t>SPOJ POUR1</t>
  </si>
  <si>
    <t>UVA 10009</t>
  </si>
  <si>
    <t>UVA 11906</t>
  </si>
  <si>
    <t>SPOJ CCHESS</t>
  </si>
  <si>
    <t>UVA 388</t>
  </si>
  <si>
    <t>TIMUS 1291</t>
  </si>
  <si>
    <t>SPOJ LUCKYNUM</t>
  </si>
  <si>
    <t>UVA 1148</t>
  </si>
  <si>
    <t>CF911-D12-F</t>
  </si>
  <si>
    <t>UVA 11695</t>
  </si>
  <si>
    <t>CF592-D2-D</t>
  </si>
  <si>
    <t>CF734-D2-E</t>
  </si>
  <si>
    <t>CF1182-D2-D</t>
  </si>
  <si>
    <t>CF14-D2-D</t>
  </si>
  <si>
    <t>CF456-D2-E</t>
  </si>
  <si>
    <t>AtCoder001-AGC-C</t>
  </si>
  <si>
    <t>SPOJ LABYR1</t>
  </si>
  <si>
    <t>UVA 10459</t>
  </si>
  <si>
    <t>TIMUS 1463</t>
  </si>
  <si>
    <t>UVA 12379</t>
  </si>
  <si>
    <t>SRM301-D1-500</t>
  </si>
  <si>
    <t>TJU 1743</t>
  </si>
  <si>
    <t>TIMUS 1056</t>
  </si>
  <si>
    <t>UVA 10308</t>
  </si>
  <si>
    <t>SPOJ PT07Z</t>
  </si>
  <si>
    <t>LIVEARCHIVE 3566</t>
  </si>
  <si>
    <t>LIVEARCHIVE 4453</t>
  </si>
  <si>
    <t>LIVEARCHIVE 4454</t>
  </si>
  <si>
    <t>LIVEARCHIVE 4789</t>
  </si>
  <si>
    <t>LiveArchive 6584</t>
  </si>
  <si>
    <t>CF430-D2-E</t>
  </si>
  <si>
    <t>CF671-D1-D</t>
  </si>
  <si>
    <t>CF858-D12-F</t>
  </si>
  <si>
    <t>LIVEARCHIVE 4815</t>
  </si>
  <si>
    <t>CF406-D1-C</t>
  </si>
  <si>
    <t>CF73-D12-D</t>
  </si>
  <si>
    <t>CODECHEF TAPAIR</t>
  </si>
  <si>
    <t>CF982-D2-F</t>
  </si>
  <si>
    <t>AtCoder024-AGC-D</t>
  </si>
  <si>
    <t>AtCoder018-AGC-D</t>
  </si>
  <si>
    <t>UVA 11745</t>
  </si>
  <si>
    <t>CF1103-D2-C</t>
  </si>
  <si>
    <t>CF19-D12-E</t>
  </si>
  <si>
    <t>AtCoder009-AGC-D</t>
  </si>
  <si>
    <t>CF860-D1-D</t>
  </si>
  <si>
    <t>CODECHEF EXACTWAL</t>
  </si>
  <si>
    <t>SPOJ MROADS</t>
  </si>
  <si>
    <t>CF605-D1-D</t>
  </si>
  <si>
    <t>UVA 10463</t>
  </si>
  <si>
    <t>CF85-D12-C</t>
  </si>
  <si>
    <t>CF348-D1-B</t>
  </si>
  <si>
    <t>UVA 519</t>
  </si>
  <si>
    <t>CF506-D1-D</t>
  </si>
  <si>
    <t>AtCoder155-ABC-F</t>
  </si>
  <si>
    <t>LIVEARCHIVE 4449</t>
  </si>
  <si>
    <t>CF101806-gym-X</t>
  </si>
  <si>
    <t>AtCoder079-ARC-F</t>
  </si>
  <si>
    <t>UVA 10728</t>
  </si>
  <si>
    <t>CF190-D2-E</t>
  </si>
  <si>
    <t>UVA 10181</t>
  </si>
  <si>
    <t>UVA 529</t>
  </si>
  <si>
    <t>CF659-D2-F</t>
  </si>
  <si>
    <t>CF1159-D2-E</t>
  </si>
  <si>
    <t>CF1174-D2-F</t>
  </si>
  <si>
    <t>UVA 1343</t>
  </si>
  <si>
    <t>TIMUS 1229</t>
  </si>
  <si>
    <t>UVA 10998</t>
  </si>
  <si>
    <t>UVA 208</t>
  </si>
  <si>
    <t>CF135-D1-D</t>
  </si>
  <si>
    <t>CF441-D2-D</t>
  </si>
  <si>
    <t>LIVEARCHIVE 4793</t>
  </si>
  <si>
    <t>CF686-D2-D</t>
  </si>
  <si>
    <t>SPOJ AMR10J</t>
  </si>
  <si>
    <t>SPOJ CAC</t>
  </si>
  <si>
    <t>CF1076-D12-E</t>
  </si>
  <si>
    <t>CF701-D2-E</t>
  </si>
  <si>
    <t>CF22-D2-E</t>
  </si>
  <si>
    <t>CF846-D12-E</t>
  </si>
  <si>
    <t>CF707-D2-D</t>
  </si>
  <si>
    <t>CF117-D12-C</t>
  </si>
  <si>
    <t>CF920-D2-E</t>
  </si>
  <si>
    <t>CF604-D2-D</t>
  </si>
  <si>
    <t>CF101102-GYM-K</t>
  </si>
  <si>
    <t>CF653-D12-E</t>
  </si>
  <si>
    <t>SRM600-D2-1000</t>
  </si>
  <si>
    <t>CF506-D1-B</t>
  </si>
  <si>
    <t>SoundHound 18-E</t>
  </si>
  <si>
    <t>CF100517-GYM-L</t>
  </si>
  <si>
    <t>CF596-D2-E</t>
  </si>
  <si>
    <t>SPOJ GALOU</t>
  </si>
  <si>
    <t>CF1147-D1-D</t>
  </si>
  <si>
    <t>SRM357-D2-1000</t>
  </si>
  <si>
    <t>TIMUS 1253</t>
  </si>
  <si>
    <t>CF859-D12-E</t>
  </si>
  <si>
    <t>UVA 707</t>
  </si>
  <si>
    <t>CF197-D2-D</t>
  </si>
  <si>
    <t>LiveArchive 6590</t>
  </si>
  <si>
    <t>CF915-D12-D</t>
  </si>
  <si>
    <t>CF1187-D12-E</t>
  </si>
  <si>
    <t>CF237-D2-D</t>
  </si>
  <si>
    <t>SPOJ LEGO</t>
  </si>
  <si>
    <t>AtCoder004-AGC-D</t>
  </si>
  <si>
    <t>CF1006-D3-E</t>
  </si>
  <si>
    <t>SPOJ HOLI</t>
  </si>
  <si>
    <t>CF1093-D12-D</t>
  </si>
  <si>
    <t>CF711-D2-D</t>
  </si>
  <si>
    <t>CF1075-D2-D</t>
  </si>
  <si>
    <t>CF1056-D12-D</t>
  </si>
  <si>
    <t>CF861-D12-F</t>
  </si>
  <si>
    <t>CF1027-D2-D</t>
  </si>
  <si>
    <t>CF101064-GYM-G</t>
  </si>
  <si>
    <t>CF263-D2-D</t>
  </si>
  <si>
    <t>SPOJ CDOWN</t>
  </si>
  <si>
    <t>UVA 387</t>
  </si>
  <si>
    <t>CF219-D2-D</t>
  </si>
  <si>
    <t>CF101484-GYM-F</t>
  </si>
  <si>
    <t>CF939-D2-D</t>
  </si>
  <si>
    <t>CF1282-D2-E</t>
  </si>
  <si>
    <t>CF194-D2-C</t>
  </si>
  <si>
    <t>UVA 872</t>
  </si>
  <si>
    <t>CF378-D2-C</t>
  </si>
  <si>
    <t>UVA 10113</t>
  </si>
  <si>
    <t>CF540-D2-C</t>
  </si>
  <si>
    <t>CF982-D2-C</t>
  </si>
  <si>
    <t>TIMUS 1218</t>
  </si>
  <si>
    <t>TIMUS 1437</t>
  </si>
  <si>
    <t>TIMUS 1250</t>
  </si>
  <si>
    <t>CF742-D2-D</t>
  </si>
  <si>
    <t>CF25-D2-C</t>
  </si>
  <si>
    <t>CF546-D2-C</t>
  </si>
  <si>
    <t>CF580-D2-C</t>
  </si>
  <si>
    <t>CF116-D2-C</t>
  </si>
  <si>
    <t>CF216-D2-B</t>
  </si>
  <si>
    <t>CF327-D2-D</t>
  </si>
  <si>
    <t>CF979-D2-C</t>
  </si>
  <si>
    <t>SRM350-D1-500</t>
  </si>
  <si>
    <t>UVA 11283</t>
  </si>
  <si>
    <t>UVA 11474</t>
  </si>
  <si>
    <t>LIVEARCHIVE 2887</t>
  </si>
  <si>
    <t>CF382-D2-D</t>
  </si>
  <si>
    <t>CF699-D2-D</t>
  </si>
  <si>
    <t>CF682-D2-C</t>
  </si>
  <si>
    <t>SRM368-D2-1000</t>
  </si>
  <si>
    <t>LIVEARCHIVE 3200</t>
  </si>
  <si>
    <t>SPOJ LEXSTR</t>
  </si>
  <si>
    <t>UVA 1261</t>
  </si>
  <si>
    <t>LIVEARCHIVE 8047</t>
  </si>
  <si>
    <t>TJU 2241</t>
  </si>
  <si>
    <t>UVA 211</t>
  </si>
  <si>
    <t>UVA 10938</t>
  </si>
  <si>
    <t>LIVEARCHIVE 2244</t>
  </si>
  <si>
    <t>UVA 10687</t>
  </si>
  <si>
    <t>UVA 12186</t>
  </si>
  <si>
    <t>UVA 10637</t>
  </si>
  <si>
    <t>LIVEARCHIVE 3272</t>
  </si>
  <si>
    <t>LIVEARCHIVE 7582</t>
  </si>
  <si>
    <t>LIVEARCHIVE 3570</t>
  </si>
  <si>
    <t>LIVEARCHIVE 6032</t>
  </si>
  <si>
    <t>CF360-D1-E</t>
  </si>
  <si>
    <t>LIVEARCHIVE 2885</t>
  </si>
  <si>
    <t>SRM479-D1-500</t>
  </si>
  <si>
    <t>CF827-D12-F</t>
  </si>
  <si>
    <t>CODECHEF CROCDILE</t>
  </si>
  <si>
    <t>LIVEARCHIVE 2475</t>
  </si>
  <si>
    <t>SPOJ CONNECT</t>
  </si>
  <si>
    <t>CF913-D12-E</t>
  </si>
  <si>
    <t>LIVEARCHIVE 2476</t>
  </si>
  <si>
    <t>UVA 10266</t>
  </si>
  <si>
    <t>UVA 12794</t>
  </si>
  <si>
    <t>LIVEARCHIVE 7583</t>
  </si>
  <si>
    <t>CF715-D1-B</t>
  </si>
  <si>
    <t>CF141-D2-D</t>
  </si>
  <si>
    <t>LIVEARCHIVE 4128</t>
  </si>
  <si>
    <t>UVA 11883</t>
  </si>
  <si>
    <t>CF567-D2-E</t>
  </si>
  <si>
    <t>UVA 11693</t>
  </si>
  <si>
    <t>CF553-D1-D</t>
  </si>
  <si>
    <t>SRM197-D1-500</t>
  </si>
  <si>
    <t>LIVEARCHIVE 5854</t>
  </si>
  <si>
    <t>SRM461-D1-500</t>
  </si>
  <si>
    <t>UVA 10841</t>
  </si>
  <si>
    <t>UVA 658</t>
  </si>
  <si>
    <t>LIVEARCHIVE 3561</t>
  </si>
  <si>
    <t>UVA 589</t>
  </si>
  <si>
    <t>SRM626-D2-1000</t>
  </si>
  <si>
    <t>CF101666-gym-D</t>
  </si>
  <si>
    <t>LIVEARCHIVE 2728</t>
  </si>
  <si>
    <t>CF100182-GYM-G</t>
  </si>
  <si>
    <t>LIVEARCHIVE 2730</t>
  </si>
  <si>
    <t>UVA 10389</t>
  </si>
  <si>
    <t>CF96-D2-D</t>
  </si>
  <si>
    <t>CF1076-D12-D</t>
  </si>
  <si>
    <t>CF100959-gym-I</t>
  </si>
  <si>
    <t>CF450-D2-D</t>
  </si>
  <si>
    <t>UVA 10758</t>
  </si>
  <si>
    <t>UVA 11833</t>
  </si>
  <si>
    <t>UVA 12070</t>
  </si>
  <si>
    <t>LIVEARCHIVE 2166</t>
  </si>
  <si>
    <t>UVA 12144</t>
  </si>
  <si>
    <t>CF938-D12-D</t>
  </si>
  <si>
    <t>CF507-D2-E</t>
  </si>
  <si>
    <t>AtCoder064-ARC-C</t>
  </si>
  <si>
    <t>SPOJ MELE3</t>
  </si>
  <si>
    <t>SPOJ ROADS</t>
  </si>
  <si>
    <t>CF144-D2-D</t>
  </si>
  <si>
    <t>SRM335-D1-500</t>
  </si>
  <si>
    <t>UVA 10537</t>
  </si>
  <si>
    <t>UVA 10801</t>
  </si>
  <si>
    <t>UVA 341</t>
  </si>
  <si>
    <t>UVA 429</t>
  </si>
  <si>
    <t>UVA 10967</t>
  </si>
  <si>
    <t>SPOJ GONDOR</t>
  </si>
  <si>
    <t>Codechef CLIQUED</t>
  </si>
  <si>
    <t>HACKER synchronous-shopping</t>
  </si>
  <si>
    <t>SRM675-D2-500</t>
  </si>
  <si>
    <t>TIMUS 1325</t>
  </si>
  <si>
    <t>UVA 762</t>
  </si>
  <si>
    <t>UVA 11813</t>
  </si>
  <si>
    <t>UVA 11374</t>
  </si>
  <si>
    <t>UVA 10806</t>
  </si>
  <si>
    <t>SPOJ HIGHWAYS</t>
  </si>
  <si>
    <t>UVA 721</t>
  </si>
  <si>
    <t>SPOJ SHOP</t>
  </si>
  <si>
    <t>UVA 10986</t>
  </si>
  <si>
    <t>UVA 1247</t>
  </si>
  <si>
    <t>TIMUS 1930</t>
  </si>
  <si>
    <t>UVA 11338</t>
  </si>
  <si>
    <t>UVA 1112</t>
  </si>
  <si>
    <t>UVA 11280</t>
  </si>
  <si>
    <t>UVA 929</t>
  </si>
  <si>
    <t>SPOJ SHPATH</t>
  </si>
  <si>
    <t>LIVEARCHIVE 6776</t>
  </si>
  <si>
    <t>CF444-D1-E</t>
  </si>
  <si>
    <t>CF36-D12-E</t>
  </si>
  <si>
    <t>CF46-D12-F</t>
  </si>
  <si>
    <t>CF92-D2-E</t>
  </si>
  <si>
    <t>CF1236-D2-E</t>
  </si>
  <si>
    <t>CF875-D1-F</t>
  </si>
  <si>
    <t>CF87-D1-D</t>
  </si>
  <si>
    <t>CF101194-GYM-G</t>
  </si>
  <si>
    <t>Eolymp 3077</t>
  </si>
  <si>
    <t>LIVEARCHIVE 5713</t>
  </si>
  <si>
    <t>UVA 12232</t>
  </si>
  <si>
    <t>CF687-D1-D</t>
  </si>
  <si>
    <t>CF156-D1-D</t>
  </si>
  <si>
    <t>CF884-D12-E</t>
  </si>
  <si>
    <t>CF1166-D2-F</t>
  </si>
  <si>
    <t>AtCoder012-AGC-D</t>
  </si>
  <si>
    <t>CF1075-D2-F</t>
  </si>
  <si>
    <t>CF60-D12-D</t>
  </si>
  <si>
    <t>HACKR landslide</t>
  </si>
  <si>
    <t>CF723-D2-F</t>
  </si>
  <si>
    <t>CF160-D2-D</t>
  </si>
  <si>
    <t>CF915-D12-F</t>
  </si>
  <si>
    <t>CF260-D2-D</t>
  </si>
  <si>
    <t>MAUC 18-brokers-predictions</t>
  </si>
  <si>
    <t>CF1040-D2-E</t>
  </si>
  <si>
    <t>CF101669-GYM-D</t>
  </si>
  <si>
    <t>CF102299-GYM-G</t>
  </si>
  <si>
    <t>SPOJ CHAIN</t>
  </si>
  <si>
    <t>TIMUS 1682</t>
  </si>
  <si>
    <t>LIVEARCHIVE 6070</t>
  </si>
  <si>
    <t>SPOJ INVENT</t>
  </si>
  <si>
    <t>LIVEARCHIVE 8028</t>
  </si>
  <si>
    <t>ECPC17-D</t>
  </si>
  <si>
    <t>CF433-D2-D</t>
  </si>
  <si>
    <t>CF366-D2-D</t>
  </si>
  <si>
    <t>CF1243-D2-D</t>
  </si>
  <si>
    <t>CF1012-D1-B</t>
  </si>
  <si>
    <t>SPOJ SQDANCE</t>
  </si>
  <si>
    <t>CF292-D12-D</t>
  </si>
  <si>
    <t>CF101915-GYM-J</t>
  </si>
  <si>
    <t>CF437-D2-D</t>
  </si>
  <si>
    <t>CF766-D2-D</t>
  </si>
  <si>
    <t>FbHkrCup 19-R2-B</t>
  </si>
  <si>
    <t>CF1131-D2-F</t>
  </si>
  <si>
    <t>CF1245-D2-D</t>
  </si>
  <si>
    <t>AtCoder120-ABC-D</t>
  </si>
  <si>
    <t>CF100923-gym-H</t>
  </si>
  <si>
    <t>TIMUS 1701</t>
  </si>
  <si>
    <t>CF100570-GYM-D</t>
  </si>
  <si>
    <t>SPOJ RELINETS</t>
  </si>
  <si>
    <t>CF104-D2-C</t>
  </si>
  <si>
    <t>UVA 10685</t>
  </si>
  <si>
    <t>UVA 10178</t>
  </si>
  <si>
    <t>CF278-D2-C</t>
  </si>
  <si>
    <t>TJU 2561</t>
  </si>
  <si>
    <t>UVA 11503</t>
  </si>
  <si>
    <t>UVA 11966</t>
  </si>
  <si>
    <t>UVA 1329</t>
  </si>
  <si>
    <t>SPOJ FRNDCIRC</t>
  </si>
  <si>
    <t>CF25-D2-D</t>
  </si>
  <si>
    <t>SPOJ FOXLINGS</t>
  </si>
  <si>
    <t>SPOJ IITWPC4I</t>
  </si>
  <si>
    <t>UVA 1160</t>
  </si>
  <si>
    <t>UVA 912</t>
  </si>
  <si>
    <t>SPOJ IITKWPCI</t>
  </si>
  <si>
    <t>SRM215-D1-500</t>
  </si>
  <si>
    <t>TJU 3780</t>
  </si>
  <si>
    <t>CF547-D1-D</t>
  </si>
  <si>
    <t>UVA 13246</t>
  </si>
  <si>
    <t>CF1012-D1-E</t>
  </si>
  <si>
    <t>CF101666-gym-H</t>
  </si>
  <si>
    <t>CF101650-gym-I</t>
  </si>
  <si>
    <t>SRM322-D1-500</t>
  </si>
  <si>
    <t>CF358-D2-E</t>
  </si>
  <si>
    <t>SRM533-D1-500</t>
  </si>
  <si>
    <t>CF102001-Gym-C</t>
  </si>
  <si>
    <t>CF1132-D12-G</t>
  </si>
  <si>
    <t>CF723-D2-E</t>
  </si>
  <si>
    <t>CF1038-D2-E</t>
  </si>
  <si>
    <t>UVA 10040</t>
  </si>
  <si>
    <t>SRM298-D1-500</t>
  </si>
  <si>
    <t>CF789-D2-D</t>
  </si>
  <si>
    <t>CF367-D1-C</t>
  </si>
  <si>
    <t>CF62-D12-D</t>
  </si>
  <si>
    <t>SPOJ CODE</t>
  </si>
  <si>
    <t>CF1062-D2-D</t>
  </si>
  <si>
    <t>CF21-D12-D</t>
  </si>
  <si>
    <t>CF508-D2-D</t>
  </si>
  <si>
    <t>SRM268-D1-500</t>
  </si>
  <si>
    <t>SRM185-D1-500</t>
  </si>
  <si>
    <t>UVA 302</t>
  </si>
  <si>
    <t>UVA 10054</t>
  </si>
  <si>
    <t>UVA 10129</t>
  </si>
  <si>
    <t>UVA 10203</t>
  </si>
  <si>
    <t>UVA 10596</t>
  </si>
  <si>
    <t>UVA 117</t>
  </si>
  <si>
    <t>TIMUS 1137</t>
  </si>
  <si>
    <t>LIVEARCHIVE 4455</t>
  </si>
  <si>
    <t>LIVEARCHIVE 6393</t>
  </si>
  <si>
    <t>SRM581-D2-1000</t>
  </si>
  <si>
    <t>CF416-D2-E</t>
  </si>
  <si>
    <t>SPOJ RDNWK</t>
  </si>
  <si>
    <t>UVA 104</t>
  </si>
  <si>
    <t>UVA 125</t>
  </si>
  <si>
    <t>UVA 10987</t>
  </si>
  <si>
    <t>UVA 10448</t>
  </si>
  <si>
    <t>UVA 10354</t>
  </si>
  <si>
    <t>UVA 11047</t>
  </si>
  <si>
    <t>UVA 10075</t>
  </si>
  <si>
    <t>UVA 925</t>
  </si>
  <si>
    <t>CF295-D1-B</t>
  </si>
  <si>
    <t>CF1196-D3-F</t>
  </si>
  <si>
    <t>CF189-D2-D</t>
  </si>
  <si>
    <t>CF296-D2-D</t>
  </si>
  <si>
    <t>AtCoder143-ABC-E</t>
  </si>
  <si>
    <t>CF400-D2-D</t>
  </si>
  <si>
    <t>CF301-D1-B</t>
  </si>
  <si>
    <t>UVA 10793</t>
  </si>
  <si>
    <t>UVA 1198</t>
  </si>
  <si>
    <t>SPOJ INGRED</t>
  </si>
  <si>
    <t>SRM170-D1-500</t>
  </si>
  <si>
    <t>SRM475-D2-1000</t>
  </si>
  <si>
    <t>UVA 10331</t>
  </si>
  <si>
    <t>UVA 534</t>
  </si>
  <si>
    <t>UVA 10816</t>
  </si>
  <si>
    <t>CF100341-GYM-J</t>
  </si>
  <si>
    <t>UVA 334</t>
  </si>
  <si>
    <t>CF602-D2-C</t>
  </si>
  <si>
    <t>UVA 523</t>
  </si>
  <si>
    <t>LIVEARCHIVE 4739</t>
  </si>
  <si>
    <t>SRM447-D2-1000</t>
  </si>
  <si>
    <t>SRM383-D2-1000</t>
  </si>
  <si>
    <t>UVA 186</t>
  </si>
  <si>
    <t>FbHkrCup 19-R1-A</t>
  </si>
  <si>
    <t>SRM269-D1-500</t>
  </si>
  <si>
    <t>UVA 12319</t>
  </si>
  <si>
    <t>LIVEARCHIVE 3569</t>
  </si>
  <si>
    <t>SRM551-D1-500</t>
  </si>
  <si>
    <t>UVA 1233</t>
  </si>
  <si>
    <t>UVA 10724</t>
  </si>
  <si>
    <t>UVA 11874</t>
  </si>
  <si>
    <t>SRM375-D1-500</t>
  </si>
  <si>
    <t>LIVEARCHIVE 2241</t>
  </si>
  <si>
    <t>SRM225-D1-500</t>
  </si>
  <si>
    <t>LIVEARCHIVE 5221</t>
  </si>
  <si>
    <t>UVA 274</t>
  </si>
  <si>
    <t>SPOJ ANARC08F</t>
  </si>
  <si>
    <t>SRM184-D2-1000</t>
  </si>
  <si>
    <t>CODECHEF ANUBTT</t>
  </si>
  <si>
    <t>CODECHEF CAKE2AM</t>
  </si>
  <si>
    <t>CODECHEF ORDERAAM</t>
  </si>
  <si>
    <t>LIVEARCHIVE 8048</t>
  </si>
  <si>
    <t>LIVEARCHIVE 3709</t>
  </si>
  <si>
    <t>CF704-D1-D</t>
  </si>
  <si>
    <t>CODECHEF PARADE</t>
  </si>
  <si>
    <t>CODECHEF LONGART</t>
  </si>
  <si>
    <t>LIVEARCHIVE 5131</t>
  </si>
  <si>
    <t>CF101873-GYM-F</t>
  </si>
  <si>
    <t>CF101606-GYM-K</t>
  </si>
  <si>
    <t>CF708-D1-D</t>
  </si>
  <si>
    <t>UVA 11757</t>
  </si>
  <si>
    <t>CF513-D12-F2</t>
  </si>
  <si>
    <t>CF101656-GYM-K</t>
  </si>
  <si>
    <t>CF101908-GYM-G</t>
  </si>
  <si>
    <t>TJU 2616</t>
  </si>
  <si>
    <t>SRM575-D1-1000</t>
  </si>
  <si>
    <t>SPOJ NWERC11D</t>
  </si>
  <si>
    <t>CF1082-D12-G</t>
  </si>
  <si>
    <t>LIVEARCHIVE 6395</t>
  </si>
  <si>
    <t>SPOJ PROFIT</t>
  </si>
  <si>
    <t>SRM422-D1-1000</t>
  </si>
  <si>
    <t>CF101128-GYM-F</t>
  </si>
  <si>
    <t>CF101201-GYM-G</t>
  </si>
  <si>
    <t>UVA 12668</t>
  </si>
  <si>
    <t>CODECHEF SEAGRP</t>
  </si>
  <si>
    <t>LIVEARCHIVE 4259</t>
  </si>
  <si>
    <t>UVA 11167</t>
  </si>
  <si>
    <t>CF1252-D12-L</t>
  </si>
  <si>
    <t>UVA 1376</t>
  </si>
  <si>
    <t>CODECHEF GNUM</t>
  </si>
  <si>
    <t>PKU 3308</t>
  </si>
  <si>
    <t>TIMUS 1736</t>
  </si>
  <si>
    <t>UVA 10983</t>
  </si>
  <si>
    <t>UVA 10779</t>
  </si>
  <si>
    <t>CF1184-D12-B3</t>
  </si>
  <si>
    <t>CF546-D2-E</t>
  </si>
  <si>
    <t>SPOJ AMR12A</t>
  </si>
  <si>
    <t>SPOJ NETADMIN</t>
  </si>
  <si>
    <t>SRM589-D1-500</t>
  </si>
  <si>
    <t>LIVEARCHIVE 5804</t>
  </si>
  <si>
    <t>ZOJ 2760</t>
  </si>
  <si>
    <t>SPOJ DISJPATH</t>
  </si>
  <si>
    <t>TJU 1047</t>
  </si>
  <si>
    <t>TJU 2057</t>
  </si>
  <si>
    <t>UVA 10511</t>
  </si>
  <si>
    <t>CF653-D12-D</t>
  </si>
  <si>
    <t>SPOJ IM</t>
  </si>
  <si>
    <t>UVA 563</t>
  </si>
  <si>
    <t>SPOJ ADACITY</t>
  </si>
  <si>
    <t>UVA 1242</t>
  </si>
  <si>
    <t>TJU 2842</t>
  </si>
  <si>
    <t>UVA 11380</t>
  </si>
  <si>
    <t>TJU 2823</t>
  </si>
  <si>
    <t>UVA 12125</t>
  </si>
  <si>
    <t>LIVEARCHIVE 3397</t>
  </si>
  <si>
    <t>CF302-D2-E</t>
  </si>
  <si>
    <t>SPOJ SHOP2</t>
  </si>
  <si>
    <t>UVA 11082</t>
  </si>
  <si>
    <t>SRM360-D1-500</t>
  </si>
  <si>
    <t>CF101845-GYM-F</t>
  </si>
  <si>
    <t>LIVEARCHIVE 2617</t>
  </si>
  <si>
    <t>SRM399-D1-1000</t>
  </si>
  <si>
    <t>UVA 10092</t>
  </si>
  <si>
    <t>SPOJ FASTFLOW</t>
  </si>
  <si>
    <t>TJU 1692</t>
  </si>
  <si>
    <t>UVA 10330</t>
  </si>
  <si>
    <t>SPOJ POTHOLE</t>
  </si>
  <si>
    <t>LIVEARCHIVE 5220</t>
  </si>
  <si>
    <t>SPOJ MTOTALF</t>
  </si>
  <si>
    <t>Timus 2038</t>
  </si>
  <si>
    <t>CODECHEF MATCH</t>
  </si>
  <si>
    <t>SRM678-D1-1000</t>
  </si>
  <si>
    <t>CF101666-Gym-E</t>
  </si>
  <si>
    <t>CF78-D2-E</t>
  </si>
  <si>
    <t>LIVEARCHIVE 6778</t>
  </si>
  <si>
    <t>TC(RookAttack)</t>
  </si>
  <si>
    <t>CF499-D2-E</t>
  </si>
  <si>
    <t>CODECHEF TWOCOMP</t>
  </si>
  <si>
    <t>CF512-D1-C</t>
  </si>
  <si>
    <t>LIVEARCHIVE 7152</t>
  </si>
  <si>
    <t>UVA 10735</t>
  </si>
  <si>
    <t>CodeChef KPERFMAT</t>
  </si>
  <si>
    <t>LIVEARCHIVE 2937</t>
  </si>
  <si>
    <t>AtCoder037-AGC-D</t>
  </si>
  <si>
    <t>SRM397-D1-1000</t>
  </si>
  <si>
    <t>CF1054-D12-F</t>
  </si>
  <si>
    <t>SRM527-D1-500</t>
  </si>
  <si>
    <t>CODEJAM 09-R2-C</t>
  </si>
  <si>
    <t>SRM539-D1-500</t>
  </si>
  <si>
    <t>SPOJ DIVREL</t>
  </si>
  <si>
    <t>UVA 12549</t>
  </si>
  <si>
    <t>CF1139-D2-E</t>
  </si>
  <si>
    <t>CF387-D2-D</t>
  </si>
  <si>
    <t>CODEJAM 18-R2-C</t>
  </si>
  <si>
    <t>LIVEARCHIVE 8041</t>
  </si>
  <si>
    <t>UVA 12159</t>
  </si>
  <si>
    <t>SPOJ ADAPATH</t>
  </si>
  <si>
    <t>UVA 1221</t>
  </si>
  <si>
    <t>SOPJ ADABLOOM</t>
  </si>
  <si>
    <t>UVA 11363</t>
  </si>
  <si>
    <t>SRM557-D1-500</t>
  </si>
  <si>
    <t>CF1152-D2-D</t>
  </si>
  <si>
    <t>CF1034-D1-B</t>
  </si>
  <si>
    <t>SRM200-D1-1000</t>
  </si>
  <si>
    <t>CF498-D1-C</t>
  </si>
  <si>
    <t>SRM351-D1-1000</t>
  </si>
  <si>
    <t>SPOJ OILCOMP</t>
  </si>
  <si>
    <t>SRM303-D1-500</t>
  </si>
  <si>
    <t>CSA66-D</t>
  </si>
  <si>
    <t>CF166-D2-D</t>
  </si>
  <si>
    <t>UVA 10804</t>
  </si>
  <si>
    <t>UVA 10349</t>
  </si>
  <si>
    <t>UVA 11159</t>
  </si>
  <si>
    <t>CF101047-GYM-H</t>
  </si>
  <si>
    <t>UVA 11262</t>
  </si>
  <si>
    <t>SPOJ STEAD</t>
  </si>
  <si>
    <t>LIVEARCHIVE 3752</t>
  </si>
  <si>
    <t>SRM477-D1-500</t>
  </si>
  <si>
    <t>UVA 753</t>
  </si>
  <si>
    <t>TIMUS 1872</t>
  </si>
  <si>
    <t>SRM549-D1-250</t>
  </si>
  <si>
    <t>SPOJ NITT4</t>
  </si>
  <si>
    <t>SPOJ SCPC11H</t>
  </si>
  <si>
    <t>UVA 259</t>
  </si>
  <si>
    <t>SRM236-D1-1000</t>
  </si>
  <si>
    <t>UVA 10243</t>
  </si>
  <si>
    <t>UVA 11045</t>
  </si>
  <si>
    <t>LIVEARCHIVE 2038</t>
  </si>
  <si>
    <t>LIVEARCHIVE 3128</t>
  </si>
  <si>
    <t>LIVEARCHIVE 2044</t>
  </si>
  <si>
    <t>SPOJ TAXI</t>
  </si>
  <si>
    <t>UVA 10080</t>
  </si>
  <si>
    <t>UVA 11418</t>
  </si>
  <si>
    <t>SPOJ MATCHING</t>
  </si>
  <si>
    <t>UVA 11138</t>
  </si>
  <si>
    <t>SPOJ ACHESS</t>
  </si>
  <si>
    <t>LIVEARCHIVE 2238</t>
  </si>
  <si>
    <t>CF802-D12-N</t>
  </si>
  <si>
    <t>CF1288-D12-F</t>
  </si>
  <si>
    <t>LIVEARCHIVE 4102</t>
  </si>
  <si>
    <t>AtCoder034-AGC-D</t>
  </si>
  <si>
    <t>CF316-D12-C2</t>
  </si>
  <si>
    <t>CF1107-D12-F</t>
  </si>
  <si>
    <t>CODECHEF TREF</t>
  </si>
  <si>
    <t>SPOJ TOURS</t>
  </si>
  <si>
    <t>CF863-D12-F</t>
  </si>
  <si>
    <t>LIVEARCHIVE 3276</t>
  </si>
  <si>
    <t>CF277-D1-E</t>
  </si>
  <si>
    <t>CF818-D12-G</t>
  </si>
  <si>
    <t>SRM506-D1-500</t>
  </si>
  <si>
    <t>HACKR cargo-delivery</t>
  </si>
  <si>
    <t>SRM465-D1-600</t>
  </si>
  <si>
    <t>TJU 2554</t>
  </si>
  <si>
    <t>SPOJ CONTEST</t>
  </si>
  <si>
    <t>TC(ANGELDEMONGAME)</t>
  </si>
  <si>
    <t>SPOJ BOXES</t>
  </si>
  <si>
    <t>LIVEARCHIVE 3562</t>
  </si>
  <si>
    <t>CF237-D2-E</t>
  </si>
  <si>
    <t>SRM372-D1-1000</t>
  </si>
  <si>
    <t>UVA 10594</t>
  </si>
  <si>
    <t>SPOJ GREED</t>
  </si>
  <si>
    <t>PKU 3422</t>
  </si>
  <si>
    <t>SPOJ SCITIES</t>
  </si>
  <si>
    <t>TJU 1636</t>
  </si>
  <si>
    <t>UVA 10746</t>
  </si>
  <si>
    <t>LIVEARCHIVE 6026</t>
  </si>
  <si>
    <t>CF240-D1-E</t>
  </si>
  <si>
    <t>CSA82-E</t>
  </si>
  <si>
    <t>UVA 11267</t>
  </si>
  <si>
    <t>UVA 11865</t>
  </si>
  <si>
    <t>kattis blazingnewtrails</t>
  </si>
  <si>
    <t>CF1023-D12-F</t>
  </si>
  <si>
    <t>CF892-D2-E</t>
  </si>
  <si>
    <t>CF951-D1-D</t>
  </si>
  <si>
    <t>SPOJ MSTS</t>
  </si>
  <si>
    <t>CF1051-D2-F</t>
  </si>
  <si>
    <t>UVA 10807</t>
  </si>
  <si>
    <t>CF266-D2-D</t>
  </si>
  <si>
    <t>CF891-D1-C</t>
  </si>
  <si>
    <t>LIVEARCHIVE 3271</t>
  </si>
  <si>
    <t>CF141-D2-E</t>
  </si>
  <si>
    <t>CF888-D12-G</t>
  </si>
  <si>
    <t>UVA 10805</t>
  </si>
  <si>
    <t>CODECHEF STMINCUT</t>
  </si>
  <si>
    <t>CF76-D12-A</t>
  </si>
  <si>
    <t>UVA 1151</t>
  </si>
  <si>
    <t>LIVEARCHIVE 2721</t>
  </si>
  <si>
    <t>CF100283-Gym-B</t>
  </si>
  <si>
    <t>HACKR johnland</t>
  </si>
  <si>
    <t>UVA 11354</t>
  </si>
  <si>
    <t>CF1108-D3-F</t>
  </si>
  <si>
    <t>CF102021-GYM-M</t>
  </si>
  <si>
    <t>CF101286-GYM-E</t>
  </si>
  <si>
    <t>LIVEARCHIVE 2478</t>
  </si>
  <si>
    <t>TJU 3518</t>
  </si>
  <si>
    <t>CF1095-D3-F</t>
  </si>
  <si>
    <t>SPOJ IITKWPCG</t>
  </si>
  <si>
    <t>CF472-D12-D</t>
  </si>
  <si>
    <t>CF606-D2-D</t>
  </si>
  <si>
    <t>CF1081-D12-D</t>
  </si>
  <si>
    <t>UVA 1234</t>
  </si>
  <si>
    <t>UVA 10369</t>
  </si>
  <si>
    <t>UVA 1395</t>
  </si>
  <si>
    <t>SPOJ NITTROAD</t>
  </si>
  <si>
    <t>SRM424-D2-1000</t>
  </si>
  <si>
    <t>LIVEARCHIVE 4326</t>
  </si>
  <si>
    <t>CF959-D2-E</t>
  </si>
  <si>
    <t>UVA 10600</t>
  </si>
  <si>
    <t>SPOJ ISLHOP</t>
  </si>
  <si>
    <t>LIVEARCHIVE 4872</t>
  </si>
  <si>
    <t>UVA 1235</t>
  </si>
  <si>
    <t>UVA 10307</t>
  </si>
  <si>
    <t>LIVEARCHIVE 3113</t>
  </si>
  <si>
    <t>SRM356-D2-1000</t>
  </si>
  <si>
    <t>TJU 2181</t>
  </si>
  <si>
    <t>TJU 3073</t>
  </si>
  <si>
    <t>UVA 10147</t>
  </si>
  <si>
    <t>UVA 1208</t>
  </si>
  <si>
    <t>SRM441-D1-500</t>
  </si>
  <si>
    <t>UVA 10462</t>
  </si>
  <si>
    <t>UVA 11390</t>
  </si>
  <si>
    <t>CF1065-D12-F</t>
  </si>
  <si>
    <t>CF1239-D1-D</t>
  </si>
  <si>
    <t>SPOJ CHASE1</t>
  </si>
  <si>
    <t>CF403-D1-C</t>
  </si>
  <si>
    <t>SPOJ BREAK</t>
  </si>
  <si>
    <t>CODEJAM 16-R1A-B</t>
  </si>
  <si>
    <t>CF950-D2-E</t>
  </si>
  <si>
    <t>AtCoder142-ABC-F</t>
  </si>
  <si>
    <t>UVA 12167</t>
  </si>
  <si>
    <t>UVA 11098</t>
  </si>
  <si>
    <t>CF467-D2-D</t>
  </si>
  <si>
    <t>SPOJ TFRIENDS</t>
  </si>
  <si>
    <t>UVA 11504</t>
  </si>
  <si>
    <t>SPOJ CAPCITY</t>
  </si>
  <si>
    <t>TJU 2233</t>
  </si>
  <si>
    <t>UVA 1263</t>
  </si>
  <si>
    <t>SPOJ TOUR</t>
  </si>
  <si>
    <t>SPOJ BOTTOM</t>
  </si>
  <si>
    <t>UVA 10731</t>
  </si>
  <si>
    <t>UVA 11709</t>
  </si>
  <si>
    <t>SPOJ MOWS</t>
  </si>
  <si>
    <t>CF427-D2-C</t>
  </si>
  <si>
    <t>UVA 247</t>
  </si>
  <si>
    <t>UVA 11324</t>
  </si>
  <si>
    <t>CF538-D12-H</t>
  </si>
  <si>
    <t>CF588-D2-F</t>
  </si>
  <si>
    <t>CF569-D2-E</t>
  </si>
  <si>
    <t>SPOJ TORNJEVI</t>
  </si>
  <si>
    <t>CF101128-GYM-B</t>
  </si>
  <si>
    <t>CF101201-GYM-F</t>
  </si>
  <si>
    <t>LIVEARCHIVE 5764</t>
  </si>
  <si>
    <t>LightOJ 1251</t>
  </si>
  <si>
    <t>LightOJ 1407</t>
  </si>
  <si>
    <t>PKU 3683</t>
  </si>
  <si>
    <t>LIVEARCHIVE 4452</t>
  </si>
  <si>
    <t>CF1215-D2-F</t>
  </si>
  <si>
    <t>UVA 11294</t>
  </si>
  <si>
    <t>UVA 1391</t>
  </si>
  <si>
    <t>LIVEARCHIVE 2973</t>
  </si>
  <si>
    <t>LIVEARCHIVE 6067</t>
  </si>
  <si>
    <t>SRM464-D1-500</t>
  </si>
  <si>
    <t>CF469-D2-D</t>
  </si>
  <si>
    <t>CF1218-D12-I</t>
  </si>
  <si>
    <t>CODECHEF ADAMTR</t>
  </si>
  <si>
    <t>CODECHEF ROBAGAIN</t>
  </si>
  <si>
    <t>LIVEARCHIVE 5010</t>
  </si>
  <si>
    <t>PKU 2723</t>
  </si>
  <si>
    <t>PKU 3207</t>
  </si>
  <si>
    <t>PKU 3678</t>
  </si>
  <si>
    <t>UVA 10319</t>
  </si>
  <si>
    <t>UVA 1146</t>
  </si>
  <si>
    <t>CF776-D2-D</t>
  </si>
  <si>
    <t>LIVEARCHIVE 4185</t>
  </si>
  <si>
    <t>CF228-D2-E</t>
  </si>
  <si>
    <t>SPOJ BUGLIFE</t>
  </si>
  <si>
    <t>LIVEARCHIVE 2884</t>
  </si>
  <si>
    <t>UVA 10510</t>
  </si>
  <si>
    <t>LIVEARCHIVE 5135</t>
  </si>
  <si>
    <t>CF1250-D12-N</t>
  </si>
  <si>
    <t>UVA 10765</t>
  </si>
  <si>
    <t>SPOJ SUBMERGE</t>
  </si>
  <si>
    <t>UVA 10199</t>
  </si>
  <si>
    <t>UVA 315</t>
  </si>
  <si>
    <t>LIVEARCHIVE 3514</t>
  </si>
  <si>
    <t>SPOJ POLQUERY</t>
  </si>
  <si>
    <t>LIVEARCHIVE 7160</t>
  </si>
  <si>
    <t>CF980-D2-F</t>
  </si>
  <si>
    <t>SPOJ ONBRIDGE</t>
  </si>
  <si>
    <t>CF700-D1-C</t>
  </si>
  <si>
    <t>CF555-D1-E</t>
  </si>
  <si>
    <t>UVA 1364</t>
  </si>
  <si>
    <t>UVA 12479</t>
  </si>
  <si>
    <t>LIVEARCHIVE 4218</t>
  </si>
  <si>
    <t>CF732-D2-F</t>
  </si>
  <si>
    <t>UVA 12587</t>
  </si>
  <si>
    <t>SPOJ GRAFFDEF</t>
  </si>
  <si>
    <t>UVA 12363</t>
  </si>
  <si>
    <t>CF100676-gym-H</t>
  </si>
  <si>
    <t>CODECHEF LONCYC</t>
  </si>
  <si>
    <t>CF1220-D12-E</t>
  </si>
  <si>
    <t>UVA 610</t>
  </si>
  <si>
    <t>CF1000-D12-E</t>
  </si>
  <si>
    <t>CF1214-D12-D</t>
  </si>
  <si>
    <t>CF100342-GYM-I</t>
  </si>
  <si>
    <t>CF101979-GYM-H</t>
  </si>
  <si>
    <t>UVA 796</t>
  </si>
  <si>
    <t>UVA 12783</t>
  </si>
  <si>
    <t>CODECHEF TRIPS</t>
  </si>
  <si>
    <t>LIVEARCHIVE 4296</t>
  </si>
  <si>
    <t>UVA 12424</t>
  </si>
  <si>
    <t>CF494-D1-D</t>
  </si>
  <si>
    <t>SPOJ DYNALCA</t>
  </si>
  <si>
    <t>UVA 12655</t>
  </si>
  <si>
    <t>CF418-D1-D</t>
  </si>
  <si>
    <t>CF916-D2-E</t>
  </si>
  <si>
    <t>UVA 1674</t>
  </si>
  <si>
    <t>CF406-D1-D</t>
  </si>
  <si>
    <t>CF593-D2-D</t>
  </si>
  <si>
    <t>CF101908-GYM-L</t>
  </si>
  <si>
    <t>CF1000-D12-G</t>
  </si>
  <si>
    <t>CF101142-gym-G</t>
  </si>
  <si>
    <t>CF165-D2-D</t>
  </si>
  <si>
    <t>CF466-D2-E</t>
  </si>
  <si>
    <t>CF587-D1-C</t>
  </si>
  <si>
    <t>CF379-D12-F</t>
  </si>
  <si>
    <t>CF1045-D1-C</t>
  </si>
  <si>
    <t>CF231-D2-E</t>
  </si>
  <si>
    <t>CF838-D12-B</t>
  </si>
  <si>
    <t>CF100091-GYM-D</t>
  </si>
  <si>
    <t>CF121-D1-C</t>
  </si>
  <si>
    <t>TIMUS 1752</t>
  </si>
  <si>
    <t>CF609-D12-E</t>
  </si>
  <si>
    <t>CF102215-GYM-D</t>
  </si>
  <si>
    <t>CF191-D1-D</t>
  </si>
  <si>
    <t>CF101808-gym-K</t>
  </si>
  <si>
    <t>CF519-D2-E</t>
  </si>
  <si>
    <t>SPOJ HACKERS</t>
  </si>
  <si>
    <t>CODECHEF RRTREE</t>
  </si>
  <si>
    <t>SPOJ DISQUERY</t>
  </si>
  <si>
    <t>KATTIS tourists</t>
  </si>
  <si>
    <t>CF33-D12-D</t>
  </si>
  <si>
    <t>SPOJ DRTREE</t>
  </si>
  <si>
    <t>CF192-D2-E</t>
  </si>
  <si>
    <t>HACKER roads-in-a-city</t>
  </si>
  <si>
    <t>CF832-D2-D</t>
  </si>
  <si>
    <t>CF102191-GYM-I</t>
  </si>
  <si>
    <t>SPOJ QTREE2</t>
  </si>
  <si>
    <t>SPOJ LCA</t>
  </si>
  <si>
    <t>LIVEARCHIVE 4463</t>
  </si>
  <si>
    <t>UVA 1175</t>
  </si>
  <si>
    <t>LIVEARCHIVE 3837</t>
  </si>
  <si>
    <t>SPOJ NDS</t>
  </si>
  <si>
    <t>SPOJ STABLEMP</t>
  </si>
  <si>
    <t>UVA 904</t>
  </si>
  <si>
    <t>SRM277-D1-1000</t>
  </si>
  <si>
    <t>LIVEARCHIVE 3274</t>
  </si>
  <si>
    <t>LIVEARCHIVE 4374</t>
  </si>
  <si>
    <t>UVA 12171</t>
  </si>
  <si>
    <t>LIVEARCHIVE 4787</t>
  </si>
  <si>
    <t>UVA 12069</t>
  </si>
  <si>
    <t>UVA 308</t>
  </si>
  <si>
    <t>CF243-D1-C</t>
  </si>
  <si>
    <t>UVA 870</t>
  </si>
  <si>
    <t>CF863-D12-E</t>
  </si>
  <si>
    <t>ACMWF19-K</t>
  </si>
  <si>
    <t>SRM391-D1-1000</t>
  </si>
  <si>
    <t>LIVEARCHIVE 6779</t>
  </si>
  <si>
    <t>AtCoder003-AGC-F</t>
  </si>
  <si>
    <t>AtCoder005-AGC-F</t>
  </si>
  <si>
    <t>SRM327-D1-500</t>
  </si>
  <si>
    <t>CF548-D2-C</t>
  </si>
  <si>
    <t>CF360-D1-D</t>
  </si>
  <si>
    <t>SRM376-D1-500</t>
  </si>
  <si>
    <t>CF73-D12-E</t>
  </si>
  <si>
    <t>AtCoder011-AGC-E</t>
  </si>
  <si>
    <t>CF1086-D1-F</t>
  </si>
  <si>
    <t>CF1030-D12-G</t>
  </si>
  <si>
    <t>SRM319-D1-1000</t>
  </si>
  <si>
    <t>UVA 1451</t>
  </si>
  <si>
    <t>IPSCPrac03 -T</t>
  </si>
  <si>
    <t>HACKR randomness</t>
  </si>
  <si>
    <t>SRM387-D1-1000</t>
  </si>
  <si>
    <t>SRM373-D1-500</t>
  </si>
  <si>
    <t>CF1137-D1-D</t>
  </si>
  <si>
    <t>SPOJ NTHPRIME</t>
  </si>
  <si>
    <t>UVA 12970</t>
  </si>
  <si>
    <t>CODECHEF BMASTER</t>
  </si>
  <si>
    <t>CF1064-D2-F</t>
  </si>
  <si>
    <t>CF1100-D2-F</t>
  </si>
  <si>
    <t>UVA 12407</t>
  </si>
  <si>
    <t>CF758-D2-F</t>
  </si>
  <si>
    <t>CF488-D2-E</t>
  </si>
  <si>
    <t>CF641-D12-D</t>
  </si>
  <si>
    <t>CF1101-D12-G</t>
  </si>
  <si>
    <t>SRM436-D2-1000</t>
  </si>
  <si>
    <t>CF40-D12-C</t>
  </si>
  <si>
    <t>SRM431-D2-1000</t>
  </si>
  <si>
    <t>SRM536-D1-500</t>
  </si>
  <si>
    <t>SRM539-D2-1000</t>
  </si>
  <si>
    <t>SRM564-D2-1000</t>
  </si>
  <si>
    <t>SRM712-D1-300</t>
  </si>
  <si>
    <t>CF348-D1-D</t>
  </si>
  <si>
    <t>SRM445-D1-500</t>
  </si>
  <si>
    <t>UVA 10732</t>
  </si>
  <si>
    <t>UVA 10658</t>
  </si>
  <si>
    <t>SRM500-D2-1000</t>
  </si>
  <si>
    <t>SRM167-D1-500</t>
  </si>
  <si>
    <t>SRM240-D1-500</t>
  </si>
  <si>
    <t>SRM314-D1-1000</t>
  </si>
  <si>
    <t>SPOJ DCEPC203</t>
  </si>
  <si>
    <t>SRM540-D2-500</t>
  </si>
  <si>
    <t>UVA 10889</t>
  </si>
  <si>
    <t>UVA 11109</t>
  </si>
  <si>
    <t>CF102028-GYM-J</t>
  </si>
  <si>
    <t>CF850-D1-B</t>
  </si>
  <si>
    <t>CODECHEF COINPART</t>
  </si>
  <si>
    <t>CF337-D2-E</t>
  </si>
  <si>
    <t>CF1285-D2-F</t>
  </si>
  <si>
    <t>SRM281-D1-1000</t>
  </si>
  <si>
    <t>CF101741-gym-F</t>
  </si>
  <si>
    <t>CF1119-D12-E</t>
  </si>
  <si>
    <t>CODECHEF ARIGEOM</t>
  </si>
  <si>
    <t>SRM507-D1-500</t>
  </si>
  <si>
    <t>LIVEARCHIVE 7157</t>
  </si>
  <si>
    <t>SRM438-D1-500</t>
  </si>
  <si>
    <t>AtCoder147-ABC-F</t>
  </si>
  <si>
    <t>CF602-D2-D</t>
  </si>
  <si>
    <t>CF1088-D2-D</t>
  </si>
  <si>
    <t>CODEJAM 19-R1B-B</t>
  </si>
  <si>
    <t>CODEJAM 19-R1C-B</t>
  </si>
  <si>
    <t>CF1130-D2-E</t>
  </si>
  <si>
    <t>SRM697-D2-500</t>
  </si>
  <si>
    <t>CF225-D2-E</t>
  </si>
  <si>
    <t>CF997-D1-B</t>
  </si>
  <si>
    <t>LIVEARCHIVE 4119</t>
  </si>
  <si>
    <t>CF1186-D2-E</t>
  </si>
  <si>
    <t>AtCoder043-AGC-B</t>
  </si>
  <si>
    <t>CF1183-D3-F</t>
  </si>
  <si>
    <t>CF1104-D2-D</t>
  </si>
  <si>
    <t>CODECHEF SWAPSIGN</t>
  </si>
  <si>
    <t>CF994-D2-E</t>
  </si>
  <si>
    <t>TIMUS 2063</t>
  </si>
  <si>
    <t>HACKR balanced-sequence</t>
  </si>
  <si>
    <t>CF1081-D12-E</t>
  </si>
  <si>
    <t>CODEJAM 19-R1B-A</t>
  </si>
  <si>
    <t>CF1090-D12-F</t>
  </si>
  <si>
    <t>CF919-D2-E</t>
  </si>
  <si>
    <t>CF509-D2-E</t>
  </si>
  <si>
    <t>CF216-D2-E</t>
  </si>
  <si>
    <t>SRM267-D1-500</t>
  </si>
  <si>
    <t>SRM369-D2-500</t>
  </si>
  <si>
    <t>SRM540-D2-1000</t>
  </si>
  <si>
    <t>UVA 107</t>
  </si>
  <si>
    <t>UVA 1648</t>
  </si>
  <si>
    <t>UVA 11042</t>
  </si>
  <si>
    <t>SPOJ FNRANK</t>
  </si>
  <si>
    <t>SRM165-D1-500</t>
  </si>
  <si>
    <t>CF185-D1-B</t>
  </si>
  <si>
    <t>CF101615-GYM-C</t>
  </si>
  <si>
    <t>SRM596-D2-1000</t>
  </si>
  <si>
    <t>SRM434-D1-500</t>
  </si>
  <si>
    <t>CF1189-D2-E</t>
  </si>
  <si>
    <t>CF352-D2-D</t>
  </si>
  <si>
    <t>CODECHEF REMMAX</t>
  </si>
  <si>
    <t>CF1080-D2-D</t>
  </si>
  <si>
    <t>CF371-D2-E</t>
  </si>
  <si>
    <t>CF1271-D2-E</t>
  </si>
  <si>
    <t>AtCoder156-ABC-F</t>
  </si>
  <si>
    <t>CF1119-D12-D</t>
  </si>
  <si>
    <t>CF975-D2-D</t>
  </si>
  <si>
    <t>CF359-D2-C</t>
  </si>
  <si>
    <t>CODECHEF GCDSUM</t>
  </si>
  <si>
    <t>CF356-D1-B</t>
  </si>
  <si>
    <t>FbHkrCup 18-RQ-B</t>
  </si>
  <si>
    <t>CF798-D2-C</t>
  </si>
  <si>
    <t>CF899-D2-D</t>
  </si>
  <si>
    <t>SRM394-D2-1000</t>
  </si>
  <si>
    <t>CF1040-D2-D</t>
  </si>
  <si>
    <t>CF349-D2-C</t>
  </si>
  <si>
    <t>CF396-D2-C</t>
  </si>
  <si>
    <t>Codechef CHFING</t>
  </si>
  <si>
    <t>CODEJAM 19-Qualification-C</t>
  </si>
  <si>
    <t>FbHkrCup 19-R2-A</t>
  </si>
  <si>
    <t>CF633-D12-A</t>
  </si>
  <si>
    <t>CF1220-D12-D</t>
  </si>
  <si>
    <t>CF451-D2-D</t>
  </si>
  <si>
    <t>CF701-D2-D</t>
  </si>
  <si>
    <t>CODECHEF INTXOR</t>
  </si>
  <si>
    <t>CF1167-D12-F</t>
  </si>
  <si>
    <t>CF1244-D2-C</t>
  </si>
  <si>
    <t>CF397-D2-D</t>
  </si>
  <si>
    <t>CF1016-D12-D</t>
  </si>
  <si>
    <t>CF1079-D2-D</t>
  </si>
  <si>
    <t>CF1185-D2-D</t>
  </si>
  <si>
    <t>UVA 128</t>
  </si>
  <si>
    <t>CF1130-D2-D2</t>
  </si>
  <si>
    <t>CF535-D2-C</t>
  </si>
  <si>
    <t>AtCoder140-ABC-E</t>
  </si>
  <si>
    <t>CF451-D2-C</t>
  </si>
  <si>
    <t>CF955-D2-C</t>
  </si>
  <si>
    <t>CF45-D12-D</t>
  </si>
  <si>
    <t>CF322-D2-C</t>
  </si>
  <si>
    <t>CF499-D2-C</t>
  </si>
  <si>
    <t>AtCoder028-AGC-A</t>
  </si>
  <si>
    <t>CF1029-D3-D</t>
  </si>
  <si>
    <t>CF199-D2-C</t>
  </si>
  <si>
    <t>CF520-D2-C</t>
  </si>
  <si>
    <t>CF676-D2-E</t>
  </si>
  <si>
    <t>CF803-D12-C</t>
  </si>
  <si>
    <t>CF957-D2-C</t>
  </si>
  <si>
    <t>CODECHEF PRMDIV</t>
  </si>
  <si>
    <t>SRM194-D1-500</t>
  </si>
  <si>
    <t>SRM507-D2-1000</t>
  </si>
  <si>
    <t>UVA 11246</t>
  </si>
  <si>
    <t>UVA 12555</t>
  </si>
  <si>
    <t>UVA 126</t>
  </si>
  <si>
    <t>UVA 545</t>
  </si>
  <si>
    <t>SRM483-D2-1000</t>
  </si>
  <si>
    <t>CF895-D2-D</t>
  </si>
  <si>
    <t>CF892-D2-D</t>
  </si>
  <si>
    <t>CF100459-GYM-B</t>
  </si>
  <si>
    <t>UVA 10442</t>
  </si>
  <si>
    <t>CF1062-D2-B</t>
  </si>
  <si>
    <t>CSA63-C</t>
  </si>
  <si>
    <t>SRM305-D1-1000</t>
  </si>
  <si>
    <t>CF101102-gym-J</t>
  </si>
  <si>
    <t>AtCoder134-ABC-F</t>
  </si>
  <si>
    <t>SRM552-D2-500</t>
  </si>
  <si>
    <t>AtCoder016-AGC-B</t>
  </si>
  <si>
    <t>UVA 11129</t>
  </si>
  <si>
    <t>UVA 11574</t>
  </si>
  <si>
    <t>SRM417-D1-500</t>
  </si>
  <si>
    <t>CF195-D2-D</t>
  </si>
  <si>
    <t>SPOJ SUBSHARD</t>
  </si>
  <si>
    <t>CF1186-D2-C</t>
  </si>
  <si>
    <t>CF1093-D12-C</t>
  </si>
  <si>
    <t>LiveArchive 8014</t>
  </si>
  <si>
    <t>SPOJ KIMO1</t>
  </si>
  <si>
    <t>UVA 10025</t>
  </si>
  <si>
    <t>CF844-D2-D</t>
  </si>
  <si>
    <t>CF334-D2-C</t>
  </si>
  <si>
    <t>CF834-D2-C</t>
  </si>
  <si>
    <t>CF894-D2-B</t>
  </si>
  <si>
    <t>CF936-D1-A</t>
  </si>
  <si>
    <t>CF94-D2-C</t>
  </si>
  <si>
    <t>CODEJAM 19-R1A-B</t>
  </si>
  <si>
    <t>UVA 1388</t>
  </si>
  <si>
    <t>UVA 538</t>
  </si>
  <si>
    <t>UVA 12028</t>
  </si>
  <si>
    <t>SRM519-D2-1000</t>
  </si>
  <si>
    <t>CF353-D2-C</t>
  </si>
  <si>
    <t>CF716-D2-C</t>
  </si>
  <si>
    <t>CF680-D2-C</t>
  </si>
  <si>
    <t>CF727-D12-C</t>
  </si>
  <si>
    <t>CF320-D2-C</t>
  </si>
  <si>
    <t>CF1239-D1-A</t>
  </si>
  <si>
    <t>CF816-D2-B</t>
  </si>
  <si>
    <t>CF1059-D2-C</t>
  </si>
  <si>
    <t>UVA 113</t>
  </si>
  <si>
    <t>CODECHEF GRIDTOUR</t>
  </si>
  <si>
    <t>UVA 10706</t>
  </si>
  <si>
    <t>CF1143-D2-D</t>
  </si>
  <si>
    <t>CF577-D2-C</t>
  </si>
  <si>
    <t>CF376-D2-C</t>
  </si>
  <si>
    <t>UVA 10976</t>
  </si>
  <si>
    <t>CF101864-GYM-M</t>
  </si>
  <si>
    <t>CF182-D2-D</t>
  </si>
  <si>
    <t>CF186-D2-C</t>
  </si>
  <si>
    <t>CF424-D2-C</t>
  </si>
  <si>
    <t>CF588-D2-B</t>
  </si>
  <si>
    <t>UVA 10110</t>
  </si>
  <si>
    <t>UVA 12485</t>
  </si>
  <si>
    <t>CF71-D2-C</t>
  </si>
  <si>
    <t>SRM421-D2-500</t>
  </si>
  <si>
    <t>CF978-D3-E</t>
  </si>
  <si>
    <t>CSA59-B</t>
  </si>
  <si>
    <t>CF304-D2-C</t>
  </si>
  <si>
    <t>LIVEARCHIVE 3573</t>
  </si>
  <si>
    <t>CF488-D2-B</t>
  </si>
  <si>
    <t>LIVEARCHIVE 6027</t>
  </si>
  <si>
    <t>SRM343-D1-1000</t>
  </si>
  <si>
    <t>CF1076-D12-C</t>
  </si>
  <si>
    <t>TIMUS 1247</t>
  </si>
  <si>
    <t>SRM529-D2-1000</t>
  </si>
  <si>
    <t>CODECHEF GCDMOD</t>
  </si>
  <si>
    <t>CF534-D2-C</t>
  </si>
  <si>
    <t>CF102035-GYM-K</t>
  </si>
  <si>
    <t>CODECHEF MULTHREE</t>
  </si>
  <si>
    <t>CF785-D2-C</t>
  </si>
  <si>
    <t>CF86-D12-A</t>
  </si>
  <si>
    <t>TIMUS 1209</t>
  </si>
  <si>
    <t>UVA 1636</t>
  </si>
  <si>
    <t>SPOJ TAP2014B</t>
  </si>
  <si>
    <t>ZOJ 2143</t>
  </si>
  <si>
    <t>CF689-D2-C</t>
  </si>
  <si>
    <t>SRM146-D1-500</t>
  </si>
  <si>
    <t>UVA 12205</t>
  </si>
  <si>
    <t>UVA 10879</t>
  </si>
  <si>
    <t>UVA 386</t>
  </si>
  <si>
    <t>UVA 983</t>
  </si>
  <si>
    <t>CF900-D2-B</t>
  </si>
  <si>
    <t>LIVEARCHIVE 2557</t>
  </si>
  <si>
    <t>UVA 10106</t>
  </si>
  <si>
    <t>UVA 10469</t>
  </si>
  <si>
    <t>UVA 713</t>
  </si>
  <si>
    <t>UVA 12397</t>
  </si>
  <si>
    <t>SRM230-D1-500</t>
  </si>
  <si>
    <t>CF272-D2-D</t>
  </si>
  <si>
    <t>LIVEARCHIVE 3498</t>
  </si>
  <si>
    <t>SPOJ MIB</t>
  </si>
  <si>
    <t>UVA 153</t>
  </si>
  <si>
    <t>SRM498-D1-500</t>
  </si>
  <si>
    <t>UVA 11415</t>
  </si>
  <si>
    <t>SRM335-D2-500</t>
  </si>
  <si>
    <t>TJU 2188</t>
  </si>
  <si>
    <t>CF194-D2-D</t>
  </si>
  <si>
    <t>CF554-D2-D</t>
  </si>
  <si>
    <t>CF551-D2-D</t>
  </si>
  <si>
    <t>PKU 2116</t>
  </si>
  <si>
    <t>UVA 12041</t>
  </si>
  <si>
    <t>UVA 11582</t>
  </si>
  <si>
    <t>UVA 12620</t>
  </si>
  <si>
    <t>UVA 10627</t>
  </si>
  <si>
    <t>AtCoder-YahooProcon-C</t>
  </si>
  <si>
    <t>UVA 11164</t>
  </si>
  <si>
    <t>UVA 10339</t>
  </si>
  <si>
    <t>UVA 12725</t>
  </si>
  <si>
    <t>UVA 12851</t>
  </si>
  <si>
    <t>UVA 12853</t>
  </si>
  <si>
    <t>UVA 12959</t>
  </si>
  <si>
    <t>UVA 12992</t>
  </si>
  <si>
    <t>UVA 12447</t>
  </si>
  <si>
    <t>CF143-D2-D</t>
  </si>
  <si>
    <t>UVA 11298</t>
  </si>
  <si>
    <t>UVA 12918</t>
  </si>
  <si>
    <t>UVA 10868</t>
  </si>
  <si>
    <t>UVA 10751</t>
  </si>
  <si>
    <t>UVA 10209</t>
  </si>
  <si>
    <t>AtCoder004-AGC-A</t>
  </si>
  <si>
    <t>UVA 10161</t>
  </si>
  <si>
    <t>UVA 11847</t>
  </si>
  <si>
    <t>UVA 11112</t>
  </si>
  <si>
    <t>UVA 12464</t>
  </si>
  <si>
    <t>UVA 1315</t>
  </si>
  <si>
    <t>CF114-D2-E</t>
  </si>
  <si>
    <t>CF586-D2-E</t>
  </si>
  <si>
    <t>UVA 12848</t>
  </si>
  <si>
    <t>UVA 12832</t>
  </si>
  <si>
    <t>UVA 12852</t>
  </si>
  <si>
    <t>CF582-D1-C</t>
  </si>
  <si>
    <t>CF509-D2-D</t>
  </si>
  <si>
    <t>UVA 11256</t>
  </si>
  <si>
    <t>UVA 11522</t>
  </si>
  <si>
    <t>CF417-D2-E</t>
  </si>
  <si>
    <t>Atcoder038-AGC-C</t>
  </si>
  <si>
    <t>CF271-D2-E</t>
  </si>
  <si>
    <t>CF1230-D2-E</t>
  </si>
  <si>
    <t>CF357-D2-D</t>
  </si>
  <si>
    <t>UVA 11761</t>
  </si>
  <si>
    <t>UVA 493</t>
  </si>
  <si>
    <t>CF492-D2-E</t>
  </si>
  <si>
    <t>SRM179-D1-500</t>
  </si>
  <si>
    <t>UVA 1642</t>
  </si>
  <si>
    <t>UVA 12075</t>
  </si>
  <si>
    <t>SRM429-D1-500</t>
  </si>
  <si>
    <t>CF918-D2-D</t>
  </si>
  <si>
    <t>LiveArchive 6582</t>
  </si>
  <si>
    <t>AtCoder026-AGC-B</t>
  </si>
  <si>
    <t>CF1010-D1-C</t>
  </si>
  <si>
    <t>UVA 12792</t>
  </si>
  <si>
    <t>TIMUS 1286</t>
  </si>
  <si>
    <t>UVA 11971</t>
  </si>
  <si>
    <t>UVA 11633</t>
  </si>
  <si>
    <t>CF344-D2-C</t>
  </si>
  <si>
    <t>CF1055-D12-C</t>
  </si>
  <si>
    <t>CSA47-C</t>
  </si>
  <si>
    <t>UVA 11774</t>
  </si>
  <si>
    <t>CF236-D2-C</t>
  </si>
  <si>
    <t>SRM375-D2-1000</t>
  </si>
  <si>
    <t>UVA 12184</t>
  </si>
  <si>
    <t>SRM365-D1-500</t>
  </si>
  <si>
    <t>CF1091-D12-C</t>
  </si>
  <si>
    <t>CF592-D2-C</t>
  </si>
  <si>
    <t>CF102035-GYM-I</t>
  </si>
  <si>
    <t>UVA 10892</t>
  </si>
  <si>
    <t>UVA 10555</t>
  </si>
  <si>
    <t>CF894-D2-C</t>
  </si>
  <si>
    <t>CF88-D2-C</t>
  </si>
  <si>
    <t>UVA 10717</t>
  </si>
  <si>
    <t>UVA 10273</t>
  </si>
  <si>
    <t>TIMUS 1053</t>
  </si>
  <si>
    <t>UVA 412</t>
  </si>
  <si>
    <t>UVA 12060</t>
  </si>
  <si>
    <t>UVA 369</t>
  </si>
  <si>
    <t>SPOJ IMPUNITS</t>
  </si>
  <si>
    <t>SRM475-D1-500</t>
  </si>
  <si>
    <t>CF902-D2-D</t>
  </si>
  <si>
    <t>UVA 11087</t>
  </si>
  <si>
    <t>CF337-D2-C</t>
  </si>
  <si>
    <t>UVA 11155</t>
  </si>
  <si>
    <t>TJU 1028</t>
  </si>
  <si>
    <t>UVA 408</t>
  </si>
  <si>
    <t>SPOJ INTEGER1</t>
  </si>
  <si>
    <t>UVA 12253</t>
  </si>
  <si>
    <t>CF151-D2-D</t>
  </si>
  <si>
    <t>CF984-D2-C</t>
  </si>
  <si>
    <t>UVA 11718</t>
  </si>
  <si>
    <t>HACKR extremely-dangerous-virus</t>
  </si>
  <si>
    <t>UVA 374</t>
  </si>
  <si>
    <t>SRM552-D2-1000</t>
  </si>
  <si>
    <t>SRM369-D1-500</t>
  </si>
  <si>
    <t>SRM212-D1-500</t>
  </si>
  <si>
    <t>SRM453-D1-500</t>
  </si>
  <si>
    <t>SRM529-D1-500</t>
  </si>
  <si>
    <t>UVA 10799</t>
  </si>
  <si>
    <t>CODECHEF C2</t>
  </si>
  <si>
    <t>UVA 13031</t>
  </si>
  <si>
    <t>UVA 11260</t>
  </si>
  <si>
    <t>SRM231-D1-500</t>
  </si>
  <si>
    <t>UVA 10694</t>
  </si>
  <si>
    <t>LIVEARCHIVE 3521</t>
  </si>
  <si>
    <t>UVA 766</t>
  </si>
  <si>
    <t>CF616-D12-E</t>
  </si>
  <si>
    <t>CF599-D2-D</t>
  </si>
  <si>
    <t>CF731-D2-F</t>
  </si>
  <si>
    <t>UVA 1730</t>
  </si>
  <si>
    <t>CF476-D2-C</t>
  </si>
  <si>
    <t>UVA 10830</t>
  </si>
  <si>
    <t>CF76-D12-E</t>
  </si>
  <si>
    <t>CF201-D1-B</t>
  </si>
  <si>
    <t>UVA 12517</t>
  </si>
  <si>
    <t>HACKR jim-and-the-challenge</t>
  </si>
  <si>
    <t>SPOJ AFS2</t>
  </si>
  <si>
    <t>CF227-D2-C</t>
  </si>
  <si>
    <t>UVA 655</t>
  </si>
  <si>
    <t>UVA 11538</t>
  </si>
  <si>
    <t>UVA 11417</t>
  </si>
  <si>
    <t>UVA 12751</t>
  </si>
  <si>
    <t>UVA 12803</t>
  </si>
  <si>
    <t>UVA 288</t>
  </si>
  <si>
    <t>UVA 533</t>
  </si>
  <si>
    <t>UVA 708</t>
  </si>
  <si>
    <t>UVA 727</t>
  </si>
  <si>
    <t>UVA 11108</t>
  </si>
  <si>
    <t>UVA 12392</t>
  </si>
  <si>
    <t>UVA 11809</t>
  </si>
  <si>
    <t>UVA 11666</t>
  </si>
  <si>
    <t>UVA 11714</t>
  </si>
  <si>
    <t>SPOJ ACPC10E</t>
  </si>
  <si>
    <t>UVA 10343</t>
  </si>
  <si>
    <t>PKU 3191</t>
  </si>
  <si>
    <t>LIVEARCHIVE 4069</t>
  </si>
  <si>
    <t>SPOJ BHAT007</t>
  </si>
  <si>
    <t>CF113-D1-E</t>
  </si>
  <si>
    <t>CF145-D1-D</t>
  </si>
  <si>
    <t>CF698-D1-F</t>
  </si>
  <si>
    <t>HACKR value-of-all-permutations</t>
  </si>
  <si>
    <t>HACKR tile-painting-revisited</t>
  </si>
  <si>
    <t>SRM472-D1-500</t>
  </si>
  <si>
    <t>CF224-D2-E</t>
  </si>
  <si>
    <t>CF1205-D1-E</t>
  </si>
  <si>
    <t>AtCoder102-ARC-E</t>
  </si>
  <si>
    <t>CF380-D1-D</t>
  </si>
  <si>
    <t>CF1261-D1-F</t>
  </si>
  <si>
    <t>CF288-D1-D</t>
  </si>
  <si>
    <t>CF653-D12-G</t>
  </si>
  <si>
    <t>CF102032-GYM-E</t>
  </si>
  <si>
    <t>UVA 11261</t>
  </si>
  <si>
    <t>CF1109-D1-D</t>
  </si>
  <si>
    <t>SRM457-D1-500</t>
  </si>
  <si>
    <t>CODECHEF MDN</t>
  </si>
  <si>
    <t>CF834-D2-E</t>
  </si>
  <si>
    <t>UVA 12906</t>
  </si>
  <si>
    <t>UVA 1649</t>
  </si>
  <si>
    <t>CF833-D1-C</t>
  </si>
  <si>
    <t>HACKER influential-groups</t>
  </si>
  <si>
    <t>CF633-D12-E</t>
  </si>
  <si>
    <t>CF305-D2-D</t>
  </si>
  <si>
    <t>CF1065-D12-E</t>
  </si>
  <si>
    <t>UVA 11282</t>
  </si>
  <si>
    <t>SRM565-D2-1000</t>
  </si>
  <si>
    <t>CF1262-D2-F2</t>
  </si>
  <si>
    <t>CF336-D2-D</t>
  </si>
  <si>
    <t>CF691-D12-F</t>
  </si>
  <si>
    <t>UVA 10883</t>
  </si>
  <si>
    <t>CF109-D1-C</t>
  </si>
  <si>
    <t>CF893-D2-E</t>
  </si>
  <si>
    <t>CF1284-D12-E</t>
  </si>
  <si>
    <t>CF690-D12-D2</t>
  </si>
  <si>
    <t>AtCoder028-AGC-B</t>
  </si>
  <si>
    <t>CF938-D12-E</t>
  </si>
  <si>
    <t>UVA 11027</t>
  </si>
  <si>
    <t>AtCoder154-ABC-F</t>
  </si>
  <si>
    <t>CF1014980-GYM-D</t>
  </si>
  <si>
    <t>SRM555-D1-500</t>
  </si>
  <si>
    <t>SRM558-D1-500</t>
  </si>
  <si>
    <t>UVA 11481</t>
  </si>
  <si>
    <t>UVA 10733</t>
  </si>
  <si>
    <t>CF340-D2-E</t>
  </si>
  <si>
    <t>CSA82-D</t>
  </si>
  <si>
    <t>UVA 11028</t>
  </si>
  <si>
    <t>CODECHEF GMEDIAN</t>
  </si>
  <si>
    <t>CF1091-D12-D</t>
  </si>
  <si>
    <t>CF294-D2-C</t>
  </si>
  <si>
    <t>AtCoder150-ABC-E</t>
  </si>
  <si>
    <t>HACKR ajourney</t>
  </si>
  <si>
    <t>CF869-D2-C</t>
  </si>
  <si>
    <t>AtCoder132-ABC-D</t>
  </si>
  <si>
    <t>CF758-D2-C</t>
  </si>
  <si>
    <t>CF459-D2-C</t>
  </si>
  <si>
    <t>CF340-D2-C</t>
  </si>
  <si>
    <t>AtCoder156-ABC-E</t>
  </si>
  <si>
    <t>CF204-D1-A</t>
  </si>
  <si>
    <t>SRM302-D1-500</t>
  </si>
  <si>
    <t>UVA 10460</t>
  </si>
  <si>
    <t>CF810-D2-C</t>
  </si>
  <si>
    <t>HACKR maximum-palindromes</t>
  </si>
  <si>
    <t>SRM261-D1-500</t>
  </si>
  <si>
    <t>SRM504-D1-500</t>
  </si>
  <si>
    <t>CF110-D2-E</t>
  </si>
  <si>
    <t>TJU 1180</t>
  </si>
  <si>
    <t>UVA 11525</t>
  </si>
  <si>
    <t>SRM332-D1-1000</t>
  </si>
  <si>
    <t>SRM363-D1-500</t>
  </si>
  <si>
    <t>SRM465-D2-500</t>
  </si>
  <si>
    <t>CF289-D2-D</t>
  </si>
  <si>
    <t>SRM203-D1-500</t>
  </si>
  <si>
    <t>HACKR super-humble-matrix</t>
  </si>
  <si>
    <t>UVA 12893</t>
  </si>
  <si>
    <t>SPOJ ITRIX_E</t>
  </si>
  <si>
    <t>SPOJ PALACE</t>
  </si>
  <si>
    <t>CF131-D2-C</t>
  </si>
  <si>
    <t>CF152-D2-C</t>
  </si>
  <si>
    <t>UVA 11231</t>
  </si>
  <si>
    <t>HACKR number-list</t>
  </si>
  <si>
    <t>CF52-D12-B</t>
  </si>
  <si>
    <t>HACKR a-chocolate-fiesta</t>
  </si>
  <si>
    <t>HACKR picking-cards</t>
  </si>
  <si>
    <t>UVA 12712</t>
  </si>
  <si>
    <t>HACKR antipalindromic-strings</t>
  </si>
  <si>
    <t>CF1254-D1-E</t>
  </si>
  <si>
    <t>SRM160-D1-1000</t>
  </si>
  <si>
    <t>LIVEARCHIVE 3641</t>
  </si>
  <si>
    <t>TC(QUICKTABLEAU)</t>
  </si>
  <si>
    <t>TC(SHUFFLEMETHOD)</t>
  </si>
  <si>
    <t>UVA 12642</t>
  </si>
  <si>
    <t>UVA 10570</t>
  </si>
  <si>
    <t>UVA 11630</t>
  </si>
  <si>
    <t>SRM441-D2-1000</t>
  </si>
  <si>
    <t>LIVEARCHIVE 2481</t>
  </si>
  <si>
    <t>UVA 135</t>
  </si>
  <si>
    <t>UVA 11330</t>
  </si>
  <si>
    <t>CF584-D2-E</t>
  </si>
  <si>
    <t>SPOJ LEONARDO</t>
  </si>
  <si>
    <t>SRM280-D2-1000</t>
  </si>
  <si>
    <t>FbHkrCup 18-R1-B</t>
  </si>
  <si>
    <t>SRM391-D1-500</t>
  </si>
  <si>
    <t>CF986-D1-B</t>
  </si>
  <si>
    <t>SRM379-D2-1000</t>
  </si>
  <si>
    <t>UVA 306</t>
  </si>
  <si>
    <t>SRM572-D1-250</t>
  </si>
  <si>
    <t>SPOJ FACT2</t>
  </si>
  <si>
    <t>SRM216-D1-500</t>
  </si>
  <si>
    <t>CF338-D1-C</t>
  </si>
  <si>
    <t>CF1072-D2-F</t>
  </si>
  <si>
    <t>UVA 1635</t>
  </si>
  <si>
    <t>SRM200-D1-500</t>
  </si>
  <si>
    <t>SPOJ INVDIV</t>
  </si>
  <si>
    <t>UVA 12465</t>
  </si>
  <si>
    <t>UVA 12137</t>
  </si>
  <si>
    <t>CODECHEF B3</t>
  </si>
  <si>
    <t>CODECHEF CHEFDIV</t>
  </si>
  <si>
    <t>CF980-D2-D</t>
  </si>
  <si>
    <t>CODECHEF PERIODIC</t>
  </si>
  <si>
    <t>CF101856-gym-D</t>
  </si>
  <si>
    <t>CF102299-GYM-F</t>
  </si>
  <si>
    <t>CF831-D12-F</t>
  </si>
  <si>
    <t>CF300-D2-E</t>
  </si>
  <si>
    <t>CF180-D2-B</t>
  </si>
  <si>
    <t>UVA 11476</t>
  </si>
  <si>
    <t>LIVEARCHIVE 4390</t>
  </si>
  <si>
    <t>SPOJ PROOT</t>
  </si>
  <si>
    <t>SPOJ CZ_PROB2</t>
  </si>
  <si>
    <t>SRM743-D2-1000</t>
  </si>
  <si>
    <t>CF837-D12-E</t>
  </si>
  <si>
    <t>SPOJ FACT1</t>
  </si>
  <si>
    <t>CF1029-D3-F</t>
  </si>
  <si>
    <t>CF1033-D12-D</t>
  </si>
  <si>
    <t>CF851-D2-D</t>
  </si>
  <si>
    <t>UVA 11347</t>
  </si>
  <si>
    <t>UVA 12154</t>
  </si>
  <si>
    <t>UVA 12703</t>
  </si>
  <si>
    <t>CF100753-gym-F</t>
  </si>
  <si>
    <t>TIMUS 1854</t>
  </si>
  <si>
    <t>CF1047-D2-C</t>
  </si>
  <si>
    <t>LiveArchive 8085</t>
  </si>
  <si>
    <t>SPOJ ABA12D</t>
  </si>
  <si>
    <t>UVA 547</t>
  </si>
  <si>
    <t>CF1061-D2-C</t>
  </si>
  <si>
    <t>UVA 10622</t>
  </si>
  <si>
    <t>LIVEARCHIVE 3194</t>
  </si>
  <si>
    <t>SPOJ HS10SQFT</t>
  </si>
  <si>
    <t>UVA 11254</t>
  </si>
  <si>
    <t>UVA 10139</t>
  </si>
  <si>
    <t>Timus 1049</t>
  </si>
  <si>
    <t>SPOJ HDEVIL</t>
  </si>
  <si>
    <t>CF236-D2-B</t>
  </si>
  <si>
    <t>UVA 10490</t>
  </si>
  <si>
    <t>UVA 516</t>
  </si>
  <si>
    <t>UVA 1246</t>
  </si>
  <si>
    <t>LIVEARCHIVE 5987</t>
  </si>
  <si>
    <t>TJU 3579</t>
  </si>
  <si>
    <t>UVA 10699</t>
  </si>
  <si>
    <t>UVA 12043</t>
  </si>
  <si>
    <t>UVA 382</t>
  </si>
  <si>
    <t>UVA 583</t>
  </si>
  <si>
    <t>SPOJ HG</t>
  </si>
  <si>
    <t>UVA 294</t>
  </si>
  <si>
    <t>SRM444-D1-1000</t>
  </si>
  <si>
    <t>CODECHEF SEALCM</t>
  </si>
  <si>
    <t>CF585-D1-E</t>
  </si>
  <si>
    <t>CF1037-D12-F</t>
  </si>
  <si>
    <t>TIMUS 1940</t>
  </si>
  <si>
    <t>SRM455-D1-500</t>
  </si>
  <si>
    <t>HACKR cyclicquadruples</t>
  </si>
  <si>
    <t>UVA 11259</t>
  </si>
  <si>
    <t>CF83-D1-D</t>
  </si>
  <si>
    <t>CF451-D2-E</t>
  </si>
  <si>
    <t>CF1036-D2-F</t>
  </si>
  <si>
    <t>TIMUS 1675</t>
  </si>
  <si>
    <t>CF439-D2-E</t>
  </si>
  <si>
    <t>CF1008-D2-D</t>
  </si>
  <si>
    <t>CF1096-D12-E</t>
  </si>
  <si>
    <t>CF101992-GYM-D</t>
  </si>
  <si>
    <t>CF839-D2-D</t>
  </si>
  <si>
    <t>CF547-D1-C</t>
  </si>
  <si>
    <t>HACKR cube-loving-numbers</t>
  </si>
  <si>
    <t>HACKR mehta-and-the-typical-supermarket</t>
  </si>
  <si>
    <t>CF372-D1-B</t>
  </si>
  <si>
    <t>SRM176-D1-500</t>
  </si>
  <si>
    <t>CF101933-GYM-K</t>
  </si>
  <si>
    <t>SPOJ NGM2</t>
  </si>
  <si>
    <t>UVA 10325</t>
  </si>
  <si>
    <t>SPOJ EASYMATH</t>
  </si>
  <si>
    <t>CF371-D2-C</t>
  </si>
  <si>
    <t>ZOJ 2836</t>
  </si>
  <si>
    <t>UVA 11663</t>
  </si>
  <si>
    <t>UVA 12522</t>
  </si>
  <si>
    <t>LIVEARCHIVE 7233</t>
  </si>
  <si>
    <t>UVA 918</t>
  </si>
  <si>
    <t>UVA 491</t>
  </si>
  <si>
    <t>SRM550-D1-500</t>
  </si>
  <si>
    <t>UVA 10649</t>
  </si>
  <si>
    <t>UVA 11436</t>
  </si>
  <si>
    <t>UVA 10144</t>
  </si>
  <si>
    <t>UVA 10378</t>
  </si>
  <si>
    <t>UVA 11180</t>
  </si>
  <si>
    <t>UVA 11170</t>
  </si>
  <si>
    <t>SPOJ SQRROOT</t>
  </si>
  <si>
    <t>UVA 10294</t>
  </si>
  <si>
    <t>SRM495-D2-1000</t>
  </si>
  <si>
    <t>UVA 10666</t>
  </si>
  <si>
    <t>UVA 11986</t>
  </si>
  <si>
    <t>UVA 11012</t>
  </si>
  <si>
    <t>UVA 10089</t>
  </si>
  <si>
    <t>TIMUS 1619</t>
  </si>
  <si>
    <t>SRM378-D1-500</t>
  </si>
  <si>
    <t>UVA 11237</t>
  </si>
  <si>
    <t>UVA 10014</t>
  </si>
  <si>
    <t>UVA 10964</t>
  </si>
  <si>
    <t>UVA 10958</t>
  </si>
  <si>
    <t>UVA 12908</t>
  </si>
  <si>
    <t>UVA 10312</t>
  </si>
  <si>
    <t>UVA 10509</t>
  </si>
  <si>
    <t>PKU 1060</t>
  </si>
  <si>
    <t>UVA 498</t>
  </si>
  <si>
    <t>UVA 10302</t>
  </si>
  <si>
    <t>HACKR tower-3-coloring</t>
  </si>
  <si>
    <t>UVA 11055</t>
  </si>
  <si>
    <t>UVA 12027</t>
  </si>
  <si>
    <t>UVA 10223</t>
  </si>
  <si>
    <t>UVA 991</t>
  </si>
  <si>
    <t>UVA 10303</t>
  </si>
  <si>
    <t>UVA 10007</t>
  </si>
  <si>
    <t>CF577-D12-B</t>
  </si>
  <si>
    <t>UVA 10268</t>
  </si>
  <si>
    <t>UVA 10586</t>
  </si>
  <si>
    <t>TIMUS 1349</t>
  </si>
  <si>
    <t>UVA 10783</t>
  </si>
  <si>
    <t>UVA 11554</t>
  </si>
  <si>
    <t>UVA 10812</t>
  </si>
  <si>
    <t>CF200-D2-A</t>
  </si>
  <si>
    <t>CODECHEF INMAT</t>
  </si>
  <si>
    <t>CF385-D2-E</t>
  </si>
  <si>
    <t>LiveArchive 7619</t>
  </si>
  <si>
    <t>CODECHEF GUESSRT</t>
  </si>
  <si>
    <t>SPOJ DCEPC12E</t>
  </si>
  <si>
    <t>CF202-D2-C</t>
  </si>
  <si>
    <t>UVA 10016</t>
  </si>
  <si>
    <t>UVA 466</t>
  </si>
  <si>
    <t>CF227-D2-E</t>
  </si>
  <si>
    <t>UVA 12761</t>
  </si>
  <si>
    <t>HACKR towers</t>
  </si>
  <si>
    <t>UVA 12042</t>
  </si>
  <si>
    <t>UVA 12045</t>
  </si>
  <si>
    <t>UVA 12593</t>
  </si>
  <si>
    <t>UVA 11651</t>
  </si>
  <si>
    <t>CF1106-D2-F</t>
  </si>
  <si>
    <t>CF593-D2-E</t>
  </si>
  <si>
    <t>CF60-D12-E</t>
  </si>
  <si>
    <t>SRM446-D1-500</t>
  </si>
  <si>
    <t>UVA 11091</t>
  </si>
  <si>
    <t>UVA 11551</t>
  </si>
  <si>
    <t>UVA 12653</t>
  </si>
  <si>
    <t>UVA 12796</t>
  </si>
  <si>
    <t>CF576-D1-D</t>
  </si>
  <si>
    <t>PKU 1977</t>
  </si>
  <si>
    <t>SPOJ SUMMUL</t>
  </si>
  <si>
    <t>UVA 11675</t>
  </si>
  <si>
    <t>CF107-D1-D</t>
  </si>
  <si>
    <t>CF147-D12-B</t>
  </si>
  <si>
    <t>SRM306-D1-1000</t>
  </si>
  <si>
    <t>CF1182-D2-E</t>
  </si>
  <si>
    <t>Atcoder006-AGC-C</t>
  </si>
  <si>
    <t>CF514-D2-E</t>
  </si>
  <si>
    <t>SPOJ PLHOP</t>
  </si>
  <si>
    <t>UVA 11605</t>
  </si>
  <si>
    <t>LIVEARCHIVE 4332</t>
  </si>
  <si>
    <t>CF621-D2-E</t>
  </si>
  <si>
    <t>CF954-D12-F</t>
  </si>
  <si>
    <t>UVA 10655</t>
  </si>
  <si>
    <t>CF821-D2-E</t>
  </si>
  <si>
    <t>CF1117-D2-D</t>
  </si>
  <si>
    <t>SRM397-D1-500</t>
  </si>
  <si>
    <t>CF582-D1-B</t>
  </si>
  <si>
    <t>SPOJ JZPCIR</t>
  </si>
  <si>
    <t>UVA 11486</t>
  </si>
  <si>
    <t>CF691-D12-E</t>
  </si>
  <si>
    <t>SPOJ DCEPCA06</t>
  </si>
  <si>
    <t>CF222-D2-E</t>
  </si>
  <si>
    <t>SPOJ SUMSUMS</t>
  </si>
  <si>
    <t>SPOJ SPP</t>
  </si>
  <si>
    <t>SPOJ FIBOSUM</t>
  </si>
  <si>
    <t>SPOJ FLIB</t>
  </si>
  <si>
    <t>UVA 10229</t>
  </si>
  <si>
    <t>SPOJ RABBIT1</t>
  </si>
  <si>
    <t>TJU 2300</t>
  </si>
  <si>
    <t>UVA 10518</t>
  </si>
  <si>
    <t>SPOJ SEQ</t>
  </si>
  <si>
    <t>SPOJ FIBTWIST</t>
  </si>
  <si>
    <t>CF166-D2-E</t>
  </si>
  <si>
    <t>UVA 12470</t>
  </si>
  <si>
    <t>UVA 10689</t>
  </si>
  <si>
    <t>LIVEARCHIVE 3563</t>
  </si>
  <si>
    <t>LIVEARCHIVE 5129</t>
  </si>
  <si>
    <t>SRM306-D1-500</t>
  </si>
  <si>
    <t>UVA 472</t>
  </si>
  <si>
    <t>CF113-D1-D</t>
  </si>
  <si>
    <t>CF251-D1-D</t>
  </si>
  <si>
    <t>CF938-D12-G</t>
  </si>
  <si>
    <t>UVA 12953</t>
  </si>
  <si>
    <t>CF845-D12-G</t>
  </si>
  <si>
    <t>CF959-D2-F</t>
  </si>
  <si>
    <t>CSA xor_cycle</t>
  </si>
  <si>
    <t>SPOJ NWERC04H</t>
  </si>
  <si>
    <t>SRM350-D1-1000</t>
  </si>
  <si>
    <t>UVA 10109</t>
  </si>
  <si>
    <t>UVA 10828</t>
  </si>
  <si>
    <t>UVA 10766</t>
  </si>
  <si>
    <t>CF504-D1-D</t>
  </si>
  <si>
    <t>SPOJ resist</t>
  </si>
  <si>
    <t>CF0832-D2-E</t>
  </si>
  <si>
    <t>UVA 345</t>
  </si>
  <si>
    <t>UVA 11542</t>
  </si>
  <si>
    <t>CODECHEF TREASURE</t>
  </si>
  <si>
    <t>TIMUS 1042</t>
  </si>
  <si>
    <t>UVA 684</t>
  </si>
  <si>
    <t>LIVEARCHIVE 4305</t>
  </si>
  <si>
    <t>SPOJ XMAX</t>
  </si>
  <si>
    <t>CF1155-D12-E</t>
  </si>
  <si>
    <t>SPOJ MMIND</t>
  </si>
  <si>
    <t>LIVEARCHIVE 3529</t>
  </si>
  <si>
    <t>UVA 11319</t>
  </si>
  <si>
    <t>SPOJ HIGH</t>
  </si>
  <si>
    <t>UVA 11722</t>
  </si>
  <si>
    <t>HACKR james-tree</t>
  </si>
  <si>
    <t>LIVEARCHIVE 6394</t>
  </si>
  <si>
    <t>SRM313-D1-500</t>
  </si>
  <si>
    <t>LIVEARCHIVE 8049</t>
  </si>
  <si>
    <t>CF101-D1-D</t>
  </si>
  <si>
    <t>CF952-D12-D</t>
  </si>
  <si>
    <t>SRM199-D1-500</t>
  </si>
  <si>
    <t>CF668-D1-C</t>
  </si>
  <si>
    <t>CF445-D2-D</t>
  </si>
  <si>
    <t>UVA 12487</t>
  </si>
  <si>
    <t>LIVEARCHIVE 7161</t>
  </si>
  <si>
    <t>UVA 561</t>
  </si>
  <si>
    <t>CF364-D1-D</t>
  </si>
  <si>
    <t>SRM153-D1-500</t>
  </si>
  <si>
    <t>UVA 10091</t>
  </si>
  <si>
    <t>SRM503-D1-500</t>
  </si>
  <si>
    <t>CF1061-D2-F</t>
  </si>
  <si>
    <t>SRM417-D2-1000</t>
  </si>
  <si>
    <t>CF1096-D12-F</t>
  </si>
  <si>
    <t>PKU 3716</t>
  </si>
  <si>
    <t>SRM326-D1-1000</t>
  </si>
  <si>
    <t>CF163-D12-C</t>
  </si>
  <si>
    <t>UVA 11500</t>
  </si>
  <si>
    <t>CF110-D2-D</t>
  </si>
  <si>
    <t>CF26-D12-D</t>
  </si>
  <si>
    <t>SRM243-D1-500</t>
  </si>
  <si>
    <t>CF513-D12-C</t>
  </si>
  <si>
    <t>CF80-D2-D</t>
  </si>
  <si>
    <t>SRM153-D1-450</t>
  </si>
  <si>
    <t>CF186-D2-D</t>
  </si>
  <si>
    <t>UVa 11346</t>
  </si>
  <si>
    <t>CF442-D1-B</t>
  </si>
  <si>
    <t>UVA 12461</t>
  </si>
  <si>
    <t>CF100187-gym-B</t>
  </si>
  <si>
    <t>CF453-D1-A</t>
  </si>
  <si>
    <t>CF105-D12-B</t>
  </si>
  <si>
    <t>CF626-D12-D</t>
  </si>
  <si>
    <t>CF108-D2-D</t>
  </si>
  <si>
    <t>LiveArchive 8262</t>
  </si>
  <si>
    <t>UVA 12391</t>
  </si>
  <si>
    <t>CF101864-GYM-A</t>
  </si>
  <si>
    <t>UVa 11181</t>
  </si>
  <si>
    <t>SRM174-D1-250</t>
  </si>
  <si>
    <t>SRM223-D1-250</t>
  </si>
  <si>
    <t>SRM233-D1-250</t>
  </si>
  <si>
    <t>UVA 10056</t>
  </si>
  <si>
    <t>HACKR sherlock-and-probability</t>
  </si>
  <si>
    <t>SPOJ BALLSUM</t>
  </si>
  <si>
    <t>UVA 12952</t>
  </si>
  <si>
    <t>UVA 10491</t>
  </si>
  <si>
    <t>UVA 11564</t>
  </si>
  <si>
    <t>TJU 1296</t>
  </si>
  <si>
    <t>UVA 1181</t>
  </si>
  <si>
    <t>UVA 12039</t>
  </si>
  <si>
    <t>UVA 11802</t>
  </si>
  <si>
    <t>UVA 12805</t>
  </si>
  <si>
    <t>UVA 12384</t>
  </si>
  <si>
    <t>UVA 10956</t>
  </si>
  <si>
    <t>UVA 11490</t>
  </si>
  <si>
    <t>UVA 835</t>
  </si>
  <si>
    <t>UVA 11773</t>
  </si>
  <si>
    <t>UVA 12355</t>
  </si>
  <si>
    <t>UVA 12619</t>
  </si>
  <si>
    <t>UVA 10208</t>
  </si>
  <si>
    <t>UVA 12119</t>
  </si>
  <si>
    <t>SPOJ EASYFACT</t>
  </si>
  <si>
    <t>UVA 10236</t>
  </si>
  <si>
    <t>UVA 10914</t>
  </si>
  <si>
    <t>UVA 1434</t>
  </si>
  <si>
    <t>CF449-D1-C</t>
  </si>
  <si>
    <t>UVA 10290</t>
  </si>
  <si>
    <t>AtCoder003-AGC-D</t>
  </si>
  <si>
    <t>UVA 12216</t>
  </si>
  <si>
    <t>UVA 12716</t>
  </si>
  <si>
    <t>SPOJ POP2</t>
  </si>
  <si>
    <t>UVA 10419</t>
  </si>
  <si>
    <t>UVA 12005</t>
  </si>
  <si>
    <t>UVA 960</t>
  </si>
  <si>
    <t>SPOJ DCEPC505</t>
  </si>
  <si>
    <t>CF569-D2-C</t>
  </si>
  <si>
    <t>SPOJ PRIMPERM</t>
  </si>
  <si>
    <t>UVA 10484</t>
  </si>
  <si>
    <t>UVA 12396</t>
  </si>
  <si>
    <t>SPOJ NDIVPHI</t>
  </si>
  <si>
    <t>CF155-D2-D</t>
  </si>
  <si>
    <t>UVA 10742</t>
  </si>
  <si>
    <t>SPOJ PAGAIN</t>
  </si>
  <si>
    <t>UVA 11099</t>
  </si>
  <si>
    <t>UVA 10168</t>
  </si>
  <si>
    <t>SPOJ PSYCHON</t>
  </si>
  <si>
    <t>CF584-D2-D</t>
  </si>
  <si>
    <t>SPOJ FACTCG2</t>
  </si>
  <si>
    <t>UVA 11353</t>
  </si>
  <si>
    <t>UVA 1180</t>
  </si>
  <si>
    <t>SPOJ HARSHAD</t>
  </si>
  <si>
    <t>UVA 1195</t>
  </si>
  <si>
    <t>SPOJ GCPC11A</t>
  </si>
  <si>
    <t>UVA 12765</t>
  </si>
  <si>
    <t>SPOJ MAIN12B</t>
  </si>
  <si>
    <t>UVA 884</t>
  </si>
  <si>
    <t>UVA 11086</t>
  </si>
  <si>
    <t>SRM388-D2-1000</t>
  </si>
  <si>
    <t>LIVEARCHIVE 2247</t>
  </si>
  <si>
    <t>UVA 10394</t>
  </si>
  <si>
    <t>UVA 12542</t>
  </si>
  <si>
    <t>UVA 12802</t>
  </si>
  <si>
    <t>UVA 12101</t>
  </si>
  <si>
    <t>UVA 12218</t>
  </si>
  <si>
    <t>UVA 897</t>
  </si>
  <si>
    <t>UVA 11226</t>
  </si>
  <si>
    <t>UVA 1210</t>
  </si>
  <si>
    <t>UVA 1644</t>
  </si>
  <si>
    <t>LIVEARCHIVE 4735</t>
  </si>
  <si>
    <t>TJU 2869</t>
  </si>
  <si>
    <t>HACKR solve-equations</t>
  </si>
  <si>
    <t>CF100812-GYM-L</t>
  </si>
  <si>
    <t>UVA 10090</t>
  </si>
  <si>
    <t>UVA 10225</t>
  </si>
  <si>
    <t>UVA 10104</t>
  </si>
  <si>
    <t>UVA 10673</t>
  </si>
  <si>
    <t>UVA 12636</t>
  </si>
  <si>
    <t>SPOJ DPEQN</t>
  </si>
  <si>
    <t>CF1000963-GYM-J</t>
  </si>
  <si>
    <t>UVA 11768</t>
  </si>
  <si>
    <t>UVA 718</t>
  </si>
  <si>
    <t>CF100506-GYM-C</t>
  </si>
  <si>
    <t>LightOJ 1306</t>
  </si>
  <si>
    <t>SRM385-D2-1000</t>
  </si>
  <si>
    <t>HACKR irresponsible-numbers</t>
  </si>
  <si>
    <t>HACKR alien-flowers</t>
  </si>
  <si>
    <t>HACKR div-and-span</t>
  </si>
  <si>
    <t>HACKR ichigo-and-revenge</t>
  </si>
  <si>
    <t>HACKR count-fox-sequences</t>
  </si>
  <si>
    <t>HACKR longest-increasing-subsequence-arrays</t>
  </si>
  <si>
    <t>HACKR manasa-and-combinatorics</t>
  </si>
  <si>
    <t>SRM573-D1-1000</t>
  </si>
  <si>
    <t>SPOJ SKEY</t>
  </si>
  <si>
    <t>HACKR permutation-problem</t>
  </si>
  <si>
    <t>CF111-D1-D</t>
  </si>
  <si>
    <t>UVA 12749</t>
  </si>
  <si>
    <t>CODECHEF C3</t>
  </si>
  <si>
    <t>AtCoder031-AGC-D</t>
  </si>
  <si>
    <t>SPOJ POWPOW</t>
  </si>
  <si>
    <t>SPOJ hc12</t>
  </si>
  <si>
    <t>UVA 10951</t>
  </si>
  <si>
    <t>UVA 11904</t>
  </si>
  <si>
    <t>CF338-D1-D</t>
  </si>
  <si>
    <t>UVA 11754</t>
  </si>
  <si>
    <t>CF711-D2-E</t>
  </si>
  <si>
    <t>CF17-D12-D</t>
  </si>
  <si>
    <t>CF696-D1-C</t>
  </si>
  <si>
    <t>TIMUS 1554</t>
  </si>
  <si>
    <t>CF100155-GYM-J</t>
  </si>
  <si>
    <t>CF785-D2-D</t>
  </si>
  <si>
    <t>CF521-D1-C</t>
  </si>
  <si>
    <t>SRM735-D1-500</t>
  </si>
  <si>
    <t>CF146-D2-E</t>
  </si>
  <si>
    <t>SPOJ DIVEQL</t>
  </si>
  <si>
    <t>SPOJ KOPC12B</t>
  </si>
  <si>
    <t>CF816-D2-D</t>
  </si>
  <si>
    <t>CF689-D2-E</t>
  </si>
  <si>
    <t>CF688-D2-D</t>
  </si>
  <si>
    <t>LIVEARCHIVE 4506</t>
  </si>
  <si>
    <t>CF327-D2-C</t>
  </si>
  <si>
    <t>CF300-D2-C</t>
  </si>
  <si>
    <t>HACKR choose-and-calculate</t>
  </si>
  <si>
    <t>SRM467-D1-500</t>
  </si>
  <si>
    <t>TIMUS 1204</t>
  </si>
  <si>
    <t>LIVEARCHIVE 5990</t>
  </si>
  <si>
    <t>HACKR game-of-throne-ii</t>
  </si>
  <si>
    <t>TIMUS 1673</t>
  </si>
  <si>
    <t>CF1208-D12-G</t>
  </si>
  <si>
    <t>CODECHEF CNTDSETS</t>
  </si>
  <si>
    <t>UVA 10837</t>
  </si>
  <si>
    <t>LIVEARCHIVE 3343</t>
  </si>
  <si>
    <t>SRM283-D1-500</t>
  </si>
  <si>
    <t>UVA 10692</t>
  </si>
  <si>
    <t>SPOJ MSE08H</t>
  </si>
  <si>
    <t>UVA 11317</t>
  </si>
  <si>
    <t>UVA 12799</t>
  </si>
  <si>
    <t>CF906-D1-D</t>
  </si>
  <si>
    <t>UVA 11440</t>
  </si>
  <si>
    <t>UVA 12493</t>
  </si>
  <si>
    <t>CF114-D2-F</t>
  </si>
  <si>
    <t>CF100957-GYM-F</t>
  </si>
  <si>
    <t>TIMUS 1456</t>
  </si>
  <si>
    <t>UVA 10990</t>
  </si>
  <si>
    <t>UVA 11426</t>
  </si>
  <si>
    <t>HACKR hyperrectangle-gcd</t>
  </si>
  <si>
    <t>UVA 12425</t>
  </si>
  <si>
    <t>UVA 10820</t>
  </si>
  <si>
    <t>CF101778-GYM-C</t>
  </si>
  <si>
    <t>SPOJ LCMSUM</t>
  </si>
  <si>
    <t>UVA 10179</t>
  </si>
  <si>
    <t>CF1009-D2-D</t>
  </si>
  <si>
    <t>UVA 11424</t>
  </si>
  <si>
    <t>SPOJ DCEPCA03</t>
  </si>
  <si>
    <t>UVA 10299</t>
  </si>
  <si>
    <t>TJU 3300</t>
  </si>
  <si>
    <t>UVA 11327</t>
  </si>
  <si>
    <t>SPOJ GCDEX2</t>
  </si>
  <si>
    <t>CF101908-GYM-A</t>
  </si>
  <si>
    <t>CODECHEF LCM</t>
  </si>
  <si>
    <t>LIVEARCHIVE 4184</t>
  </si>
  <si>
    <t>SPOJ SQFREE</t>
  </si>
  <si>
    <t>CF803-D12-F</t>
  </si>
  <si>
    <t>CF900-D2-D</t>
  </si>
  <si>
    <t>CODECHEF EXGCD</t>
  </si>
  <si>
    <t>CODECHEF COPRIME3</t>
  </si>
  <si>
    <t>LIVEARCHIVE 2116</t>
  </si>
  <si>
    <t>LIVEARCHIVE 2729</t>
  </si>
  <si>
    <t>LIVEARCHIVE 3001</t>
  </si>
  <si>
    <t>UVA 1356</t>
  </si>
  <si>
    <t>SPOJ CERC07W</t>
  </si>
  <si>
    <t>SPOJ CIVIL</t>
  </si>
  <si>
    <t>SPOJ ORZ</t>
  </si>
  <si>
    <t>UVA 10341</t>
  </si>
  <si>
    <t>UVA 10668</t>
  </si>
  <si>
    <t>CODECHEF EST</t>
  </si>
  <si>
    <t>SRM490-D1-500</t>
  </si>
  <si>
    <t>UVA 13186</t>
  </si>
  <si>
    <t>UVA 1113</t>
  </si>
  <si>
    <t>CODECHEF PPTREE</t>
  </si>
  <si>
    <t>LIVEARCHIVE 5792</t>
  </si>
  <si>
    <t>CODECHEF GPD</t>
  </si>
  <si>
    <t>CF557-D2-E</t>
  </si>
  <si>
    <t>CF979-D2-D</t>
  </si>
  <si>
    <t>SPOJ PRHYME</t>
  </si>
  <si>
    <t>CSA42-E</t>
  </si>
  <si>
    <t>LIVEARCHIVE 4054</t>
  </si>
  <si>
    <t>CODECHEF SUBBXOR</t>
  </si>
  <si>
    <t>UVA 12506</t>
  </si>
  <si>
    <t>SPOJ TAP2012D</t>
  </si>
  <si>
    <t>UVA 10745</t>
  </si>
  <si>
    <t>CF100781-GYM-J</t>
  </si>
  <si>
    <t>PKU 3764</t>
  </si>
  <si>
    <t>HACKR XOR-key</t>
  </si>
  <si>
    <t>CODEJAM 19-R1C-A</t>
  </si>
  <si>
    <t>CF665-D12-E</t>
  </si>
  <si>
    <t>CF817-D12-E</t>
  </si>
  <si>
    <t>CF455-D1-B</t>
  </si>
  <si>
    <t>CF282-D2-E</t>
  </si>
  <si>
    <t>KICKSTART 20-RA-D</t>
  </si>
  <si>
    <t>UVA 10999</t>
  </si>
  <si>
    <t>CF842-D2-D</t>
  </si>
  <si>
    <t>CF271-D2-D</t>
  </si>
  <si>
    <t>CF706-D2-D</t>
  </si>
  <si>
    <t>SPOJ MORSE</t>
  </si>
  <si>
    <t>UVA 1401</t>
  </si>
  <si>
    <t>SPOJ ADAINDEX</t>
  </si>
  <si>
    <t>UVA 12333</t>
  </si>
  <si>
    <t>UVA 12890</t>
  </si>
  <si>
    <t>SRM330-D1-500</t>
  </si>
  <si>
    <t>SPOJ SUBXOR</t>
  </si>
  <si>
    <t>CODEJAM 19-R1A-C</t>
  </si>
  <si>
    <t>CF37-D12-C</t>
  </si>
  <si>
    <t>UVA 12526</t>
  </si>
  <si>
    <t>UVA 1556</t>
  </si>
  <si>
    <t>SPOJ DICT</t>
  </si>
  <si>
    <t>CF860-D1-B</t>
  </si>
  <si>
    <t>UVA 11488</t>
  </si>
  <si>
    <t>UVA 1590</t>
  </si>
  <si>
    <t>SPOJ PHONELST</t>
  </si>
  <si>
    <t>TJU 3753</t>
  </si>
  <si>
    <t>SPOJ CPATTERN</t>
  </si>
  <si>
    <t>SPOJ UNTITLED</t>
  </si>
  <si>
    <t>CF526-D12-D</t>
  </si>
  <si>
    <t>TIMUS 1861</t>
  </si>
  <si>
    <t>SPOJ ANARC08C</t>
  </si>
  <si>
    <t>CF1045-D12-B</t>
  </si>
  <si>
    <t>CF808-D12-G</t>
  </si>
  <si>
    <t>CF495-D2-D</t>
  </si>
  <si>
    <t>UVA 12785</t>
  </si>
  <si>
    <t>UVA 12040</t>
  </si>
  <si>
    <t>LIVEARCHIVE 6029</t>
  </si>
  <si>
    <t>SPOJ EMOTICON</t>
  </si>
  <si>
    <t>CF536-D1-B</t>
  </si>
  <si>
    <t>AtCoder150-ABC-F</t>
  </si>
  <si>
    <t>FbHkrCup 18-RQ-C</t>
  </si>
  <si>
    <t>UVA 12467</t>
  </si>
  <si>
    <t>SRM401-D2-1000</t>
  </si>
  <si>
    <t>CF1147-D1-B</t>
  </si>
  <si>
    <t>CF432-D2-D</t>
  </si>
  <si>
    <t>CF631-D2-D</t>
  </si>
  <si>
    <t>CF1138-D2-D</t>
  </si>
  <si>
    <t>CF535-D2-D</t>
  </si>
  <si>
    <t>TIMUS 1684</t>
  </si>
  <si>
    <t>UVA 12012</t>
  </si>
  <si>
    <t>UVA 11888</t>
  </si>
  <si>
    <t>CF471-D2-D</t>
  </si>
  <si>
    <t>CF346-D1-B</t>
  </si>
  <si>
    <t>SPOJ PSTRING</t>
  </si>
  <si>
    <t>CF347-D2-D</t>
  </si>
  <si>
    <t>SPOJ PERIOD</t>
  </si>
  <si>
    <t>SPOJ ARDA1</t>
  </si>
  <si>
    <t>SPOJ VPALIN</t>
  </si>
  <si>
    <t>SPOJ TESSER</t>
  </si>
  <si>
    <t>UVA 12604</t>
  </si>
  <si>
    <t>SPOJ QUERYSTR</t>
  </si>
  <si>
    <t>CODECHEF TASHIFT</t>
  </si>
  <si>
    <t>CF93-D1-B</t>
  </si>
  <si>
    <t>LIVEARCHIVE 3026</t>
  </si>
  <si>
    <t>SPOJ CF25E</t>
  </si>
  <si>
    <t>SPOJ EPALIN</t>
  </si>
  <si>
    <t>TJU 3512</t>
  </si>
  <si>
    <t>SPOJ NAJPF</t>
  </si>
  <si>
    <t>UVA 10298</t>
  </si>
  <si>
    <t>UVA 10679</t>
  </si>
  <si>
    <t>SPOJ NHAY</t>
  </si>
  <si>
    <t>UVA 11019</t>
  </si>
  <si>
    <t>SPOJ FILRTEST</t>
  </si>
  <si>
    <t>PKU 3461</t>
  </si>
  <si>
    <t>CF433-D2-E</t>
  </si>
  <si>
    <t>TJU 3301</t>
  </si>
  <si>
    <t>UVA 10975</t>
  </si>
  <si>
    <t>UVA 11171</t>
  </si>
  <si>
    <t>UVA 11468</t>
  </si>
  <si>
    <t>CF696-D1-D</t>
  </si>
  <si>
    <t>kattis insidersidentity</t>
  </si>
  <si>
    <t>UVA 12886</t>
  </si>
  <si>
    <t>UVA 11590</t>
  </si>
  <si>
    <t>UVA 10835</t>
  </si>
  <si>
    <t>CF101064-gym-E</t>
  </si>
  <si>
    <t>SPOJ AHOCUR</t>
  </si>
  <si>
    <t>SPOJ ADAJOBS</t>
  </si>
  <si>
    <t>SPOJ WPUZZLES</t>
  </si>
  <si>
    <t>UVA 12244</t>
  </si>
  <si>
    <t>LIVEARCHIVE 5064</t>
  </si>
  <si>
    <t>TIMUS 1269</t>
  </si>
  <si>
    <t>UVA 1449</t>
  </si>
  <si>
    <t>UVA 736</t>
  </si>
  <si>
    <t>CODECHEF LYRC</t>
  </si>
  <si>
    <t>SRM519-D1-500</t>
  </si>
  <si>
    <t>SRM557-D2-1000</t>
  </si>
  <si>
    <t>SPOJ SUB_PROB</t>
  </si>
  <si>
    <t>CF1063-D1-F</t>
  </si>
  <si>
    <t>CF653-D12-F</t>
  </si>
  <si>
    <t>CF101889-GYM-M</t>
  </si>
  <si>
    <t>SPOJ COT4</t>
  </si>
  <si>
    <t>SPOJ STRSOCU</t>
  </si>
  <si>
    <t>CF235-D1-C</t>
  </si>
  <si>
    <t>CODECHEF DIFTRIP</t>
  </si>
  <si>
    <t>SPOJ TWICE</t>
  </si>
  <si>
    <t>CF316-D12-G2</t>
  </si>
  <si>
    <t>LiveArchive 6856</t>
  </si>
  <si>
    <t>LiveArchive 7701</t>
  </si>
  <si>
    <t>LiveArchive 8086</t>
  </si>
  <si>
    <t>URI 1530</t>
  </si>
  <si>
    <t>CF802-D12-I</t>
  </si>
  <si>
    <t>SPOJ NSUBSTR2</t>
  </si>
  <si>
    <t>UVA 10829</t>
  </si>
  <si>
    <t>UVA 12359</t>
  </si>
  <si>
    <t>CF452-D12-E</t>
  </si>
  <si>
    <t>ACMWF19-G</t>
  </si>
  <si>
    <t>CODECHEF MOU1H</t>
  </si>
  <si>
    <t>CODECHEF TANDEM</t>
  </si>
  <si>
    <t>UVA 10526</t>
  </si>
  <si>
    <t>UVA 10580</t>
  </si>
  <si>
    <t>LIVEARCHIVE 5794</t>
  </si>
  <si>
    <t>CF102028-GYM-H</t>
  </si>
  <si>
    <t>CF1129-D1-C</t>
  </si>
  <si>
    <t>CF1073-D12-G</t>
  </si>
  <si>
    <t>CF873-D2-F</t>
  </si>
  <si>
    <t>LiveArchive 7702</t>
  </si>
  <si>
    <t>CF149-D2-E</t>
  </si>
  <si>
    <t>CF822-D2-E</t>
  </si>
  <si>
    <t>UVA 10234</t>
  </si>
  <si>
    <t>CF129-D2-D</t>
  </si>
  <si>
    <t>SPOJ JZPGYZ</t>
  </si>
  <si>
    <t>UVA 11017</t>
  </si>
  <si>
    <t>CF113-D1-B</t>
  </si>
  <si>
    <t>CF123-D1-D</t>
  </si>
  <si>
    <t>UVA 11107</t>
  </si>
  <si>
    <t>SPOJ LPS</t>
  </si>
  <si>
    <t>SPOJ LONGCS</t>
  </si>
  <si>
    <t>SPOJ PHRASES</t>
  </si>
  <si>
    <t>UVA 11512</t>
  </si>
  <si>
    <t>SPOJ REPEATS</t>
  </si>
  <si>
    <t>SPOJ MINMOVE</t>
  </si>
  <si>
    <t>SPOJ SUBLEX</t>
  </si>
  <si>
    <t>CF427-D2-D</t>
  </si>
  <si>
    <t>SPOJ SUBST1</t>
  </si>
  <si>
    <t>UVA 11576</t>
  </si>
  <si>
    <t>CF1080-D2-E</t>
  </si>
  <si>
    <t>CF1055-D12-D</t>
  </si>
  <si>
    <t>CF7-D12-D</t>
  </si>
  <si>
    <t>CF101627-GYM-D</t>
  </si>
  <si>
    <t>CF101864-GYM-J</t>
  </si>
  <si>
    <t>CF985-D12-F</t>
  </si>
  <si>
    <t>CF1056-D12-E</t>
  </si>
  <si>
    <t>CF101741-gym-K</t>
  </si>
  <si>
    <t>CF101808-gym-B</t>
  </si>
  <si>
    <t>CF533-D1-E</t>
  </si>
  <si>
    <t>CF727-D2-E</t>
  </si>
  <si>
    <t>TIMUS 1713</t>
  </si>
  <si>
    <t>CF19-D12-C</t>
  </si>
  <si>
    <t>CF1200-D2-E</t>
  </si>
  <si>
    <t>CF1003-D3-F</t>
  </si>
  <si>
    <t>HACKER kriti-and-her-birthday-gift</t>
  </si>
  <si>
    <t>SPOJ PLD</t>
  </si>
  <si>
    <t>SPOJ ELCS</t>
  </si>
  <si>
    <t>SPOJ ADACLEAN</t>
  </si>
  <si>
    <t>CF1172-D1-E</t>
  </si>
  <si>
    <t>CF1056-D12-G</t>
  </si>
  <si>
    <t>UVA 11688</t>
  </si>
  <si>
    <t>CF1109-D1-C</t>
  </si>
  <si>
    <t>UVA 11922</t>
  </si>
  <si>
    <t>CODECHEF GERALD07</t>
  </si>
  <si>
    <t>CODECHEF CARDSHUF</t>
  </si>
  <si>
    <t>SPOJ IITWPC4D</t>
  </si>
  <si>
    <t>CF38-D12-G</t>
  </si>
  <si>
    <t>SPOJ MEANARR</t>
  </si>
  <si>
    <t>UVA 11996</t>
  </si>
  <si>
    <t>SPOJ DYNACON1</t>
  </si>
  <si>
    <t>CF101864-GYM-K</t>
  </si>
  <si>
    <t>kattis hanoi18.lazylearner</t>
  </si>
  <si>
    <t>SPOJ CERC07S</t>
  </si>
  <si>
    <t>SPOJ GSS6</t>
  </si>
  <si>
    <t>SPOJ SEQ2</t>
  </si>
  <si>
    <t>UVA 12538</t>
  </si>
  <si>
    <t>UVA 1479</t>
  </si>
  <si>
    <t>CODECHEF PRESTIGE</t>
  </si>
  <si>
    <t>UVA 12003</t>
  </si>
  <si>
    <t>SPOJ ALLIN1</t>
  </si>
  <si>
    <t>SPOJ TWIST</t>
  </si>
  <si>
    <t>SPOJ ADAAPHID</t>
  </si>
  <si>
    <t>SPOJ TREAP</t>
  </si>
  <si>
    <t>SPOJ HEAPULM</t>
  </si>
  <si>
    <t>SPOJ SDITSAVL</t>
  </si>
  <si>
    <t>SPOJ KOILINE</t>
  </si>
  <si>
    <t>SPOJ QMAX3VN</t>
  </si>
  <si>
    <t>CF100147-GYM-G</t>
  </si>
  <si>
    <t>Codechef GERALD3</t>
  </si>
  <si>
    <t>HDU 4385</t>
  </si>
  <si>
    <t>HDU 4638</t>
  </si>
  <si>
    <t>HDU 5145</t>
  </si>
  <si>
    <t>HDU 5213</t>
  </si>
  <si>
    <t>HDU 5381</t>
  </si>
  <si>
    <t>LightOJ 1339</t>
  </si>
  <si>
    <t>Codechef CLOSEFAR</t>
  </si>
  <si>
    <t>CF351-D1-D</t>
  </si>
  <si>
    <t>CF940-D2-F</t>
  </si>
  <si>
    <t>SPOJ COT2</t>
  </si>
  <si>
    <t>CF840-D1-D</t>
  </si>
  <si>
    <t>CF1000-D12-F</t>
  </si>
  <si>
    <t>CF741-D1-D</t>
  </si>
  <si>
    <t>CF877-D2-F</t>
  </si>
  <si>
    <t>SPOJ ZQUERY</t>
  </si>
  <si>
    <t>SPOJ DCEPCA09</t>
  </si>
  <si>
    <t>CF375-D1-D</t>
  </si>
  <si>
    <t>CF86-D12-D</t>
  </si>
  <si>
    <t>CF617-D2-E</t>
  </si>
  <si>
    <t>SPOJ CPAIR2</t>
  </si>
  <si>
    <t>CODECHEF IITI15</t>
  </si>
  <si>
    <t>CF220-D1-B</t>
  </si>
  <si>
    <t>HACKER substrings-count-3</t>
  </si>
  <si>
    <t>SPOJ RACETIME</t>
  </si>
  <si>
    <t>SPOJ KDOMINO</t>
  </si>
  <si>
    <t>SPOJ DQUERY</t>
  </si>
  <si>
    <t>LIVEARCHIVE 2945</t>
  </si>
  <si>
    <t>UVA 12942</t>
  </si>
  <si>
    <t>CF9-D2-D</t>
  </si>
  <si>
    <t>UVA 11147</t>
  </si>
  <si>
    <t>LIVEARCHIVE 7578</t>
  </si>
  <si>
    <t>CF253-D2-E</t>
  </si>
  <si>
    <t>CF513-D12-D2</t>
  </si>
  <si>
    <t>CF734-D2-F</t>
  </si>
  <si>
    <t>CF127-D2-E</t>
  </si>
  <si>
    <t>CF1250-D12-G</t>
  </si>
  <si>
    <t>CF51-D12-D</t>
  </si>
  <si>
    <t>CF1307-D12-E</t>
  </si>
  <si>
    <t>CF218-D2-D</t>
  </si>
  <si>
    <t>CF733-D2-E</t>
  </si>
  <si>
    <t>CF521-D1-B</t>
  </si>
  <si>
    <t>LIVEARCHIVE 4118</t>
  </si>
  <si>
    <t>CF133-D2-D</t>
  </si>
  <si>
    <t>CF558-D2-D</t>
  </si>
  <si>
    <t>UVA 181</t>
  </si>
  <si>
    <t>CF520-D2-D</t>
  </si>
  <si>
    <t>CF139-D2-D</t>
  </si>
  <si>
    <t>CF292-D12-C</t>
  </si>
  <si>
    <t>CF630-D12-E</t>
  </si>
  <si>
    <t>CF677-D2-E</t>
  </si>
  <si>
    <t>SRM335-D1-1000</t>
  </si>
  <si>
    <t>CF714-D2-D</t>
  </si>
  <si>
    <t>LIVEARCHIVE 2997</t>
  </si>
  <si>
    <t>UVA 10906</t>
  </si>
  <si>
    <t>SRM188-D1-500</t>
  </si>
  <si>
    <t>UVA 10710</t>
  </si>
  <si>
    <t>CF320-D2-D</t>
  </si>
  <si>
    <t>CF1090-D12-C</t>
  </si>
  <si>
    <t>KICKSTART 19-RC-A</t>
  </si>
  <si>
    <t>CF1099-D2-E</t>
  </si>
  <si>
    <t>CF435-D2-D</t>
  </si>
  <si>
    <t>CF719-D2-C</t>
  </si>
  <si>
    <t>CSA79-D</t>
  </si>
  <si>
    <t>CF101187-GYM-F</t>
  </si>
  <si>
    <t>CF570-D2-C</t>
  </si>
  <si>
    <t>CF1042-D12-D</t>
  </si>
  <si>
    <t>CF350-D2-E</t>
  </si>
  <si>
    <t>CF405-D2-C</t>
  </si>
  <si>
    <t>CF114-D2-C</t>
  </si>
  <si>
    <t>CF463-D2-C</t>
  </si>
  <si>
    <t>CF734-D2-D</t>
  </si>
  <si>
    <t>SRM311-D1-1000</t>
  </si>
  <si>
    <t>UVA 11660</t>
  </si>
  <si>
    <t>CF143-D2-C</t>
  </si>
  <si>
    <t>CF433-D2-C</t>
  </si>
  <si>
    <t>LIVEARCHIVE 7587</t>
  </si>
  <si>
    <t>UVA 10479</t>
  </si>
  <si>
    <t>CF581-D2-D</t>
  </si>
  <si>
    <t>CF507-D2-C</t>
  </si>
  <si>
    <t>CF435-D2-C</t>
  </si>
  <si>
    <t>CF586-D2-C</t>
  </si>
  <si>
    <t>SRM582-D2-1000</t>
  </si>
  <si>
    <t>CF168-D2-C</t>
  </si>
  <si>
    <t>CF469-D2-C</t>
  </si>
  <si>
    <t>CF746-D2-C</t>
  </si>
  <si>
    <t>UVA 1115</t>
  </si>
  <si>
    <t>CF1282-D2-C</t>
  </si>
  <si>
    <t>CF421-D2-C</t>
  </si>
  <si>
    <t>CF382-D2-C</t>
  </si>
  <si>
    <t>CF1087-D2-C</t>
  </si>
  <si>
    <t>CF1077-D3-D</t>
  </si>
  <si>
    <t>ZOJ 2840</t>
  </si>
  <si>
    <t>UVA 127</t>
  </si>
  <si>
    <t>CF200-D2-D</t>
  </si>
  <si>
    <t>CF239-D2-C</t>
  </si>
  <si>
    <t>CF43-D2-D</t>
  </si>
  <si>
    <t>CF495-D2-C</t>
  </si>
  <si>
    <t>CF69-D2-C</t>
  </si>
  <si>
    <t>SRM324-D1-1000</t>
  </si>
  <si>
    <t>CF268-D2-C</t>
  </si>
  <si>
    <t>CF282-D2-C</t>
  </si>
  <si>
    <t>UVA 10877</t>
  </si>
  <si>
    <t>UVA 11291</t>
  </si>
  <si>
    <t>SRM362-D2-1000</t>
  </si>
  <si>
    <t>SRM421-D2-1000</t>
  </si>
  <si>
    <t>CF66-D2-A</t>
  </si>
  <si>
    <t>CF670-D2-C</t>
  </si>
  <si>
    <t>CF462-D2-C</t>
  </si>
  <si>
    <t>SRM259-D1-500</t>
  </si>
  <si>
    <t>CF1136-D2-C</t>
  </si>
  <si>
    <t>CF1062-D2-A</t>
  </si>
  <si>
    <t>SRM301-D2-500</t>
  </si>
  <si>
    <t>CF61-D2-C</t>
  </si>
  <si>
    <t>UVA 668</t>
  </si>
  <si>
    <t>CF47-D2-C</t>
  </si>
  <si>
    <t>TIMUS 1054</t>
  </si>
  <si>
    <t>CF101138-GYM-B</t>
  </si>
  <si>
    <t>UVA 13007</t>
  </si>
  <si>
    <t>UVA 10222</t>
  </si>
  <si>
    <t>SRM220-D1-500</t>
  </si>
  <si>
    <t>UVA 12187</t>
  </si>
  <si>
    <t>UVA 11955</t>
  </si>
  <si>
    <t>UVA 13034</t>
  </si>
  <si>
    <t>PKU 3158</t>
  </si>
  <si>
    <t>CF372-D1-D</t>
  </si>
  <si>
    <t>CF1252-D12-E</t>
  </si>
  <si>
    <t>CF408-D2-E</t>
  </si>
  <si>
    <t>CF1148-D12-E</t>
  </si>
  <si>
    <t>CF309-D12-B</t>
  </si>
  <si>
    <t>CF253-D2-D</t>
  </si>
  <si>
    <t>CF1195-D2-E</t>
  </si>
  <si>
    <t>CF102001-GYM-F</t>
  </si>
  <si>
    <t>CF224-D2-D</t>
  </si>
  <si>
    <t>CF281-D2-D</t>
  </si>
  <si>
    <t>CF746-D2-F</t>
  </si>
  <si>
    <t>UVA 1344</t>
  </si>
  <si>
    <t>LeetCode shortest-subarray-with-sum-at-least-k</t>
  </si>
  <si>
    <t>SPOJ KOIREP</t>
  </si>
  <si>
    <t>Dwango5th-C</t>
  </si>
  <si>
    <t>CF1043-D12-D</t>
  </si>
  <si>
    <t>CF883-D12-I</t>
  </si>
  <si>
    <t>CF6-D2-E</t>
  </si>
  <si>
    <t>CF79-D12-C</t>
  </si>
  <si>
    <t>CF334-D2-D</t>
  </si>
  <si>
    <t>CODECHEF REDCGAME</t>
  </si>
  <si>
    <t>CF368-D2-D</t>
  </si>
  <si>
    <t>CF190-D2-D</t>
  </si>
  <si>
    <t>CF676-D2-C</t>
  </si>
  <si>
    <t>CF131-D2-F</t>
  </si>
  <si>
    <t>CF788-D1-A</t>
  </si>
  <si>
    <t>SPOJ CRAN04</t>
  </si>
  <si>
    <t>CF100459-GYM-C</t>
  </si>
  <si>
    <t>CF155-D2-C</t>
  </si>
  <si>
    <t>LIVEARCHIVE 2932</t>
  </si>
  <si>
    <t>CF767-D2-D</t>
  </si>
  <si>
    <t>CF252-D2-C</t>
  </si>
  <si>
    <t>CODECHEF BDGFT</t>
  </si>
  <si>
    <t>CF231-D2-C</t>
  </si>
  <si>
    <t>CF101609-GYM-E</t>
  </si>
  <si>
    <t>CF216-D2-D</t>
  </si>
  <si>
    <t>SPOJ HOTELS</t>
  </si>
  <si>
    <t>SPOJ ALIEN</t>
  </si>
  <si>
    <t>UVA 909</t>
  </si>
  <si>
    <t>UVA 11578</t>
  </si>
  <si>
    <t>UVA 11598</t>
  </si>
  <si>
    <t>CF703-D2-E</t>
  </si>
  <si>
    <t>UVA 10618</t>
  </si>
  <si>
    <t>UVA 1244</t>
  </si>
  <si>
    <t>SRM340-D1-500</t>
  </si>
  <si>
    <t>UVA 10564</t>
  </si>
  <si>
    <t>CF101589-GYM-H</t>
  </si>
  <si>
    <t>UVA 709</t>
  </si>
  <si>
    <t>UVA 10086</t>
  </si>
  <si>
    <t>UVA 11404</t>
  </si>
  <si>
    <t>UVA 662</t>
  </si>
  <si>
    <t>UVA 116</t>
  </si>
  <si>
    <t>CF56-D2-D</t>
  </si>
  <si>
    <t>UVA 10645</t>
  </si>
  <si>
    <t>CF137-D2-D</t>
  </si>
  <si>
    <t>UVA 10665</t>
  </si>
  <si>
    <t>UVA 10453</t>
  </si>
  <si>
    <t>UVA 757</t>
  </si>
  <si>
    <t>LIVEARCHIVE 7577</t>
  </si>
  <si>
    <t>CF868-D12-F</t>
  </si>
  <si>
    <t>CF673-D12-E</t>
  </si>
  <si>
    <t>CF101982-gym-I</t>
  </si>
  <si>
    <t>ECPC17-J</t>
  </si>
  <si>
    <t>CF442-D1-D</t>
  </si>
  <si>
    <t>CF101741-gym-J</t>
  </si>
  <si>
    <t>HACKER sprint5-mining</t>
  </si>
  <si>
    <t>CF834-D2-D</t>
  </si>
  <si>
    <t>CF321-D1-E</t>
  </si>
  <si>
    <t>SPOJ NKLEAVES</t>
  </si>
  <si>
    <t>Timus 1167</t>
  </si>
  <si>
    <t>SRM607-D2-1000</t>
  </si>
  <si>
    <t>CF331-D12-C3</t>
  </si>
  <si>
    <t>SRM431-D1-500</t>
  </si>
  <si>
    <t>CF625-D2-D</t>
  </si>
  <si>
    <t>CF1245-D2-F</t>
  </si>
  <si>
    <t>CF55-D12-D</t>
  </si>
  <si>
    <t>CF215-D2-E</t>
  </si>
  <si>
    <t>CF855-D12-E</t>
  </si>
  <si>
    <t>CF507-D2-D</t>
  </si>
  <si>
    <t>CF1073-D2-E</t>
  </si>
  <si>
    <t>CF100324-GYM-A</t>
  </si>
  <si>
    <t>SRM526-D2-1000</t>
  </si>
  <si>
    <t>CF431-D2-D</t>
  </si>
  <si>
    <t>SRM741-D1-250</t>
  </si>
  <si>
    <t>UVA 11361</t>
  </si>
  <si>
    <t>SRM546-D1-500</t>
  </si>
  <si>
    <t>SRM546-D2-1000</t>
  </si>
  <si>
    <t>SPOJ DRACULA</t>
  </si>
  <si>
    <t>CF401-D2-D</t>
  </si>
  <si>
    <t>HACKER pr-numbers</t>
  </si>
  <si>
    <t>CF160-D2-C</t>
  </si>
  <si>
    <t>CF261-D1-C</t>
  </si>
  <si>
    <t>TIMUS 1057</t>
  </si>
  <si>
    <t>SPOJ KOPC12H</t>
  </si>
  <si>
    <t>CF276-D2-D</t>
  </si>
  <si>
    <t>SRM300-D1-500</t>
  </si>
  <si>
    <t>SRM437-D1-500</t>
  </si>
  <si>
    <t>SRM311-D1-500</t>
  </si>
  <si>
    <t>CF914-D12-C</t>
  </si>
  <si>
    <t>LIVEARCHIVE 7172</t>
  </si>
  <si>
    <t>CF815-D1-C</t>
  </si>
  <si>
    <t>CF440-D12-D</t>
  </si>
  <si>
    <t>CF618-D12-D</t>
  </si>
  <si>
    <t>lightoj 1252</t>
  </si>
  <si>
    <t>HACKER kingdom-division</t>
  </si>
  <si>
    <t>ZOJ 3213</t>
  </si>
  <si>
    <t>CODEJAM 08-AMERSemifinal-D</t>
  </si>
  <si>
    <t>TIMUS 1519</t>
  </si>
  <si>
    <t>SRM444-D1-500</t>
  </si>
  <si>
    <t>HDU 4285</t>
  </si>
  <si>
    <t>SRM449-D1-500</t>
  </si>
  <si>
    <t>SRM532-D2-1000</t>
  </si>
  <si>
    <t>CF324-D2-D</t>
  </si>
  <si>
    <t>LIVEARCHIVE 6663</t>
  </si>
  <si>
    <t>SPOJ SPIDY</t>
  </si>
  <si>
    <t>LIVEARCHIVE 5130</t>
  </si>
  <si>
    <t>LIVEARCHIVE 4247</t>
  </si>
  <si>
    <t>SRM411-D2-1000</t>
  </si>
  <si>
    <t>SRM371-D2-1000</t>
  </si>
  <si>
    <t>UVA 830</t>
  </si>
  <si>
    <t>CF318-D2-D</t>
  </si>
  <si>
    <t>CF723-D2-D</t>
  </si>
  <si>
    <t>Kattis coast</t>
  </si>
  <si>
    <t>UVA 10592</t>
  </si>
  <si>
    <t>UVA 11953</t>
  </si>
  <si>
    <t>UVA 1419</t>
  </si>
  <si>
    <t>UVA 784</t>
  </si>
  <si>
    <t>UVA 868</t>
  </si>
  <si>
    <t>UVA 722</t>
  </si>
  <si>
    <t>UVA 11094</t>
  </si>
  <si>
    <t>UVA 852</t>
  </si>
  <si>
    <t>UVA 782</t>
  </si>
  <si>
    <t>TIMUS 1033</t>
  </si>
  <si>
    <t>UVA 601</t>
  </si>
  <si>
    <t>UVA 352</t>
  </si>
  <si>
    <t>UVA 871</t>
  </si>
  <si>
    <t>SPOJ TREEISO</t>
  </si>
  <si>
    <t>UVA 10707</t>
  </si>
  <si>
    <t>SPOJ PAIRGRPH</t>
  </si>
  <si>
    <t>SPOJ TRANSL</t>
  </si>
  <si>
    <t>LIVEARCHIVE 2935</t>
  </si>
  <si>
    <t>CF560-D2-D</t>
  </si>
  <si>
    <t>UVA 12489</t>
  </si>
  <si>
    <t>TJU 3480</t>
  </si>
  <si>
    <t>SPOJ CODESPTI</t>
  </si>
  <si>
    <t>CF1100-D2-E</t>
  </si>
  <si>
    <t>AtCoder027-AGC-C</t>
  </si>
  <si>
    <t>UVA 1222</t>
  </si>
  <si>
    <t>CF812-D2-D</t>
  </si>
  <si>
    <t>LIVEARCHIVE 7154</t>
  </si>
  <si>
    <t>TC(MINIMALLABELS)</t>
  </si>
  <si>
    <t>SPOJ DAGCNT2</t>
  </si>
  <si>
    <t>CF274-D1-D</t>
  </si>
  <si>
    <t>CF681-D2-D</t>
  </si>
  <si>
    <t>SPOJ ALL</t>
  </si>
  <si>
    <t>SPOJ RPLA</t>
  </si>
  <si>
    <t>UVA 12645</t>
  </si>
  <si>
    <t>CF645-D12-D</t>
  </si>
  <si>
    <t>CF510-D2-C</t>
  </si>
  <si>
    <t>ACMWF19-E</t>
  </si>
  <si>
    <t>CF1068-D2-E</t>
  </si>
  <si>
    <t>UVA 11060</t>
  </si>
  <si>
    <t>CF655-D12-D</t>
  </si>
  <si>
    <t>UVA 11680</t>
  </si>
  <si>
    <t>CF501-D2-C</t>
  </si>
  <si>
    <t>CF825-D12-E</t>
  </si>
  <si>
    <t>LIVEARCHIVE 6195</t>
  </si>
  <si>
    <t>SRM516-D2-1000</t>
  </si>
  <si>
    <t>UVA 196</t>
  </si>
  <si>
    <t>UVA 12263</t>
  </si>
  <si>
    <t>CSA60-C</t>
  </si>
  <si>
    <t>UVA 11686</t>
  </si>
  <si>
    <t>SPOJ HMRO</t>
  </si>
  <si>
    <t>SPOJ DEPEND</t>
  </si>
  <si>
    <t>UVA 10305</t>
  </si>
  <si>
    <t>SPOJ MAKETREE</t>
  </si>
  <si>
    <t>CF132-D1-E</t>
  </si>
  <si>
    <t>LIVEARCHIVE 3811</t>
  </si>
  <si>
    <t>CODECHEF RIN</t>
  </si>
  <si>
    <t>UVA 1515</t>
  </si>
  <si>
    <t>CF724-D12-E</t>
  </si>
  <si>
    <t>CF434-D1-D</t>
  </si>
  <si>
    <t>CF1146-D12-G</t>
  </si>
  <si>
    <t>FbHkrCup 19-R1-С</t>
  </si>
  <si>
    <t>CF808-D12-F</t>
  </si>
  <si>
    <t>SPOJ OPTM</t>
  </si>
  <si>
    <t>UVA 11765</t>
  </si>
  <si>
    <t>UVA 11419</t>
  </si>
  <si>
    <t>LIVEARCHIVE 5099</t>
  </si>
  <si>
    <t>SPOJ BANKROB</t>
  </si>
  <si>
    <t>UVA 11506</t>
  </si>
  <si>
    <t>UVA 10480</t>
  </si>
  <si>
    <t>SRM334-D1-1000</t>
  </si>
  <si>
    <t>HACKR mathematical-expectation</t>
  </si>
  <si>
    <t>HACKR assignment</t>
  </si>
  <si>
    <t>HACKR random</t>
  </si>
  <si>
    <t>HACKR rirb</t>
  </si>
  <si>
    <t>SRM526.5-D1-500</t>
  </si>
  <si>
    <t>CF1194-D12-F</t>
  </si>
  <si>
    <t>HACKR kevin-and-expected-value</t>
  </si>
  <si>
    <t>CF1042-D2-E</t>
  </si>
  <si>
    <t>SRM487-D1-500</t>
  </si>
  <si>
    <t>CF172-D1-C</t>
  </si>
  <si>
    <t>HACKR matchstick-experiment</t>
  </si>
  <si>
    <t>SRM542-D2-1000</t>
  </si>
  <si>
    <t>CF138-D1-C</t>
  </si>
  <si>
    <t>UVA 1188</t>
  </si>
  <si>
    <t>CSA47-D</t>
  </si>
  <si>
    <t>CF280-D1-C</t>
  </si>
  <si>
    <t>CODECHEF EXPTPROD</t>
  </si>
  <si>
    <t>CF139-D2-E</t>
  </si>
  <si>
    <t>CF268-D2-E</t>
  </si>
  <si>
    <t>CODECHEF FSSYNC</t>
  </si>
  <si>
    <t>CF1009-D12-E</t>
  </si>
  <si>
    <t>CF846-D12-F</t>
  </si>
  <si>
    <t>CF101411-GYM-K</t>
  </si>
  <si>
    <t>SRM500-D2-500</t>
  </si>
  <si>
    <t>CF912-D2-D</t>
  </si>
  <si>
    <t>CF500-D12-D</t>
  </si>
  <si>
    <t>CF205-D2-E</t>
  </si>
  <si>
    <t>UVA 11667</t>
  </si>
  <si>
    <t>SRM515-D2-1000</t>
  </si>
  <si>
    <t>CF102020-GYM-E</t>
  </si>
  <si>
    <t>HACKR vertical-sticks</t>
  </si>
  <si>
    <t>CF621-D2-C</t>
  </si>
  <si>
    <t>CF443-D2-D</t>
  </si>
  <si>
    <t>CF454-D2-C</t>
  </si>
  <si>
    <t>CF839-D2-C</t>
  </si>
  <si>
    <t>UVA 10777</t>
  </si>
  <si>
    <t>CSA43-C</t>
  </si>
  <si>
    <t>HACKR lazy-sorting</t>
  </si>
  <si>
    <t>CODECHEF EDGEST</t>
  </si>
  <si>
    <t>CF487-D1-E</t>
  </si>
  <si>
    <t>CF348-D1-E</t>
  </si>
  <si>
    <t>CODECHEF DGCD</t>
  </si>
  <si>
    <t>CODECHEF QTREE6</t>
  </si>
  <si>
    <t>CF1017-D12-G</t>
  </si>
  <si>
    <t>CF1007-D1-D</t>
  </si>
  <si>
    <t>IPSC09-L</t>
  </si>
  <si>
    <t>CF101908-Gym-H</t>
  </si>
  <si>
    <t>SPOJ COT3</t>
  </si>
  <si>
    <t>SPOJ QTREE7</t>
  </si>
  <si>
    <t>CF696-D1-E</t>
  </si>
  <si>
    <t>CF613-D1-D</t>
  </si>
  <si>
    <t>CF601-D1-D</t>
  </si>
  <si>
    <t>CF588-D2-E</t>
  </si>
  <si>
    <t>CODECHEF MONOPLOY</t>
  </si>
  <si>
    <t>CF828-D2-F</t>
  </si>
  <si>
    <t>CODECHEF GERALD2</t>
  </si>
  <si>
    <t>CODECHEF QTREE</t>
  </si>
  <si>
    <t>SPOJ GOT</t>
  </si>
  <si>
    <t>CODECHEF QUERY</t>
  </si>
  <si>
    <t>Codechef INTRPATH</t>
  </si>
  <si>
    <t>SPOJ GSS7</t>
  </si>
  <si>
    <t>CF343-D1-D</t>
  </si>
  <si>
    <t>PKU 2763</t>
  </si>
  <si>
    <t>TIMUS 1553</t>
  </si>
  <si>
    <t>SPOJ QTREE3</t>
  </si>
  <si>
    <t>SPOJ QTREE</t>
  </si>
  <si>
    <t>SPOJ GRASSPLA</t>
  </si>
  <si>
    <t>LightOJ 1188</t>
  </si>
  <si>
    <t>CF1254-D1-D</t>
  </si>
  <si>
    <t>HACKR neighborhood-queries</t>
  </si>
  <si>
    <t>CF1205-D1-D</t>
  </si>
  <si>
    <t>CF833-D1-D</t>
  </si>
  <si>
    <t>CF914-D12-E</t>
  </si>
  <si>
    <t>CF100570-gym-F</t>
  </si>
  <si>
    <t>CODECHEF PRIMEDST</t>
  </si>
  <si>
    <t>HACKER bst-maintenance</t>
  </si>
  <si>
    <t>CF322-D2-E</t>
  </si>
  <si>
    <t>DCP 176</t>
  </si>
  <si>
    <t>SPOJ QTREE5</t>
  </si>
  <si>
    <t>CF766-D2-E</t>
  </si>
  <si>
    <t>CF101174-GYM-F</t>
  </si>
  <si>
    <t>CODECHEF TESTERS</t>
  </si>
  <si>
    <t>CF715-D1-C</t>
  </si>
  <si>
    <t>CF321-D1-C</t>
  </si>
  <si>
    <t>CF101856-GYM-E</t>
  </si>
  <si>
    <t>CF377-D1-E</t>
  </si>
  <si>
    <t>CF100829-GYM-A</t>
  </si>
  <si>
    <t>CF660-D12-F</t>
  </si>
  <si>
    <t>CODECHEF JUMP</t>
  </si>
  <si>
    <t>SPOJ GOODG</t>
  </si>
  <si>
    <t>HACKR geometry-queries</t>
  </si>
  <si>
    <t>CF1137-D1-E</t>
  </si>
  <si>
    <t>PKU 3266</t>
  </si>
  <si>
    <t>CODECHEF IAI</t>
  </si>
  <si>
    <t>CF1178-D12-G</t>
  </si>
  <si>
    <t>CF1175-D12-G</t>
  </si>
  <si>
    <t>CF931-D12-F</t>
  </si>
  <si>
    <t>CF455-D1-E</t>
  </si>
  <si>
    <t>CF932-D12-F</t>
  </si>
  <si>
    <t>kattis thief</t>
  </si>
  <si>
    <t>kattis yatp</t>
  </si>
  <si>
    <t>SPOJ TRAKA</t>
  </si>
  <si>
    <t>HACKR sword-profit</t>
  </si>
  <si>
    <t>SPOJ BAABO</t>
  </si>
  <si>
    <t>CF631-D2-E</t>
  </si>
  <si>
    <t>CF436-D12-F</t>
  </si>
  <si>
    <t>CF932-D1-F</t>
  </si>
  <si>
    <t>HACKR sprint5-mining</t>
  </si>
  <si>
    <t>CODECHEF CYCLRACE</t>
  </si>
  <si>
    <t>CF311-D1-B</t>
  </si>
  <si>
    <t>LIVEARCHIVE 5133</t>
  </si>
  <si>
    <t>SPOJ ACQUIRE</t>
  </si>
  <si>
    <t>CF319-D1-C</t>
  </si>
  <si>
    <t>CF1083-D1-E</t>
  </si>
  <si>
    <t>CF291-D2-E</t>
  </si>
  <si>
    <t>CF1009-D12-F</t>
  </si>
  <si>
    <t>SGU 507</t>
  </si>
  <si>
    <t>HACKER the-grass-type</t>
  </si>
  <si>
    <t>CF246-D2-E</t>
  </si>
  <si>
    <t>CF570-D2-D</t>
  </si>
  <si>
    <t>CF208-D2-E</t>
  </si>
  <si>
    <t>CF896-D1-E</t>
  </si>
  <si>
    <t>CF1083-D1-F</t>
  </si>
  <si>
    <t>CF487-D1-D</t>
  </si>
  <si>
    <t>CODECHEF PRINDRAG</t>
  </si>
  <si>
    <t>CF1182-D2-F</t>
  </si>
  <si>
    <t>CF1129-D1-D</t>
  </si>
  <si>
    <t>CF348-D1-C</t>
  </si>
  <si>
    <t>HACKR dynamic-trees</t>
  </si>
  <si>
    <t>CF455-D1-D</t>
  </si>
  <si>
    <t>CODECHEF MINXOR</t>
  </si>
  <si>
    <t>CF91-D1-E</t>
  </si>
  <si>
    <t>CF547-D1-E</t>
  </si>
  <si>
    <t>CF678-D12-F</t>
  </si>
  <si>
    <t>CODECHEF DOCSDEL</t>
  </si>
  <si>
    <t>CF101470-GYM-F</t>
  </si>
  <si>
    <t>CF13-D12-E</t>
  </si>
  <si>
    <t>HACKR competitive-teams</t>
  </si>
  <si>
    <t>CF551-D2-E</t>
  </si>
  <si>
    <t>CF342-D2-E</t>
  </si>
  <si>
    <t>CF797-D12-E</t>
  </si>
  <si>
    <t>CF1207-D12-F</t>
  </si>
  <si>
    <t>CF103-D1-D</t>
  </si>
  <si>
    <t>SPOJ FREQ2</t>
  </si>
  <si>
    <t>CF1279-D12-F</t>
  </si>
  <si>
    <t>CODECHEF CHEFAOR</t>
  </si>
  <si>
    <t>SPOJ BRKSTRNG</t>
  </si>
  <si>
    <t>UVA 12836</t>
  </si>
  <si>
    <t>UVA 10304</t>
  </si>
  <si>
    <t>CF704-D1-B</t>
  </si>
  <si>
    <t>CF626-D12-F</t>
  </si>
  <si>
    <t>CF367-D1-E</t>
  </si>
  <si>
    <t>CF466-D2-D</t>
  </si>
  <si>
    <t>CF101-D1-E</t>
  </si>
  <si>
    <t>CF739-D1-E</t>
  </si>
  <si>
    <t>CF674-D12-C</t>
  </si>
  <si>
    <t>CSA56-F</t>
  </si>
  <si>
    <t>SRM577-D1-500</t>
  </si>
  <si>
    <t>HACKER alien-languages</t>
  </si>
  <si>
    <t>CF101856-GYM-B</t>
  </si>
  <si>
    <t>CF119-D12-D</t>
  </si>
  <si>
    <t>CODECHEF STR_FUNC</t>
  </si>
  <si>
    <t>CODECHEF TIMETRAV</t>
  </si>
  <si>
    <t>LiveArchive 6985</t>
  </si>
  <si>
    <t>CODECHEF CSS</t>
  </si>
  <si>
    <t>CF800-D12-D</t>
  </si>
  <si>
    <t>CF101666-Gym-G</t>
  </si>
  <si>
    <t>CF102006-gym-F</t>
  </si>
  <si>
    <t>CSA78-E</t>
  </si>
  <si>
    <t>CODECHEF BEAUTY</t>
  </si>
  <si>
    <t>HACKR subset</t>
  </si>
  <si>
    <t>CF1033-D12-F</t>
  </si>
  <si>
    <t>CF449-D1-D</t>
  </si>
  <si>
    <t>CF1208-D12-F</t>
  </si>
  <si>
    <t>Innopolis 19-Final-B</t>
  </si>
  <si>
    <t>CODECHEF SUBSETS</t>
  </si>
  <si>
    <t>Atcoder100-ARC-C</t>
  </si>
  <si>
    <t>HACKER uchiha-brothers-and-two-products-circuit</t>
  </si>
  <si>
    <t>HACKER berland-programming-contests-9c8b5165</t>
  </si>
  <si>
    <t>CF383-D1-E</t>
  </si>
  <si>
    <t>CF165-D2-E</t>
  </si>
  <si>
    <t>Kickstart 19-RG-C</t>
  </si>
  <si>
    <t>HACKER special-pairs-7</t>
  </si>
  <si>
    <t>CF204-D1-E</t>
  </si>
  <si>
    <t>CODECHEF SUBQUERY</t>
  </si>
  <si>
    <t>CODECHEF TSUBSTR</t>
  </si>
  <si>
    <t>CF735-D2-E</t>
  </si>
  <si>
    <t>CF995-D1-F</t>
  </si>
  <si>
    <t>CF868-D12-E</t>
  </si>
  <si>
    <t>CF1179-D1-D</t>
  </si>
  <si>
    <t>CF23-D12-E</t>
  </si>
  <si>
    <t>CF1280-D1-D</t>
  </si>
  <si>
    <t>CF1266-D12-F</t>
  </si>
  <si>
    <t>CF816-D2-E</t>
  </si>
  <si>
    <t>CF294-D2-E</t>
  </si>
  <si>
    <t>CF805-D2-F</t>
  </si>
  <si>
    <t>CF581-D2-F</t>
  </si>
  <si>
    <t>LIVEARCHIVE 7236</t>
  </si>
  <si>
    <t>SPOJ TWOPATHS</t>
  </si>
  <si>
    <t>CF543-D1-D</t>
  </si>
  <si>
    <t>CODECHEF XDCOMP</t>
  </si>
  <si>
    <t>CF349-D2-D</t>
  </si>
  <si>
    <t>SRM386-D2-1000</t>
  </si>
  <si>
    <t>SPOJ MAIN75</t>
  </si>
  <si>
    <t>CF791-D2-D</t>
  </si>
  <si>
    <t>CF629-D2-E</t>
  </si>
  <si>
    <t>CF1060-D2-E</t>
  </si>
  <si>
    <t>CF1092-D3-F</t>
  </si>
  <si>
    <t>CF802-D12-K</t>
  </si>
  <si>
    <t>CF1263-D2-F</t>
  </si>
  <si>
    <t>UVA 11174</t>
  </si>
  <si>
    <t>CF1249-D3-F</t>
  </si>
  <si>
    <t>CF960-D12-E</t>
  </si>
  <si>
    <t>CF1088-D2-E</t>
  </si>
  <si>
    <t>HACKR sum-of-all-distances</t>
  </si>
  <si>
    <t>CF533-D1-B</t>
  </si>
  <si>
    <t>CF1241-D2-E</t>
  </si>
  <si>
    <t>UVA 12452</t>
  </si>
  <si>
    <t>CF101889-GYM-G</t>
  </si>
  <si>
    <t>UVA 10859</t>
  </si>
  <si>
    <t>CF461-D1-B</t>
  </si>
  <si>
    <t>CF1156-D12-E</t>
  </si>
  <si>
    <t>UVA 12093</t>
  </si>
  <si>
    <t>CF337-D2-D</t>
  </si>
  <si>
    <t>LiveArchive 6631</t>
  </si>
  <si>
    <t>SOPJ VOCV</t>
  </si>
  <si>
    <t>CODECHEF TREE02</t>
  </si>
  <si>
    <t>CF1084-D2-D</t>
  </si>
  <si>
    <t>CF814-D2-D</t>
  </si>
  <si>
    <t>CF1101-D12-D</t>
  </si>
  <si>
    <t>CF161-D12-D</t>
  </si>
  <si>
    <t>CF743-D2-D</t>
  </si>
  <si>
    <t>CSA-FiiCode1-D</t>
  </si>
  <si>
    <t>SPOJ PT07X</t>
  </si>
  <si>
    <t>CF1087-D2-E</t>
  </si>
  <si>
    <t>CF444-D1-D</t>
  </si>
  <si>
    <t>CF1113-D2-D</t>
  </si>
  <si>
    <t>CF514-D2-C</t>
  </si>
  <si>
    <t>CF438-D1-E</t>
  </si>
  <si>
    <t>CODECHEF SERSUM</t>
  </si>
  <si>
    <t>CODECHEF COUNTARI</t>
  </si>
  <si>
    <t>CF286-D1-E</t>
  </si>
  <si>
    <t>CODECHEF PFRUIT</t>
  </si>
  <si>
    <t>CODECHEF IMGOD</t>
  </si>
  <si>
    <t>CF528-D1-D</t>
  </si>
  <si>
    <t>CF1096-D2-G</t>
  </si>
  <si>
    <t>LIVEARCHIVE 7159</t>
  </si>
  <si>
    <t>CF1218-D12-D</t>
  </si>
  <si>
    <t>CODECHEF PSUM</t>
  </si>
  <si>
    <t>CODECHEF DOTIT</t>
  </si>
  <si>
    <t>CF993-D1-E</t>
  </si>
  <si>
    <t>CODECHEF TREDEG</t>
  </si>
  <si>
    <t>CF1218-D12-E</t>
  </si>
  <si>
    <t>CF632-D12-E</t>
  </si>
  <si>
    <t>SPOJ POLYMUL</t>
  </si>
  <si>
    <t>CODECHEF HAMILG</t>
  </si>
  <si>
    <t>CF1089-D12-B</t>
  </si>
  <si>
    <t>UOJ 171</t>
  </si>
  <si>
    <t>SPOJ ADABLOOM</t>
  </si>
  <si>
    <t>TIMUS 1099</t>
  </si>
  <si>
    <t>UVA 11439</t>
  </si>
  <si>
    <t>thinkable but need to increase speed</t>
  </si>
  <si>
    <t>already done(not seen)</t>
  </si>
  <si>
    <t>PREQUISITE FOR SOLVING THE PROBLEM</t>
  </si>
  <si>
    <t>clear concept of modula property (big integar) overflow handling</t>
  </si>
  <si>
    <t>need intuition gcd, exponential , for overflow check if two multiply are not greater than data type  (a%mod * b%mod)%mod a%mod*b%mod should fit in data type</t>
  </si>
  <si>
    <t>simple soe normal</t>
  </si>
  <si>
    <t>not opening</t>
  </si>
  <si>
    <t>https://youtu.be/MxiTG96QOxw</t>
  </si>
  <si>
    <t>learn conjecture Goldbach's Conjecture   https://www.geeksforgeeks.org/n-expressed-sum-4-prime-numbers/</t>
  </si>
  <si>
    <t>check constraint</t>
  </si>
  <si>
    <t>note: some time question are for higher complexity</t>
  </si>
  <si>
    <t>total no of spanning tree,  power(n,n-2)</t>
  </si>
  <si>
    <t>https://www.geeksforgeeks.org/total-number-spanning-trees-graph/#:~:text=If%20a%20graph%20is%20a,for%20which%20have%20Cayley's%20formula.</t>
  </si>
  <si>
    <t>escape</t>
  </si>
  <si>
    <t xml:space="preserve"> </t>
  </si>
  <si>
    <t>not done</t>
  </si>
  <si>
    <t>lcs</t>
  </si>
  <si>
    <t>I vs mod</t>
  </si>
  <si>
    <t>d</t>
  </si>
  <si>
    <t>Link</t>
  </si>
  <si>
    <t xml:space="preserve">About </t>
  </si>
  <si>
    <t>Application</t>
  </si>
  <si>
    <t>https://codeforces.com/blog/entry/82953</t>
  </si>
  <si>
    <t>lagrange interpolation</t>
  </si>
  <si>
    <t>matrix multiplication, palindrome</t>
  </si>
  <si>
    <t>recursion with dp (top down)</t>
  </si>
  <si>
    <t>longest palindromic subsequ--&gt; nested</t>
  </si>
  <si>
    <t>&lt;-&gt;</t>
  </si>
  <si>
    <t>Power Set</t>
  </si>
  <si>
    <t>Bit Manipulation</t>
  </si>
  <si>
    <t>left shift=multiply by 2 , even (2*x)^2=4*x^2 , odd=(2*x+1)^2=4*x^2+1+4*x</t>
  </si>
  <si>
    <t>Calculate square of a number without using *, / and pow()</t>
  </si>
  <si>
    <t>divi=quo*dis       divi=dis*(2^a+2^b+…...)</t>
  </si>
  <si>
    <t>Divide two integers without using multiplication, division and mod operator</t>
  </si>
  <si>
    <t>Copy set bits in a range</t>
  </si>
  <si>
    <t>Find position of the only set bit</t>
  </si>
  <si>
    <t>Program to find whether a no is power of two</t>
  </si>
  <si>
    <t>log n first bit come in 2, second in 4…...</t>
  </si>
  <si>
    <t>Count total set bits in all numbers from 1 to n</t>
  </si>
  <si>
    <t>Count number of bits to be flipped to convert A to B</t>
  </si>
  <si>
    <t>Find the two non-repeating elements in an array of repeating elements</t>
  </si>
  <si>
    <t>Count set bits in an integer</t>
  </si>
  <si>
    <t>Maximum Length of Pair Chain</t>
  </si>
  <si>
    <t>Dynamic Programming</t>
  </si>
  <si>
    <t>Find if a string is interleaved of two other strings</t>
  </si>
  <si>
    <t>Maximum profit by buying and selling a share at most k times</t>
  </si>
  <si>
    <t>Maximum sum rectangle in a 2D matrix</t>
  </si>
  <si>
    <t>Largest area rectangular sub-matrix with equal number of 1’s and 0’s [ IMP ]</t>
  </si>
  <si>
    <t>Largest rectangular sub-matrix whose sum is 0</t>
  </si>
  <si>
    <t>Boolean Parenthesization Problem</t>
  </si>
  <si>
    <t>Mobile Numeric Keypad Problem [ IMP ]</t>
  </si>
  <si>
    <t>Word Wrap Problem</t>
  </si>
  <si>
    <t>Palindrome PartitioningProblem</t>
  </si>
  <si>
    <t>Optimal Binary Search Tree</t>
  </si>
  <si>
    <t>Optimal Strategy for a Game</t>
  </si>
  <si>
    <t>Maximum profit by buying and selling a share at most twice [ IMP ]</t>
  </si>
  <si>
    <t>Count Derangements (Permutation such that no element appears in its original position) [ IMPORTANT ]</t>
  </si>
  <si>
    <t>Coin game winner where every player has three choices</t>
  </si>
  <si>
    <t>Weighted Job Scheduling</t>
  </si>
  <si>
    <t>Longest alternating subsequence</t>
  </si>
  <si>
    <t>Longest Palindromic Substring</t>
  </si>
  <si>
    <t>Count All Palindromic Subsequence in a given String</t>
  </si>
  <si>
    <t>Longest Palindromic Subsequence</t>
  </si>
  <si>
    <t>Partition problem</t>
  </si>
  <si>
    <t>Largest Independent Set Problem</t>
  </si>
  <si>
    <t>Word Break Problem</t>
  </si>
  <si>
    <t>Unbounded Knapsack (Repetition of items allowed)</t>
  </si>
  <si>
    <t>Smallest sum contiguous subarray</t>
  </si>
  <si>
    <t>LargestSum Contiguous Subarray [V&gt;V&gt;V&gt;V IMP ]</t>
  </si>
  <si>
    <t>Count Balanced Binary Trees of Height h</t>
  </si>
  <si>
    <t>Count number of ways to reacha given score in a game</t>
  </si>
  <si>
    <t>Longest Common Substring</t>
  </si>
  <si>
    <t>Minimum removals from array to make max –min &lt;= K</t>
  </si>
  <si>
    <t>unbounded kanpsack</t>
  </si>
  <si>
    <t>Minimum cost to fill given weight in a bag</t>
  </si>
  <si>
    <t>Minimum number of jumps to reach end</t>
  </si>
  <si>
    <t>Maximum difference of zeros and ones in binary string</t>
  </si>
  <si>
    <t>Min Cost PathProblem</t>
  </si>
  <si>
    <t>Maximum sum of pairs with specific difference</t>
  </si>
  <si>
    <t>Maximum size square sub-matrix with all 1s</t>
  </si>
  <si>
    <t>Maximum Length Chain of Pairs</t>
  </si>
  <si>
    <t>Egg Dropping Problem</t>
  </si>
  <si>
    <t>Maximum subsequence sum such that no three are consecutive</t>
  </si>
  <si>
    <t>Longest subsequence such that difference between adjacent is one</t>
  </si>
  <si>
    <t>Count all subsequences having product less than K</t>
  </si>
  <si>
    <t>Maximum Sum Increasing Subsequence</t>
  </si>
  <si>
    <t>LCS (Longest Common Subsequence) of three strings</t>
  </si>
  <si>
    <t>Space Optimized Solution of LCS</t>
  </si>
  <si>
    <t>Longest Increasing Subsequence</t>
  </si>
  <si>
    <t>Longest Repeated Subsequence</t>
  </si>
  <si>
    <t>Longest Common Subsequence</t>
  </si>
  <si>
    <t>Maximize The Cut Segments</t>
  </si>
  <si>
    <t>Painting the Fenceproblem</t>
  </si>
  <si>
    <t>Assembly Line SchedulingProblem</t>
  </si>
  <si>
    <t>Gold Mine Problem</t>
  </si>
  <si>
    <t>Friends Pairing Problem</t>
  </si>
  <si>
    <t>Subset Sum Problem</t>
  </si>
  <si>
    <t>Edit Distance</t>
  </si>
  <si>
    <t>Matrix Chain Multiplication </t>
  </si>
  <si>
    <t>https://wikimedia.org/api/rest_v1/media/math/render/svg/5c513933c476c27b9c623605771cacedd13926e0</t>
  </si>
  <si>
    <t>Program for nth Catalan Number</t>
  </si>
  <si>
    <t xml:space="preserve">P(n, k) = P(n-1, k) + k* P(n-1, k-1) </t>
  </si>
  <si>
    <t>Permutation CoefficientProblem</t>
  </si>
  <si>
    <t>Binomial CoefficientProblem</t>
  </si>
  <si>
    <t>Knapsack Problem</t>
  </si>
  <si>
    <t>Coin ChangeProblem</t>
  </si>
  <si>
    <t>Print unique rows in a given boolean matrix</t>
  </si>
  <si>
    <t>Trie</t>
  </si>
  <si>
    <t>Implement a Phone Directory</t>
  </si>
  <si>
    <t>Given a sequence of words, print all anagrams together</t>
  </si>
  <si>
    <t>Word Break Problem | (Trie solution)</t>
  </si>
  <si>
    <t>Find shortest unique prefix for every word in a given list</t>
  </si>
  <si>
    <t>Construct a trie from scratch</t>
  </si>
  <si>
    <t>Two Clique Problem</t>
  </si>
  <si>
    <t>Minimise the cashflow among a given set of friends who have borrowed money from each other</t>
  </si>
  <si>
    <t>Number of Triangles in a Directed and Undirected Graph</t>
  </si>
  <si>
    <t>Chinese Postman or Route Inspection</t>
  </si>
  <si>
    <t>Vertex Cover Problem</t>
  </si>
  <si>
    <t>Paths to travel each nodes using each edge(Seven Bridges)</t>
  </si>
  <si>
    <t>Minimum edges to reverse o make path from source to destination</t>
  </si>
  <si>
    <t>M-ColouringProblem</t>
  </si>
  <si>
    <t>Find if there is a path of more thank length from a source</t>
  </si>
  <si>
    <t>Water Jug problem using BFS</t>
  </si>
  <si>
    <t>Oliver and the Game</t>
  </si>
  <si>
    <t>Cheapest Flights Within K Stops</t>
  </si>
  <si>
    <t>Journey to the Moon</t>
  </si>
  <si>
    <t>Longest path in a Directed Acyclic Graph</t>
  </si>
  <si>
    <t>Detect Negative cycle in a graph</t>
  </si>
  <si>
    <t>Check whether a graph is Bipartite or Not</t>
  </si>
  <si>
    <t>Count Strongly connected Components(Kosaraju Algo)</t>
  </si>
  <si>
    <t>Find bridge in a graph</t>
  </si>
  <si>
    <t>Snake and Ladders Problem</t>
  </si>
  <si>
    <t>Graph ColouringProblem</t>
  </si>
  <si>
    <t>Travelling Salesman Problem</t>
  </si>
  <si>
    <t>Implement Floyd warshallAlgorithm</t>
  </si>
  <si>
    <t>Implement Bellman Ford Algorithm</t>
  </si>
  <si>
    <t>Total no. of Spanning tree in a graph</t>
  </si>
  <si>
    <t>Implement Prim’s Algorithm</t>
  </si>
  <si>
    <t>Implement Kruksal’sAlgorithm</t>
  </si>
  <si>
    <t>Given a sorted Dictionary of an Alien Language, find order of characters</t>
  </si>
  <si>
    <t>Find the no. of Isalnds</t>
  </si>
  <si>
    <t>Find whether it is possible to finish all tasks or not from given dependencies</t>
  </si>
  <si>
    <t>Minimum time taken by each job to be completed given by a Directed Acyclic Graph</t>
  </si>
  <si>
    <t xml:space="preserve">Implement Topological Sort </t>
  </si>
  <si>
    <t>Dijkstra algo</t>
  </si>
  <si>
    <t xml:space="preserve">word Ladder </t>
  </si>
  <si>
    <t>Making wired Connections</t>
  </si>
  <si>
    <t>Clone a graph</t>
  </si>
  <si>
    <t>flood fill algo</t>
  </si>
  <si>
    <t>Minimum Step by Knight</t>
  </si>
  <si>
    <t>Search in a Maze</t>
  </si>
  <si>
    <t xml:space="preserve">Detect Cycle in UnDirected Graph using BFS/DFS Algo </t>
  </si>
  <si>
    <t xml:space="preserve">Detect Cycle in Directed Graph using BFS/DFS Algo </t>
  </si>
  <si>
    <t xml:space="preserve">Implement DFS Algo </t>
  </si>
  <si>
    <t xml:space="preserve">Implement BFS algorithm </t>
  </si>
  <si>
    <t>Create a Graph, print it</t>
  </si>
  <si>
    <t>Minimum sum of two numbers formed from digits of an array</t>
  </si>
  <si>
    <t>Heap</t>
  </si>
  <si>
    <t>Rearrange characters in a string such that no two adjacent are same.</t>
  </si>
  <si>
    <t>Convert min heap to max heap</t>
  </si>
  <si>
    <t>Convert BST to Min Heap</t>
  </si>
  <si>
    <t>Connect “n” ropes with minimum cost</t>
  </si>
  <si>
    <t>Check if a Binary Tree is Heap</t>
  </si>
  <si>
    <t>Median in a stream of Integers</t>
  </si>
  <si>
    <t>Smallest range in “K” Lists</t>
  </si>
  <si>
    <t>Merge “K” Sorted Linked Lists [V.IMP]</t>
  </si>
  <si>
    <t>Leetcode- reorganize strings</t>
  </si>
  <si>
    <t>Kth largest sum continuous subarrays</t>
  </si>
  <si>
    <t>Merge 2 Binary Max Heaps</t>
  </si>
  <si>
    <t>Merge “K” sorted arrays. [ IMP ]</t>
  </si>
  <si>
    <t>Kth smallest and largest element in an unsorted array</t>
  </si>
  <si>
    <t>“k” largest element in an array</t>
  </si>
  <si>
    <t>Maximum of all subarrays of size k.</t>
  </si>
  <si>
    <t>Sort an Array using heap. (HeapSort)</t>
  </si>
  <si>
    <t>Implement a Maxheap/MinHeap using arrays and recursion.</t>
  </si>
  <si>
    <t>Next Smaller Element</t>
  </si>
  <si>
    <t>Stacks &amp; Queues</t>
  </si>
  <si>
    <t>Queue based approach or first non-repeating character in a stream.</t>
  </si>
  <si>
    <t>Minimum sum of squares of character counts in a given string after removing “k” characters.</t>
  </si>
  <si>
    <t>Sum of minimum and maximum elements of all subarrays of size “k”.</t>
  </si>
  <si>
    <t>Check if all levels of two trees are anagrams or not.</t>
  </si>
  <si>
    <t>First negative integer in every window of size “k”</t>
  </si>
  <si>
    <t>Distance of nearest cell having 1 in a binary matrix</t>
  </si>
  <si>
    <t>Minimum time required to rot all oranges</t>
  </si>
  <si>
    <t>Find the first circular tour that visits all Petrol Pumps</t>
  </si>
  <si>
    <t>Interleave the first half of the queue with second half</t>
  </si>
  <si>
    <t>Reverse the first “K” elements of a queue</t>
  </si>
  <si>
    <t>Reverse a Queue using recursion</t>
  </si>
  <si>
    <t>LRU Cache Implementationa</t>
  </si>
  <si>
    <t>Implement a Circular queue</t>
  </si>
  <si>
    <t>Implement "n" queue in an array</t>
  </si>
  <si>
    <t xml:space="preserve">Implement Queue using Stack  </t>
  </si>
  <si>
    <t>Stack Permutations (Check if an array is stack permutation of other)</t>
  </si>
  <si>
    <t>Implement Stack using Deque</t>
  </si>
  <si>
    <t>Implement Stack using Queue</t>
  </si>
  <si>
    <t>Expression contains redundant bracket or not</t>
  </si>
  <si>
    <t>Length of the Longest Valid Substring</t>
  </si>
  <si>
    <t>Largest rectangular Area in Histogram</t>
  </si>
  <si>
    <t>Merge Overlapping Intervals</t>
  </si>
  <si>
    <t>Sort a Stack using recursion</t>
  </si>
  <si>
    <t>Reverse a stack using recursion</t>
  </si>
  <si>
    <t>Implement a method to insert an element at its bottom without using any other data structure.</t>
  </si>
  <si>
    <t>Evaluation of Postfix expression</t>
  </si>
  <si>
    <t>Arithmetic Expression evaluation</t>
  </si>
  <si>
    <t>The celebrity Problem</t>
  </si>
  <si>
    <t>Find the next Greater element</t>
  </si>
  <si>
    <t>Design a Stack that supports getMin() in O(1) time and O(1) extra space.</t>
  </si>
  <si>
    <t>Reverse a String using Stack</t>
  </si>
  <si>
    <t>Check the expression has valid or Balanced parenthesis or not.</t>
  </si>
  <si>
    <t>Implement "N" stacks in an Array</t>
  </si>
  <si>
    <t>find the middle element of a stack</t>
  </si>
  <si>
    <t>Implement 2 stack in an array</t>
  </si>
  <si>
    <t xml:space="preserve"> Implement Queue from Scratch</t>
  </si>
  <si>
    <t xml:space="preserve"> Implement Stack from Scratch</t>
  </si>
  <si>
    <t>Find the K-th Permutation Sequence of first N natural numbers</t>
  </si>
  <si>
    <t>BackTracking</t>
  </si>
  <si>
    <t>Partition of a set intoK subsets with equal sum</t>
  </si>
  <si>
    <t>Print all possible paths from top left to bottom right of a mXn matrix</t>
  </si>
  <si>
    <t>Longest Possible Route in a Matrix with Hurdles</t>
  </si>
  <si>
    <t>Find if there is a path of more than k length from a source</t>
  </si>
  <si>
    <t xml:space="preserve">Print all permutations of a string </t>
  </si>
  <si>
    <t>Find Maximum number possible by doing at-most K swaps</t>
  </si>
  <si>
    <t>Combinational Sum</t>
  </si>
  <si>
    <t>Find shortest safe route in a path with landmines</t>
  </si>
  <si>
    <t>Tug of War</t>
  </si>
  <si>
    <t>The Knight’s tour problem</t>
  </si>
  <si>
    <t>Print all palindromic partitions of a string</t>
  </si>
  <si>
    <t>m Coloring Problem</t>
  </si>
  <si>
    <t>Sudoku Solver</t>
  </si>
  <si>
    <t>Remove Invalid Parentheses</t>
  </si>
  <si>
    <t>Word Break Problem using Backtracking</t>
  </si>
  <si>
    <t>Printing all solutions in N-Queen Problem</t>
  </si>
  <si>
    <t>Rat in a maze Problem</t>
  </si>
  <si>
    <t>Find maximum sum possible equal sum of three stacks</t>
  </si>
  <si>
    <t>Greedy</t>
  </si>
  <si>
    <t>Rearrange characters in a string such that no two adjacent are same</t>
  </si>
  <si>
    <t>Find smallest number with given number of digits and sum of digits</t>
  </si>
  <si>
    <t>Minimum Cost of ropes</t>
  </si>
  <si>
    <t>K Centers Problem</t>
  </si>
  <si>
    <t>ARRANGE -Arranging Amplifiers</t>
  </si>
  <si>
    <t>CHOCOLA –Chocolate</t>
  </si>
  <si>
    <t>Picking Up Chicks</t>
  </si>
  <si>
    <t>GERGOVIA -Wine trading in Gergovia</t>
  </si>
  <si>
    <t>DIEHARD -DIE HARD</t>
  </si>
  <si>
    <t>DEFKIN -Defense of a Kingdom</t>
  </si>
  <si>
    <t>Chocolate Distribution Problem</t>
  </si>
  <si>
    <t>Smallest subset with sum greater than all other elements</t>
  </si>
  <si>
    <t>Program for Least Recently Used (LRU) Page Replacement algorithm</t>
  </si>
  <si>
    <t>Program for Shortest Job First (or SJF) CPU Scheduling</t>
  </si>
  <si>
    <t>Minimum sum of absolute difference of pairs of two arrays</t>
  </si>
  <si>
    <t>Maximize sum of consecutive differences in a circular array</t>
  </si>
  <si>
    <t>Maximum sum of absolute difference of an array</t>
  </si>
  <si>
    <t>Maximize the sum of arr[i]*i</t>
  </si>
  <si>
    <t>Maximize array sum after K negations</t>
  </si>
  <si>
    <t>Maximum product subset of an array</t>
  </si>
  <si>
    <t>Find maximum meetings in one room</t>
  </si>
  <si>
    <t>Check if it is possible to survive on Island</t>
  </si>
  <si>
    <t>Minimum Cost to cut a board into squares</t>
  </si>
  <si>
    <t>Minimize Cash Flow among a given set of friends who have borrowed money from each other</t>
  </si>
  <si>
    <t>Find the minimum and maximum amount to buy all N candies</t>
  </si>
  <si>
    <t>Buy Maximum Stocks if i stocks can be bought on i-th day</t>
  </si>
  <si>
    <t>Minimum Platforms Problem</t>
  </si>
  <si>
    <t>Maximum trains for which stoppage can be provided</t>
  </si>
  <si>
    <t>Greedy Algorithm to find Minimum number of Coins</t>
  </si>
  <si>
    <t>Fractional Knapsack Problem</t>
  </si>
  <si>
    <t>Water Connection Problem</t>
  </si>
  <si>
    <t>Huffman Coding</t>
  </si>
  <si>
    <t>Job SequencingProblem</t>
  </si>
  <si>
    <t>sort accoeding to end time</t>
  </si>
  <si>
    <t>Activity Selection Problem</t>
  </si>
  <si>
    <t>Flatten BST to sorted list</t>
  </si>
  <si>
    <t>Binary Search Trees</t>
  </si>
  <si>
    <t>make struct is bst, size, left max, right min</t>
  </si>
  <si>
    <t>Largest BST in a Binary Tree [ V.V.V.V.V IMP ]</t>
  </si>
  <si>
    <t>Check whether BST contains Dead end</t>
  </si>
  <si>
    <t>do preorder and print in postorder type</t>
  </si>
  <si>
    <t>Check preorder is valid or not</t>
  </si>
  <si>
    <t>Given "n" appointments, find the conflicting appointments</t>
  </si>
  <si>
    <t>Replace every element with the least greater element on its right</t>
  </si>
  <si>
    <t>Count BST ndoes that lie in a given range</t>
  </si>
  <si>
    <t>Find the median of BST in O(n) time and O(1) space</t>
  </si>
  <si>
    <t>Count pairs from 2 BST whose sum is equal to given value "X"</t>
  </si>
  <si>
    <t>Find Kth smallest element in a BST</t>
  </si>
  <si>
    <t>Find Kth largest element in a BST</t>
  </si>
  <si>
    <t>Merge two BST [ V.V.V&gt;IMP ]</t>
  </si>
  <si>
    <t>Convert a normal BST into a Balanced BST</t>
  </si>
  <si>
    <t>Convert Binary tree into BST</t>
  </si>
  <si>
    <t xml:space="preserve">range </t>
  </si>
  <si>
    <t>Construct BST from preorder traversal</t>
  </si>
  <si>
    <t>Find LCA  of 2 nodes in a BST</t>
  </si>
  <si>
    <t>Populate Inorder successor of all nodes</t>
  </si>
  <si>
    <t>range</t>
  </si>
  <si>
    <t xml:space="preserve">Check if a tree is a BST or not </t>
  </si>
  <si>
    <t>take previous value as precessor and find node and find successor</t>
  </si>
  <si>
    <t>Find inorder successor and inorder predecessor in a BST</t>
  </si>
  <si>
    <t>Find min and max value in a BST</t>
  </si>
  <si>
    <t>no child, one child, two child</t>
  </si>
  <si>
    <t>Deletion of a node in a BST</t>
  </si>
  <si>
    <t>Fina a value in a BST</t>
  </si>
  <si>
    <t>Tree Isomorphism Problem</t>
  </si>
  <si>
    <t>Binary Trees</t>
  </si>
  <si>
    <t>Find all Duplicate subtrees in a Binary tree [ IMP ]</t>
  </si>
  <si>
    <t>Kth Ancestor of node in a Binary tree</t>
  </si>
  <si>
    <t>Find distance between 2 nodes in a Binary tree</t>
  </si>
  <si>
    <t>check two node present or not , then do the linear solution</t>
  </si>
  <si>
    <t>Find LCA in a Binary tree</t>
  </si>
  <si>
    <t>Print all "K" Sum paths in a Binary tree</t>
  </si>
  <si>
    <t xml:space="preserve">Maximum Sum of nodes in Binary tree such that no two are adjacent </t>
  </si>
  <si>
    <t>Find Largest subtree sum in a tree</t>
  </si>
  <si>
    <t>Check if given graph is tree or not.  [ IMP ]</t>
  </si>
  <si>
    <t xml:space="preserve">Sum of Nodes on the Longest path from root to leaf node </t>
  </si>
  <si>
    <t>Check if 2 trees are mirror or not</t>
  </si>
  <si>
    <t>Check if a Binary Tree contains duplicate subtrees of size 2 or more [ IMP ]</t>
  </si>
  <si>
    <t>Check if all leaf nodes are at same level or not</t>
  </si>
  <si>
    <t>Check if Binary tree is Sum tree or not</t>
  </si>
  <si>
    <t>Find minimum swaps required to convert a Binary tree into BST</t>
  </si>
  <si>
    <t>inorder--&gt; root middle, preorder--&gt; root front</t>
  </si>
  <si>
    <t>Construct Binary tree from Inorder and preorder traversal</t>
  </si>
  <si>
    <t>Convert Binary tree into Sum tree</t>
  </si>
  <si>
    <t>Convert Binary tree into Doubly Linked List</t>
  </si>
  <si>
    <t>Construct Binary Tree from String with Bracket Representation</t>
  </si>
  <si>
    <t>Boundary traversal of a Binary tree</t>
  </si>
  <si>
    <t>move right push left child in queue , do unti quene empty</t>
  </si>
  <si>
    <t>Diagnol Traversal of a Binary tree</t>
  </si>
  <si>
    <t>Check if a tree is balanced or not</t>
  </si>
  <si>
    <t>stack insert first left,, insert first right</t>
  </si>
  <si>
    <t>Zig-Zag traversal of a binary tree</t>
  </si>
  <si>
    <t>Bottom View of a tree</t>
  </si>
  <si>
    <t>Top View of a tree</t>
  </si>
  <si>
    <t>Right View of Tree</t>
  </si>
  <si>
    <t>inorder with level value and node value check if node value&lt;=level print</t>
  </si>
  <si>
    <t>Left View of a tree</t>
  </si>
  <si>
    <t>Postorder Traversal of a tree both using recursion and Iteration</t>
  </si>
  <si>
    <t>Preorder Traversal of a tree both using recursion and Iteration</t>
  </si>
  <si>
    <t>Inorder Traversal of a tree both using recursion and Iteration</t>
  </si>
  <si>
    <t>do lefr mirror and right mirro , get their root,make current root left=right mirrot and right=left mirrot return it</t>
  </si>
  <si>
    <t>Mirror of a tree</t>
  </si>
  <si>
    <t>do it with dynamic programming</t>
  </si>
  <si>
    <t>Diameter of a tree</t>
  </si>
  <si>
    <t>Height of a tree</t>
  </si>
  <si>
    <t>Reverse Level Order traversal</t>
  </si>
  <si>
    <t>level order traversal</t>
  </si>
  <si>
    <t>Find the first non-repeating character from a stream of characters</t>
  </si>
  <si>
    <t>LinkedList</t>
  </si>
  <si>
    <t>move first pointer to n, then move pointer simultaneous, you will be at your point</t>
  </si>
  <si>
    <t>Program for n’th node from the end of a Linked List</t>
  </si>
  <si>
    <t>Segregate even and odd nodes in a Linked List</t>
  </si>
  <si>
    <t>Delete nodes which have a greater value on right side</t>
  </si>
  <si>
    <t>Multiply 2 no. represented by LL</t>
  </si>
  <si>
    <t>min heap with pair of int ,Node*</t>
  </si>
  <si>
    <t>Merge K sorted Linked list</t>
  </si>
  <si>
    <t>one with hash map,---&gt; other without that</t>
  </si>
  <si>
    <t>Clone a linked list with next and random pointer</t>
  </si>
  <si>
    <t>if zero insert from and delete and 2 interset back deleter</t>
  </si>
  <si>
    <t>Sort a LL of 0's, 1's and 2's</t>
  </si>
  <si>
    <t>Flatten a Linked List</t>
  </si>
  <si>
    <t>Why Quicksort is preferred for. Arrays and Merge Sort for LinkedLists ?</t>
  </si>
  <si>
    <t>Can we reverse a linked list in less than O(n) ?</t>
  </si>
  <si>
    <t>implement it----&gt; gfg implementation is really good</t>
  </si>
  <si>
    <t>Rotate a Doubly Linked list in group of Given Size.[Very IMP]</t>
  </si>
  <si>
    <t>Rotate DoublyLinked list by N nodes.</t>
  </si>
  <si>
    <t>make heap with k ---&gt; since first place will be minimum of first k element similarly further</t>
  </si>
  <si>
    <t>Sort a “k”sorted Doubly Linked list.[Very IMP]</t>
  </si>
  <si>
    <t>Count triplets in a sorted DLL whose sum is equal to given value “X”.</t>
  </si>
  <si>
    <t>Find pairs with a given sum in a DLL.</t>
  </si>
  <si>
    <t>Reverse a Doubly Linked list.</t>
  </si>
  <si>
    <t>Deletion from a Circular Linked List.</t>
  </si>
  <si>
    <t>Write a Program to check whether the Singly Linked list is a palindrome or not.</t>
  </si>
  <si>
    <t>Split a Circular linked list into two halves.</t>
  </si>
  <si>
    <t>Check if a linked list is a circular linked list.</t>
  </si>
  <si>
    <t>two pointer</t>
  </si>
  <si>
    <t>Find the middle Element of a linked list.</t>
  </si>
  <si>
    <t>Quicksort for Linked Lists.[Very Important]</t>
  </si>
  <si>
    <t>Merge Sort For Linked lists.[Very Important]</t>
  </si>
  <si>
    <t>hash---&gt; minus :D---&gt; find length find greatest find difference subtract from bigger run to meet simultaneously</t>
  </si>
  <si>
    <t>Intersection Point of two Linked Lists.</t>
  </si>
  <si>
    <t>Intersection of two Sorted Linked List.</t>
  </si>
  <si>
    <t>Add two numbers represented by linked lists.</t>
  </si>
  <si>
    <t>Add “1” to a number represented as a Linked List.</t>
  </si>
  <si>
    <t>Write a Program to Move the last element to Front in a Linked List.</t>
  </si>
  <si>
    <t>n^2--&gt; sorting nlogn--&gt; hasing n</t>
  </si>
  <si>
    <t>Remove Duplicates in a Un-sorted Linked List.</t>
  </si>
  <si>
    <t>Remove Duplicates in a sorted Linked List.</t>
  </si>
  <si>
    <t>floyd loop detection algorithm</t>
  </si>
  <si>
    <t>Find the starting point of the loop. </t>
  </si>
  <si>
    <t>Write a program to Delete loop in a linked list.</t>
  </si>
  <si>
    <t>Write a program to Detect loop in a linked list.</t>
  </si>
  <si>
    <t>see solution</t>
  </si>
  <si>
    <t>Reverse a Linked List in group of Given Size. [Very Imp]</t>
  </si>
  <si>
    <t>Write a Program to reverse the Linked List. (Both Iterative and recursive)</t>
  </si>
  <si>
    <t>Partitioning and Sorting Arrays with Many Repeated Entries</t>
  </si>
  <si>
    <t>Searching &amp; Sorting</t>
  </si>
  <si>
    <t>merge sort without extra space---&gt; use index of array--&gt; important part is merging--&gt; use two value same cell idea</t>
  </si>
  <si>
    <t>Implement Merge-sort in-place</t>
  </si>
  <si>
    <t>with merge sort scratch see solution</t>
  </si>
  <si>
    <t>Findthe inversion count</t>
  </si>
  <si>
    <t>meet in middle concept******------&gt; tip to check meet in middle ---&gt; if problem if something like 2^n and n is greater enough to solve---&gt; but if we break into n/2 then will be possible</t>
  </si>
  <si>
    <t>Subset Sums</t>
  </si>
  <si>
    <t>prefix sum</t>
  </si>
  <si>
    <t>DoubleHelix SPOJ</t>
  </si>
  <si>
    <t>ROTI-Prata SPOJ</t>
  </si>
  <si>
    <t>same as book allocation</t>
  </si>
  <si>
    <t>Painters Partition Problem:</t>
  </si>
  <si>
    <t>search on answer  10^5==24999 trailing zeros</t>
  </si>
  <si>
    <t>Smallest number with atleastn trailing zeroes infactorial</t>
  </si>
  <si>
    <t>1235. Maximum Profit in Job Scheduling----&gt; see again &amp; again</t>
  </si>
  <si>
    <t>Missing Number in AP</t>
  </si>
  <si>
    <r>
      <t>Maximum Profit in Job Scheduling leetcode  ---&gt; do agina and again for learn--&gt;</t>
    </r>
    <r>
      <rPr>
        <sz val="12"/>
        <color theme="10"/>
        <rFont val="Calibri"/>
        <family val="2"/>
        <scheme val="minor"/>
      </rPr>
      <t xml:space="preserve">        </t>
    </r>
    <r>
      <rPr>
        <sz val="12"/>
        <rFont val="Calibri"/>
        <family val="2"/>
        <scheme val="minor"/>
      </rPr>
      <t xml:space="preserve">dynamic programming </t>
    </r>
    <r>
      <rPr>
        <u/>
        <sz val="12"/>
        <color theme="10"/>
        <rFont val="Calibri"/>
        <family val="2"/>
        <scheme val="minor"/>
      </rPr>
      <t>--&gt;</t>
    </r>
    <r>
      <rPr>
        <sz val="12"/>
        <color theme="10"/>
        <rFont val="Calibri"/>
        <family val="2"/>
        <scheme val="minor"/>
      </rPr>
      <t xml:space="preserve">  n^2 easy --&gt; how to do in nlogn--&gt; sort start time do dp on it using lower bound</t>
    </r>
  </si>
  <si>
    <t>Job Scheduling Algo</t>
  </si>
  <si>
    <t>EKOSPOJ:</t>
  </si>
  <si>
    <t>lear concept search on anser</t>
  </si>
  <si>
    <t>Book Allocation Problem</t>
  </si>
  <si>
    <t xml:space="preserve">already done concept very useful--&gt; search on answer**--&gt;searxh on distance </t>
  </si>
  <si>
    <t>good it is base of finding median of two sorted array of different suze---&gt; do in logk----&gt;check leetcode median of two sorted array--&gt; check again &amp; again to learn</t>
  </si>
  <si>
    <t>K-th Element of Two Sorted Arrays</t>
  </si>
  <si>
    <t xml:space="preserve">binary search --&gt; find the minimum in rotated sorted leetcode--&gt; see again and again </t>
  </si>
  <si>
    <t>Find pivot element in a sorted array</t>
  </si>
  <si>
    <t>firat merge all sort --&gt; do binary search on answer</t>
  </si>
  <si>
    <t>Kth smallest number again</t>
  </si>
  <si>
    <t>2d rabin karp with search on answer</t>
  </si>
  <si>
    <t>Rasta and Kheshtak</t>
  </si>
  <si>
    <t>those who want to know upper bound and prefix sum</t>
  </si>
  <si>
    <t>Bishu and Soldiers</t>
  </si>
  <si>
    <t>make graph of from to to index result will be cycle length -1 for all cycle sum----&gt; cycle sort</t>
  </si>
  <si>
    <t>minimum no. of swaps required to sort the array</t>
  </si>
  <si>
    <t>comparator sort-&gt; but twiat is that ican be solve in O(n)--&gt; make count vector push elemnt of same bit--&gt; tranverse from max bit to min  if contain more than two traverse it in reverse order</t>
  </si>
  <si>
    <t>Sort array according to count of set bits</t>
  </si>
  <si>
    <t>1--&gt; prefix suffix, 2--&gt; all product/ number,---&gt; make all log add all sumbtract numbet take antilog---&gt; for antilog tak power and ceil it</t>
  </si>
  <si>
    <t>Product array Puzzle</t>
  </si>
  <si>
    <t>hash</t>
  </si>
  <si>
    <t>print all subarrays with 0 sum</t>
  </si>
  <si>
    <t>use two value one cell technique</t>
  </si>
  <si>
    <t>merge 2 sorted arrays</t>
  </si>
  <si>
    <t>Count triplet with sum smaller than a given value</t>
  </si>
  <si>
    <t>maximum sum such that no 2 elements are adjacent</t>
  </si>
  <si>
    <t>two pointer n^3---&gt; important point in it is unique ---&gt; second loop run sothat remove same,, in the same way first loop run---&gt; for more check 4sum leetcode solutions submission</t>
  </si>
  <si>
    <t>find four elements that sum to a given value</t>
  </si>
  <si>
    <t>find a pair with a given difference</t>
  </si>
  <si>
    <t>nice thought</t>
  </si>
  <si>
    <t>Searching in an array where adjacent differ by at most k</t>
  </si>
  <si>
    <t>moorie algorithm github</t>
  </si>
  <si>
    <t>find majority element</t>
  </si>
  <si>
    <t>hasing with that array</t>
  </si>
  <si>
    <t>Find the repeating and the missing</t>
  </si>
  <si>
    <t>ternary search for finding minima, implement atleast once</t>
  </si>
  <si>
    <t>Optimum location of point to minimize total distance</t>
  </si>
  <si>
    <t>Maximum and minimum of an array using minimum number of comparisons</t>
  </si>
  <si>
    <t>square root of an integer</t>
  </si>
  <si>
    <t>first check which side of rotation , then simple binary</t>
  </si>
  <si>
    <t>Search in a rotated sorted array</t>
  </si>
  <si>
    <t>there is only one fixed point,check binary logic--&gt;  if(index&gt;value at that index) then right else left</t>
  </si>
  <si>
    <t>Find a Fixed Point (Value equal to index) in a given array</t>
  </si>
  <si>
    <t>try any one binary seach to undrestand</t>
  </si>
  <si>
    <t>Find first and last positions of an element in a sorted array</t>
  </si>
  <si>
    <t>do 2 question of binary search pivot type , if know no need</t>
  </si>
  <si>
    <t>Recursively print all sentences that can be formed from list of word lists</t>
  </si>
  <si>
    <t>String</t>
  </si>
  <si>
    <t>Check if two given strings are isomorphic to each other</t>
  </si>
  <si>
    <t>max operation will be length of string. ---&gt; go from back check if same do n-1,  else check for right character go there count distance if more possible check for them because operation cannot be max than length think</t>
  </si>
  <si>
    <t>x</t>
  </si>
  <si>
    <t>Transform One String to Another using Minimum Number of Given Operation</t>
  </si>
  <si>
    <t>Function to find Number of customers who could not get a computer</t>
  </si>
  <si>
    <t>there is linear solution go leetcode for solution in submission</t>
  </si>
  <si>
    <t>String matching where one string contains wildcard characters</t>
  </si>
  <si>
    <t>Recursively remove all adjacent duplicates</t>
  </si>
  <si>
    <t>same as 88</t>
  </si>
  <si>
    <t>Find the smallest window in a string containing all characters of another string</t>
  </si>
  <si>
    <t>kmp---&gt; O(n) possible, n^2---&gt; remove back character then check for palindrome, find the longest prefix which is palindrome-----&gt; concat string + "$"+reverse ---&gt; find lps return stringsize-lps[last]</t>
  </si>
  <si>
    <t>Minimum characters to be added at front to make string palindrome</t>
  </si>
  <si>
    <t>if max frequency - 1 &gt; string size- max frequency ,   then not possible else possible</t>
  </si>
  <si>
    <t xml:space="preserve">take frequency of all element, now with help of two pointer if element exist in string , reduce its freq. if freq&gt;=0 it means increse size, </t>
  </si>
  <si>
    <t>Write a program tofind the smallest window that contains all characters of string itself.</t>
  </si>
  <si>
    <t>restore ip address leetcode ----&gt;backtracking</t>
  </si>
  <si>
    <t>Program to generate all possible valid IP addresses from given  string.</t>
  </si>
  <si>
    <t>Find the longest common subsequence between two strings.</t>
  </si>
  <si>
    <t>find out balaance ,  partition remaining in two group left face andrith face make result</t>
  </si>
  <si>
    <t>Minimum number of swaps for bracket balancing.</t>
  </si>
  <si>
    <t>Find the first repeated word in string.</t>
  </si>
  <si>
    <t>either o1o1…. Or 1010… check result in two condition and find the minimum of two result</t>
  </si>
  <si>
    <t>Number of flips to make binary string alternate</t>
  </si>
  <si>
    <t>find lcp of first two then find res to third….</t>
  </si>
  <si>
    <t>Longest Common Prefix</t>
  </si>
  <si>
    <t>make dictionary of roman to integer ,  then run from 1 check if previous is less than cur the sub. Previous else add previous value, because if like 4---&gt; iV   so we'll have to reduce I form V</t>
  </si>
  <si>
    <t>Converting Roman Numerals to Decimal</t>
  </si>
  <si>
    <t>Boyer Moore Algorithm for Pattern Searching.</t>
  </si>
  <si>
    <t>Search a Word in a 2D Grid of characters.</t>
  </si>
  <si>
    <t>n^2*bfs</t>
  </si>
  <si>
    <t>Count of number of given string in 2D character array</t>
  </si>
  <si>
    <t>Count All Palindromic Subsequence in a given String.</t>
  </si>
  <si>
    <t>Minimum number of bracket reversals needed to make an expression balanced.</t>
  </si>
  <si>
    <t>Convert a Sentence into its equivalent mobile numeric keypad sequence.</t>
  </si>
  <si>
    <t>check from github</t>
  </si>
  <si>
    <t>KMP Algo</t>
  </si>
  <si>
    <t>Rabin Karp Algo</t>
  </si>
  <si>
    <t>Word break Problem[ Very Imp]</t>
  </si>
  <si>
    <t>create counting variable equal to parenthesis type increae if open and decreae if clase check if negative imbalance</t>
  </si>
  <si>
    <t>Balanced Parenthesis problem.[Imp]</t>
  </si>
  <si>
    <t>find the a[i[&lt;a[i+1] from back ward swap the a[i] with the smallest value greater than a[i] on i+1,the sort(a[i+1]---</t>
  </si>
  <si>
    <t>Find next greater number with same set of digits. [Very Very IMP]</t>
  </si>
  <si>
    <t>EDIT Distance [Very Imp]</t>
  </si>
  <si>
    <t>Word Wrap Problem [VERY IMP].</t>
  </si>
  <si>
    <t>Split the Binary string into two substring with equal 0’s and 1’s</t>
  </si>
  <si>
    <t>Print all the permutations of the given string</t>
  </si>
  <si>
    <t>Print all Subsequences of a string.</t>
  </si>
  <si>
    <t>Find Longest Recurring Subsequence in String</t>
  </si>
  <si>
    <t>Write a program to find the longest Palindrome in a string.[ Longest palindromic Substring]</t>
  </si>
  <si>
    <t>Count and Say problem</t>
  </si>
  <si>
    <t>interleaved</t>
  </si>
  <si>
    <t>Write a Program to check whether a string is a valid shuffle of two strings or not</t>
  </si>
  <si>
    <t>learn kmp for optimisation</t>
  </si>
  <si>
    <t>Write a Code to check whether one string is a rotation of another</t>
  </si>
  <si>
    <t>Why strings are immutable in Java?</t>
  </si>
  <si>
    <t>Find Duplicate characters in a string</t>
  </si>
  <si>
    <t>Check whether a String is Palindrome or not</t>
  </si>
  <si>
    <t>Reverse a String</t>
  </si>
  <si>
    <t>Common elements in all rows of a given matrix</t>
  </si>
  <si>
    <t>do dinary low num to high---&gt;  for mid point find upper bound for each row check for k condition update left and right</t>
  </si>
  <si>
    <t>Kth smallest element in a row-cpumn wise sorted matrix</t>
  </si>
  <si>
    <t>Rotate matrix by 90 degrees</t>
  </si>
  <si>
    <t>Find a specific pair in matrix</t>
  </si>
  <si>
    <t>maximum rectangular area in historgtam stack</t>
  </si>
  <si>
    <t>Maximum size rectangle</t>
  </si>
  <si>
    <t>n^2 logn</t>
  </si>
  <si>
    <t>Print elements in sorted order using row-column wise sorted matrix</t>
  </si>
  <si>
    <t>Find row with maximum no. of 1's</t>
  </si>
  <si>
    <t>same as kth element</t>
  </si>
  <si>
    <t>Find median in a row wise sorted matrix</t>
  </si>
  <si>
    <t>find which row and find col</t>
  </si>
  <si>
    <t>Search an element in a matriix</t>
  </si>
  <si>
    <t>Spiral traversal on a Matrix</t>
  </si>
  <si>
    <t xml:space="preserve">check that frequently to learn it logic- make fun. Which will tell the value of element in merge of two sorted array whose left side element is k,  find (n+m+1)/2 + (n+m+2)/2 take mean </t>
  </si>
  <si>
    <t>Median of 2 sorted arrays of different size</t>
  </si>
  <si>
    <t>Median of 2 sorted arrays of equal size</t>
  </si>
  <si>
    <t>Minimum no. of operations required to make an array palindrome</t>
  </si>
  <si>
    <t>replace all required number by 1 and remain zero take window of req. no. size find max sum window sub it form requ</t>
  </si>
  <si>
    <t>Minimum swaps required bring elements less equal K together</t>
  </si>
  <si>
    <t>Three way partitioning of an array around a given value</t>
  </si>
  <si>
    <t>Smallest Subarray with sum greater than a given value</t>
  </si>
  <si>
    <t>take difference then find subarray of size k-1 whose sum is less  ---&gt; first sort then take…...</t>
  </si>
  <si>
    <t>Chocolate Distribution problem</t>
  </si>
  <si>
    <t>O(n)--&gt; find the max---  move from left to max and right to max --&gt; while moving update max till subtract to current value, then sum all</t>
  </si>
  <si>
    <t>Trapping Rain water problem</t>
  </si>
  <si>
    <t>two pointer O(n2)</t>
  </si>
  <si>
    <t>Find the triplet that sum to a given value</t>
  </si>
  <si>
    <t>Find whether an array is a subset of another array</t>
  </si>
  <si>
    <t>for O(n)--&gt;&lt; find max one sell form front and max sell from end , for each space take sum of left and right and maximize</t>
  </si>
  <si>
    <t>Maximum profit by buying and selling a share atmost twice</t>
  </si>
  <si>
    <t>Given an array of size n and a number k, fin all elements that appear more than " n/k " times.</t>
  </si>
  <si>
    <t>point- O(n)--&gt; array difference</t>
  </si>
  <si>
    <t>Find longest coinsecutive subsequence</t>
  </si>
  <si>
    <t xml:space="preserve">find out the sabse bda product and sabse chota product upto ith value and update </t>
  </si>
  <si>
    <t xml:space="preserve">find maximum product subarray </t>
  </si>
  <si>
    <t>use vector and multiply number again and again upto n</t>
  </si>
  <si>
    <t>Find factorial of a large number</t>
  </si>
  <si>
    <t>hashing</t>
  </si>
  <si>
    <t>Find if there is any subarray with sum equal to 0</t>
  </si>
  <si>
    <t>if order can change then possible in o(n) constant space --&gt; move possive front and neg back now put alternative</t>
  </si>
  <si>
    <t>Rearrange the array in alternating positive and negative items with O(1) extra space</t>
  </si>
  <si>
    <t>find common elements In 3 sorted arrays</t>
  </si>
  <si>
    <t>find all pairs on integer array whose sum is equal to given number</t>
  </si>
  <si>
    <t>Best time to buy and Sell stock</t>
  </si>
  <si>
    <t>See merge sort solution most optimised(merge without space will help), if contrain is less bit best hai</t>
  </si>
  <si>
    <t>Count Inversion</t>
  </si>
  <si>
    <t>find the first value from back, so its value is smaller than next value-&gt; swap-&gt; sort upto i+1 to end</t>
  </si>
  <si>
    <t>Next Permutation</t>
  </si>
  <si>
    <t>sort then merge, if not put in answer repeat again to next</t>
  </si>
  <si>
    <t>Merge Intervals</t>
  </si>
  <si>
    <t>Kadane's Algo [V.V.V.V.V IMP]</t>
  </si>
  <si>
    <t>thing about two value in a single box--- &gt;  a[i]+c*merge[i] , c==largest value, at end all no. divide by c</t>
  </si>
  <si>
    <t>Merge 2 sorted arrays without using Extra space.</t>
  </si>
  <si>
    <t>hash in slef by putting negative and check for negative repeat</t>
  </si>
  <si>
    <t>find duplicate in an array of N+1 Integers</t>
  </si>
  <si>
    <t>Minimum no. of Jumps to reach end of an array</t>
  </si>
  <si>
    <t>take range of lowest and highest and update by each element</t>
  </si>
  <si>
    <t>Minimise the maximum difference between heights [V.IMP]</t>
  </si>
  <si>
    <t>find Largest sum contiguous Subarray [V. IMP]</t>
  </si>
  <si>
    <t>Write a program to cyclically rotate an array by one.</t>
  </si>
  <si>
    <t>Find the Union and Intersection of the two sorted arrays.</t>
  </si>
  <si>
    <t xml:space="preserve">Move all the negative elements to one side of the array </t>
  </si>
  <si>
    <t>send zero at front two at end -- one iteration</t>
  </si>
  <si>
    <t>Given an array which consists of only 0, 1 and 2. Sort the array without using any sorting algo</t>
  </si>
  <si>
    <t>sort-nlogn, heap-nlogk, quick sort scratch-&gt; avg  o(n)(randomised), quick sort-&gt; o(n)--&gt; medium    https://www.geeksforgeeks.org/kth-smallestlargest-element-unsorted-array-set-3-worst-case-linear-time/</t>
  </si>
  <si>
    <t>idk median</t>
  </si>
  <si>
    <t xml:space="preserve">Find the "Kth" max and min element of an array </t>
  </si>
  <si>
    <t>Find the maximum and minimum element in an array</t>
  </si>
  <si>
    <t>Reverse the array</t>
  </si>
  <si>
    <t xml:space="preserve">Done [yes or no] </t>
  </si>
  <si>
    <t xml:space="preserve">Problem: </t>
  </si>
  <si>
    <t>Topic:</t>
  </si>
  <si>
    <t>logic</t>
  </si>
  <si>
    <t>[222]</t>
  </si>
  <si>
    <t>todo, boring</t>
  </si>
  <si>
    <t>UTSOpen 18-LoveTriangle</t>
  </si>
  <si>
    <t>UTSOpen 18-ABCs</t>
  </si>
  <si>
    <t>todo, hmm</t>
  </si>
  <si>
    <t>ROUSelection 18-towns</t>
  </si>
  <si>
    <t>todo, hmm, preprocessing, impl</t>
  </si>
  <si>
    <t>ROUSelection 18-tournament</t>
  </si>
  <si>
    <t>todo</t>
  </si>
  <si>
    <t>POI 18-Triinformathlon</t>
  </si>
  <si>
    <t>POI 18-Transceivers</t>
  </si>
  <si>
    <t>POI 18-Taxis</t>
  </si>
  <si>
    <t>POI 18-Subway</t>
  </si>
  <si>
    <t>POI 18-Stone</t>
  </si>
  <si>
    <t>POI 18-Poetry</t>
  </si>
  <si>
    <t>POI 18-Numbers</t>
  </si>
  <si>
    <t>POI 18-Lawyers</t>
  </si>
  <si>
    <t>POI 18-Flood</t>
  </si>
  <si>
    <t>POI 18-Fence</t>
  </si>
  <si>
    <t>POI 18-Diversity</t>
  </si>
  <si>
    <t>POI 18-Conductor</t>
  </si>
  <si>
    <t>POI 18-Candy</t>
  </si>
  <si>
    <t>POI 18-Bike</t>
  </si>
  <si>
    <t>POI 17-Tourist</t>
  </si>
  <si>
    <t>POI 17-Sum</t>
  </si>
  <si>
    <t>POI 17-Sabotage</t>
  </si>
  <si>
    <t>POI 17-Panini</t>
  </si>
  <si>
    <t>POI 17-Midas</t>
  </si>
  <si>
    <t>POI 17-Grades</t>
  </si>
  <si>
    <t>POI 17-Flappy_Bird</t>
  </si>
  <si>
    <t>POI 17-Divisibility</t>
  </si>
  <si>
    <t>POI 17-Difference</t>
  </si>
  <si>
    <t>POI 17-Crossroads</t>
  </si>
  <si>
    <t>POI 17-Cook</t>
  </si>
  <si>
    <t>POI 17-Containers</t>
  </si>
  <si>
    <t>todo, hmm, [https://www.youtube.com/watch?v=PRmAUzgbOBI]</t>
  </si>
  <si>
    <t>POI 16-Club</t>
  </si>
  <si>
    <t>POI 14-Snake</t>
  </si>
  <si>
    <t>POI 14-Salad</t>
  </si>
  <si>
    <t>POI 14-Lamps</t>
  </si>
  <si>
    <t>POI 14-Freight</t>
  </si>
  <si>
    <t>todo, [POI13_tak]</t>
  </si>
  <si>
    <t>POI 13-Taxis</t>
  </si>
  <si>
    <t>todo, long impl, dfs</t>
  </si>
  <si>
    <t>POI 13-mul</t>
  </si>
  <si>
    <t>todo, long impl</t>
  </si>
  <si>
    <t>POI 13-gob</t>
  </si>
  <si>
    <t>POI 12-Vouchers</t>
  </si>
  <si>
    <t>POI 12-Rendezvous</t>
  </si>
  <si>
    <t>POI 12-Letter</t>
  </si>
  <si>
    <t>POI 11-dyn</t>
  </si>
  <si>
    <t>POI 10-Frog</t>
  </si>
  <si>
    <t>todo, impl</t>
  </si>
  <si>
    <t>POI 08-Trains</t>
  </si>
  <si>
    <t>NOISelection 18-crab</t>
  </si>
  <si>
    <t>NOISelection 17-trianglecraft</t>
  </si>
  <si>
    <t>NOISelection 17-trekking</t>
  </si>
  <si>
    <t>NOISelection 17-runway</t>
  </si>
  <si>
    <t>NOISelection 17-redstonelamps</t>
  </si>
  <si>
    <t>NOISelection 17-mushroomfarm</t>
  </si>
  <si>
    <t>NOISelection 17-mooshroomfarm</t>
  </si>
  <si>
    <t>NOISelection 17-lost</t>
  </si>
  <si>
    <t>NOISelection 17-dinnerbox</t>
  </si>
  <si>
    <t>NOISelection 17-clipboard</t>
  </si>
  <si>
    <t>NOISelection 17-builderswand</t>
  </si>
  <si>
    <t>NOISelection 15-lazycat2</t>
  </si>
  <si>
    <t>NOISelection 12-ramar</t>
  </si>
  <si>
    <t>NOISelection 12-ice</t>
  </si>
  <si>
    <t>NOISelection 12-draw</t>
  </si>
  <si>
    <t>NOISelection 11-repair</t>
  </si>
  <si>
    <t>NOISelection 11-puzzle</t>
  </si>
  <si>
    <t>NOISelection 11-message</t>
  </si>
  <si>
    <t>NOISelection 11-mantou</t>
  </si>
  <si>
    <t>NOISelection 10-trianglesum</t>
  </si>
  <si>
    <t>NOISelection 10-jungle</t>
  </si>
  <si>
    <t>todo, ad-hoc, Graph Theory, Blackbox, Bit Manipulation</t>
  </si>
  <si>
    <t>NOI 19-shuffle</t>
  </si>
  <si>
    <t>NOI 16-pandaski</t>
  </si>
  <si>
    <t>NOI 06-heng</t>
  </si>
  <si>
    <t>NOI 06-genome</t>
  </si>
  <si>
    <t>NOI 06-fludtown</t>
  </si>
  <si>
    <t>NOI 06-ecasino</t>
  </si>
  <si>
    <t>MWC 15-ToweringTowers</t>
  </si>
  <si>
    <t>MCO 16-cropharvesting</t>
  </si>
  <si>
    <t>Sol No Editorial</t>
  </si>
  <si>
    <t>MCO 15-bitcoin</t>
  </si>
  <si>
    <t>MCO 14-passport</t>
  </si>
  <si>
    <r>
      <t>todo, [</t>
    </r>
    <r>
      <rPr>
        <b/>
        <sz val="10"/>
        <color rgb="FF000000"/>
        <rFont val="Arial"/>
        <family val="2"/>
      </rPr>
      <t>JAPANESE</t>
    </r>
    <r>
      <rPr>
        <sz val="10"/>
        <color rgb="FF000000"/>
        <rFont val="Arial"/>
        <family val="2"/>
      </rPr>
      <t>]</t>
    </r>
  </si>
  <si>
    <t>JOISC 16-Toilets</t>
  </si>
  <si>
    <t>JOISC 16-Telegraph</t>
  </si>
  <si>
    <t>JOISC 16-Sushi</t>
  </si>
  <si>
    <t>JOISC 16-Solitaire</t>
  </si>
  <si>
    <t>JOISC 16-Snowy</t>
  </si>
  <si>
    <t>JOISC 16-Skating</t>
  </si>
  <si>
    <t>JOISC 16-Sandwich</t>
  </si>
  <si>
    <t>JOISC 16-Reporter2</t>
  </si>
  <si>
    <t>JOISC 16-Memory2</t>
  </si>
  <si>
    <t>JOISC 16-Matryoshka</t>
  </si>
  <si>
    <t>JOISC 16-Employment</t>
  </si>
  <si>
    <t>JOISC 16-Dungeon2</t>
  </si>
  <si>
    <t>JOISC 15-Walls</t>
  </si>
  <si>
    <t>JOISC 15-Vegetable2</t>
  </si>
  <si>
    <t>JOISC 15-Road</t>
  </si>
  <si>
    <t>JOISC 15-memory</t>
  </si>
  <si>
    <t>JOISC 15-Logo</t>
  </si>
  <si>
    <t>JOISC 15-keys</t>
  </si>
  <si>
    <t>JOISC 15-ioioi_cards</t>
  </si>
  <si>
    <t>JOISC 15-Copypaste2</t>
  </si>
  <si>
    <t>JOISC 15-CardGame</t>
  </si>
  <si>
    <t>JOISC 15-Building3</t>
  </si>
  <si>
    <t>JOISC 15-aaqqz</t>
  </si>
  <si>
    <t>JOISC 14-Voltage</t>
  </si>
  <si>
    <t>JOISC 14-Vegetable</t>
  </si>
  <si>
    <t>JOISC 14-Straps</t>
  </si>
  <si>
    <t>JOISC 14-Stamps</t>
  </si>
  <si>
    <t>JOISC 14-Scarecrow</t>
  </si>
  <si>
    <t>JOISC 14-Ramen</t>
  </si>
  <si>
    <t>JOISC 14-Kanji</t>
  </si>
  <si>
    <t>JOISC 14-JOIOJI</t>
  </si>
  <si>
    <t>JOISC 14-Friends</t>
  </si>
  <si>
    <t>JOISC 14-Constella</t>
  </si>
  <si>
    <t>JOISC 14-Bus</t>
  </si>
  <si>
    <t>JOISC 14-Bottle</t>
  </si>
  <si>
    <t>JOISC 13-Cake</t>
  </si>
  <si>
    <t>JOIOC 17-golf</t>
  </si>
  <si>
    <t>todo, is hld ?</t>
  </si>
  <si>
    <t>JOIOC 15-electionCampaign</t>
  </si>
  <si>
    <t>todo, [output only]</t>
  </si>
  <si>
    <t>JOIOC 15-coloredTiles</t>
  </si>
  <si>
    <t>JOIOC 14-migration</t>
  </si>
  <si>
    <t>todo, NOT available</t>
  </si>
  <si>
    <t>JOIOC 13-disparity</t>
  </si>
  <si>
    <t>JOI 17-rope</t>
  </si>
  <si>
    <t>JOI 16-Territory</t>
  </si>
  <si>
    <t>JOI 15-Rampart</t>
  </si>
  <si>
    <t>JOI 15-Ball</t>
  </si>
  <si>
    <t>JOI 14-Cutting</t>
  </si>
  <si>
    <t>IZhO 14-ufo</t>
  </si>
  <si>
    <t>IOIPractice 17-sudoku_ioi</t>
  </si>
  <si>
    <t>todo, judge?</t>
  </si>
  <si>
    <t>IOIPractice 17-notice</t>
  </si>
  <si>
    <t>IOIPractice 17-mountains</t>
  </si>
  <si>
    <t>IOIPractice 17-cup</t>
  </si>
  <si>
    <t>IOIPractice 14-tile</t>
  </si>
  <si>
    <t>IOIPractice 14-station</t>
  </si>
  <si>
    <t>IOIPractice 14-square</t>
  </si>
  <si>
    <t>Official sols</t>
  </si>
  <si>
    <t>IOI 19-walk</t>
  </si>
  <si>
    <t>IOI 19-split</t>
  </si>
  <si>
    <t>IOI 01-Twofive</t>
  </si>
  <si>
    <t>todo, backup task</t>
  </si>
  <si>
    <t>IOI 01-BinaryCodes</t>
  </si>
  <si>
    <t>INOI 16-brackets_inoi</t>
  </si>
  <si>
    <t>Innopolis 20-Q1-D</t>
  </si>
  <si>
    <t>Innopolis 19-Q1-D</t>
  </si>
  <si>
    <t>innopolis 18-final_E</t>
  </si>
  <si>
    <t>innopolis 18-final_D</t>
  </si>
  <si>
    <t>innopolis 18-final_C</t>
  </si>
  <si>
    <t>innopolis 18-final_B</t>
  </si>
  <si>
    <t>innopolis 18-final_A</t>
  </si>
  <si>
    <t>info1cup 18-thegrade</t>
  </si>
  <si>
    <t>info1cup 18-shell</t>
  </si>
  <si>
    <t>info1cup 18-palindromes</t>
  </si>
  <si>
    <t>info1cup 18-norela</t>
  </si>
  <si>
    <t>info1cup 18-del13</t>
  </si>
  <si>
    <t>info1cup 18-cambridge</t>
  </si>
  <si>
    <t>info1cup 18-balancedtree</t>
  </si>
  <si>
    <t>info1cup 17-xorsum</t>
  </si>
  <si>
    <t>info1cup 17-permutation</t>
  </si>
  <si>
    <t>info1cup 17-eastereggs</t>
  </si>
  <si>
    <t>info1cup 17-binary</t>
  </si>
  <si>
    <t>HAOI 07-idealsquare</t>
  </si>
  <si>
    <t>DMPG 16-MMORPGII</t>
  </si>
  <si>
    <t>DMOPC 18-StandingOvation</t>
  </si>
  <si>
    <t>DMOPC 17-IntimidatingArrays</t>
  </si>
  <si>
    <t>DMOPC 17-IntersectingArcs</t>
  </si>
  <si>
    <t>DMOPC 14-SaveNagato</t>
  </si>
  <si>
    <t>Dmoj NextPrime</t>
  </si>
  <si>
    <t>Dmoj MostlyTalking</t>
  </si>
  <si>
    <t>todo, hmm, dijkstras?</t>
  </si>
  <si>
    <t>COI 17-raspad</t>
  </si>
  <si>
    <t>todo, interaction</t>
  </si>
  <si>
    <t>COI 14-nizovi</t>
  </si>
  <si>
    <t>COI 09-Hrastovi</t>
  </si>
  <si>
    <t>COI 08-Tablica</t>
  </si>
  <si>
    <t>COI 08-Cijevi</t>
  </si>
  <si>
    <t>COCI 20-trener</t>
  </si>
  <si>
    <t>COCI 20-skandi</t>
  </si>
  <si>
    <t>COCI 20-datum</t>
  </si>
  <si>
    <t>COCI 20-birmingham</t>
  </si>
  <si>
    <t>COCI 19-wand</t>
  </si>
  <si>
    <t>COCI 19-titlovi</t>
  </si>
  <si>
    <t>COCI 19-slagalica</t>
  </si>
  <si>
    <t>COCI 19-kisik</t>
  </si>
  <si>
    <t>COCI 19-jarvis</t>
  </si>
  <si>
    <t>COCI 19-akvizna</t>
  </si>
  <si>
    <t>todo, [weak cases]</t>
  </si>
  <si>
    <t>COCI 18-sajam</t>
  </si>
  <si>
    <t>COCI 18-prakticni</t>
  </si>
  <si>
    <t>COCI 18-nlo</t>
  </si>
  <si>
    <t>todo, hmm, [short code]</t>
  </si>
  <si>
    <t>COCI 17-dojave</t>
  </si>
  <si>
    <t>COCI 15-Molekule</t>
  </si>
  <si>
    <t>COCI 14-Zmija</t>
  </si>
  <si>
    <t>COCI 14-Zgodan</t>
  </si>
  <si>
    <t>COCI 14-Silueta</t>
  </si>
  <si>
    <t>COCI 14-Psenica</t>
  </si>
  <si>
    <t>COCI 14-Pripreme</t>
  </si>
  <si>
    <t>COCI 14-Meteor</t>
  </si>
  <si>
    <t>COCI 14-Kratki</t>
  </si>
  <si>
    <t>COCI 14-Janje</t>
  </si>
  <si>
    <t>COCI 14-Coci</t>
  </si>
  <si>
    <t>COCI 09-Spavanac</t>
  </si>
  <si>
    <t>COCI 09-Sort</t>
  </si>
  <si>
    <t>COCI 09-Sok</t>
  </si>
  <si>
    <t>COCI 09-Slatkisi</t>
  </si>
  <si>
    <t>COCI 09-Planina</t>
  </si>
  <si>
    <t>COCI 09-Note</t>
  </si>
  <si>
    <t>COCI 09-Natjecanje</t>
  </si>
  <si>
    <t>COCI 09-Kletva</t>
  </si>
  <si>
    <t>COCI 09-Iks</t>
  </si>
  <si>
    <t>COCI 09-Filip</t>
  </si>
  <si>
    <t>COCI 09-Faktor</t>
  </si>
  <si>
    <t>COCI 09-Domino</t>
  </si>
  <si>
    <t>COCI 09-Cudoviste</t>
  </si>
  <si>
    <t>COCI 09-Cokolada</t>
  </si>
  <si>
    <t>COCI 09-Bakice</t>
  </si>
  <si>
    <t>COCI 09-Autori</t>
  </si>
  <si>
    <t>COCI 08-Skocimis</t>
  </si>
  <si>
    <t>COCI 08-Skakavac</t>
  </si>
  <si>
    <t>COCI 08-Reseto</t>
  </si>
  <si>
    <t>COCI 08-Ptice</t>
  </si>
  <si>
    <t>COCI 08-Perket</t>
  </si>
  <si>
    <t>COCI 08-Mravojed</t>
  </si>
  <si>
    <t>COCI 08-Mjehuric</t>
  </si>
  <si>
    <t>COCI 08-Kornislav</t>
  </si>
  <si>
    <t>COCI 08-Kemija</t>
  </si>
  <si>
    <t>COCI 08-Jez</t>
  </si>
  <si>
    <t>COCI 08-Datum</t>
  </si>
  <si>
    <t>COCI 08-Cuskija</t>
  </si>
  <si>
    <t>todo, geometry</t>
  </si>
  <si>
    <t>COCI 08-Cavli</t>
  </si>
  <si>
    <t>COCI 08-Buka</t>
  </si>
  <si>
    <t>COCI 07-Prinova</t>
  </si>
  <si>
    <t>COCI 07-Pascal</t>
  </si>
  <si>
    <t>COCI 07-Oktalni</t>
  </si>
  <si>
    <t>COCI 07-Nikola</t>
  </si>
  <si>
    <t>COCI 07-Crne</t>
  </si>
  <si>
    <t>COCI 07-Cetvrta</t>
  </si>
  <si>
    <t>COCI 07-Cetiri</t>
  </si>
  <si>
    <t>COCI 06-Trik</t>
  </si>
  <si>
    <t>COCI 06-Tenis</t>
  </si>
  <si>
    <t>COCI 06-Sjecista</t>
  </si>
  <si>
    <t>COCI 06-Sibice</t>
  </si>
  <si>
    <t>COCI 06-Prase</t>
  </si>
  <si>
    <t>COCI 06-Patuljci</t>
  </si>
  <si>
    <t>COCI 06-Okviri</t>
  </si>
  <si>
    <t>COCI 06-Maraton</t>
  </si>
  <si>
    <t>COCI 06-Liga</t>
  </si>
  <si>
    <t>COCI 06-Bard</t>
  </si>
  <si>
    <t>CEOI 19-Scissors</t>
  </si>
  <si>
    <t>CEOI 10-MP3player</t>
  </si>
  <si>
    <t>CEOI 10-Bodyguards</t>
  </si>
  <si>
    <t>CEOI 10-Arithmetic</t>
  </si>
  <si>
    <t>todo, [https://dunjudge.me/analysis/problems/750/]</t>
  </si>
  <si>
    <t>CEOI 10-Alliances</t>
  </si>
  <si>
    <t>todo, [https://dunjudge.me/analysis/problems/756/]</t>
  </si>
  <si>
    <t>CEOI 07-Treasury</t>
  </si>
  <si>
    <t>CEOI 07-Sail</t>
  </si>
  <si>
    <t>CEOI 07-Necklace</t>
  </si>
  <si>
    <t>CEOI 07-Ministry</t>
  </si>
  <si>
    <t>CEOI 07-Airport</t>
  </si>
  <si>
    <t>todo, [not in actual contest]</t>
  </si>
  <si>
    <t>CEOI 02-NRook</t>
  </si>
  <si>
    <t>CCO 18-FunPalace</t>
  </si>
  <si>
    <t>CCO 18-FlopSorting</t>
  </si>
  <si>
    <t>CCO 08-Candy</t>
  </si>
  <si>
    <t>CCO 07-Cows</t>
  </si>
  <si>
    <t>BalticWarmup 17-PongTournament</t>
  </si>
  <si>
    <t>BalticWarmup 17-BirdRescue</t>
  </si>
  <si>
    <t>Baltic 12-Tiny</t>
  </si>
  <si>
    <t>Baltic 06-Coin</t>
  </si>
  <si>
    <t>Baltic 06-City</t>
  </si>
  <si>
    <t>Balkan 16-Hacker</t>
  </si>
  <si>
    <t>Balkan 15-TILING</t>
  </si>
  <si>
    <t>Balkan 12-BOI_handsome</t>
  </si>
  <si>
    <t>Balkan 09-Strip</t>
  </si>
  <si>
    <t>Balkan 09-NewBeginning</t>
  </si>
  <si>
    <t>Balkan 05-WordCounting</t>
  </si>
  <si>
    <t>Balkan 05-Tickets</t>
  </si>
  <si>
    <t>Balkan 05-Requests</t>
  </si>
  <si>
    <t>Balkan 05-CPU</t>
  </si>
  <si>
    <t>Balkan 05-Couples</t>
  </si>
  <si>
    <t>Balkan 04-two_sequences</t>
  </si>
  <si>
    <t>Balkan 04-great_student</t>
  </si>
  <si>
    <t>APIO 13-tasksauthor</t>
  </si>
  <si>
    <t>todo, [https://www.acmicpc.net/category/detail/221 - http://140.136.150.68/judge/problem/view/240]</t>
  </si>
  <si>
    <t>APIO 11-guessword</t>
  </si>
  <si>
    <t>POI 18-Polynomial</t>
  </si>
  <si>
    <t>string processing or roll hashing</t>
  </si>
  <si>
    <t>MCO 15-secret</t>
  </si>
  <si>
    <r>
      <t>string processing, hashing, binary search, </t>
    </r>
    <r>
      <rPr>
        <b/>
        <sz val="10"/>
        <color rgb="FF000000"/>
        <rFont val="Arial"/>
        <family val="2"/>
      </rPr>
      <t>impl</t>
    </r>
    <r>
      <rPr>
        <sz val="10"/>
        <color rgb="FF000000"/>
        <rFont val="Arial"/>
        <family val="2"/>
      </rPr>
      <t>, [double hashing]</t>
    </r>
  </si>
  <si>
    <t>COCI 06-Dvaput</t>
  </si>
  <si>
    <t>string processing, hashing, masks, [solve COCI 06-Dvaput first]</t>
  </si>
  <si>
    <t>COCI 06-Debug</t>
  </si>
  <si>
    <t>string processing, map or trie</t>
  </si>
  <si>
    <t>infoarena sabin</t>
  </si>
  <si>
    <r>
      <t>string processing, hashing, binary search, </t>
    </r>
    <r>
      <rPr>
        <b/>
        <sz val="10"/>
        <color rgb="FF000000"/>
        <rFont val="Arial"/>
        <family val="2"/>
      </rPr>
      <t>impl</t>
    </r>
    <r>
      <rPr>
        <sz val="10"/>
        <color rgb="FF000000"/>
        <rFont val="Arial"/>
        <family val="2"/>
      </rPr>
      <t>, [easy idea]</t>
    </r>
  </si>
  <si>
    <t>IOI 03-code</t>
  </si>
  <si>
    <t>string processing, hashing, probability, [double hashing]</t>
  </si>
  <si>
    <t>COCI 17-osmosmjerka</t>
  </si>
  <si>
    <t>string processing, ad-hoc</t>
  </si>
  <si>
    <t>Baltic 19-necklace1</t>
  </si>
  <si>
    <t>string processing, hashing, binary search, palindromes</t>
  </si>
  <si>
    <t>COI 16-palinilap</t>
  </si>
  <si>
    <t>dp, dp_trees, [repeated]</t>
  </si>
  <si>
    <t>USACO 18feb-dirtraverse-gold</t>
  </si>
  <si>
    <t>dp, dp_trees, [also https://www.youtube.com/watch?v=PRmAUzgbOBI]</t>
  </si>
  <si>
    <t>POI 16-Parade</t>
  </si>
  <si>
    <t>infoarena posta2</t>
  </si>
  <si>
    <t>USACO 12nov-btree-gold</t>
  </si>
  <si>
    <t>infoarena arbore7</t>
  </si>
  <si>
    <t>dp, dp_trees, [Romanian txt]</t>
  </si>
  <si>
    <t>infoarena arb2</t>
  </si>
  <si>
    <t>dp, dp_trees or lca, prefix sum</t>
  </si>
  <si>
    <t>USACO 12dec-runaway</t>
  </si>
  <si>
    <t>dp, dp_trees or segment tree</t>
  </si>
  <si>
    <t>IOI 12-tournament</t>
  </si>
  <si>
    <t>dp, dp_trees or segment tree dp, centroid-decomposition</t>
  </si>
  <si>
    <t>Balkan 17-CityAttractions</t>
  </si>
  <si>
    <t>dp, dp_trees, mst or dijsktra</t>
  </si>
  <si>
    <t>COCI 08-Najkraci</t>
  </si>
  <si>
    <t>dp, dp_trees, [strict tl, mem], [easy idea]</t>
  </si>
  <si>
    <t>infoarena plimbare3</t>
  </si>
  <si>
    <t>COCI 18-dostavljac</t>
  </si>
  <si>
    <t>dp, dp_trees, euler tour, [amortizd analysis]</t>
  </si>
  <si>
    <t>IZhO 12-biochips</t>
  </si>
  <si>
    <t>CEOI 17-Chase</t>
  </si>
  <si>
    <t>dp, dp_trees, binary search</t>
  </si>
  <si>
    <t>infoarena arb3</t>
  </si>
  <si>
    <t>dp, dp_trees or dp_sibling (slow), [easier limits IOI 05-rivers)</t>
  </si>
  <si>
    <t>CEOIPractice 17-Museum</t>
  </si>
  <si>
    <t>dp, dp_trees. [dfs traversal for optimization]</t>
  </si>
  <si>
    <t>infoarena radare</t>
  </si>
  <si>
    <t>dp, dp_trees, [skip unused states]</t>
  </si>
  <si>
    <t>Infoarena tricolor</t>
  </si>
  <si>
    <t>dp, dp_trees, floyd, [harder limits CEOIPractice 17-Museum]</t>
  </si>
  <si>
    <t>IOI 05-rivers</t>
  </si>
  <si>
    <t>dp, dp_trees, bitset</t>
  </si>
  <si>
    <t>COCI 15-uzastopni</t>
  </si>
  <si>
    <t>dp, dp_trees, hld</t>
  </si>
  <si>
    <t>JOIOC 18-CatsorDogs</t>
  </si>
  <si>
    <t>POI 04-Cave</t>
  </si>
  <si>
    <t>dp, dp_trees, dp_bitmasks. lca</t>
  </si>
  <si>
    <t>IOI 07-training</t>
  </si>
  <si>
    <t>dp, dp_trees, [Interesting reduction to tree problem]</t>
  </si>
  <si>
    <t>IOI 12-city</t>
  </si>
  <si>
    <t>IZhO 17-road</t>
  </si>
  <si>
    <t>dp, dp_sos, [standard]</t>
  </si>
  <si>
    <t>COCI 12-KOSARE</t>
  </si>
  <si>
    <t>CSES 1654</t>
  </si>
  <si>
    <t>USACO 15jan-gold_movie</t>
  </si>
  <si>
    <t>dp, dp_sos, lucas' theorem, xor, [solve first CSA78-E, a bit similar]</t>
  </si>
  <si>
    <t>infoarena xortransform</t>
  </si>
  <si>
    <t>dp, dp_sos, lucas's theorem, observations</t>
  </si>
  <si>
    <t>ROUSelection 18-xor_transform</t>
  </si>
  <si>
    <t>[131]</t>
  </si>
  <si>
    <t>dp, dp_component</t>
  </si>
  <si>
    <t>CEOI 16-Kangaroo</t>
  </si>
  <si>
    <t>dp, dp_component, [solve CEOI 16-kangaroo first]</t>
  </si>
  <si>
    <t>MCO 17-MagicalTeleporter</t>
  </si>
  <si>
    <t>dp, dp_component, dp_open_close, [solve CEOI 16-Kangaroo first], [|x-y| = max(x,y)-min(x,y), seperating it this way is useful in many problems.] [https://github.com/stefdasca/CompetitiveProgramming/blob/master/JOI/JOIOC%2016-skyscraper.cpp]</t>
  </si>
  <si>
    <t>JOIOC 16-skyscraper</t>
  </si>
  <si>
    <t>dp, dp_trick, montonic queue</t>
  </si>
  <si>
    <t>USACO 19feb-mowing-plat</t>
  </si>
  <si>
    <t>Sol - must read - can u do O(LG)?</t>
  </si>
  <si>
    <t>dp, dp_knuth or dp_d&amp;c_opt</t>
  </si>
  <si>
    <t>IOIPractice 14-guardians-lunatics-ioi14</t>
  </si>
  <si>
    <t>dp, dp_knuth, dp_counting, impl, permutation, [similar: AtCoder-dp_t https://atcoder.jp/contests/dp/tasks/dp_t]</t>
  </si>
  <si>
    <t>CEOI 02-Fence</t>
  </si>
  <si>
    <t>dp, dp_alien</t>
  </si>
  <si>
    <t>infoarena padurari</t>
  </si>
  <si>
    <t>dp, dp_alien or greedy, dp, [solve APIO 07-backup first], [=SACO 2008 Banquet]</t>
  </si>
  <si>
    <t>NOI 19-feast</t>
  </si>
  <si>
    <t>IOI 16-aliens</t>
  </si>
  <si>
    <t>DMPG 18-MimiDivision</t>
  </si>
  <si>
    <t>sqrt decomposition, optimizations</t>
  </si>
  <si>
    <t>Dmoj EllisFahrengart</t>
  </si>
  <si>
    <t>sqrt decomposition or dp or link-cut tree</t>
  </si>
  <si>
    <t>Dmoj HopScotch</t>
  </si>
  <si>
    <t>sqrt decomposition, trees, bitmasks</t>
  </si>
  <si>
    <t>infoarena arbore</t>
  </si>
  <si>
    <t>CCO 18-boring</t>
  </si>
  <si>
    <t>sqrt decomposition, dp or dp</t>
  </si>
  <si>
    <t>USACO 19feb-plat_mooriokart</t>
  </si>
  <si>
    <t>sqrt decomposition, prefix sum or euler tour, two pointers, [easy if saw idea before]</t>
  </si>
  <si>
    <t>IOI 09-regions</t>
  </si>
  <si>
    <t>sqrt decomposition, Manhattan2DRotation or segment tree</t>
  </si>
  <si>
    <t>infoarena mindist</t>
  </si>
  <si>
    <t>sqrt decomposition, online insertion/deletion or link-cut tree, greedy</t>
  </si>
  <si>
    <t>IOI 11-elephants</t>
  </si>
  <si>
    <t>sqrt decomposition, dsu or bit, binary search, dsu</t>
  </si>
  <si>
    <t>POI 16-Christmas</t>
  </si>
  <si>
    <t>sqrt decomposition, math, dp, [Romanian txt], [A rather classical problem, turned into something harder(How many subarrays have majoritary element). Since restrictions were allowing it, I solved it using O(n sqrt n), by brute forcing elements with frequences &lt; sqrt n while doing O(n) on the elements with frequencies &gt;= sqrt n]</t>
  </si>
  <si>
    <t>infoarena bvarcolaci</t>
  </si>
  <si>
    <t>sqrt decomposition, dsu, [constant factorization]</t>
  </si>
  <si>
    <t>APIO 19-bridges</t>
  </si>
  <si>
    <t>sqrt decomposition, dijkstra</t>
  </si>
  <si>
    <t>POI 13-Price</t>
  </si>
  <si>
    <t>JOISC 18-bitaro</t>
  </si>
  <si>
    <t>sqrt decomposition, long impl, [strict time]</t>
  </si>
  <si>
    <t>IZhO 18-segments</t>
  </si>
  <si>
    <t>JOIOC 18-Collapse</t>
  </si>
  <si>
    <t>USACO 18mar-trainplat</t>
  </si>
  <si>
    <t>sqrt decomposition, dfs, observations, tricky</t>
  </si>
  <si>
    <t>USACO 18jan-atlarge-plat</t>
  </si>
  <si>
    <t>sqrt decomposition, ad-hoc, interactive</t>
  </si>
  <si>
    <t>CEOI 09-Boxes</t>
  </si>
  <si>
    <t>graph, dsu-on-trees or segment tree, [classical, good for practice], POI11_rot</t>
  </si>
  <si>
    <t>POI 11-Rotation</t>
  </si>
  <si>
    <t>Sol - see editorials of rot for easier constraints</t>
  </si>
  <si>
    <t>graph, dsu-on-trees, [bigger constraints that POI 11-Rotation - POI11_rot]</t>
  </si>
  <si>
    <t>POI 11-rod</t>
  </si>
  <si>
    <t>graph, dsu-on-trees or centroid-decomposition, [standard], [http://www.ioi2011.or.th/hsc/tasks/solutions/race.pdf]</t>
  </si>
  <si>
    <t>IOI 11-race</t>
  </si>
  <si>
    <t>dp, dp_convex_hull or LiChao, [actually not dp case]</t>
  </si>
  <si>
    <t>Infoarena vmin</t>
  </si>
  <si>
    <t>dp, dp_convex_hull or LiChao</t>
  </si>
  <si>
    <t>infoarena puncte</t>
  </si>
  <si>
    <t>dp, dp_convex_hull, Lichao segment tree or ad-hoc, binary partition</t>
  </si>
  <si>
    <t>CEOI 17-Building</t>
  </si>
  <si>
    <t>dp, dp_convex_hull, tree, [k-median problem]</t>
  </si>
  <si>
    <t>CEOI 04-Two</t>
  </si>
  <si>
    <t>dp, dp_convex_hull, binary search</t>
  </si>
  <si>
    <t>Balkan 12-balls</t>
  </si>
  <si>
    <t>dp, dp_convex_hull or ad-hoc, binary search, [!dp]</t>
  </si>
  <si>
    <t>MCO 16-acorn</t>
  </si>
  <si>
    <t>dp, dp_convex_hull, math, [type 1, =SPOJ APIO10A, ~=kattis coveredwalkway]</t>
  </si>
  <si>
    <t>APIO 10-Commando</t>
  </si>
  <si>
    <t>dp, dp_convex_hull or dp_d&amp;c_opt, [strict time, easy for one knows these techniques - NOT fun for constant optimizations]</t>
  </si>
  <si>
    <t>APIO 14-Sequence</t>
  </si>
  <si>
    <t>dp, dp_convex_hull or dp_d&amp;c or segment tree or ad-hoc, [POI11_pio]</t>
  </si>
  <si>
    <t>POI 11-Conductor</t>
  </si>
  <si>
    <t>dp, dp_convex_hull, geometry</t>
  </si>
  <si>
    <t>POI 09-Island</t>
  </si>
  <si>
    <t>dp, dp_convex_hull, bit or dp, segment tree</t>
  </si>
  <si>
    <t>IOI 09-salesman</t>
  </si>
  <si>
    <t>dp, dp_convex_hull, bfs, impl, [!dp]</t>
  </si>
  <si>
    <t>POI 08-Robinson</t>
  </si>
  <si>
    <t>JOISC 17-coach</t>
  </si>
  <si>
    <t>graph, centroid-decomposition, bit, [=CF766-D2-E]</t>
  </si>
  <si>
    <t>COCI 19-deblo</t>
  </si>
  <si>
    <t>MCO 16-town_planning</t>
  </si>
  <si>
    <t>graph, centroid-decomposition, greedy or segment tree, Maximum Independent Set on Tree, [BOI17_catinatree], [may solve first CF342-D2-E]</t>
  </si>
  <si>
    <t>Baltic 17-Cat</t>
  </si>
  <si>
    <t>graph, centroid-decomposition, lca, [micro optimizations], [easy idea]</t>
  </si>
  <si>
    <t>JOIOC 14-factories</t>
  </si>
  <si>
    <t>graph, centroid-decomposition or subtree set merging</t>
  </si>
  <si>
    <t>COI 17-zagrade</t>
  </si>
  <si>
    <t>graph, centroid-decomposition or lca, tree diameter, [almost direct]</t>
  </si>
  <si>
    <t>USACO 18feb-newbarn-plat</t>
  </si>
  <si>
    <t>graph, centroid-decomposition, greedy, dfs, [=CF752-D12-F]</t>
  </si>
  <si>
    <t>DMOPC 18-BobEnglishClass</t>
  </si>
  <si>
    <t>graph, centroid-decomposition, bit</t>
  </si>
  <si>
    <t>COCI 19-transport</t>
  </si>
  <si>
    <t>graph, centroid-decomposition, dsu-on-trees, dp, number theory</t>
  </si>
  <si>
    <t>RusOI-reg 13-capitals</t>
  </si>
  <si>
    <t>graph, centroid-decomposition, dp_trees, [has another nice sol]</t>
  </si>
  <si>
    <t>JOISC 19-designated-cities</t>
  </si>
  <si>
    <t>USACO 19feb-gold-cowland</t>
  </si>
  <si>
    <r>
      <t>graph, hld, sqrt decomposition, [</t>
    </r>
    <r>
      <rPr>
        <b/>
        <sz val="10"/>
        <color rgb="FF000000"/>
        <rFont val="Arial"/>
        <family val="2"/>
      </rPr>
      <t>strict</t>
    </r>
    <r>
      <rPr>
        <sz val="10"/>
        <color rgb="FF000000"/>
        <rFont val="Arial"/>
        <family val="2"/>
      </rPr>
      <t> TL on dmoj]</t>
    </r>
  </si>
  <si>
    <t>COI 08-Otoci</t>
  </si>
  <si>
    <t>graph, hld, impl, [is similar to JOIOC 13-synchronization?]</t>
  </si>
  <si>
    <t>infoarena disconnect</t>
  </si>
  <si>
    <t>graph, hld, bit or link-cut tree or binary lifting, segment tree, [common trick for some]</t>
  </si>
  <si>
    <t>JOISC 18-construction</t>
  </si>
  <si>
    <t>graph, hld, datastructures, impl</t>
  </si>
  <si>
    <t>MCOCAMP 16-flipbrackets</t>
  </si>
  <si>
    <t>graph, max-flow, min-cut, vertex split, basic circles, [newcomers]</t>
  </si>
  <si>
    <t>Baltic 07-Escape</t>
  </si>
  <si>
    <t>graph, dfs, topological sort, bfs</t>
  </si>
  <si>
    <t>infoarena pm2</t>
  </si>
  <si>
    <t>graph, dfs, topological sort, [https://github.com/ZeyadKhattab/Competitive-Programming/blob/master/Problems/NOI%2008-rank.cpp]</t>
  </si>
  <si>
    <t>NOI 08-rank</t>
  </si>
  <si>
    <t>graph, dfs, topological sort, [official cases are weak (used on oz.uz). Please AC on dmoj]</t>
  </si>
  <si>
    <t>COCI 16-cezar</t>
  </si>
  <si>
    <t>graph, dfs, topological sort, math</t>
  </si>
  <si>
    <t>Baltic 13-pipes</t>
  </si>
  <si>
    <t>graph, dfs, topological sort, game theory, [interesting topo]</t>
  </si>
  <si>
    <t>Baltic 14-coprobber</t>
  </si>
  <si>
    <t>IZhO 18-sequence</t>
  </si>
  <si>
    <t>CEOI 02-Bugs</t>
  </si>
  <si>
    <t>dp, dp_profile, matrix, matrix pow</t>
  </si>
  <si>
    <t>Baltic 07-Points</t>
  </si>
  <si>
    <t>dp, dp_sibling, [cases]</t>
  </si>
  <si>
    <t>APIO 10-Patrol</t>
  </si>
  <si>
    <r>
      <t>dp, dp_sibling, [</t>
    </r>
    <r>
      <rPr>
        <b/>
        <sz val="10"/>
        <color rgb="FF000000"/>
        <rFont val="Arial"/>
        <family val="2"/>
      </rPr>
      <t>hard impl</t>
    </r>
    <r>
      <rPr>
        <sz val="10"/>
        <color rgb="FF000000"/>
        <rFont val="Arial"/>
        <family val="2"/>
      </rPr>
      <t> and tricky cases]</t>
    </r>
  </si>
  <si>
    <t>APIO 14-Beads</t>
  </si>
  <si>
    <t>dp, dp_digit, binary search</t>
  </si>
  <si>
    <t>infoarena cifra4</t>
  </si>
  <si>
    <t>COCI 07-Cudak</t>
  </si>
  <si>
    <t>COCI 08-Tresnja</t>
  </si>
  <si>
    <t>dp, dp_digit, impl, [~=ROI-regional 16-numbers]</t>
  </si>
  <si>
    <t>Baltic 13-numbers</t>
  </si>
  <si>
    <t>dp, dp_digit or math, prefix</t>
  </si>
  <si>
    <t>COCI 13-parovi</t>
  </si>
  <si>
    <r>
      <t>dp, dp_digit, </t>
    </r>
    <r>
      <rPr>
        <b/>
        <sz val="10"/>
        <color rgb="FF000000"/>
        <rFont val="Arial"/>
        <family val="2"/>
      </rPr>
      <t>annoying impl</t>
    </r>
  </si>
  <si>
    <t>Baltic 08-Magical</t>
  </si>
  <si>
    <t>COI 07-Umnozak</t>
  </si>
  <si>
    <t>dp, dp_d&amp;c_opt, binary search</t>
  </si>
  <si>
    <t>EOI 18-d1-A</t>
  </si>
  <si>
    <t>dp, dp_d&amp;c_opt, [get rid of dp cycle]</t>
  </si>
  <si>
    <t>USACO 16feb-cbarn-plat</t>
  </si>
  <si>
    <t>COI 15-nafta</t>
  </si>
  <si>
    <t>dp, dp_build_output, lcs</t>
  </si>
  <si>
    <t>CEOI 03-Trip</t>
  </si>
  <si>
    <t>dp, dp_build_output, lexi, graph or combinatorics, [IOI08_linear_garden]</t>
  </si>
  <si>
    <t>IOI 08-linear</t>
  </si>
  <si>
    <t>dp, dp_build_output, greedy, two pointers. impl</t>
  </si>
  <si>
    <t>COI 07-Kolekcija</t>
  </si>
  <si>
    <t>dp, dp_build_output, impl, cases, optimization, [boring]</t>
  </si>
  <si>
    <t>Baltic 15-bow</t>
  </si>
  <si>
    <t>COCI 16-nizin</t>
  </si>
  <si>
    <t>two pointers, map</t>
  </si>
  <si>
    <t>EOIQ 18-r2-B</t>
  </si>
  <si>
    <t>two pointers, [JOI20_ho_t2]</t>
  </si>
  <si>
    <t>JOI 20-JJOOII2</t>
  </si>
  <si>
    <t>two pointers, impl</t>
  </si>
  <si>
    <t>Infoarena lautari</t>
  </si>
  <si>
    <t>POI 13-Colorful</t>
  </si>
  <si>
    <t>USACO 13jan-lineup</t>
  </si>
  <si>
    <t>two pointers, [JOI19_ho_t2]</t>
  </si>
  <si>
    <t>JOI 19-ExhibitionBatch</t>
  </si>
  <si>
    <t>two pointers, math</t>
  </si>
  <si>
    <t>USACO 19feb-cowdate-plat</t>
  </si>
  <si>
    <t>two pointers, bf, ad-hoc</t>
  </si>
  <si>
    <t>Baltic 10-Bins</t>
  </si>
  <si>
    <t>EJOI 17-game</t>
  </si>
  <si>
    <t>Baltic 18-MartianDNA</t>
  </si>
  <si>
    <t>two pointers, deques</t>
  </si>
  <si>
    <t>infoarena drept2</t>
  </si>
  <si>
    <t>EOI_IOI 18-QR-C</t>
  </si>
  <si>
    <t>IOI 16-molecules</t>
  </si>
  <si>
    <t>two pointers, prefix sum</t>
  </si>
  <si>
    <t>POI 10-Blocks</t>
  </si>
  <si>
    <t>two pointers, median</t>
  </si>
  <si>
    <t>IOIQ 18-onsite-C</t>
  </si>
  <si>
    <t>two pointers, sliding window or rmq</t>
  </si>
  <si>
    <t>POI 10-Pilots</t>
  </si>
  <si>
    <t>two pointers, deque, ad-hoc, [=infoarena calancea]</t>
  </si>
  <si>
    <t>IOIPractice 16-increasing_subarrays</t>
  </si>
  <si>
    <t>two pointers, data structures, [Romanian txt], [=IOIPractice 16-increasing_subarrays, use it]</t>
  </si>
  <si>
    <t>Infoarena Calancea</t>
  </si>
  <si>
    <t>COCI 19-lun</t>
  </si>
  <si>
    <t>COCI 19-konj</t>
  </si>
  <si>
    <t>COCI 19-elder</t>
  </si>
  <si>
    <t>COCI 18-pismo</t>
  </si>
  <si>
    <t>COCI 18-magnus</t>
  </si>
  <si>
    <t>COCI 15-Yoda</t>
  </si>
  <si>
    <t>impl, stl</t>
  </si>
  <si>
    <t>COCI 13-Trener</t>
  </si>
  <si>
    <t>COCI 16-tarifa</t>
  </si>
  <si>
    <t>COCI 09-Program</t>
  </si>
  <si>
    <t>impl, [boring]</t>
  </si>
  <si>
    <t>COCI 09-Razgovori</t>
  </si>
  <si>
    <t>COCI 09-Rimski</t>
  </si>
  <si>
    <t>IOI 10-memory</t>
  </si>
  <si>
    <t>IOI 10-cluedo</t>
  </si>
  <si>
    <t>impl, string, stack, [where OJ]</t>
  </si>
  <si>
    <t>Info1Cup 19-Treasure</t>
  </si>
  <si>
    <t>COCI 17-tetris</t>
  </si>
  <si>
    <t>IOIQ 19-r2-B</t>
  </si>
  <si>
    <t>IOIQ 19-r1-A</t>
  </si>
  <si>
    <t>IOI 09-garage</t>
  </si>
  <si>
    <t>infoarena album2</t>
  </si>
  <si>
    <t>IOIQ 18-r1-B</t>
  </si>
  <si>
    <t>EOIQ 18-r1-C</t>
  </si>
  <si>
    <t>infoarena cmmp</t>
  </si>
  <si>
    <t>IOIQ 19-r2-C</t>
  </si>
  <si>
    <t>EOIQ 18-r1-A</t>
  </si>
  <si>
    <t>EOIQ 18-r2-A</t>
  </si>
  <si>
    <t>impl, matrix, preprocessing</t>
  </si>
  <si>
    <t>COCI 13-Ratar</t>
  </si>
  <si>
    <r>
      <t>impl, [</t>
    </r>
    <r>
      <rPr>
        <b/>
        <sz val="10"/>
        <color rgb="FF000000"/>
        <rFont val="Arial"/>
        <family val="2"/>
      </rPr>
      <t>JAPANESE</t>
    </r>
    <r>
      <rPr>
        <sz val="10"/>
        <color rgb="FF000000"/>
        <rFont val="Arial"/>
        <family val="2"/>
      </rPr>
      <t>]</t>
    </r>
  </si>
  <si>
    <t>JOISC 13-Poster</t>
  </si>
  <si>
    <t>IZhO 19-stones</t>
  </si>
  <si>
    <t>POI 16-Water_Park</t>
  </si>
  <si>
    <t>POI 09-Brigade</t>
  </si>
  <si>
    <t>EOIQ 18-r2-C</t>
  </si>
  <si>
    <t>impl, bignum</t>
  </si>
  <si>
    <t>infoarena poarta2</t>
  </si>
  <si>
    <t>impl, [https://github.com/ZeyadKhattab/Competitive-Programming/blob/master/Problems/NOI%2014-orchard.java]</t>
  </si>
  <si>
    <t>NOI 14-orchard</t>
  </si>
  <si>
    <t>COCI 15-topovi</t>
  </si>
  <si>
    <t>JOI 17-semiexpress</t>
  </si>
  <si>
    <t>JOI 14-JOIEmblem</t>
  </si>
  <si>
    <t>impl, linked-list, ad-hoc</t>
  </si>
  <si>
    <t>COCI 06-lista</t>
  </si>
  <si>
    <r>
      <t>impl, prefix sum, suffix sum, [</t>
    </r>
    <r>
      <rPr>
        <b/>
        <sz val="10"/>
        <color rgb="FF000000"/>
        <rFont val="Arial"/>
        <family val="2"/>
      </rPr>
      <t>JAPANESE</t>
    </r>
    <r>
      <rPr>
        <sz val="10"/>
        <color rgb="FF000000"/>
        <rFont val="Arial"/>
        <family val="2"/>
      </rPr>
      <t>]</t>
    </r>
  </si>
  <si>
    <t>JOI 16-CollectingStamps2</t>
  </si>
  <si>
    <t>impl, bf, [problem in text cases?]</t>
  </si>
  <si>
    <t>Balkan 15-UltimateTTT</t>
  </si>
  <si>
    <t>Baltic 14-network</t>
  </si>
  <si>
    <t>impl, cases, boring, [communication style] - https://oj.uz/submission/67071, [See JOISC-17-abduction2.txt]</t>
  </si>
  <si>
    <t>JOISC 17-broken_device</t>
  </si>
  <si>
    <t>IZhO 18-chessboard</t>
  </si>
  <si>
    <t>COCI 08-Matrica</t>
  </si>
  <si>
    <t>impl, graph, constructive</t>
  </si>
  <si>
    <t>COCI 18-clickbait</t>
  </si>
  <si>
    <t>impl, dfs, parsing input</t>
  </si>
  <si>
    <t>IOI 03-robots</t>
  </si>
  <si>
    <t>impl, [hard to impl], [easy idea]</t>
  </si>
  <si>
    <t>COI 08-Plahte</t>
  </si>
  <si>
    <t>impl, observations, [careful impl]</t>
  </si>
  <si>
    <t>Baltic 06-RLE</t>
  </si>
  <si>
    <t>impl, trees</t>
  </si>
  <si>
    <t>POI 15-Necklace</t>
  </si>
  <si>
    <t>impl, bits</t>
  </si>
  <si>
    <t>POI 15-Direction</t>
  </si>
  <si>
    <t>impl??</t>
  </si>
  <si>
    <t>POI 15-Desert</t>
  </si>
  <si>
    <t>impl, ???</t>
  </si>
  <si>
    <t>EJOI 17-camel</t>
  </si>
  <si>
    <t>impl, [very specific - don't assign], [output-only], [code then change output!]</t>
  </si>
  <si>
    <t>CEOI 13-watering</t>
  </si>
  <si>
    <t>impl, [very specific - don't assign]</t>
  </si>
  <si>
    <t>CEOI 13-splot</t>
  </si>
  <si>
    <t>impl, [official is too many cases to handle], ignore</t>
  </si>
  <si>
    <t>POI 15-Sorcerer</t>
  </si>
  <si>
    <t>POI 96-kod</t>
  </si>
  <si>
    <t>bst, catlan, mod inv, formula</t>
  </si>
  <si>
    <t>ROUSelection 18-count_bst</t>
  </si>
  <si>
    <t>DMOPC 16-MollyMangaShopping</t>
  </si>
  <si>
    <t>Dmoj stnbd4</t>
  </si>
  <si>
    <t>mo's algorithm, segment tree, Boyer-Moore majority vote</t>
  </si>
  <si>
    <t>COCI 09-snowwhite</t>
  </si>
  <si>
    <r>
      <t>bbst, splay or link-cut trees, [</t>
    </r>
    <r>
      <rPr>
        <b/>
        <sz val="10"/>
        <color rgb="FF000000"/>
        <rFont val="Arial"/>
        <family val="2"/>
      </rPr>
      <t>JAPANESE</t>
    </r>
    <r>
      <rPr>
        <sz val="10"/>
        <color rgb="FF000000"/>
        <rFont val="Arial"/>
        <family val="2"/>
      </rPr>
      <t>]</t>
    </r>
  </si>
  <si>
    <t>JOISC 13-Spaceships</t>
  </si>
  <si>
    <t>bbst, treap, implicit or segment tree or bit</t>
  </si>
  <si>
    <t>Baltic 11-grow</t>
  </si>
  <si>
    <t>COCI 10-upit</t>
  </si>
  <si>
    <t>Balkan 17-strings</t>
  </si>
  <si>
    <t>string processing, rolling hash, bf</t>
  </si>
  <si>
    <t>Baltic 14-friends</t>
  </si>
  <si>
    <t>string processing, rolling hash, bf, [strict tl]</t>
  </si>
  <si>
    <t>RMI 17-D1-Hangman 2</t>
  </si>
  <si>
    <t>USACO 17dec-standingout-plat</t>
  </si>
  <si>
    <t>string processing, suffix array, rmq, binary search</t>
  </si>
  <si>
    <t>Balkan 15-Clarkson</t>
  </si>
  <si>
    <t>string processing, suffix array, impl, [=SPOJ APIO14_A, https://tioj.ck.tp.edu.tw/problems/1935] or Palindrome tree</t>
  </si>
  <si>
    <t>APIO 14-Palindrome</t>
  </si>
  <si>
    <t>string processing, aho_corasick, bit or aho, hld or suffix array, bit</t>
  </si>
  <si>
    <t>COCI 14-Divljak</t>
  </si>
  <si>
    <t>CEOI 11-Matching</t>
  </si>
  <si>
    <t>string processing, kmp, z-algo, bit or rmq, [easy idea]</t>
  </si>
  <si>
    <t>MCO 17-NewbieHacker</t>
  </si>
  <si>
    <t>string processing, kmp, observations</t>
  </si>
  <si>
    <t>POI 05-Template</t>
  </si>
  <si>
    <t>string processing, kmp, periods</t>
  </si>
  <si>
    <t>POI 11-okr</t>
  </si>
  <si>
    <t>string processing, kmp, expected value</t>
  </si>
  <si>
    <t>COCI 17-klavir</t>
  </si>
  <si>
    <t>string processing, kmp or hashing</t>
  </si>
  <si>
    <t>POI 12-Prefixuffix</t>
  </si>
  <si>
    <t>string processing, trie or greedy, sorting</t>
  </si>
  <si>
    <t>IOI 08-printer</t>
  </si>
  <si>
    <t>string processing, trie, impl, bf, [russian]</t>
  </si>
  <si>
    <t>RusOI-reg 15-search</t>
  </si>
  <si>
    <t>string processing, trie or binary lifting or lca or segment tree, persistent</t>
  </si>
  <si>
    <t>IOI 12-scrivener</t>
  </si>
  <si>
    <t>COCI 17-rima</t>
  </si>
  <si>
    <t>string processing, trie, [todo link]</t>
  </si>
  <si>
    <t>COCI 20-klasika</t>
  </si>
  <si>
    <t>string processing, trie or search, datastructures, [optimizations], [easy idea]</t>
  </si>
  <si>
    <t>COCI 07-Baza</t>
  </si>
  <si>
    <t>string processing, trie, greedy, tree</t>
  </si>
  <si>
    <t>IZhO 12-xor</t>
  </si>
  <si>
    <t>string processing, trie, sweep or 2D trie or trie, bit</t>
  </si>
  <si>
    <t>JOIOC 16-selling_rna</t>
  </si>
  <si>
    <t>math, mod inv or fft</t>
  </si>
  <si>
    <t>MCO 17-ScientificResearch</t>
  </si>
  <si>
    <t>math, mod inv, factorization, tree, impl</t>
  </si>
  <si>
    <t>POI 08-Permutation</t>
  </si>
  <si>
    <t>math, mod inv, combinatorics, stack, impl</t>
  </si>
  <si>
    <t>COI 15-zarulje</t>
  </si>
  <si>
    <t>math, mod inv, lcm, search</t>
  </si>
  <si>
    <t>COCI 17-sazetak</t>
  </si>
  <si>
    <t>POI 12-Leveling</t>
  </si>
  <si>
    <t>COCI 17-savrsen</t>
  </si>
  <si>
    <t>math, sieve, [todo link]</t>
  </si>
  <si>
    <t>COCI 20-spiderman</t>
  </si>
  <si>
    <t>math, sieve, Miller–Rabin test, impl</t>
  </si>
  <si>
    <t>POI 10-Divisor</t>
  </si>
  <si>
    <t>math, sieve, coprimes, LIS</t>
  </si>
  <si>
    <t>POI 07-Queries</t>
  </si>
  <si>
    <t>math, sieve, [Miller–Rabin primality test]</t>
  </si>
  <si>
    <t>Dmoj NextPrimeHard</t>
  </si>
  <si>
    <t>math, sieve, segments</t>
  </si>
  <si>
    <t>Dmoj TortureChamber</t>
  </si>
  <si>
    <t>math, sieve, mod, simulation</t>
  </si>
  <si>
    <t>COI 09-Kolo</t>
  </si>
  <si>
    <t>math, sieve, datastructures, impl</t>
  </si>
  <si>
    <t>infoarena deletegcd</t>
  </si>
  <si>
    <t>math, probability, ad-hoc</t>
  </si>
  <si>
    <t>MCOCAMP 16-flipbits</t>
  </si>
  <si>
    <t>CEOI 03-Register</t>
  </si>
  <si>
    <t>math, matrix, matrix pow, [kth shortest path]</t>
  </si>
  <si>
    <t>POI 15-Trips</t>
  </si>
  <si>
    <t>math, matrix, matrix pow, inclusion-exclusion, matrix difference, [reccurence on a graph, keep old values]</t>
  </si>
  <si>
    <t>COCI 09-Palacinke</t>
  </si>
  <si>
    <t>math, matrix, matrix pow, dp, graph, binary search, math</t>
  </si>
  <si>
    <t>COCI 09-Gremlini</t>
  </si>
  <si>
    <t>math, inclusion-exclusion, bitmasks</t>
  </si>
  <si>
    <t>CEOI 10-PIN</t>
  </si>
  <si>
    <t>math, inclusion-exclusion, hashing</t>
  </si>
  <si>
    <t>USACO 18dec-cowpatibility</t>
  </si>
  <si>
    <t>math, inclusion-exclusion, math</t>
  </si>
  <si>
    <t>infoarena porcjoc</t>
  </si>
  <si>
    <t>math, inclusion-exclusion, gcd, primes</t>
  </si>
  <si>
    <t>COCI 08-Trezor</t>
  </si>
  <si>
    <t>math, inclusion-exclusion, bitmasks, dsu</t>
  </si>
  <si>
    <t>infoarena countfefete</t>
  </si>
  <si>
    <t>math, factorization, dfs</t>
  </si>
  <si>
    <t>POI 11-sej</t>
  </si>
  <si>
    <t>math, factorization, lcm, cycles, permutations, impl</t>
  </si>
  <si>
    <t>MCOCAMP 16-flippermutation</t>
  </si>
  <si>
    <t>math, cyclic permutation, bit, patterns</t>
  </si>
  <si>
    <t>infoarena permsort2</t>
  </si>
  <si>
    <t>math, combinatorics, bf</t>
  </si>
  <si>
    <t>COCI 09-Dobra</t>
  </si>
  <si>
    <t>infoarena color</t>
  </si>
  <si>
    <t>math, combinatorics, impl, tree</t>
  </si>
  <si>
    <t>Datatähti Open19-D</t>
  </si>
  <si>
    <t>infoarena cifru</t>
  </si>
  <si>
    <t>math, combinatorics, two pointers, [complementary counting], [~=COCI 19-strah, repeated]</t>
  </si>
  <si>
    <t>USACO 18jan-sprinklers-plat</t>
  </si>
  <si>
    <t>USACO 18feb-gymnasts-plat</t>
  </si>
  <si>
    <t>CEOI 07-Nasty</t>
  </si>
  <si>
    <t>math, summations, ad-hoc or binary search</t>
  </si>
  <si>
    <t>COCI 17-uzastopni</t>
  </si>
  <si>
    <t>math, mod, ad-hoc</t>
  </si>
  <si>
    <t>JOIOC 16-joiris</t>
  </si>
  <si>
    <t>math, mod, impl, [boring?]</t>
  </si>
  <si>
    <t>Baltic 10-Mines</t>
  </si>
  <si>
    <t>math, gcd, [pascal code]</t>
  </si>
  <si>
    <t>POI 05-Knights</t>
  </si>
  <si>
    <t>math, gcd, impl</t>
  </si>
  <si>
    <t>COCI 09-Genijalac</t>
  </si>
  <si>
    <t>math, gcd, ad-hoc</t>
  </si>
  <si>
    <t>COCI 07-Granica</t>
  </si>
  <si>
    <t>math, formula, binary search, convex function</t>
  </si>
  <si>
    <t>RusOI-reg 16-sequence</t>
  </si>
  <si>
    <r>
      <t>math, formula or </t>
    </r>
    <r>
      <rPr>
        <b/>
        <sz val="10"/>
        <color rgb="FF000000"/>
        <rFont val="Arial"/>
        <family val="2"/>
      </rPr>
      <t>pattern</t>
    </r>
    <r>
      <rPr>
        <sz val="10"/>
        <color rgb="FF000000"/>
        <rFont val="Arial"/>
        <family val="2"/>
      </rPr>
      <t>, constructive</t>
    </r>
  </si>
  <si>
    <t>NOI 14-cats</t>
  </si>
  <si>
    <t>POI 09-Words</t>
  </si>
  <si>
    <t>NOISelection 18-spiraldance</t>
  </si>
  <si>
    <t>NOISelection 16-catnames</t>
  </si>
  <si>
    <t>NOISelection 16-bananaflood</t>
  </si>
  <si>
    <t>NOISelection 15-access_code</t>
  </si>
  <si>
    <t>NOISelection 11-factortiles</t>
  </si>
  <si>
    <t>NOI 06-euclid</t>
  </si>
  <si>
    <t>COCI 17-turnir</t>
  </si>
  <si>
    <t>CCCMock 19-PusheensReportCard</t>
  </si>
  <si>
    <t>COCI 06-Trojke</t>
  </si>
  <si>
    <t>math, base conversion</t>
  </si>
  <si>
    <t>COCI 16-tavan</t>
  </si>
  <si>
    <t>CCC 13-Factor_Solitaire</t>
  </si>
  <si>
    <t>EOI 18-d2-A</t>
  </si>
  <si>
    <t>EOI 19-d2-A</t>
  </si>
  <si>
    <t>math, number theory, [unclear text?]</t>
  </si>
  <si>
    <t>NOI 11-sequence</t>
  </si>
  <si>
    <t>math, primes</t>
  </si>
  <si>
    <t>NOI 08-nprime</t>
  </si>
  <si>
    <t>COCI 07-Jabuke</t>
  </si>
  <si>
    <t>IOI 17-coins</t>
  </si>
  <si>
    <t>infoarena cate3cifre</t>
  </si>
  <si>
    <t>math, seive</t>
  </si>
  <si>
    <t>MCO 14-random</t>
  </si>
  <si>
    <t>math, [=CF955-C]</t>
  </si>
  <si>
    <t>infoarena abx</t>
  </si>
  <si>
    <t>NOI 15-radioactive</t>
  </si>
  <si>
    <t>IOI 05-mean</t>
  </si>
  <si>
    <t>COCI 07-Kuhar</t>
  </si>
  <si>
    <t>math, memoization</t>
  </si>
  <si>
    <t>SNSS 18-R1-A</t>
  </si>
  <si>
    <t>Dmoj FibonacciSequenceHarder</t>
  </si>
  <si>
    <t>COCI 15-Chewbacca</t>
  </si>
  <si>
    <t>COCI 16-prosjecni</t>
  </si>
  <si>
    <t>math, number theory, precomputation</t>
  </si>
  <si>
    <t>COCI 13-cokolade</t>
  </si>
  <si>
    <t>COCI 07-Kemija</t>
  </si>
  <si>
    <t>CEOI 03-Therace</t>
  </si>
  <si>
    <t>math ?</t>
  </si>
  <si>
    <t>NOI 16-fabric</t>
  </si>
  <si>
    <t>math, [https://www.comp.nus.edu.sg/~noi/2012/2012_soln.pdf]</t>
  </si>
  <si>
    <t>NOI 12-modsum</t>
  </si>
  <si>
    <t>math, [Romanian txt]</t>
  </si>
  <si>
    <t>infoarena penal</t>
  </si>
  <si>
    <t>math, dp, todo link</t>
  </si>
  <si>
    <t>COCI 20-zapina</t>
  </si>
  <si>
    <t>math, impl, greedy</t>
  </si>
  <si>
    <t>infoarena matrice</t>
  </si>
  <si>
    <t>math, log, prop</t>
  </si>
  <si>
    <t>POI 07-Weights</t>
  </si>
  <si>
    <t>math, two pointers</t>
  </si>
  <si>
    <t>USACO 19feb-plat_cowdate</t>
  </si>
  <si>
    <t>infoarena overpower</t>
  </si>
  <si>
    <t>math, xor, interactive, [communication style]</t>
  </si>
  <si>
    <t>IOIPractice 17-coins</t>
  </si>
  <si>
    <t>math, implementation, [Romanian txt]</t>
  </si>
  <si>
    <t>infoarena meneaito</t>
  </si>
  <si>
    <t>math combinatorics, [Romanian txt], [easy idea]</t>
  </si>
  <si>
    <t>infoarena jap2</t>
  </si>
  <si>
    <t>math, ad-hoc, round-robin</t>
  </si>
  <si>
    <t>CEOI 04-Football</t>
  </si>
  <si>
    <t>math, sorting, mod, gcd</t>
  </si>
  <si>
    <t>APIO 19-strange_device</t>
  </si>
  <si>
    <t>math, xor, periods, random numbers, interactive</t>
  </si>
  <si>
    <t>Balkan 11-decrypt</t>
  </si>
  <si>
    <t>math, number theory, sqrt or sqrt decomposition</t>
  </si>
  <si>
    <t>POI 14-Panels</t>
  </si>
  <si>
    <t>math, number theory, hashing</t>
  </si>
  <si>
    <t>infoarena perioada</t>
  </si>
  <si>
    <t>math, inclusion-exclusion, pascal, stars and bars] or dp_counting</t>
  </si>
  <si>
    <t>CEOI 04-Sweets</t>
  </si>
  <si>
    <t>math, geometry, simulation, observations to speed</t>
  </si>
  <si>
    <t>POI 16-Arkanoid</t>
  </si>
  <si>
    <t>math, ad-hoc, impl, [heavy math]</t>
  </si>
  <si>
    <t>POI 05-Mirror</t>
  </si>
  <si>
    <t>math, countings, mods, overflows, ????</t>
  </si>
  <si>
    <t>IZhO 19-xorsum</t>
  </si>
  <si>
    <t>math, number theory, power tower</t>
  </si>
  <si>
    <t>Balkan 16-PowerTowers</t>
  </si>
  <si>
    <t>CEOI 16-trick</t>
  </si>
  <si>
    <t>IZhO 17-bomb</t>
  </si>
  <si>
    <t>math, seive, divisors, misc, long impl</t>
  </si>
  <si>
    <t>COCI 17-gauss</t>
  </si>
  <si>
    <t>math, eulerian numbers, combinatorics, integrals, inclusion-exclusion, [William: Would be easy if OEIS is allowed. Interesting math problem, but it's not about algorithms :(]</t>
  </si>
  <si>
    <t>JOISC 18-asceticism</t>
  </si>
  <si>
    <t>math, permutations, swaps, queries, impl, [restrict time]</t>
  </si>
  <si>
    <t>ROUSelection 18-generating_set</t>
  </si>
  <si>
    <t>UTSOpen 15-DistributionChannel</t>
  </si>
  <si>
    <t>graph, lca, persistent stack</t>
  </si>
  <si>
    <t>COCI 14-Stogovi</t>
  </si>
  <si>
    <t>graph, lca, [close to CF192-D2-E]</t>
  </si>
  <si>
    <t>USACO 15dec-maxflow-plat</t>
  </si>
  <si>
    <t>Baltic 09-Triangulate</t>
  </si>
  <si>
    <t>graph, lca, binary lifting, impl</t>
  </si>
  <si>
    <t>TOKIOpen 18-TileCovering</t>
  </si>
  <si>
    <t>graph, lca, observations, sets</t>
  </si>
  <si>
    <t>IZhO 18-treearray</t>
  </si>
  <si>
    <t>graph, lca, mst or parallel binary search or dijkstra, mst</t>
  </si>
  <si>
    <t>IZHO 18-plan</t>
  </si>
  <si>
    <t>graph, lca, dfs</t>
  </si>
  <si>
    <t>Baltic 19-valley</t>
  </si>
  <si>
    <t>graph, lcal, binary lifting, dfs, trees, impl</t>
  </si>
  <si>
    <t>infoarena hacker2</t>
  </si>
  <si>
    <t>graph, lca, fenwick-tree, todo link</t>
  </si>
  <si>
    <t>COCI 20-putovanje</t>
  </si>
  <si>
    <t>graph, lca, DAG or bfs, bitset [educational - LCA on dag], [strict TL]</t>
  </si>
  <si>
    <t>infoarena casute</t>
  </si>
  <si>
    <r>
      <t>graph, lca, greedy, [</t>
    </r>
    <r>
      <rPr>
        <b/>
        <sz val="10"/>
        <color rgb="FF000000"/>
        <rFont val="Arial"/>
        <family val="2"/>
      </rPr>
      <t>, [judge not working]</t>
    </r>
    <r>
      <rPr>
        <sz val="10"/>
        <color rgb="FF000000"/>
        <rFont val="Arial"/>
        <family val="2"/>
      </rPr>
      <t>]</t>
    </r>
  </si>
  <si>
    <t>IOIPractice 16-tree-nodes-destruction</t>
  </si>
  <si>
    <r>
      <t>graph, lca, </t>
    </r>
    <r>
      <rPr>
        <b/>
        <sz val="10"/>
        <color rgb="FF000000"/>
        <rFont val="Arial"/>
        <family val="2"/>
      </rPr>
      <t>hard impl</t>
    </r>
  </si>
  <si>
    <t>COI 14-grad</t>
  </si>
  <si>
    <t>CEOI 05-Net</t>
  </si>
  <si>
    <t>graph, scc, biconnected components, block cut tree</t>
  </si>
  <si>
    <t>TOKIOpen 17-Beauty</t>
  </si>
  <si>
    <t>graph, scc, biconnected components, impl, [direct]</t>
  </si>
  <si>
    <t>USACO 17dec-pushabox-plat</t>
  </si>
  <si>
    <t>graph, scc, biconnected components, d&amp;c, bf</t>
  </si>
  <si>
    <t>COCI 07-Staza</t>
  </si>
  <si>
    <t>graph, scc, biconnected components, math, impl, [onion graph]</t>
  </si>
  <si>
    <t>POI 16-Journey</t>
  </si>
  <si>
    <t>graph, scc, biconnected components, cactus, dp_games, sparse table, [ok idea - tricky details]</t>
  </si>
  <si>
    <t>POI 16-Hydro</t>
  </si>
  <si>
    <t>graph, scc, biconnected components, impl or block cut tree, centroid</t>
  </si>
  <si>
    <t>APIO 18-duathlon</t>
  </si>
  <si>
    <t>graph, scc, biconnected components, dsu</t>
  </si>
  <si>
    <t>CEOI 19-Skyscrapers</t>
  </si>
  <si>
    <t>graph, scc, articulation point, lca, bridges, impl, [easy idea]</t>
  </si>
  <si>
    <t>COI 06-Policija</t>
  </si>
  <si>
    <t>graph, scc, 2-sat, [direct]</t>
  </si>
  <si>
    <t>Baltic 08-Gates</t>
  </si>
  <si>
    <t>POI 01-SPO</t>
  </si>
  <si>
    <t>graph, scc or dp, dfs</t>
  </si>
  <si>
    <t>COCI 06-Bicikli</t>
  </si>
  <si>
    <t>USACO 15jan-grass</t>
  </si>
  <si>
    <t>#ERROR!</t>
  </si>
  <si>
    <t>graph, scc, dsu or lca, dsu, [LONG code in notes, https://dunjudge.me/analysis/problems/800/ relax time]</t>
  </si>
  <si>
    <t>CEOI 15-pipes</t>
  </si>
  <si>
    <t>POI 12-Festival</t>
  </si>
  <si>
    <t>graph, scc, planer graph, impl [english txt http://ceoi.inf.elte.hu/probarch/11/trazad.pdf]</t>
  </si>
  <si>
    <t>CEOI 11-Traffic</t>
  </si>
  <si>
    <t>graph, scc, topological sort</t>
  </si>
  <si>
    <t>Balkan 12-Fan_Groups</t>
  </si>
  <si>
    <t>graph, scc, topological sort, impl</t>
  </si>
  <si>
    <t>POI 16-Streets</t>
  </si>
  <si>
    <t>graph, scc, dp_sibling, [https://www.acmicpc.net/category/detail/223]</t>
  </si>
  <si>
    <t>APIO 09-ATM</t>
  </si>
  <si>
    <t>graph, scc, dsu, edges, [one can avoid LCA], [https://codeforces.com/blog/entry/68138]</t>
  </si>
  <si>
    <t>CEOI 17-OneWay</t>
  </si>
  <si>
    <t>graph, scc, topo sort, dp, impl</t>
  </si>
  <si>
    <t>infoarena drumuri5</t>
  </si>
  <si>
    <t>graph, scc, dfs, [small-to-large]</t>
  </si>
  <si>
    <t>JOIOC 19-Virus</t>
  </si>
  <si>
    <t>graph, scc, queries, back edges, binary search, interactive</t>
  </si>
  <si>
    <t>IOI 17-simurgh</t>
  </si>
  <si>
    <t>NOISelection 15-sightseeing2</t>
  </si>
  <si>
    <t>COCI 09-svemir</t>
  </si>
  <si>
    <t>graph, mst, 2D grid, [also https://www.youtube.com/watch?v=8CTteoBqW6A]</t>
  </si>
  <si>
    <t>POI 16-Hedge</t>
  </si>
  <si>
    <t>NOI 14-sightseeing</t>
  </si>
  <si>
    <t>graph, mst, [basic]</t>
  </si>
  <si>
    <t>USACO 11dec-simplify-gold</t>
  </si>
  <si>
    <t>IOI 03-maintain</t>
  </si>
  <si>
    <t>graph, mst, constructive, [matroid]</t>
  </si>
  <si>
    <t>infoarena karb</t>
  </si>
  <si>
    <t>graph, mst, or lca</t>
  </si>
  <si>
    <t>COCI 18-pictionary</t>
  </si>
  <si>
    <t>graph, mst, ad-hoc</t>
  </si>
  <si>
    <t>USACO 16feb-fencedin-plat</t>
  </si>
  <si>
    <r>
      <t>graph, mst, </t>
    </r>
    <r>
      <rPr>
        <b/>
        <sz val="10"/>
        <color rgb="FF000000"/>
        <rFont val="Arial"/>
        <family val="2"/>
      </rPr>
      <t>sieve</t>
    </r>
    <r>
      <rPr>
        <sz val="10"/>
        <color rgb="FF000000"/>
        <rFont val="Arial"/>
        <family val="2"/>
      </rPr>
      <t>, math</t>
    </r>
  </si>
  <si>
    <t>COCI 17-sirni</t>
  </si>
  <si>
    <t>graph, mst, data compression</t>
  </si>
  <si>
    <t>IOI 10-saveit</t>
  </si>
  <si>
    <t>IOI 16-railroad</t>
  </si>
  <si>
    <t>graph, mst, geometry, lines, ccw</t>
  </si>
  <si>
    <t>Balkan 11-timeismoney</t>
  </si>
  <si>
    <t>graph, mst, directed, arborescence</t>
  </si>
  <si>
    <t>CEOI 08-Information</t>
  </si>
  <si>
    <t>graph, mst, d&amp;c, [specific algo to learn]</t>
  </si>
  <si>
    <t>dmoj ccoprep4p3</t>
  </si>
  <si>
    <t>graph, mst, datastructures</t>
  </si>
  <si>
    <t>USACO 17mar-grass</t>
  </si>
  <si>
    <t>APIO 13-Toll</t>
  </si>
  <si>
    <t>NOI 16-rock_climbing</t>
  </si>
  <si>
    <t>graph, max-flow, bipartite match, [https://ideone.com/SU69ra]</t>
  </si>
  <si>
    <t>TOKIOpen 18-CellsTour</t>
  </si>
  <si>
    <t>COCI 18-priglavci</t>
  </si>
  <si>
    <t>graph, max-flow, bipartite match, [direct]</t>
  </si>
  <si>
    <t>USACO 11nov-steeple-gold</t>
  </si>
  <si>
    <t>COCI 18-planinarenje</t>
  </si>
  <si>
    <t>CEOI 02-Guards</t>
  </si>
  <si>
    <t>graph, max-flow, bipartite match, [variant]</t>
  </si>
  <si>
    <t>POI 11-Contest</t>
  </si>
  <si>
    <t>graph, max-flow, bipartite match, two pointers</t>
  </si>
  <si>
    <t>IZhO 14-marriage</t>
  </si>
  <si>
    <t>Balkan 18-minmaxtree</t>
  </si>
  <si>
    <t>COCI 08-Slicice</t>
  </si>
  <si>
    <t>graph, max-flow, euler cycle</t>
  </si>
  <si>
    <t>POI 10-Bridges</t>
  </si>
  <si>
    <r>
      <t>graph, max-flow, [editorial solution </t>
    </r>
    <r>
      <rPr>
        <b/>
        <sz val="10"/>
        <color rgb="FF000000"/>
        <rFont val="Arial"/>
        <family val="2"/>
      </rPr>
      <t>seems to be incorrect</t>
    </r>
    <r>
      <rPr>
        <sz val="10"/>
        <color rgb="FF000000"/>
        <rFont val="Arial"/>
        <family val="2"/>
      </rPr>
      <t> (or I'm misunderstanding editorial) &amp; I can't find any code solution.]</t>
    </r>
  </si>
  <si>
    <t>CEOI 08-Order</t>
  </si>
  <si>
    <t>graph, floyd, polygon, [https://blog.csdn.net/l04205613/article/details/6427378]</t>
  </si>
  <si>
    <t>IOI 00-walls</t>
  </si>
  <si>
    <t>graph, floyd, traveling sales man</t>
  </si>
  <si>
    <t>USACO 13jan-island</t>
  </si>
  <si>
    <t>graph, floyd, implicit graph, math, impl, [last task tedious]</t>
  </si>
  <si>
    <t>NOI 14-obelisk</t>
  </si>
  <si>
    <t>APIO 17-merchant</t>
  </si>
  <si>
    <t>graph, euler tour, [basic, just strict TL]</t>
  </si>
  <si>
    <t>Baltic 14-postmen</t>
  </si>
  <si>
    <t>graph, euler tour, optimization, [POI11_smi]</t>
  </si>
  <si>
    <t>POI 11-Garbage</t>
  </si>
  <si>
    <t>graph, euler tour or others</t>
  </si>
  <si>
    <t>USACO 18dec-gathering</t>
  </si>
  <si>
    <t>CEOI 05-Depot</t>
  </si>
  <si>
    <t>infoarena ratway</t>
  </si>
  <si>
    <t>COCI 19-teoreticar</t>
  </si>
  <si>
    <t>NOISelection 14-nemo</t>
  </si>
  <si>
    <t>POI 05-Banks</t>
  </si>
  <si>
    <t>COCI 19-zamjena</t>
  </si>
  <si>
    <t>graph, dsu, cycles</t>
  </si>
  <si>
    <t>COCI 13-ladice</t>
  </si>
  <si>
    <t>POI 07-Offices</t>
  </si>
  <si>
    <t>graph, dsu , [Romanian txt]</t>
  </si>
  <si>
    <t>infoarena secvmax</t>
  </si>
  <si>
    <t>graph, dsu, rollback-dsu</t>
  </si>
  <si>
    <t>Dmoj Inaho</t>
  </si>
  <si>
    <t>graph, dsu, bridges</t>
  </si>
  <si>
    <t>CCO 07-RoadConstruction</t>
  </si>
  <si>
    <t>graph, dsu or hld or 2D-range tree or k-d tree</t>
  </si>
  <si>
    <t>IOIPractice 14-world-peace-ioi14</t>
  </si>
  <si>
    <t>graph, dsu, stack combi</t>
  </si>
  <si>
    <t>NOI 19-pilot</t>
  </si>
  <si>
    <t>graph, dsu, math, impl</t>
  </si>
  <si>
    <t>COCI 14-Suma</t>
  </si>
  <si>
    <t>graph, dsu or stack</t>
  </si>
  <si>
    <t>infoarena nrsubsecv</t>
  </si>
  <si>
    <r>
      <t>graph, dsu, sorting, </t>
    </r>
    <r>
      <rPr>
        <b/>
        <sz val="10"/>
        <color rgb="FF000000"/>
        <rFont val="Arial"/>
        <family val="2"/>
      </rPr>
      <t>impl, [cases]</t>
    </r>
    <r>
      <rPr>
        <sz val="10"/>
        <color rgb="FF000000"/>
        <rFont val="Arial"/>
        <family val="2"/>
      </rPr>
      <t>, [easy idea]</t>
    </r>
  </si>
  <si>
    <t>infoarena matrice2</t>
  </si>
  <si>
    <t>graph, dsu, matrix</t>
  </si>
  <si>
    <t>infoarena mexc</t>
  </si>
  <si>
    <t>JOISC 15-inheritance</t>
  </si>
  <si>
    <r>
      <t>graph, dsu, impl, hmm, [</t>
    </r>
    <r>
      <rPr>
        <b/>
        <sz val="10"/>
        <color rgb="FF000000"/>
        <rFont val="Arial"/>
        <family val="2"/>
      </rPr>
      <t>JAPANESE</t>
    </r>
    <r>
      <rPr>
        <sz val="10"/>
        <color rgb="FF000000"/>
        <rFont val="Arial"/>
        <family val="2"/>
      </rPr>
      <t>]</t>
    </r>
  </si>
  <si>
    <t>JOISC 13-Construct</t>
  </si>
  <si>
    <t>graph, dsu, birdges, constructive, greedy</t>
  </si>
  <si>
    <t>IOI 14-game</t>
  </si>
  <si>
    <t>graph, dsu, flood-fill, hard impl</t>
  </si>
  <si>
    <t>Baltic 12-Peaks</t>
  </si>
  <si>
    <t>graph, dsu, math, xor, [small-to-large] or centroid-decomposition</t>
  </si>
  <si>
    <t>COCI 15-galaksija</t>
  </si>
  <si>
    <r>
      <t>graph, dsu, [</t>
    </r>
    <r>
      <rPr>
        <b/>
        <sz val="10"/>
        <color rgb="FF000000"/>
        <rFont val="Arial"/>
        <family val="2"/>
      </rPr>
      <t>JAPANESE</t>
    </r>
    <r>
      <rPr>
        <sz val="10"/>
        <color rgb="FF000000"/>
        <rFont val="Arial"/>
        <family val="2"/>
      </rPr>
      <t>]</t>
    </r>
  </si>
  <si>
    <t>JOISC 13-Jamming</t>
  </si>
  <si>
    <t>USACO 20jan-cave-plat</t>
  </si>
  <si>
    <r>
      <t>graph, dsu, cycles, </t>
    </r>
    <r>
      <rPr>
        <b/>
        <sz val="10"/>
        <color rgb="FF000000"/>
        <rFont val="Arial"/>
        <family val="2"/>
      </rPr>
      <t>impl</t>
    </r>
  </si>
  <si>
    <t>IOI 12-rings</t>
  </si>
  <si>
    <t>graph, dsu, hard to impl or lca</t>
  </si>
  <si>
    <t>NOI 19-riggedroads</t>
  </si>
  <si>
    <t>graph, dsu, datastructures or bit</t>
  </si>
  <si>
    <t>infoarena unique</t>
  </si>
  <si>
    <t>graph, dsu, hashing</t>
  </si>
  <si>
    <t>COCI 16-zamjene</t>
  </si>
  <si>
    <t>graph, dsu, Euler's formula</t>
  </si>
  <si>
    <t>USACO 19mar-Valleys-plat</t>
  </si>
  <si>
    <t>graph, dsu, dsu on trees, bit, [new trick to find common elements b/w two subtrees, Interesting reduction to 2d sum queries, uses similar technique as NOI 18 D1P1.]</t>
  </si>
  <si>
    <t>IOI 18-werewolf</t>
  </si>
  <si>
    <t>NOISelection 12-waddlehop</t>
  </si>
  <si>
    <t>graph, dijkstra, math</t>
  </si>
  <si>
    <t>NOISelection 11-superlongnoodles</t>
  </si>
  <si>
    <t>MCO 17-TravellingSalesman</t>
  </si>
  <si>
    <t>NOI 10-sail</t>
  </si>
  <si>
    <t>graph, dijkstra, [JAPANESE]</t>
  </si>
  <si>
    <t>JOI 13-illumination</t>
  </si>
  <si>
    <t>MCO 15-trains</t>
  </si>
  <si>
    <t>COCI 07-George</t>
  </si>
  <si>
    <t>JOI 13-ModernMansion</t>
  </si>
  <si>
    <t>MCO 16-relayrace</t>
  </si>
  <si>
    <t>graph, dijkstra, cycle, impl</t>
  </si>
  <si>
    <t>POI 04-Competition</t>
  </si>
  <si>
    <t>NOI 13-ferries</t>
  </si>
  <si>
    <t>graph, dijkstra, primes</t>
  </si>
  <si>
    <t>infoarena pesaptecarari</t>
  </si>
  <si>
    <t>graph, dijkstra, [https://github.com/sofhiasouza/CompetitiveProgramming/blob/master/NOI/hotspot.cpp]</t>
  </si>
  <si>
    <t>NOI 17-hotspot</t>
  </si>
  <si>
    <t>COCI 09-Vuk</t>
  </si>
  <si>
    <r>
      <t>graph, dijkstra, [</t>
    </r>
    <r>
      <rPr>
        <b/>
        <sz val="10"/>
        <color rgb="FF000000"/>
        <rFont val="Arial"/>
        <family val="2"/>
      </rPr>
      <t>JAPANESE</t>
    </r>
    <r>
      <rPr>
        <sz val="10"/>
        <color rgb="FF000000"/>
        <rFont val="Arial"/>
        <family val="2"/>
      </rPr>
      <t>]</t>
    </r>
  </si>
  <si>
    <t>JOI 15-JOIPark</t>
  </si>
  <si>
    <t>graph, dijkstra, implicit graph, impl</t>
  </si>
  <si>
    <t>COCI 17-portal</t>
  </si>
  <si>
    <t>USACO 18dec-dining</t>
  </si>
  <si>
    <t>graph, dijkstra, binary search, circles</t>
  </si>
  <si>
    <t>IOIPractice 16-hallway</t>
  </si>
  <si>
    <t>graph, dijkstra, compression, math</t>
  </si>
  <si>
    <t>COI 07-Tamnica</t>
  </si>
  <si>
    <r>
      <t>graph, dijkstra, impl, [</t>
    </r>
    <r>
      <rPr>
        <b/>
        <sz val="10"/>
        <color rgb="FF000000"/>
        <rFont val="Arial"/>
        <family val="2"/>
      </rPr>
      <t>JAPANESE</t>
    </r>
    <r>
      <rPr>
        <sz val="10"/>
        <color rgb="FF000000"/>
        <rFont val="Arial"/>
        <family val="2"/>
      </rPr>
      <t>]</t>
    </r>
  </si>
  <si>
    <t>JOISC 13-BusTour</t>
  </si>
  <si>
    <t>Baltic 14-portals</t>
  </si>
  <si>
    <r>
      <t>graph, dijkstra, dp, </t>
    </r>
    <r>
      <rPr>
        <b/>
        <sz val="10"/>
        <color rgb="FF000000"/>
        <rFont val="Arial"/>
        <family val="2"/>
      </rPr>
      <t>tricky impl</t>
    </r>
    <r>
      <rPr>
        <sz val="10"/>
        <color rgb="FF000000"/>
        <rFont val="Arial"/>
        <family val="2"/>
      </rPr>
      <t>, [easy idea]</t>
    </r>
  </si>
  <si>
    <t>POI 07-Tourist</t>
  </si>
  <si>
    <t>graph, dijkstra, [some tricks]</t>
  </si>
  <si>
    <t>APIO 15-skyscraper</t>
  </si>
  <si>
    <t>IOI 11-crocodile</t>
  </si>
  <si>
    <t>graph, dijkstra, summations, diphontine or math, [POI 03-sums, dijikstra on modulo graph]</t>
  </si>
  <si>
    <t>POI10 sums</t>
  </si>
  <si>
    <t>graph, dijkstra, optimization, [multi-critiera]</t>
  </si>
  <si>
    <t>COCI 17-ceste</t>
  </si>
  <si>
    <t>JOI 18-commuterpass</t>
  </si>
  <si>
    <r>
      <t>graph, dijkstra?, [</t>
    </r>
    <r>
      <rPr>
        <b/>
        <sz val="10"/>
        <color rgb="FF000000"/>
        <rFont val="Arial"/>
        <family val="2"/>
      </rPr>
      <t>JAPANESE]</t>
    </r>
    <r>
      <rPr>
        <sz val="10"/>
        <color rgb="FF000000"/>
        <rFont val="Arial"/>
        <family val="2"/>
      </rPr>
      <t>, [long txt - don't assign - Riya don't understand]</t>
    </r>
  </si>
  <si>
    <t>JOI 14-SugarGlider</t>
  </si>
  <si>
    <t>Official Code</t>
  </si>
  <si>
    <t>graph, dijkstra, todo, JOI20_ho_t4</t>
  </si>
  <si>
    <t>JOI 20-OlympicBus</t>
  </si>
  <si>
    <t>graph, dijkstra grid compress, geometry scanline. [harder version fences]</t>
  </si>
  <si>
    <t>Baltic 07-Fence</t>
  </si>
  <si>
    <t>graph, dijkstra, masks, steiner trees</t>
  </si>
  <si>
    <t>Baltic 16-cities</t>
  </si>
  <si>
    <t>graph, dijkstra, eculidan distances, observations</t>
  </si>
  <si>
    <t>POI 06-Frogs</t>
  </si>
  <si>
    <t>NOI 15-sudoku</t>
  </si>
  <si>
    <t>JOI 17-soccer</t>
  </si>
  <si>
    <t>graph, dijkstra, shortest path tree, [tight limit on: https://www.spoj.com/problems/SPATHS]</t>
  </si>
  <si>
    <t>Balkan 12-ShortestPaths</t>
  </si>
  <si>
    <t>graph, dijkstra, binary search, impl</t>
  </si>
  <si>
    <t>IOI 18-highway</t>
  </si>
  <si>
    <t>graph, dijkstra, [communication]</t>
  </si>
  <si>
    <t>JOISC 19-Transportations</t>
  </si>
  <si>
    <t>graph, dijkstra, [editorial]</t>
  </si>
  <si>
    <t>CEOI 14-wall</t>
  </si>
  <si>
    <t>NOISelection 12-stones</t>
  </si>
  <si>
    <t>COCI 18-birokracija</t>
  </si>
  <si>
    <t>COCI 16-jetpack</t>
  </si>
  <si>
    <t>COCI 18-alkemija</t>
  </si>
  <si>
    <t>graph, dfs, todo link</t>
  </si>
  <si>
    <t>COCI 20-politicari</t>
  </si>
  <si>
    <t>COI 08-Reljef</t>
  </si>
  <si>
    <t>POI 16-Transmit</t>
  </si>
  <si>
    <t>graph, dfs, [No local submissions]</t>
  </si>
  <si>
    <t>NOI 12-forensic</t>
  </si>
  <si>
    <t>graph, dfs, tree, queries, [https://ideone.com/g7VF8C]</t>
  </si>
  <si>
    <t>MCO 16-penghulu</t>
  </si>
  <si>
    <t>graph, dfs, tree center, bfs or topological sort</t>
  </si>
  <si>
    <t>POI 11-ins</t>
  </si>
  <si>
    <t>graph, dfs, bfs, floodfill</t>
  </si>
  <si>
    <t>Baltic 13-tracks</t>
  </si>
  <si>
    <t>COCI 17-ronald</t>
  </si>
  <si>
    <t>COCI 17-poklon7-r7</t>
  </si>
  <si>
    <t>POI 08-Mafia</t>
  </si>
  <si>
    <t>COCI 06-Kamen</t>
  </si>
  <si>
    <r>
      <t>graph, dfs, [</t>
    </r>
    <r>
      <rPr>
        <b/>
        <sz val="10"/>
        <color rgb="FF000000"/>
        <rFont val="Arial"/>
        <family val="2"/>
      </rPr>
      <t>JAPANESE</t>
    </r>
    <r>
      <rPr>
        <sz val="10"/>
        <color rgb="FF000000"/>
        <rFont val="Arial"/>
        <family val="2"/>
      </rPr>
      <t>]</t>
    </r>
  </si>
  <si>
    <t>JOISC 13-Spy</t>
  </si>
  <si>
    <r>
      <t>graph, dfs, bfs, [</t>
    </r>
    <r>
      <rPr>
        <b/>
        <sz val="10"/>
        <color rgb="FF000000"/>
        <rFont val="Arial"/>
        <family val="2"/>
      </rPr>
      <t>JAPANESE</t>
    </r>
    <r>
      <rPr>
        <sz val="10"/>
        <color rgb="FF000000"/>
        <rFont val="Arial"/>
        <family val="2"/>
      </rPr>
      <t>]</t>
    </r>
  </si>
  <si>
    <t>JOI 16-TrainFare</t>
  </si>
  <si>
    <t>POI 09-Fire</t>
  </si>
  <si>
    <t>graph, dfs, [Romanian txt]</t>
  </si>
  <si>
    <t>Infoarena Treesearch</t>
  </si>
  <si>
    <t>graph, dfs, greedy or dp_trees</t>
  </si>
  <si>
    <t>Baltic 18-LovePolygon</t>
  </si>
  <si>
    <t>graph, dfs, coloring</t>
  </si>
  <si>
    <t>COCI 17-usmjeri</t>
  </si>
  <si>
    <t>graph, dfs, [random optimizations]</t>
  </si>
  <si>
    <t>CEOI 18-Toy</t>
  </si>
  <si>
    <t>graph, dfs, cycles, ad-hoc, [MLEs]</t>
  </si>
  <si>
    <t>IOI 08-islands</t>
  </si>
  <si>
    <r>
      <t>graph, dfs, cycles, </t>
    </r>
    <r>
      <rPr>
        <b/>
        <sz val="10"/>
        <color rgb="FF000000"/>
        <rFont val="Arial"/>
        <family val="2"/>
      </rPr>
      <t>impl, [</t>
    </r>
    <r>
      <rPr>
        <sz val="10"/>
        <color rgb="FF000000"/>
        <rFont val="Arial"/>
        <family val="2"/>
      </rPr>
      <t>functional graph</t>
    </r>
    <r>
      <rPr>
        <b/>
        <sz val="10"/>
        <color rgb="FF000000"/>
        <rFont val="Arial"/>
        <family val="2"/>
      </rPr>
      <t>]</t>
    </r>
  </si>
  <si>
    <t>IOI 11-garden</t>
  </si>
  <si>
    <t>graph, dfs, [small-to-large] or hld or rmq</t>
  </si>
  <si>
    <t>USACO 18mar-disrupt-plat</t>
  </si>
  <si>
    <t>graph, dfs, bfs, observation</t>
  </si>
  <si>
    <t>infoarena paintball</t>
  </si>
  <si>
    <t>CEOI 15-indcyc</t>
  </si>
  <si>
    <t>graph, dfs, lis, combinatorics</t>
  </si>
  <si>
    <t>COCI 14-Police</t>
  </si>
  <si>
    <t>COI 06-Sabor</t>
  </si>
  <si>
    <t>Baltic 15-fil</t>
  </si>
  <si>
    <t>POI 09-Code</t>
  </si>
  <si>
    <t>graph, dfs, trees, [communication style], [interesting use of the values of the nodes, operator &lt; ], [https://github.com/luciocf/OI-Problems/blob/master/JOI/JOISC/JOISC%202015/navigation.cpp]</t>
  </si>
  <si>
    <t>JOISC 15-navigation</t>
  </si>
  <si>
    <t>POI 15-Highway</t>
  </si>
  <si>
    <t>graph, dfs, eqs or 2-sat, xor</t>
  </si>
  <si>
    <t>APIO 11-Color</t>
  </si>
  <si>
    <t>EJOI 17-experience</t>
  </si>
  <si>
    <t>graph, dfs, long impl</t>
  </si>
  <si>
    <t>JOIOC 14-space_pirate</t>
  </si>
  <si>
    <t>graph, bfs, tree diameter, [tree centroid], [easier version CF1092-D3-E], [also https://www.quora.com/What-is-the-solution-for-Dreaming-on-IOI-2013]</t>
  </si>
  <si>
    <t>IOI 13-dreaming</t>
  </si>
  <si>
    <t>graph, bfs, tree diameter, interactive or randomization</t>
  </si>
  <si>
    <t>NOI 18-citymapping</t>
  </si>
  <si>
    <t>NOISelection 15-portal_st2015</t>
  </si>
  <si>
    <t>IOIPractice 14-totem</t>
  </si>
  <si>
    <t>COCI 12-hipercijevi</t>
  </si>
  <si>
    <t>POI 08-Toll</t>
  </si>
  <si>
    <t>COCI 06-Slikar</t>
  </si>
  <si>
    <t>graph, bfs, grid compress</t>
  </si>
  <si>
    <t>EOI 19-d2-B</t>
  </si>
  <si>
    <t>graph, bfs or dp, [avoid, Pancake sorting, hard to guess limit in contest without trial/error, https://csacademy.com/code/Q1DVq1p0/]</t>
  </si>
  <si>
    <t>NOI 12-pancake</t>
  </si>
  <si>
    <t>graph, bfs, dp, [https://ideone.com/Aw2JQq]</t>
  </si>
  <si>
    <t>NOI 09-lazycat</t>
  </si>
  <si>
    <t>graph, bfs, 0-1 bfs or dijkstra</t>
  </si>
  <si>
    <t>Baltic 11-Lamp</t>
  </si>
  <si>
    <t>POI 14-Hotels</t>
  </si>
  <si>
    <t>POI 06-Professor</t>
  </si>
  <si>
    <t>graph, bfs, datastructures</t>
  </si>
  <si>
    <t>Infoarena grea</t>
  </si>
  <si>
    <t>POI 10-Teleport</t>
  </si>
  <si>
    <t>graph, bfs, [Input Processing is boring]</t>
  </si>
  <si>
    <t>Baltic 05-Maze</t>
  </si>
  <si>
    <t>graph, bfs, [easy impl - big order]</t>
  </si>
  <si>
    <t>Baltic 11-Vikings</t>
  </si>
  <si>
    <t>graph, bfs, math, [strict tl]</t>
  </si>
  <si>
    <t>infoarena amici2</t>
  </si>
  <si>
    <t>graph, bfs, 0-1 bfs, flood-fill or dfs, convex hull-like iterating</t>
  </si>
  <si>
    <t>IOI 07-flood</t>
  </si>
  <si>
    <t>graph, bfs, impl, implicit graph, [bfs to avoid cycle in dp], [strict tl/ml]</t>
  </si>
  <si>
    <t>POI 09-Walk</t>
  </si>
  <si>
    <t>graph, bfs, bidirectional or search, A*, impl</t>
  </si>
  <si>
    <t>COCI 09-Poslozi</t>
  </si>
  <si>
    <t>NOISelection 18-superfanclub</t>
  </si>
  <si>
    <t>NOISelection 18-rookable</t>
  </si>
  <si>
    <t>NOISelection 16-teleporters</t>
  </si>
  <si>
    <t>NOISelection 16-cattown</t>
  </si>
  <si>
    <t>NOISelection 14-ship</t>
  </si>
  <si>
    <t>NOISelection 11-journey</t>
  </si>
  <si>
    <t>NOISelection 10-chessislands</t>
  </si>
  <si>
    <t>NOIPrelim 18-island</t>
  </si>
  <si>
    <t>POI 13-spa</t>
  </si>
  <si>
    <t>sol (See reply from gamegame for 89 points!)</t>
  </si>
  <si>
    <t>graph, [no submit]</t>
  </si>
  <si>
    <t>JOISC 18-roadservice</t>
  </si>
  <si>
    <t>NOI 10-weather</t>
  </si>
  <si>
    <t>graphs, shortest paths, [Romanian txt]</t>
  </si>
  <si>
    <t>infoarena rfinv</t>
  </si>
  <si>
    <t>graph, tree, datastructures</t>
  </si>
  <si>
    <t>POI 08-Blocks</t>
  </si>
  <si>
    <r>
      <t>graph, [</t>
    </r>
    <r>
      <rPr>
        <b/>
        <sz val="10"/>
        <color rgb="FF000000"/>
        <rFont val="Arial"/>
        <family val="2"/>
      </rPr>
      <t>JAPANESE</t>
    </r>
    <r>
      <rPr>
        <sz val="10"/>
        <color rgb="FF000000"/>
        <rFont val="Arial"/>
        <family val="2"/>
      </rPr>
      <t>]</t>
    </r>
  </si>
  <si>
    <t>JOI 15-RailroadTrip</t>
  </si>
  <si>
    <t>graph, trees, constructive algorithms, [where OJ]</t>
  </si>
  <si>
    <t>Info1Cup 19-Subway</t>
  </si>
  <si>
    <t>DWITE 11-CubeWorld</t>
  </si>
  <si>
    <t>graphs, data structures, [Romanian txt]</t>
  </si>
  <si>
    <t>infoarena incurcatura</t>
  </si>
  <si>
    <t>graph, dijsktra or bfs, [ignore subtask 5/6 in evaluation]</t>
  </si>
  <si>
    <t>NOI 13-diesel</t>
  </si>
  <si>
    <t>graph, trees, dfs</t>
  </si>
  <si>
    <t>Baltic 16-bosses</t>
  </si>
  <si>
    <t>POI 12-Distance</t>
  </si>
  <si>
    <t>graph, sp</t>
  </si>
  <si>
    <t>IOI 97-Mars</t>
  </si>
  <si>
    <t>DMPG 15-ApplesOranges</t>
  </si>
  <si>
    <t>DMOPC 14-ExamDelay</t>
  </si>
  <si>
    <t>CCC 15-Convex_Hull</t>
  </si>
  <si>
    <t>graph, ad-hoc, map</t>
  </si>
  <si>
    <t>COI 16-dijament</t>
  </si>
  <si>
    <t>graph. lca, mst, [https://github.com/samyravitoria/olympics-problems/blob/master/NOI%20Singapore/2017/roadsideadverts.cpp]</t>
  </si>
  <si>
    <t>NOI 17-roadside_adverts</t>
  </si>
  <si>
    <t>graph, tree, traversal</t>
  </si>
  <si>
    <t>POI 07-Megalopolis</t>
  </si>
  <si>
    <t>POI 10-Railway</t>
  </si>
  <si>
    <t>graph, trees, datastructures</t>
  </si>
  <si>
    <t>COCI 08-BST</t>
  </si>
  <si>
    <t>COCI 06-Jogurt</t>
  </si>
  <si>
    <t>graph, impl, [tediuos impl]</t>
  </si>
  <si>
    <t>IOI 00-car</t>
  </si>
  <si>
    <t>infoarena color5</t>
  </si>
  <si>
    <t>graph, greedy, [implicit]</t>
  </si>
  <si>
    <t>POI 05-Double_Row</t>
  </si>
  <si>
    <t>POI 04-Strings</t>
  </si>
  <si>
    <r>
      <t>graph, cycles, scc, [</t>
    </r>
    <r>
      <rPr>
        <b/>
        <sz val="10"/>
        <color rgb="FF000000"/>
        <rFont val="Arial"/>
        <family val="2"/>
      </rPr>
      <t>JAPANESE</t>
    </r>
    <r>
      <rPr>
        <sz val="10"/>
        <color rgb="FF000000"/>
        <rFont val="Arial"/>
        <family val="2"/>
      </rPr>
      <t>]</t>
    </r>
  </si>
  <si>
    <t>JOISC 13-Presents</t>
  </si>
  <si>
    <t>graph, cycles, greedy, [max independent set in pseudoforest]</t>
  </si>
  <si>
    <t>COCI 14-Mafija</t>
  </si>
  <si>
    <t>graph, halls marriage theorem,observation, day 0</t>
  </si>
  <si>
    <t>POI 17-Sports</t>
  </si>
  <si>
    <t>graph, ad-hoc. [reverse input]</t>
  </si>
  <si>
    <t>Balkan 16-Conference</t>
  </si>
  <si>
    <t>graph, greedy, exhange arguments or dp_trees</t>
  </si>
  <si>
    <t>POI 14-FarmCraft</t>
  </si>
  <si>
    <t>graph, trees, datastructures, dsu-on-trees, [https://tioj.ck.tp.edu.tw/problems/1429]</t>
  </si>
  <si>
    <t>APIO 12-Dispatching</t>
  </si>
  <si>
    <t>graph, trees, prefix sums or dsu-on-trees, [merge trees]</t>
  </si>
  <si>
    <t>Baltic 17-Railway</t>
  </si>
  <si>
    <t>graph, cycles, datastructures, smart impl</t>
  </si>
  <si>
    <t>IZhO 14-shymbulak</t>
  </si>
  <si>
    <t>graph, cc, dfs, dp, impl</t>
  </si>
  <si>
    <t>COCI 14-Kamp</t>
  </si>
  <si>
    <t>graph, ad-hoc, floodfill, circuts, impl, [easy idea]</t>
  </si>
  <si>
    <t>COI 17-ili</t>
  </si>
  <si>
    <t>graph, math, constructive, [output-only]</t>
  </si>
  <si>
    <t>CEOI 16-router</t>
  </si>
  <si>
    <t>graph, greedy or dsu-on-trees or lca, [think in proof]</t>
  </si>
  <si>
    <t>JOISC 19-Mergers</t>
  </si>
  <si>
    <t>graph, greedy or dp, inductive graph transformation</t>
  </si>
  <si>
    <t>IOI 14-friend</t>
  </si>
  <si>
    <t>graph, trees, data structures, [Romanian txt]</t>
  </si>
  <si>
    <t>infoarena curent</t>
  </si>
  <si>
    <t>graph, stl, [tricky to short impl], [easy idea]</t>
  </si>
  <si>
    <t>COI 14-mostovi</t>
  </si>
  <si>
    <t>graph, impl, [MLE, memory optimizations]</t>
  </si>
  <si>
    <t>POI 04-East_West</t>
  </si>
  <si>
    <t>graph, ad-hoc, dp_trees</t>
  </si>
  <si>
    <t>COCI 16-mag</t>
  </si>
  <si>
    <t>POI 18-Plan_Metra</t>
  </si>
  <si>
    <t>POI 13-Tower_Defense_Game</t>
  </si>
  <si>
    <t>graph, [DOWNLOAD cases], [communication style]</t>
  </si>
  <si>
    <t>JOIOC 17-amusementPark</t>
  </si>
  <si>
    <t>graph, online bridges, binary search, parallel, [https://cp-algorithms.com/graph/bridge-searching-online.html]</t>
  </si>
  <si>
    <t>CCO 17-Connection</t>
  </si>
  <si>
    <t>graph, ad-hoc, tree diameter, greedy</t>
  </si>
  <si>
    <t>IOI 02-Bus</t>
  </si>
  <si>
    <t>graph, tree, impl, [dynamic trick]</t>
  </si>
  <si>
    <t>infoarena maxdist</t>
  </si>
  <si>
    <t>graph, circles, dus or sp</t>
  </si>
  <si>
    <t>Baltic 16-park</t>
  </si>
  <si>
    <t>graph, bf, clique, [fixed parameter technique (FPT)]</t>
  </si>
  <si>
    <t>Baltic 17-PoliticalDevelopment</t>
  </si>
  <si>
    <t>graph, trees, [problem doesn't open]</t>
  </si>
  <si>
    <t>POI 14-AntColony_Mro</t>
  </si>
  <si>
    <t>graph, backtrack, greedy, [optimizations, max-independent-set NP hard]</t>
  </si>
  <si>
    <t>POI 06-Sophie</t>
  </si>
  <si>
    <t>graph, Cayley's formula, dp_counting</t>
  </si>
  <si>
    <t>infoarena shgraf</t>
  </si>
  <si>
    <t>POI 12-Salaries</t>
  </si>
  <si>
    <t>graph, constructive, trees, dsu, dfs</t>
  </si>
  <si>
    <t>COI 19-izlet</t>
  </si>
  <si>
    <t>graph theory, ad-hoc, [weird, avoid]</t>
  </si>
  <si>
    <t>COCI 09-Holmes</t>
  </si>
  <si>
    <t>graph, 2-sat ?</t>
  </si>
  <si>
    <t>Balkan 16-Acrobat</t>
  </si>
  <si>
    <t>graph, impl, [sol translation doesn't work]</t>
  </si>
  <si>
    <t>POI 04-Calgae</t>
  </si>
  <si>
    <t>graph, cycles, bfs, long impl, [cases]</t>
  </si>
  <si>
    <t>Baltic 11-Mirroring</t>
  </si>
  <si>
    <t>graph, sp, grid compress, sweep line, impl</t>
  </si>
  <si>
    <t>APIO 11-Path</t>
  </si>
  <si>
    <t>graph, constructive, recursion, observation, induction, [in Looking for a Challenge book]</t>
  </si>
  <si>
    <t>POI 05-Parties</t>
  </si>
  <si>
    <t>graph, trees, constructive, impl, [sierpinski's triangle]</t>
  </si>
  <si>
    <t>COI 15-cvenk</t>
  </si>
  <si>
    <t>graph, upper hull of functions, [similar to convex hull trick]</t>
  </si>
  <si>
    <t>POI 14-Supercomputer</t>
  </si>
  <si>
    <t>graph, trees, datastructures, [cases]</t>
  </si>
  <si>
    <t>USACO 19jan-exercise</t>
  </si>
  <si>
    <t>graph, meet in middle, dp, [remove constant factors from order] or ad-hoc</t>
  </si>
  <si>
    <t>COCI 15-Domino</t>
  </si>
  <si>
    <t>COI 18-zagonetka</t>
  </si>
  <si>
    <t>graph, cycles, graph compression, constructive</t>
  </si>
  <si>
    <t>IOI 17-books</t>
  </si>
  <si>
    <t>graph, subgraph, isomorphism, [Forbidden subgraph problem], [submission problem?]</t>
  </si>
  <si>
    <t>IOI 06-forbidden</t>
  </si>
  <si>
    <t>graph, sp, [Tim: Works only for 51 points -&gt; I don't know the solution but only 1 contestant solved it during the competition]</t>
  </si>
  <si>
    <t>Balkan 15-Circus</t>
  </si>
  <si>
    <t>graph, datastructures, maths, [Eldar got 93]</t>
  </si>
  <si>
    <t>IOI 16-shortcut</t>
  </si>
  <si>
    <t>graph, trees, interactive</t>
  </si>
  <si>
    <t>JOISC 19-Meetings</t>
  </si>
  <si>
    <t>graph, tree, [communication style]</t>
  </si>
  <si>
    <t>JOISC 17-city</t>
  </si>
  <si>
    <t>graph, tree diamter, others, [JOI19_ho_t5]</t>
  </si>
  <si>
    <t>JOI 19-UniqueCities</t>
  </si>
  <si>
    <t>graph, greedy, recursion, clique, max independent set</t>
  </si>
  <si>
    <t>IOIPractice 16-cograph_clique</t>
  </si>
  <si>
    <t>NOIMOCK 15-travel</t>
  </si>
  <si>
    <t>IOIPractice 16-tree-square</t>
  </si>
  <si>
    <t>COCI 12-malcolm</t>
  </si>
  <si>
    <t>USACO 16-usopen-split-gold</t>
  </si>
  <si>
    <t>geometry, sweep line, radial sweep, binary search</t>
  </si>
  <si>
    <t>CEOI 06-Antenna</t>
  </si>
  <si>
    <t>USACO 18feb-slingshot-plat</t>
  </si>
  <si>
    <t>POI 14-Criminals</t>
  </si>
  <si>
    <t>geometry, sweep line, math</t>
  </si>
  <si>
    <t>Baltic 12-Fire</t>
  </si>
  <si>
    <t>geometry, sweep line or segment tree, prefix sum</t>
  </si>
  <si>
    <t>POI 04-Islands</t>
  </si>
  <si>
    <t>geometry, sweep line, impl</t>
  </si>
  <si>
    <t>COCI 14-Kamioni</t>
  </si>
  <si>
    <t>geometry, sweep line, 2d bit, [cuboid intersections]</t>
  </si>
  <si>
    <t>COCI 06-Prostor</t>
  </si>
  <si>
    <r>
      <t>geometry, sweep line, segment tree or sweep, bit, [</t>
    </r>
    <r>
      <rPr>
        <b/>
        <sz val="10"/>
        <color rgb="FF000000"/>
        <rFont val="Arial"/>
        <family val="2"/>
      </rPr>
      <t>judge not working</t>
    </r>
    <r>
      <rPr>
        <sz val="10"/>
        <color rgb="FF000000"/>
        <rFont val="Arial"/>
        <family val="2"/>
      </rPr>
      <t>]</t>
    </r>
  </si>
  <si>
    <t>IOIPractice 16-network-rumour</t>
  </si>
  <si>
    <t>POI 15-Speed</t>
  </si>
  <si>
    <t>geometry, sweep line, datastructures, impl</t>
  </si>
  <si>
    <t>JOISC 17-cultivation</t>
  </si>
  <si>
    <t>geometry, sweep line, cirles, combinatorics, impl, interactive, [https://tioj.ck.tp.edu.tw/problems/1747]</t>
  </si>
  <si>
    <t>APIO 10-Signaling</t>
  </si>
  <si>
    <t>geometry, sweep line, angular sweep, bit, sqrt decomposition, impl</t>
  </si>
  <si>
    <t>JOISC 17-dragon2</t>
  </si>
  <si>
    <t>geometry, sweep line, circles, datastructures, greedy, [editorial https://codeforces.com/blog/entry/59650]</t>
  </si>
  <si>
    <t>APIO 18-circleselection</t>
  </si>
  <si>
    <t>infoarena copaci</t>
  </si>
  <si>
    <t>EJOI 17-particles</t>
  </si>
  <si>
    <t>COI 15-sir</t>
  </si>
  <si>
    <t>geometry, polygon, convex hull, bit, binary search ?</t>
  </si>
  <si>
    <t>Balkan 16-Cruise</t>
  </si>
  <si>
    <t>geometry, polygon, convex hull or math, convexity, datastructures</t>
  </si>
  <si>
    <t>USACO 18dec-balanceplat</t>
  </si>
  <si>
    <t>geometry, polygon, convex hull, [merge hulls]</t>
  </si>
  <si>
    <t>CEOI 18-Tri</t>
  </si>
  <si>
    <t>geometry, polygon, convex hull, floyd, cycles</t>
  </si>
  <si>
    <t>CEOI 08-Fence</t>
  </si>
  <si>
    <t>geometry, polygon, convex hull-like</t>
  </si>
  <si>
    <t>IOIPractice 16-empty-triangles</t>
  </si>
  <si>
    <t>geometry, polygon, palindrome</t>
  </si>
  <si>
    <t>POI 07-Symmetry</t>
  </si>
  <si>
    <t>geometry, polygon, Minkowski sum</t>
  </si>
  <si>
    <t>IOI 04-polygon</t>
  </si>
  <si>
    <t>geometry, polygon, tangents, cases, [boring]</t>
  </si>
  <si>
    <t>COI 16-relay</t>
  </si>
  <si>
    <t>geometry, polygon, fft</t>
  </si>
  <si>
    <t>COCI 16-meksikanac</t>
  </si>
  <si>
    <t>geometry, polygon, circle, binary search, constructive</t>
  </si>
  <si>
    <t>Baltic 05-Polygon</t>
  </si>
  <si>
    <t>geometry, polygon, floyd, cases, [simpler version Baltic 07-Fence (less geom)]</t>
  </si>
  <si>
    <t>JOISC 18-fences</t>
  </si>
  <si>
    <t>Baltic 11-Polygon</t>
  </si>
  <si>
    <t>geometry, polygon, impl</t>
  </si>
  <si>
    <t>Baltic 14-demarcation</t>
  </si>
  <si>
    <t>geometry, polygon, visibility, [interesting o(n) sol]</t>
  </si>
  <si>
    <t>CEOI 12-circuit</t>
  </si>
  <si>
    <t>COCI 06-Straza</t>
  </si>
  <si>
    <t>geometry, circles, [cosine rule]</t>
  </si>
  <si>
    <t>BalticWarmup 17-Toast</t>
  </si>
  <si>
    <t>geometry, circles, simulation</t>
  </si>
  <si>
    <t>COCI 06-Circle</t>
  </si>
  <si>
    <t>geometry, circles, gcd</t>
  </si>
  <si>
    <t>IOIPractice 14-bounce-bounce-bounce-ioi14</t>
  </si>
  <si>
    <t>geometry, circles, ad-hoc, prefix sum</t>
  </si>
  <si>
    <t>COCI 17-doktor</t>
  </si>
  <si>
    <t>geometry, circles, binary search or formula</t>
  </si>
  <si>
    <t>CEOI 11-Balloons</t>
  </si>
  <si>
    <t>geometry, circles, datastructures</t>
  </si>
  <si>
    <t>infoarena nuke</t>
  </si>
  <si>
    <t>geometry, [short]</t>
  </si>
  <si>
    <t>POI 13-Maze</t>
  </si>
  <si>
    <t>IOIPractice 14-family-ioi14</t>
  </si>
  <si>
    <t>geometry, rectangles, inversion</t>
  </si>
  <si>
    <t>COCI 17-unija</t>
  </si>
  <si>
    <t>COCI 07-Dejavu</t>
  </si>
  <si>
    <t>geometry, angles, [close to soring in convex hull]</t>
  </si>
  <si>
    <t>IOI 03-boundary</t>
  </si>
  <si>
    <t>POI 08-Mirror</t>
  </si>
  <si>
    <t>Baltic 09-Rectangle</t>
  </si>
  <si>
    <t>COCI 07-Princeza</t>
  </si>
  <si>
    <t>geometry, dp, [Romanian txt]</t>
  </si>
  <si>
    <t>infoarena cuiburi</t>
  </si>
  <si>
    <t>geometry, [cases, editorial], [easy idea]</t>
  </si>
  <si>
    <t>CEOI 14-fangorn</t>
  </si>
  <si>
    <t>geometry. sweep line, dp, [weak test cases?]</t>
  </si>
  <si>
    <t>IOI 04-artemis</t>
  </si>
  <si>
    <t>geometry, inclusion-exclusion</t>
  </si>
  <si>
    <t>COCI 09-Xor</t>
  </si>
  <si>
    <t>geometry, ordered_set</t>
  </si>
  <si>
    <t>COCI 07-Pravokutni</t>
  </si>
  <si>
    <t>geometry, bitmasks or convex hull-like, sets</t>
  </si>
  <si>
    <t>Baltic 08-Gloves</t>
  </si>
  <si>
    <t>geometry, angles, convex hull, [slow input on https://www.acmicpc.net/problem/7057 - TLE], [https://github.com/SpeedOfMagic/CompetitiveProgramming/blob/master/CEOI/02-dwarfs.cpp]</t>
  </si>
  <si>
    <t>CEOI 02-Dwarfs</t>
  </si>
  <si>
    <t>geometry, convex hull, stack, greedy</t>
  </si>
  <si>
    <t>PO Kattis</t>
  </si>
  <si>
    <t>POI 05-Manoeuvres</t>
  </si>
  <si>
    <t>geometry, line sweep</t>
  </si>
  <si>
    <t>USACO 15jan-gold_cowrect</t>
  </si>
  <si>
    <t>USACO 16dec-triangles-plat</t>
  </si>
  <si>
    <t>geometry, optimization, convex hull trick, [=SPOJ TRAKA]</t>
  </si>
  <si>
    <t>COCI 11-traka</t>
  </si>
  <si>
    <t>geometry, prefix sum, interactive</t>
  </si>
  <si>
    <t>CEOI 05-Fence</t>
  </si>
  <si>
    <t>geometry, rectangles, impl ?</t>
  </si>
  <si>
    <t>POI 10-Lamp</t>
  </si>
  <si>
    <t>POI 08-Plot</t>
  </si>
  <si>
    <t>POI 05-Camel</t>
  </si>
  <si>
    <t>POI 08-Triangles</t>
  </si>
  <si>
    <t>CEOI 09-Tri</t>
  </si>
  <si>
    <t>geometry, ad-hoc, impl</t>
  </si>
  <si>
    <t>POI 11-wyk</t>
  </si>
  <si>
    <t>geometry, bfs, impl, [No local submissions]</t>
  </si>
  <si>
    <t>COCI 17-paralelogrami</t>
  </si>
  <si>
    <t>geometry, impl, [your own 128 bit], [idea not hard]</t>
  </si>
  <si>
    <t>CEOI 04-Clouds</t>
  </si>
  <si>
    <t>geometry, binary search, long impl, half-plane intersection</t>
  </si>
  <si>
    <t>Balkan 11-2circles</t>
  </si>
  <si>
    <t>geometry, segment tree, [optimization]</t>
  </si>
  <si>
    <t>JOIOC 17-bulldozer</t>
  </si>
  <si>
    <t>geometry, graph, impl</t>
  </si>
  <si>
    <t>COCI 15-drzava</t>
  </si>
  <si>
    <t>geometry, triangles, d&amp;c, [=CF1045-D12-E with smaller constraints]</t>
  </si>
  <si>
    <t>IOI 06-points</t>
  </si>
  <si>
    <t>geometry, rectangles, binary search</t>
  </si>
  <si>
    <t>Baltic 10-Bears</t>
  </si>
  <si>
    <t>geometry, primes, factrization</t>
  </si>
  <si>
    <t>IOIPractice 14-david-copperfailed-ioi14</t>
  </si>
  <si>
    <t>Sol(Editorial)</t>
  </si>
  <si>
    <t>Baltic 16-spiral</t>
  </si>
  <si>
    <t>Balkan 17-tale</t>
  </si>
  <si>
    <t>POI 04-Game</t>
  </si>
  <si>
    <t>game theory, interactive, [use cout/cin not printf/scanf]</t>
  </si>
  <si>
    <t>IOI 05-game</t>
  </si>
  <si>
    <t>CEOI 08-Knights</t>
  </si>
  <si>
    <t>game theory, stl or segment tree, sliding window. [monotone queue]</t>
  </si>
  <si>
    <t>Baltic 15-hac</t>
  </si>
  <si>
    <t>game theory, bfs, dp , [cases, editorial]</t>
  </si>
  <si>
    <t>CEOI 14-007</t>
  </si>
  <si>
    <t>game theory, math, greedy, [split to 2 sub-games - long proof]</t>
  </si>
  <si>
    <t>POI 16-Not_Nim</t>
  </si>
  <si>
    <t>game theory, topological sort, parity game, [solve Baltic 14-coprobber first]</t>
  </si>
  <si>
    <t>IOI 17-train</t>
  </si>
  <si>
    <t>NOISelection 16-catlunch</t>
  </si>
  <si>
    <t>greedy or ad-hoc</t>
  </si>
  <si>
    <t>Baltic 18-Alternating</t>
  </si>
  <si>
    <t>greedy, [short]</t>
  </si>
  <si>
    <t>POI 11-imp</t>
  </si>
  <si>
    <t>NOISelection 10-crunchy</t>
  </si>
  <si>
    <t>COCI 18-prosjek</t>
  </si>
  <si>
    <t>NOI 16-lunchbox</t>
  </si>
  <si>
    <t>COCI 12-lanci</t>
  </si>
  <si>
    <t>greedy, [todo link]</t>
  </si>
  <si>
    <t>COCI 20-pod</t>
  </si>
  <si>
    <t>greedy, number theory, [test interactive problem]</t>
  </si>
  <si>
    <t>BalticPractice 18-NinetyNinePractice</t>
  </si>
  <si>
    <t>greedy, bf</t>
  </si>
  <si>
    <t>NOI 11-change</t>
  </si>
  <si>
    <t>greedy, sorting, math, [text summry in sol]</t>
  </si>
  <si>
    <t>Infoarena calorifer</t>
  </si>
  <si>
    <t>JOI 18-stove</t>
  </si>
  <si>
    <t>EOIQ 18-r1-B</t>
  </si>
  <si>
    <t>greedy, set, [strictl tl, multset TLE]</t>
  </si>
  <si>
    <t>COCI 15-baloni</t>
  </si>
  <si>
    <t>NOI 18-lightningrod</t>
  </si>
  <si>
    <t>NOIMOCK 15-marbles</t>
  </si>
  <si>
    <t>POI 04-Spies</t>
  </si>
  <si>
    <t>greedy, sorting, multiset</t>
  </si>
  <si>
    <t>COCI 13-Lopov</t>
  </si>
  <si>
    <t>greedy, sortings, [Romanian txt]</t>
  </si>
  <si>
    <t>infoarena kcover</t>
  </si>
  <si>
    <t>greedy, [Romanian txt]</t>
  </si>
  <si>
    <t>infoarena jsched</t>
  </si>
  <si>
    <t>COCI 17-lozinke</t>
  </si>
  <si>
    <t>CEOI 12-Jobs</t>
  </si>
  <si>
    <t>greedy, ad-hoc, impl</t>
  </si>
  <si>
    <t>COCI 18-karte</t>
  </si>
  <si>
    <t>greedy, [text summry in sol]</t>
  </si>
  <si>
    <t>Infoarena sir42</t>
  </si>
  <si>
    <t>greedy, divide and conquer, [Romanian txt]</t>
  </si>
  <si>
    <t>infoarena copii2</t>
  </si>
  <si>
    <t>greedy. sorting</t>
  </si>
  <si>
    <t>EOI 18-d1-B</t>
  </si>
  <si>
    <t>ROJS 17-set_subtraction</t>
  </si>
  <si>
    <t>ROUSelection 18-shampoo_exchange</t>
  </si>
  <si>
    <t>POI 14-Bricks</t>
  </si>
  <si>
    <t>greedy, [=IOI 12-Supper]</t>
  </si>
  <si>
    <t>POI 05-ToyCars</t>
  </si>
  <si>
    <t>greedy, parentheses or dp</t>
  </si>
  <si>
    <t>Baltic 05-Magic</t>
  </si>
  <si>
    <t>greedy, matrix, [https://ideone.com/3V5rzT]</t>
  </si>
  <si>
    <t>COCI 17-hokej</t>
  </si>
  <si>
    <t>Baltic 07-Sequence</t>
  </si>
  <si>
    <t>greedy, constructive algorithm</t>
  </si>
  <si>
    <t>infoarena danger</t>
  </si>
  <si>
    <t>greedy or d&amp;c</t>
  </si>
  <si>
    <t>APIO 07-MOBILE2</t>
  </si>
  <si>
    <t>greedy or ternary search, [editoral]</t>
  </si>
  <si>
    <t>CEOI 17-sure</t>
  </si>
  <si>
    <t>greedy, hashing</t>
  </si>
  <si>
    <t>CEOI 17-Palindromic</t>
  </si>
  <si>
    <t>infoarena cuplaje</t>
  </si>
  <si>
    <t>USACO 14dec-cowjog</t>
  </si>
  <si>
    <t>greedy, implementation</t>
  </si>
  <si>
    <t>infoarena metrouri</t>
  </si>
  <si>
    <t>COCI 07-Avogadro</t>
  </si>
  <si>
    <t>greedy, constructive, pattern</t>
  </si>
  <si>
    <t>infoarena borcane</t>
  </si>
  <si>
    <t>greedy, mst, [badly integrated checker, http://apio-olympiad.org/2008/], [english txt: http://apio-olympiad.org/2008/apio-en.pdf] https://github.com/MohamedAhmed04/Competitive-programming/blob/master/APIO/APIO2008-roads.cpp</t>
  </si>
  <si>
    <t>APIO 08-Roads</t>
  </si>
  <si>
    <t>greedy, datastructures, binary search, [greedy with undo]</t>
  </si>
  <si>
    <t>POI 12-Warehouse</t>
  </si>
  <si>
    <t>greedy, dfs or dp, [cover the tree with minimum number of paths from one node to another one]</t>
  </si>
  <si>
    <t>Baltic 15-net</t>
  </si>
  <si>
    <t>greedy, math, [hard txt?]</t>
  </si>
  <si>
    <t>COCI 16-kvalitetni</t>
  </si>
  <si>
    <t>greedy, matching</t>
  </si>
  <si>
    <t>TOKIOpen 17-Magic</t>
  </si>
  <si>
    <t>POI 15-Seals</t>
  </si>
  <si>
    <t>greedy or bit</t>
  </si>
  <si>
    <t>APIOPractice 14-mcamp</t>
  </si>
  <si>
    <t>IZhO 17-money</t>
  </si>
  <si>
    <t>CCO 15-Hungry_Fox</t>
  </si>
  <si>
    <t>greedy, binary search, [See JOISC-17-abduction2.txt]</t>
  </si>
  <si>
    <t>JOISC 17-sparklers</t>
  </si>
  <si>
    <t>greedy, geometry basics, POI11_pat</t>
  </si>
  <si>
    <t>POI 11-Sticks</t>
  </si>
  <si>
    <t>greedy, data structures</t>
  </si>
  <si>
    <t>Infoarena aranjare</t>
  </si>
  <si>
    <t>greedy or segment tree</t>
  </si>
  <si>
    <t>USACO 15dec-cardgame-plat</t>
  </si>
  <si>
    <t>greedy, [POI13_usu]</t>
  </si>
  <si>
    <t>POI 13-Takeout</t>
  </si>
  <si>
    <t>greedy, two pointers</t>
  </si>
  <si>
    <t>CEOI 04-Trips</t>
  </si>
  <si>
    <t>IOI 04-farmer</t>
  </si>
  <si>
    <t>COI 18-paprike</t>
  </si>
  <si>
    <t>CEOI 11-Hotel</t>
  </si>
  <si>
    <t>greedy, binary Search</t>
  </si>
  <si>
    <t>Balkan 11-Medians</t>
  </si>
  <si>
    <t>POI 96-wie</t>
  </si>
  <si>
    <t>greedy, impl or bit</t>
  </si>
  <si>
    <t>IOI 19-shoes</t>
  </si>
  <si>
    <t>greedy, tree, constructive, observation</t>
  </si>
  <si>
    <t>Balkan 18-zalmoxis</t>
  </si>
  <si>
    <t>greedy, datastrucrures, prefix, suffix</t>
  </si>
  <si>
    <t>POI 08-BBB</t>
  </si>
  <si>
    <t>greedy, bf, [strict TL - optimizations], [output-only]</t>
  </si>
  <si>
    <t>IOIPractice 19-packing</t>
  </si>
  <si>
    <t>POI 07-Flood</t>
  </si>
  <si>
    <t>greedy, binary search, stack, circles</t>
  </si>
  <si>
    <t>Baltic 12-mobile</t>
  </si>
  <si>
    <t>NOI 17-rmq</t>
  </si>
  <si>
    <t>greedy, trees</t>
  </si>
  <si>
    <t>infoarena kdtree</t>
  </si>
  <si>
    <t>greedy, constructive, stl, careful impl or monotonic queue</t>
  </si>
  <si>
    <t>COCI 09-Ograda</t>
  </si>
  <si>
    <t>POI 07-Tetris</t>
  </si>
  <si>
    <t>greedy, sorting, sweep, observation, grid</t>
  </si>
  <si>
    <t>POI 07-Pipelines</t>
  </si>
  <si>
    <t>greedy, binary search, quadratic equation ,titu's lemma</t>
  </si>
  <si>
    <t>USACO 17jan-tallbarn-plat</t>
  </si>
  <si>
    <t>greedy, datastructures, [hard to prove]</t>
  </si>
  <si>
    <t>IZhO 13-school</t>
  </si>
  <si>
    <t>greedy, datastructures, hashing, [standard]</t>
  </si>
  <si>
    <t>COCI 09-Pasijans</t>
  </si>
  <si>
    <t>greedy, [See JOISC-17-abduction2.txt]</t>
  </si>
  <si>
    <t>JOISC 17-long_mansion</t>
  </si>
  <si>
    <t>IOI 09-hiring</t>
  </si>
  <si>
    <t>greedy, [https://dunjudge.me/analysis/problems/555/]</t>
  </si>
  <si>
    <t>CEOI 05-Ticket</t>
  </si>
  <si>
    <t>greedy, monotonic queue, simulation</t>
  </si>
  <si>
    <t>POI 14-Little_Bird</t>
  </si>
  <si>
    <t>greedy, brute force, math</t>
  </si>
  <si>
    <t>POI 12-Squarks</t>
  </si>
  <si>
    <t>greedy, POI11_liz</t>
  </si>
  <si>
    <t>POI 11-Lollipop</t>
  </si>
  <si>
    <t>JOISC 19-Naan</t>
  </si>
  <si>
    <t>greedy, binary search, math</t>
  </si>
  <si>
    <t>Baltic 09-Subway</t>
  </si>
  <si>
    <t>greedy, pattern, palindromes</t>
  </si>
  <si>
    <t>ROJS 17-palindromic_tree</t>
  </si>
  <si>
    <t>greedy, pruning, long code or dp, short code</t>
  </si>
  <si>
    <t>POI 16-Necklace</t>
  </si>
  <si>
    <t>greedy, observation, graph, prove</t>
  </si>
  <si>
    <t>IOI 08-teleporters</t>
  </si>
  <si>
    <t>greedy, bitset, datastructures, impl, [boring?]</t>
  </si>
  <si>
    <t>CEOI 13-board</t>
  </si>
  <si>
    <t>greedy, dp, [=CF981-D12-D]</t>
  </si>
  <si>
    <t>APIO 15-sculpture</t>
  </si>
  <si>
    <t>greedy, [JOI19_ho_t4]</t>
  </si>
  <si>
    <t>JOI 19-Coin</t>
  </si>
  <si>
    <t>COCI 15-Endor</t>
  </si>
  <si>
    <t>greedy, d&amp;c, induction, [cases]</t>
  </si>
  <si>
    <t>IOIPractice 16-balanced-string</t>
  </si>
  <si>
    <t>greedy, fibonacci, constructive</t>
  </si>
  <si>
    <t>POI 05-Fibonacci</t>
  </si>
  <si>
    <t>greedy, [choose-later-correct]</t>
  </si>
  <si>
    <t>POI 04-Gates</t>
  </si>
  <si>
    <t>greedy, bits, impl, [misleading constraints]</t>
  </si>
  <si>
    <t>Baltic 06-Bitwise</t>
  </si>
  <si>
    <t>greedy, observation, impl, [cases]</t>
  </si>
  <si>
    <t>CEOI 12-highway</t>
  </si>
  <si>
    <t>greedy, graph, math, interactive</t>
  </si>
  <si>
    <t>Balkan 18-popa</t>
  </si>
  <si>
    <r>
      <t>greedy, flood-fill, </t>
    </r>
    <r>
      <rPr>
        <b/>
        <sz val="10"/>
        <color rgb="FF000000"/>
        <rFont val="Arial"/>
        <family val="2"/>
      </rPr>
      <t>prefix sums</t>
    </r>
  </si>
  <si>
    <t>ROUSelection 17-1-rooms</t>
  </si>
  <si>
    <t>greedy, dp, 2d prefix sums</t>
  </si>
  <si>
    <t>POI 06-Ploughing</t>
  </si>
  <si>
    <t>greedy, dsu, observation</t>
  </si>
  <si>
    <t>COCI 16-kralj</t>
  </si>
  <si>
    <t>greedy, strings, [Romanian txt]</t>
  </si>
  <si>
    <t>infoarena anagrame</t>
  </si>
  <si>
    <t>POI 14-Around</t>
  </si>
  <si>
    <t>greedy, trees, exchange argument, small-to-large</t>
  </si>
  <si>
    <t>IOIPractice 19-Job</t>
  </si>
  <si>
    <t>greedy, sorting, LIS, coordinate transformation, [if hard solve first CF76-D12-F CODECHEF CHRL3]</t>
  </si>
  <si>
    <t>Baltic 09-Candy</t>
  </si>
  <si>
    <t>greedy, matching, datastructures, [=JOISC 18-candies]</t>
  </si>
  <si>
    <t>APIO 07-Backup</t>
  </si>
  <si>
    <t>greedy, slope_trick</t>
  </si>
  <si>
    <t>NOI 18-safety</t>
  </si>
  <si>
    <t>Editorial. Google POJ 1160 for codes</t>
  </si>
  <si>
    <t>IOI 00-Post</t>
  </si>
  <si>
    <t>COCI 18-cover</t>
  </si>
  <si>
    <t>COCI 09-Zuma</t>
  </si>
  <si>
    <t>dp, dp_ranges, cross product</t>
  </si>
  <si>
    <t>IOI 17-mountains</t>
  </si>
  <si>
    <t>dp, dp_ranges, dp_table, dp_roll</t>
  </si>
  <si>
    <t>Baltic 09-Beetles</t>
  </si>
  <si>
    <t>USACO 19dec-plat-pieaters</t>
  </si>
  <si>
    <t>dp, dp_ranges, [tricky states], [solve IOI 06-mexico first]</t>
  </si>
  <si>
    <t>CEOI 12-race</t>
  </si>
  <si>
    <t>Find O(N^2logN). Editorial</t>
  </si>
  <si>
    <t>dp, dp_ranges, trees</t>
  </si>
  <si>
    <t>COCI 12-mars</t>
  </si>
  <si>
    <t>dp, dp_ranges or greedy, d&amp;c, [first Subtask : Ranges dp second Subtask : Ranges dp with bitset third subtask : next array]</t>
  </si>
  <si>
    <t>CEOI 16-match</t>
  </si>
  <si>
    <t>infoarena sms</t>
  </si>
  <si>
    <t>dp, dp_games, dp_table, bfs, 2d grid</t>
  </si>
  <si>
    <t>Baltic 08-Game</t>
  </si>
  <si>
    <t>dp, dp_counting or fft</t>
  </si>
  <si>
    <t>CEOI 11-Similarity</t>
  </si>
  <si>
    <t>COCI 19-maja</t>
  </si>
  <si>
    <t>COCI 06-V</t>
  </si>
  <si>
    <t>dp, dp_counting or greedy</t>
  </si>
  <si>
    <t>IOIQ 18-r2-B</t>
  </si>
  <si>
    <t>dp, dp_counting, dp_build_output</t>
  </si>
  <si>
    <t>APIO 08-DNA</t>
  </si>
  <si>
    <t>dp, dp_counting, prefix sum or d&amp;c, inclusion-exclusion, [interactive]</t>
  </si>
  <si>
    <t>CEOI 13-treasure2</t>
  </si>
  <si>
    <t>dp, dp_counting, [JOI19_ho_t3], [dp table creation during run time], [mix of old tricks]</t>
  </si>
  <si>
    <t>JOI 19-GrowingVegetable</t>
  </si>
  <si>
    <t>dp, dp_counting, dp_table, dp_roll, cases, lexi</t>
  </si>
  <si>
    <t>CEOI 15-teams</t>
  </si>
  <si>
    <t>dp, dp_counting, mod inv, trees</t>
  </si>
  <si>
    <t>COCI 08-Periodni</t>
  </si>
  <si>
    <t>dp, dp_counting, dp_table, xor, indepndence, game theory (nim), [strict mem]</t>
  </si>
  <si>
    <t>POI 16-Nim</t>
  </si>
  <si>
    <t>dp, dp_counting, observations, optimizations</t>
  </si>
  <si>
    <t>USACO 19dec-plat-treedepth</t>
  </si>
  <si>
    <t>dp, dp_counting, impl</t>
  </si>
  <si>
    <t>ROJS 17-combinatorix</t>
  </si>
  <si>
    <t>COCI 16-kronican</t>
  </si>
  <si>
    <t>dp, dp_bitmasks, [https://pastebin.com/2LyrBGjz]</t>
  </si>
  <si>
    <t>COCI 06-Bond</t>
  </si>
  <si>
    <t>IZhO 12-beauty</t>
  </si>
  <si>
    <t>COCI 08-Lubenica</t>
  </si>
  <si>
    <t>CSA circuits</t>
  </si>
  <si>
    <t>dp, dp_bitmasks, bf, [observe to opitimize], [same idea as COCI 16-vjestica]</t>
  </si>
  <si>
    <t>POI 04-Passage</t>
  </si>
  <si>
    <t>dp, dp_bitmasks, precompute</t>
  </si>
  <si>
    <t>IZhO 14-bank</t>
  </si>
  <si>
    <t>USACO 11nov-bsudoku-gold</t>
  </si>
  <si>
    <t>dp, dp_bitmasks, mask-all-subsets, [split to 2 masks and process independently]</t>
  </si>
  <si>
    <t>COCI 16-vjestica</t>
  </si>
  <si>
    <t>dp, dp_bitmasks, [others faced MLE?]</t>
  </si>
  <si>
    <t>POI 15-Gluttons</t>
  </si>
  <si>
    <t>dp, dp_bitmasks, sliding window, [max-sat]</t>
  </si>
  <si>
    <t>APIO 07-Zoo</t>
  </si>
  <si>
    <t>dp, dp_bitmasks, meet in middle, [strict time]</t>
  </si>
  <si>
    <t>IZhO 17-subsequence</t>
  </si>
  <si>
    <t>dp, dp_bitmasks, dfs, game, induction principle</t>
  </si>
  <si>
    <t>COCI 16-burza</t>
  </si>
  <si>
    <t>dp, dp_bitmasks, [cases]</t>
  </si>
  <si>
    <t>CEOI 06-Connect</t>
  </si>
  <si>
    <t>dp, dp_bitmasks or d&amp;c, precalc</t>
  </si>
  <si>
    <t>JOI 18-snakeescaping</t>
  </si>
  <si>
    <t>dp, dp_bitmasks, factorization, mod inv, misc, impl</t>
  </si>
  <si>
    <t>EJOI 17-six</t>
  </si>
  <si>
    <t>dp, dp_bitmasks, optimizations</t>
  </si>
  <si>
    <t>CEOI 19-AmusementPark</t>
  </si>
  <si>
    <t>dp, dp_table, impl, [roll table for memory], boring]</t>
  </si>
  <si>
    <t>POI 06-Teddies</t>
  </si>
  <si>
    <t>dp, dp_table, knapsack</t>
  </si>
  <si>
    <t>CEOI 18-Cloud</t>
  </si>
  <si>
    <t>dp, dp_table, LCS-like, some memory optimizations</t>
  </si>
  <si>
    <t>POI 16-Stutter</t>
  </si>
  <si>
    <t>dp, dp_table, bfs, long impl, [tight time]</t>
  </si>
  <si>
    <t>APIO 13-Robots</t>
  </si>
  <si>
    <t>dp, dp_subrectangle, 2d, observations</t>
  </si>
  <si>
    <t>COCI 14-Neo</t>
  </si>
  <si>
    <t>dp, dp_subrectangle, dp_counting, impl</t>
  </si>
  <si>
    <t>COCI 14-Stanovi</t>
  </si>
  <si>
    <t>dp, dp_subrectangle, [count paths, cases, sstrict ml]</t>
  </si>
  <si>
    <t>POI 08-Escape</t>
  </si>
  <si>
    <t>dp, dp_state_reduce, combinatorics, [dublicate counting]</t>
  </si>
  <si>
    <t>APIO 16-boat</t>
  </si>
  <si>
    <t>NOISelection 18-supperbox</t>
  </si>
  <si>
    <t>NOISelection 18-modules</t>
  </si>
  <si>
    <t>NOISelection 18-llis</t>
  </si>
  <si>
    <t>NOISelection 16-catteams</t>
  </si>
  <si>
    <t>NOISelection 15-orchard2</t>
  </si>
  <si>
    <t>NOISelection 15-diversity</t>
  </si>
  <si>
    <t>NOISelection 14-schedule</t>
  </si>
  <si>
    <t>NOISelection 14-sardines</t>
  </si>
  <si>
    <t>NOIPrelim 18-knapsack</t>
  </si>
  <si>
    <t>NOI 06-claw</t>
  </si>
  <si>
    <t>IOI 00-palindrome</t>
  </si>
  <si>
    <t>COCI 14-acm</t>
  </si>
  <si>
    <t>dp, [where OJ]</t>
  </si>
  <si>
    <t>Info1Cup 19-Mean</t>
  </si>
  <si>
    <t>COCI 14-Zabava</t>
  </si>
  <si>
    <t>infoarena cerc3</t>
  </si>
  <si>
    <r>
      <t>dp, impl, [</t>
    </r>
    <r>
      <rPr>
        <b/>
        <sz val="10"/>
        <color rgb="FF000000"/>
        <rFont val="Arial"/>
        <family val="2"/>
      </rPr>
      <t>JAPANESE</t>
    </r>
    <r>
      <rPr>
        <sz val="10"/>
        <color rgb="FF000000"/>
        <rFont val="Arial"/>
        <family val="2"/>
      </rPr>
      <t>]</t>
    </r>
  </si>
  <si>
    <t>JOI 13-TakeIOITrain</t>
  </si>
  <si>
    <t>dp, lcs, [np-hard-special-case-reduce]</t>
  </si>
  <si>
    <t>NOI 12-walking</t>
  </si>
  <si>
    <t>CCO 18-GeeseVsHawks</t>
  </si>
  <si>
    <t>NOI 18-journey</t>
  </si>
  <si>
    <t>NOI 10-poke_company</t>
  </si>
  <si>
    <t>IOIQ 19-r1-C</t>
  </si>
  <si>
    <t>COCI 18-mate</t>
  </si>
  <si>
    <t>COCI 19-slicice</t>
  </si>
  <si>
    <t>dp, [basic, leave or take]</t>
  </si>
  <si>
    <t>IOI 07-miners</t>
  </si>
  <si>
    <t>Balkan 05-SailingRace</t>
  </si>
  <si>
    <t>dp, lis or greedy</t>
  </si>
  <si>
    <t>COCI 14-studentsko</t>
  </si>
  <si>
    <t>NOIMOCK 15-toblerone</t>
  </si>
  <si>
    <t>USACO 12nov-bbreeds-gold</t>
  </si>
  <si>
    <t>dp, prefix sums</t>
  </si>
  <si>
    <t>infoarena tablou</t>
  </si>
  <si>
    <r>
      <t>dp, [</t>
    </r>
    <r>
      <rPr>
        <b/>
        <sz val="10"/>
        <color rgb="FF000000"/>
        <rFont val="Arial"/>
        <family val="2"/>
      </rPr>
      <t>JAPANESE</t>
    </r>
    <r>
      <rPr>
        <sz val="10"/>
        <color rgb="FF000000"/>
        <rFont val="Arial"/>
        <family val="2"/>
      </rPr>
      <t>]</t>
    </r>
  </si>
  <si>
    <t>JOI 16-Oranges</t>
  </si>
  <si>
    <t>dp, [cases]</t>
  </si>
  <si>
    <t>Baltic 05-Ancient</t>
  </si>
  <si>
    <t>SNSS 18-R5-A</t>
  </si>
  <si>
    <t>COCI 06-Zbrka</t>
  </si>
  <si>
    <t>dp, binary search, [https://github.com/Rockbet/Problems/blob/master/NOI/2007/Hole.cpp]</t>
  </si>
  <si>
    <t>NOI 09-invest</t>
  </si>
  <si>
    <t>NOIMOCK 15-battleship</t>
  </si>
  <si>
    <r>
      <t>dp, [small code], [</t>
    </r>
    <r>
      <rPr>
        <b/>
        <sz val="10"/>
        <color rgb="FF000000"/>
        <rFont val="Arial"/>
        <family val="2"/>
      </rPr>
      <t>JAPANESE</t>
    </r>
    <r>
      <rPr>
        <sz val="10"/>
        <color rgb="FF000000"/>
        <rFont val="Arial"/>
        <family val="2"/>
      </rPr>
      <t>]</t>
    </r>
  </si>
  <si>
    <t>JOI 14-IOIManju</t>
  </si>
  <si>
    <t>POI 13-mor</t>
  </si>
  <si>
    <t>POI 13-luk</t>
  </si>
  <si>
    <t>dp, max sum, strings, [POI11_roz, POI XVIII-roz]</t>
  </si>
  <si>
    <t>POI 11-Difference</t>
  </si>
  <si>
    <t>POI 09-Inspector</t>
  </si>
  <si>
    <t>NOI 16-unlucky_floors</t>
  </si>
  <si>
    <r>
      <t>dp, </t>
    </r>
    <r>
      <rPr>
        <b/>
        <strike/>
        <sz val="10"/>
        <color rgb="FF000000"/>
        <rFont val="Arial"/>
        <family val="2"/>
      </rPr>
      <t>bignum</t>
    </r>
    <r>
      <rPr>
        <strike/>
        <sz val="10"/>
        <color rgb="FF000000"/>
        <rFont val="Arial"/>
        <family val="2"/>
      </rPr>
      <t>, standard</t>
    </r>
  </si>
  <si>
    <t>Baltic 06-Jump</t>
  </si>
  <si>
    <t>USACO 19mar-snakes-gold</t>
  </si>
  <si>
    <t>info1cup 18-maxcomp</t>
  </si>
  <si>
    <t>Dmoj City_Game</t>
  </si>
  <si>
    <t>NOI 15-askonegetonefree</t>
  </si>
  <si>
    <t>NOI 08-housing</t>
  </si>
  <si>
    <t>NOI 07-street</t>
  </si>
  <si>
    <t>dp, tree, bignum, memory compression</t>
  </si>
  <si>
    <t>COCI 08-Setnja</t>
  </si>
  <si>
    <t>Baltic 08-Elections</t>
  </si>
  <si>
    <t>dp, queue</t>
  </si>
  <si>
    <t>infoarena panza</t>
  </si>
  <si>
    <t>NOI 10-landscape</t>
  </si>
  <si>
    <t>COCI 06-Stol</t>
  </si>
  <si>
    <t>dp, JOI20_ho_t3</t>
  </si>
  <si>
    <t>JOI 20-CollectingStamps3</t>
  </si>
  <si>
    <t>dp, tree or segment tree</t>
  </si>
  <si>
    <t>IOI 10-traffic</t>
  </si>
  <si>
    <t>dp or bfs, bitmasks, exchange arguments</t>
  </si>
  <si>
    <t>USACO 14dec-guard</t>
  </si>
  <si>
    <t>JOIOC 13-watching</t>
  </si>
  <si>
    <t>dp, dp_bitmaks, dp_trees</t>
  </si>
  <si>
    <t>Baltic 18-Paths</t>
  </si>
  <si>
    <t>dp, [max sum 1d, trivial old problem]</t>
  </si>
  <si>
    <t>JOI 18-art</t>
  </si>
  <si>
    <t>CCC 18-Balanced_Trees</t>
  </si>
  <si>
    <t>CCC 16-Combining_Riceballs</t>
  </si>
  <si>
    <t>COCI 18-go</t>
  </si>
  <si>
    <t>USACO 16dec-team-plat</t>
  </si>
  <si>
    <t>COCI 07-Zapis</t>
  </si>
  <si>
    <t>COCI 07-Jednakost</t>
  </si>
  <si>
    <t>dp, [https://ideone.com/LO0Jfr]</t>
  </si>
  <si>
    <t>COCI 13-domine</t>
  </si>
  <si>
    <t>dp, lis, nlogn, [np-hard-special-case-reduce]</t>
  </si>
  <si>
    <t>Baltic 10-PCB</t>
  </si>
  <si>
    <t>NOIMOCK 15-rooms</t>
  </si>
  <si>
    <t>dp, [https://ideone.com/GSEJmj]</t>
  </si>
  <si>
    <t>COCI 12-jedan</t>
  </si>
  <si>
    <t>dp, dag</t>
  </si>
  <si>
    <t>IOIQ 19-d2-C</t>
  </si>
  <si>
    <t>dp, sorting, sweep</t>
  </si>
  <si>
    <t>COCI 07-Barica</t>
  </si>
  <si>
    <t>IOI 04-hermes</t>
  </si>
  <si>
    <t>IOI 04-phidias</t>
  </si>
  <si>
    <t>COCI 09-Kraljevi</t>
  </si>
  <si>
    <r>
      <t>dp, mod inv, factorial, [</t>
    </r>
    <r>
      <rPr>
        <b/>
        <sz val="10"/>
        <color rgb="FF000000"/>
        <rFont val="Arial"/>
        <family val="2"/>
      </rPr>
      <t>JAPANESE</t>
    </r>
    <r>
      <rPr>
        <sz val="10"/>
        <color rgb="FF000000"/>
        <rFont val="Arial"/>
        <family val="2"/>
      </rPr>
      <t>]</t>
    </r>
  </si>
  <si>
    <t>JOISC 13-Mascots</t>
  </si>
  <si>
    <t>IOIPractice 16-lights-out</t>
  </si>
  <si>
    <t>dp, bfs, [Romanian txt]</t>
  </si>
  <si>
    <t>infoarena zmeu</t>
  </si>
  <si>
    <t>dp, hashing, strings</t>
  </si>
  <si>
    <t>infoarena zip</t>
  </si>
  <si>
    <t>dp, [Romanian txt]</t>
  </si>
  <si>
    <t>infoarena profit</t>
  </si>
  <si>
    <t>dp, matrix pow, [classical]</t>
  </si>
  <si>
    <t>infoarena nkbiti</t>
  </si>
  <si>
    <t>dp, trees</t>
  </si>
  <si>
    <t>infoarena asmin</t>
  </si>
  <si>
    <t>dp, sorting, greedy</t>
  </si>
  <si>
    <t>BalticPractice 18-Citations</t>
  </si>
  <si>
    <t>dp, dsu, [basic]</t>
  </si>
  <si>
    <t>COI 15-kovanice</t>
  </si>
  <si>
    <t>USACO 13open-photo</t>
  </si>
  <si>
    <t>dp, [time memory] or graph, ad-hoc</t>
  </si>
  <si>
    <t>IOI 02-Frog</t>
  </si>
  <si>
    <t>dp, trees or lca</t>
  </si>
  <si>
    <t>Baltic 13-ballmachine</t>
  </si>
  <si>
    <t>dp, divisors, [Standard trick of changing dimension for dp], []</t>
  </si>
  <si>
    <t>Baltic 11-Meetings</t>
  </si>
  <si>
    <t>dp, [JAPANESE], [From google translated statement you may think that the first player can take any cake he wants and the rule of taking a cake next to some already taken cake didnt apply. This is not the case], [https://github.com/Evilandrew228/CompetitiveProgramming/blob/master/JOI%2015-Cake2]</t>
  </si>
  <si>
    <t>JOI 15-Cake2</t>
  </si>
  <si>
    <t>dp, dag, model graph</t>
  </si>
  <si>
    <t>Baltic 06-Countries</t>
  </si>
  <si>
    <t>COCI 17-automobil</t>
  </si>
  <si>
    <t>dp, [has a cute O(n^3) solution using a dp approach similar to the max sum subarray]</t>
  </si>
  <si>
    <t>infoarena peri</t>
  </si>
  <si>
    <t>dp, graph, [strict time]</t>
  </si>
  <si>
    <t>infoarena amenzi</t>
  </si>
  <si>
    <t>POI 13-Bytecom</t>
  </si>
  <si>
    <t>dp, bit. permutations or math, recurrance, swaps, [also https://www.youtube.com/watch?v=8CTteoBqW6A]</t>
  </si>
  <si>
    <t>POI 16-Johny</t>
  </si>
  <si>
    <t>USACO 16mar-262144-plat</t>
  </si>
  <si>
    <t>dp, periodic output</t>
  </si>
  <si>
    <t>COCI 17-vode</t>
  </si>
  <si>
    <t>Baltic 19-kitchen</t>
  </si>
  <si>
    <t>dp, impl, [standard]</t>
  </si>
  <si>
    <t>NOI 11-tutor</t>
  </si>
  <si>
    <t>dp, deques, implementation</t>
  </si>
  <si>
    <t>infoarena secvbest</t>
  </si>
  <si>
    <t>dp, segment tree</t>
  </si>
  <si>
    <t>USACO 17feb-nocross-plat</t>
  </si>
  <si>
    <t>infoarena scara2</t>
  </si>
  <si>
    <t>dp, strings, some const optimizations</t>
  </si>
  <si>
    <t>IOIPractice 14-skwishinese-ioi14</t>
  </si>
  <si>
    <t>dp, d&amp;c, dp_build_output, [optimize memory], [easy idea]</t>
  </si>
  <si>
    <t>COCI 08-Slikar</t>
  </si>
  <si>
    <t>dp, prefix sum, [https://gist.github.com/luciocf/5f35f24f4c7e510fb95e09aba9eacad2]</t>
  </si>
  <si>
    <t>CSES 1112</t>
  </si>
  <si>
    <t>dp, state compression, [repeated], [rephrasing You need to select some elements and split the elements into two equal (by sum) parts. The sum of the left part should be minimum possible. The left part goes to casino and becomes two times greater.]</t>
  </si>
  <si>
    <t>COCI 17-kas</t>
  </si>
  <si>
    <t>USACO 17jan-subrev-plat</t>
  </si>
  <si>
    <t>dp, backtracking</t>
  </si>
  <si>
    <t>IOI 16-paint</t>
  </si>
  <si>
    <t>dp, [strict time], [assign for romanians only]]</t>
  </si>
  <si>
    <t>infoarena v2d</t>
  </si>
  <si>
    <t>JOISC 19-lamps</t>
  </si>
  <si>
    <t>dp, topological sort, DAG, [assign for romanians only]]</t>
  </si>
  <si>
    <t>infoarena pitici</t>
  </si>
  <si>
    <r>
      <t>dp, </t>
    </r>
    <r>
      <rPr>
        <b/>
        <sz val="10"/>
        <color rgb="FF000000"/>
        <rFont val="Arial"/>
        <family val="2"/>
      </rPr>
      <t>impl</t>
    </r>
  </si>
  <si>
    <t>CEOI 05-Service</t>
  </si>
  <si>
    <t>IZhO 17-bootfall</t>
  </si>
  <si>
    <t>IOI 09-raisins</t>
  </si>
  <si>
    <t>p?</t>
  </si>
  <si>
    <t>CEOI 06-Link</t>
  </si>
  <si>
    <t>COCI 09-Kaboom</t>
  </si>
  <si>
    <t>dp, hashing</t>
  </si>
  <si>
    <t>COCI 15-savez</t>
  </si>
  <si>
    <t>infoarena retea3</t>
  </si>
  <si>
    <t>dp, histogram, monotonic deque or datastructures</t>
  </si>
  <si>
    <t>COCI 14-bob</t>
  </si>
  <si>
    <t>IOI 15-boxes</t>
  </si>
  <si>
    <t>dp [put link when available]</t>
  </si>
  <si>
    <t>COI 19-ljepotica</t>
  </si>
  <si>
    <t>USACO 20jan-threesum-gold</t>
  </si>
  <si>
    <t>dp, datastructures, impl. [strict tl]</t>
  </si>
  <si>
    <t>infoarena lcdr</t>
  </si>
  <si>
    <t>dp, graph, datastructures, impl or greedy, [easy idea]</t>
  </si>
  <si>
    <t>Baltic 05-Bus_Trip</t>
  </si>
  <si>
    <t>dp, sorting, exchange argument</t>
  </si>
  <si>
    <t>infoarena pitici3</t>
  </si>
  <si>
    <t>dp, dp_couning</t>
  </si>
  <si>
    <t>UTSOpen 15-Pogo</t>
  </si>
  <si>
    <t>dp or dp_convex_hull</t>
  </si>
  <si>
    <t>IOI 02-Batch</t>
  </si>
  <si>
    <t>dp, game or game theory, ad-hoc, greedy</t>
  </si>
  <si>
    <t>IOI 01-ioiwari</t>
  </si>
  <si>
    <t>dp, dfs, hash, [Romanian txt]</t>
  </si>
  <si>
    <t>infoarena aiacupalindroame</t>
  </si>
  <si>
    <t>dp, [https://www.iarcs.org.in/inoi/online-study-material/problems/mexico-soln.php]</t>
  </si>
  <si>
    <t>IOI 06-mexico</t>
  </si>
  <si>
    <t>dp, [bf to get observations and pattern]</t>
  </si>
  <si>
    <t>POI 15-Squares</t>
  </si>
  <si>
    <t>dp, backtrack, impl</t>
  </si>
  <si>
    <t>Baltic 10-Lego</t>
  </si>
  <si>
    <t>dp, [close to USACO 14open-silver-odometer]</t>
  </si>
  <si>
    <t>COI 19-ljetopica</t>
  </si>
  <si>
    <t>dp, polygon, mod inv</t>
  </si>
  <si>
    <t>IOIPractice 16-polygon_partition</t>
  </si>
  <si>
    <t>dp, geometry, triangulation, [solve first POI 06-Invasion]</t>
  </si>
  <si>
    <t>POI 10-Sheep</t>
  </si>
  <si>
    <t>dp, binary search or ad-hoc, bitmasks, knapsack</t>
  </si>
  <si>
    <t>infoarena sormin</t>
  </si>
  <si>
    <t>dp, math, meet in middle</t>
  </si>
  <si>
    <t>CEOI 19-cubeword</t>
  </si>
  <si>
    <t>dp, deque, [easy impl]</t>
  </si>
  <si>
    <t>USACO 18jan-lifeguards-plat</t>
  </si>
  <si>
    <t>dp, greedy, primes, monotonicity, [mathy proof}]</t>
  </si>
  <si>
    <t>Baltic 13-brunhilda</t>
  </si>
  <si>
    <t>dp, bfs ,constructive, optimize</t>
  </si>
  <si>
    <t>Baltic 12-Melody</t>
  </si>
  <si>
    <t>dp, datastructures or greedy, combinatorics</t>
  </si>
  <si>
    <t>OII 18-cena</t>
  </si>
  <si>
    <t>dp, matrix pow</t>
  </si>
  <si>
    <t>Balkan 09-Reading</t>
  </si>
  <si>
    <t>dp, optimal splitting, minque or monotonic stack</t>
  </si>
  <si>
    <t>IZhO 14-blocks</t>
  </si>
  <si>
    <t>dp, [bounded knapsack] or ad-hoc, stl or dp_convex_hull, deque</t>
  </si>
  <si>
    <t>POI 05-Banknote</t>
  </si>
  <si>
    <t>dp, greedy, all permutations</t>
  </si>
  <si>
    <t>COCI 07-Cestarine</t>
  </si>
  <si>
    <t>dp, [dp on diagonal, non-standard]</t>
  </si>
  <si>
    <t>JOI 18-Dangomaker</t>
  </si>
  <si>
    <t>dp, math, divisors, [weak cases?]</t>
  </si>
  <si>
    <t>Infoarena Desc</t>
  </si>
  <si>
    <t>dp, meet in middle, bitmasks</t>
  </si>
  <si>
    <t>infoarena aiacubiti</t>
  </si>
  <si>
    <t>COCI 18-vrtic</t>
  </si>
  <si>
    <t>dp, impl or bfs, pruning</t>
  </si>
  <si>
    <t>NOI 11-tour</t>
  </si>
  <si>
    <t>infoarena ksecv</t>
  </si>
  <si>
    <t>CEOI 16-popeala</t>
  </si>
  <si>
    <t>Balkan 18-parentrises</t>
  </si>
  <si>
    <t>dp, bignum, impl or, math, closed form, [Narayana number]</t>
  </si>
  <si>
    <t>Infoarena culmi</t>
  </si>
  <si>
    <t>USACO 19jan-tracking2_plat</t>
  </si>
  <si>
    <t>dp, brackets, optimizations</t>
  </si>
  <si>
    <t>Baltic 12-Brackets</t>
  </si>
  <si>
    <t>dp, permutation, observation</t>
  </si>
  <si>
    <t>USACO 20dec-pieaters-plat</t>
  </si>
  <si>
    <t>dp, knapsack, trees, math, [educational]</t>
  </si>
  <si>
    <t>POI 13-Polarization</t>
  </si>
  <si>
    <t>dp, [also https://www.youtube.com/watch?v=8CTteoBqW6A]</t>
  </si>
  <si>
    <t>POI 16-Messenger</t>
  </si>
  <si>
    <t>dp or dijkstra, impl</t>
  </si>
  <si>
    <t>COCI 08-Dostava</t>
  </si>
  <si>
    <t>dp, rectangles, ad-hoc</t>
  </si>
  <si>
    <t>CEOI 09-Photo</t>
  </si>
  <si>
    <t>dp, binary tree, [restricted time and memory]</t>
  </si>
  <si>
    <t>Baltic 16-swap</t>
  </si>
  <si>
    <t>dp, knapsack, ad-hoc, prime module, [some tricks in also CF981-D12-E]</t>
  </si>
  <si>
    <t>Baltic 10-Candies</t>
  </si>
  <si>
    <t>dp, cyclic permutation, primes, gcd, bignum [using double percision], [smaller constraints infoarena perm5]</t>
  </si>
  <si>
    <t>POI 04-Maximal</t>
  </si>
  <si>
    <t>dp, dp_d&amp;c</t>
  </si>
  <si>
    <t>infoarena xreverse</t>
  </si>
  <si>
    <t>dp, permutations, [split to 2 seperate subproblems], [=infoarena kcons]</t>
  </si>
  <si>
    <t>IOIPractice 16-k-consecutive</t>
  </si>
  <si>
    <t>dp, binary search, [trick to reduce order]</t>
  </si>
  <si>
    <t>POI 06-Aesthetics</t>
  </si>
  <si>
    <t>dp, dsu, map, [small-to-large]</t>
  </si>
  <si>
    <t>CEOI 19-MagicTree</t>
  </si>
  <si>
    <t>JOISC 18-security_gate</t>
  </si>
  <si>
    <t>dp , convex hull</t>
  </si>
  <si>
    <t>CCO 12-WindsOfWar</t>
  </si>
  <si>
    <t>dp, bignum, base conversion</t>
  </si>
  <si>
    <t>POI 07-Quaternary</t>
  </si>
  <si>
    <t>sol (See reality420 reply on problem C)</t>
  </si>
  <si>
    <t>dp, simple combinatorics</t>
  </si>
  <si>
    <t>JOISC 18-tents</t>
  </si>
  <si>
    <t>infoarena matcnt</t>
  </si>
  <si>
    <t>dp, rmq</t>
  </si>
  <si>
    <t>JOISC 17-abduction2</t>
  </si>
  <si>
    <t>dp, deques or math, stack, [strict TL]</t>
  </si>
  <si>
    <t>infoarena turnuri</t>
  </si>
  <si>
    <t>dp, graph, datastructures</t>
  </si>
  <si>
    <t>infoarena fft2d</t>
  </si>
  <si>
    <t>Sol. See Solution E notes in codeforces</t>
  </si>
  <si>
    <t>dp, binary search, greedy</t>
  </si>
  <si>
    <t>IZhO 19-segments</t>
  </si>
  <si>
    <t>COI 08-Izbori</t>
  </si>
  <si>
    <t>dp, bitset, knapsack optimization</t>
  </si>
  <si>
    <t>Baltic 15-tug</t>
  </si>
  <si>
    <t>COI 10-kamion</t>
  </si>
  <si>
    <t>dp, strings, [Romanian txt]</t>
  </si>
  <si>
    <t>infoarena zuma</t>
  </si>
  <si>
    <t>dp, ternary search, [Romanian txt]</t>
  </si>
  <si>
    <t>infoarena cladiri</t>
  </si>
  <si>
    <t>dp, dp_output, tournament tree, [sp in grid with buildings]</t>
  </si>
  <si>
    <t>CEOI 06-Walk</t>
  </si>
  <si>
    <t>Balkan 18-homecoming</t>
  </si>
  <si>
    <t>dp, slope_trick</t>
  </si>
  <si>
    <t>LMIO 19-bulves</t>
  </si>
  <si>
    <t>CEOI 09-Sorting</t>
  </si>
  <si>
    <t>dp, dijkstra, palindromes</t>
  </si>
  <si>
    <t>ROJS 17-chromatic_number</t>
  </si>
  <si>
    <t>dp, ad-hoc, observations, partitioning</t>
  </si>
  <si>
    <t>IOI 17-wiring</t>
  </si>
  <si>
    <t>dp, greedy, impl, [cases, non standard]</t>
  </si>
  <si>
    <t>Balkan 17-Cats</t>
  </si>
  <si>
    <t>dp, strings or randomization, [not clear editorial - assign strong guy]</t>
  </si>
  <si>
    <t>Baltic 19-necklace4</t>
  </si>
  <si>
    <t>dp, trees, impl, [cases]</t>
  </si>
  <si>
    <t>COCI 08-Krtica</t>
  </si>
  <si>
    <t>dp, dsu, constructive, [small-to-large]</t>
  </si>
  <si>
    <t>COI 09-Loza</t>
  </si>
  <si>
    <t>dp, stack, next greater element, preprocessing</t>
  </si>
  <si>
    <t>Baltic 09-Monument</t>
  </si>
  <si>
    <t>POI 15-Car</t>
  </si>
  <si>
    <t>JOISC 19-Dishes</t>
  </si>
  <si>
    <t>dp, backtrack, math</t>
  </si>
  <si>
    <t>Baltic 07-Sorting</t>
  </si>
  <si>
    <t>Baltic 13-vim</t>
  </si>
  <si>
    <t>dp, slope_trick, datastructures</t>
  </si>
  <si>
    <t>APIO 16-fireworks</t>
  </si>
  <si>
    <t>Sol by ko_osaga</t>
  </si>
  <si>
    <t>dp, bitmasks, impl</t>
  </si>
  <si>
    <t>COI 17-trapezi</t>
  </si>
  <si>
    <t>dp, impl, [not nice]</t>
  </si>
  <si>
    <t>POI 09-Algorithm_Speedup</t>
  </si>
  <si>
    <t>IOI 01-mobile</t>
  </si>
  <si>
    <t>infoarena nrsec</t>
  </si>
  <si>
    <t>IZhO 19-sortbooks</t>
  </si>
  <si>
    <t>bit or hld, [basic]</t>
  </si>
  <si>
    <t>USACO 11dec-grassplant-gold</t>
  </si>
  <si>
    <t>IZhO 17-GAME</t>
  </si>
  <si>
    <t>bit, graph or datastructures</t>
  </si>
  <si>
    <t>COCI 06-Tenkici</t>
  </si>
  <si>
    <t>bit, grid compress</t>
  </si>
  <si>
    <t>COCI 17-krov</t>
  </si>
  <si>
    <t>bit, datastructures, offline</t>
  </si>
  <si>
    <t>Datatähti Open19-C</t>
  </si>
  <si>
    <t>COCI 07-Turbo</t>
  </si>
  <si>
    <t>USACO 11nov-median-gold</t>
  </si>
  <si>
    <t>bit, dfs</t>
  </si>
  <si>
    <t>USACO 17jan-promote-plat</t>
  </si>
  <si>
    <t>bit, 3d</t>
  </si>
  <si>
    <t>USACO 17feb-friendcross-plat</t>
  </si>
  <si>
    <t>bit, grid compress or segment tree</t>
  </si>
  <si>
    <t>COCI 15-vudu</t>
  </si>
  <si>
    <t>bit, binary search or segment tree</t>
  </si>
  <si>
    <t>USACO 16feb-balancing-plat</t>
  </si>
  <si>
    <t>bit, dp</t>
  </si>
  <si>
    <t>USACO 15feb-gold_hopscotch</t>
  </si>
  <si>
    <r>
      <t>bit, binary search or segment tree, [</t>
    </r>
    <r>
      <rPr>
        <b/>
        <sz val="10"/>
        <color rgb="FF000000"/>
        <rFont val="Arial"/>
        <family val="2"/>
      </rPr>
      <t>JAPANESE</t>
    </r>
    <r>
      <rPr>
        <sz val="10"/>
        <color rgb="FF000000"/>
        <rFont val="Arial"/>
        <family val="2"/>
      </rPr>
      <t>]</t>
    </r>
  </si>
  <si>
    <t>JOI 16-GeologicFault</t>
  </si>
  <si>
    <t>bit, JOI20_ho_t5</t>
  </si>
  <si>
    <t>JOI 20-Fire</t>
  </si>
  <si>
    <r>
      <t>bit, 2d bit, Manhattan2DRotation, </t>
    </r>
    <r>
      <rPr>
        <b/>
        <sz val="10"/>
        <color rgb="FF000000"/>
        <rFont val="Arial"/>
        <family val="2"/>
      </rPr>
      <t>impl</t>
    </r>
  </si>
  <si>
    <t>IOI 07-pairs</t>
  </si>
  <si>
    <r>
      <t>bit or datastructures. </t>
    </r>
    <r>
      <rPr>
        <b/>
        <sz val="10"/>
        <color rgb="FF000000"/>
        <rFont val="Arial"/>
        <family val="2"/>
      </rPr>
      <t>tricky to impl</t>
    </r>
  </si>
  <si>
    <t>COI 15-ruka</t>
  </si>
  <si>
    <t>bit, observation</t>
  </si>
  <si>
    <t>USACO 18mar-sortplat</t>
  </si>
  <si>
    <t>bit, d&amp;c or segment tree, lazy, bit, stack-style observation</t>
  </si>
  <si>
    <t>JOI 13-BubbleSort</t>
  </si>
  <si>
    <t>bit, d&amp;c, [similar to IOI 14-holiday[</t>
  </si>
  <si>
    <t>JOISC 19-Cake3</t>
  </si>
  <si>
    <t>bit, merge sort tree, tough impl</t>
  </si>
  <si>
    <t>COCI 19-suncanje</t>
  </si>
  <si>
    <t>bit, dp, LIS, math, mod, overflow, impl</t>
  </si>
  <si>
    <t>COCI 16-zoltan</t>
  </si>
  <si>
    <t>bit or dp, datastructures, LIS</t>
  </si>
  <si>
    <t>USACO 18dec-itoutplat</t>
  </si>
  <si>
    <t>bit, dfs or centroid-decomposition, segment tree or link-cut</t>
  </si>
  <si>
    <t>JOIOC 13-synchronization</t>
  </si>
  <si>
    <t>bit, impl</t>
  </si>
  <si>
    <t>ROUSelection 18-sortall</t>
  </si>
  <si>
    <t>segment tree, sweep, arithmetic progression</t>
  </si>
  <si>
    <t>IZhO 13-Trading</t>
  </si>
  <si>
    <t>USACO 15dec-haybales-plat</t>
  </si>
  <si>
    <t>DMOPC 18-HenriLabData</t>
  </si>
  <si>
    <t>CCO 13-Tourney</t>
  </si>
  <si>
    <t>segment tree, prefix sum</t>
  </si>
  <si>
    <t>ROJS 17-remove_update</t>
  </si>
  <si>
    <t>segment tree or bit or sqrt decomposition</t>
  </si>
  <si>
    <t>COI 08-Cvjetici</t>
  </si>
  <si>
    <t>segment tree, monotone queue</t>
  </si>
  <si>
    <t>IOIQ 19-r2-A</t>
  </si>
  <si>
    <t>COCI 07-Redoks</t>
  </si>
  <si>
    <t>segment tree, bfs, bfs order</t>
  </si>
  <si>
    <t>POI 17-Strikes</t>
  </si>
  <si>
    <t>JOIOC 15-sterilizing</t>
  </si>
  <si>
    <t>COCI 17-deda</t>
  </si>
  <si>
    <t>JOI 17-foehnPhenomena</t>
  </si>
  <si>
    <r>
      <t>segment tree, math, [</t>
    </r>
    <r>
      <rPr>
        <b/>
        <sz val="10"/>
        <color rgb="FF000000"/>
        <rFont val="Arial"/>
        <family val="2"/>
      </rPr>
      <t>JAPANESE</t>
    </r>
    <r>
      <rPr>
        <sz val="10"/>
        <color rgb="FF000000"/>
        <rFont val="Arial"/>
        <family val="2"/>
      </rPr>
      <t>]</t>
    </r>
  </si>
  <si>
    <t>JOISC 13-Collecting</t>
  </si>
  <si>
    <t>segment tree or bit or dfs, [count unique]</t>
  </si>
  <si>
    <t>COCI 17-poklon</t>
  </si>
  <si>
    <t>USACO 19jan-redistricting_plat</t>
  </si>
  <si>
    <t>infoarena sir3</t>
  </si>
  <si>
    <t>segment tree or bit, dfs or merge-sort tree with updates, binary-lifting, dfs</t>
  </si>
  <si>
    <t>NOI 17-very_best_pokemon</t>
  </si>
  <si>
    <t>segment tree, lazy, dp</t>
  </si>
  <si>
    <t>IZHO 14-divide</t>
  </si>
  <si>
    <t>segment tree, topological sort</t>
  </si>
  <si>
    <t>POI 14-Rally</t>
  </si>
  <si>
    <t>segment tree, lazy or sqrt decomposition</t>
  </si>
  <si>
    <t>POI 13-kon</t>
  </si>
  <si>
    <t>segment tree, [=CSA41 candles]</t>
  </si>
  <si>
    <t>Baltic 11-Trees</t>
  </si>
  <si>
    <t>segment tree, dfs, data structures</t>
  </si>
  <si>
    <t>USACO 19dec-plat-snowcow</t>
  </si>
  <si>
    <t>infoarena minuni</t>
  </si>
  <si>
    <t>segment tree, grid compress</t>
  </si>
  <si>
    <t>COCI 06-Ispiti</t>
  </si>
  <si>
    <t>segment tree or bit or datastructures, [strict time/memory]</t>
  </si>
  <si>
    <t>ROJS 17-cntgigelmat</t>
  </si>
  <si>
    <t>segment tree, grid compress or bit, dp or dp, impl [lis prefix and postfix], [https://oj.uz/problem/view/CEOI18_glo]</t>
  </si>
  <si>
    <t>CEOI 18-Global</t>
  </si>
  <si>
    <t>segment tree, math or math, fibonacci perid</t>
  </si>
  <si>
    <t>infoarena fibo4</t>
  </si>
  <si>
    <t>segment tree, implicit, offline processing, [constant optimizations]</t>
  </si>
  <si>
    <t>IOI 05-mountains</t>
  </si>
  <si>
    <r>
      <t>segment tree or treap, observation, greedy, </t>
    </r>
    <r>
      <rPr>
        <b/>
        <sz val="10"/>
        <color rgb="FF000000"/>
        <rFont val="Arial"/>
        <family val="2"/>
      </rPr>
      <t>impl</t>
    </r>
    <r>
      <rPr>
        <sz val="10"/>
        <color rgb="FF000000"/>
        <rFont val="Arial"/>
        <family val="2"/>
      </rPr>
      <t>, [easy idea]</t>
    </r>
  </si>
  <si>
    <t>JOIOC 18-bubblesort2</t>
  </si>
  <si>
    <t>infoarena arb</t>
  </si>
  <si>
    <r>
      <t>segment tree, sweep line, [</t>
    </r>
    <r>
      <rPr>
        <b/>
        <strike/>
        <sz val="10"/>
        <color rgb="FF000000"/>
        <rFont val="Arial"/>
        <family val="2"/>
      </rPr>
      <t>no submit</t>
    </r>
    <r>
      <rPr>
        <strike/>
        <sz val="10"/>
        <color rgb="FF000000"/>
        <rFont val="Arial"/>
        <family val="2"/>
      </rPr>
      <t>], [test data: last entry here http://hsin.hr/2015/]</t>
    </r>
  </si>
  <si>
    <t>COI 15-dostava</t>
  </si>
  <si>
    <t>segment tree, LiChao or datastructures, binary search, geometry</t>
  </si>
  <si>
    <t>CEOI 09-Harbingers</t>
  </si>
  <si>
    <t>POI 15-Movie</t>
  </si>
  <si>
    <t>segment tree, sweep line</t>
  </si>
  <si>
    <t>COCI 17-plahte</t>
  </si>
  <si>
    <t>segment tree, matrix pow, [~=POI fib]</t>
  </si>
  <si>
    <t>Baltic 17-Toll</t>
  </si>
  <si>
    <r>
      <t>segment tree, ad-hoc, </t>
    </r>
    <r>
      <rPr>
        <b/>
        <sz val="10"/>
        <color rgb="FF000000"/>
        <rFont val="Arial"/>
        <family val="2"/>
      </rPr>
      <t>nice to impl</t>
    </r>
  </si>
  <si>
    <t>CEOI 14-cake</t>
  </si>
  <si>
    <t>segment tree, tournament tree</t>
  </si>
  <si>
    <t>COI 14-krave</t>
  </si>
  <si>
    <t>segment tree, persistent, dp, sweep</t>
  </si>
  <si>
    <t>Balkan 11-Trapezoid</t>
  </si>
  <si>
    <t>segment tree, [hard state]</t>
  </si>
  <si>
    <t>COCI 17-garaza</t>
  </si>
  <si>
    <t>segment tree, polynomial, [repeated]</t>
  </si>
  <si>
    <t>COCI 15-relativnost</t>
  </si>
  <si>
    <t>APIO 19-street_lamps</t>
  </si>
  <si>
    <t>segment tree, d&amp;c, bitmasks, optimization, [repeated]</t>
  </si>
  <si>
    <t>COCI 15-Nekameleoni</t>
  </si>
  <si>
    <t>segment tree, max subarray sum</t>
  </si>
  <si>
    <t>POI 09-Ice_Skates</t>
  </si>
  <si>
    <t>JOIOC 14-pinball</t>
  </si>
  <si>
    <t>segment tree, greedy, sweep, observations or bit, [solve first CSA41-E https://csacademy.com/contest/round-41/task/candles/]</t>
  </si>
  <si>
    <t>IOI 07-sails</t>
  </si>
  <si>
    <t>segment tree, lazy, graph, dynamic connectivity</t>
  </si>
  <si>
    <t>COI 19-tenis</t>
  </si>
  <si>
    <t>IOI 14-wall</t>
  </si>
  <si>
    <t>segment tree, greedy, persistent, binary search, [Combination of standard techniques]</t>
  </si>
  <si>
    <t>IOI 15-teams</t>
  </si>
  <si>
    <t>segment tree, math, [standard]</t>
  </si>
  <si>
    <t>COCI 09-Aladin</t>
  </si>
  <si>
    <t>Balkan 12-BestTeams</t>
  </si>
  <si>
    <r>
      <t>segment tree, </t>
    </r>
    <r>
      <rPr>
        <b/>
        <sz val="10"/>
        <color rgb="FF000000"/>
        <rFont val="Arial"/>
        <family val="2"/>
      </rPr>
      <t>impl</t>
    </r>
    <r>
      <rPr>
        <sz val="10"/>
        <color rgb="FF000000"/>
        <rFont val="Arial"/>
        <family val="2"/>
      </rPr>
      <t>, [__int128 simplifies] or math, binary search</t>
    </r>
  </si>
  <si>
    <t>COCI 14-norma</t>
  </si>
  <si>
    <t>segment tree, greedy, bipartite graph or dsu, odd cycle</t>
  </si>
  <si>
    <t>JOISC 17-PortFacility</t>
  </si>
  <si>
    <t>segment tree, 2d, [properties allowed 2d]</t>
  </si>
  <si>
    <t>POI 06-Tetris_3D</t>
  </si>
  <si>
    <t>segment tree, constructive, bst, simulation</t>
  </si>
  <si>
    <t>IOI 18-doll</t>
  </si>
  <si>
    <t>Balkan 18-election</t>
  </si>
  <si>
    <t>Sol (no editorial)+English txt</t>
  </si>
  <si>
    <t>segment tree, dp, impl</t>
  </si>
  <si>
    <t>Balkan 12-Spiral</t>
  </si>
  <si>
    <t>USACO 20feb-help</t>
  </si>
  <si>
    <t>segment tree, dynamic</t>
  </si>
  <si>
    <t>IZhO 12-apple</t>
  </si>
  <si>
    <t>segment tree, trie, [classical]</t>
  </si>
  <si>
    <t>infoarena kinder</t>
  </si>
  <si>
    <t>segment tree, implicit, [hard text?]</t>
  </si>
  <si>
    <t>Balkan 15-Happiness</t>
  </si>
  <si>
    <t>segment tree, dijkstra, d&amp;c</t>
  </si>
  <si>
    <t>JOISC 18-wildboar</t>
  </si>
  <si>
    <r>
      <t>segment tree, dynamic, 2D segment tree, impl or 1D treap, [easy idea - </t>
    </r>
    <r>
      <rPr>
        <b/>
        <sz val="10"/>
        <color rgb="FF000000"/>
        <rFont val="Arial"/>
        <family val="2"/>
      </rPr>
      <t>hard impl</t>
    </r>
    <r>
      <rPr>
        <sz val="10"/>
        <color rgb="FF000000"/>
        <rFont val="Arial"/>
        <family val="2"/>
      </rPr>
      <t>]</t>
    </r>
  </si>
  <si>
    <t>IOI 13-game</t>
  </si>
  <si>
    <t>segment tree, persistent, euler's formula or datastructures</t>
  </si>
  <si>
    <t>APIO 17-rainbow</t>
  </si>
  <si>
    <t>segment tree, dp_knuth or dp_d&amp;c_opt, long impl</t>
  </si>
  <si>
    <t>IOI 13-wombats</t>
  </si>
  <si>
    <t>segment tree, lazy, geomery, impl, [geometry part is hard]</t>
  </si>
  <si>
    <t>COI 18-svjetlost</t>
  </si>
  <si>
    <r>
      <t>segment tree, optimizations, </t>
    </r>
    <r>
      <rPr>
        <b/>
        <sz val="10"/>
        <color rgb="FF000000"/>
        <rFont val="Arial"/>
        <family val="2"/>
      </rPr>
      <t>hard impl</t>
    </r>
  </si>
  <si>
    <t>IOI 18-seats</t>
  </si>
  <si>
    <t>segment tree or datastructures, sweep range</t>
  </si>
  <si>
    <t>IOI 08-pyramid_base</t>
  </si>
  <si>
    <t>segment tree, lazy propagation, queries</t>
  </si>
  <si>
    <t>IOIPractice 14-grand-noi-icpc-battle-ioi14</t>
  </si>
  <si>
    <t>IOI 08-fish</t>
  </si>
  <si>
    <t>segment tree, math, impl</t>
  </si>
  <si>
    <t>Balkan 16-Lefkaritika</t>
  </si>
  <si>
    <t>Sol (no editrial)</t>
  </si>
  <si>
    <t>JOIOC 19-jumps</t>
  </si>
  <si>
    <t>segment tree, [offline queries]</t>
  </si>
  <si>
    <t>JOISC 19-Antennas</t>
  </si>
  <si>
    <t>segment tree or sqrt decomposition or rmq, binary lifting</t>
  </si>
  <si>
    <t>JOISC 17-railway_trip</t>
  </si>
  <si>
    <t>segment tree, d&amp;c or bit, persistent or dp_d&amp;c_opt</t>
  </si>
  <si>
    <t>IOI 14-holiday</t>
  </si>
  <si>
    <t>segment tree, binary search, observations, tricky or editorial sol</t>
  </si>
  <si>
    <t>IOI 09-archery</t>
  </si>
  <si>
    <t>segment tree, hld, centroid decomposition or others</t>
  </si>
  <si>
    <t>CEOI 19-Diameter</t>
  </si>
  <si>
    <t>segment tree, [solve CODECHEF SAFPAR first]</t>
  </si>
  <si>
    <t>IOI 18-meetings</t>
  </si>
  <si>
    <t>segment tree, fib, impl</t>
  </si>
  <si>
    <t>CEOI 18-Fib</t>
  </si>
  <si>
    <t>COCI 17-san</t>
  </si>
  <si>
    <t>meet in middle, bf</t>
  </si>
  <si>
    <t>CEOI 15-bobek</t>
  </si>
  <si>
    <t>ternary search, impl or binary search, interactive</t>
  </si>
  <si>
    <t>CCO 18-GradientDescent</t>
  </si>
  <si>
    <t>COCI 12-ljubomora</t>
  </si>
  <si>
    <t>Baltic 11-Plagarism</t>
  </si>
  <si>
    <t>COCI 19-cipele</t>
  </si>
  <si>
    <t>binary search, bfs</t>
  </si>
  <si>
    <t>IOI 09-mecho</t>
  </si>
  <si>
    <t>IOIPractice 19-cycle</t>
  </si>
  <si>
    <t>POI 05-Cash</t>
  </si>
  <si>
    <t>NOI 07-hole</t>
  </si>
  <si>
    <t>binary search, two pointers</t>
  </si>
  <si>
    <t>IOIQ 19-d1-A</t>
  </si>
  <si>
    <t>IOIQ 19-d2-A</t>
  </si>
  <si>
    <t>OSN 15-2C</t>
  </si>
  <si>
    <t>binary search, interactive, observation, impl</t>
  </si>
  <si>
    <t>IOI 07-aliens</t>
  </si>
  <si>
    <t>COI 07-Glasnici</t>
  </si>
  <si>
    <t>binary search, math, interactive, d&amp;c, [editorial]</t>
  </si>
  <si>
    <t>CEOI 14-carnival</t>
  </si>
  <si>
    <t>binary search, interactive, d&amp;c, [also sol at http://blog.brucemerry.org.za/2013/07]</t>
  </si>
  <si>
    <t>IOI 13-cave</t>
  </si>
  <si>
    <t>COCI 08-Svada</t>
  </si>
  <si>
    <r>
      <t>binary search, [</t>
    </r>
    <r>
      <rPr>
        <b/>
        <sz val="10"/>
        <color rgb="FF000000"/>
        <rFont val="Arial"/>
        <family val="2"/>
      </rPr>
      <t>JAPANESE</t>
    </r>
    <r>
      <rPr>
        <sz val="10"/>
        <color rgb="FF000000"/>
        <rFont val="Arial"/>
        <family val="2"/>
      </rPr>
      <t>]</t>
    </r>
  </si>
  <si>
    <t>JOI 14-Baumkuchen</t>
  </si>
  <si>
    <r>
      <t>binary search, impl, [</t>
    </r>
    <r>
      <rPr>
        <b/>
        <sz val="10"/>
        <color rgb="FF000000"/>
        <rFont val="Arial"/>
        <family val="2"/>
      </rPr>
      <t>JAPANESE</t>
    </r>
    <r>
      <rPr>
        <sz val="10"/>
        <color rgb="FF000000"/>
        <rFont val="Arial"/>
        <family val="2"/>
      </rPr>
      <t>]</t>
    </r>
  </si>
  <si>
    <t>JOI 13-Tower</t>
  </si>
  <si>
    <t>binary search or search</t>
  </si>
  <si>
    <t>CEOI 17-mousetrap</t>
  </si>
  <si>
    <t>binary search, factrization, optimization</t>
  </si>
  <si>
    <t>IOIPractice 14-questions-i-ask-myself-ioi14</t>
  </si>
  <si>
    <t>binary searchm randomization</t>
  </si>
  <si>
    <t>POI 14-Couriers</t>
  </si>
  <si>
    <t>binary search, combinatorics, impl or dp</t>
  </si>
  <si>
    <t>Baltic 08-Grid</t>
  </si>
  <si>
    <t>IOI 16-dna</t>
  </si>
  <si>
    <t>binary search, sliding window, [stack trick/convex hull optimization]</t>
  </si>
  <si>
    <t>POI 15-Trous</t>
  </si>
  <si>
    <t>JOI 17-joioi</t>
  </si>
  <si>
    <t>binary search, math, [classical]</t>
  </si>
  <si>
    <t>infoarena minim2</t>
  </si>
  <si>
    <t>Sol - Do local test</t>
  </si>
  <si>
    <t>binary search, persistence</t>
  </si>
  <si>
    <t>APIO 08-Beads</t>
  </si>
  <si>
    <t>binary search, then SPOJ HISTOGRA, [=APIOPractice 14-minsub, SPOJ MINSUB]</t>
  </si>
  <si>
    <t>IZhO 13-burrow</t>
  </si>
  <si>
    <r>
      <t>binary search, math, </t>
    </r>
    <r>
      <rPr>
        <b/>
        <sz val="10"/>
        <color rgb="FF000000"/>
        <rFont val="Arial"/>
        <family val="2"/>
      </rPr>
      <t>median</t>
    </r>
    <r>
      <rPr>
        <sz val="10"/>
        <color rgb="FF000000"/>
        <rFont val="Arial"/>
        <family val="2"/>
      </rPr>
      <t>, greedy</t>
    </r>
  </si>
  <si>
    <t>IOI 11-ricehub</t>
  </si>
  <si>
    <t>binary search, meta binary search, math, fractions</t>
  </si>
  <si>
    <t>IOIPractice 16-farey_sequence</t>
  </si>
  <si>
    <t>binary search or ad-hoc, permutations, [seems very close to IOI 02-Utopia]</t>
  </si>
  <si>
    <t>IOI 05-birthday</t>
  </si>
  <si>
    <t>binary search, greedy, [Manhattan distance to Chebysehv distance trick - Manhattan2DRotation reverse]</t>
  </si>
  <si>
    <t>TOKIOpen 18-GroupChat</t>
  </si>
  <si>
    <t>binary search, dfs</t>
  </si>
  <si>
    <t>COI 16-torrent</t>
  </si>
  <si>
    <t>binary search, interactive, [easier version infoarena interact]</t>
  </si>
  <si>
    <t>infoarena password2</t>
  </si>
  <si>
    <t>binary search, parallel binary search, segment tree</t>
  </si>
  <si>
    <t>JOIOC 14-fortune_telling2</t>
  </si>
  <si>
    <t>binary search, interactive, [tedious]</t>
  </si>
  <si>
    <t>CEOI 08-Snake</t>
  </si>
  <si>
    <t>USACO 16dec-roboherd-plat</t>
  </si>
  <si>
    <t>USACO 20feb-deleg</t>
  </si>
  <si>
    <t>IOI 15-sorting</t>
  </si>
  <si>
    <t>binary search, parallel binary search, datastructures</t>
  </si>
  <si>
    <t>infoarena engineer</t>
  </si>
  <si>
    <t>JOISC 17-arranging_tickets</t>
  </si>
  <si>
    <t>binary search, dsu, huffman tree, dsu</t>
  </si>
  <si>
    <t>CEOI 16-icc</t>
  </si>
  <si>
    <t>binary search, case analysis</t>
  </si>
  <si>
    <t>IOI 10-hottercolder</t>
  </si>
  <si>
    <t>binary search, game, long impl, interactive</t>
  </si>
  <si>
    <t>APIO 17-koala</t>
  </si>
  <si>
    <t>sol (See reply from tsouza)</t>
  </si>
  <si>
    <t>JOISC 18-worstreporter3</t>
  </si>
  <si>
    <t>binary search, bfs, interactive [See JOISC-17-abduction2.txt]</t>
  </si>
  <si>
    <t>JOISC 17-park</t>
  </si>
  <si>
    <t>backtrack, binary search</t>
  </si>
  <si>
    <t>IOIQ 18-r1-A</t>
  </si>
  <si>
    <r>
      <t>backtrack, heuristics, </t>
    </r>
    <r>
      <rPr>
        <b/>
        <sz val="10"/>
        <color rgb="FF000000"/>
        <rFont val="Arial"/>
        <family val="2"/>
      </rPr>
      <t>hard impl</t>
    </r>
    <r>
      <rPr>
        <sz val="10"/>
        <color rgb="FF000000"/>
        <rFont val="Arial"/>
        <family val="2"/>
      </rPr>
      <t>, [not insightful]</t>
    </r>
  </si>
  <si>
    <t>IOI 15-scales</t>
  </si>
  <si>
    <t>backtrack, math, bitmasks, constructive, d&amp;c</t>
  </si>
  <si>
    <t>Baltic 14-sequence</t>
  </si>
  <si>
    <t>hints</t>
  </si>
  <si>
    <t>backtrack, [https://open.kattis.com/problems/friends2]</t>
  </si>
  <si>
    <t>Baltic 17-Friends</t>
  </si>
  <si>
    <t>NOISelection 16-counting</t>
  </si>
  <si>
    <t>NOISelection 16-catgameshow</t>
  </si>
  <si>
    <t>NOISelection 15-rotarylock</t>
  </si>
  <si>
    <t>NOISelection 14-middlenumber</t>
  </si>
  <si>
    <t>NOISelection 14-ikanbilis</t>
  </si>
  <si>
    <t>COCI 06-Kolone</t>
  </si>
  <si>
    <t>COCI 14-utrka</t>
  </si>
  <si>
    <t>datastructures, sliding window</t>
  </si>
  <si>
    <t>COCI 12-razlika</t>
  </si>
  <si>
    <t>COCI 17-programiranje</t>
  </si>
  <si>
    <t>datastructures, graph</t>
  </si>
  <si>
    <t>NOIMOCK 15-lilypads</t>
  </si>
  <si>
    <t>datastructures, greedy, [Romanian txt]</t>
  </si>
  <si>
    <t>infoarena heavymetal</t>
  </si>
  <si>
    <t>datastructures, impl, [easy idea]</t>
  </si>
  <si>
    <t>NOI 10-card</t>
  </si>
  <si>
    <t>NOI 08-lvm</t>
  </si>
  <si>
    <t>datastructures, binary search, impl, [POI11_tem]</t>
  </si>
  <si>
    <t>POI 11-Temp</t>
  </si>
  <si>
    <t>datastructures, ad-hoc</t>
  </si>
  <si>
    <t>MCO 16-cablecar</t>
  </si>
  <si>
    <t>datastructures, dp, [classical]</t>
  </si>
  <si>
    <t>infoarena troll</t>
  </si>
  <si>
    <t>datastructures, math</t>
  </si>
  <si>
    <t>DMOPC 15-LeleiandContest</t>
  </si>
  <si>
    <t>datastructures, dfs and similar, [Romanian txt]</t>
  </si>
  <si>
    <t>infoarena omizi</t>
  </si>
  <si>
    <t>datastructures, impl, [where OJ]</t>
  </si>
  <si>
    <t>Info1Cup 19-Simple</t>
  </si>
  <si>
    <t>datastructures, [normal idea, heavy DS, e.g. segment tree]</t>
  </si>
  <si>
    <t>USACO 14dec-marathon</t>
  </si>
  <si>
    <t>EJOI 17-magic</t>
  </si>
  <si>
    <t>datastructures, [Straightforward 2D range sum queries with point updates problem]</t>
  </si>
  <si>
    <t>JOISC 19-Examination</t>
  </si>
  <si>
    <t>infoarena permsort</t>
  </si>
  <si>
    <t>datastructures, stack or monotonic queue or bit, [easy if repeated idea]</t>
  </si>
  <si>
    <t>COI 06-Patrik</t>
  </si>
  <si>
    <t>datastructures, monotonic stack, greedy or d&amp;c</t>
  </si>
  <si>
    <t>ROJS 17-ultimateorbs</t>
  </si>
  <si>
    <t>datastructures, greedy, stack, cumulative sum</t>
  </si>
  <si>
    <t>Balkan 17-Monsters</t>
  </si>
  <si>
    <t>datastructures, trees, dfs, optimizations, [repeated idea]</t>
  </si>
  <si>
    <t>infoarena regat</t>
  </si>
  <si>
    <t>COCI 07-Poklon</t>
  </si>
  <si>
    <t>TOKIOpen 17-Radius</t>
  </si>
  <si>
    <t>datastructures, [Romanian txt]</t>
  </si>
  <si>
    <t>Infoarena Struti</t>
  </si>
  <si>
    <t>datastructures, d&amp;c, randomization, [~=COCI 09-snowwhite], [subpart of CF840-D1-D], [https://github.com/MetalBall887/Competitive-Programming/blob/master/Olympiad/COCI/COCI%2009-Patuljci.cpp]</t>
  </si>
  <si>
    <t>COCI 09-Patuljci</t>
  </si>
  <si>
    <t>USACO 17dec-greedy-plat</t>
  </si>
  <si>
    <t>datastructures, greedy, d&amp;c, impl</t>
  </si>
  <si>
    <t>infoarena eq</t>
  </si>
  <si>
    <t>CEOI 09-Logs</t>
  </si>
  <si>
    <t>datastructures, monotonic queue</t>
  </si>
  <si>
    <t>IOI 06-pyramid</t>
  </si>
  <si>
    <t>datastructures, binary search, greedy</t>
  </si>
  <si>
    <t>IOI 13-robots</t>
  </si>
  <si>
    <t>datastructures, [~=SPOJ MKTHNUM]</t>
  </si>
  <si>
    <t>NOI 15-banana_farm</t>
  </si>
  <si>
    <t>datastructures, stack, d&amp;c, prefix, [COCI18_strah]</t>
  </si>
  <si>
    <t>COCI 19-strah</t>
  </si>
  <si>
    <t>datastructures, impl, [tight memory]</t>
  </si>
  <si>
    <t>CEOI 18-Lottery</t>
  </si>
  <si>
    <t>datastructures, long impl, [boring]</t>
  </si>
  <si>
    <t>COI 14-kosta</t>
  </si>
  <si>
    <t>USACO 17feb-friendcross</t>
  </si>
  <si>
    <t>datastructures, min deque</t>
  </si>
  <si>
    <t>infoarena cover</t>
  </si>
  <si>
    <t>CEOI 13-tram</t>
  </si>
  <si>
    <t>datastructures or segment_tree, bst, [logarithms]</t>
  </si>
  <si>
    <t>IOI 15-horses</t>
  </si>
  <si>
    <t>datastructures or segment tree, presistent [https://github.com/win11905/submission/blob/master/USACO/12/cbs.cpp]</t>
  </si>
  <si>
    <t>USACO 12nov-cbs-gold</t>
  </si>
  <si>
    <t>datastructures, heap, observation or bit</t>
  </si>
  <si>
    <t>USACO 18mar-sortgold</t>
  </si>
  <si>
    <t>Sol. Find O(N)</t>
  </si>
  <si>
    <t>datastructures, stack, impl or dp</t>
  </si>
  <si>
    <t>CEOI 11-Teams</t>
  </si>
  <si>
    <r>
      <t>datastructures, math, </t>
    </r>
    <r>
      <rPr>
        <b/>
        <sz val="10"/>
        <color rgb="FF000000"/>
        <rFont val="Arial"/>
        <family val="2"/>
      </rPr>
      <t>median</t>
    </r>
    <r>
      <rPr>
        <sz val="10"/>
        <color rgb="FF000000"/>
        <rFont val="Arial"/>
        <family val="2"/>
      </rPr>
      <t>, [solve IOI 11-ricehub first]</t>
    </r>
  </si>
  <si>
    <t>APIO 15-bridge</t>
  </si>
  <si>
    <t>datastructures, stack, prefix max, impl</t>
  </si>
  <si>
    <t>infoarena ssdj</t>
  </si>
  <si>
    <t>datastructures, stack or segment tree</t>
  </si>
  <si>
    <t>IOI 19-rect</t>
  </si>
  <si>
    <t>datastructures, optimization</t>
  </si>
  <si>
    <t>CEOI 13-adriatic</t>
  </si>
  <si>
    <t>datastructures, binary search, impl</t>
  </si>
  <si>
    <t>COI 15-ogledala</t>
  </si>
  <si>
    <t>datastructures, binary lifting, observations, [may solve similar easier first: IOI 12-scrivener]</t>
  </si>
  <si>
    <t>Baltic 15-edi</t>
  </si>
  <si>
    <t>JOISC 19-timeleap</t>
  </si>
  <si>
    <t>datastructures, range tree, [small-to-large], [easy idea]</t>
  </si>
  <si>
    <t>CCOMock 17-Connection</t>
  </si>
  <si>
    <t>datastructures, binary lifting, greedy, observations, [https://www.acmicpc.net/category/detail/223]</t>
  </si>
  <si>
    <t>APIO 09-Convention</t>
  </si>
  <si>
    <t>datastructures, segment tree, d&amp;c</t>
  </si>
  <si>
    <t>APIO 18-newhome</t>
  </si>
  <si>
    <t>COI 19-segway</t>
  </si>
  <si>
    <t>simulation, bfs, impl, [smart impl], [easy idea]</t>
  </si>
  <si>
    <t>COCI 07-Kocke</t>
  </si>
  <si>
    <t>NOISelection 14-anglerfish</t>
  </si>
  <si>
    <t>bf, [short code but no one full score in contest - todo]</t>
  </si>
  <si>
    <t>Baltic 18-Worm</t>
  </si>
  <si>
    <t>COCI 15-karte</t>
  </si>
  <si>
    <t>COCI 14-Funghi</t>
  </si>
  <si>
    <t>COCI 17-baza</t>
  </si>
  <si>
    <t>IOI 09-poi</t>
  </si>
  <si>
    <t>DatatähtiOpen 19-A</t>
  </si>
  <si>
    <t>CCCMock 19-PusheenPuzzlePresent</t>
  </si>
  <si>
    <t>bf, todo link</t>
  </si>
  <si>
    <t>COCI 20-emacs</t>
  </si>
  <si>
    <t>Baltic 11-Ice Cream</t>
  </si>
  <si>
    <t>IOI 16-laugh</t>
  </si>
  <si>
    <t>COCI 14-Niko</t>
  </si>
  <si>
    <t>bfs, implementation</t>
  </si>
  <si>
    <t>infoarena marceland</t>
  </si>
  <si>
    <t>bf, [JOI19_ho_t1]</t>
  </si>
  <si>
    <t>JOI 19-Bitaro</t>
  </si>
  <si>
    <t>bf, [todo link]</t>
  </si>
  <si>
    <t>COCI 20-nivelle</t>
  </si>
  <si>
    <t>COCI 07-Lektira</t>
  </si>
  <si>
    <t>bf, cycle, pidgeon hole</t>
  </si>
  <si>
    <t>COCI 08-Kruska</t>
  </si>
  <si>
    <t>bfs, euler cycles, implementation</t>
  </si>
  <si>
    <t>infoarena cartite</t>
  </si>
  <si>
    <t>bf, ad-hoc, [complexity analysis]</t>
  </si>
  <si>
    <t>COCI 14-Sabor</t>
  </si>
  <si>
    <t>bf, strings, hashing, [russian txt]</t>
  </si>
  <si>
    <t>SNSS 18-R2-B</t>
  </si>
  <si>
    <t>bf, graph, stl, bst</t>
  </si>
  <si>
    <t>CEOI 06-Queue</t>
  </si>
  <si>
    <t>bf, greedy, [lexicographically smallest sequence] or dp</t>
  </si>
  <si>
    <t>USACO 12dec-gangs</t>
  </si>
  <si>
    <t>bf, ad-hoc, permutations, [optimizations is the hard part]</t>
  </si>
  <si>
    <t>IOI 01-depot</t>
  </si>
  <si>
    <r>
      <t>bf, </t>
    </r>
    <r>
      <rPr>
        <b/>
        <sz val="10"/>
        <color rgb="FF000000"/>
        <rFont val="Arial"/>
        <family val="2"/>
      </rPr>
      <t>optimizations</t>
    </r>
    <r>
      <rPr>
        <sz val="10"/>
        <color rgb="FF000000"/>
        <rFont val="Arial"/>
        <family val="2"/>
      </rPr>
      <t>, mask</t>
    </r>
  </si>
  <si>
    <t>POI 08-Kingdom</t>
  </si>
  <si>
    <r>
      <t>bf, </t>
    </r>
    <r>
      <rPr>
        <b/>
        <sz val="10"/>
        <color rgb="FF000000"/>
        <rFont val="Arial"/>
        <family val="2"/>
      </rPr>
      <t>long </t>
    </r>
    <r>
      <rPr>
        <sz val="10"/>
        <color rgb="FF000000"/>
        <rFont val="Arial"/>
        <family val="2"/>
      </rPr>
      <t>impl</t>
    </r>
  </si>
  <si>
    <t>IOI 00-Blocks</t>
  </si>
  <si>
    <t>NOISelection 18-stagegames</t>
  </si>
  <si>
    <t>NOISelection 18-spotlights</t>
  </si>
  <si>
    <t>NOISelection 15-globalwarming2</t>
  </si>
  <si>
    <t>NOIPrelim 18-snail</t>
  </si>
  <si>
    <t>POI 13-ins</t>
  </si>
  <si>
    <t>POI 11-prz</t>
  </si>
  <si>
    <t>ad-hoc, impl, [output only]</t>
  </si>
  <si>
    <t>IOI 02-xor</t>
  </si>
  <si>
    <t>ad-hoc, trivial</t>
  </si>
  <si>
    <t>NOISelection 11-bunnyhop</t>
  </si>
  <si>
    <t>COCI 17-hindeks</t>
  </si>
  <si>
    <t>COCI 15-pot</t>
  </si>
  <si>
    <t>COCI 15-marko</t>
  </si>
  <si>
    <t>COCI 15-geppetto</t>
  </si>
  <si>
    <t>COCI 15-Deathstar</t>
  </si>
  <si>
    <t>COCI 15-akcija</t>
  </si>
  <si>
    <t>COCI 14-Traktor</t>
  </si>
  <si>
    <t>COCI 14-Strojopis</t>
  </si>
  <si>
    <t>COCI 14-Piramida</t>
  </si>
  <si>
    <t>COCI 14-mobitel</t>
  </si>
  <si>
    <t>COCI 14-Cesta</t>
  </si>
  <si>
    <t>COCI 07-Tri</t>
  </si>
  <si>
    <t>COCI 07-Bijele</t>
  </si>
  <si>
    <t>COCI 06-R2</t>
  </si>
  <si>
    <t>COCI 06-Modulo</t>
  </si>
  <si>
    <t>NOI 07-gift</t>
  </si>
  <si>
    <t>NOI 07-jawbreak</t>
  </si>
  <si>
    <t>COCI 17-telefoni</t>
  </si>
  <si>
    <t>COCI 17-pareto</t>
  </si>
  <si>
    <t>COCI 17-kartomat</t>
  </si>
  <si>
    <t>COCI 16-imena</t>
  </si>
  <si>
    <t>COCI 16-go</t>
  </si>
  <si>
    <t>COCI 14-Teta</t>
  </si>
  <si>
    <t>COCI 14-Paprika</t>
  </si>
  <si>
    <t>COCI 12-f7</t>
  </si>
  <si>
    <t>COI 08-Nop</t>
  </si>
  <si>
    <t>COI 08-Majstor</t>
  </si>
  <si>
    <t>COCI 08-Pet</t>
  </si>
  <si>
    <t>IZhO 11-triangle</t>
  </si>
  <si>
    <t>COCI 18-spirale</t>
  </si>
  <si>
    <t>COCI 17-tuna</t>
  </si>
  <si>
    <t>COCI 17-kosnja</t>
  </si>
  <si>
    <t>COCI 17-bridz</t>
  </si>
  <si>
    <t>COCI 17-aron</t>
  </si>
  <si>
    <t>COCI 15-esej</t>
  </si>
  <si>
    <t>COCI 14-prosjek</t>
  </si>
  <si>
    <t>COCI 14-Klopka</t>
  </si>
  <si>
    <t>ad-hoc, dfs</t>
  </si>
  <si>
    <t>COCI 14-Dom</t>
  </si>
  <si>
    <t>MCO 15-badminton</t>
  </si>
  <si>
    <t>NOI 11-paint</t>
  </si>
  <si>
    <t>NOI 09-xmas</t>
  </si>
  <si>
    <t>COCI 13-misa</t>
  </si>
  <si>
    <t>IOI 16-reverse</t>
  </si>
  <si>
    <t>COCI 18-olivander</t>
  </si>
  <si>
    <t>COCI 09-Kutevi</t>
  </si>
  <si>
    <t>MCO 15-honey</t>
  </si>
  <si>
    <t>MCO 17-CableCars</t>
  </si>
  <si>
    <t>COCI 07-Platforme</t>
  </si>
  <si>
    <t>COCI 07-Semafori</t>
  </si>
  <si>
    <t>COCI 07-Parking</t>
  </si>
  <si>
    <t>COCI 07-Veci</t>
  </si>
  <si>
    <t>COCI 07-Vauvau</t>
  </si>
  <si>
    <t>COCI 07-Prva</t>
  </si>
  <si>
    <t>COCI 07-Peg</t>
  </si>
  <si>
    <t>COCI 06-Magija</t>
  </si>
  <si>
    <t>COCI 06-Natrij</t>
  </si>
  <si>
    <t>COCI 06-Skener</t>
  </si>
  <si>
    <t>COCI 06-Prsteni</t>
  </si>
  <si>
    <t>COCI 06-npuzzle</t>
  </si>
  <si>
    <t>COCI 06-ABC</t>
  </si>
  <si>
    <t>COCI 06-Herman</t>
  </si>
  <si>
    <t>COCI 08-Nered</t>
  </si>
  <si>
    <t>COCI 08-Bazen</t>
  </si>
  <si>
    <t>COCI 08-Ljesnjak</t>
  </si>
  <si>
    <t>COCI 08-Jagoda</t>
  </si>
  <si>
    <t>COCI 08-Jabuka</t>
  </si>
  <si>
    <t>COCI 17-rasvjeta</t>
  </si>
  <si>
    <t>COCI 17-izbori</t>
  </si>
  <si>
    <t>COCI 07-Tajna</t>
  </si>
  <si>
    <t>NOI 08-4sum</t>
  </si>
  <si>
    <t>COCI 12-sume</t>
  </si>
  <si>
    <t>COCI 09-Kajak</t>
  </si>
  <si>
    <t>COCI 08-Rot</t>
  </si>
  <si>
    <t>COCI 08-Cross</t>
  </si>
  <si>
    <t>ad-hoc, trivial, [COCI18_nadan]</t>
  </si>
  <si>
    <t>COCI 19-nadan</t>
  </si>
  <si>
    <t>COCI 12-sahovnica</t>
  </si>
  <si>
    <t>COCI 17-cezar</t>
  </si>
  <si>
    <t>POI 10-Guilds</t>
  </si>
  <si>
    <t>POI 09-Pebbles</t>
  </si>
  <si>
    <t>POI 09-Elephants</t>
  </si>
  <si>
    <t>POI 08-Postering</t>
  </si>
  <si>
    <t>POI 06-Disks</t>
  </si>
  <si>
    <t>ad-hoc, hex</t>
  </si>
  <si>
    <t>COCI 09-Dosadan</t>
  </si>
  <si>
    <t>Datatähti Open19-B</t>
  </si>
  <si>
    <t>COCI 18-timovi</t>
  </si>
  <si>
    <t>COCI 06-Tetris</t>
  </si>
  <si>
    <t>COCI 06-Firefly</t>
  </si>
  <si>
    <t>COCI 16-pohlepko</t>
  </si>
  <si>
    <t>ad-hoc, sliding window, datastructures</t>
  </si>
  <si>
    <t>Baltic 07-Sound</t>
  </si>
  <si>
    <t>ad-hoc, prefix_sums, sorting [JOI20_ho_t1]</t>
  </si>
  <si>
    <t>JOI 20-Neckties</t>
  </si>
  <si>
    <t>COCI 17-zigzag</t>
  </si>
  <si>
    <t>NOI 18-collectmushrooms</t>
  </si>
  <si>
    <t>COCI 07-Srednji</t>
  </si>
  <si>
    <t>ad-hoc or bipartite match, binary search</t>
  </si>
  <si>
    <t>COCI 13-sumo</t>
  </si>
  <si>
    <t>COCI 15-Han</t>
  </si>
  <si>
    <t>ad-hoc, sliding window</t>
  </si>
  <si>
    <t>infoarena munte4</t>
  </si>
  <si>
    <t>IOI 17-cup</t>
  </si>
  <si>
    <t>POI 10-Test</t>
  </si>
  <si>
    <t>COCI 14-Kriza</t>
  </si>
  <si>
    <t>IOI 06-writing</t>
  </si>
  <si>
    <t>IPSC 18-J1</t>
  </si>
  <si>
    <t>ad-hoc, interactive</t>
  </si>
  <si>
    <t>IPSC 18-H1</t>
  </si>
  <si>
    <t>NOI 08-gecko</t>
  </si>
  <si>
    <t>COCI 14-Mravi</t>
  </si>
  <si>
    <t>NOI 19-lasers</t>
  </si>
  <si>
    <t>ad-hoc, lexi</t>
  </si>
  <si>
    <t>COCI 17-igra</t>
  </si>
  <si>
    <t>COCI 19-preokret</t>
  </si>
  <si>
    <t>ad-hoc, constructive, [Romanian txt]</t>
  </si>
  <si>
    <t>infoarena bile6</t>
  </si>
  <si>
    <t>ad-hoc, sieve-like</t>
  </si>
  <si>
    <t>COCI 13-Organizator</t>
  </si>
  <si>
    <t>ad-hoc, [output only]</t>
  </si>
  <si>
    <t>NOIMOCK 15-dynamite</t>
  </si>
  <si>
    <t>ad-hoc, cycles</t>
  </si>
  <si>
    <t>MCO 14-swaps</t>
  </si>
  <si>
    <t>MCO 16-painting</t>
  </si>
  <si>
    <t>POI 12-Well</t>
  </si>
  <si>
    <t>USACO 19mar-walk-gold</t>
  </si>
  <si>
    <t>CCC 16-Circle_Life</t>
  </si>
  <si>
    <t>COCI 19-kocka</t>
  </si>
  <si>
    <t>COCI 07-Muzicari</t>
  </si>
  <si>
    <t>COCI 06-Ivana</t>
  </si>
  <si>
    <t>POI 06-Periods</t>
  </si>
  <si>
    <t>ad-hoc, 2D prefix sum, impl</t>
  </si>
  <si>
    <t>Baltic 05-Camp</t>
  </si>
  <si>
    <t>ad-hoc, greedy, [Romanian txt]</t>
  </si>
  <si>
    <t>infoarena greutati</t>
  </si>
  <si>
    <t>ad-hoc, [Romanian txt]</t>
  </si>
  <si>
    <t>infoarena covor</t>
  </si>
  <si>
    <t>ad-hoc, strings, prefix sums, combinatorics</t>
  </si>
  <si>
    <t>IOIPractice 14-christopher-candy-ioi14</t>
  </si>
  <si>
    <t>ad-hoc, prefix sum 2d</t>
  </si>
  <si>
    <t>DMPG 15-BlackWhite</t>
  </si>
  <si>
    <t>ad-hoc, [constrains is not mentioned]</t>
  </si>
  <si>
    <t>IOIPractice 14-color-grid-ioi14</t>
  </si>
  <si>
    <t>ad-hoc, binary search or KMR or hasging</t>
  </si>
  <si>
    <t>POI 10-Beads</t>
  </si>
  <si>
    <t>JOIOC 14-secret</t>
  </si>
  <si>
    <t>ad-hoc, combinatorics</t>
  </si>
  <si>
    <t>IOI 14-gondola</t>
  </si>
  <si>
    <t>USACO 19feb-gold-paintbarn</t>
  </si>
  <si>
    <t>ad-hoc, preprocessing or bfs</t>
  </si>
  <si>
    <t>COCI 14-Jabuke</t>
  </si>
  <si>
    <t>COCI 09-Mali</t>
  </si>
  <si>
    <t>ad-hoc, expressions, postfix, infix, queue</t>
  </si>
  <si>
    <t>COCI 15-Slon</t>
  </si>
  <si>
    <t>ad-hoc, [OJ.UZ grading server where memory isn't freed between test cases, and it took a while to figure that out. ?? ]</t>
  </si>
  <si>
    <t>NOI 13-gw</t>
  </si>
  <si>
    <t>ad-hoc, d&amp;c</t>
  </si>
  <si>
    <t>infoarena bitcost</t>
  </si>
  <si>
    <t>CEOI 05-keys</t>
  </si>
  <si>
    <t>COCI 13-Kusac</t>
  </si>
  <si>
    <t>ad-hoc, merge sort</t>
  </si>
  <si>
    <t>USACO 11dec-photo-gold</t>
  </si>
  <si>
    <t>ad-hoc, prefix sums, binary search</t>
  </si>
  <si>
    <t>IOI 10-quality</t>
  </si>
  <si>
    <t>NOI 17-best_place</t>
  </si>
  <si>
    <t>ad-hoc, games</t>
  </si>
  <si>
    <t>IOI 16-tetris</t>
  </si>
  <si>
    <t>ad-hoc, interactive?, [JAPANESE]</t>
  </si>
  <si>
    <t>JOISC 13-Mountain</t>
  </si>
  <si>
    <t>ad-hoc, sorting or segment tree, dp</t>
  </si>
  <si>
    <t>POI 05-Bus</t>
  </si>
  <si>
    <t>ad-hoc, huffman coding, interactive, [~= IOIPractice 17-Coins]</t>
  </si>
  <si>
    <t>IOIPractice 19-Transfer</t>
  </si>
  <si>
    <t>USACO 17feb-mincross-plat</t>
  </si>
  <si>
    <t>COCI 19-parametriziran</t>
  </si>
  <si>
    <t>POI 10-Game</t>
  </si>
  <si>
    <t>ad-hoc, interactive, binary search, [todo review submission link]</t>
  </si>
  <si>
    <t>JOISC 18-library</t>
  </si>
  <si>
    <t>ad-hoc, interactive, [harder version infoarena password2]</t>
  </si>
  <si>
    <t>infoarena interact</t>
  </si>
  <si>
    <t>JOIOC 18-Xylophone</t>
  </si>
  <si>
    <t>ad-hoc, [Cool restore X with queries problem.]</t>
  </si>
  <si>
    <t>IOI 18-combo</t>
  </si>
  <si>
    <t>ad-hoc, hanoi</t>
  </si>
  <si>
    <t>CEOI 03-Hanoi</t>
  </si>
  <si>
    <t>ad-hoc, [communication]</t>
  </si>
  <si>
    <t>NOIMOCK 15-chessboard</t>
  </si>
  <si>
    <t>USACO 20feb-triangles</t>
  </si>
  <si>
    <t>ad-hoc, optimizations</t>
  </si>
  <si>
    <t>IOI 03-guess</t>
  </si>
  <si>
    <t>infoarena identice</t>
  </si>
  <si>
    <t>ad-hoc, hashing, [no string algo in IOI]</t>
  </si>
  <si>
    <t>USACO 15feb-censor</t>
  </si>
  <si>
    <t>USACO 17mar-art</t>
  </si>
  <si>
    <t>OSN 15-1C</t>
  </si>
  <si>
    <r>
      <t>ad-hoc, Manhattan2DRotation, sliding window, </t>
    </r>
    <r>
      <rPr>
        <b/>
        <sz val="10"/>
        <color rgb="FF000000"/>
        <rFont val="Arial"/>
        <family val="2"/>
      </rPr>
      <t>impl</t>
    </r>
    <r>
      <rPr>
        <sz val="10"/>
        <color rgb="FF000000"/>
        <rFont val="Arial"/>
        <family val="2"/>
      </rPr>
      <t> or sweep, [easy idea]</t>
    </r>
  </si>
  <si>
    <t>CEOI 08-Dominance</t>
  </si>
  <si>
    <t>ad-hoc, binary search, geometry, polygon, triangles</t>
  </si>
  <si>
    <t>POI 06-Invasion</t>
  </si>
  <si>
    <t>ad-hoc, observation</t>
  </si>
  <si>
    <t>USACO 19mar-balancing-gold</t>
  </si>
  <si>
    <t>ad-hoc, bitsets or dp, [educational]</t>
  </si>
  <si>
    <t>Baltic 19-nautilus</t>
  </si>
  <si>
    <t>ad-hoc, games, interactive?, [JAPANESE]</t>
  </si>
  <si>
    <t>JOISC 13-Messenger</t>
  </si>
  <si>
    <t>CEOI 06-Meandian</t>
  </si>
  <si>
    <t>ad-hoc, fracturing search</t>
  </si>
  <si>
    <t>Baltic 19-olympiads</t>
  </si>
  <si>
    <t>ad-hoc, d&amp;c, 2d prefix sums, 2d sliding window, impl [https://www.acmicpc.net/category/detail/223]</t>
  </si>
  <si>
    <t>APIO 09-Oil</t>
  </si>
  <si>
    <t>CEOI 10-Tower</t>
  </si>
  <si>
    <t>ad-hoc, hashing, integer partitions</t>
  </si>
  <si>
    <t>USACO 15feb-gold_censor</t>
  </si>
  <si>
    <t>ad-hoc, d&amp;c, two pointers, modular inverse, [using less than O(n) memory]</t>
  </si>
  <si>
    <t>ROJS 17-borland</t>
  </si>
  <si>
    <t>ad-hoc, bits ??</t>
  </si>
  <si>
    <t>IZhO 19-lyuboyn</t>
  </si>
  <si>
    <t>ad-hoc, cases, impl</t>
  </si>
  <si>
    <t>COI 18-pick</t>
  </si>
  <si>
    <t>ad-hoc, string parsing, [boring]</t>
  </si>
  <si>
    <t>COI 14-css</t>
  </si>
  <si>
    <t>IOIQ 19-d2-D</t>
  </si>
  <si>
    <t>ad-hoc, string, hashing</t>
  </si>
  <si>
    <t>Baltic 18-Genetics</t>
  </si>
  <si>
    <t>CCO 18-WrongAnswer</t>
  </si>
  <si>
    <t>ad-hoc, [hard to prove]</t>
  </si>
  <si>
    <t>JOIOC 19-Remittance</t>
  </si>
  <si>
    <t>Baltic 17-PlusMinus</t>
  </si>
  <si>
    <t>ad-hoc, heuristics, tuning</t>
  </si>
  <si>
    <t>IOI 10-languages</t>
  </si>
  <si>
    <t>ad-hoc, d&amp;c, interactive, [solve APIO 16-gap first is helpful], [constant optimization], [pigeonhole principle]</t>
  </si>
  <si>
    <t>IOI 17-prize</t>
  </si>
  <si>
    <r>
      <t>ad-hoc, </t>
    </r>
    <r>
      <rPr>
        <b/>
        <sz val="10"/>
        <color rgb="FF000000"/>
        <rFont val="Arial"/>
        <family val="2"/>
      </rPr>
      <t>slope_trick</t>
    </r>
    <r>
      <rPr>
        <sz val="10"/>
        <color rgb="FF000000"/>
        <rFont val="Arial"/>
        <family val="2"/>
      </rPr>
      <t> or others</t>
    </r>
  </si>
  <si>
    <t>COCI 19-simfonija</t>
  </si>
  <si>
    <t>ad-hoc, geoemtry, center of gravity, cyclic shifts, [precision issues]</t>
  </si>
  <si>
    <t>POI 05-Points</t>
  </si>
  <si>
    <t>ad-hoc, quick sort, randomization or datastructures, heap, impl</t>
  </si>
  <si>
    <t>IOI 00-median</t>
  </si>
  <si>
    <t>ad-hoc, datastructures, observation</t>
  </si>
  <si>
    <t>MCO 17-LargeCity</t>
  </si>
  <si>
    <t>ad-hoc, intetractive</t>
  </si>
  <si>
    <t>OSN 16-1B</t>
  </si>
  <si>
    <t>ad-hoc, construcive, [independece], [seems very close to IOI 05-birthday]</t>
  </si>
  <si>
    <t>IOI 02-Utopia</t>
  </si>
  <si>
    <t>ad-hoc, sweep, bit or stack, set</t>
  </si>
  <si>
    <t>IOI 04-empodia</t>
  </si>
  <si>
    <t>ad-hoc, observations, [casework]</t>
  </si>
  <si>
    <t>POI 15-Three</t>
  </si>
  <si>
    <t>ad-hoc, constructive, interactive, manhattan distance, hard to impl</t>
  </si>
  <si>
    <t>IOI 19-vision</t>
  </si>
  <si>
    <t>ad-hoc, bits, bignum, [annoying, avoid]</t>
  </si>
  <si>
    <t>POI 10-Ones</t>
  </si>
  <si>
    <t>ad-hoc, interactive, impl</t>
  </si>
  <si>
    <t>Info1Cup 18-Hidden</t>
  </si>
  <si>
    <t>ad-hoc, datastructures, [communication], [solve POI 05-ToyCars first]</t>
  </si>
  <si>
    <t>IOI 12-supper</t>
  </si>
  <si>
    <t>ad-hoc, bits, interactive</t>
  </si>
  <si>
    <t>IZhO 19-Xoractive</t>
  </si>
  <si>
    <t>ad-hoc, d&amp;c, interactive, pigeonhole principle</t>
  </si>
  <si>
    <t>APIO 16-gap</t>
  </si>
  <si>
    <t>ad-hoc, games or scc, topological sort, MLE</t>
  </si>
  <si>
    <t>POI 04-Tournament</t>
  </si>
  <si>
    <t>ad-hoc, quick sort, [judge not working]</t>
  </si>
  <si>
    <t>IOIPractice 16-telegraph</t>
  </si>
  <si>
    <t>ad-hoc, math, [very short code? maybe trivial]</t>
  </si>
  <si>
    <t>COCI 18-kotrljanje</t>
  </si>
  <si>
    <t>COCI 17-retro</t>
  </si>
  <si>
    <t>ad-hoc, [avoid, weird, stef don't understand problem nature]</t>
  </si>
  <si>
    <t>IOI 06-blackbox</t>
  </si>
  <si>
    <t>ad-hoc, permutations, interactive, [HKOI 11-stones]</t>
  </si>
  <si>
    <t>ROUSelection 18-anagram_sort</t>
  </si>
  <si>
    <t>ad-hoc, sliding window, dp</t>
  </si>
  <si>
    <t>IOI 05-garden</t>
  </si>
  <si>
    <t>POI 06-Crystals</t>
  </si>
  <si>
    <t>ad-hoc, logic</t>
  </si>
  <si>
    <t>IZhO 18-NiceGift</t>
  </si>
  <si>
    <t>ad-hoc, encoding, [different grader, where statement?], [Sperner's theorem]</t>
  </si>
  <si>
    <t>CEOI 14-questiongrader</t>
  </si>
  <si>
    <t>ad-hoc?</t>
  </si>
  <si>
    <t>POI 10-Hamsters</t>
  </si>
  <si>
    <t>Balkan 11-cmp</t>
  </si>
  <si>
    <t>IOI 15-towns</t>
  </si>
  <si>
    <t>ad-hoc, interactive, DAG, [communication style]</t>
  </si>
  <si>
    <t>JOISC 18-airline</t>
  </si>
  <si>
    <t>ad-hoc, interactive, d&amp;c, bits, [hard to impl]</t>
  </si>
  <si>
    <t>IOI 16-messy</t>
  </si>
  <si>
    <t>ad-hoc, string, transformations</t>
  </si>
  <si>
    <t>COI 14-gta</t>
  </si>
  <si>
    <t>IOI 03-reverse</t>
  </si>
  <si>
    <t>ad-hoc, d&amp;c, [const factor optimizations]</t>
  </si>
  <si>
    <t>JOISC 19-Minerals</t>
  </si>
  <si>
    <t>IOI 19-line</t>
  </si>
  <si>
    <t>ad-hoc, [https://tioj.ck.tp.edu.tw/problems/1430]</t>
  </si>
  <si>
    <t>APIO 12-Guard</t>
  </si>
  <si>
    <t>ad-hoc, data compression, bigInteger</t>
  </si>
  <si>
    <t>IOI 11-parrots</t>
  </si>
  <si>
    <t>ad-hoc, cases analysis, observations</t>
  </si>
  <si>
    <t>IOI 14-rail</t>
  </si>
  <si>
    <t>Balkan 15-RADIO</t>
  </si>
  <si>
    <t>ad-hoc, [https://tioj.ck.tp.edu.tw/problems/1519]</t>
  </si>
  <si>
    <t>APIO 12-Kunai</t>
  </si>
  <si>
    <t>Balkan 17-sheets</t>
  </si>
  <si>
    <t>ad-hoc, long impl</t>
  </si>
  <si>
    <t>CEOI 15-nuclearia</t>
  </si>
  <si>
    <t>ad-hoc, heuristics, constructive, [output-only], [bad editorial], [not good problem]</t>
  </si>
  <si>
    <t>IOI 10-maze</t>
  </si>
  <si>
    <t>ad-hoc, long impl, optimizations, [tedious, boring]</t>
  </si>
  <si>
    <t>IOI 12-odometer</t>
  </si>
  <si>
    <t>Name</t>
  </si>
  <si>
    <r>
      <t>graph, dijkstra, summations, diphontine or math, [</t>
    </r>
    <r>
      <rPr>
        <b/>
        <sz val="10"/>
        <color rgb="FF000000"/>
        <rFont val="Arial"/>
        <family val="2"/>
      </rPr>
      <t>POI 03</t>
    </r>
    <r>
      <rPr>
        <sz val="10"/>
        <color rgb="FF000000"/>
        <rFont val="Arial"/>
        <family val="2"/>
      </rPr>
      <t>-sums, dijikstra on modulo graph]</t>
    </r>
  </si>
  <si>
    <t>IZHh 18-plan</t>
  </si>
  <si>
    <t>IZhO 14-divide</t>
  </si>
  <si>
    <t>Info1cup 19-Treasure</t>
  </si>
  <si>
    <t>Info1cup 19-Subway</t>
  </si>
  <si>
    <t>Info1cup 19-Simple</t>
  </si>
  <si>
    <t>Info1up 19-Mean</t>
  </si>
  <si>
    <t>Info1cup 18-Hidden</t>
  </si>
  <si>
    <r>
      <t>dp, </t>
    </r>
    <r>
      <rPr>
        <b/>
        <sz val="10"/>
        <color rgb="FF000000"/>
        <rFont val="Arial"/>
        <family val="2"/>
      </rPr>
      <t>bignum</t>
    </r>
    <r>
      <rPr>
        <sz val="10"/>
        <color rgb="FF000000"/>
        <rFont val="Arial"/>
        <family val="2"/>
      </rPr>
      <t>, standard</t>
    </r>
  </si>
  <si>
    <t>3d dp took too much time</t>
  </si>
  <si>
    <t>some thing wrong</t>
  </si>
  <si>
    <t>pending</t>
  </si>
  <si>
    <t>https://leetcode.com/problems/sliding-window-maximum/</t>
  </si>
  <si>
    <t xml:space="preserve">opposite </t>
  </si>
  <si>
    <t>linear</t>
  </si>
  <si>
    <t>nlogn</t>
  </si>
  <si>
    <t>n</t>
  </si>
  <si>
    <t>nlogk   (most optimize n)</t>
  </si>
  <si>
    <t>nklogk</t>
  </si>
  <si>
    <t>https://www.geeksforgeeks.org/merge-k-sorted-arrays-set-2-different-sized-arrays/</t>
  </si>
  <si>
    <t>https://www.geeksforgeeks.org/merge-two-binary-max-heaps/</t>
  </si>
  <si>
    <t>put all value then heapify --&lt; n+m  ----&gt; don't know further optimize</t>
  </si>
  <si>
    <t>recursion if left &amp;&amp; right …....</t>
  </si>
  <si>
    <t>https://leetcode.com/problems/find-median-from-data-stream/</t>
  </si>
  <si>
    <t>inorder&lt;-&gt;levelorder</t>
  </si>
  <si>
    <t>https://codeforces.com/contest/1461/problem/C</t>
  </si>
  <si>
    <t>final</t>
  </si>
  <si>
    <t>https://www.geeksforgeeks.org/minimum-sum-of-two-numbers-formed-from-digits-of-an-array-in-on/?ref=rp</t>
  </si>
  <si>
    <t>twist is that ----&gt; optimised code is linear time(:D   because given input range is only 0-9)</t>
  </si>
  <si>
    <t>circular queue</t>
  </si>
  <si>
    <t>recursion</t>
  </si>
  <si>
    <t>sort wrt x</t>
  </si>
  <si>
    <t>try to submit so don't forget</t>
  </si>
  <si>
    <t>https://www.geeksforgeeks.org/reversing-queue-using-recursion/?ref=rp</t>
  </si>
  <si>
    <t>idea remembered implementatoin tough----&gt; twist if you fail in any case you need not to start again, you can start from end</t>
  </si>
  <si>
    <t>https://leetcode.com/problems/gas-station/</t>
  </si>
  <si>
    <t>colouring with two color ---&gt; one done---&gt; second current color</t>
  </si>
  <si>
    <t>implement again &amp; again</t>
  </si>
  <si>
    <t>kahn algorithm&lt;-&gt;</t>
  </si>
  <si>
    <t>try to implement again and again</t>
  </si>
  <si>
    <t>github</t>
  </si>
  <si>
    <t xml:space="preserve">don’t know intuition </t>
  </si>
  <si>
    <t>implement until red</t>
  </si>
  <si>
    <t>https://leetcode.com/problems/is-graph-bipartite/</t>
  </si>
  <si>
    <t>two colorable bfs dfs</t>
  </si>
  <si>
    <t>dynamic programming</t>
  </si>
  <si>
    <t>see again &amp; again</t>
  </si>
  <si>
    <t>don’t understand</t>
  </si>
  <si>
    <t>https://leetcode.com/problems/n-queens/</t>
  </si>
  <si>
    <t>see solution again &amp; again to remind(green)</t>
  </si>
  <si>
    <t>https://leetcode.com/problems/permutation-sequence/</t>
  </si>
  <si>
    <t>https://leetcode.com/problems/partition-to-k-equal-sum-subsets/</t>
  </si>
  <si>
    <t>https://leetcode.com/problems/permutations-ii/</t>
  </si>
  <si>
    <t>when repeat value---&gt; hard ---&gt; check out leetcode</t>
  </si>
  <si>
    <t>https://leetcode.com/problems/combination-sum/</t>
  </si>
  <si>
    <t>Euclid–Euler theorem</t>
  </si>
  <si>
    <t>https://cp-algorithms.com/algebra/factorial-modulo.html</t>
  </si>
  <si>
    <t>legendre formula</t>
  </si>
  <si>
    <t>pen</t>
  </si>
  <si>
    <t xml:space="preserve"> c++ double--10^308</t>
  </si>
  <si>
    <t>https://www.thoughtco.com/definition-of-double-958065#:~:text=A%20double%20type%20variable%20is%20a%2064%2Dbit%20floating%20data%20type&amp;text=C%2C%20C%2B%2B%2C%20C%23%20and%20many,and%20after%20the%20decimal%20point.</t>
  </si>
  <si>
    <t>.0lf</t>
  </si>
  <si>
    <t>second mst(kruskal)</t>
  </si>
  <si>
    <t>linear solution also</t>
  </si>
  <si>
    <t>https://leetcode.com/problems/interleaving-string/</t>
  </si>
  <si>
    <t>submit again again----&gt; m*n</t>
  </si>
  <si>
    <t>https://leetcode.com/problems/best-time-to-buy-and-sell-stock-iv/</t>
  </si>
  <si>
    <t>longest common substring but i!=j</t>
  </si>
  <si>
    <t>some as general here 3d dp</t>
  </si>
  <si>
    <t>product, index</t>
  </si>
  <si>
    <t>lis</t>
  </si>
  <si>
    <t>linear time</t>
  </si>
  <si>
    <t>linear time lis</t>
  </si>
  <si>
    <t>don't remember---&gt; nlogn optimised, for each value find k+a[i]--? Binary search</t>
  </si>
  <si>
    <t>check it out</t>
  </si>
  <si>
    <t>manacher linear time</t>
  </si>
  <si>
    <t>check code----&gt; see latest submission with comment</t>
  </si>
  <si>
    <t>mancher--&gt; linear</t>
  </si>
  <si>
    <t>https://leetcode.com/problems/wiggle-subsequence/</t>
  </si>
  <si>
    <t>greedy---&gt; linear</t>
  </si>
  <si>
    <t>https://leetcode.com/problems/maximum-profit-in-job-scheduling/</t>
  </si>
  <si>
    <t>learn its recurrence---&gt; linear</t>
  </si>
  <si>
    <t>https://www.geeksforgeeks.org/optimal-strategy-for-a-game-dp-31/</t>
  </si>
  <si>
    <t>3d dp</t>
  </si>
  <si>
    <t>matrix multiplication</t>
  </si>
  <si>
    <t>same as above</t>
  </si>
  <si>
    <t>2d kadane cubic</t>
  </si>
  <si>
    <t>n^2</t>
  </si>
  <si>
    <t>2d kadance applicaoin</t>
  </si>
  <si>
    <t>at both corner</t>
  </si>
  <si>
    <t>linked list implementation double linkedinlist</t>
  </si>
  <si>
    <t xml:space="preserve"> one box two value concept</t>
  </si>
  <si>
    <t>for evaluate just solve apply operation without priority</t>
  </si>
  <si>
    <t>https://leetcode.com/problems/lru-cache/</t>
  </si>
  <si>
    <t>optimal--&gt; linear time,  solution</t>
  </si>
  <si>
    <t>cyclic permutatoin</t>
  </si>
  <si>
    <t>https://www.geeksforgeeks.org/minimum-number-swaps-required-sort-array/</t>
  </si>
  <si>
    <t>https://leetcode.com/problems/serialize-and-deserialize-binary-tree/submissions/</t>
  </si>
  <si>
    <t>learn  serialize &amp; deserial tree---&gt; kmp</t>
  </si>
  <si>
    <t>lca</t>
  </si>
  <si>
    <t>https://leetcode.com/problems/find-duplicate-subtrees/</t>
  </si>
  <si>
    <t>https://leetcode.com/problems/balance-a-binary-search-tree/</t>
  </si>
  <si>
    <t>https://leetcode.com/problems/merge-two-binary-trees/</t>
  </si>
  <si>
    <t>dijstra</t>
  </si>
  <si>
    <t>parallel modelling</t>
  </si>
  <si>
    <t>https://ideone.com/c9t0uR</t>
  </si>
  <si>
    <t>grid dijkstra</t>
  </si>
  <si>
    <t>later</t>
  </si>
  <si>
    <t>2,3       8&lt;9</t>
  </si>
  <si>
    <t>digit dp</t>
  </si>
  <si>
    <t>don understand</t>
  </si>
  <si>
    <t xml:space="preserve">                                   lcs</t>
  </si>
  <si>
    <t>dsu</t>
  </si>
  <si>
    <t>line intersection</t>
  </si>
  <si>
    <t xml:space="preserve">dp on tree(diameter) </t>
  </si>
  <si>
    <t>https://codeforces.com/contest/1440/problem/E</t>
  </si>
  <si>
    <t>escpae</t>
  </si>
  <si>
    <t>st</t>
  </si>
  <si>
    <t>check code--&gt;sieve+lazy(WA)</t>
  </si>
  <si>
    <t>array dif</t>
  </si>
  <si>
    <t>https://leetcode.com/problems/maximum-xor-with-an-element-from-array/</t>
  </si>
  <si>
    <t>qlogn*12</t>
  </si>
  <si>
    <t>https://codeforces.com/contest/729/problem/D</t>
  </si>
  <si>
    <t>pigeonhole</t>
  </si>
  <si>
    <t>need to think more</t>
  </si>
  <si>
    <t>like binary lifting</t>
  </si>
  <si>
    <t>trailing zero will not be consecutive</t>
  </si>
  <si>
    <t>read again again----&gt; greedy algorith--&gt; triangular inequality follow</t>
  </si>
  <si>
    <t>https://leetcode.com/problems/candy/</t>
  </si>
  <si>
    <t>LEETCODE HARD QUESTION</t>
  </si>
  <si>
    <t>sort by end time</t>
  </si>
  <si>
    <t>chalana sab ko padega isse accha e hai ki pahel bade bade kar le phir choote</t>
  </si>
  <si>
    <t>pult time and arrive +1 ,depart -1 find max</t>
  </si>
  <si>
    <t>chek by putting in platform and sort finish time</t>
  </si>
  <si>
    <t>imagine segment tree---.&gt; how to prove huffman is prefix code</t>
  </si>
  <si>
    <t>since previous dp range contiguous so idea comes of prefix</t>
  </si>
  <si>
    <t>intuition since complexity--&gt; n^4----&gt; in chosen rectange we will go at each cell from top left corner to bottom right, at each cell we will loop n^2 to find the no. of rectangle with current cell on right hand side make sum all,  maximum rectange will be count of cell in rectange made by current cell and bottom right point of given rectange (" taking only RHS so no repetitive-----&gt; for query in constant time make sum as standard by putting 1 at cell see solution---&gt; make dp as dp(cordinate of top left of rectange , cordinage of bottom right)</t>
  </si>
  <si>
    <t>remaining for more optimize</t>
  </si>
  <si>
    <t>intuition-&gt; faulty brackets open on right side close on left side and  let B -&gt; balance substring then----&gt; string will be like ))B))((B(B so idea come of segment tree--&gt;intuition no ulti sidha brackets inside  balance substring they will be between like above example.</t>
  </si>
  <si>
    <t>learn dp on tree</t>
  </si>
  <si>
    <t>think twice whether l,r  l sorting or r sorting</t>
  </si>
  <si>
    <t>CODEFORCES EDU</t>
  </si>
  <si>
    <t>SEGMENT TREE 1</t>
  </si>
  <si>
    <t>https://codeforces.com/edu/course/2/lesson/4</t>
  </si>
  <si>
    <t>SEGMENT TREE 2</t>
  </si>
  <si>
    <t>DSU</t>
  </si>
  <si>
    <t>BINARY SEARCH</t>
  </si>
  <si>
    <t>EDU CODEFORCES step2</t>
  </si>
  <si>
    <t>completed step 1 edu</t>
  </si>
  <si>
    <t>dp on tree</t>
  </si>
  <si>
    <t>https://www.codechef.com/CMR22021/problems/GBDR</t>
  </si>
  <si>
    <t>bitmask</t>
  </si>
  <si>
    <t>https://codeforces.com/problemset/problem/599/E</t>
  </si>
  <si>
    <t>https://codeforces.com/problemset/problem/71/E</t>
  </si>
  <si>
    <t>https://codeforces.com/blog/entry/325</t>
  </si>
  <si>
    <t>submask of  mask</t>
  </si>
  <si>
    <t>how to count probability in real range</t>
  </si>
  <si>
    <t>DSU--EDU</t>
  </si>
  <si>
    <t>ATCODER</t>
  </si>
  <si>
    <t>https://atcoder.jp/contests/arc111/tasks/arc111_b</t>
  </si>
  <si>
    <t>https://atcoder.jp/contests/arc111/tasks/arc111_c</t>
  </si>
  <si>
    <t>https://atcoder.jp/contests/arc111/tasks/arc111_d</t>
  </si>
  <si>
    <t>n^2--&gt; simple(n=e+v)--&gt;tle---&gt; e=2*10^5,v=5*10^3-----&gt; elogv possible----&gt; pending--&gt;dominator</t>
  </si>
  <si>
    <t>learn state reduction--&gt; first --&gt; mask,k --&gt; k is already in mask----&gt; mask,previous index</t>
  </si>
  <si>
    <t>but think if you know dp+bitmask---&gt;WA</t>
  </si>
  <si>
    <t>pebble solitaire</t>
  </si>
  <si>
    <t>https://csacademy.com/contest/round-67/task/hamming-distances/statement/</t>
  </si>
  <si>
    <t>https://www.spoj.com/problems/ASSIGN/</t>
  </si>
  <si>
    <t>why floyd why not dijs---&gt; for dijstra we need edge weight, for floyd we need distance matrix --&gt; if some one know how to make graph --&gt; then possible else floyd---&gt; but floyd warshall --&gt; TLE--&gt;n^4 + 18*10^4---&gt; but idea use n^3--&gt; 3*10^7---&gt; possible in 1sec</t>
  </si>
  <si>
    <t>tle</t>
  </si>
  <si>
    <t>brute force</t>
  </si>
  <si>
    <t>https://leetcode.com/problems/minimum-incompatibility/discuss/965432/C%2B%2B-Clean-with-detailed-explanation</t>
  </si>
  <si>
    <t>log n prime factorisation</t>
  </si>
  <si>
    <t>https://codeforces.com/contest/1475/problem/G</t>
  </si>
  <si>
    <t>sieve tc--&gt; nloglogn</t>
  </si>
  <si>
    <t>primefactors--&gt; logn</t>
  </si>
  <si>
    <t>https://codeforces.com/contest/1475/problem/D</t>
  </si>
  <si>
    <t>dp+ greedy         pending----&gt; try to make relation so that we can generate current result with the previous got result---&gt;</t>
  </si>
  <si>
    <t>scc</t>
  </si>
  <si>
    <t>n^4 is easy how to do in n^3 edi</t>
  </si>
  <si>
    <t>trie</t>
  </si>
  <si>
    <t>https://codeforces.com/contest/842/problem/D</t>
  </si>
  <si>
    <t>https://codeforces.com/problemset/problem/706/D</t>
  </si>
  <si>
    <t>https://codeforces.com/contest/37/problem/C</t>
  </si>
  <si>
    <t>https://atcoder.jp/contests/abc190/tasks/abc190_e</t>
  </si>
  <si>
    <t>search on answer</t>
  </si>
  <si>
    <t>test case 9 is wrong I think</t>
  </si>
  <si>
    <t>dp hard</t>
  </si>
  <si>
    <t>interactive leave</t>
  </si>
  <si>
    <t>constructive</t>
  </si>
  <si>
    <t>nice learn trick to reduce duplicacy</t>
  </si>
  <si>
    <t>floyd pair---&gt; -&gt;question</t>
  </si>
  <si>
    <t>learn what is oriented graph, if input like this how will graph look like---&gt; oriented graph have not more than one cycle--&gt; how to see--&gt; check input each node can have one edge</t>
  </si>
  <si>
    <t>gcd is also factor, Remember to find all divisor 1 to n tc==nlogn not nsqrt(n)-----&gt; forparticular is root x but overall upto n is nlogn</t>
  </si>
  <si>
    <t>interactive</t>
  </si>
  <si>
    <t>learn idea</t>
  </si>
  <si>
    <t>https://codeforces.com/contest/1479/problem/B2</t>
  </si>
  <si>
    <t>intuition of n0 * n1=a01 + a10, to  many base case</t>
  </si>
  <si>
    <t>dp tree up and down</t>
  </si>
  <si>
    <t>segment tree lazy--&gt; don know how query is logn, update is ok coz we're using lazy</t>
  </si>
  <si>
    <t>pending--WA</t>
  </si>
  <si>
    <t>dp in DAG/ djs also</t>
  </si>
  <si>
    <t>leart state of dp--&gt; technique is nice like first sort all weight so that if at any index edge is x then in graph current edge must be less than x;</t>
  </si>
  <si>
    <t>https://codeforces.com/contest/459/problem/E</t>
  </si>
  <si>
    <t>learn the concept</t>
  </si>
  <si>
    <t>advance of kadane</t>
  </si>
  <si>
    <t>median of stream</t>
  </si>
  <si>
    <t>https://codeforces.com/contest/1487/problem/E</t>
  </si>
  <si>
    <t>https://codeforces.com/contest/1486/problem/C2</t>
  </si>
  <si>
    <t>https://atcoder.jp/contests/abc192/tasks/abc192_f</t>
  </si>
  <si>
    <t>https://codeforces.com/contest/1486/problem/D</t>
  </si>
  <si>
    <t>https://atcoder.jp/contests/abc192/tasks/abc192_e</t>
  </si>
  <si>
    <t>DP(linear ,  multi, 2d)</t>
  </si>
  <si>
    <t>https://codeforces.com/contest/689/problem/D</t>
  </si>
  <si>
    <t>TREE</t>
  </si>
  <si>
    <t>https://codeforces.com/contest/1486/problem/F</t>
  </si>
  <si>
    <t>GCD</t>
  </si>
  <si>
    <t>https://codeforces.com/contest/1242/problem/A</t>
  </si>
  <si>
    <t>https://codeforces.com/contest/1486/problem/E</t>
  </si>
  <si>
    <t>https://codeforces.com/contest/1243/problem/D</t>
  </si>
  <si>
    <t>dfs</t>
  </si>
  <si>
    <t>think as magnet checking node (parent=magnet)</t>
  </si>
  <si>
    <t>https://codeforces.com/contest/920/problem/E</t>
  </si>
  <si>
    <t>segment tree was not able to think of segment tree--&gt;n(logn)^2--&gt; TLE</t>
  </si>
  <si>
    <t>segment two type of update too lengty</t>
  </si>
  <si>
    <t>https://codeforces.com/contest/1057/problem/C</t>
  </si>
  <si>
    <t>https://onlinejudge.org/index.php?option=onlinejudge&amp;Itemid=8&amp;page=show_problem&amp;problem=3138</t>
  </si>
  <si>
    <t>KMP</t>
  </si>
  <si>
    <t>https://codeforces.com/contest/1138/problem/D</t>
  </si>
  <si>
    <t>base--&gt; min of fix size substring--&gt;used segment tree</t>
  </si>
  <si>
    <t>dsu--&gt;problem will come when shifting element is parent of componenet for this we can make id for all node when we have to shift the parent then we can update the id as &gt;n</t>
  </si>
  <si>
    <t>not able to think 30 got idea but how to implement</t>
  </si>
  <si>
    <t>DP DAG</t>
  </si>
  <si>
    <t>https://codeforces.com/contest/284/problem/D</t>
  </si>
  <si>
    <t>easy did't understood question</t>
  </si>
  <si>
    <t>https://codeforces.com/contest/1005/status/F</t>
  </si>
  <si>
    <t>SHORTEST PATH(djs,bfs,dfs,floyd,bel..)</t>
  </si>
  <si>
    <t>abled to think not able to imple-&gt; diff dfs</t>
  </si>
  <si>
    <t>WA   26-02-2021</t>
  </si>
  <si>
    <t>good concept  26-02-2021</t>
  </si>
  <si>
    <t>not able to prove 26-02-2021</t>
  </si>
  <si>
    <t>TWO POINTER</t>
  </si>
  <si>
    <t>https://codeforces.com/contest/368/problem/D</t>
  </si>
  <si>
    <t>27-02-2021--&gt; not able to iimpl two pointer--&gt;TLE</t>
  </si>
  <si>
    <t>STACK</t>
  </si>
  <si>
    <t>https://www.codechef.com/LTIME93B/problems/SEDMAX</t>
  </si>
  <si>
    <t>IMPLEMENTATON(GOOD)</t>
  </si>
  <si>
    <t>https://codeforces.com/contest/1491/problem/C</t>
  </si>
  <si>
    <t>https://www.codechef.com/LTIME93B/problems/INDEP</t>
  </si>
  <si>
    <t>BIT MANIPULATION GOOD</t>
  </si>
  <si>
    <t>https://atcoder.jp/contests/arc092/submissions/2203214</t>
  </si>
  <si>
    <t>https://codeforces.com/contest/1494/problem/C</t>
  </si>
  <si>
    <t>https://codeforces.com/contest/1494/status/D/page/3?order=BY_PROGRAM_LENGTH_ASC</t>
  </si>
  <si>
    <t>Make tree DSU bottom layer to upper layer</t>
  </si>
  <si>
    <t>corner cell in connected component in grid can become disjoint after remove adjacent in 2 move only</t>
  </si>
  <si>
    <t>Maximum or minimum in all subarray some----&gt; stack left maxi or mini help</t>
  </si>
  <si>
    <t>if gcd of the numbers is one---&gt; we can generate any number by ax+by</t>
  </si>
  <si>
    <t>gcd--&gt; prime--&gt; factor --etc---&gt; prime factorisation</t>
  </si>
  <si>
    <t>maximum prime count if value x--&gt; like x=10^9--&gt; prime fac--&gt; unique prime --&gt; maximum count??----&gt; ans=9---&gt; try to multiply small prime(greedy)=2*3*5*7*11*13*17*19*23*29&gt;x</t>
  </si>
  <si>
    <t>https://codeforces.com/contest/510/problem/D</t>
  </si>
  <si>
    <t>if dp+mask---&gt; don't return total sum----&gt; it will give error--&gt; coz, dp--&gt; at this state of mask and index find result--&gt; not total</t>
  </si>
  <si>
    <t>if subset such that gcd==1,  means if any number in the subset then atleast one number exist who is not divisible by prime factor of chossen number</t>
  </si>
  <si>
    <t>try to solve constructive problem by small to big find pattern</t>
  </si>
  <si>
    <t xml:space="preserve">how to do summation of summation --&gt;( https://codeforces.com/problemset/problem/223/C) </t>
  </si>
  <si>
    <t>we want to find xor mean for each bit of result either it will be one or zero. For each bit we wil check whether it will set or not--&gt; how--&gt; find the count of no. of pair such that their sum have kth bit set--&gt; if this  is odd then kth bit of result will be set else not.. ---&gt; but how to count in less than n^2---&gt; since we know that sum will not be affected by&gt;= k+1 bits so do them zero all-----&gt; now every no. &lt;2^(k+1)---&gt; we want kth bit set of ai+bj---&gt; sum should be &gt;=2^k  and &lt;2^(k+1)  (no carry) case  and sum&gt;=2^k+1 +2^k  and &lt; 2^k+2  ---&gt; with carry===== count these number check even odd</t>
  </si>
  <si>
    <t>if we do sum in binary then kth sum bit is not affected by k+1 bits in both number</t>
  </si>
  <si>
    <t>Tree for interview /  gfg lc iw</t>
  </si>
  <si>
    <t>Dp for interview(leetcode list)</t>
  </si>
  <si>
    <t>tranversal</t>
  </si>
  <si>
    <t>iterative ---&gt; preorder , inorder ,postorder</t>
  </si>
  <si>
    <t>https://www.geeksforgeeks.org/print-postorder-from-given-inorder-and-preorder-traversals/</t>
  </si>
  <si>
    <t>declaring global variable speeds up</t>
  </si>
  <si>
    <t>whenever string comes complexity can bs 26*n</t>
  </si>
  <si>
    <t>prime factorisation of number can be found in logn time with sieve precomputation int nloglogn (smallest prime factor)</t>
  </si>
  <si>
    <t>to find next lexicographical string(satisfy some condition)---&gt; go from right increase some char sort all character right to this check satisfying</t>
  </si>
  <si>
    <t>https://codeforces.com/contest/1493/problem/D</t>
  </si>
  <si>
    <t>for deleting element in multi set find the lower bound of element and delete it</t>
  </si>
  <si>
    <t>lowerbound---&gt; find&gt;=val…..........................upper_bound--&gt; find&gt;val  else ----&gt; end.</t>
  </si>
  <si>
    <t>https://www.hackerearth.com/practice/data-structures/advanced-data-structures/segment-trees/practice-problems/algorithm/tree-queries-4-044903fe/</t>
  </si>
  <si>
    <t>https://www.hackerearth.com/submission/54744148/</t>
  </si>
  <si>
    <t>Segment tree can be used as------&gt; two find maximum segment segment query</t>
  </si>
  <si>
    <t>Segment tree can be used as------&gt; query of  finding the least index I for which a[i]&gt;x------&gt; https://www.hackerearth.com/submission/54825971/</t>
  </si>
  <si>
    <t>base change</t>
  </si>
  <si>
    <t>https://atcoder.jp/contests/abc194/tasks/abc194_f</t>
  </si>
  <si>
    <t>in digit dp---&gt; three things are required---&gt; index,tight, some previous matching condition(mask, sum etc.)</t>
  </si>
  <si>
    <t>https://codeforces.com/contest/1493/problem/E</t>
  </si>
  <si>
    <t>wheneve there is question like count subsequece of some pattern in linear time ----&gt; think like if I am at this index how many subsequence till here</t>
  </si>
  <si>
    <t>find the  count of number upto n whose digit or binary ----&gt; try to think in digit dp</t>
  </si>
  <si>
    <t>whenever there is question like find pair, subarrar etc like ai+aj=ak+al  etc  try to manipulate equation and solve by thing like prefix sum</t>
  </si>
  <si>
    <t>if we are able to find where we have to go left or right then we can use binary search</t>
  </si>
  <si>
    <t>when question is sum check the maximum value of array solution may be from that</t>
  </si>
  <si>
    <t>if we have to find out the subset then we can change array else if subsequence or subarray then we cannot change(like sort etc)</t>
  </si>
  <si>
    <t>https://codeforces.com/problemset/problem/274/B</t>
  </si>
  <si>
    <t>https://codeforces.com/problemset/problem/1446/C</t>
  </si>
  <si>
    <t>https://codeforces.com/problemset/problem/1420/D</t>
  </si>
  <si>
    <t>https://codeforces.com/problemset/problem/1495/B</t>
  </si>
  <si>
    <t>remember every number is sum of powers of two</t>
  </si>
  <si>
    <t>go from bottom to up---&gt; image we have sort the leave as their value ---&gt; make bottom layer equal to greatest value---&gt; make them all zero---&gt; now leave become zero and do recursively---&gt; now think how can be implement from bottom to up ---&gt; draw on see---&gt; root---&gt; suppose we incre. i1 ,i2 on child and i1&lt;i2 it means---&gt; on root---&gt; it will incre. up i1 on both  branch then i1-i2 on single breach therfor we will take maximum increment and decrement</t>
  </si>
  <si>
    <t>learn implementation its useful</t>
  </si>
  <si>
    <t>https://codeforces.com/problemset/problem/1433/F</t>
  </si>
  <si>
    <t>xor of two value minimum when most significant bit same------&gt; maximum when most significant bit different</t>
  </si>
  <si>
    <t>https://codeforces.com/problemset/problem/1025/D</t>
  </si>
  <si>
    <t>https://codeforces.com/problemset/problem/1370/E</t>
  </si>
  <si>
    <t>if point are given one deal can be put all point as pair as x-axis,0 and y-axis,1-----&gt; sort  if zero adding else remove----&gt;this is good way to deal  with segment</t>
  </si>
  <si>
    <t>learn implement</t>
  </si>
  <si>
    <t>to find no. of sequence alternate in binary string ----&gt; do initialise last se value variabel and do -----&gt;https://codeforces.com/problemset/problem/1370/E</t>
  </si>
  <si>
    <t>whever there is problem relater to construction of  bst bt etc try to do recursively then try dp on it------&gt;https://codeforces.com/problemset/problem/1025/D</t>
  </si>
  <si>
    <t>dp--&gt;n^4 easy but how to optimise see--&gt; learn to to reduce state--&gt;instead of reduce state we can use bitset check out the solution (with visited array)---&gt; see diff pre space=1300 mb and this 45 mb :D</t>
  </si>
  <si>
    <t>if matrix is given if you know how to solve if row=1,,   then imagine matrix as the linear array then solve---&gt;https://codeforces.com/contest/1433/problem/F</t>
  </si>
  <si>
    <t>when there is question like find maximum by doing some choise try to solve by finding all with set or prefix or suffix----&gt;https://codeforces.com/contest/1499/problem/C</t>
  </si>
  <si>
    <t>https://codeforces.com/contest/1499/problem/D</t>
  </si>
  <si>
    <t>https://codeforces.com/contest/1499/problem/E</t>
  </si>
  <si>
    <t>https://codeforces.com/problemset/problem/1364/D</t>
  </si>
  <si>
    <t>https://codeforces.com/problemset/problem/1278/D</t>
  </si>
  <si>
    <t>https://codeforces.com/problemset/problem/1223/E</t>
  </si>
  <si>
    <t>https://codeforces.com/problemset/problem/1217/D</t>
  </si>
  <si>
    <t>https://codeforces.com/problemset/problem/1187/E</t>
  </si>
  <si>
    <t>https://codeforces.com/problemset/problem/734/E</t>
  </si>
  <si>
    <t>https://codeforces.com/problemset/problem/912/D</t>
  </si>
  <si>
    <t>https://codeforces.com/problemset/problem/960/D</t>
  </si>
  <si>
    <t>https://codeforces.com/problemset/problem/229/D</t>
  </si>
  <si>
    <t>https://codeforces.com/problemset/problem/56/D</t>
  </si>
  <si>
    <t>https://codeforces.com/problemset/problem/386/D</t>
  </si>
  <si>
    <t>https://codeforces.com/problemset/problem/551/D</t>
  </si>
  <si>
    <t>https://codeforces.com/problemset/problem/1163/D</t>
  </si>
  <si>
    <t>https://codeforces.com/problemset/problem/767/D</t>
  </si>
  <si>
    <t>https://codeforces.com/problemset/problem/762/C</t>
  </si>
  <si>
    <t>https://codeforces.com/problemset/problem/1167/E</t>
  </si>
  <si>
    <t>https://codeforces.com/problemset/problem/1366/E</t>
  </si>
  <si>
    <t>https://codeforces.com/problemset/problem/992/D</t>
  </si>
  <si>
    <t>https://codeforces.com/problemset/problem/103/D</t>
  </si>
  <si>
    <t>https://codeforces.com/problemset/problem/1056/E</t>
  </si>
  <si>
    <t>https://codeforces.com/problemset/problem/295/C</t>
  </si>
  <si>
    <t>https://codeforces.com/problemset/problem/796/D</t>
  </si>
  <si>
    <t>https://codeforces.com/problemset/problem/852/D</t>
  </si>
  <si>
    <t>https://codeforces.com/problemset/problem/793/D</t>
  </si>
  <si>
    <t>https://codeforces.com/problemset/problem/632/D</t>
  </si>
  <si>
    <t>https://codeforces.com/problemset/problem/799/D</t>
  </si>
  <si>
    <t>https://codeforces.com/problemset/problem/1433/G</t>
  </si>
  <si>
    <t>https://codeforces.com/problemset/problem/145/C</t>
  </si>
  <si>
    <t>https://codeforces.com/problemset/problem/282/D</t>
  </si>
  <si>
    <t>https://codeforces.com/problemset/problem/466/D</t>
  </si>
  <si>
    <t>https://codeforces.com/problemset/problem/39/C</t>
  </si>
  <si>
    <t>https://codeforces.com/problemset/problem/362/D</t>
  </si>
  <si>
    <t>https://codeforces.com/problemset/problem/269/C</t>
  </si>
  <si>
    <t>https://codeforces.com/problemset/problem/226/D</t>
  </si>
  <si>
    <t>https://codeforces.com/problemset/problem/76/B</t>
  </si>
  <si>
    <t>https://codeforces.com/problemset/problem/1250/C</t>
  </si>
  <si>
    <t>https://codeforces.com/problemset/problem/1158/C</t>
  </si>
  <si>
    <t>https://codeforces.com/problemset/problem/909/D</t>
  </si>
  <si>
    <t>https://codeforces.com/problemset/problem/877/D</t>
  </si>
  <si>
    <t>https://codeforces.com/problemset/problem/754/D</t>
  </si>
  <si>
    <t>https://codeforces.com/problemset/problem/703/D</t>
  </si>
  <si>
    <t>https://codeforces.com/problemset/problem/343/D</t>
  </si>
  <si>
    <t>https://codeforces.com/problemset/problem/372/C</t>
  </si>
  <si>
    <t>https://codeforces.com/problemset/problem/228/D</t>
  </si>
  <si>
    <t>https://codeforces.com/problemset/problem/771/C</t>
  </si>
  <si>
    <t>https://codeforces.com/problemset/problem/1387/B1</t>
  </si>
  <si>
    <t>https://codeforces.com/problemset/problem/238/C</t>
  </si>
  <si>
    <t>https://codeforces.com/problemset/problem/543/B</t>
  </si>
  <si>
    <t>https://codeforces.com/problemset/problem/507/E</t>
  </si>
  <si>
    <t>when there is modulo like x%m=y------&gt; try to think by solving equation -----&gt;  x=nm+y</t>
  </si>
  <si>
    <t>when point----&gt; think line sweep it works with set</t>
  </si>
  <si>
    <t>graph cycle</t>
  </si>
  <si>
    <t>graph cycle length, color</t>
  </si>
  <si>
    <t>dp tree</t>
  </si>
  <si>
    <t>sweep line</t>
  </si>
  <si>
    <t xml:space="preserve">dp </t>
  </si>
  <si>
    <t xml:space="preserve">sweep line---&gt; vector pair----&gt; sort----&gt; set left---&gt; </t>
  </si>
  <si>
    <t>TLE</t>
  </si>
  <si>
    <t>If you are doing some subarray question like prefix---&gt; if not possible due to some constraint it means contraints can help to make solution--&gt;https://codeforces.com/contest/992/problem/D</t>
  </si>
  <si>
    <t>constraint imp.</t>
  </si>
  <si>
    <t>if you have tried greedy it seems not work--&gt; it means we have to see all possibility ----&gt; dp</t>
  </si>
  <si>
    <t>if you are doing greedy on two aray with two pointer but it not workign it means---&gt; we have to see all possilbility ---&gt; but if in linear time----&gt; logis--&gt; see all combination of prefixes for these two array---&gt; this is logic for this particular type questoinS----.https://codeforces.com/contest/1475/problem/D---&gt; tc---&gt; linear or nlogn---&gt;linear two pointer</t>
  </si>
  <si>
    <t>https://codeforces.com/problemset/problem/1307/D</t>
  </si>
  <si>
    <t>https://codeforces.com/problemset/problem/1251/D</t>
  </si>
  <si>
    <t>https://codeforces.com/problemset/problem/1153/D</t>
  </si>
  <si>
    <t>https://codeforces.com/problemset/problem/222/D</t>
  </si>
  <si>
    <t>https://codeforces.com/problemset/problem/965/D</t>
  </si>
  <si>
    <t>https://codeforces.com/problemset/problem/1205/B</t>
  </si>
  <si>
    <t>https://codeforces.com/problemset/problem/792/D</t>
  </si>
  <si>
    <t>https://codeforces.com/problemset/problem/417/D</t>
  </si>
  <si>
    <t>https://codeforces.com/problemset/problem/1375/D</t>
  </si>
  <si>
    <t>https://codeforces.com/problemset/problem/1228/D</t>
  </si>
  <si>
    <t>https://codeforces.com/problemset/problem/1200/D</t>
  </si>
  <si>
    <t>https://codeforces.com/problemset/problem/1155/D</t>
  </si>
  <si>
    <t>https://codeforces.com/problemset/problem/982/D</t>
  </si>
  <si>
    <t>https://codeforces.com/problemset/problem/476/D</t>
  </si>
  <si>
    <t>https://codeforces.com/problemset/problem/622/D</t>
  </si>
  <si>
    <t>https://codeforces.com/problemset/problem/862/C</t>
  </si>
  <si>
    <t>https://codeforces.com/problemset/problem/1467/C</t>
  </si>
  <si>
    <t>https://codeforces.com/problemset/problem/1081/E</t>
  </si>
  <si>
    <t>https://codeforces.com/problemset/problem/1400/D</t>
  </si>
  <si>
    <t>https://codeforces.com/problemset/problem/1017/D</t>
  </si>
  <si>
    <t>https://codeforces.com/problemset/problem/914/D</t>
  </si>
  <si>
    <t>https://codeforces.com/problemset/problem/893/D</t>
  </si>
  <si>
    <t>https://codeforces.com/problemset/problem/796/C</t>
  </si>
  <si>
    <t>https://codeforces.com/problemset/problem/724/D</t>
  </si>
  <si>
    <t>https://codeforces.com/problemset/problem/566/D</t>
  </si>
  <si>
    <t>https://codeforces.com/problemset/problem/292/D</t>
  </si>
  <si>
    <t>https://codeforces.com/problemset/problem/421/D</t>
  </si>
  <si>
    <t>https://codeforces.com/problemset/problem/1214/D</t>
  </si>
  <si>
    <t>https://codeforces.com/problemset/problem/1305/D</t>
  </si>
  <si>
    <t>https://codeforces.com/problemset/problem/949/C</t>
  </si>
  <si>
    <t>https://codeforces.com/problemset/problem/750/D</t>
  </si>
  <si>
    <t>https://codeforces.com/problemset/problem/722/D</t>
  </si>
  <si>
    <t>https://codeforces.com/problemset/problem/490/D</t>
  </si>
  <si>
    <t>https://codeforces.com/problemset/problem/463/D</t>
  </si>
  <si>
    <t>https://codeforces.com/problemset/problem/448/C</t>
  </si>
  <si>
    <t>https://codeforces.com/problemset/problem/817/D</t>
  </si>
  <si>
    <t>https://codeforces.com/problemset/problem/9/D</t>
  </si>
  <si>
    <t>https://codeforces.com/problemset/problem/41/D</t>
  </si>
  <si>
    <t>https://codeforces.com/problemset/problem/19/B</t>
  </si>
  <si>
    <t>https://codeforces.com/problemset/problem/149/D</t>
  </si>
  <si>
    <t>https://codeforces.com/problemset/problem/208/B</t>
  </si>
  <si>
    <t>https://codeforces.com/problemset/problem/222/E</t>
  </si>
  <si>
    <t>https://codeforces.com/problemset/problem/404/D</t>
  </si>
  <si>
    <t>https://codeforces.com/problemset/problem/682/D</t>
  </si>
  <si>
    <t>https://codeforces.com/problemset/problem/687/C</t>
  </si>
  <si>
    <t>https://codeforces.com/problemset/problem/811/C</t>
  </si>
  <si>
    <t>https://codeforces.com/problemset/problem/1012/C</t>
  </si>
  <si>
    <t>https://codeforces.com/problemset/problem/1114/D</t>
  </si>
  <si>
    <t>https://codeforces.com/problemset/problem/1197/D</t>
  </si>
  <si>
    <t>https://codeforces.com/problemset/problem/109/C</t>
  </si>
  <si>
    <t>https://codeforces.com/problemset/problem/437/D</t>
  </si>
  <si>
    <t>https://codeforces.com/problemset/problem/1095/F</t>
  </si>
  <si>
    <t>https://codeforces.com/problemset/problem/1245/D</t>
  </si>
  <si>
    <t>https://codeforces.com/problemset/problem/1482/D</t>
  </si>
  <si>
    <t>https://codeforces.com/problemset/problem/144/D</t>
  </si>
  <si>
    <t>https://codeforces.com/problemset/problem/327/D</t>
  </si>
  <si>
    <t>https://codeforces.com/problemset/problem/550/D</t>
  </si>
  <si>
    <t>https://codeforces.com/problemset/problem/780/D</t>
  </si>
  <si>
    <t>https://codeforces.com/problemset/problem/832/D</t>
  </si>
  <si>
    <t>https://codeforces.com/problemset/problem/1436/D</t>
  </si>
  <si>
    <t>https://codeforces.com/problemset/problem/22/D</t>
  </si>
  <si>
    <t>https://codeforces.com/problemset/problem/215/D</t>
  </si>
  <si>
    <t>https://codeforces.com/problemset/problem/343/C</t>
  </si>
  <si>
    <t>https://codeforces.com/problemset/problem/457/B</t>
  </si>
  <si>
    <t>https://codeforces.com/problemset/problem/803/D</t>
  </si>
  <si>
    <t>https://codeforces.com/problemset/problem/1175/D</t>
  </si>
  <si>
    <t>https://codeforces.com/problemset/problem/1260/D</t>
  </si>
  <si>
    <t>https://codeforces.com/problemset/problem/1348/D</t>
  </si>
  <si>
    <t>https://codeforces.com/problemset/problem/1428/D</t>
  </si>
  <si>
    <t>https://codeforces.com/problemset/problem/1272/E</t>
  </si>
  <si>
    <t>https://codeforces.com/problemset/problem/472/D</t>
  </si>
  <si>
    <t>https://codeforces.com/problemset/problem/20/C</t>
  </si>
  <si>
    <t>https://codeforces.com/problemset/problem/14/D</t>
  </si>
  <si>
    <t>https://codeforces.com/problemset/problem/1105/D</t>
  </si>
  <si>
    <t>https://codeforces.com/problemset/problem/1421/D</t>
  </si>
  <si>
    <t>https://codeforces.com/problemset/problem/208/C</t>
  </si>
  <si>
    <t>https://codeforces.com/problemset/problem/558/C</t>
  </si>
  <si>
    <t>https://codeforces.com/problemset/problem/190/D</t>
  </si>
  <si>
    <t>https://codeforces.com/problemset/problem/1342/D</t>
  </si>
  <si>
    <t>https://codeforces.com/problemset/problem/1168/B</t>
  </si>
  <si>
    <t>https://codeforces.com/problemset/problem/650/B</t>
  </si>
  <si>
    <t>https://codeforces.com/problemset/problem/1042/D</t>
  </si>
  <si>
    <t>https://codeforces.com/problemset/problem/853/B</t>
  </si>
  <si>
    <t>https://codeforces.com/problemset/problem/1409/E</t>
  </si>
  <si>
    <t>https://codeforces.com/problemset/problem/1133/E</t>
  </si>
  <si>
    <t>https://codeforces.com/problemset/problem/371/D</t>
  </si>
  <si>
    <t>https://codeforces.com/problemset/problem/1244/D</t>
  </si>
  <si>
    <t>https://codeforces.com/problemset/problem/1401/D</t>
  </si>
  <si>
    <t>https://codeforces.com/problemset/problem/675/D</t>
  </si>
  <si>
    <t>https://codeforces.com/problemset/problem/1076/D</t>
  </si>
  <si>
    <t>https://codeforces.com/problemset/problem/1081/D</t>
  </si>
  <si>
    <t>https://codeforces.com/problemset/problem/1283/D</t>
  </si>
  <si>
    <t>https://codeforces.com/problemset/problem/187/B</t>
  </si>
  <si>
    <t>https://codeforces.com/problemset/problem/33/B</t>
  </si>
  <si>
    <t>https://codeforces.com/problemset/problem/67/B</t>
  </si>
  <si>
    <t>https://codeforces.com/problemset/problem/358/D</t>
  </si>
  <si>
    <t>https://codeforces.com/problemset/problem/363/D</t>
  </si>
  <si>
    <t>https://codeforces.com/problemset/problem/612/D</t>
  </si>
  <si>
    <t>https://codeforces.com/problemset/problem/725/D</t>
  </si>
  <si>
    <t>https://codeforces.com/problemset/problem/727/D</t>
  </si>
  <si>
    <t>https://codeforces.com/problemset/problem/777/D</t>
  </si>
  <si>
    <t>https://codeforces.com/problemset/problem/747/D</t>
  </si>
  <si>
    <t>https://codeforces.com/problemset/problem/822/D</t>
  </si>
  <si>
    <t>https://codeforces.com/problemset/problem/802/B</t>
  </si>
  <si>
    <t>https://codeforces.com/problemset/problem/913/D</t>
  </si>
  <si>
    <t>https://codeforces.com/problemset/problem/922/D</t>
  </si>
  <si>
    <t>https://codeforces.com/problemset/problem/1136/D</t>
  </si>
  <si>
    <t>https://codeforces.com/problemset/problem/1148/D</t>
  </si>
  <si>
    <t>https://codeforces.com/problemset/problem/1227/D2</t>
  </si>
  <si>
    <t>https://codeforces.com/problemset/problem/1367/D</t>
  </si>
  <si>
    <t>https://codeforces.com/problemset/problem/665/D</t>
  </si>
  <si>
    <t>https://codeforces.com/problemset/problem/610/C</t>
  </si>
  <si>
    <t>https://codeforces.com/problemset/problem/1090/D</t>
  </si>
  <si>
    <t>https://codeforces.com/problemset/problem/1334/D</t>
  </si>
  <si>
    <t>https://codeforces.com/contest/1498/problem/B------&gt;  if a+b+c+d….&gt;=x  ,  suppose all number power of 2 and maximum value in left &lt;= x and sum on left&gt;= x- and a&gt;=b&gt;=c&gt;=d&gt;…. And x&gt;=a   then-------&gt; there will be some index i such that a+b+c…(upto I count)=x-------&gt; intuition-----&gt;suppose we sort left non increasing order so right now on left sequence will be like val1,freq1 | val2,freq2------&gt; since x is pow of 2 it will break into first val1 with frequency freq1, remove that value then break in val2 with freq2 and so since left sum &gt;= x ,, at some some it will be equal to x.</t>
  </si>
  <si>
    <t>when directed graph given and it tell find the mini etc if we change direstion of graph======&gt; think make edge in opposite direction with weight think think in shortest path.</t>
  </si>
  <si>
    <t>https://codeforces.com/problemset/problem/605/C</t>
  </si>
  <si>
    <t>https://codeforces.com/contest/852/problem/D</t>
  </si>
  <si>
    <t>https://codeforces.com/problemset/problem/546/E</t>
  </si>
  <si>
    <t>https://codeforces.com/problemset/problem/498/C</t>
  </si>
  <si>
    <t>https://codeforces.com/contest/231/problem/E</t>
  </si>
  <si>
    <t>https://codeforces.com/contest/19/problem/E</t>
  </si>
  <si>
    <t>https://codeforces.com/contest/858/problem/F</t>
  </si>
  <si>
    <t>https://codeforces.com/contest/412/problem/D</t>
  </si>
  <si>
    <t>https://codeforces.com/contest/107/problem/D</t>
  </si>
  <si>
    <t>https://codeforces.com/problemset/problem/696/D</t>
  </si>
  <si>
    <t>https://codeforces.com/problemset/problem/718/C</t>
  </si>
  <si>
    <t>https://codeforces.com/contest/147/problem/B</t>
  </si>
  <si>
    <t>https://codeforces.com/contest/888/problem/E</t>
  </si>
  <si>
    <t>https://codeforces.com/contest/51/problem/E</t>
  </si>
  <si>
    <t>https://codeforces.com/contest/894/problem/E</t>
  </si>
  <si>
    <t>https://codeforces.com/contest/22/problem/E</t>
  </si>
  <si>
    <t>https://www.spoj.com/problems/SUBMERGE/</t>
  </si>
  <si>
    <t>https://www.spoj.com/problems/GRAFFDEF/</t>
  </si>
  <si>
    <t>https://codeforces.com/contest/732/problem/F</t>
  </si>
  <si>
    <t>https://codeforces.com/contest/118/problem/E</t>
  </si>
  <si>
    <t>if there is problem like fill grid with color so no adjacent same----&gt; think two coloring of grid----&gt; if three color----&gt; (white,black)----&gt; either white or black all with one color and other cells fill with two color</t>
  </si>
  <si>
    <t>balanced string ----&gt; take open=+1, close= -1,   if at any instance sum&lt;0  not possible----&gt; do all balance question on this intuition</t>
  </si>
  <si>
    <t>where ever range query for update ----&gt; think offline query with mo algotihrn( sort + two pointer+ linear time)</t>
  </si>
  <si>
    <t>where there is question like do some operation in grid----&gt; but don’t know where to start----&gt; find point some uniques property like highes , lowest degree put all those point do bfs l ike https://codeforces.com/contest/515/problem/D,,,,https://www.programmersought.com/article/133377154/----- also the question with dijs in kick start round a 2021</t>
  </si>
  <si>
    <t>when there is situation like two array we can take x from one and (k-x) forom other where k is constant ==== solution iteration value of x zero to k    https://codeforces.com/contest/1291/problem/C</t>
  </si>
  <si>
    <t>when there is matrix and we have to construct or fill matrix such that (let say binary grid)---&gt; no. of ones in row=a and no. of ones in col=b-----&gt; then fill a in first row and fill in other row by shft https://codeforces.com/contest/1360/problem/G</t>
  </si>
  <si>
    <t>see code</t>
  </si>
  <si>
    <t>https://leetcode.com/problems/coin-change/</t>
  </si>
  <si>
    <t>do it top donw</t>
  </si>
  <si>
    <t>REMEMBER THE DP TO REACH N === IF DIFFERENT SET PUT STEP FIRST THEN N,,, IF ALL = PUT NUMBER FIRST THEN STEP=====&gt; SAME LOGIC IF OTHER QUESTION</t>
  </si>
  <si>
    <t>good need to implement more times</t>
  </si>
  <si>
    <t xml:space="preserve">check it out we have to same tree exactly height x===&gt; means one of two chile should have height x----&gt;   </t>
  </si>
  <si>
    <t xml:space="preserve">https://codeforces.com/contest/1512/problem/F----- some time there operation like either we have to go right index or stay at current index====&gt; greedy think if we have to move right then no way to stop at current place for a while then go </t>
  </si>
  <si>
    <t>grid is given operation ------&gt;   invert the color ------&gt; let operation at index  I,j -------&gt; now all cell from  I,I to I,j   and all cell from j,j to I,j --------&gt; will change the color(0-&gt;1,1-&gt;0)======then pattern will like divide the grid in two parts upper diagonal and lower diagonal and the operaton will be like if we are in lower diagonal----&gt; at i,j---&gt; invert all up to diagonal cell and right to diagonal cell,,,,,,,,,in the same way upper diagonal------&gt; i,j---&gt; invert left to diagonal cell and down to diagonal cell---&gt; it mean that all change in upper diagonal will only be done by operation in upper diagonal and vice versa</t>
  </si>
  <si>
    <t>when question like find the subset of length l such that sum is equal to given sum(but twist is that you can use number 1 to n &amp; l,r&gt;=&lt;=n) ----&gt; so general dp solution is one way=== but optimised==== since minisum sum will be  len=r-l+1   len*(len+1)/2===== if this sum is less than require then move the right most taken to right increase its value do for all unitill sum equal</t>
  </si>
  <si>
    <t>if the string is binary====&gt; count of zero and count of one == (n/2,n/2) (&gt;n/2, &lt;n/2) (&lt;n/2, &gt;n/2)</t>
  </si>
  <si>
    <t>when we have to find the mini differ array===sort give idea</t>
  </si>
  <si>
    <t>https://codeforces.com/contest/1509/problem/F</t>
  </si>
  <si>
    <t xml:space="preserve">  if   gcd(a*b*c…, n)  == 1  =======&gt; a,b,c… must be coprime with n because  if not gcd(a*b*c….,n) !=1,,,  </t>
  </si>
  <si>
    <t>https://codeforces.com/contest/1514/problem/D</t>
  </si>
  <si>
    <t>when we have to find the no. of subarray or no. of ranges or no. of pair==== in linear time=====&gt; think like if we select some range====&gt; and it satisfy the condition === may be all range greater than r and less than l also satisfiedhttps://www.codechef.com/problems/DELSORT</t>
  </si>
  <si>
    <t>in the tree  even distance === if two node at same parity level( even even  or odd odd or even at same level) and odd distance at different parity level like(odd even, even odd)</t>
  </si>
  <si>
    <t>when there is product and it going too large we can make product===addition in log</t>
  </si>
  <si>
    <t>technique to think === think last situation like how this array would look like?</t>
  </si>
  <si>
    <t>when the constructive question related to matrix think in term of degree ,, might start with less degree (fixed move)</t>
  </si>
  <si>
    <t>given array of all element is even and they can be partition in two such that sum equal====&gt;  quesrtion====&gt; remove one element so that sum not eqla=====&gt; find gcd divide element with gcd==&gt; remove element which become odd after dividing</t>
  </si>
  <si>
    <t>when we have to do something with subaaray it means we have to do with prefix and suffix</t>
  </si>
  <si>
    <t>suppose we have to go from one index to other index and in worst case index connected as 1-2-3-4-5-6-7====&gt; it will took linear time====&gt; logn===&gt; binary lift=&gt; find the differ of distance like 1-7=6===&gt; do binary lifting in binary of differ of distance https://codeforces.com/problemset/problem/1516/D</t>
  </si>
  <si>
    <t>normal-&gt; 2*n comparision,  optimise=1.5n---&gt; take two value find mx and mi and up gmx and gmi n/2 * 3</t>
  </si>
  <si>
    <t>https://leetcode.com/problems/kth-largest-element-in-an-array/discuss/60294/Solution-explained</t>
  </si>
  <si>
    <t>most of time you do error in grid question when given n,m you assume n,n</t>
  </si>
  <si>
    <t>do offline query sort query by value then insert upto val find mx do this …..</t>
  </si>
  <si>
    <t>recursive search all value if able to find prefix</t>
  </si>
  <si>
    <t>https://leetcode.com/problems/reorganize-string/</t>
  </si>
  <si>
    <t>&lt;-&gt;check it implementation</t>
  </si>
  <si>
    <t>greey see concept</t>
  </si>
  <si>
    <t>assume min as random now heapify it&lt;-&gt;</t>
  </si>
  <si>
    <t>I know n^2logk   ----&gt; that is pretty straight forward-</t>
  </si>
  <si>
    <t>&lt;-&gt;need only one point top</t>
  </si>
  <si>
    <t xml:space="preserve">  implement fromback</t>
  </si>
  <si>
    <t>can be done with stack and simple move from end</t>
  </si>
  <si>
    <t>reverse and insert at bottom</t>
  </si>
  <si>
    <t>sort the i+1 stack and put current value at valid position in stack</t>
  </si>
  <si>
    <t>https://leetcode.com/problems/merge-intervals/</t>
  </si>
  <si>
    <t>https://leetcode.com/problems/largest-rectangle-in-histogram/</t>
  </si>
  <si>
    <t>find with stack res=length-stack.size(</t>
  </si>
  <si>
    <t>&lt;-&gt;in these question one operation is linear</t>
  </si>
  <si>
    <t>pop==front of queue ,   when new elemnt insert at bottom of queue(recursiveliy) can be done in one queue</t>
  </si>
  <si>
    <t>assume that current stack is queue,now recursively fill the current element in front</t>
  </si>
  <si>
    <t>recursion ----&gt; linear time constatn space---&gt;recursively pop and when empty in back recusion fill it</t>
  </si>
  <si>
    <t>i know with extra space---&gt; took first k element pop form queue put in stack again puch in queue a/c to stack pop remaing elemnt n-k push directly in queue</t>
  </si>
  <si>
    <t>push first h/2 elemt to new queue now merge in third queue</t>
  </si>
  <si>
    <t>multi sourcs bfs</t>
  </si>
  <si>
    <t>&lt;-multi source bfs do with queue whrer all one&gt;</t>
  </si>
  <si>
    <t>&lt;-&gt;do the sliding window fill in queue index of neg. pop if ix less than less</t>
  </si>
  <si>
    <t>do like find the maximum in window of each size k</t>
  </si>
  <si>
    <t>linear time (frequency)&lt;-&gt;</t>
  </si>
  <si>
    <t>like find tha maxi in each window of size k</t>
  </si>
  <si>
    <t>problem of heap remove character form max. count&lt;-&gt;</t>
  </si>
  <si>
    <t>like next greater element stack</t>
  </si>
  <si>
    <t>fill the all value in queue upto current index , incerase current value freqency, check qlfront have one freq else pop unil get if empty - 1</t>
  </si>
  <si>
    <t>https://leetcode.com/problems/validate-stack-sequences/</t>
  </si>
  <si>
    <t>https://leetcode.com/problems/min-stack/</t>
  </si>
  <si>
    <t>&lt;-&gt;make array of top size stack and next size array</t>
  </si>
  <si>
    <t>make array top stack size and next array size===&gt; top will tell top index of stack, next tell either next from top or if free then  next free index</t>
  </si>
  <si>
    <t>same as stack but we also need here back array it will tell index of last element of queue</t>
  </si>
  <si>
    <t xml:space="preserve">open stack in ds see all </t>
  </si>
  <si>
    <t>put all value in stack from left to ri ght except character now check that inside bracket there is atleast one operator else redundant</t>
  </si>
  <si>
    <t>do dfs</t>
  </si>
  <si>
    <t>same as rat in matrix</t>
  </si>
  <si>
    <t>https://leetcode.com/problems/sudoku-solver/</t>
  </si>
  <si>
    <t>alerady leetcode</t>
  </si>
  <si>
    <t>https://leetcode.com/problems/palindrome-partitioning/</t>
  </si>
  <si>
    <t>don't do here dp&lt;-&gt;</t>
  </si>
  <si>
    <t>just see code onece</t>
  </si>
  <si>
    <t>read the question carefully it said mini bracket remove--see how can be solve it without using set</t>
  </si>
  <si>
    <t>see leetcode one unique</t>
  </si>
  <si>
    <t>in the coordinate axis how you move doesn't matter ,  matter is that you will move x in x-ais and y in y-axis in end</t>
  </si>
  <si>
    <t>https://leetcode.com/problems/reverse-nodes-in-k-group/</t>
  </si>
  <si>
    <t>https://leetcode.com/problems/linked-list-cycle-ii/</t>
  </si>
  <si>
    <t>https://leetcode.com/problems/intersection-of-two-linked-lists/</t>
  </si>
  <si>
    <t>https://leetcode.com/problems/sort-list/</t>
  </si>
  <si>
    <t>https://leetcode.com/problems/flatten-a-multilevel-doubly-linked-list/</t>
  </si>
  <si>
    <t>see solution, recursively merge all  leetcode and gfg are differn see both</t>
  </si>
  <si>
    <t>https://leetcode.com/problems/copy-list-with-random-pointer/</t>
  </si>
  <si>
    <t>https://leetcode.com/problems/merge-k-sorted-lists/</t>
  </si>
  <si>
    <t>https://leetcode.com/problems/remove-nth-node-from-end-of-list/</t>
  </si>
  <si>
    <t xml:space="preserve"> tail recursion---&gt; can be done in one pass---&gt; if next node&gt;cur swap delet else move</t>
  </si>
  <si>
    <t>remember the dummy node concept in linkedin list</t>
  </si>
  <si>
    <t>https://leetcode.com/problems/invert-binary-tree/</t>
  </si>
  <si>
    <t>iteration is important---&gt; optimal morris---&gt; stack</t>
  </si>
  <si>
    <t>iteration is important---&gt;stack</t>
  </si>
  <si>
    <t>iteration is important---&gt; do pre order root right left reverse the result</t>
  </si>
  <si>
    <t>map----&gt; trick is that how to do in linear time--&gt; one sol  unordered_map, find the most negative and most postivie element and later traverse and find value in ordered_map--&gt; editorial approach also good left + root +right</t>
  </si>
  <si>
    <t>map , lower level---&gt; trcik how to do in linear time , that make it hard---&gt; inthis just reverse the above, I mean ---&gt;</t>
  </si>
  <si>
    <t>travel left leaf right separately---&gt; check out solution left--&gt; head recursion print without leaf, right=tail recursion without leaf</t>
  </si>
  <si>
    <t>input is given in bad way just see two question editorial---see in all submission</t>
  </si>
  <si>
    <t>https://leetcode.com/problems/lowest-common-ancestor-of-a-binary-tree/</t>
  </si>
  <si>
    <t>learn its defination best case tc=min(n,m)--- worse(min(n,m))^2</t>
  </si>
  <si>
    <t xml:space="preserve">without using vector </t>
  </si>
  <si>
    <t>https://leetcode.com/problems/kth-ancestor-of-a-tree-node/</t>
  </si>
  <si>
    <t>see the leetcode link soled in both mrege and qhisk</t>
  </si>
  <si>
    <t>find the no. of nodes from morris traversal and find the kth node from morris traversal make two morris traversal fun ction</t>
  </si>
  <si>
    <t>REMAIN</t>
  </si>
  <si>
    <t xml:space="preserve">morris traversal </t>
  </si>
  <si>
    <t>serialize and deserialize</t>
  </si>
  <si>
    <t>interative inorder traversal</t>
  </si>
  <si>
    <t>think like left is balance and right is balance but the abs of height of difference is greater than one----&lt; figure out if height &gt;1 like big 4-5---&gt; using space is easy make sorted array and then make tree---&gt; want to do in constant space check out avl</t>
  </si>
  <si>
    <t>https://www.geeksforgeeks.org/tag/avl-tree/</t>
  </si>
  <si>
    <t>avl</t>
  </si>
  <si>
    <t>easy way to put in array sort generate(nlogn, n)---&gt; don know further optimisez</t>
  </si>
  <si>
    <t>do reverse inorderd and assig</t>
  </si>
  <si>
    <t>https://leetcode.com/problems/populating-next-right-pointers-in-each-node/</t>
  </si>
  <si>
    <t>https://www.geeksforgeeks.org/construct-all-possible-bsts-for-keys-1-to-n/</t>
  </si>
  <si>
    <t>https://practice.geeksforgeeks.org/problems/fixed-two-nodes-of-a-bst/1</t>
  </si>
  <si>
    <t>https://www.geeksforgeeks.org/inorder-successor-in-binary-search-tree/</t>
  </si>
  <si>
    <t>https://www.geeksforgeeks.org/inorder-tree-traversal-without-recursion-and-without-stack/</t>
  </si>
  <si>
    <t>https://practice.geeksforgeeks.org/problems/merge-two-bst-s/1</t>
  </si>
  <si>
    <t>https://www.geeksforgeeks.org/remove-bst-keys-outside-the-given-range/</t>
  </si>
  <si>
    <t>https://www.geeksforgeeks.org/reverse-tree-path/</t>
  </si>
  <si>
    <t>https://www.geeksforgeeks.org/shortest-distance-between-two-nodes-in-bst/</t>
  </si>
  <si>
    <t>https://www.geeksforgeeks.org/find-if-there-is-a-triplet-in-bst-that-adds-to-0/</t>
  </si>
  <si>
    <t>https://www.geeksforgeeks.org/check-if-removing-an-edge-can-divide-a-binary-tree-in-two-halves/</t>
  </si>
  <si>
    <t>https://www.geeksforgeeks.org/clone-binary-tree-random-pointers/</t>
  </si>
  <si>
    <t>https://www.geeksforgeeks.org/construct-tree-inorder-level-order-traversals/</t>
  </si>
  <si>
    <t>https://www.geeksforgeeks.org/construct-a-binary-tree-from-parent-array-representation/</t>
  </si>
  <si>
    <t>https://www.geeksforgeeks.org/construct-binary-tree-string-bracket-representation/</t>
  </si>
  <si>
    <t>https://www.geeksforgeeks.org/full-and-complete-binary-tree-from-given-preorder-and-postorder-traversals/</t>
  </si>
  <si>
    <t>https://www.geeksforgeeks.org/construct-full-k-ary-tree-preorder-traversal/</t>
  </si>
  <si>
    <t>https://www.geeksforgeeks.org/flip-binary-tree/</t>
  </si>
  <si>
    <t>https://www.geeksforgeeks.org/find-maximum-path-sum-two-leaves-binary-tree/</t>
  </si>
  <si>
    <t>https://www.geeksforgeeks.org/find-root-tree-children-id-sum-every-node-given/</t>
  </si>
  <si>
    <t>https://www.geeksforgeeks.org/creating-tree-left-child-right-sibling-representation/</t>
  </si>
  <si>
    <t>https://www.geeksforgeeks.org/convert-an-arbitrary-binary-tree-to-a-tree-that-holds-children-sum-property/</t>
  </si>
  <si>
    <t>https://www.geeksforgeeks.org/convert-tree-forest-even-nodes/</t>
  </si>
  <si>
    <t>https://www.geeksforgeeks.org/construct-tree-from-ancestor-matrix/</t>
  </si>
  <si>
    <t>https://www.geeksforgeeks.org/minimum-swap-required-convert-binary-tree-binary-search-tree/</t>
  </si>
  <si>
    <t>https://www.geeksforgeeks.org/serialize-deserialize-binary-tree/</t>
  </si>
  <si>
    <t>https://www.geeksforgeeks.org/remove-all-nodes-which-lie-on-a-path-having-sum-less-than-k/</t>
  </si>
  <si>
    <t>when ever there is situation like putting some value in current index it is affecting by left as well as right,  so solution may be like find prefix assuming on left affecting , same way suffex find max of both</t>
  </si>
  <si>
    <t>whenever we have to do something in graph/tree like we cannot the value/thing on the both end point of edge -----&gt; think the coloring of graph</t>
  </si>
  <si>
    <t>find the occurrence of index in sequence of fixed length https://codeforces.com/contest/1467/problem/D  ,,, image like index can be at any position of sequence so we need to sum up all at each postion. Now think at particular position no. of sequence wil be  no. of sequence of length i with end with i * no. of sequence of length remaning size start at i</t>
  </si>
  <si>
    <r>
      <t>whenever we no to find the m inimum operation so that array</t>
    </r>
    <r>
      <rPr>
        <sz val="14"/>
        <color theme="4"/>
        <rFont val="Arial"/>
        <family val="2"/>
      </rPr>
      <t xml:space="preserve"> </t>
    </r>
    <r>
      <rPr>
        <u/>
        <sz val="14"/>
        <color theme="4"/>
        <rFont val="Arial"/>
        <family val="2"/>
      </rPr>
      <t>strictly increase</t>
    </r>
    <r>
      <rPr>
        <sz val="14"/>
        <color rgb="FFFF0000"/>
        <rFont val="Arial"/>
        <family val="2"/>
      </rPr>
      <t xml:space="preserve">=====&gt;(in this situation answer will not be length - (LIS)(maximum strictly increasing seb.), because if consecutive two consecutive value have differ &lt; than the index value then it will not be optimal because we will have to fill distince element between then  like   1,-1,2 we have take 1,2 but it is not correct because 2 must be atleast 3 so that we can fill at place of -1)=========&gt; solution======&gt; ( </t>
    </r>
    <r>
      <rPr>
        <sz val="14"/>
        <color theme="4"/>
        <rFont val="Arial"/>
        <family val="2"/>
      </rPr>
      <t>subtract array with index, now ans will be (length-LIS)</t>
    </r>
    <r>
      <rPr>
        <sz val="14"/>
        <color rgb="FFFF0000"/>
        <rFont val="Arial"/>
        <family val="2"/>
      </rPr>
      <t xml:space="preserve"> where LIS maximum non decreasing subsequence,,because now if 1,-1,2 ===&gt; then we know that at -1 we can place same value as precious like 1 , even if 1,-1,1 then 1,1 will al optimal becoz we can fill 1 at place -1</t>
    </r>
  </si>
  <si>
    <t>whenever there is queastion like find the most optimal path in matrix/array from top to bottm end,  and operation decrease/increase the height/value,, then in optimal solution atleast one value in the path will be same as it was previous     …..   https://codeforces.com/contest/1328/problem/F(array)  ,,   https://codeforces.com/contest/1353/problem/F (matrix)</t>
  </si>
  <si>
    <t xml:space="preserve">suppose that we have dp of state three, len of string a,b,c,  but the dp is boolean, it will tell interleave of b and c is subsequenc of a,,, how to reduce state to two,   ======&gt;  make dp such that it will tell the length of lowest prefix of a so that it is interleave of i and j of b and c,, https://codeforces.com/contest/1303/problem/E  ,,,,  </t>
  </si>
  <si>
    <r>
      <t xml:space="preserve">general idea ,, if we want to reduce the state of dp ,, </t>
    </r>
    <r>
      <rPr>
        <sz val="14"/>
        <color rgb="FF002060"/>
        <rFont val="Arial"/>
        <family val="2"/>
      </rPr>
      <t xml:space="preserve"> then first we will take to check there should not be relation any of state, means all the state should be disjoint,,,,, second we can try to make one state of dp as solution of dp if possible</t>
    </r>
  </si>
  <si>
    <t>if we have operation like 1. reduce value at index I by x , 2. reduce range of l,r by one (each value have atleast one value [I,r])   ======&gt; it is optimal to take full range of one operation https://codeforces.com/contest/1400/problem/E,,, proof------&gt;   l,x x+r l,r======&gt; l,r l,x, x+1,r</t>
  </si>
  <si>
    <t>when ever you need to put element in array--&gt; doubly likedin list</t>
  </si>
  <si>
    <t>convert dll time = n^2</t>
  </si>
  <si>
    <t>find the lca , make it as root find the distance and add them</t>
  </si>
  <si>
    <t>dfs like back tracking</t>
  </si>
  <si>
    <t>iterative inorder</t>
  </si>
  <si>
    <t>morris traversal----&gt; instead of stack point pointer to inorder desceder</t>
  </si>
  <si>
    <t>notes</t>
  </si>
  <si>
    <t>https://leetcode.com/problems/recover-binary-search-tree/</t>
  </si>
  <si>
    <t>do it in constant space</t>
  </si>
  <si>
    <t>check the implementation---&gt;</t>
  </si>
  <si>
    <t>permutation cycle</t>
  </si>
  <si>
    <t>read it</t>
  </si>
  <si>
    <t>see also without map in notes</t>
  </si>
  <si>
    <t>can only increase the value</t>
  </si>
  <si>
    <t xml:space="preserve">I don't know linear solution , </t>
  </si>
  <si>
    <t>do levelorder traversal queue node ix l r see submission---&gt; linear time</t>
  </si>
  <si>
    <t>array of pointer then join</t>
  </si>
  <si>
    <t>do with recursion</t>
  </si>
  <si>
    <t>when ever there is graph problem with query like adding edge between two vertics and answer for each joing,, ,,,-====&gt; most of time it is solved by offline query , first make the graph then remove edge and answer the last query, or ans the query in reverse order</t>
  </si>
  <si>
    <t>some time graph of set is very useful</t>
  </si>
  <si>
    <t>when the changing of current index value (if we are going from left to right) , affecting the right value it means that , we need to thing where going from left to right solution will work or not: HACK====&gt;&gt; in MOST OF CASE DIVIDE AND CONQUER WORKS FINE  or find the prefix and suffix and try to combine them</t>
  </si>
  <si>
    <r>
      <t xml:space="preserve">intution of stack,  suppose we are standing at index i,  we have pushed all index upto i-1,  now either this index will do something with i-1 , else i-2 else i-3… suppose it do with i-1, then we will push current in stack,https://codeforces.com/contest/1523/problem/C -------&gt;   </t>
    </r>
    <r>
      <rPr>
        <b/>
        <sz val="14"/>
        <color rgb="FFFF0000"/>
        <rFont val="Arial"/>
        <family val="2"/>
      </rPr>
      <t>WHEN THE CONDITION LIKE LIST INSIDE LIST INSIDE LIST SEE PIC IN LINK</t>
    </r>
    <r>
      <rPr>
        <sz val="14"/>
        <color rgb="FFFF0000"/>
        <rFont val="Arial"/>
        <family val="2"/>
      </rPr>
      <t>.</t>
    </r>
  </si>
  <si>
    <t>whenever there is palindromic substrin gsubsequence two way of think either  interval dp type or manacher</t>
  </si>
  <si>
    <t>when ever there is query of substree ,  we can use euler tour with in out time then whatever like prefix sum etc.https://codeforces.com/contest/570/problem/D</t>
  </si>
  <si>
    <t>if there is bitwise problem check the maximum value of element it can be bitmask problem if max size if affordable</t>
  </si>
  <si>
    <t>in the array if total sum is S, then there will always be susequence whose sum &lt;=S/2  (take even or odd and check)</t>
  </si>
  <si>
    <t>for firguring out whether scc will be used in problem or not,  think the example with cycle. And think  example like compress scc make cycle and cycle is poitn to other point like this,, think example of compress scc.</t>
  </si>
  <si>
    <t>question like find the minimum movement to make all thing at continous ,, in array ------&gt; it become easy to think after converthinh thing in indices, because in continues they will have continus increasing indices.----&gt; t.------&gt; another trick we can put that indices in vector then think----&gt; solution greedy , put that value in other vector , node if we reduce form first k(sizeof thing),,, we will get array now if we think greedily , then it is good to increase the starting index if no. of negative after substracting from(scattered indices) &lt; than the no. of positive and zero.</t>
  </si>
  <si>
    <t>when given like  we need to do some operationn with three indices then it's a good idea to think like stick at each index and assume it as centre now see result to satify condition.</t>
  </si>
  <si>
    <t>when you have to go from any node to the root in logn time or have to go to root just think like we can do with binary lifting(tell the parent (2i the parent)</t>
  </si>
  <si>
    <t>whenever question of string/ number l ike find the largest number which is less than given number satisfy some condition----&gt; sol pattern------&gt; some prefix will be same let say k, now k+1 digit will decrease then after the k+1 all the digit can be change in any way to maximize the number and satisfy the condition    https://www.programmersought.com/article/89375955422/</t>
  </si>
  <si>
    <t xml:space="preserve"> Q</t>
  </si>
  <si>
    <t>the one of the important point of line sweep algorithm is the we just NEED TO FOCUS ON THE STARTING AND ENDING POINT OF INTERVAL ,we need not to travel inside the interval that save the time complexity</t>
  </si>
  <si>
    <t>in the sweep line when you move inside the interval you do repetitive work that why go only those point either they are opening or closing</t>
  </si>
  <si>
    <t>how to find the distinct set from the given arrays , such that the maximum of distinct set is as minimum as possible   https://codeforces.com/contest/722/submission/120407725</t>
  </si>
  <si>
    <t>for checking that shortest path code will work or not just stand on one node and check whether a/c to my code will the distance to this node will be optimal or not (like in bfs we can assume that no. of node will be same for all path but other constraint will the answer will not affect)</t>
  </si>
  <si>
    <t>string laxicographically    aaaa&gt;aaa     ab&gt;aaaab    aaabb&gt;aaab   but in number  if size not equal bigger size if big else    if equal then first differ from left is big that big  123 &lt; 133</t>
  </si>
  <si>
    <t>substring problem====&gt; map, prefix, two pointer ,sliding window , when atleast do binary search on window size then sliding window</t>
  </si>
  <si>
    <t>when question like remove element form array  make them equal think like what does it mean ,, try to solve in reverse order. ---&gt; think we we need to decrease only k element what will be effect on it</t>
  </si>
  <si>
    <t>when we have to sort the permutation by swapping adjancent element---&gt; then minimum swap required will be the inversion count of that permutation.</t>
  </si>
  <si>
    <t>manhattan distance imagine----&gt; a point on left bottom and a point on right top then distance will be same if you go right or up inside the rectangle made by these points.</t>
  </si>
  <si>
    <t>to find the unique shortest length prefix of given strings ------&gt; make trie----&gt; put depth ----&gt; do dfshttps://codeforces.com/contest/965/submission/124513696</t>
  </si>
  <si>
    <t>subarray + gcd , we can do binary search since gcd of subarry of size 10 &gt;1 then it is gauranteed that sz&lt;10 will also exist   https://codeforces.com/contest/1549/problem/D</t>
  </si>
  <si>
    <t>when there is question like we can do adjacent swap ,, think like we want to swap at I and j index means we are swapping I,j i+1,j …. So on.</t>
  </si>
  <si>
    <t xml:space="preserve">suppose we have string it can repetitve element like     aaccbaaacd--------&gt; operation swap adjacent-----&gt; question------&gt; min. no. of swap to make array like  abcd(all 'a' then all 'b' then all 'c  then all 'd)----&gt; solution     ----&gt; result=aaaaabcccd------&gt; find the cnt[i][j]----&gt; operation to make all count  two character adjacnent   assuming only these two exis----&gt; ab  ----&gt; aabaaa----&gt; cost----&gt;3.  after finding for all character----&gt; solution of abcd of aaccbaaacd-----&gt; aaaaabcccd will be sum of (current character to previous character of abcd)=ab.ac.bc,ad,bd,cd </t>
  </si>
  <si>
    <t>convert cyclic directed to directed acyclic-----&gt;by reverseing the edge----&gt; solution ---&gt;remove all edges  make topo----&gt; put topo count----&gt; for particular edge if u--&gt;v topocount of u&gt; topocount of v reverse the edge</t>
  </si>
  <si>
    <t>https://discuss.codechef.com/t/maxpali-editorial/96810</t>
  </si>
  <si>
    <t xml:space="preserve">given array we have to connect the index such that  and of two value &gt;0 (atleast one bitset) ----&gt; make graph there will be atmost 60*n edges---&gt; how----&gt; supose going from right to left, and at I, then we mainain the array(60) that tell what is the nearest index(from i going to right)  whose bit is set. then connect only to that index.  </t>
  </si>
  <si>
    <t>suppose we have given an array ,and we have to tell that whether there are two pair such that their gcd is 1, then take the gcd of all element if its not equal to 1 then no pair else atlest one pair will exist</t>
  </si>
  <si>
    <t xml:space="preserve">whenever there is thing we have to do with every root , then imagine in out dp, </t>
  </si>
  <si>
    <t xml:space="preserve">for check the of a value with array are in range of l , r , ---&gt; for this find min and max with trie </t>
  </si>
  <si>
    <t xml:space="preserve">segment tree, dijkstra,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</si>
</sst>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91">
    <font>
      <sz val="10"/>
      <color rgb="FF000000"/>
      <name val="Arial"/>
    </font>
    <font>
      <b/>
      <sz val="10"/>
      <name val="Arial"/>
    </font>
    <font>
      <sz val="10"/>
      <name val="Arial"/>
    </font>
    <font>
      <u/>
      <sz val="10"/>
      <color rgb="FF1155CC"/>
      <name val="Arial"/>
    </font>
    <font>
      <u/>
      <sz val="10"/>
      <color rgb="FF1155CC"/>
      <name val="Arial"/>
    </font>
    <font>
      <u/>
      <sz val="10"/>
      <color rgb="FF1155CC"/>
      <name val="Arial"/>
    </font>
    <font>
      <u/>
      <sz val="10"/>
      <color rgb="FF0000FF"/>
      <name val="Arial"/>
    </font>
    <font>
      <b/>
      <sz val="10"/>
      <color rgb="FF000000"/>
      <name val="Arial"/>
    </font>
    <font>
      <u/>
      <sz val="10"/>
      <color rgb="FF1155CC"/>
      <name val="Arial"/>
    </font>
    <font>
      <u/>
      <sz val="10"/>
      <color rgb="FF0000FF"/>
      <name val="Arial"/>
    </font>
    <font>
      <u/>
      <sz val="10"/>
      <color rgb="FF1155CC"/>
      <name val="Arial"/>
    </font>
    <font>
      <u/>
      <sz val="10"/>
      <color rgb="FF1155CC"/>
      <name val="Arial"/>
    </font>
    <font>
      <sz val="10"/>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i/>
      <sz val="1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b/>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sz val="10"/>
      <name val="Arial"/>
    </font>
    <font>
      <b/>
      <u/>
      <sz val="10"/>
      <color rgb="FF1155CC"/>
      <name val="Arial"/>
    </font>
    <font>
      <b/>
      <u/>
      <sz val="10"/>
      <color rgb="FF1155CC"/>
      <name val="Arial"/>
    </font>
    <font>
      <b/>
      <u/>
      <sz val="10"/>
      <color rgb="FF1155CC"/>
      <name val="Arial"/>
    </font>
    <font>
      <b/>
      <u/>
      <sz val="10"/>
      <color rgb="FF1155CC"/>
      <name val="Arial"/>
    </font>
    <font>
      <sz val="10"/>
      <color rgb="FF0000FF"/>
      <name val="Arial"/>
    </font>
    <font>
      <sz val="10"/>
      <color rgb="FF9900FF"/>
      <name val="Arial"/>
    </font>
    <font>
      <b/>
      <sz val="10"/>
      <color rgb="FF0000FF"/>
      <name val="Arial"/>
    </font>
    <font>
      <b/>
      <sz val="10"/>
      <color rgb="FF9900FF"/>
      <name val="Arial"/>
    </font>
    <font>
      <sz val="10"/>
      <color rgb="FFFF0000"/>
      <name val="Arial"/>
      <family val="2"/>
    </font>
    <font>
      <sz val="10"/>
      <name val="Arial"/>
      <family val="2"/>
    </font>
    <font>
      <sz val="11"/>
      <color rgb="FF006100"/>
      <name val="Calibri"/>
      <family val="2"/>
      <scheme val="minor"/>
    </font>
    <font>
      <sz val="11"/>
      <color rgb="FF9C5700"/>
      <name val="Calibri"/>
      <family val="2"/>
      <scheme val="minor"/>
    </font>
    <font>
      <u/>
      <sz val="10"/>
      <color theme="10"/>
      <name val="Arial"/>
    </font>
    <font>
      <sz val="10"/>
      <color rgb="FF000000"/>
      <name val="Arial"/>
      <family val="2"/>
    </font>
    <font>
      <b/>
      <sz val="10"/>
      <color rgb="FF000000"/>
      <name val="Arial"/>
      <family val="2"/>
    </font>
    <font>
      <sz val="11"/>
      <color rgb="FF222222"/>
      <name val="Arial"/>
      <family val="2"/>
    </font>
    <font>
      <strike/>
      <sz val="10"/>
      <color rgb="FF000000"/>
      <name val="Arial"/>
      <family val="2"/>
    </font>
    <font>
      <b/>
      <strike/>
      <sz val="10"/>
      <color rgb="FF000000"/>
      <name val="Arial"/>
      <family val="2"/>
    </font>
    <font>
      <sz val="8"/>
      <color rgb="FF333333"/>
      <name val="Arial"/>
      <family val="2"/>
    </font>
    <font>
      <sz val="8"/>
      <color rgb="FF222222"/>
      <name val="Arial"/>
      <family val="2"/>
    </font>
    <font>
      <sz val="8"/>
      <color rgb="FF5F6368"/>
      <name val="Arial"/>
      <family val="2"/>
    </font>
    <font>
      <sz val="8"/>
      <color rgb="FF000000"/>
      <name val="Arial"/>
      <family val="2"/>
    </font>
    <font>
      <sz val="11"/>
      <color rgb="FF9C0006"/>
      <name val="Calibri"/>
      <family val="2"/>
      <scheme val="minor"/>
    </font>
    <font>
      <sz val="12"/>
      <color theme="1"/>
      <name val="Calibri"/>
      <family val="2"/>
      <scheme val="minor"/>
    </font>
    <font>
      <u/>
      <sz val="12"/>
      <color theme="10"/>
      <name val="Calibri"/>
      <family val="2"/>
      <scheme val="minor"/>
    </font>
    <font>
      <u/>
      <sz val="16"/>
      <color theme="10"/>
      <name val="Calibri"/>
      <family val="2"/>
      <scheme val="minor"/>
    </font>
    <font>
      <b/>
      <sz val="15"/>
      <color rgb="FF000000"/>
      <name val="Calibri"/>
      <family val="2"/>
      <scheme val="minor"/>
    </font>
    <font>
      <sz val="16"/>
      <color theme="1"/>
      <name val="Calibri"/>
      <family val="2"/>
      <scheme val="minor"/>
    </font>
    <font>
      <b/>
      <sz val="15"/>
      <color theme="1"/>
      <name val="Calibri"/>
      <family val="2"/>
      <scheme val="minor"/>
    </font>
    <font>
      <sz val="9"/>
      <color theme="1"/>
      <name val="Consolas"/>
      <family val="3"/>
    </font>
    <font>
      <sz val="10"/>
      <color rgb="FF212121"/>
      <name val="Segoe UI"/>
      <family val="2"/>
    </font>
    <font>
      <sz val="12"/>
      <color theme="10"/>
      <name val="Calibri"/>
      <family val="2"/>
      <scheme val="minor"/>
    </font>
    <font>
      <sz val="12"/>
      <name val="Calibri"/>
      <family val="2"/>
      <scheme val="minor"/>
    </font>
    <font>
      <b/>
      <u/>
      <sz val="16"/>
      <color theme="1"/>
      <name val="Calibri"/>
      <family val="2"/>
      <scheme val="minor"/>
    </font>
    <font>
      <b/>
      <sz val="20"/>
      <color theme="1"/>
      <name val="Calibri (Body)"/>
    </font>
    <font>
      <u/>
      <sz val="10"/>
      <color rgb="FF000000"/>
      <name val="Arial"/>
      <family val="2"/>
    </font>
    <font>
      <sz val="8"/>
      <color theme="1"/>
      <name val="Calibri"/>
      <family val="2"/>
      <scheme val="minor"/>
    </font>
    <font>
      <sz val="8"/>
      <color rgb="FF222222"/>
      <name val="Calibri"/>
      <family val="2"/>
      <scheme val="minor"/>
    </font>
    <font>
      <sz val="8"/>
      <color rgb="FF333333"/>
      <name val="Calibri"/>
      <family val="2"/>
      <scheme val="minor"/>
    </font>
    <font>
      <sz val="8"/>
      <name val="Arial"/>
      <family val="2"/>
    </font>
    <font>
      <sz val="11"/>
      <color rgb="FF3F3F76"/>
      <name val="Calibri"/>
      <family val="2"/>
      <scheme val="minor"/>
    </font>
    <font>
      <b/>
      <sz val="11"/>
      <color theme="0"/>
      <name val="Calibri"/>
      <family val="2"/>
      <scheme val="minor"/>
    </font>
    <font>
      <sz val="9"/>
      <color rgb="FF000000"/>
      <name val="Arial"/>
      <family val="2"/>
    </font>
    <font>
      <sz val="14"/>
      <color rgb="FF000000"/>
      <name val="Arial"/>
      <family val="2"/>
    </font>
    <font>
      <sz val="14"/>
      <color rgb="FFFF0000"/>
      <name val="Arial"/>
      <family val="2"/>
    </font>
    <font>
      <b/>
      <sz val="14"/>
      <color rgb="FFFF0000"/>
      <name val="Tahoma"/>
      <family val="2"/>
    </font>
    <font>
      <u/>
      <sz val="14"/>
      <color rgb="FFFF0000"/>
      <name val="Arial"/>
      <family val="2"/>
    </font>
    <font>
      <sz val="9"/>
      <color indexed="81"/>
      <name val="Tahoma"/>
      <charset val="1"/>
    </font>
    <font>
      <b/>
      <sz val="9"/>
      <color indexed="81"/>
      <name val="Tahoma"/>
      <charset val="1"/>
    </font>
    <font>
      <sz val="14"/>
      <color theme="4"/>
      <name val="Arial"/>
      <family val="2"/>
    </font>
    <font>
      <u/>
      <sz val="14"/>
      <color theme="4"/>
      <name val="Arial"/>
      <family val="2"/>
    </font>
    <font>
      <sz val="14"/>
      <color rgb="FF002060"/>
      <name val="Arial"/>
      <family val="2"/>
    </font>
    <font>
      <b/>
      <sz val="14"/>
      <color rgb="FFFF0000"/>
      <name val="Arial"/>
      <family val="2"/>
    </font>
  </fonts>
  <fills count="30">
    <fill>
      <patternFill patternType="none"/>
    </fill>
    <fill>
      <patternFill patternType="gray125"/>
    </fill>
    <fill>
      <patternFill patternType="solid">
        <fgColor rgb="FFFFFFFF"/>
        <bgColor rgb="FFFFFFFF"/>
      </patternFill>
    </fill>
    <fill>
      <patternFill patternType="solid">
        <fgColor rgb="FF00FF00"/>
        <bgColor rgb="FF00FF00"/>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
      <patternFill patternType="solid">
        <fgColor rgb="FFC6EFCE"/>
      </patternFill>
    </fill>
    <fill>
      <patternFill patternType="solid">
        <fgColor rgb="FFFFEB9C"/>
      </patternFill>
    </fill>
    <fill>
      <patternFill patternType="solid">
        <fgColor rgb="FFFFFFFF"/>
        <bgColor indexed="64"/>
      </patternFill>
    </fill>
    <fill>
      <patternFill patternType="solid">
        <fgColor rgb="FF00FFFF"/>
        <bgColor indexed="64"/>
      </patternFill>
    </fill>
    <fill>
      <patternFill patternType="solid">
        <fgColor rgb="FFC27BA0"/>
        <bgColor indexed="64"/>
      </patternFill>
    </fill>
    <fill>
      <patternFill patternType="solid">
        <fgColor rgb="FFEEEEEE"/>
        <bgColor indexed="64"/>
      </patternFill>
    </fill>
    <fill>
      <patternFill patternType="solid">
        <fgColor rgb="FFDADFE8"/>
        <bgColor indexed="64"/>
      </patternFill>
    </fill>
    <fill>
      <patternFill patternType="solid">
        <fgColor rgb="FFF8F9FA"/>
        <bgColor indexed="64"/>
      </patternFill>
    </fill>
    <fill>
      <patternFill patternType="solid">
        <fgColor rgb="FFFFFF00"/>
        <bgColor indexed="64"/>
      </patternFill>
    </fill>
    <fill>
      <patternFill patternType="solid">
        <fgColor rgb="FFFFFFCC"/>
      </patternFill>
    </fill>
    <fill>
      <patternFill patternType="solid">
        <fgColor rgb="FFFFC7CE"/>
      </patternFill>
    </fill>
    <fill>
      <patternFill patternType="solid">
        <fgColor rgb="FFFF0000"/>
        <bgColor indexed="64"/>
      </patternFill>
    </fill>
    <fill>
      <patternFill patternType="solid">
        <fgColor rgb="FFFFCC99"/>
      </patternFill>
    </fill>
    <fill>
      <patternFill patternType="solid">
        <fgColor rgb="FFA5A5A5"/>
      </patternFill>
    </fill>
    <fill>
      <patternFill patternType="solid">
        <fgColor rgb="FF92D050"/>
        <bgColor indexed="64"/>
      </patternFill>
    </fill>
    <fill>
      <patternFill patternType="solid">
        <fgColor theme="9"/>
        <bgColor indexed="64"/>
      </patternFill>
    </fill>
    <fill>
      <patternFill patternType="solid">
        <fgColor theme="5" tint="0.39997558519241921"/>
        <bgColor indexed="64"/>
      </patternFill>
    </fill>
  </fills>
  <borders count="17">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style="medium">
        <color rgb="FF000000"/>
      </right>
      <top/>
      <bottom style="medium">
        <color rgb="FF000000"/>
      </bottom>
      <diagonal/>
    </border>
    <border>
      <left/>
      <right style="medium">
        <color rgb="FFCCCCCC"/>
      </right>
      <top/>
      <bottom/>
      <diagonal/>
    </border>
    <border>
      <left/>
      <right style="medium">
        <color rgb="FFCCCCCC"/>
      </right>
      <top/>
      <bottom style="medium">
        <color rgb="FFCCCCCC"/>
      </bottom>
      <diagonal/>
    </border>
    <border>
      <left style="thin">
        <color rgb="FFB2B2B2"/>
      </left>
      <right style="thin">
        <color rgb="FFB2B2B2"/>
      </right>
      <top style="thin">
        <color rgb="FFB2B2B2"/>
      </top>
      <bottom style="thin">
        <color rgb="FFB2B2B2"/>
      </bottom>
      <diagonal/>
    </border>
    <border>
      <left/>
      <right style="medium">
        <color rgb="FF000000"/>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15">
    <xf numFmtId="0" fontId="0" fillId="0" borderId="0"/>
    <xf numFmtId="0" fontId="248" fillId="13" borderId="0" applyNumberFormat="0" applyBorder="0" applyAlignment="0" applyProtection="0"/>
    <xf numFmtId="0" fontId="249" fillId="14" borderId="0" applyNumberFormat="0" applyBorder="0" applyAlignment="0" applyProtection="0"/>
    <xf numFmtId="0" fontId="250" fillId="0" borderId="0" applyNumberFormat="0" applyFill="0" applyBorder="0" applyAlignment="0" applyProtection="0"/>
    <xf numFmtId="0" fontId="20" fillId="22" borderId="13" applyNumberFormat="0" applyFont="0" applyAlignment="0" applyProtection="0"/>
    <xf numFmtId="0" fontId="260" fillId="23" borderId="0" applyNumberFormat="0" applyBorder="0" applyAlignment="0" applyProtection="0"/>
    <xf numFmtId="0" fontId="247" fillId="24" borderId="0">
      <alignment horizontal="center" wrapText="1"/>
    </xf>
    <xf numFmtId="0" fontId="261" fillId="0" borderId="9"/>
    <xf numFmtId="0" fontId="260" fillId="23" borderId="9" applyNumberFormat="0" applyBorder="0" applyAlignment="0" applyProtection="0"/>
    <xf numFmtId="0" fontId="248" fillId="13" borderId="9" applyNumberFormat="0" applyBorder="0" applyAlignment="0" applyProtection="0"/>
    <xf numFmtId="0" fontId="249" fillId="14" borderId="9" applyNumberFormat="0" applyBorder="0" applyAlignment="0" applyProtection="0"/>
    <xf numFmtId="0" fontId="278" fillId="25" borderId="15" applyNumberFormat="0" applyAlignment="0" applyProtection="0"/>
    <xf numFmtId="0" fontId="279" fillId="26" borderId="16" applyNumberFormat="0" applyAlignment="0" applyProtection="0"/>
    <xf numFmtId="0" fontId="247" fillId="27" borderId="0">
      <alignment horizontal="left" wrapText="1"/>
    </xf>
    <xf numFmtId="0" fontId="260" fillId="23" borderId="0">
      <alignment horizontal="center" wrapText="1"/>
    </xf>
  </cellStyleXfs>
  <cellXfs count="664">
    <xf numFmtId="0" fontId="0" fillId="0" borderId="0" xfId="0" applyFont="1" applyAlignment="1">
      <alignment wrapText="1"/>
    </xf>
    <xf numFmtId="0" fontId="1"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2" fillId="2" borderId="0" xfId="0" applyFont="1" applyFill="1" applyAlignment="1">
      <alignment horizontal="left" vertical="center" wrapText="1"/>
    </xf>
    <xf numFmtId="0" fontId="4" fillId="2" borderId="0" xfId="0" applyFont="1" applyFill="1" applyAlignment="1">
      <alignment horizontal="left" vertical="center" wrapText="1"/>
    </xf>
    <xf numFmtId="0" fontId="1" fillId="2" borderId="0" xfId="0" applyFont="1" applyFill="1" applyAlignment="1">
      <alignment horizontal="left" vertical="center" wrapText="1"/>
    </xf>
    <xf numFmtId="0" fontId="5" fillId="2" borderId="0" xfId="0" applyFont="1" applyFill="1" applyAlignment="1">
      <alignment wrapText="1"/>
    </xf>
    <xf numFmtId="0" fontId="2" fillId="2" borderId="0" xfId="0" applyFont="1" applyFill="1" applyAlignment="1">
      <alignment horizontal="center" vertical="center" wrapText="1"/>
    </xf>
    <xf numFmtId="0" fontId="1" fillId="0" borderId="0" xfId="0" applyFont="1" applyAlignment="1">
      <alignment horizontal="left" vertical="center" wrapText="1"/>
    </xf>
    <xf numFmtId="0" fontId="2" fillId="0" borderId="0" xfId="0" applyFont="1" applyAlignment="1">
      <alignment wrapText="1"/>
    </xf>
    <xf numFmtId="0" fontId="2" fillId="2" borderId="0" xfId="0" applyFont="1" applyFill="1" applyAlignment="1">
      <alignment wrapText="1"/>
    </xf>
    <xf numFmtId="0" fontId="1" fillId="3" borderId="0" xfId="0" applyFont="1" applyFill="1" applyAlignment="1">
      <alignment horizontal="left" vertical="center" wrapText="1"/>
    </xf>
    <xf numFmtId="0" fontId="1" fillId="2" borderId="0" xfId="0" applyFont="1" applyFill="1" applyAlignment="1">
      <alignment horizontal="left" vertical="center" wrapText="1"/>
    </xf>
    <xf numFmtId="0" fontId="7" fillId="2" borderId="0" xfId="0" applyFont="1" applyFill="1" applyAlignment="1">
      <alignment horizontal="left" wrapText="1"/>
    </xf>
    <xf numFmtId="0" fontId="2" fillId="2" borderId="0" xfId="0" applyFont="1" applyFill="1" applyAlignment="1">
      <alignment wrapText="1"/>
    </xf>
    <xf numFmtId="0" fontId="2" fillId="2" borderId="0" xfId="0" applyFont="1" applyFill="1" applyAlignment="1">
      <alignment horizontal="center" wrapText="1"/>
    </xf>
    <xf numFmtId="0" fontId="8" fillId="2" borderId="0" xfId="0" applyFont="1" applyFill="1" applyAlignment="1">
      <alignment wrapText="1"/>
    </xf>
    <xf numFmtId="0" fontId="1" fillId="2" borderId="0" xfId="0" applyFont="1" applyFill="1" applyAlignment="1">
      <alignment vertical="center" wrapText="1"/>
    </xf>
    <xf numFmtId="0" fontId="2" fillId="2" borderId="0" xfId="0" applyFont="1" applyFill="1" applyAlignment="1">
      <alignment wrapText="1"/>
    </xf>
    <xf numFmtId="0" fontId="10"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11" fillId="2" borderId="0" xfId="0" applyFont="1" applyFill="1" applyAlignment="1">
      <alignment wrapText="1"/>
    </xf>
    <xf numFmtId="0" fontId="13" fillId="0" borderId="0" xfId="0" applyFont="1" applyAlignment="1">
      <alignment horizontal="left" vertical="top" wrapText="1"/>
    </xf>
    <xf numFmtId="0" fontId="14" fillId="4" borderId="0" xfId="0" applyFont="1" applyFill="1" applyAlignment="1">
      <alignment wrapText="1"/>
    </xf>
    <xf numFmtId="0" fontId="2" fillId="0" borderId="0" xfId="0" applyFont="1" applyAlignment="1">
      <alignment wrapText="1"/>
    </xf>
    <xf numFmtId="0" fontId="15" fillId="5" borderId="0" xfId="0" applyFont="1" applyFill="1" applyAlignment="1">
      <alignment wrapText="1"/>
    </xf>
    <xf numFmtId="0" fontId="16" fillId="3" borderId="0" xfId="0" applyFont="1" applyFill="1" applyAlignment="1"/>
    <xf numFmtId="0" fontId="2" fillId="0" borderId="0" xfId="0" applyFont="1" applyAlignment="1">
      <alignment wrapText="1"/>
    </xf>
    <xf numFmtId="0" fontId="18" fillId="2" borderId="0" xfId="0" applyFont="1" applyFill="1" applyAlignment="1"/>
    <xf numFmtId="0" fontId="2" fillId="2" borderId="0" xfId="0" applyFont="1" applyFill="1" applyAlignment="1"/>
    <xf numFmtId="0" fontId="2" fillId="2" borderId="0" xfId="0" applyFont="1" applyFill="1" applyAlignment="1">
      <alignment wrapText="1"/>
    </xf>
    <xf numFmtId="0" fontId="2" fillId="2" borderId="0" xfId="0" applyFont="1" applyFill="1" applyAlignment="1">
      <alignment wrapText="1"/>
    </xf>
    <xf numFmtId="0" fontId="1" fillId="0" borderId="0" xfId="0" applyFont="1" applyAlignment="1">
      <alignment vertical="center" wrapText="1"/>
    </xf>
    <xf numFmtId="0" fontId="2" fillId="0" borderId="0" xfId="0" applyFont="1" applyAlignment="1">
      <alignment horizontal="left" wrapText="1"/>
    </xf>
    <xf numFmtId="0" fontId="12" fillId="6" borderId="0" xfId="0" applyFont="1" applyFill="1" applyAlignment="1">
      <alignment wrapText="1"/>
    </xf>
    <xf numFmtId="0" fontId="12" fillId="0" borderId="0" xfId="0" applyFont="1" applyAlignment="1">
      <alignment wrapText="1"/>
    </xf>
    <xf numFmtId="0" fontId="2" fillId="6" borderId="0" xfId="0" applyFont="1" applyFill="1" applyAlignment="1">
      <alignment wrapText="1"/>
    </xf>
    <xf numFmtId="0" fontId="2" fillId="6" borderId="0" xfId="0" applyFont="1" applyFill="1" applyAlignment="1">
      <alignment wrapText="1"/>
    </xf>
    <xf numFmtId="0" fontId="21" fillId="0" borderId="0" xfId="0" applyFont="1" applyAlignment="1">
      <alignment wrapText="1"/>
    </xf>
    <xf numFmtId="0" fontId="2" fillId="6" borderId="0" xfId="0" applyFont="1" applyFill="1" applyAlignment="1">
      <alignment wrapText="1"/>
    </xf>
    <xf numFmtId="0" fontId="2" fillId="6" borderId="0" xfId="0" applyFont="1" applyFill="1" applyAlignment="1">
      <alignment horizontal="center" vertical="center" wrapText="1"/>
    </xf>
    <xf numFmtId="164" fontId="2" fillId="6" borderId="0" xfId="0" applyNumberFormat="1" applyFont="1" applyFill="1" applyAlignment="1">
      <alignment horizontal="center" vertical="center" wrapText="1"/>
    </xf>
    <xf numFmtId="0" fontId="2" fillId="6" borderId="0" xfId="0" applyFont="1" applyFill="1" applyAlignment="1">
      <alignment horizontal="center" vertical="center" wrapText="1"/>
    </xf>
    <xf numFmtId="0" fontId="2" fillId="6" borderId="0" xfId="0" applyFont="1" applyFill="1" applyAlignment="1">
      <alignment horizontal="center" vertical="center" wrapText="1"/>
    </xf>
    <xf numFmtId="0" fontId="2" fillId="6" borderId="0" xfId="0" applyFont="1" applyFill="1" applyAlignment="1">
      <alignment horizontal="left" vertical="center"/>
    </xf>
    <xf numFmtId="0" fontId="22" fillId="0" borderId="0" xfId="0" applyFont="1" applyAlignment="1">
      <alignment vertical="center"/>
    </xf>
    <xf numFmtId="0" fontId="2" fillId="0" borderId="0" xfId="0" applyFont="1" applyAlignment="1">
      <alignment horizontal="center" vertical="center" wrapText="1"/>
    </xf>
    <xf numFmtId="0" fontId="2" fillId="7" borderId="0" xfId="0" applyFont="1" applyFill="1" applyAlignment="1">
      <alignment horizontal="center" wrapText="1"/>
    </xf>
    <xf numFmtId="0" fontId="2" fillId="7" borderId="0" xfId="0" applyFont="1" applyFill="1" applyAlignment="1">
      <alignment horizontal="center" wrapText="1"/>
    </xf>
    <xf numFmtId="0" fontId="2" fillId="7" borderId="0" xfId="0" applyFont="1" applyFill="1" applyAlignment="1">
      <alignment horizontal="center"/>
    </xf>
    <xf numFmtId="0" fontId="2" fillId="7"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 fillId="6"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wrapText="1"/>
    </xf>
    <xf numFmtId="0" fontId="20" fillId="0" borderId="0" xfId="0" applyFont="1" applyAlignment="1">
      <alignment vertical="center" wrapText="1"/>
    </xf>
    <xf numFmtId="0" fontId="2" fillId="0" borderId="0" xfId="0" applyFont="1" applyAlignment="1">
      <alignment horizontal="left" vertical="center" wrapText="1"/>
    </xf>
    <xf numFmtId="0" fontId="2" fillId="8" borderId="0" xfId="0" applyFont="1" applyFill="1" applyAlignment="1">
      <alignment horizontal="center" vertical="center" wrapText="1"/>
    </xf>
    <xf numFmtId="0" fontId="2" fillId="9" borderId="0" xfId="0" applyFont="1" applyFill="1" applyAlignment="1">
      <alignment horizontal="center" vertical="center" wrapText="1"/>
    </xf>
    <xf numFmtId="0" fontId="2" fillId="0" borderId="0" xfId="0" applyFont="1" applyAlignment="1">
      <alignment horizontal="center" vertical="center" wrapText="1"/>
    </xf>
    <xf numFmtId="0" fontId="12" fillId="0" borderId="0" xfId="0" applyFont="1" applyAlignment="1"/>
    <xf numFmtId="0" fontId="2" fillId="0" borderId="0" xfId="0" applyFont="1" applyAlignment="1">
      <alignment vertical="center"/>
    </xf>
    <xf numFmtId="0" fontId="2" fillId="0" borderId="0" xfId="0" applyFont="1" applyAlignment="1">
      <alignment vertical="center" wrapText="1"/>
    </xf>
    <xf numFmtId="0" fontId="23" fillId="0" borderId="0" xfId="0" applyFont="1" applyAlignment="1">
      <alignment horizontal="left" vertical="center"/>
    </xf>
    <xf numFmtId="0" fontId="24" fillId="0" borderId="0" xfId="0" applyFont="1" applyAlignment="1">
      <alignment horizontal="left" vertical="center"/>
    </xf>
    <xf numFmtId="0" fontId="12" fillId="0" borderId="0" xfId="0" applyFont="1" applyAlignment="1">
      <alignment vertical="center"/>
    </xf>
    <xf numFmtId="0" fontId="25" fillId="0" borderId="0" xfId="0" applyFont="1" applyAlignment="1">
      <alignment horizontal="left" vertical="center" wrapText="1"/>
    </xf>
    <xf numFmtId="0" fontId="26" fillId="0" borderId="0" xfId="0" applyFont="1" applyAlignment="1">
      <alignment vertical="center"/>
    </xf>
    <xf numFmtId="0" fontId="27" fillId="0" borderId="0" xfId="0" applyFont="1" applyAlignment="1"/>
    <xf numFmtId="0" fontId="12" fillId="0" borderId="0" xfId="0" applyFont="1" applyAlignment="1">
      <alignment horizontal="left" vertical="center" wrapText="1"/>
    </xf>
    <xf numFmtId="0" fontId="22" fillId="0" borderId="0" xfId="0" applyFont="1" applyAlignment="1">
      <alignment vertical="center" wrapText="1"/>
    </xf>
    <xf numFmtId="0" fontId="12" fillId="0" borderId="0" xfId="0" applyFont="1" applyAlignment="1">
      <alignment horizontal="left" vertical="center" wrapText="1"/>
    </xf>
    <xf numFmtId="0" fontId="2" fillId="0" borderId="0" xfId="0" applyFont="1" applyAlignment="1">
      <alignment horizontal="left" vertical="center"/>
    </xf>
    <xf numFmtId="0" fontId="28" fillId="0" borderId="0" xfId="0" applyFont="1" applyAlignment="1">
      <alignment horizontal="left" vertical="center" wrapText="1"/>
    </xf>
    <xf numFmtId="0" fontId="29" fillId="0" borderId="0" xfId="0" applyFont="1" applyAlignment="1">
      <alignment horizontal="left" vertical="center"/>
    </xf>
    <xf numFmtId="0" fontId="30" fillId="0" borderId="0" xfId="0" applyFont="1" applyAlignment="1">
      <alignment vertical="center"/>
    </xf>
    <xf numFmtId="0" fontId="2" fillId="0" borderId="0" xfId="0" applyFont="1" applyAlignment="1"/>
    <xf numFmtId="0" fontId="31" fillId="0" borderId="0" xfId="0" applyFont="1" applyAlignment="1">
      <alignment wrapText="1"/>
    </xf>
    <xf numFmtId="0" fontId="32" fillId="0" borderId="0" xfId="0" applyFont="1" applyAlignment="1"/>
    <xf numFmtId="0" fontId="33" fillId="0" borderId="0" xfId="0" applyFont="1" applyAlignment="1"/>
    <xf numFmtId="0" fontId="2" fillId="0" borderId="0" xfId="0" applyFont="1" applyAlignment="1">
      <alignment horizontal="left"/>
    </xf>
    <xf numFmtId="0" fontId="34" fillId="0" borderId="0" xfId="0" applyFont="1" applyAlignment="1">
      <alignment horizontal="left" wrapText="1"/>
    </xf>
    <xf numFmtId="0" fontId="35" fillId="0" borderId="0" xfId="0" applyFont="1" applyAlignment="1"/>
    <xf numFmtId="0" fontId="2" fillId="0" borderId="0" xfId="0" applyFont="1" applyAlignment="1"/>
    <xf numFmtId="0" fontId="36" fillId="0" borderId="0" xfId="0" applyFont="1" applyAlignment="1">
      <alignment wrapText="1"/>
    </xf>
    <xf numFmtId="0" fontId="37" fillId="0" borderId="0" xfId="0" applyFont="1" applyAlignment="1"/>
    <xf numFmtId="0" fontId="12" fillId="0" borderId="0" xfId="0" applyFont="1" applyAlignment="1">
      <alignment horizontal="lef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wrapText="1"/>
    </xf>
    <xf numFmtId="0" fontId="2" fillId="0" borderId="0" xfId="0" applyFont="1" applyAlignment="1">
      <alignment wrapText="1"/>
    </xf>
    <xf numFmtId="0" fontId="2" fillId="0" borderId="0" xfId="0" applyFont="1" applyAlignment="1">
      <alignment horizontal="left"/>
    </xf>
    <xf numFmtId="0" fontId="38"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left"/>
    </xf>
    <xf numFmtId="0" fontId="39" fillId="0" borderId="0" xfId="0" applyFont="1" applyAlignment="1">
      <alignment horizontal="left" wrapText="1"/>
    </xf>
    <xf numFmtId="0" fontId="2" fillId="0" borderId="0" xfId="0" applyFont="1" applyAlignment="1">
      <alignment horizontal="left"/>
    </xf>
    <xf numFmtId="0" fontId="40"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center" wrapText="1"/>
    </xf>
    <xf numFmtId="0" fontId="2" fillId="0" borderId="0" xfId="0" applyFont="1" applyAlignment="1">
      <alignment horizontal="center" wrapText="1"/>
    </xf>
    <xf numFmtId="0" fontId="41" fillId="0" borderId="0" xfId="0" applyFont="1" applyAlignment="1"/>
    <xf numFmtId="0" fontId="2" fillId="0" borderId="0" xfId="0" applyFont="1" applyAlignment="1">
      <alignment horizontal="left"/>
    </xf>
    <xf numFmtId="0" fontId="42" fillId="0" borderId="0" xfId="0" applyFont="1" applyAlignment="1">
      <alignment horizontal="left" wrapText="1"/>
    </xf>
    <xf numFmtId="0" fontId="43" fillId="0" borderId="0" xfId="0" applyFont="1" applyAlignment="1"/>
    <xf numFmtId="0" fontId="2" fillId="10" borderId="0" xfId="0" applyFont="1" applyFill="1" applyAlignment="1">
      <alignment horizontal="left"/>
    </xf>
    <xf numFmtId="0" fontId="2" fillId="4" borderId="0" xfId="0" applyFont="1" applyFill="1" applyAlignment="1"/>
    <xf numFmtId="0" fontId="44" fillId="4" borderId="0" xfId="0" applyFont="1" applyFill="1" applyAlignment="1">
      <alignment wrapText="1"/>
    </xf>
    <xf numFmtId="0" fontId="45" fillId="0" borderId="0" xfId="0" applyFont="1" applyAlignment="1"/>
    <xf numFmtId="0" fontId="46" fillId="4" borderId="0" xfId="0" applyFont="1" applyFill="1" applyAlignment="1">
      <alignment wrapText="1"/>
    </xf>
    <xf numFmtId="0" fontId="47" fillId="0" borderId="0" xfId="0" applyFont="1" applyAlignment="1"/>
    <xf numFmtId="0" fontId="2" fillId="5" borderId="0" xfId="0" applyFont="1" applyFill="1" applyAlignment="1"/>
    <xf numFmtId="0" fontId="48" fillId="5" borderId="0" xfId="0" applyFont="1" applyFill="1" applyAlignment="1"/>
    <xf numFmtId="0" fontId="49" fillId="0" borderId="0" xfId="0" applyFont="1" applyAlignment="1">
      <alignment horizontal="center" vertical="center" wrapText="1"/>
    </xf>
    <xf numFmtId="0" fontId="2" fillId="0" borderId="0" xfId="0" applyFont="1" applyAlignment="1"/>
    <xf numFmtId="0" fontId="50" fillId="0" borderId="0" xfId="0" applyFont="1" applyAlignment="1"/>
    <xf numFmtId="0" fontId="2" fillId="0" borderId="0" xfId="0" applyFont="1" applyAlignment="1"/>
    <xf numFmtId="0" fontId="51" fillId="0" borderId="0" xfId="0" applyFont="1" applyAlignment="1">
      <alignment wrapText="1"/>
    </xf>
    <xf numFmtId="0" fontId="52" fillId="0" borderId="0" xfId="0" applyFont="1" applyAlignment="1"/>
    <xf numFmtId="0" fontId="2" fillId="4" borderId="0" xfId="0" applyFont="1" applyFill="1" applyAlignment="1"/>
    <xf numFmtId="0" fontId="53" fillId="10" borderId="0" xfId="0" applyFont="1" applyFill="1" applyAlignment="1"/>
    <xf numFmtId="0" fontId="2" fillId="4" borderId="0" xfId="0" applyFont="1" applyFill="1" applyAlignment="1"/>
    <xf numFmtId="0" fontId="54" fillId="4" borderId="0" xfId="0" applyFont="1" applyFill="1" applyAlignment="1">
      <alignment wrapText="1"/>
    </xf>
    <xf numFmtId="0" fontId="2" fillId="0" borderId="0" xfId="0" applyFont="1" applyAlignment="1"/>
    <xf numFmtId="0" fontId="2" fillId="0" borderId="0" xfId="0" applyFont="1" applyAlignment="1"/>
    <xf numFmtId="0" fontId="55" fillId="0" borderId="0" xfId="0" applyFont="1" applyAlignment="1"/>
    <xf numFmtId="0" fontId="2" fillId="0" borderId="0" xfId="0" applyFont="1" applyAlignment="1">
      <alignment vertical="center"/>
    </xf>
    <xf numFmtId="0" fontId="56" fillId="0" borderId="0" xfId="0" applyFont="1" applyAlignment="1">
      <alignment vertical="center" wrapText="1"/>
    </xf>
    <xf numFmtId="0" fontId="57" fillId="0" borderId="0" xfId="0" applyFont="1" applyAlignment="1"/>
    <xf numFmtId="0" fontId="12" fillId="0" borderId="0" xfId="0" applyFont="1" applyAlignment="1">
      <alignment vertical="center"/>
    </xf>
    <xf numFmtId="0" fontId="12" fillId="0" borderId="0" xfId="0" applyFont="1" applyAlignment="1">
      <alignment vertical="center" wrapText="1"/>
    </xf>
    <xf numFmtId="0" fontId="2" fillId="4" borderId="0" xfId="0" applyFont="1" applyFill="1" applyAlignment="1">
      <alignment vertical="center"/>
    </xf>
    <xf numFmtId="0" fontId="58" fillId="4" borderId="0" xfId="0" applyFont="1" applyFill="1" applyAlignment="1">
      <alignment vertical="center"/>
    </xf>
    <xf numFmtId="0" fontId="12" fillId="0" borderId="0" xfId="0" applyFont="1" applyAlignment="1">
      <alignment horizontal="center" vertical="center" wrapText="1"/>
    </xf>
    <xf numFmtId="0" fontId="59" fillId="0" borderId="0" xfId="0" applyFont="1" applyAlignment="1">
      <alignment vertical="center"/>
    </xf>
    <xf numFmtId="0" fontId="60" fillId="0" borderId="0" xfId="0" applyFont="1" applyAlignment="1">
      <alignment wrapText="1"/>
    </xf>
    <xf numFmtId="0" fontId="61" fillId="0" borderId="0" xfId="0" applyFont="1" applyAlignment="1">
      <alignment horizontal="left" wrapText="1"/>
    </xf>
    <xf numFmtId="0" fontId="62" fillId="0" borderId="0" xfId="0" applyFont="1" applyAlignment="1"/>
    <xf numFmtId="0" fontId="2" fillId="0" borderId="0" xfId="0" applyFont="1" applyAlignment="1">
      <alignment horizontal="left"/>
    </xf>
    <xf numFmtId="0" fontId="63" fillId="0" borderId="0" xfId="0" applyFont="1" applyAlignment="1">
      <alignment vertical="center" wrapText="1"/>
    </xf>
    <xf numFmtId="0" fontId="64" fillId="0" borderId="0" xfId="0" applyFont="1" applyAlignment="1">
      <alignment vertical="center" wrapText="1"/>
    </xf>
    <xf numFmtId="0" fontId="12" fillId="0" borderId="0" xfId="0" applyFont="1" applyAlignment="1">
      <alignment vertical="center"/>
    </xf>
    <xf numFmtId="0" fontId="2" fillId="4" borderId="0" xfId="0" applyFont="1" applyFill="1" applyAlignment="1"/>
    <xf numFmtId="0" fontId="65" fillId="4" borderId="0" xfId="0" applyFont="1" applyFill="1" applyAlignment="1">
      <alignment vertical="center" wrapText="1"/>
    </xf>
    <xf numFmtId="0" fontId="2" fillId="4" borderId="0" xfId="0" applyFont="1" applyFill="1" applyAlignment="1">
      <alignment vertical="center"/>
    </xf>
    <xf numFmtId="0" fontId="66" fillId="4" borderId="0" xfId="0" applyFont="1" applyFill="1" applyAlignment="1">
      <alignment vertical="center"/>
    </xf>
    <xf numFmtId="0" fontId="2" fillId="11" borderId="0" xfId="0" applyFont="1" applyFill="1" applyAlignment="1">
      <alignment vertical="center"/>
    </xf>
    <xf numFmtId="0" fontId="2" fillId="11" borderId="0" xfId="0" applyFont="1" applyFill="1" applyAlignment="1">
      <alignment vertical="center" wrapText="1"/>
    </xf>
    <xf numFmtId="0" fontId="2" fillId="11" borderId="0" xfId="0" applyFont="1" applyFill="1" applyAlignment="1">
      <alignment horizontal="center" vertical="center" wrapText="1"/>
    </xf>
    <xf numFmtId="0" fontId="2" fillId="11" borderId="0" xfId="0" applyFont="1" applyFill="1" applyAlignment="1">
      <alignment horizontal="center" vertical="center" wrapText="1"/>
    </xf>
    <xf numFmtId="0" fontId="2" fillId="11" borderId="0" xfId="0" applyFont="1" applyFill="1" applyAlignment="1">
      <alignment horizontal="center" vertical="center" wrapText="1"/>
    </xf>
    <xf numFmtId="0" fontId="2" fillId="0" borderId="0" xfId="0" applyFont="1" applyAlignment="1">
      <alignment horizontal="right" wrapText="1"/>
    </xf>
    <xf numFmtId="0" fontId="67" fillId="0" borderId="0" xfId="0" applyFont="1" applyAlignment="1">
      <alignment vertical="center" wrapText="1"/>
    </xf>
    <xf numFmtId="164" fontId="2" fillId="6" borderId="0" xfId="0" applyNumberFormat="1" applyFont="1" applyFill="1" applyAlignment="1">
      <alignment horizontal="center" vertical="center"/>
    </xf>
    <xf numFmtId="0" fontId="22" fillId="0" borderId="0" xfId="0" applyFont="1" applyAlignment="1"/>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wrapText="1"/>
    </xf>
    <xf numFmtId="0" fontId="68" fillId="0" borderId="0" xfId="0" applyFont="1" applyAlignment="1">
      <alignment horizontal="left" vertical="top"/>
    </xf>
    <xf numFmtId="0" fontId="69" fillId="0" borderId="0" xfId="0" applyFont="1" applyAlignment="1">
      <alignment horizontal="left" vertical="top"/>
    </xf>
    <xf numFmtId="0" fontId="2" fillId="0" borderId="0" xfId="0" applyFont="1" applyAlignment="1"/>
    <xf numFmtId="0" fontId="70" fillId="0" borderId="0" xfId="0" applyFont="1" applyAlignment="1">
      <alignment wrapText="1"/>
    </xf>
    <xf numFmtId="0" fontId="71" fillId="0" borderId="0" xfId="0" applyFont="1" applyAlignment="1">
      <alignment horizontal="left" vertical="top"/>
    </xf>
    <xf numFmtId="0" fontId="12" fillId="0" borderId="0" xfId="0" applyFont="1" applyAlignment="1"/>
    <xf numFmtId="0" fontId="72" fillId="0" borderId="0" xfId="0" applyFont="1" applyAlignment="1">
      <alignment horizontal="left" vertical="top"/>
    </xf>
    <xf numFmtId="0" fontId="73" fillId="4" borderId="0" xfId="0" applyFont="1" applyFill="1" applyAlignment="1">
      <alignment wrapText="1"/>
    </xf>
    <xf numFmtId="0" fontId="74" fillId="0" borderId="0" xfId="0" applyFont="1" applyAlignment="1">
      <alignment horizontal="left"/>
    </xf>
    <xf numFmtId="0" fontId="2" fillId="5" borderId="0" xfId="0" applyFont="1" applyFill="1" applyAlignment="1"/>
    <xf numFmtId="0" fontId="75" fillId="5" borderId="0" xfId="0" applyFont="1" applyFill="1" applyAlignment="1"/>
    <xf numFmtId="0" fontId="2" fillId="0" borderId="0" xfId="0" applyFont="1" applyAlignment="1">
      <alignment vertical="center"/>
    </xf>
    <xf numFmtId="0" fontId="76" fillId="5" borderId="0" xfId="0" applyFont="1" applyFill="1" applyAlignment="1"/>
    <xf numFmtId="0" fontId="2" fillId="0" borderId="0" xfId="0" applyFont="1" applyAlignment="1">
      <alignment vertical="center"/>
    </xf>
    <xf numFmtId="0" fontId="77" fillId="0" borderId="0" xfId="0" applyFont="1" applyAlignment="1"/>
    <xf numFmtId="0" fontId="78" fillId="0" borderId="0" xfId="0" applyFont="1" applyAlignment="1">
      <alignment horizontal="left" wrapText="1"/>
    </xf>
    <xf numFmtId="0" fontId="79" fillId="0" borderId="0" xfId="0" applyFont="1" applyAlignment="1">
      <alignment horizontal="left" wrapText="1"/>
    </xf>
    <xf numFmtId="0" fontId="2" fillId="5" borderId="0" xfId="0" applyFont="1" applyFill="1" applyAlignment="1">
      <alignment wrapText="1"/>
    </xf>
    <xf numFmtId="0" fontId="80" fillId="5" borderId="0" xfId="0" applyFont="1" applyFill="1" applyAlignment="1">
      <alignment wrapText="1"/>
    </xf>
    <xf numFmtId="0" fontId="81" fillId="0" borderId="0" xfId="0" applyFont="1" applyAlignment="1"/>
    <xf numFmtId="0" fontId="82" fillId="0" borderId="0" xfId="0" applyFont="1" applyAlignment="1"/>
    <xf numFmtId="0" fontId="83" fillId="4" borderId="0" xfId="0" applyFont="1" applyFill="1" applyAlignment="1"/>
    <xf numFmtId="0" fontId="84" fillId="5" borderId="0" xfId="0" applyFont="1" applyFill="1" applyAlignment="1">
      <alignment wrapText="1"/>
    </xf>
    <xf numFmtId="0" fontId="85" fillId="0" borderId="0" xfId="0" applyFont="1" applyAlignment="1">
      <alignment wrapText="1"/>
    </xf>
    <xf numFmtId="0" fontId="86" fillId="0" borderId="0" xfId="0" applyFont="1" applyAlignment="1">
      <alignment wrapText="1"/>
    </xf>
    <xf numFmtId="0" fontId="87" fillId="0" borderId="0" xfId="0" applyFont="1" applyAlignment="1">
      <alignment wrapText="1"/>
    </xf>
    <xf numFmtId="0" fontId="88" fillId="0" borderId="0" xfId="0" applyFont="1" applyAlignment="1"/>
    <xf numFmtId="0" fontId="2" fillId="0" borderId="0" xfId="0" applyFont="1" applyAlignment="1"/>
    <xf numFmtId="0" fontId="89" fillId="0" borderId="0" xfId="0" applyFont="1" applyAlignment="1">
      <alignment wrapText="1"/>
    </xf>
    <xf numFmtId="0" fontId="90" fillId="0" borderId="0" xfId="0" applyFont="1" applyAlignment="1">
      <alignment wrapText="1"/>
    </xf>
    <xf numFmtId="0" fontId="91" fillId="0" borderId="0" xfId="0" applyFont="1" applyAlignment="1"/>
    <xf numFmtId="0" fontId="92" fillId="0" borderId="0" xfId="0" applyFont="1" applyAlignment="1">
      <alignment horizontal="left" wrapText="1"/>
    </xf>
    <xf numFmtId="0" fontId="93" fillId="0" borderId="0" xfId="0" applyFont="1" applyAlignment="1">
      <alignment vertical="center"/>
    </xf>
    <xf numFmtId="0" fontId="2" fillId="4" borderId="0" xfId="0" applyFont="1" applyFill="1" applyAlignment="1"/>
    <xf numFmtId="0" fontId="94" fillId="4" borderId="0" xfId="0" applyFont="1" applyFill="1" applyAlignment="1"/>
    <xf numFmtId="0" fontId="95" fillId="4" borderId="0" xfId="0" applyFont="1" applyFill="1" applyAlignment="1"/>
    <xf numFmtId="0" fontId="2" fillId="5" borderId="0" xfId="0" applyFont="1" applyFill="1" applyAlignment="1"/>
    <xf numFmtId="0" fontId="96" fillId="5" borderId="0" xfId="0" applyFont="1" applyFill="1" applyAlignment="1"/>
    <xf numFmtId="0" fontId="2" fillId="0" borderId="0" xfId="0" applyFont="1" applyAlignment="1">
      <alignment wrapText="1"/>
    </xf>
    <xf numFmtId="0" fontId="2" fillId="11" borderId="0" xfId="0" applyFont="1" applyFill="1" applyAlignment="1"/>
    <xf numFmtId="0" fontId="2" fillId="11" borderId="0" xfId="0" applyFont="1" applyFill="1" applyAlignment="1">
      <alignment wrapText="1"/>
    </xf>
    <xf numFmtId="0" fontId="2" fillId="11" borderId="0" xfId="0" applyFont="1" applyFill="1" applyAlignment="1">
      <alignment horizontal="center" wrapText="1"/>
    </xf>
    <xf numFmtId="0" fontId="2" fillId="11" borderId="0" xfId="0" applyFont="1" applyFill="1" applyAlignment="1">
      <alignment horizontal="center" wrapText="1"/>
    </xf>
    <xf numFmtId="0" fontId="2" fillId="0" borderId="0" xfId="0" applyFont="1" applyAlignment="1">
      <alignment vertical="top" wrapText="1"/>
    </xf>
    <xf numFmtId="164" fontId="2" fillId="6" borderId="0" xfId="0" applyNumberFormat="1" applyFont="1" applyFill="1" applyAlignment="1">
      <alignment horizontal="center" vertical="center"/>
    </xf>
    <xf numFmtId="0" fontId="2" fillId="0" borderId="0" xfId="0" applyFont="1" applyAlignment="1"/>
    <xf numFmtId="0" fontId="12" fillId="0" borderId="0" xfId="0" applyFont="1" applyAlignment="1"/>
    <xf numFmtId="0" fontId="2" fillId="0" borderId="0" xfId="0" applyFont="1" applyAlignment="1">
      <alignment wrapText="1"/>
    </xf>
    <xf numFmtId="0" fontId="97" fillId="0" borderId="0" xfId="0" applyFont="1" applyAlignment="1">
      <alignment horizontal="left"/>
    </xf>
    <xf numFmtId="0" fontId="98" fillId="0" borderId="0" xfId="0" applyFont="1" applyAlignment="1"/>
    <xf numFmtId="0" fontId="2" fillId="5" borderId="0" xfId="0" applyFont="1" applyFill="1" applyAlignment="1"/>
    <xf numFmtId="0" fontId="99" fillId="5" borderId="0" xfId="0" applyFont="1" applyFill="1" applyAlignment="1"/>
    <xf numFmtId="0" fontId="100" fillId="5" borderId="0" xfId="0" applyFont="1" applyFill="1" applyAlignment="1"/>
    <xf numFmtId="0" fontId="2" fillId="3" borderId="0" xfId="0" applyFont="1" applyFill="1" applyAlignment="1"/>
    <xf numFmtId="0" fontId="101" fillId="4" borderId="0" xfId="0" applyFont="1" applyFill="1" applyAlignment="1">
      <alignment horizontal="left" vertical="center"/>
    </xf>
    <xf numFmtId="0" fontId="102" fillId="4" borderId="0" xfId="0" applyFont="1" applyFill="1" applyAlignment="1"/>
    <xf numFmtId="0" fontId="103" fillId="5" borderId="0" xfId="0" applyFont="1" applyFill="1" applyAlignment="1"/>
    <xf numFmtId="0" fontId="104" fillId="0" borderId="0" xfId="0" applyFont="1" applyAlignment="1">
      <alignment horizontal="left"/>
    </xf>
    <xf numFmtId="0" fontId="2" fillId="5" borderId="0" xfId="0" applyFont="1" applyFill="1" applyAlignment="1"/>
    <xf numFmtId="0" fontId="105" fillId="5" borderId="0" xfId="0" applyFont="1" applyFill="1" applyAlignment="1"/>
    <xf numFmtId="0" fontId="106" fillId="0" borderId="0" xfId="0" applyFont="1" applyAlignment="1"/>
    <xf numFmtId="0" fontId="107" fillId="4" borderId="0" xfId="0" applyFont="1" applyFill="1" applyAlignment="1"/>
    <xf numFmtId="0" fontId="108" fillId="4" borderId="0" xfId="0" applyFont="1" applyFill="1" applyAlignment="1"/>
    <xf numFmtId="0" fontId="20" fillId="0" borderId="0" xfId="0" applyFont="1" applyAlignment="1">
      <alignment wrapText="1"/>
    </xf>
    <xf numFmtId="0" fontId="109" fillId="0" borderId="0" xfId="0" applyFont="1" applyAlignment="1"/>
    <xf numFmtId="0" fontId="110" fillId="0" borderId="0" xfId="0" applyFont="1" applyAlignment="1">
      <alignment horizontal="left" wrapText="1"/>
    </xf>
    <xf numFmtId="0" fontId="111" fillId="0" borderId="0" xfId="0" applyFont="1" applyAlignment="1"/>
    <xf numFmtId="0" fontId="112" fillId="0" borderId="0" xfId="0" applyFont="1" applyAlignment="1">
      <alignment horizontal="left"/>
    </xf>
    <xf numFmtId="0" fontId="2" fillId="0" borderId="0" xfId="0" applyFont="1" applyAlignment="1">
      <alignment horizontal="left"/>
    </xf>
    <xf numFmtId="0" fontId="113" fillId="5" borderId="0" xfId="0" applyFont="1" applyFill="1" applyAlignment="1"/>
    <xf numFmtId="0" fontId="114" fillId="0" borderId="0" xfId="0" applyFont="1" applyAlignment="1">
      <alignment wrapText="1"/>
    </xf>
    <xf numFmtId="0" fontId="115" fillId="0" borderId="0" xfId="0" applyFont="1" applyAlignment="1">
      <alignment horizontal="left"/>
    </xf>
    <xf numFmtId="0" fontId="116" fillId="3" borderId="0" xfId="0" applyFont="1" applyFill="1" applyAlignment="1"/>
    <xf numFmtId="0" fontId="117" fillId="0" borderId="0" xfId="0" applyFont="1" applyAlignment="1"/>
    <xf numFmtId="0" fontId="118" fillId="4" borderId="0" xfId="0" applyFont="1" applyFill="1" applyAlignment="1"/>
    <xf numFmtId="0" fontId="119" fillId="0" borderId="0" xfId="0" applyFont="1" applyAlignment="1"/>
    <xf numFmtId="0" fontId="120" fillId="0" borderId="0" xfId="0" applyFont="1" applyAlignment="1">
      <alignment horizontal="left" wrapText="1"/>
    </xf>
    <xf numFmtId="0" fontId="2" fillId="0" borderId="0" xfId="0" applyFont="1" applyAlignment="1">
      <alignment horizontal="left" wrapText="1"/>
    </xf>
    <xf numFmtId="0" fontId="121" fillId="0" borderId="0" xfId="0" applyFont="1" applyAlignment="1"/>
    <xf numFmtId="0" fontId="20" fillId="0" borderId="0" xfId="0" applyFont="1" applyAlignment="1">
      <alignment wrapText="1"/>
    </xf>
    <xf numFmtId="0" fontId="122" fillId="0" borderId="0" xfId="0" applyFont="1" applyAlignment="1">
      <alignment horizontal="left" vertical="top"/>
    </xf>
    <xf numFmtId="0" fontId="123" fillId="0" borderId="0" xfId="0" applyFont="1" applyAlignment="1">
      <alignment horizontal="left" vertical="top"/>
    </xf>
    <xf numFmtId="0" fontId="124" fillId="3" borderId="0" xfId="0" applyFont="1" applyFill="1" applyAlignment="1"/>
    <xf numFmtId="0" fontId="125" fillId="0" borderId="0" xfId="0" applyFont="1" applyAlignment="1">
      <alignment wrapText="1"/>
    </xf>
    <xf numFmtId="0" fontId="126" fillId="4" borderId="0" xfId="0" applyFont="1" applyFill="1" applyAlignment="1"/>
    <xf numFmtId="0" fontId="127" fillId="0" borderId="0" xfId="0" applyFont="1" applyAlignment="1"/>
    <xf numFmtId="0" fontId="2" fillId="4" borderId="4" xfId="0" applyFont="1" applyFill="1" applyBorder="1" applyAlignment="1"/>
    <xf numFmtId="0" fontId="128" fillId="4" borderId="5" xfId="0" applyFont="1" applyFill="1" applyBorder="1" applyAlignment="1"/>
    <xf numFmtId="0" fontId="129" fillId="0" borderId="0" xfId="0" applyFont="1" applyAlignment="1">
      <alignment horizontal="left" vertical="top"/>
    </xf>
    <xf numFmtId="0" fontId="130" fillId="4" borderId="6" xfId="0" applyFont="1" applyFill="1" applyBorder="1" applyAlignment="1"/>
    <xf numFmtId="0" fontId="2" fillId="4" borderId="7" xfId="0" applyFont="1" applyFill="1" applyBorder="1" applyAlignment="1"/>
    <xf numFmtId="0" fontId="131" fillId="0" borderId="0" xfId="0" applyFont="1" applyAlignment="1">
      <alignment horizontal="left"/>
    </xf>
    <xf numFmtId="0" fontId="132" fillId="5" borderId="0" xfId="0" applyFont="1" applyFill="1" applyAlignment="1"/>
    <xf numFmtId="0" fontId="133" fillId="10" borderId="0" xfId="0" applyFont="1" applyFill="1" applyAlignment="1"/>
    <xf numFmtId="0" fontId="134" fillId="5" borderId="0" xfId="0" applyFont="1" applyFill="1" applyAlignment="1"/>
    <xf numFmtId="0" fontId="135" fillId="0" borderId="0" xfId="0" applyFont="1" applyAlignment="1"/>
    <xf numFmtId="0" fontId="2" fillId="5" borderId="4" xfId="0" applyFont="1" applyFill="1" applyBorder="1" applyAlignment="1"/>
    <xf numFmtId="0" fontId="136" fillId="5" borderId="5" xfId="0" applyFont="1" applyFill="1" applyBorder="1" applyAlignment="1"/>
    <xf numFmtId="0" fontId="12" fillId="0" borderId="0" xfId="0" applyFont="1" applyAlignment="1">
      <alignment horizontal="left" wrapText="1"/>
    </xf>
    <xf numFmtId="0" fontId="137" fillId="3" borderId="0" xfId="0" applyFont="1" applyFill="1" applyAlignment="1">
      <alignment wrapText="1"/>
    </xf>
    <xf numFmtId="0" fontId="138" fillId="5" borderId="4" xfId="0" applyFont="1" applyFill="1" applyBorder="1" applyAlignment="1"/>
    <xf numFmtId="0" fontId="139" fillId="0" borderId="0" xfId="0" applyFont="1" applyAlignment="1">
      <alignment horizontal="left" vertical="center" wrapText="1"/>
    </xf>
    <xf numFmtId="0" fontId="2" fillId="5" borderId="0" xfId="0" applyFont="1" applyFill="1" applyAlignment="1"/>
    <xf numFmtId="0" fontId="140" fillId="5" borderId="0" xfId="0" applyFont="1" applyFill="1" applyAlignment="1"/>
    <xf numFmtId="0" fontId="2" fillId="0" borderId="0" xfId="0" applyFont="1" applyAlignment="1"/>
    <xf numFmtId="0" fontId="2" fillId="0" borderId="0" xfId="0" applyFont="1" applyAlignment="1">
      <alignment wrapText="1"/>
    </xf>
    <xf numFmtId="0" fontId="2" fillId="4" borderId="0" xfId="0" applyFont="1" applyFill="1" applyAlignment="1">
      <alignment horizontal="left"/>
    </xf>
    <xf numFmtId="0" fontId="141" fillId="4" borderId="0" xfId="0" applyFont="1" applyFill="1" applyAlignment="1">
      <alignment horizontal="left"/>
    </xf>
    <xf numFmtId="0" fontId="2" fillId="4" borderId="6" xfId="0" applyFont="1" applyFill="1" applyBorder="1" applyAlignment="1">
      <alignment horizontal="left"/>
    </xf>
    <xf numFmtId="0" fontId="142" fillId="4" borderId="6" xfId="0" applyFont="1" applyFill="1" applyBorder="1" applyAlignment="1">
      <alignment horizontal="left"/>
    </xf>
    <xf numFmtId="0" fontId="2" fillId="4" borderId="4" xfId="0" applyFont="1" applyFill="1" applyBorder="1" applyAlignment="1">
      <alignment horizontal="left"/>
    </xf>
    <xf numFmtId="0" fontId="2" fillId="4" borderId="6" xfId="0" applyFont="1" applyFill="1" applyBorder="1" applyAlignment="1">
      <alignment horizontal="left"/>
    </xf>
    <xf numFmtId="0" fontId="143" fillId="4" borderId="6" xfId="0" applyFont="1" applyFill="1" applyBorder="1" applyAlignment="1">
      <alignment horizontal="left"/>
    </xf>
    <xf numFmtId="0" fontId="2" fillId="4" borderId="0" xfId="0" applyFont="1" applyFill="1" applyAlignment="1">
      <alignment horizontal="left"/>
    </xf>
    <xf numFmtId="0" fontId="144" fillId="4" borderId="0" xfId="0" applyFont="1" applyFill="1" applyAlignment="1">
      <alignment horizontal="left"/>
    </xf>
    <xf numFmtId="0" fontId="2" fillId="4" borderId="4" xfId="0" applyFont="1" applyFill="1" applyBorder="1" applyAlignment="1"/>
    <xf numFmtId="0" fontId="145" fillId="4" borderId="5" xfId="0" applyFont="1" applyFill="1" applyBorder="1" applyAlignment="1"/>
    <xf numFmtId="0" fontId="146" fillId="5" borderId="6" xfId="0" applyFont="1" applyFill="1" applyBorder="1" applyAlignment="1"/>
    <xf numFmtId="0" fontId="2" fillId="5" borderId="6" xfId="0" applyFont="1" applyFill="1" applyBorder="1" applyAlignment="1"/>
    <xf numFmtId="0" fontId="2" fillId="5" borderId="5" xfId="0" applyFont="1" applyFill="1" applyBorder="1" applyAlignment="1"/>
    <xf numFmtId="0" fontId="147" fillId="5" borderId="5" xfId="0" applyFont="1" applyFill="1" applyBorder="1" applyAlignment="1"/>
    <xf numFmtId="0" fontId="2" fillId="5" borderId="0" xfId="0" applyFont="1" applyFill="1" applyAlignment="1"/>
    <xf numFmtId="0" fontId="148" fillId="5" borderId="0" xfId="0" applyFont="1" applyFill="1" applyAlignment="1"/>
    <xf numFmtId="0" fontId="149" fillId="0" borderId="0" xfId="0" applyFont="1" applyAlignment="1"/>
    <xf numFmtId="0" fontId="1" fillId="0" borderId="0" xfId="0" applyFont="1" applyAlignment="1"/>
    <xf numFmtId="0" fontId="150" fillId="3" borderId="0" xfId="0" applyFont="1" applyFill="1" applyAlignment="1">
      <alignment wrapText="1"/>
    </xf>
    <xf numFmtId="0" fontId="151" fillId="0" borderId="0" xfId="0" applyFont="1" applyAlignment="1">
      <alignment wrapText="1"/>
    </xf>
    <xf numFmtId="0" fontId="2" fillId="4" borderId="0" xfId="0" applyFont="1" applyFill="1" applyAlignment="1"/>
    <xf numFmtId="0" fontId="152" fillId="4" borderId="0" xfId="0" applyFont="1" applyFill="1" applyAlignment="1">
      <alignment wrapText="1"/>
    </xf>
    <xf numFmtId="0" fontId="153" fillId="4" borderId="0" xfId="0" applyFont="1" applyFill="1" applyAlignment="1"/>
    <xf numFmtId="0" fontId="2" fillId="5" borderId="0" xfId="0" applyFont="1" applyFill="1" applyAlignment="1"/>
    <xf numFmtId="0" fontId="154" fillId="5" borderId="0" xfId="0" applyFont="1" applyFill="1" applyAlignment="1"/>
    <xf numFmtId="0" fontId="155" fillId="0" borderId="0" xfId="0" applyFont="1" applyAlignment="1">
      <alignment horizontal="left" wrapText="1"/>
    </xf>
    <xf numFmtId="0" fontId="156" fillId="0" borderId="0" xfId="0" applyFont="1" applyAlignment="1">
      <alignment horizontal="left" wrapText="1"/>
    </xf>
    <xf numFmtId="0" fontId="157" fillId="0" borderId="0" xfId="0" applyFont="1" applyAlignment="1">
      <alignment wrapText="1"/>
    </xf>
    <xf numFmtId="0" fontId="158" fillId="0" borderId="0" xfId="0" applyFont="1" applyAlignment="1">
      <alignment wrapText="1"/>
    </xf>
    <xf numFmtId="0" fontId="2" fillId="4" borderId="0" xfId="0" applyFont="1" applyFill="1" applyAlignment="1"/>
    <xf numFmtId="0" fontId="159" fillId="4" borderId="0" xfId="0" applyFont="1" applyFill="1" applyAlignment="1"/>
    <xf numFmtId="0" fontId="2" fillId="5" borderId="8" xfId="0" applyFont="1" applyFill="1" applyBorder="1" applyAlignment="1"/>
    <xf numFmtId="0" fontId="160" fillId="5" borderId="8" xfId="0" applyFont="1" applyFill="1" applyBorder="1" applyAlignment="1"/>
    <xf numFmtId="0" fontId="2" fillId="5" borderId="6" xfId="0" applyFont="1" applyFill="1" applyBorder="1" applyAlignment="1"/>
    <xf numFmtId="0" fontId="161" fillId="5" borderId="6" xfId="0" applyFont="1" applyFill="1" applyBorder="1" applyAlignment="1"/>
    <xf numFmtId="0" fontId="12" fillId="0" borderId="6" xfId="0" applyFont="1" applyBorder="1" applyAlignment="1"/>
    <xf numFmtId="0" fontId="12" fillId="0" borderId="6" xfId="0" applyFont="1" applyBorder="1" applyAlignment="1">
      <alignment wrapText="1"/>
    </xf>
    <xf numFmtId="0" fontId="2" fillId="4" borderId="8" xfId="0" applyFont="1" applyFill="1" applyBorder="1" applyAlignment="1"/>
    <xf numFmtId="0" fontId="2" fillId="4" borderId="4" xfId="0" applyFont="1" applyFill="1" applyBorder="1" applyAlignment="1"/>
    <xf numFmtId="0" fontId="2" fillId="4" borderId="0" xfId="0" applyFont="1" applyFill="1" applyAlignment="1"/>
    <xf numFmtId="0" fontId="2" fillId="4" borderId="4" xfId="0" applyFont="1" applyFill="1" applyBorder="1" applyAlignment="1"/>
    <xf numFmtId="0" fontId="162" fillId="0" borderId="0" xfId="0" applyFont="1" applyAlignment="1">
      <alignment wrapText="1"/>
    </xf>
    <xf numFmtId="0" fontId="2" fillId="0" borderId="8" xfId="0" applyFont="1" applyBorder="1" applyAlignment="1">
      <alignment wrapText="1"/>
    </xf>
    <xf numFmtId="0" fontId="2" fillId="4" borderId="6" xfId="0" applyFont="1" applyFill="1" applyBorder="1" applyAlignment="1"/>
    <xf numFmtId="0" fontId="163" fillId="4" borderId="6" xfId="0" applyFont="1" applyFill="1" applyBorder="1" applyAlignment="1"/>
    <xf numFmtId="0" fontId="2" fillId="3" borderId="0" xfId="0" applyFont="1" applyFill="1" applyAlignment="1">
      <alignment wrapText="1"/>
    </xf>
    <xf numFmtId="0" fontId="2" fillId="3" borderId="0" xfId="0" applyFont="1" applyFill="1" applyAlignment="1"/>
    <xf numFmtId="0" fontId="12" fillId="4" borderId="0" xfId="0" applyFont="1" applyFill="1" applyAlignment="1"/>
    <xf numFmtId="0" fontId="164" fillId="4" borderId="0" xfId="0" applyFont="1" applyFill="1" applyAlignment="1">
      <alignment horizontal="left"/>
    </xf>
    <xf numFmtId="0" fontId="2" fillId="4" borderId="6" xfId="0" applyFont="1" applyFill="1" applyBorder="1" applyAlignment="1"/>
    <xf numFmtId="0" fontId="12" fillId="5" borderId="0" xfId="0" applyFont="1" applyFill="1" applyAlignment="1"/>
    <xf numFmtId="0" fontId="165" fillId="5" borderId="0" xfId="0" applyFont="1" applyFill="1" applyAlignment="1"/>
    <xf numFmtId="0" fontId="2" fillId="4" borderId="0" xfId="0" applyFont="1" applyFill="1" applyAlignment="1"/>
    <xf numFmtId="0" fontId="166" fillId="4" borderId="4" xfId="0" applyFont="1" applyFill="1" applyBorder="1" applyAlignment="1">
      <alignment horizontal="left" wrapText="1"/>
    </xf>
    <xf numFmtId="0" fontId="2" fillId="4" borderId="0" xfId="0" applyFont="1" applyFill="1" applyAlignment="1">
      <alignment horizontal="left" wrapText="1"/>
    </xf>
    <xf numFmtId="0" fontId="167" fillId="4" borderId="6" xfId="0" applyFont="1" applyFill="1" applyBorder="1" applyAlignment="1">
      <alignment horizontal="left" wrapText="1"/>
    </xf>
    <xf numFmtId="0" fontId="2" fillId="4" borderId="7" xfId="0" applyFont="1" applyFill="1" applyBorder="1" applyAlignment="1">
      <alignment horizontal="left" wrapText="1"/>
    </xf>
    <xf numFmtId="0" fontId="2" fillId="4" borderId="6" xfId="0" applyFont="1" applyFill="1" applyBorder="1" applyAlignment="1"/>
    <xf numFmtId="0" fontId="168" fillId="4" borderId="7" xfId="0" applyFont="1" applyFill="1" applyBorder="1" applyAlignment="1">
      <alignment wrapText="1"/>
    </xf>
    <xf numFmtId="0" fontId="169" fillId="5" borderId="0" xfId="0" applyFont="1" applyFill="1" applyAlignment="1"/>
    <xf numFmtId="0" fontId="2" fillId="5" borderId="4" xfId="0" applyFont="1" applyFill="1" applyBorder="1" applyAlignment="1"/>
    <xf numFmtId="0" fontId="170" fillId="5" borderId="5" xfId="0" applyFont="1" applyFill="1" applyBorder="1" applyAlignment="1"/>
    <xf numFmtId="0" fontId="171" fillId="0" borderId="0" xfId="0" applyFont="1" applyAlignment="1"/>
    <xf numFmtId="0" fontId="172" fillId="0" borderId="0" xfId="0" applyFont="1" applyAlignment="1">
      <alignment wrapText="1"/>
    </xf>
    <xf numFmtId="0" fontId="2" fillId="5" borderId="5" xfId="0" applyFont="1" applyFill="1" applyBorder="1" applyAlignment="1"/>
    <xf numFmtId="0" fontId="173" fillId="0" borderId="0" xfId="0" applyFont="1" applyAlignment="1">
      <alignment horizontal="left" wrapText="1"/>
    </xf>
    <xf numFmtId="0" fontId="174" fillId="0" borderId="0" xfId="0" applyFont="1" applyAlignment="1">
      <alignment horizontal="left" wrapText="1"/>
    </xf>
    <xf numFmtId="0" fontId="175" fillId="0" borderId="0" xfId="0" applyFont="1" applyAlignment="1">
      <alignment horizontal="left" wrapText="1"/>
    </xf>
    <xf numFmtId="0" fontId="176" fillId="4" borderId="0" xfId="0" applyFont="1" applyFill="1" applyAlignment="1">
      <alignment horizontal="left" wrapText="1"/>
    </xf>
    <xf numFmtId="0" fontId="2" fillId="4" borderId="0" xfId="0" applyFont="1" applyFill="1" applyAlignment="1">
      <alignment horizontal="left"/>
    </xf>
    <xf numFmtId="0" fontId="2" fillId="5" borderId="5" xfId="0" applyFont="1" applyFill="1" applyBorder="1" applyAlignment="1"/>
    <xf numFmtId="0" fontId="177" fillId="0" borderId="0" xfId="0" applyFont="1" applyAlignment="1">
      <alignment horizontal="left" vertical="center" wrapText="1"/>
    </xf>
    <xf numFmtId="0" fontId="2" fillId="0" borderId="8" xfId="0" applyFont="1" applyBorder="1" applyAlignment="1">
      <alignment wrapText="1"/>
    </xf>
    <xf numFmtId="0" fontId="178" fillId="4" borderId="9" xfId="0" applyFont="1" applyFill="1" applyBorder="1" applyAlignment="1"/>
    <xf numFmtId="0" fontId="179" fillId="4" borderId="0" xfId="0" applyFont="1" applyFill="1" applyAlignment="1"/>
    <xf numFmtId="0" fontId="2" fillId="4" borderId="7" xfId="0" applyFont="1" applyFill="1" applyBorder="1" applyAlignment="1"/>
    <xf numFmtId="0" fontId="180" fillId="4" borderId="7" xfId="0" applyFont="1" applyFill="1" applyBorder="1" applyAlignment="1"/>
    <xf numFmtId="0" fontId="181" fillId="4" borderId="7" xfId="0" applyFont="1" applyFill="1" applyBorder="1" applyAlignment="1"/>
    <xf numFmtId="0" fontId="182" fillId="5" borderId="7" xfId="0" applyFont="1" applyFill="1" applyBorder="1" applyAlignment="1"/>
    <xf numFmtId="0" fontId="183" fillId="4" borderId="6" xfId="0" applyFont="1" applyFill="1" applyBorder="1" applyAlignment="1"/>
    <xf numFmtId="0" fontId="184" fillId="4" borderId="6" xfId="0" applyFont="1" applyFill="1" applyBorder="1" applyAlignment="1">
      <alignment wrapText="1"/>
    </xf>
    <xf numFmtId="0" fontId="185" fillId="5" borderId="6" xfId="0" applyFont="1" applyFill="1" applyBorder="1" applyAlignment="1"/>
    <xf numFmtId="0" fontId="186" fillId="5" borderId="7" xfId="0" applyFont="1" applyFill="1" applyBorder="1" applyAlignment="1">
      <alignment horizontal="left"/>
    </xf>
    <xf numFmtId="0" fontId="2" fillId="5" borderId="0" xfId="0" applyFont="1" applyFill="1" applyAlignment="1"/>
    <xf numFmtId="0" fontId="187" fillId="5" borderId="0" xfId="0" applyFont="1" applyFill="1" applyAlignment="1"/>
    <xf numFmtId="0" fontId="188" fillId="5" borderId="0" xfId="0" applyFont="1" applyFill="1" applyAlignment="1"/>
    <xf numFmtId="0" fontId="189" fillId="0" borderId="0" xfId="0" applyFont="1" applyAlignment="1">
      <alignment horizontal="left" wrapText="1"/>
    </xf>
    <xf numFmtId="0" fontId="190" fillId="5" borderId="0" xfId="0" applyFont="1" applyFill="1" applyAlignment="1">
      <alignment horizontal="left"/>
    </xf>
    <xf numFmtId="0" fontId="191" fillId="5" borderId="0" xfId="0" applyFont="1" applyFill="1" applyAlignment="1">
      <alignment horizontal="left"/>
    </xf>
    <xf numFmtId="0" fontId="192" fillId="5" borderId="7" xfId="0" applyFont="1" applyFill="1" applyBorder="1" applyAlignment="1"/>
    <xf numFmtId="0" fontId="193" fillId="5" borderId="4" xfId="0" applyFont="1" applyFill="1" applyBorder="1" applyAlignment="1">
      <alignment horizontal="left"/>
    </xf>
    <xf numFmtId="0" fontId="2" fillId="5" borderId="7" xfId="0" applyFont="1" applyFill="1" applyBorder="1" applyAlignment="1"/>
    <xf numFmtId="0" fontId="2" fillId="5" borderId="6" xfId="0" applyFont="1" applyFill="1" applyBorder="1" applyAlignment="1"/>
    <xf numFmtId="0" fontId="194" fillId="5" borderId="7" xfId="0" applyFont="1" applyFill="1" applyBorder="1" applyAlignment="1"/>
    <xf numFmtId="0" fontId="195" fillId="5" borderId="6" xfId="0" applyFont="1" applyFill="1" applyBorder="1" applyAlignment="1"/>
    <xf numFmtId="0" fontId="196" fillId="5" borderId="6" xfId="0" applyFont="1" applyFill="1" applyBorder="1" applyAlignment="1">
      <alignment horizontal="left"/>
    </xf>
    <xf numFmtId="0" fontId="197" fillId="5" borderId="0" xfId="0" applyFont="1" applyFill="1" applyAlignment="1"/>
    <xf numFmtId="0" fontId="2" fillId="5" borderId="9" xfId="0" applyFont="1" applyFill="1" applyBorder="1" applyAlignment="1"/>
    <xf numFmtId="0" fontId="2" fillId="5" borderId="0" xfId="0" applyFont="1" applyFill="1" applyAlignment="1">
      <alignment horizontal="left"/>
    </xf>
    <xf numFmtId="0" fontId="2" fillId="5" borderId="4" xfId="0" applyFont="1" applyFill="1" applyBorder="1" applyAlignment="1">
      <alignment horizontal="left"/>
    </xf>
    <xf numFmtId="0" fontId="2" fillId="5" borderId="6" xfId="0" applyFont="1" applyFill="1" applyBorder="1" applyAlignment="1">
      <alignment horizontal="left"/>
    </xf>
    <xf numFmtId="0" fontId="2" fillId="5" borderId="7" xfId="0" applyFont="1" applyFill="1" applyBorder="1" applyAlignment="1">
      <alignment horizontal="left"/>
    </xf>
    <xf numFmtId="0" fontId="198" fillId="5" borderId="6" xfId="0" applyFont="1" applyFill="1" applyBorder="1" applyAlignment="1">
      <alignment horizontal="left"/>
    </xf>
    <xf numFmtId="0" fontId="199" fillId="5" borderId="6" xfId="0" applyFont="1" applyFill="1" applyBorder="1" applyAlignment="1"/>
    <xf numFmtId="0" fontId="2" fillId="5" borderId="6" xfId="0" applyFont="1" applyFill="1" applyBorder="1" applyAlignment="1"/>
    <xf numFmtId="0" fontId="200" fillId="5" borderId="7" xfId="0" applyFont="1" applyFill="1" applyBorder="1" applyAlignment="1"/>
    <xf numFmtId="0" fontId="201" fillId="0" borderId="0" xfId="0" applyFont="1" applyAlignment="1">
      <alignment horizontal="left" wrapText="1"/>
    </xf>
    <xf numFmtId="164" fontId="1" fillId="6" borderId="0" xfId="0" applyNumberFormat="1" applyFont="1" applyFill="1" applyAlignment="1">
      <alignment horizontal="center" vertical="center"/>
    </xf>
    <xf numFmtId="164" fontId="1" fillId="6" borderId="0" xfId="0" applyNumberFormat="1" applyFont="1" applyFill="1" applyAlignment="1">
      <alignment horizontal="center" vertical="center" wrapText="1"/>
    </xf>
    <xf numFmtId="0" fontId="1" fillId="6" borderId="0" xfId="0" applyFont="1" applyFill="1" applyAlignment="1">
      <alignment horizontal="center" vertical="center" wrapText="1"/>
    </xf>
    <xf numFmtId="0" fontId="1" fillId="6" borderId="0" xfId="0" applyFont="1" applyFill="1" applyAlignment="1">
      <alignment horizontal="center" vertical="center" wrapText="1"/>
    </xf>
    <xf numFmtId="0" fontId="1" fillId="6" borderId="0" xfId="0" applyFont="1" applyFill="1" applyAlignment="1">
      <alignment horizontal="left" vertical="center"/>
    </xf>
    <xf numFmtId="0" fontId="1" fillId="6" borderId="0" xfId="0" applyFont="1" applyFill="1" applyAlignment="1">
      <alignment horizontal="center" vertical="center"/>
    </xf>
    <xf numFmtId="0" fontId="22" fillId="0" borderId="0" xfId="0" applyFont="1" applyAlignment="1">
      <alignment horizontal="left"/>
    </xf>
    <xf numFmtId="0" fontId="2" fillId="0" borderId="0" xfId="0" applyFont="1" applyAlignment="1">
      <alignment horizontal="left" wrapText="1"/>
    </xf>
    <xf numFmtId="0" fontId="12" fillId="0" borderId="0" xfId="0" applyFont="1" applyAlignment="1">
      <alignment horizontal="left"/>
    </xf>
    <xf numFmtId="0" fontId="2" fillId="2" borderId="0" xfId="0" applyFont="1" applyFill="1" applyAlignment="1">
      <alignment horizontal="center" wrapText="1"/>
    </xf>
    <xf numFmtId="0" fontId="2" fillId="0" borderId="0" xfId="0" applyFont="1" applyAlignment="1">
      <alignment horizontal="left" vertical="center"/>
    </xf>
    <xf numFmtId="0" fontId="202" fillId="0" borderId="0" xfId="0" applyFont="1" applyAlignment="1">
      <alignment horizontal="left"/>
    </xf>
    <xf numFmtId="0" fontId="203" fillId="0" borderId="0" xfId="0" applyFont="1" applyAlignment="1">
      <alignment horizontal="left" vertical="center"/>
    </xf>
    <xf numFmtId="0" fontId="204" fillId="0" borderId="0" xfId="0" applyFont="1" applyAlignment="1">
      <alignment horizontal="left"/>
    </xf>
    <xf numFmtId="0" fontId="205" fillId="0" borderId="0" xfId="0" applyFont="1" applyAlignment="1">
      <alignment horizontal="left"/>
    </xf>
    <xf numFmtId="0" fontId="206" fillId="0" borderId="0" xfId="0" applyFont="1" applyAlignment="1">
      <alignment horizontal="left"/>
    </xf>
    <xf numFmtId="0" fontId="207" fillId="0" borderId="0" xfId="0" applyFont="1" applyAlignment="1">
      <alignment horizontal="left"/>
    </xf>
    <xf numFmtId="0" fontId="208" fillId="0" borderId="0" xfId="0" applyFont="1" applyAlignment="1">
      <alignment horizontal="left" vertical="center"/>
    </xf>
    <xf numFmtId="0" fontId="209" fillId="0" borderId="0" xfId="0" applyFont="1" applyAlignment="1">
      <alignment horizontal="left"/>
    </xf>
    <xf numFmtId="0" fontId="210" fillId="0" borderId="0" xfId="0" applyFont="1" applyAlignment="1">
      <alignment horizontal="left"/>
    </xf>
    <xf numFmtId="0" fontId="211" fillId="0" borderId="0" xfId="0" applyFont="1" applyAlignment="1">
      <alignment horizontal="left"/>
    </xf>
    <xf numFmtId="0" fontId="212" fillId="0" borderId="0" xfId="0" applyFont="1" applyAlignment="1">
      <alignment horizontal="left"/>
    </xf>
    <xf numFmtId="0" fontId="213" fillId="0" borderId="0" xfId="0" applyFont="1" applyAlignment="1">
      <alignment horizontal="left"/>
    </xf>
    <xf numFmtId="0" fontId="214" fillId="0" borderId="0" xfId="0" applyFont="1" applyAlignment="1">
      <alignment horizontal="left"/>
    </xf>
    <xf numFmtId="0" fontId="12" fillId="0" borderId="0" xfId="0" applyFont="1" applyAlignment="1">
      <alignment horizontal="left"/>
    </xf>
    <xf numFmtId="0" fontId="215"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horizontal="left" wrapText="1"/>
    </xf>
    <xf numFmtId="0" fontId="216" fillId="0" borderId="0" xfId="0" applyFont="1" applyAlignment="1">
      <alignment horizontal="left"/>
    </xf>
    <xf numFmtId="0" fontId="2" fillId="0" borderId="0" xfId="0" applyFont="1" applyAlignment="1">
      <alignment horizontal="left"/>
    </xf>
    <xf numFmtId="0" fontId="12" fillId="0" borderId="0" xfId="0" applyFont="1" applyAlignment="1">
      <alignment horizontal="center" wrapText="1"/>
    </xf>
    <xf numFmtId="0" fontId="12" fillId="0" borderId="0" xfId="0" applyFont="1" applyAlignment="1">
      <alignment horizontal="left" wrapText="1"/>
    </xf>
    <xf numFmtId="0" fontId="2" fillId="0" borderId="0" xfId="0" applyFont="1" applyAlignment="1">
      <alignment horizontal="left" wrapText="1"/>
    </xf>
    <xf numFmtId="0" fontId="217" fillId="0" borderId="0" xfId="0" applyFont="1" applyAlignment="1">
      <alignment horizontal="left"/>
    </xf>
    <xf numFmtId="0" fontId="20" fillId="0" borderId="0" xfId="0" applyFont="1" applyAlignment="1">
      <alignment horizontal="left" wrapText="1"/>
    </xf>
    <xf numFmtId="0" fontId="218" fillId="10" borderId="0" xfId="0" applyFont="1" applyFill="1" applyAlignment="1">
      <alignment horizontal="left"/>
    </xf>
    <xf numFmtId="0" fontId="219" fillId="0" borderId="0" xfId="0" applyFont="1" applyAlignment="1">
      <alignment horizontal="left" wrapText="1"/>
    </xf>
    <xf numFmtId="0" fontId="220" fillId="0" borderId="0" xfId="0" applyFont="1" applyAlignment="1">
      <alignment horizontal="left"/>
    </xf>
    <xf numFmtId="0" fontId="221" fillId="0" borderId="0" xfId="0" applyFont="1" applyAlignment="1">
      <alignment horizontal="left"/>
    </xf>
    <xf numFmtId="0" fontId="12" fillId="0" borderId="0" xfId="0" applyFont="1" applyAlignment="1">
      <alignment horizontal="left" vertical="center"/>
    </xf>
    <xf numFmtId="0" fontId="222" fillId="0" borderId="0" xfId="0" applyFont="1" applyAlignment="1">
      <alignment horizontal="left"/>
    </xf>
    <xf numFmtId="0" fontId="223" fillId="0" borderId="0" xfId="0" applyFont="1" applyAlignment="1">
      <alignment horizontal="center" wrapText="1"/>
    </xf>
    <xf numFmtId="0" fontId="224" fillId="0" borderId="0" xfId="0" applyFont="1" applyAlignment="1">
      <alignment horizontal="left"/>
    </xf>
    <xf numFmtId="0" fontId="20" fillId="2" borderId="0" xfId="0" applyFont="1" applyFill="1" applyAlignment="1">
      <alignment horizontal="left" wrapText="1"/>
    </xf>
    <xf numFmtId="0" fontId="2" fillId="0" borderId="0" xfId="0" applyFont="1" applyAlignment="1">
      <alignment horizontal="left" vertical="center"/>
    </xf>
    <xf numFmtId="0" fontId="225" fillId="0" borderId="0" xfId="0" applyFont="1" applyAlignment="1">
      <alignment horizontal="left" wrapText="1"/>
    </xf>
    <xf numFmtId="0" fontId="2" fillId="10" borderId="0" xfId="0" applyFont="1" applyFill="1" applyAlignment="1">
      <alignment horizontal="left"/>
    </xf>
    <xf numFmtId="0" fontId="2" fillId="10" borderId="0" xfId="0" applyFont="1" applyFill="1" applyAlignment="1">
      <alignment horizontal="center" wrapText="1"/>
    </xf>
    <xf numFmtId="0" fontId="2" fillId="10" borderId="0" xfId="0" applyFont="1" applyFill="1" applyAlignment="1">
      <alignment horizontal="center" wrapText="1"/>
    </xf>
    <xf numFmtId="0" fontId="2" fillId="10" borderId="0" xfId="0" applyFont="1" applyFill="1" applyAlignment="1">
      <alignment horizontal="center" vertical="center" wrapText="1"/>
    </xf>
    <xf numFmtId="0" fontId="12" fillId="10" borderId="0" xfId="0" applyFont="1" applyFill="1" applyAlignment="1">
      <alignment horizontal="center" vertical="center" wrapText="1"/>
    </xf>
    <xf numFmtId="0" fontId="2" fillId="10" borderId="0" xfId="0" applyFont="1" applyFill="1" applyAlignment="1">
      <alignment horizontal="center" vertical="center" wrapText="1"/>
    </xf>
    <xf numFmtId="0" fontId="12" fillId="10" borderId="0" xfId="0" applyFont="1" applyFill="1" applyAlignment="1">
      <alignment horizontal="left" vertical="center"/>
    </xf>
    <xf numFmtId="0" fontId="226" fillId="10" borderId="0" xfId="0" applyFont="1" applyFill="1" applyAlignment="1">
      <alignment horizontal="left" wrapText="1"/>
    </xf>
    <xf numFmtId="0" fontId="12" fillId="10" borderId="0" xfId="0" applyFont="1" applyFill="1" applyAlignment="1">
      <alignment horizontal="left"/>
    </xf>
    <xf numFmtId="0" fontId="12" fillId="10" borderId="0" xfId="0" applyFont="1" applyFill="1" applyAlignment="1">
      <alignment horizontal="left" wrapText="1"/>
    </xf>
    <xf numFmtId="0" fontId="12" fillId="10" borderId="0" xfId="0" applyFont="1" applyFill="1" applyAlignment="1">
      <alignment wrapText="1"/>
    </xf>
    <xf numFmtId="0" fontId="2" fillId="0" borderId="0" xfId="0" applyFont="1" applyAlignment="1">
      <alignment wrapText="1"/>
    </xf>
    <xf numFmtId="0" fontId="2" fillId="0" borderId="0" xfId="0" applyFont="1" applyAlignment="1">
      <alignment vertical="top" wrapText="1"/>
    </xf>
    <xf numFmtId="0" fontId="2" fillId="12" borderId="0" xfId="0" applyFont="1" applyFill="1" applyAlignment="1">
      <alignment horizontal="left" wrapText="1"/>
    </xf>
    <xf numFmtId="0" fontId="2" fillId="0" borderId="0" xfId="0" applyFont="1" applyAlignment="1">
      <alignment horizontal="left" wrapText="1"/>
    </xf>
    <xf numFmtId="0" fontId="1" fillId="0" borderId="0" xfId="0" applyFont="1" applyAlignment="1">
      <alignment vertical="top" wrapText="1"/>
    </xf>
    <xf numFmtId="0" fontId="2" fillId="12" borderId="0" xfId="0" applyFont="1" applyFill="1" applyAlignment="1">
      <alignment horizontal="left" vertical="center" wrapText="1"/>
    </xf>
    <xf numFmtId="0" fontId="227" fillId="0" borderId="0" xfId="0" applyFont="1" applyAlignment="1">
      <alignment horizontal="left" wrapText="1"/>
    </xf>
    <xf numFmtId="0" fontId="2" fillId="12" borderId="0" xfId="0" applyFont="1" applyFill="1" applyAlignment="1">
      <alignment horizontal="left" wrapText="1"/>
    </xf>
    <xf numFmtId="0" fontId="228" fillId="0" borderId="0" xfId="0" applyFont="1" applyAlignment="1">
      <alignment horizontal="left"/>
    </xf>
    <xf numFmtId="0" fontId="1" fillId="0" borderId="0" xfId="0" applyFont="1" applyAlignment="1">
      <alignment horizontal="left"/>
    </xf>
    <xf numFmtId="0" fontId="229" fillId="0" borderId="0" xfId="0" applyFont="1" applyAlignment="1">
      <alignment horizontal="left"/>
    </xf>
    <xf numFmtId="0" fontId="230" fillId="0" borderId="0" xfId="0" applyFont="1" applyAlignment="1">
      <alignment horizontal="left" wrapText="1"/>
    </xf>
    <xf numFmtId="0" fontId="2" fillId="12" borderId="0" xfId="0" applyFont="1" applyFill="1" applyAlignment="1">
      <alignment horizontal="left" vertical="center" wrapText="1"/>
    </xf>
    <xf numFmtId="0" fontId="1" fillId="0" borderId="0" xfId="0" applyFont="1" applyAlignment="1">
      <alignment vertical="top" wrapText="1"/>
    </xf>
    <xf numFmtId="0" fontId="1" fillId="0" borderId="0" xfId="0" applyFont="1" applyAlignment="1">
      <alignment wrapText="1"/>
    </xf>
    <xf numFmtId="0" fontId="231" fillId="0" borderId="0" xfId="0" applyFont="1" applyAlignment="1">
      <alignment horizontal="left" vertical="top"/>
    </xf>
    <xf numFmtId="0" fontId="232" fillId="2" borderId="0" xfId="0" applyFont="1" applyFill="1" applyAlignment="1">
      <alignment horizontal="left" wrapText="1"/>
    </xf>
    <xf numFmtId="0" fontId="234" fillId="0" borderId="0" xfId="0" applyFont="1" applyAlignment="1">
      <alignment vertical="top"/>
    </xf>
    <xf numFmtId="0" fontId="2" fillId="12" borderId="0" xfId="0" applyFont="1" applyFill="1" applyAlignment="1">
      <alignment horizontal="left" wrapText="1"/>
    </xf>
    <xf numFmtId="0" fontId="2" fillId="12" borderId="0" xfId="0" applyFont="1" applyFill="1" applyAlignment="1">
      <alignment horizontal="left" wrapText="1"/>
    </xf>
    <xf numFmtId="0" fontId="237" fillId="0" borderId="0" xfId="0" applyFont="1" applyAlignment="1">
      <alignment horizontal="left"/>
    </xf>
    <xf numFmtId="0" fontId="12" fillId="12" borderId="0" xfId="0" applyFont="1" applyFill="1" applyAlignment="1">
      <alignment horizontal="left" vertical="center" wrapText="1"/>
    </xf>
    <xf numFmtId="0" fontId="238" fillId="0" borderId="0" xfId="0" applyFont="1" applyAlignment="1">
      <alignment horizontal="left" wrapText="1"/>
    </xf>
    <xf numFmtId="0" fontId="246" fillId="0" borderId="0" xfId="0" applyFont="1" applyAlignment="1">
      <alignment horizontal="center" vertical="center" wrapText="1"/>
    </xf>
    <xf numFmtId="0" fontId="247" fillId="0" borderId="0" xfId="0" applyFont="1" applyAlignment="1">
      <alignment horizontal="center" vertical="center" wrapText="1"/>
    </xf>
    <xf numFmtId="0" fontId="2" fillId="0" borderId="0" xfId="0" applyFont="1" applyAlignment="1">
      <alignment wrapText="1"/>
    </xf>
    <xf numFmtId="0" fontId="248" fillId="13" borderId="0" xfId="1" applyAlignment="1">
      <alignment horizontal="center" wrapText="1"/>
    </xf>
    <xf numFmtId="0" fontId="249" fillId="14" borderId="0" xfId="2" applyAlignment="1">
      <alignment horizontal="center" wrapText="1"/>
    </xf>
    <xf numFmtId="0" fontId="248" fillId="13" borderId="0" xfId="1" applyAlignment="1">
      <alignment horizontal="center" vertical="center" wrapText="1"/>
    </xf>
    <xf numFmtId="0" fontId="249" fillId="14" borderId="0" xfId="2" applyAlignment="1">
      <alignment horizontal="center" vertical="center" wrapText="1"/>
    </xf>
    <xf numFmtId="0" fontId="0" fillId="0" borderId="9" xfId="0" applyBorder="1"/>
    <xf numFmtId="0" fontId="6" fillId="0" borderId="0" xfId="0" applyFont="1" applyAlignment="1"/>
    <xf numFmtId="0" fontId="0" fillId="0" borderId="9" xfId="0" applyBorder="1"/>
    <xf numFmtId="0" fontId="251" fillId="15" borderId="10" xfId="0" applyFont="1" applyFill="1" applyBorder="1" applyAlignment="1">
      <alignment horizontal="left" readingOrder="1"/>
    </xf>
    <xf numFmtId="0" fontId="251" fillId="15" borderId="10" xfId="0" applyFont="1" applyFill="1" applyBorder="1" applyAlignment="1">
      <alignment horizontal="center" readingOrder="1"/>
    </xf>
    <xf numFmtId="0" fontId="250" fillId="15" borderId="10" xfId="3" applyFill="1" applyBorder="1" applyAlignment="1">
      <alignment horizontal="left" readingOrder="1"/>
    </xf>
    <xf numFmtId="0" fontId="251" fillId="15" borderId="10" xfId="0" applyFont="1" applyFill="1" applyBorder="1" applyAlignment="1">
      <alignment horizontal="left" vertical="center" readingOrder="1"/>
    </xf>
    <xf numFmtId="0" fontId="253" fillId="15" borderId="10" xfId="0" applyFont="1" applyFill="1" applyBorder="1" applyAlignment="1">
      <alignment horizontal="left" readingOrder="1"/>
    </xf>
    <xf numFmtId="0" fontId="254" fillId="15" borderId="10" xfId="0" applyFont="1" applyFill="1" applyBorder="1" applyAlignment="1">
      <alignment horizontal="left" readingOrder="1"/>
    </xf>
    <xf numFmtId="0" fontId="254" fillId="15" borderId="10" xfId="0" applyFont="1" applyFill="1" applyBorder="1" applyAlignment="1">
      <alignment horizontal="center" readingOrder="1"/>
    </xf>
    <xf numFmtId="0" fontId="251" fillId="15" borderId="10" xfId="0" applyFont="1" applyFill="1" applyBorder="1" applyAlignment="1">
      <alignment horizontal="left" vertical="top" readingOrder="1"/>
    </xf>
    <xf numFmtId="0" fontId="251" fillId="15" borderId="10" xfId="0" applyFont="1" applyFill="1" applyBorder="1" applyAlignment="1">
      <alignment horizontal="center" vertical="top" readingOrder="1"/>
    </xf>
    <xf numFmtId="0" fontId="251" fillId="16" borderId="10" xfId="0" applyFont="1" applyFill="1" applyBorder="1" applyAlignment="1">
      <alignment horizontal="left" readingOrder="1"/>
    </xf>
    <xf numFmtId="0" fontId="251" fillId="15" borderId="10" xfId="0" applyFont="1" applyFill="1" applyBorder="1" applyAlignment="1">
      <alignment horizontal="center" vertical="center" readingOrder="1"/>
    </xf>
    <xf numFmtId="0" fontId="251" fillId="17" borderId="10" xfId="0" applyFont="1" applyFill="1" applyBorder="1" applyAlignment="1">
      <alignment horizontal="left" readingOrder="1"/>
    </xf>
    <xf numFmtId="0" fontId="257" fillId="0" borderId="11" xfId="0" applyFont="1" applyBorder="1" applyAlignment="1">
      <alignment horizontal="center" vertical="center" wrapText="1"/>
    </xf>
    <xf numFmtId="0" fontId="0" fillId="0" borderId="0" xfId="0"/>
    <xf numFmtId="0" fontId="251" fillId="21" borderId="10" xfId="0" applyFont="1" applyFill="1" applyBorder="1" applyAlignment="1">
      <alignment horizontal="center" vertical="center" readingOrder="1"/>
    </xf>
    <xf numFmtId="0" fontId="259" fillId="19" borderId="0" xfId="0" applyFont="1" applyFill="1" applyAlignment="1">
      <alignment wrapText="1"/>
    </xf>
    <xf numFmtId="0" fontId="251" fillId="21" borderId="10" xfId="0" applyFont="1" applyFill="1" applyBorder="1" applyAlignment="1">
      <alignment horizontal="center" vertical="center" wrapText="1" readingOrder="1"/>
    </xf>
    <xf numFmtId="0" fontId="0" fillId="22" borderId="13" xfId="4" applyFont="1" applyAlignment="1">
      <alignment wrapText="1"/>
    </xf>
    <xf numFmtId="0" fontId="0" fillId="0" borderId="0" xfId="0" applyFont="1" applyAlignment="1">
      <alignment wrapText="1"/>
    </xf>
    <xf numFmtId="0" fontId="260" fillId="23" borderId="0" xfId="5" applyAlignment="1">
      <alignment horizontal="center" wrapText="1"/>
    </xf>
    <xf numFmtId="0" fontId="0" fillId="0" borderId="0" xfId="0" applyFont="1" applyAlignment="1">
      <alignment wrapText="1"/>
    </xf>
    <xf numFmtId="0" fontId="260" fillId="23" borderId="0" xfId="5" applyAlignment="1">
      <alignment wrapText="1"/>
    </xf>
    <xf numFmtId="0" fontId="247" fillId="24" borderId="9" xfId="6" applyBorder="1">
      <alignment horizontal="center" wrapText="1"/>
    </xf>
    <xf numFmtId="0" fontId="247" fillId="4" borderId="0" xfId="0" applyFont="1" applyFill="1" applyAlignment="1"/>
    <xf numFmtId="0" fontId="0" fillId="0" borderId="0" xfId="0" applyFont="1" applyAlignment="1">
      <alignment wrapText="1"/>
    </xf>
    <xf numFmtId="0" fontId="0" fillId="0" borderId="0" xfId="0" applyFont="1" applyAlignment="1">
      <alignment wrapText="1"/>
    </xf>
    <xf numFmtId="0" fontId="261" fillId="0" borderId="9" xfId="7"/>
    <xf numFmtId="0" fontId="260" fillId="23" borderId="9" xfId="8"/>
    <xf numFmtId="0" fontId="263" fillId="0" borderId="0" xfId="0" applyFont="1"/>
    <xf numFmtId="0" fontId="264" fillId="0" borderId="9" xfId="7" applyFont="1" applyAlignment="1">
      <alignment horizontal="center"/>
    </xf>
    <xf numFmtId="0" fontId="248" fillId="13" borderId="9" xfId="9" applyAlignment="1">
      <alignment horizontal="center"/>
    </xf>
    <xf numFmtId="0" fontId="260" fillId="23" borderId="9" xfId="8" applyAlignment="1">
      <alignment horizontal="center"/>
    </xf>
    <xf numFmtId="0" fontId="249" fillId="14" borderId="9" xfId="10" applyAlignment="1">
      <alignment horizontal="center"/>
    </xf>
    <xf numFmtId="0" fontId="261" fillId="0" borderId="9" xfId="7" applyAlignment="1">
      <alignment horizontal="center"/>
    </xf>
    <xf numFmtId="0" fontId="265" fillId="0" borderId="9" xfId="7" applyFont="1"/>
    <xf numFmtId="0" fontId="266" fillId="0" borderId="9" xfId="7" applyFont="1" applyAlignment="1">
      <alignment horizontal="center"/>
    </xf>
    <xf numFmtId="0" fontId="0" fillId="0" borderId="0" xfId="0"/>
    <xf numFmtId="0" fontId="267" fillId="0" borderId="9" xfId="7" applyFont="1" applyAlignment="1">
      <alignment horizontal="left" vertical="center"/>
    </xf>
    <xf numFmtId="0" fontId="263" fillId="0" borderId="0" xfId="0" applyFont="1" applyAlignment="1">
      <alignment horizontal="left"/>
    </xf>
    <xf numFmtId="0" fontId="248" fillId="13" borderId="9" xfId="9"/>
    <xf numFmtId="0" fontId="0" fillId="0" borderId="0" xfId="0"/>
    <xf numFmtId="0" fontId="268" fillId="0" borderId="9" xfId="7" applyFont="1"/>
    <xf numFmtId="0" fontId="0" fillId="0" borderId="0" xfId="0" applyAlignment="1">
      <alignment horizontal="left" vertical="center" wrapText="1" indent="1"/>
    </xf>
    <xf numFmtId="0" fontId="0" fillId="0" borderId="0" xfId="0" applyAlignment="1">
      <alignment horizontal="center"/>
    </xf>
    <xf numFmtId="0" fontId="249" fillId="14" borderId="9" xfId="10"/>
    <xf numFmtId="0" fontId="271" fillId="0" borderId="9" xfId="7" applyFont="1"/>
    <xf numFmtId="0" fontId="271" fillId="0" borderId="9" xfId="7" applyFont="1" applyAlignment="1">
      <alignment horizontal="center"/>
    </xf>
    <xf numFmtId="0" fontId="272" fillId="0" borderId="9" xfId="7" applyFont="1" applyAlignment="1">
      <alignment horizontal="center"/>
    </xf>
    <xf numFmtId="0" fontId="0" fillId="0" borderId="0" xfId="0"/>
    <xf numFmtId="0" fontId="251" fillId="15" borderId="10" xfId="0" applyFont="1" applyFill="1" applyBorder="1" applyAlignment="1">
      <alignment horizontal="left" readingOrder="1"/>
    </xf>
    <xf numFmtId="0" fontId="251" fillId="15" borderId="10" xfId="0" applyFont="1" applyFill="1" applyBorder="1" applyAlignment="1">
      <alignment horizontal="center" readingOrder="1"/>
    </xf>
    <xf numFmtId="0" fontId="259" fillId="19" borderId="0" xfId="0" applyFont="1" applyFill="1" applyAlignment="1">
      <alignment wrapText="1"/>
    </xf>
    <xf numFmtId="0" fontId="258" fillId="20" borderId="12" xfId="0" applyFont="1" applyFill="1" applyBorder="1" applyAlignment="1">
      <alignment horizontal="center" vertical="center" wrapText="1"/>
    </xf>
    <xf numFmtId="0" fontId="0" fillId="15" borderId="10" xfId="0" applyFill="1" applyBorder="1" applyAlignment="1">
      <alignment horizontal="left" readingOrder="1"/>
    </xf>
    <xf numFmtId="0" fontId="251" fillId="15" borderId="10" xfId="0" applyFont="1" applyFill="1" applyBorder="1" applyAlignment="1">
      <alignment horizontal="left" vertical="center" readingOrder="1"/>
    </xf>
    <xf numFmtId="0" fontId="254" fillId="15" borderId="10" xfId="0" applyFont="1" applyFill="1" applyBorder="1" applyAlignment="1">
      <alignment horizontal="left" readingOrder="1"/>
    </xf>
    <xf numFmtId="0" fontId="254" fillId="15" borderId="10" xfId="0" applyFont="1" applyFill="1" applyBorder="1" applyAlignment="1">
      <alignment horizontal="center" readingOrder="1"/>
    </xf>
    <xf numFmtId="0" fontId="251" fillId="15" borderId="10" xfId="0" applyFont="1" applyFill="1" applyBorder="1" applyAlignment="1">
      <alignment horizontal="center" vertical="center" readingOrder="1"/>
    </xf>
    <xf numFmtId="0" fontId="257" fillId="19" borderId="0" xfId="0" applyFont="1" applyFill="1" applyAlignment="1">
      <alignment horizontal="center" vertical="center" wrapText="1"/>
    </xf>
    <xf numFmtId="0" fontId="251" fillId="21" borderId="10" xfId="0" applyFont="1" applyFill="1" applyBorder="1" applyAlignment="1">
      <alignment horizontal="center" vertical="center" wrapText="1" readingOrder="1"/>
    </xf>
    <xf numFmtId="0" fontId="251" fillId="21" borderId="10" xfId="0" applyFont="1" applyFill="1" applyBorder="1" applyAlignment="1">
      <alignment horizontal="center" vertical="center" readingOrder="1"/>
    </xf>
    <xf numFmtId="0" fontId="257" fillId="0" borderId="11" xfId="0" applyFont="1" applyBorder="1" applyAlignment="1">
      <alignment horizontal="center" vertical="center" wrapText="1"/>
    </xf>
    <xf numFmtId="0" fontId="256" fillId="18" borderId="11" xfId="0" applyFont="1" applyFill="1" applyBorder="1" applyAlignment="1">
      <alignment horizontal="center" vertical="center" wrapText="1"/>
    </xf>
    <xf numFmtId="0" fontId="254" fillId="15" borderId="10" xfId="0" applyFont="1" applyFill="1" applyBorder="1" applyAlignment="1">
      <alignment horizontal="center" vertical="center" readingOrder="1"/>
    </xf>
    <xf numFmtId="0" fontId="273" fillId="15" borderId="10" xfId="0" applyFont="1" applyFill="1" applyBorder="1" applyAlignment="1">
      <alignment horizontal="center" readingOrder="1"/>
    </xf>
    <xf numFmtId="0" fontId="254" fillId="15" borderId="10" xfId="0" applyFont="1" applyFill="1" applyBorder="1" applyAlignment="1">
      <alignment horizontal="right" readingOrder="1"/>
    </xf>
    <xf numFmtId="0" fontId="254" fillId="15" borderId="10" xfId="0" applyFont="1" applyFill="1" applyBorder="1" applyAlignment="1">
      <alignment horizontal="left" vertical="center" readingOrder="1"/>
    </xf>
    <xf numFmtId="0" fontId="251" fillId="21" borderId="10" xfId="0" applyFont="1" applyFill="1" applyBorder="1" applyAlignment="1">
      <alignment horizontal="center" wrapText="1" readingOrder="1"/>
    </xf>
    <xf numFmtId="0" fontId="274" fillId="19" borderId="0" xfId="0" applyFont="1" applyFill="1" applyAlignment="1">
      <alignment wrapText="1"/>
    </xf>
    <xf numFmtId="0" fontId="275" fillId="19" borderId="0" xfId="0" applyFont="1" applyFill="1" applyAlignment="1">
      <alignment horizontal="center" vertical="center" wrapText="1"/>
    </xf>
    <xf numFmtId="0" fontId="275" fillId="0" borderId="11" xfId="0" applyFont="1" applyBorder="1" applyAlignment="1">
      <alignment horizontal="center" vertical="center" wrapText="1"/>
    </xf>
    <xf numFmtId="0" fontId="276" fillId="18" borderId="11" xfId="0" applyFont="1" applyFill="1" applyBorder="1" applyAlignment="1">
      <alignment horizontal="center" vertical="center" wrapText="1"/>
    </xf>
    <xf numFmtId="0" fontId="248" fillId="13" borderId="9" xfId="1" applyBorder="1" applyAlignment="1">
      <alignment horizontal="center"/>
    </xf>
    <xf numFmtId="0" fontId="260" fillId="23" borderId="9" xfId="5" applyBorder="1" applyAlignment="1">
      <alignment horizontal="center"/>
    </xf>
    <xf numFmtId="0" fontId="249" fillId="14" borderId="9" xfId="2" applyBorder="1" applyAlignment="1">
      <alignment horizontal="center"/>
    </xf>
    <xf numFmtId="0" fontId="250" fillId="13" borderId="9" xfId="3" applyFill="1" applyBorder="1" applyAlignment="1">
      <alignment horizontal="center"/>
    </xf>
    <xf numFmtId="0" fontId="260" fillId="23" borderId="9" xfId="5" applyBorder="1"/>
    <xf numFmtId="0" fontId="260" fillId="23" borderId="9" xfId="5" applyBorder="1" applyAlignment="1">
      <alignment horizontal="center" wrapText="1"/>
    </xf>
    <xf numFmtId="0" fontId="0" fillId="0" borderId="0" xfId="0" applyFont="1" applyAlignment="1">
      <alignment wrapText="1"/>
    </xf>
    <xf numFmtId="0" fontId="2" fillId="0" borderId="0" xfId="0" applyFont="1" applyAlignment="1">
      <alignment wrapText="1"/>
    </xf>
    <xf numFmtId="0" fontId="2" fillId="0" borderId="0" xfId="0" applyFont="1" applyAlignment="1">
      <alignment horizontal="left" wrapText="1"/>
    </xf>
    <xf numFmtId="0" fontId="68" fillId="0" borderId="0" xfId="0" applyFont="1" applyAlignment="1">
      <alignment horizontal="left" vertical="top"/>
    </xf>
    <xf numFmtId="0" fontId="139" fillId="0" borderId="0" xfId="0" applyFont="1" applyAlignment="1">
      <alignment horizontal="left" vertical="center" wrapText="1"/>
    </xf>
    <xf numFmtId="0" fontId="0" fillId="0" borderId="0" xfId="0" applyFont="1" applyAlignment="1">
      <alignment wrapText="1"/>
    </xf>
    <xf numFmtId="0" fontId="250" fillId="0" borderId="0" xfId="3" applyAlignment="1">
      <alignment wrapText="1"/>
    </xf>
    <xf numFmtId="0" fontId="248" fillId="13" borderId="9" xfId="1" applyBorder="1"/>
    <xf numFmtId="0" fontId="248" fillId="13" borderId="0" xfId="9" applyBorder="1" applyAlignment="1">
      <alignment horizontal="center" wrapText="1"/>
    </xf>
    <xf numFmtId="0" fontId="0" fillId="0" borderId="0" xfId="0" applyFont="1" applyAlignment="1">
      <alignment wrapText="1"/>
    </xf>
    <xf numFmtId="0" fontId="2" fillId="0" borderId="0" xfId="0" applyFont="1" applyAlignment="1">
      <alignment wrapText="1"/>
    </xf>
    <xf numFmtId="0" fontId="139" fillId="0" borderId="0" xfId="0" applyFont="1" applyAlignment="1">
      <alignment horizontal="left" vertical="center" wrapText="1"/>
    </xf>
    <xf numFmtId="0" fontId="247" fillId="0" borderId="0" xfId="0" applyFont="1" applyAlignment="1">
      <alignment horizontal="center" wrapText="1"/>
    </xf>
    <xf numFmtId="0" fontId="250" fillId="0" borderId="0" xfId="3" applyAlignment="1">
      <alignment horizontal="left" vertical="top"/>
    </xf>
    <xf numFmtId="0" fontId="250" fillId="0" borderId="0" xfId="3" applyAlignment="1">
      <alignment horizontal="left" vertical="center" wrapText="1"/>
    </xf>
    <xf numFmtId="0" fontId="250" fillId="0" borderId="0" xfId="3" applyAlignment="1"/>
    <xf numFmtId="0" fontId="260" fillId="23" borderId="0" xfId="5" applyAlignment="1">
      <alignment horizontal="left" wrapText="1"/>
    </xf>
    <xf numFmtId="0" fontId="248" fillId="13" borderId="0" xfId="1" applyAlignment="1">
      <alignment horizontal="left" wrapText="1"/>
    </xf>
    <xf numFmtId="0" fontId="251" fillId="15" borderId="14" xfId="0" applyFont="1" applyFill="1" applyBorder="1" applyAlignment="1">
      <alignment horizontal="left" readingOrder="1"/>
    </xf>
    <xf numFmtId="0" fontId="250" fillId="0" borderId="0" xfId="3"/>
    <xf numFmtId="0" fontId="248" fillId="13" borderId="0" xfId="1" applyAlignment="1">
      <alignment wrapText="1"/>
    </xf>
    <xf numFmtId="0" fontId="2" fillId="0" borderId="0" xfId="0" applyFont="1" applyAlignment="1">
      <alignment horizontal="left" wrapText="1"/>
    </xf>
    <xf numFmtId="0" fontId="2" fillId="0" borderId="0" xfId="0" applyFont="1" applyAlignment="1">
      <alignment horizontal="left" wrapText="1"/>
    </xf>
    <xf numFmtId="0" fontId="2" fillId="6" borderId="0" xfId="0" applyFont="1" applyFill="1" applyAlignment="1">
      <alignment vertical="top" wrapText="1"/>
    </xf>
    <xf numFmtId="0" fontId="248" fillId="13" borderId="9" xfId="1" applyBorder="1" applyAlignment="1">
      <alignment wrapText="1"/>
    </xf>
    <xf numFmtId="0" fontId="252" fillId="0" borderId="0" xfId="0" applyFont="1" applyAlignment="1">
      <alignment wrapText="1"/>
    </xf>
    <xf numFmtId="0" fontId="2"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horizontal="left" wrapText="1"/>
    </xf>
    <xf numFmtId="0" fontId="249" fillId="14" borderId="0" xfId="2" applyAlignment="1"/>
    <xf numFmtId="0" fontId="249" fillId="14" borderId="6" xfId="2" applyBorder="1" applyAlignment="1"/>
    <xf numFmtId="0" fontId="249" fillId="14" borderId="0" xfId="10" applyBorder="1" applyAlignment="1"/>
    <xf numFmtId="0" fontId="2" fillId="0" borderId="0" xfId="0" applyFont="1" applyAlignment="1">
      <alignment horizontal="left" wrapText="1"/>
    </xf>
    <xf numFmtId="0" fontId="278" fillId="25" borderId="15" xfId="11" applyAlignment="1">
      <alignment horizontal="center"/>
    </xf>
    <xf numFmtId="0" fontId="2" fillId="0" borderId="0" xfId="0" applyFont="1" applyAlignment="1">
      <alignment horizontal="left" wrapText="1"/>
    </xf>
    <xf numFmtId="0" fontId="0" fillId="0" borderId="9" xfId="0" applyBorder="1" applyAlignment="1">
      <alignment wrapText="1"/>
    </xf>
    <xf numFmtId="0" fontId="2" fillId="0" borderId="0" xfId="0" applyFont="1" applyAlignment="1">
      <alignment horizontal="left" wrapText="1"/>
    </xf>
    <xf numFmtId="0" fontId="2" fillId="0" borderId="0" xfId="0" applyFont="1" applyAlignment="1">
      <alignment horizontal="left" wrapText="1"/>
    </xf>
    <xf numFmtId="0" fontId="279" fillId="26" borderId="16" xfId="12" applyAlignment="1">
      <alignment horizontal="left" wrapText="1"/>
    </xf>
    <xf numFmtId="0" fontId="279" fillId="26" borderId="16" xfId="12"/>
    <xf numFmtId="0" fontId="279" fillId="26" borderId="16" xfId="12" applyAlignment="1">
      <alignment horizontal="center" wrapText="1"/>
    </xf>
    <xf numFmtId="0" fontId="6" fillId="0" borderId="0" xfId="0" applyFont="1" applyAlignment="1">
      <alignment wrapText="1"/>
    </xf>
    <xf numFmtId="0" fontId="247" fillId="27" borderId="9" xfId="13" applyBorder="1">
      <alignment horizontal="left" wrapText="1"/>
    </xf>
    <xf numFmtId="14" fontId="248" fillId="13" borderId="0" xfId="1" applyNumberFormat="1" applyAlignment="1">
      <alignment horizontal="center" wrapText="1"/>
    </xf>
    <xf numFmtId="14" fontId="260" fillId="23" borderId="9" xfId="5" applyNumberFormat="1" applyBorder="1" applyAlignment="1">
      <alignment horizontal="center" wrapText="1"/>
    </xf>
    <xf numFmtId="14" fontId="260" fillId="23" borderId="0" xfId="5" applyNumberFormat="1" applyAlignment="1">
      <alignment horizontal="center" wrapText="1"/>
    </xf>
    <xf numFmtId="14" fontId="279" fillId="26" borderId="16" xfId="12" applyNumberFormat="1" applyAlignment="1">
      <alignment horizontal="center" wrapText="1"/>
    </xf>
    <xf numFmtId="0" fontId="282" fillId="0" borderId="0" xfId="0" applyFont="1" applyAlignment="1">
      <alignment wrapText="1"/>
    </xf>
    <xf numFmtId="0" fontId="281" fillId="0" borderId="0" xfId="0" applyFont="1" applyAlignment="1">
      <alignment wrapText="1"/>
    </xf>
    <xf numFmtId="0" fontId="0" fillId="0" borderId="0" xfId="0" applyFont="1" applyAlignment="1">
      <alignment wrapText="1"/>
    </xf>
    <xf numFmtId="0" fontId="0" fillId="0" borderId="0" xfId="0" applyFont="1" applyAlignment="1"/>
    <xf numFmtId="0" fontId="280" fillId="0" borderId="0" xfId="0" applyFont="1" applyAlignment="1"/>
    <xf numFmtId="0" fontId="251" fillId="0" borderId="0" xfId="0" applyFont="1" applyAlignment="1"/>
    <xf numFmtId="0" fontId="251" fillId="0" borderId="0" xfId="0" applyFont="1" applyAlignment="1">
      <alignment horizontal="center" wrapText="1"/>
    </xf>
    <xf numFmtId="0" fontId="0" fillId="0" borderId="0" xfId="0" applyFont="1" applyAlignment="1">
      <alignment wrapText="1"/>
    </xf>
    <xf numFmtId="14" fontId="0" fillId="0" borderId="0" xfId="0" applyNumberFormat="1" applyFont="1" applyAlignment="1">
      <alignment wrapText="1"/>
    </xf>
    <xf numFmtId="0" fontId="0" fillId="0" borderId="0" xfId="0" applyFont="1" applyAlignment="1">
      <alignment wrapText="1"/>
    </xf>
    <xf numFmtId="0" fontId="249" fillId="14" borderId="0" xfId="2" applyAlignment="1">
      <alignment wrapText="1"/>
    </xf>
    <xf numFmtId="0" fontId="250" fillId="14" borderId="0" xfId="3" applyFill="1" applyBorder="1" applyAlignment="1">
      <alignment wrapText="1"/>
    </xf>
    <xf numFmtId="14" fontId="261" fillId="0" borderId="9" xfId="7" applyNumberFormat="1"/>
    <xf numFmtId="14" fontId="250" fillId="0" borderId="0" xfId="3" applyNumberFormat="1" applyAlignment="1">
      <alignment wrapText="1"/>
    </xf>
    <xf numFmtId="0" fontId="282" fillId="0" borderId="0" xfId="0" applyFont="1" applyAlignment="1">
      <alignment horizontal="center" wrapText="1"/>
    </xf>
    <xf numFmtId="0" fontId="0" fillId="0" borderId="0" xfId="0" applyFont="1" applyAlignment="1">
      <alignment wrapText="1"/>
    </xf>
    <xf numFmtId="0" fontId="283" fillId="0" borderId="0" xfId="0" applyFont="1" applyAlignment="1">
      <alignment vertical="center" wrapText="1"/>
    </xf>
    <xf numFmtId="0" fontId="284" fillId="0" borderId="0" xfId="3" applyFont="1" applyAlignment="1">
      <alignment wrapText="1"/>
    </xf>
    <xf numFmtId="0" fontId="250" fillId="0" borderId="9" xfId="3" applyBorder="1"/>
    <xf numFmtId="0" fontId="248" fillId="29" borderId="9" xfId="1" applyFill="1" applyBorder="1" applyAlignment="1">
      <alignment horizontal="center"/>
    </xf>
    <xf numFmtId="0" fontId="260" fillId="28" borderId="9" xfId="5" applyFill="1" applyBorder="1" applyAlignment="1">
      <alignment horizontal="center"/>
    </xf>
    <xf numFmtId="0" fontId="260" fillId="21" borderId="9" xfId="5" applyFill="1" applyBorder="1" applyAlignment="1">
      <alignment horizontal="center"/>
    </xf>
    <xf numFmtId="0" fontId="248" fillId="13" borderId="9" xfId="9" applyBorder="1"/>
    <xf numFmtId="0" fontId="260" fillId="23" borderId="9" xfId="8" applyBorder="1" applyAlignment="1">
      <alignment horizontal="center"/>
    </xf>
    <xf numFmtId="0" fontId="261" fillId="0" borderId="9" xfId="7" applyAlignment="1">
      <alignment horizontal="center" wrapText="1"/>
    </xf>
    <xf numFmtId="0" fontId="248" fillId="13" borderId="9" xfId="9" applyBorder="1" applyAlignment="1">
      <alignment horizontal="center"/>
    </xf>
    <xf numFmtId="0" fontId="260" fillId="23" borderId="9" xfId="8" applyBorder="1"/>
    <xf numFmtId="0" fontId="249" fillId="14" borderId="9" xfId="10" applyBorder="1"/>
    <xf numFmtId="0" fontId="282" fillId="13" borderId="0" xfId="1" applyFont="1" applyAlignment="1">
      <alignment wrapText="1"/>
    </xf>
    <xf numFmtId="0" fontId="4" fillId="2" borderId="0" xfId="0" applyFont="1" applyFill="1" applyAlignment="1">
      <alignment horizontal="left" vertical="center" wrapText="1"/>
    </xf>
    <xf numFmtId="0" fontId="0" fillId="0" borderId="0" xfId="0" applyFont="1" applyAlignment="1">
      <alignment wrapText="1"/>
    </xf>
    <xf numFmtId="0" fontId="6"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wrapText="1"/>
    </xf>
    <xf numFmtId="0" fontId="1" fillId="2" borderId="0" xfId="0" applyFont="1" applyFill="1" applyAlignment="1">
      <alignment wrapText="1"/>
    </xf>
    <xf numFmtId="0" fontId="5" fillId="2" borderId="0" xfId="0" applyFont="1" applyFill="1" applyAlignment="1">
      <alignment wrapText="1"/>
    </xf>
    <xf numFmtId="0" fontId="9" fillId="2" borderId="0" xfId="0" applyFont="1" applyFill="1" applyAlignment="1"/>
    <xf numFmtId="0" fontId="2" fillId="0" borderId="0" xfId="0" applyFont="1" applyAlignment="1">
      <alignment wrapText="1"/>
    </xf>
    <xf numFmtId="0" fontId="17" fillId="2" borderId="0" xfId="0" applyFont="1" applyFill="1" applyAlignment="1">
      <alignment wrapText="1"/>
    </xf>
    <xf numFmtId="0" fontId="18" fillId="2" borderId="0" xfId="0" applyFont="1" applyFill="1" applyAlignment="1"/>
    <xf numFmtId="0" fontId="2" fillId="2" borderId="0" xfId="0" applyFont="1" applyFill="1" applyAlignment="1">
      <alignment horizontal="center" wrapText="1"/>
    </xf>
    <xf numFmtId="0" fontId="7" fillId="2" borderId="0" xfId="0" applyFont="1" applyFill="1" applyAlignment="1">
      <alignment horizontal="left" vertical="center" wrapText="1"/>
    </xf>
    <xf numFmtId="0" fontId="2" fillId="2" borderId="1" xfId="0" applyFont="1" applyFill="1" applyBorder="1" applyAlignment="1">
      <alignment wrapText="1"/>
    </xf>
    <xf numFmtId="0" fontId="12" fillId="0" borderId="2" xfId="0" applyFont="1" applyBorder="1" applyAlignment="1">
      <alignment wrapText="1"/>
    </xf>
    <xf numFmtId="0" fontId="12" fillId="0" borderId="3" xfId="0" applyFont="1" applyBorder="1" applyAlignment="1">
      <alignment wrapText="1"/>
    </xf>
    <xf numFmtId="0" fontId="19" fillId="2" borderId="0" xfId="0" applyFont="1" applyFill="1" applyAlignment="1"/>
    <xf numFmtId="0" fontId="2" fillId="0" borderId="0" xfId="0" applyFont="1" applyAlignment="1">
      <alignment horizontal="left" wrapText="1"/>
    </xf>
    <xf numFmtId="0" fontId="20" fillId="2" borderId="0" xfId="0" applyFont="1" applyFill="1" applyAlignment="1">
      <alignment wrapText="1"/>
    </xf>
    <xf numFmtId="0" fontId="71" fillId="0" borderId="0" xfId="0" applyFont="1" applyAlignment="1">
      <alignment horizontal="left" vertical="top"/>
    </xf>
    <xf numFmtId="0" fontId="1" fillId="3" borderId="0" xfId="0" applyFont="1" applyFill="1" applyAlignment="1">
      <alignment horizontal="left" wrapText="1"/>
    </xf>
    <xf numFmtId="0" fontId="1" fillId="12" borderId="0" xfId="0" applyFont="1" applyFill="1" applyAlignment="1">
      <alignment wrapText="1"/>
    </xf>
    <xf numFmtId="0" fontId="68" fillId="0" borderId="0" xfId="0" applyFont="1" applyAlignment="1">
      <alignment horizontal="left" vertical="top"/>
    </xf>
    <xf numFmtId="0" fontId="69" fillId="0" borderId="0" xfId="0" applyFont="1" applyAlignment="1">
      <alignment horizontal="left" vertical="top"/>
    </xf>
    <xf numFmtId="0" fontId="2" fillId="0" borderId="0" xfId="0" applyFont="1" applyAlignment="1">
      <alignment vertical="top" wrapText="1"/>
    </xf>
    <xf numFmtId="0" fontId="72" fillId="0" borderId="0" xfId="0" applyFont="1" applyAlignment="1">
      <alignment horizontal="left" vertical="top"/>
    </xf>
    <xf numFmtId="0" fontId="43" fillId="0" borderId="0" xfId="0" applyFont="1" applyAlignment="1"/>
    <xf numFmtId="0" fontId="23" fillId="0" borderId="0" xfId="0" applyFont="1" applyAlignment="1">
      <alignment horizontal="left" vertical="center"/>
    </xf>
    <xf numFmtId="0" fontId="24" fillId="0" borderId="0" xfId="0" applyFont="1" applyAlignment="1">
      <alignment horizontal="left" vertical="center"/>
    </xf>
    <xf numFmtId="0" fontId="57" fillId="0" borderId="0" xfId="0" applyFont="1" applyAlignment="1"/>
    <xf numFmtId="0" fontId="228" fillId="0" borderId="0" xfId="0" applyFont="1" applyAlignment="1">
      <alignment horizontal="left"/>
    </xf>
    <xf numFmtId="0" fontId="229" fillId="0" borderId="0" xfId="0" applyFont="1" applyAlignment="1">
      <alignment horizontal="left"/>
    </xf>
    <xf numFmtId="0" fontId="235" fillId="0" borderId="0" xfId="0" applyFont="1" applyAlignment="1">
      <alignment vertical="top"/>
    </xf>
    <xf numFmtId="0" fontId="236" fillId="0" borderId="0" xfId="0" applyFont="1" applyAlignment="1">
      <alignment horizontal="left"/>
    </xf>
    <xf numFmtId="0" fontId="233" fillId="0" borderId="0" xfId="0" applyFont="1" applyAlignment="1">
      <alignment horizontal="left"/>
    </xf>
    <xf numFmtId="0" fontId="139" fillId="0" borderId="0" xfId="0" applyFont="1" applyAlignment="1">
      <alignment horizontal="left" vertical="center" wrapText="1"/>
    </xf>
    <xf numFmtId="0" fontId="238" fillId="0" borderId="0" xfId="0" applyFont="1" applyAlignment="1">
      <alignment horizontal="left" wrapText="1"/>
    </xf>
    <xf numFmtId="0" fontId="227" fillId="0" borderId="0" xfId="0" applyFont="1" applyAlignment="1">
      <alignment horizontal="left" wrapText="1"/>
    </xf>
    <xf numFmtId="0" fontId="239" fillId="0" borderId="0" xfId="0" applyFont="1" applyAlignment="1">
      <alignment wrapText="1"/>
    </xf>
    <xf numFmtId="0" fontId="240" fillId="0" borderId="0" xfId="0" applyFont="1" applyAlignment="1">
      <alignment wrapText="1"/>
    </xf>
    <xf numFmtId="0" fontId="241" fillId="0" borderId="0" xfId="0" applyFont="1" applyAlignment="1">
      <alignment wrapText="1"/>
    </xf>
    <xf numFmtId="0" fontId="2" fillId="6" borderId="0" xfId="0" applyFont="1" applyFill="1" applyAlignment="1">
      <alignment horizontal="center" vertical="center" wrapText="1"/>
    </xf>
    <xf numFmtId="0" fontId="2" fillId="6" borderId="0" xfId="0" applyFont="1" applyFill="1" applyAlignment="1">
      <alignment horizontal="left" vertical="center" wrapText="1"/>
    </xf>
    <xf numFmtId="0" fontId="2" fillId="6" borderId="0" xfId="0" applyFont="1" applyFill="1" applyAlignment="1">
      <alignment horizontal="center" wrapText="1"/>
    </xf>
  </cellXfs>
  <cellStyles count="15">
    <cellStyle name="26-02-2021" xfId="14" xr:uid="{03CEDAE3-D15F-4966-BB15-71BF782EB78E}"/>
    <cellStyle name="Bad" xfId="5" builtinId="27"/>
    <cellStyle name="Bad 2" xfId="8" xr:uid="{91003098-CAFB-4FEA-90F2-342646D5A1E3}"/>
    <cellStyle name="Check Cell" xfId="12" builtinId="23"/>
    <cellStyle name="Good" xfId="1" builtinId="26"/>
    <cellStyle name="Good 2" xfId="9" xr:uid="{9705C210-C05D-41AD-A82F-DE1DF4F984FB}"/>
    <cellStyle name="Hyperlink" xfId="3" builtinId="8"/>
    <cellStyle name="Input" xfId="11" builtinId="20"/>
    <cellStyle name="Neutral" xfId="2" builtinId="28"/>
    <cellStyle name="Neutral 2" xfId="10" xr:uid="{4D2F4F1A-D375-48A3-AC09-474C112AFC52}"/>
    <cellStyle name="Normal" xfId="0" builtinId="0" customBuiltin="1"/>
    <cellStyle name="Normal 2" xfId="7" xr:uid="{BE129AA2-473E-474E-B9D0-2EEC05266029}"/>
    <cellStyle name="not done" xfId="6" xr:uid="{5DDC5417-06A9-43EC-B37C-8951DC02F0BB}"/>
    <cellStyle name="Note" xfId="4" builtinId="10"/>
    <cellStyle name="TOPCODER" xfId="13" xr:uid="{28E82306-8625-447D-9AA6-FE7150982BDD}"/>
  </cellStyles>
  <dxfs count="104">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3</xdr:col>
      <xdr:colOff>0</xdr:colOff>
      <xdr:row>438</xdr:row>
      <xdr:rowOff>12915</xdr:rowOff>
    </xdr:from>
    <xdr:ext cx="4907280" cy="270379"/>
    <xdr:sp macro="" textlink="">
      <xdr:nvSpPr>
        <xdr:cNvPr id="2" name="AutoShape 1" descr="C_0=1 \ and \ C_n_+_1=\sum_{i=0}^{n}C_iC_n_-_i \ for \ n\geq 0;        ">
          <a:extLst>
            <a:ext uri="{FF2B5EF4-FFF2-40B4-BE49-F238E27FC236}">
              <a16:creationId xmlns:a16="http://schemas.microsoft.com/office/drawing/2014/main" id="{6014219E-C7B7-4609-947E-94F761794D5F}"/>
            </a:ext>
          </a:extLst>
        </xdr:cNvPr>
        <xdr:cNvSpPr>
          <a:spLocks noChangeAspect="1" noChangeArrowheads="1"/>
        </xdr:cNvSpPr>
      </xdr:nvSpPr>
      <xdr:spPr bwMode="auto">
        <a:xfrm>
          <a:off x="17125627" y="111523220"/>
          <a:ext cx="4907280" cy="27037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438</xdr:row>
      <xdr:rowOff>0</xdr:rowOff>
    </xdr:from>
    <xdr:ext cx="304800" cy="300859"/>
    <xdr:sp macro="" textlink="">
      <xdr:nvSpPr>
        <xdr:cNvPr id="3" name="AutoShape 2" descr="C_{0}=1\quad {\text{and}}\quad C_{n+1}=\sum _{i=0}^{n}C_{i}\,C_{n-i}\quad {\text{for }}n\geq 0.">
          <a:extLst>
            <a:ext uri="{FF2B5EF4-FFF2-40B4-BE49-F238E27FC236}">
              <a16:creationId xmlns:a16="http://schemas.microsoft.com/office/drawing/2014/main" id="{DF62F765-FA68-4823-87BC-0160B073BAF4}"/>
            </a:ext>
          </a:extLst>
        </xdr:cNvPr>
        <xdr:cNvSpPr>
          <a:spLocks noChangeAspect="1" noChangeArrowheads="1"/>
        </xdr:cNvSpPr>
      </xdr:nvSpPr>
      <xdr:spPr bwMode="auto">
        <a:xfrm>
          <a:off x="2560320" y="81823560"/>
          <a:ext cx="304800" cy="3008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youtube.com/watch?v=Fr6wJ5_Hok0&amp;list=PL1DUmTEdeA6IUD9Gt5rZlQfbZyAWXd-oD" TargetMode="External"/><Relationship Id="rId3" Type="http://schemas.openxmlformats.org/officeDocument/2006/relationships/hyperlink" Target="https://www.youtube.com/playlist?list=PLPt2dINI2MIaNcU070HIAO8JWYBcafuyG" TargetMode="External"/><Relationship Id="rId7" Type="http://schemas.openxmlformats.org/officeDocument/2006/relationships/hyperlink" Target="https://github.com/mostafa-saad/ArabicCompetitiveProgramming/tree/master/18-Programming-4kids" TargetMode="External"/><Relationship Id="rId2" Type="http://schemas.openxmlformats.org/officeDocument/2006/relationships/hyperlink" Target="https://www.youtube.com/watch?v=c3lmvYBxgwE" TargetMode="External"/><Relationship Id="rId1" Type="http://schemas.openxmlformats.org/officeDocument/2006/relationships/hyperlink" Target="https://sites.google.com/site/mostafasibrahim/" TargetMode="External"/><Relationship Id="rId6" Type="http://schemas.openxmlformats.org/officeDocument/2006/relationships/hyperlink" Target="https://drive.google.com/drive/folders/1y96STQBKOyEvhTAUZCtOKTeuDijpManY" TargetMode="External"/><Relationship Id="rId5" Type="http://schemas.openxmlformats.org/officeDocument/2006/relationships/hyperlink" Target="https://www.youtube.com/playlist?list=PLPt2dINI2MIbwnEoeHZnUHeUHjTd8x4F3" TargetMode="External"/><Relationship Id="rId4" Type="http://schemas.openxmlformats.org/officeDocument/2006/relationships/hyperlink" Target="https://bit.ly/37MSCjV"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codeforces.com/contest/1499/problem/E" TargetMode="External"/><Relationship Id="rId18" Type="http://schemas.openxmlformats.org/officeDocument/2006/relationships/hyperlink" Target="https://codeforces.com/problemset/problem/466/D" TargetMode="External"/><Relationship Id="rId26" Type="http://schemas.openxmlformats.org/officeDocument/2006/relationships/hyperlink" Target="https://codeforces.com/problemset/problem/228/D" TargetMode="External"/><Relationship Id="rId3" Type="http://schemas.openxmlformats.org/officeDocument/2006/relationships/hyperlink" Target="https://codeforces.com/problemset/problem/1495/B" TargetMode="External"/><Relationship Id="rId21" Type="http://schemas.openxmlformats.org/officeDocument/2006/relationships/hyperlink" Target="https://codeforces.com/problemset/problem/1250/C" TargetMode="External"/><Relationship Id="rId34" Type="http://schemas.openxmlformats.org/officeDocument/2006/relationships/hyperlink" Target="https://codeforces.com/problemset/problem/722/D" TargetMode="External"/><Relationship Id="rId7" Type="http://schemas.openxmlformats.org/officeDocument/2006/relationships/hyperlink" Target="https://codeforces.com/problemset/problem/912/D" TargetMode="External"/><Relationship Id="rId12" Type="http://schemas.openxmlformats.org/officeDocument/2006/relationships/hyperlink" Target="https://codeforces.com/problemset/problem/632/D" TargetMode="External"/><Relationship Id="rId17" Type="http://schemas.openxmlformats.org/officeDocument/2006/relationships/hyperlink" Target="https://codeforces.com/problemset/problem/793/D" TargetMode="External"/><Relationship Id="rId25" Type="http://schemas.openxmlformats.org/officeDocument/2006/relationships/hyperlink" Target="https://codeforces.com/problemset/problem/343/D" TargetMode="External"/><Relationship Id="rId33" Type="http://schemas.openxmlformats.org/officeDocument/2006/relationships/hyperlink" Target="https://codeforces.com/problemset/problem/566/D" TargetMode="External"/><Relationship Id="rId2" Type="http://schemas.openxmlformats.org/officeDocument/2006/relationships/hyperlink" Target="https://codeforces.com/problemset/problem/1420/D" TargetMode="External"/><Relationship Id="rId16" Type="http://schemas.openxmlformats.org/officeDocument/2006/relationships/hyperlink" Target="https://codeforces.com/problemset/problem/992/D" TargetMode="External"/><Relationship Id="rId20" Type="http://schemas.openxmlformats.org/officeDocument/2006/relationships/hyperlink" Target="https://codeforces.com/problemset/problem/226/D" TargetMode="External"/><Relationship Id="rId29" Type="http://schemas.openxmlformats.org/officeDocument/2006/relationships/hyperlink" Target="https://codeforces.com/problemset/problem/476/D" TargetMode="External"/><Relationship Id="rId1" Type="http://schemas.openxmlformats.org/officeDocument/2006/relationships/hyperlink" Target="https://codeforces.com/problemset/problem/1446/C" TargetMode="External"/><Relationship Id="rId6" Type="http://schemas.openxmlformats.org/officeDocument/2006/relationships/hyperlink" Target="https://codeforces.com/problemset/problem/1433/F" TargetMode="External"/><Relationship Id="rId11" Type="http://schemas.openxmlformats.org/officeDocument/2006/relationships/hyperlink" Target="https://codeforces.com/problemset/problem/796/D" TargetMode="External"/><Relationship Id="rId24" Type="http://schemas.openxmlformats.org/officeDocument/2006/relationships/hyperlink" Target="https://codeforces.com/problemset/problem/877/D" TargetMode="External"/><Relationship Id="rId32" Type="http://schemas.openxmlformats.org/officeDocument/2006/relationships/hyperlink" Target="https://codeforces.com/problemset/problem/767/D" TargetMode="External"/><Relationship Id="rId5" Type="http://schemas.openxmlformats.org/officeDocument/2006/relationships/hyperlink" Target="https://codeforces.com/problemset/problem/1025/D" TargetMode="External"/><Relationship Id="rId15" Type="http://schemas.openxmlformats.org/officeDocument/2006/relationships/hyperlink" Target="https://codeforces.com/problemset/problem/960/D" TargetMode="External"/><Relationship Id="rId23" Type="http://schemas.openxmlformats.org/officeDocument/2006/relationships/hyperlink" Target="https://codeforces.com/problemset/problem/754/D" TargetMode="External"/><Relationship Id="rId28" Type="http://schemas.openxmlformats.org/officeDocument/2006/relationships/hyperlink" Target="https://codeforces.com/problemset/problem/762/C" TargetMode="External"/><Relationship Id="rId10" Type="http://schemas.openxmlformats.org/officeDocument/2006/relationships/hyperlink" Target="https://codeforces.com/problemset/problem/1163/D" TargetMode="External"/><Relationship Id="rId19" Type="http://schemas.openxmlformats.org/officeDocument/2006/relationships/hyperlink" Target="https://codeforces.com/problemset/problem/282/D" TargetMode="External"/><Relationship Id="rId31" Type="http://schemas.openxmlformats.org/officeDocument/2006/relationships/hyperlink" Target="https://codeforces.com/problemset/problem/852/D" TargetMode="External"/><Relationship Id="rId4" Type="http://schemas.openxmlformats.org/officeDocument/2006/relationships/hyperlink" Target="https://codeforces.com/problemset/problem/1370/E" TargetMode="External"/><Relationship Id="rId9" Type="http://schemas.openxmlformats.org/officeDocument/2006/relationships/hyperlink" Target="https://codeforces.com/problemset/problem/734/E" TargetMode="External"/><Relationship Id="rId14" Type="http://schemas.openxmlformats.org/officeDocument/2006/relationships/hyperlink" Target="https://codeforces.com/contest/1499/problem/D" TargetMode="External"/><Relationship Id="rId22" Type="http://schemas.openxmlformats.org/officeDocument/2006/relationships/hyperlink" Target="https://codeforces.com/problemset/problem/362/D" TargetMode="External"/><Relationship Id="rId27" Type="http://schemas.openxmlformats.org/officeDocument/2006/relationships/hyperlink" Target="https://codeforces.com/problemset/problem/56/D" TargetMode="External"/><Relationship Id="rId30" Type="http://schemas.openxmlformats.org/officeDocument/2006/relationships/hyperlink" Target="https://codeforces.com/problemset/problem/238/C" TargetMode="External"/><Relationship Id="rId35" Type="http://schemas.openxmlformats.org/officeDocument/2006/relationships/hyperlink" Target="https://codeforces.com/problemset/problem/724/D" TargetMode="External"/><Relationship Id="rId8" Type="http://schemas.openxmlformats.org/officeDocument/2006/relationships/hyperlink" Target="https://codeforces.com/problemset/problem/1187/E" TargetMode="External"/></Relationships>
</file>

<file path=xl/worksheets/_rels/sheet12.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https://codeforces.com/contest/1243/problem/D" TargetMode="External"/><Relationship Id="rId7" Type="http://schemas.openxmlformats.org/officeDocument/2006/relationships/hyperlink" Target="https://atcoder.jp/contests/arc092/submissions/2203214" TargetMode="External"/><Relationship Id="rId2" Type="http://schemas.openxmlformats.org/officeDocument/2006/relationships/hyperlink" Target="https://atcoder.jp/contests/abc192/tasks/abc192_e" TargetMode="External"/><Relationship Id="rId1" Type="http://schemas.openxmlformats.org/officeDocument/2006/relationships/hyperlink" Target="https://codeforces.com/contest/1486/problem/E" TargetMode="External"/><Relationship Id="rId6" Type="http://schemas.openxmlformats.org/officeDocument/2006/relationships/hyperlink" Target="https://www.codechef.com/LTIME93B/problems/SEDMAX" TargetMode="External"/><Relationship Id="rId5" Type="http://schemas.openxmlformats.org/officeDocument/2006/relationships/hyperlink" Target="https://codeforces.com/contest/1005/status/F" TargetMode="External"/><Relationship Id="rId4" Type="http://schemas.openxmlformats.org/officeDocument/2006/relationships/hyperlink" Target="https://codeforces.com/contest/920/problem/E" TargetMode="External"/></Relationships>
</file>

<file path=xl/worksheets/_rels/sheet13.xml.rels><?xml version="1.0" encoding="UTF-8" standalone="yes"?>
<Relationships xmlns="http://schemas.openxmlformats.org/package/2006/relationships"><Relationship Id="rId1827" Type="http://schemas.openxmlformats.org/officeDocument/2006/relationships/hyperlink" Target="https://www.google.com/url?q=https://www.codechef.com/problems/ABGAME&amp;sa=D&amp;ust=1605639552628000&amp;usg=AFQjCNGpHsDOg-VWOHRUbGGLPse2krD94A" TargetMode="External"/><Relationship Id="rId3182" Type="http://schemas.openxmlformats.org/officeDocument/2006/relationships/hyperlink" Target="https://www.google.com/url?q=https://www.facebook.com/hackercup/problem/175329729852444/&amp;sa=D&amp;ust=1605639553419000&amp;usg=AFQjCNEI4AAV19mfEuHKZXnZq74LtKVhJQ" TargetMode="External"/><Relationship Id="rId4233" Type="http://schemas.openxmlformats.org/officeDocument/2006/relationships/hyperlink" Target="https://www.google.com/url?q=http://codeforces.com/contest/914/problem/E&amp;sa=D&amp;ust=1605639554258000&amp;usg=AFQjCNEBpCSX7iXE8dSRsuiC3gFNNqmXRQ" TargetMode="External"/><Relationship Id="rId3999" Type="http://schemas.openxmlformats.org/officeDocument/2006/relationships/hyperlink" Target="https://www.google.com/url?q=https://dwacon5th-prelims.contest.atcoder.jp/tasks/dwacon5th_prelims_c&amp;sa=D&amp;ust=1605639554126000&amp;usg=AFQjCNFI1SIdATQUG3l8HgBlTXb-Kiuzsg" TargetMode="External"/><Relationship Id="rId4300" Type="http://schemas.openxmlformats.org/officeDocument/2006/relationships/hyperlink" Target="https://www.google.com/url?q=https://www.hackerrank.com/contests/world-codesprint-13/challenges/dynamic-trees&amp;sa=D&amp;ust=1605639554284000&amp;usg=AFQjCNE5S5Jd7H5A1ZqN_IEwp35QzrszsA" TargetMode="External"/><Relationship Id="rId170" Type="http://schemas.openxmlformats.org/officeDocument/2006/relationships/hyperlink" Target="https://www.google.com/url?q=https://www.codechef.com/problems/XENTASK&amp;sa=D&amp;ust=1605639551654000&amp;usg=AFQjCNGGQd35XdOCmsbNXypcHK7DHvuEwg" TargetMode="External"/><Relationship Id="rId987" Type="http://schemas.openxmlformats.org/officeDocument/2006/relationships/hyperlink" Target="https://www.google.com/url?q=http://codeforces.com/contest/17/problem/C&amp;sa=D&amp;ust=1605639552119000&amp;usg=AFQjCNEER5GGG5B-St_y1myB35PDq02K9w" TargetMode="External"/><Relationship Id="rId2668" Type="http://schemas.openxmlformats.org/officeDocument/2006/relationships/hyperlink" Target="https://www.google.com/url?q=http://codeforces.com/contest/156/problem/D&amp;sa=D&amp;ust=1605639553132000&amp;usg=AFQjCNFzcU9NMB6vhAadsQmhfQM8gBX2_w" TargetMode="External"/><Relationship Id="rId3719" Type="http://schemas.openxmlformats.org/officeDocument/2006/relationships/hyperlink" Target="https://www.google.com/url?q=http://codeforces.com/gym/101778&amp;sa=D&amp;ust=1605639553809000&amp;usg=AFQjCNEN_xrcTdXDHwPd1ePWUAp1TgI-RQ" TargetMode="External"/><Relationship Id="rId4090" Type="http://schemas.openxmlformats.org/officeDocument/2006/relationships/hyperlink" Target="https://www.google.com/url?q=http://codeforces.com/contest/618/problem/D&amp;sa=D&amp;ust=1605639554169000&amp;usg=AFQjCNEyJnPV3M29ujy-MrTCsVRJhMOj8Q" TargetMode="External"/><Relationship Id="rId1684" Type="http://schemas.openxmlformats.org/officeDocument/2006/relationships/hyperlink" Target="https://www.google.com/url?q=http://codeforces.com/contest/797/problem/C&amp;sa=D&amp;ust=1605639552552000&amp;usg=AFQjCNEexCl7cxPHgGB-5yOMTRJ0gHbmuA" TargetMode="External"/><Relationship Id="rId2735" Type="http://schemas.openxmlformats.org/officeDocument/2006/relationships/hyperlink" Target="https://www.google.com/url?q=https://codeforces.com/contest/1132/problem/G&amp;sa=D&amp;ust=1605639553166000&amp;usg=AFQjCNGFtV0tWZolC7GxP22b_ZbDHav8rw" TargetMode="External"/><Relationship Id="rId707" Type="http://schemas.openxmlformats.org/officeDocument/2006/relationships/hyperlink" Target="https://www.google.com/url?q=https://github.com/ryuzmukhametov/CompetitiveProgramming/blob/master/spoj/SPOJ%2520AE5B2.cpp&amp;sa=D&amp;ust=1605639551968000&amp;usg=AFQjCNFQ8NFQZ-SyeIFra8A3aoXpsZxLnQ" TargetMode="External"/><Relationship Id="rId1337" Type="http://schemas.openxmlformats.org/officeDocument/2006/relationships/hyperlink" Target="https://www.google.com/url?q=http://codeforces.com/contest/580/problem/D&amp;sa=D&amp;ust=1605639552339000&amp;usg=AFQjCNG4hRT_HQgAXLank6cV5T8mZmG5pg" TargetMode="External"/><Relationship Id="rId1751" Type="http://schemas.openxmlformats.org/officeDocument/2006/relationships/hyperlink" Target="https://www.google.com/url?q=http://codeforces.com/contest/492/problem/C&amp;sa=D&amp;ust=1605639552587000&amp;usg=AFQjCNFlQfNqdtYqW2Txly--dIckOdka_g" TargetMode="External"/><Relationship Id="rId2802" Type="http://schemas.openxmlformats.org/officeDocument/2006/relationships/hyperlink" Target="https://www.google.com/url?q=https://github.com/MohamedNabil97/CompetitiveProgramming/blob/master/TJU/2616.cpp&amp;sa=D&amp;ust=1605639553211000&amp;usg=AFQjCNGxWD83OpFYMKqK2kejoJCkwadHbg" TargetMode="External"/><Relationship Id="rId43" Type="http://schemas.openxmlformats.org/officeDocument/2006/relationships/hyperlink" Target="https://www.google.com/url?q=https://github.com/thackerhelik/Topcoder/blob/master/SRM541-D1-500.cpp&amp;sa=D&amp;ust=1605639551580000&amp;usg=AFQjCNHBZwvusIIWNNo35CY5DGLTnL7abA" TargetMode="External"/><Relationship Id="rId1404" Type="http://schemas.openxmlformats.org/officeDocument/2006/relationships/hyperlink" Target="https://www.google.com/url?q=http://codeforces.com/contest/382/problem/E&amp;sa=D&amp;ust=1605639552385000&amp;usg=AFQjCNEV29emr5rJKOA_-nZ9dO1ZFVly6w" TargetMode="External"/><Relationship Id="rId3576" Type="http://schemas.openxmlformats.org/officeDocument/2006/relationships/hyperlink" Target="https://www.google.com/url?q=https://github.com/ahmedsamir221/CompetitiveProgramming/blob/master/SPOJ/SPOJ%2520SEQ.cpp&amp;sa=D&amp;ust=1605639553711000&amp;usg=AFQjCNFEcsNIG4ANon-X_HGtYwuyb9PFVg" TargetMode="External"/><Relationship Id="rId497" Type="http://schemas.openxmlformats.org/officeDocument/2006/relationships/hyperlink" Target="https://www.google.com/url?q=https://icpcarchive.ecs.baylor.edu/index.php?option%3Donlinejudge%26page%3Dshow_problem%26problem%3D4352&amp;sa=D&amp;ust=1605639551885000&amp;usg=AFQjCNGhEJK0i5stZydsyBK9uTcW15_SXQ" TargetMode="External"/><Relationship Id="rId2178" Type="http://schemas.openxmlformats.org/officeDocument/2006/relationships/hyperlink" Target="https://www.google.com/url?q=http://codeforces.com/contest/536/problem/C&amp;sa=D&amp;ust=1605639552855000&amp;usg=AFQjCNFD6he51hsJTWJYWh3wwI3CidoIag" TargetMode="External"/><Relationship Id="rId3229" Type="http://schemas.openxmlformats.org/officeDocument/2006/relationships/hyperlink" Target="https://www.google.com/url?q=http://codeforces.com/contest/895/problem/D&amp;sa=D&amp;ust=1605639553441000&amp;usg=AFQjCNHTG0R3QQCCtahYwGOSM8Y__iDcLw" TargetMode="External"/><Relationship Id="rId3990" Type="http://schemas.openxmlformats.org/officeDocument/2006/relationships/hyperlink" Target="https://www.google.com/url?q=https://github.com/YazanZebak/CompetitiveProgramming/blob/master/Codeforces/CF102001-GYM-F.cpp&amp;sa=D&amp;ust=1605639554122000&amp;usg=AFQjCNFdn_hUnCh4uJgSyRFXrIpnX15xxQ" TargetMode="External"/><Relationship Id="rId1194" Type="http://schemas.openxmlformats.org/officeDocument/2006/relationships/hyperlink" Target="https://www.google.com/url?q=https://uva.onlinejudge.org/index.php?option%3Donlinejudge%26page%3Dshow_problem%26problem%3D3215&amp;sa=D&amp;ust=1605639552239000&amp;usg=AFQjCNE01NeQKg1cAHHwtR5dSp9OBPl6VA" TargetMode="External"/><Relationship Id="rId2592" Type="http://schemas.openxmlformats.org/officeDocument/2006/relationships/hyperlink" Target="https://www.google.com/url?q=http://codeforces.com/contest/25/problem/C&amp;sa=D&amp;ust=1605639553083000&amp;usg=AFQjCNGwZZinZZ3X-qVFYEIcziZFvMef5A" TargetMode="External"/><Relationship Id="rId3643" Type="http://schemas.openxmlformats.org/officeDocument/2006/relationships/hyperlink" Target="https://www.google.com/url?q=https://github.com/Huvok/CompetitiveProgramming/blob/master/UVA/12216.cpp&amp;sa=D&amp;ust=1605639553760000&amp;usg=AFQjCNHV27PqGwkCzFFQRnKyJ5kKQzbnIQ" TargetMode="External"/><Relationship Id="rId217" Type="http://schemas.openxmlformats.org/officeDocument/2006/relationships/hyperlink" Target="https://www.google.com/url?q=https://codeforces.com/contest/863/submission/47240069&amp;sa=D&amp;ust=1605639551688000&amp;usg=AFQjCNETXDNJA4W7XcKGQBLmHdu1t7xmvA" TargetMode="External"/><Relationship Id="rId564" Type="http://schemas.openxmlformats.org/officeDocument/2006/relationships/hyperlink" Target="https://www.google.com/url?q=https://www.codechef.com/problems/IDOLS&amp;sa=D&amp;ust=1605639551913000&amp;usg=AFQjCNFYmvLOr8SLzHSB0ZSROKEqMgxlNQ" TargetMode="External"/><Relationship Id="rId2245" Type="http://schemas.openxmlformats.org/officeDocument/2006/relationships/hyperlink" Target="https://www.google.com/url?q=https://uva.onlinejudge.org/index.php?option%3Dcom_onlinejudge%26Itemid%3D8%26page%3Dshow_problem%26problem%3D41&amp;sa=D&amp;ust=1605639552895000&amp;usg=AFQjCNHjgWbuJ5_tacgVtbsdOcNMurlDcQ" TargetMode="External"/><Relationship Id="rId3710" Type="http://schemas.openxmlformats.org/officeDocument/2006/relationships/hyperlink" Target="https://www.google.com/url?q=https://github.com/mostafa-saad/MyCompetitiveProgramming/blob/master/LiveArchive/LIVEARCHIVE_3343.txt&amp;sa=D&amp;ust=1605639553802000&amp;usg=AFQjCNE31xG9wp9LIxRZ9h600KSGbWoS0A" TargetMode="External"/><Relationship Id="rId631" Type="http://schemas.openxmlformats.org/officeDocument/2006/relationships/hyperlink" Target="https://www.google.com/url?q=https://github.com/tmwilliamlin168/CompetitiveProgramming/blob/master/CodeForces/CF981-D12-G.java&amp;sa=D&amp;ust=1605639551936000&amp;usg=AFQjCNH6xAgKToVzYE4xXiPR2t5IEAzehA" TargetMode="External"/><Relationship Id="rId1261" Type="http://schemas.openxmlformats.org/officeDocument/2006/relationships/hyperlink" Target="https://www.google.com/url?q=https://github.com/OmarHashim/Competitive-Programming/blob/master/CodeForces/CF101606-GYM-E&amp;sa=D&amp;ust=1605639552297000&amp;usg=AFQjCNHp0W9Ei53KciraAEKzNIgEXboVCA" TargetMode="External"/><Relationship Id="rId2312" Type="http://schemas.openxmlformats.org/officeDocument/2006/relationships/hyperlink" Target="https://www.google.com/url?q=https://codeforces.com/contest/1199/problem/E&amp;sa=D&amp;ust=1605639552933000&amp;usg=AFQjCNEr4me3QMB9VWkaZl1GeNm7ntnRXA" TargetMode="External"/><Relationship Id="rId3086" Type="http://schemas.openxmlformats.org/officeDocument/2006/relationships/hyperlink" Target="https://www.google.com/url?q=http://codeforces.com/contest/33/problem/D&amp;sa=D&amp;ust=1605639553365000&amp;usg=AFQjCNEyfNpd4dV2bthpZ4rpwU6JTi26IA" TargetMode="External"/><Relationship Id="rId4137" Type="http://schemas.openxmlformats.org/officeDocument/2006/relationships/hyperlink" Target="https://www.google.com/url?q=https://github.com/mostafa-saad/MyCompetitiveProgramming/blob/master/UVA/UVA_12263.txt&amp;sa=D&amp;ust=1605639554200000&amp;usg=AFQjCNEMaOB3bh-IX-g4QEXfONa_koDvmg" TargetMode="External"/><Relationship Id="rId3153" Type="http://schemas.openxmlformats.org/officeDocument/2006/relationships/hyperlink" Target="https://www.google.com/url?q=https://github.com/MedoN11/CompetitiveProgramming/blob/master/Timus/2063.cpp&amp;sa=D&amp;ust=1605639553407000&amp;usg=AFQjCNHO8N78sSlBL0wfwBey96SgxICr1Q" TargetMode="External"/><Relationship Id="rId4204" Type="http://schemas.openxmlformats.org/officeDocument/2006/relationships/hyperlink" Target="https://www.google.com/url?q=http://www.codechef.com/problems/DGCD&amp;sa=D&amp;ust=1605639554243000&amp;usg=AFQjCNGJuSytnNM6LRT9EIEnF9uwY__l8A" TargetMode="External"/><Relationship Id="rId141" Type="http://schemas.openxmlformats.org/officeDocument/2006/relationships/hyperlink" Target="https://www.google.com/url?q=https://www.codechef.com/problems/ORMATRIX&amp;sa=D&amp;ust=1605639551637000&amp;usg=AFQjCNGjl8jg3kVkv6fzoYEK0Xd-0QT-Pw" TargetMode="External"/><Relationship Id="rId3220" Type="http://schemas.openxmlformats.org/officeDocument/2006/relationships/hyperlink" Target="https://www.google.com/url?q=http://codeforces.com/contest/199/problem/C&amp;sa=D&amp;ust=1605639553436000&amp;usg=AFQjCNHFiVZ_dqXkODRElfPBR97c7v5IMA" TargetMode="External"/><Relationship Id="rId7" Type="http://schemas.openxmlformats.org/officeDocument/2006/relationships/hyperlink" Target="https://www.google.com/url?q=https://csacademy.com/contest/beta-round-1/task/two_progressions/&amp;sa=D&amp;ust=1605639551565000&amp;usg=AFQjCNFMIt3C1s7QiceR7s2gxZ55jCwy6g" TargetMode="External"/><Relationship Id="rId2986" Type="http://schemas.openxmlformats.org/officeDocument/2006/relationships/hyperlink" Target="https://www.google.com/url?q=http://codeforces.com/contest/467/problem/D&amp;sa=D&amp;ust=1605639553313000&amp;usg=AFQjCNFox5Mc1iGWSo9hXow-7KcKIAI_tw" TargetMode="External"/><Relationship Id="rId958" Type="http://schemas.openxmlformats.org/officeDocument/2006/relationships/hyperlink" Target="https://www.google.com/url?q=http://codeforces.com/contest/500/problem/F&amp;sa=D&amp;ust=1605639552104000&amp;usg=AFQjCNECbHle8DwwvuEqs2-2mgEFgbEVUg" TargetMode="External"/><Relationship Id="rId1588" Type="http://schemas.openxmlformats.org/officeDocument/2006/relationships/hyperlink" Target="https://www.google.com/url?q=https://github.com/mostafa-saad/MyCompetitiveProgramming/blob/master/Codeforces/CF100956-GYM-D.txt&amp;sa=D&amp;ust=1605639552496000&amp;usg=AFQjCNHcGkhUq3OnfXEl5h_a6QDbwxS2lg" TargetMode="External"/><Relationship Id="rId2639" Type="http://schemas.openxmlformats.org/officeDocument/2006/relationships/hyperlink" Target="https://www.google.com/url?q=http://www.spoj.com/problems/MELE3/&amp;sa=D&amp;ust=1605639553116000&amp;usg=AFQjCNHmKgNxQ_22fw200TIep61AKrYFIg" TargetMode="External"/><Relationship Id="rId1655" Type="http://schemas.openxmlformats.org/officeDocument/2006/relationships/hyperlink" Target="https://www.google.com/url?q=http://codeforces.com/contest/227/problem/D&amp;sa=D&amp;ust=1605639552533000&amp;usg=AFQjCNGGnUbruj6KC5NavvmKnFmobQU9bA" TargetMode="External"/><Relationship Id="rId2706" Type="http://schemas.openxmlformats.org/officeDocument/2006/relationships/hyperlink" Target="https://www.google.com/url?q=https://www.facebook.com/hackercup/problem/294773441466017/&amp;sa=D&amp;ust=1605639553150000&amp;usg=AFQjCNGdg0bh_fYWQWRUqIanrivB-bKHFQ" TargetMode="External"/><Relationship Id="rId4061" Type="http://schemas.openxmlformats.org/officeDocument/2006/relationships/hyperlink" Target="https://www.google.com/url?q=http://codeforces.com/contest/625/problem/D&amp;sa=D&amp;ust=1605639554155000&amp;usg=AFQjCNFvz41LJFQbWf2iBBNHGRr9zvbftg" TargetMode="External"/><Relationship Id="rId1308" Type="http://schemas.openxmlformats.org/officeDocument/2006/relationships/hyperlink" Target="https://www.google.com/url?q=https://github.com/Omaar22/CompetitiveProgramming/blob/master/SPOJ/SPOJ%2520DNALAB.cpp&amp;sa=D&amp;ust=1605639552320000&amp;usg=AFQjCNEv3Tk8I2Za7dcXrD6jg4b_qH2Uvg" TargetMode="External"/><Relationship Id="rId1722" Type="http://schemas.openxmlformats.org/officeDocument/2006/relationships/hyperlink" Target="https://www.google.com/url?q=http://codeforces.com/contest/1065/problem/C&amp;sa=D&amp;ust=1605639552572000&amp;usg=AFQjCNHVjiB_9sJMiv1HSz3b5EV3tZGGsQ" TargetMode="External"/><Relationship Id="rId14" Type="http://schemas.openxmlformats.org/officeDocument/2006/relationships/hyperlink" Target="https://www.google.com/url?q=http://codeforces.com/gym/101889&amp;sa=D&amp;ust=1605639551568000&amp;usg=AFQjCNFzQ6x0IzcBubNA4CMHbjA-FjjhGg" TargetMode="External"/><Relationship Id="rId3894" Type="http://schemas.openxmlformats.org/officeDocument/2006/relationships/hyperlink" Target="https://www.google.com/url?q=https://github.com/omaryasser/Competitive-Programming/blob/master/SPOJ%2520solutions/COT2%2520-%2520Count%2520on%2520a%2520tree%2520II.cpp&amp;sa=D&amp;ust=1605639553916000&amp;usg=AFQjCNHli1ZbyXESClXq5GgVNQnyHinpKg" TargetMode="External"/><Relationship Id="rId2496" Type="http://schemas.openxmlformats.org/officeDocument/2006/relationships/hyperlink" Target="https://www.google.com/url?q=https://uva.onlinejudge.org/index.php?option%3Dcom_onlinejudge%26Itemid%3D8%26page%3Dshow_problem%26problem%3D1249&amp;sa=D&amp;ust=1605639553030000&amp;usg=AFQjCNH3GppXHXLQhIoeXPp8tNLL1-s5EA" TargetMode="External"/><Relationship Id="rId3547" Type="http://schemas.openxmlformats.org/officeDocument/2006/relationships/hyperlink" Target="https://www.google.com/url?q=https://codeforces.com/problemset/problem/1106/F&amp;sa=D&amp;ust=1605639553686000&amp;usg=AFQjCNHWCfCmefE2dv2Y0gIP_eTwl7F3kw" TargetMode="External"/><Relationship Id="rId3961" Type="http://schemas.openxmlformats.org/officeDocument/2006/relationships/hyperlink" Target="https://www.google.com/url?q=http://codeforces.com/contest/421/problem/C&amp;sa=D&amp;ust=1605639553949000&amp;usg=AFQjCNHThwEKF44NIrs0RjguPU9Sx2CXZw" TargetMode="External"/><Relationship Id="rId468" Type="http://schemas.openxmlformats.org/officeDocument/2006/relationships/hyperlink" Target="https://www.google.com/url?q=http://codeforces.com/contest/237/problem/C&amp;sa=D&amp;ust=1605639551872000&amp;usg=AFQjCNFl3H8L7n3nAB27QcwO47p3ytW01w" TargetMode="External"/><Relationship Id="rId882" Type="http://schemas.openxmlformats.org/officeDocument/2006/relationships/hyperlink" Target="https://www.google.com/url?q=https://github.com/MohamedNabil97/CompetitiveProgramming/blob/master/Timus/1470.cpp&amp;sa=D&amp;ust=1605639552059000&amp;usg=AFQjCNExf3humRdsad0kkN2InOX0iYvNqg" TargetMode="External"/><Relationship Id="rId1098" Type="http://schemas.openxmlformats.org/officeDocument/2006/relationships/hyperlink" Target="https://www.google.com/url?q=https://github.com/ahmedsamir221/CompetitiveProgramming/blob/master/Timus/TIMUS%25201156.cpp&amp;sa=D&amp;ust=1605639552176000&amp;usg=AFQjCNEYW4FeT1PaMkocJRomq5MzX_EemQ" TargetMode="External"/><Relationship Id="rId2149" Type="http://schemas.openxmlformats.org/officeDocument/2006/relationships/hyperlink" Target="https://www.google.com/url?q=https://github.com/MeGaCrazy/CompetitiveProgramming/blob/aa9f393f5c9392dcb701cf469f207ad28cca29bf/UVA/UVA_10585.cpp&amp;sa=D&amp;ust=1605639552837000&amp;usg=AFQjCNHCFufE35pN7ECeJV-9LxCNIXZvNg" TargetMode="External"/><Relationship Id="rId2563" Type="http://schemas.openxmlformats.org/officeDocument/2006/relationships/hyperlink" Target="https://www.google.com/url?q=https://github.com/A7medgamal/CompetitiveProgramming/blob/master/LiveArchive/LiveArchive%25206590.cpp&amp;sa=D&amp;ust=1605639553066000&amp;usg=AFQjCNHQlG6wK-OQhkenEXaYpjrWZocSUw" TargetMode="External"/><Relationship Id="rId3614" Type="http://schemas.openxmlformats.org/officeDocument/2006/relationships/hyperlink" Target="https://www.google.com/url?q=https://community.topcoder.com/stat?c%3Dproblem_statement%26pm%3D1771%26rd%3D4570&amp;sa=D&amp;ust=1605639553741000&amp;usg=AFQjCNH52CrMzsr_TF8PqFx62OQvmnl4qw" TargetMode="External"/><Relationship Id="rId535" Type="http://schemas.openxmlformats.org/officeDocument/2006/relationships/hyperlink" Target="https://www.google.com/url?q=https://github.com/mostafa-saad/MyCompetitiveProgramming/blob/master/UVA/UVA_10125.txt&amp;sa=D&amp;ust=1605639551902000&amp;usg=AFQjCNFzMiNYIRa0sNo1LBA5i3crmFwm5w" TargetMode="External"/><Relationship Id="rId1165" Type="http://schemas.openxmlformats.org/officeDocument/2006/relationships/hyperlink" Target="https://www.google.com/url?q=https://github.com/ahmedsamir221/CompetitiveProgramming/blob/master/SPOJ/SPOJ%2520NAIVELOK.cpp&amp;sa=D&amp;ust=1605639552222000&amp;usg=AFQjCNFXabsV6q5wLakhN7tWe18oTVU45A" TargetMode="External"/><Relationship Id="rId2216" Type="http://schemas.openxmlformats.org/officeDocument/2006/relationships/hyperlink" Target="https://www.google.com/url?q=https://onlinejudge.org/index.php?option%3Donlinejudge%26Itemid%3D8%26page%3Dshow_problem%26problem%3D1554&amp;sa=D&amp;ust=1605639552880000&amp;usg=AFQjCNGvfK_JUuoMzo0GyBYepj9mfIQDnQ" TargetMode="External"/><Relationship Id="rId2630" Type="http://schemas.openxmlformats.org/officeDocument/2006/relationships/hyperlink" Target="https://www.google.com/url?q=https://github.com/BRAINOOO/CompetitiveProgramming/blob/master/UVA/V-116/UVA%252011635.Cpp&amp;sa=D&amp;ust=1605639553111000&amp;usg=AFQjCNFixiNAgEOLDQqkCKFng5wTgDm23Q" TargetMode="External"/><Relationship Id="rId602" Type="http://schemas.openxmlformats.org/officeDocument/2006/relationships/hyperlink" Target="https://www.google.com/url?q=https://cmxrynp.github.io/2018/10/21/HDU-5306-Gorgeous-Sequence/&amp;sa=D&amp;ust=1605639551927000&amp;usg=AFQjCNHKgQjPHNmpHEntps5fywouX4E4qA" TargetMode="External"/><Relationship Id="rId1232" Type="http://schemas.openxmlformats.org/officeDocument/2006/relationships/hyperlink" Target="https://www.google.com/url?q=https://github.com/nya-nya-meow/CompetitiveProgramming/blob/master/TopCoder/TC(SISTERSERASINGLETTERS).cpp&amp;sa=D&amp;ust=1605639552272000&amp;usg=AFQjCNGxLUEyIVuAMcfMZiUwiFiC0DoBcQ" TargetMode="External"/><Relationship Id="rId4388" Type="http://schemas.openxmlformats.org/officeDocument/2006/relationships/hyperlink" Target="https://www.google.com/url?q=http://codeforces.com/contest/349/problem/D&amp;sa=D&amp;ust=1605639554321000&amp;usg=AFQjCNEYRDfi8-DCN2Fl_KA7l_pLGTCItw" TargetMode="External"/><Relationship Id="rId3057" Type="http://schemas.openxmlformats.org/officeDocument/2006/relationships/hyperlink" Target="https://www.google.com/url?q=https://github.com/mostafa-saad/MyCompetitiveProgramming/blob/master/Codeforces/CF101908-GYM-L.txt&amp;sa=D&amp;ust=1605639553354000&amp;usg=AFQjCNFx8mnzysiq_Yt4P7tTGGq1fP1a9w" TargetMode="External"/><Relationship Id="rId4108" Type="http://schemas.openxmlformats.org/officeDocument/2006/relationships/hyperlink" Target="https://www.google.com/url?q=https://uva.onlinejudge.org/index.php?option%3Donlinejudge%26page%3Dshow_problem%26problem%3D2035&amp;sa=D&amp;ust=1605639554181000&amp;usg=AFQjCNFnOcHpyUn2wmn6DEziEMDCubKiPw" TargetMode="External"/><Relationship Id="rId4455" Type="http://schemas.openxmlformats.org/officeDocument/2006/relationships/hyperlink" Target="https://codeforces.com/contest/729/problem/D" TargetMode="External"/><Relationship Id="rId3471" Type="http://schemas.openxmlformats.org/officeDocument/2006/relationships/hyperlink" Target="https://www.google.com/url?q=https://github.com/YazanZebak/CompetitiveProgramming/blob/master/Spoj/PROOT.cpp&amp;sa=D&amp;ust=1605639553598000&amp;usg=AFQjCNFhXt3le6GRMX5_XvVr4xkHJbklTw" TargetMode="External"/><Relationship Id="rId392" Type="http://schemas.openxmlformats.org/officeDocument/2006/relationships/hyperlink" Target="https://www.google.com/url?q=http://agc020.contest.atcoder.jp/tasks/agc020_d&amp;sa=D&amp;ust=1605639551838000&amp;usg=AFQjCNEKxFSRAqC4zgCxcg6TLmInVnmXJg" TargetMode="External"/><Relationship Id="rId2073" Type="http://schemas.openxmlformats.org/officeDocument/2006/relationships/hyperlink" Target="https://www.google.com/url?q=https://uva.onlinejudge.org/index.php?option%3Donlinejudge%26page%3Dshow_problem%26problem%3D379&amp;sa=D&amp;ust=1605639552784000&amp;usg=AFQjCNGhrsqXozP7nd8A1GuTkgG0eXjR4A" TargetMode="External"/><Relationship Id="rId3124" Type="http://schemas.openxmlformats.org/officeDocument/2006/relationships/hyperlink" Target="https://www.google.com/url?q=http://codeforces.com/contest/348/problem/D&amp;sa=D&amp;ust=1605639553389000&amp;usg=AFQjCNHyizarhc-kcpuboaAWs-GjYLdu-A" TargetMode="External"/><Relationship Id="rId2140" Type="http://schemas.openxmlformats.org/officeDocument/2006/relationships/hyperlink" Target="https://www.google.com/url?q=https://github.com/ryuzmukhametov/CompetitiveProgramming/blob/master/pku/PKU%25203449.cpp&amp;sa=D&amp;ust=1605639552832000&amp;usg=AFQjCNHADtr1w7gFPA1rh3MBZwoCtTQrAQ" TargetMode="External"/><Relationship Id="rId112" Type="http://schemas.openxmlformats.org/officeDocument/2006/relationships/hyperlink" Target="https://www.google.com/url?q=https://www.codechef.com/JUNE19A/problems/LENTMO&amp;sa=D&amp;ust=1605639551618000&amp;usg=AFQjCNGGexQtOK_-iscbA3BAwXpj-HWaAg" TargetMode="External"/><Relationship Id="rId2957" Type="http://schemas.openxmlformats.org/officeDocument/2006/relationships/hyperlink" Target="https://www.google.com/url?q=https://github.com/AhmedElsisy/CompetitiveProgramming/blob/master/SPOJ/SPOJ%2520IITKWPCG.cpp&amp;sa=D&amp;ust=1605639553294000&amp;usg=AFQjCNFOO82GTGX5SXn_Sa9cHPiDe2xyKA" TargetMode="External"/><Relationship Id="rId929" Type="http://schemas.openxmlformats.org/officeDocument/2006/relationships/hyperlink" Target="https://www.google.com/url?q=https://www.codechef.com/problems/BIPFAMIL&amp;sa=D&amp;ust=1605639552087000&amp;usg=AFQjCNFe8inORzXynqqSLM281h9qrqlHLw" TargetMode="External"/><Relationship Id="rId1559" Type="http://schemas.openxmlformats.org/officeDocument/2006/relationships/hyperlink" Target="https://www.google.com/url?q=https://github.com/MedoN11/CompetitiveProgramming/blob/master/CodeForces/CF946-D12-E.cpp&amp;sa=D&amp;ust=1605639552480000&amp;usg=AFQjCNHpS-dr7XhN6Xd7kqtSwkd7E6Eyrg" TargetMode="External"/><Relationship Id="rId1973" Type="http://schemas.openxmlformats.org/officeDocument/2006/relationships/hyperlink" Target="https://www.google.com/url?q=https://github.com/MeGaCrazy/CompetitiveProgramming/blob/73811c5ecf7d479c97b30edbb3a4f89ed10e88b6/UVA/UVA_10678.cpp&amp;sa=D&amp;ust=1605639552717000&amp;usg=AFQjCNEHM-T7r6FtbuF7Rc9WH4ORx2T19w" TargetMode="External"/><Relationship Id="rId4032" Type="http://schemas.openxmlformats.org/officeDocument/2006/relationships/hyperlink" Target="https://www.google.com/url?q=https://github.com/rezwan4029/UVA-CODES/blob/master/11404%2520-%2520Palindromic%2520Subsequence.cpp&amp;sa=D&amp;ust=1605639554143000&amp;usg=AFQjCNHGXcZ9Hgm71BCE66UiBe8UnFpSpw" TargetMode="External"/><Relationship Id="rId1626" Type="http://schemas.openxmlformats.org/officeDocument/2006/relationships/hyperlink" Target="https://www.google.com/url?q=http://codeforces.com/contest/709/problem/D&amp;sa=D&amp;ust=1605639552516000&amp;usg=AFQjCNEwgxxaaKIF-3CHBgYwXrQhFtIHOA" TargetMode="External"/><Relationship Id="rId3798" Type="http://schemas.openxmlformats.org/officeDocument/2006/relationships/hyperlink" Target="https://www.google.com/url?q=http://www.spoj.com/problems/NHAY&amp;sa=D&amp;ust=1605639553861000&amp;usg=AFQjCNFzHVMufaSv7LjdGPkq9DrGySMCqA" TargetMode="External"/><Relationship Id="rId3865" Type="http://schemas.openxmlformats.org/officeDocument/2006/relationships/hyperlink" Target="https://www.google.com/url?q=https://codeforces.com/contest/1056/problem/G&amp;sa=D&amp;ust=1605639553898000&amp;usg=AFQjCNH-XalsZ13ciKHUp7kvR4um4tgatw" TargetMode="External"/><Relationship Id="rId786" Type="http://schemas.openxmlformats.org/officeDocument/2006/relationships/hyperlink" Target="https://www.google.com/url?q=http://codeforces.com/contest/240/problem/F&amp;sa=D&amp;ust=1605639552006000&amp;usg=AFQjCNFZTH5JPkrPzDk04E6fgo9aIJAPwQ" TargetMode="External"/><Relationship Id="rId2467" Type="http://schemas.openxmlformats.org/officeDocument/2006/relationships/hyperlink" Target="https://www.google.com/url?q=http://www.spoj.com/problems/CLEANRBT/&amp;sa=D&amp;ust=1605639553006000&amp;usg=AFQjCNFIZWCALwpWnCB9RrJ-2KB9K7sYLQ" TargetMode="External"/><Relationship Id="rId3518" Type="http://schemas.openxmlformats.org/officeDocument/2006/relationships/hyperlink" Target="https://www.google.com/url?q=http://codeforces.com/contest/372/problem/B&amp;sa=D&amp;ust=1605639553635000&amp;usg=AFQjCNHzsF-K-C_YbMf42i0qnpiUJF-_jQ" TargetMode="External"/><Relationship Id="rId439" Type="http://schemas.openxmlformats.org/officeDocument/2006/relationships/hyperlink" Target="https://www.google.com/url?q=http://codeforces.com/contest/1041/problem/D&amp;sa=D&amp;ust=1605639551860000&amp;usg=AFQjCNGNXSJE0ROHetS4bSuTkn59eqRExQ" TargetMode="External"/><Relationship Id="rId1069" Type="http://schemas.openxmlformats.org/officeDocument/2006/relationships/hyperlink" Target="https://www.google.com/url?q=http://codeforces.com/contest/488/problem/D&amp;sa=D&amp;ust=1605639552161000&amp;usg=AFQjCNGndcC5rekLxnl__R5U7nOOyCWZLw" TargetMode="External"/><Relationship Id="rId1483" Type="http://schemas.openxmlformats.org/officeDocument/2006/relationships/hyperlink" Target="https://www.google.com/url?q=https://www.hackerrank.com/challenges/connect-the-country&amp;sa=D&amp;ust=1605639552434000&amp;usg=AFQjCNGAFolk3E4FaIcaYfsjd9mglC89jg" TargetMode="External"/><Relationship Id="rId2881" Type="http://schemas.openxmlformats.org/officeDocument/2006/relationships/hyperlink" Target="https://www.google.com/url?q=https://github.com/mostafa-saad/MyCompetitiveProgramming/blob/master/UVA/UVA_1194.txt&amp;sa=D&amp;ust=1605639553254000&amp;usg=AFQjCNFoOI4pbwqHBU4yij7UdaHejnng0A" TargetMode="External"/><Relationship Id="rId3932" Type="http://schemas.openxmlformats.org/officeDocument/2006/relationships/hyperlink" Target="https://www.google.com/url?q=http://codeforces.com/contest/714/problem/D&amp;sa=D&amp;ust=1605639553935000&amp;usg=AFQjCNHQ5l6zqGF85DMTRCHJ_twRIR8d3A" TargetMode="External"/><Relationship Id="rId506" Type="http://schemas.openxmlformats.org/officeDocument/2006/relationships/hyperlink" Target="https://www.google.com/url?q=http://codeforces.com/contest/626/problem/E&amp;sa=D&amp;ust=1605639551888000&amp;usg=AFQjCNGeVk_vWriav2Ws3OknHClCkiEabg" TargetMode="External"/><Relationship Id="rId853" Type="http://schemas.openxmlformats.org/officeDocument/2006/relationships/hyperlink" Target="https://www.google.com/url?q=https://open.kattis.com/problems/keepthemseparated&amp;sa=D&amp;ust=1605639552041000&amp;usg=AFQjCNFfXkluZnUL31KWMbJTshYuMZlH2A" TargetMode="External"/><Relationship Id="rId1136" Type="http://schemas.openxmlformats.org/officeDocument/2006/relationships/hyperlink" Target="https://www.google.com/url?q=http://codeforces.com/contest/101/problem/B&amp;sa=D&amp;ust=1605639552200000&amp;usg=AFQjCNHT6fWLUQT3-yeqkHltSozymXXrAg" TargetMode="External"/><Relationship Id="rId2534" Type="http://schemas.openxmlformats.org/officeDocument/2006/relationships/hyperlink" Target="https://www.google.com/url?q=https://github.com/Huvok/CompetitiveProgramming/blob/master/UVA/1343.cpp&amp;sa=D&amp;ust=1605639553051000&amp;usg=AFQjCNEejpkHg5NGXr8ZHkQZaFbBZFwT7w" TargetMode="External"/><Relationship Id="rId920" Type="http://schemas.openxmlformats.org/officeDocument/2006/relationships/hyperlink" Target="https://www.google.com/url?q=http://codeforces.com/contest/477/problem/D&amp;sa=D&amp;ust=1605639552082000&amp;usg=AFQjCNG983KP3s0WFIR_Gp__0xUL3GB9GA" TargetMode="External"/><Relationship Id="rId1550" Type="http://schemas.openxmlformats.org/officeDocument/2006/relationships/hyperlink" Target="https://www.google.com/url?q=https://atcoder.jp/contests/agc030/tasks/agc030_b&amp;sa=D&amp;ust=1605639552474000&amp;usg=AFQjCNGIcbBxsCvjS6pJ0dzDV_-NZsS3lQ" TargetMode="External"/><Relationship Id="rId2601" Type="http://schemas.openxmlformats.org/officeDocument/2006/relationships/hyperlink" Target="https://www.google.com/url?q=http://codeforces.com/contest/682/problem/C&amp;sa=D&amp;ust=1605639553088000&amp;usg=AFQjCNER6XnJ6cgyUzpmtGBpTtc8tpJsew" TargetMode="External"/><Relationship Id="rId1203" Type="http://schemas.openxmlformats.org/officeDocument/2006/relationships/hyperlink" Target="https://www.google.com/url?q=https://uva.onlinejudge.org/index.php?option%3Donlinejudge%26page%3Dshow_problem%26problem%3D1041&amp;sa=D&amp;ust=1605639552247000&amp;usg=AFQjCNH7k2vxlhTHBsLCKQkjt1gcGQ4mgA" TargetMode="External"/><Relationship Id="rId4359" Type="http://schemas.openxmlformats.org/officeDocument/2006/relationships/hyperlink" Target="https://www.google.com/url?q=https://raw.githubusercontent.com/veljko02/CompetitiveProgramming/master/CodeChef/subsets.cpp&amp;sa=D&amp;ust=1605639554308000&amp;usg=AFQjCNHBIyIoiDZtHCuStjSjLPjBdUzBJQ" TargetMode="External"/><Relationship Id="rId3375" Type="http://schemas.openxmlformats.org/officeDocument/2006/relationships/hyperlink" Target="https://www.google.com/url?q=https://github.com/AmrMaghraby/Competitve-Programming/blob/master/UVA/UVA%252011666.cpp&amp;sa=D&amp;ust=1605639553538000&amp;usg=AFQjCNEylzXYqmBFQcLmnrSiThUXIK08JQ" TargetMode="External"/><Relationship Id="rId4426" Type="http://schemas.openxmlformats.org/officeDocument/2006/relationships/hyperlink" Target="https://www.google.com/url?q=https://codeforces.com/contest/1113/problem/D&amp;sa=D&amp;ust=1605639554341000&amp;usg=AFQjCNGWmJb7dBI1uFTiHe6DTqLtqn4lEQ" TargetMode="External"/><Relationship Id="rId296" Type="http://schemas.openxmlformats.org/officeDocument/2006/relationships/hyperlink" Target="https://www.google.com/url?q=http://codeforces.com/contest/1121/problem/D&amp;sa=D&amp;ust=1605639551754000&amp;usg=AFQjCNHWzRqT1NoS7XMbnoRe-8DC5n4AbA" TargetMode="External"/><Relationship Id="rId2391" Type="http://schemas.openxmlformats.org/officeDocument/2006/relationships/hyperlink" Target="https://www.google.com/url?q=http://ideone.com/2aIxpi&amp;sa=D&amp;ust=1605639552964000&amp;usg=AFQjCNEF7dbDXcNZj8s5f0RVxqWTncUdzw" TargetMode="External"/><Relationship Id="rId3028" Type="http://schemas.openxmlformats.org/officeDocument/2006/relationships/hyperlink" Target="https://www.google.com/url?q=https://github.com/mostafa-saad/MyCompetitiveProgramming/blob/master/UVA/UVA_10510.txt&amp;sa=D&amp;ust=1605639553335000&amp;usg=AFQjCNEve2djb_rqQz21k0KK_J-vhIHt7g" TargetMode="External"/><Relationship Id="rId3442" Type="http://schemas.openxmlformats.org/officeDocument/2006/relationships/hyperlink" Target="https://www.google.com/url?q=http://codeforces.com/contest/52/problem/B&amp;sa=D&amp;ust=1605639553578000&amp;usg=AFQjCNGOy1E6gWEWUeJpHpAnwpr5sxLqmA" TargetMode="External"/><Relationship Id="rId363" Type="http://schemas.openxmlformats.org/officeDocument/2006/relationships/hyperlink" Target="https://www.google.com/url?q=https://morris821028.github.io/2014/07/06/oj/uva/uva-10123/&amp;sa=D&amp;ust=1605639551801000&amp;usg=AFQjCNF-R_zEZa_JscDqNXupP1S8e21ojQ" TargetMode="External"/><Relationship Id="rId2044" Type="http://schemas.openxmlformats.org/officeDocument/2006/relationships/hyperlink" Target="https://www.google.com/url?q=http://codeforces.com/gym/101630&amp;sa=D&amp;ust=1605639552768000&amp;usg=AFQjCNGpkZz_guAsg566G5G1n1vO9Vc7Vw" TargetMode="External"/><Relationship Id="rId430" Type="http://schemas.openxmlformats.org/officeDocument/2006/relationships/hyperlink" Target="https://www.google.com/url?q=https://github.com/ryuzmukhametov/CompetitiveProgramming/blob/master/uva/UVA%252012609.cpp&amp;sa=D&amp;ust=1605639551854000&amp;usg=AFQjCNHCk6Z4cJDL9XVQabjdFnB_JGW7vA" TargetMode="External"/><Relationship Id="rId1060" Type="http://schemas.openxmlformats.org/officeDocument/2006/relationships/hyperlink" Target="https://www.google.com/url?q=http://codeforces.com/contest/300/problem/D&amp;sa=D&amp;ust=1605639552155000&amp;usg=AFQjCNHdiIC5Xtvjt_BKQag5J9yzF6SS0g" TargetMode="External"/><Relationship Id="rId2111" Type="http://schemas.openxmlformats.org/officeDocument/2006/relationships/hyperlink" Target="https://www.google.com/url?q=https://github.com/mostafa-saad/MyCompetitiveProgramming/blob/master/UVA/UVA_270.txt&amp;sa=D&amp;ust=1605639552810000&amp;usg=AFQjCNGBxewYYzuemr363Ra5NCu4wxo8tw" TargetMode="External"/><Relationship Id="rId1877" Type="http://schemas.openxmlformats.org/officeDocument/2006/relationships/hyperlink" Target="https://www.google.com/url?q=http://codeforces.com/gym/100500/&amp;sa=D&amp;ust=1605639552652000&amp;usg=AFQjCNGB5L1ENIKXqOPUp-fbl-dTrSE8RA" TargetMode="External"/><Relationship Id="rId2928" Type="http://schemas.openxmlformats.org/officeDocument/2006/relationships/hyperlink" Target="https://www.google.com/url?q=http://codeforces.com/contest/1023/problem/F&amp;sa=D&amp;ust=1605639553281000&amp;usg=AFQjCNG6z0RhLewmoBxk5L_s2VRVvXynmQ" TargetMode="External"/><Relationship Id="rId4283" Type="http://schemas.openxmlformats.org/officeDocument/2006/relationships/hyperlink" Target="https://www.google.com/url?q=http://codeforces.com/contest/291/problem/E&amp;sa=D&amp;ust=1605639554278000&amp;usg=AFQjCNEJhOdJtbJsxVzuigrmUoiceSTBpA" TargetMode="External"/><Relationship Id="rId1944" Type="http://schemas.openxmlformats.org/officeDocument/2006/relationships/hyperlink" Target="https://www.google.com/url?q=https://codeforces.com/gym/101917/problem/E&amp;sa=D&amp;ust=1605639552705000&amp;usg=AFQjCNGDOx2vwRnN9jLCfQxWRdPG5jfsxg" TargetMode="External"/><Relationship Id="rId4350" Type="http://schemas.openxmlformats.org/officeDocument/2006/relationships/hyperlink" Target="https://www.google.com/url?q=https://csacademy.com/contest/round-78/task/xor-transform/&amp;sa=D&amp;ust=1605639554304000&amp;usg=AFQjCNH0I_fBTcG_ErsPtw678xy-TUXlRg" TargetMode="External"/><Relationship Id="rId4003" Type="http://schemas.openxmlformats.org/officeDocument/2006/relationships/hyperlink" Target="https://www.google.com/url?q=http://codeforces.com/contest/883/problem/I&amp;sa=D&amp;ust=1605639554127000&amp;usg=AFQjCNFjgfpOi3j7fsHiqy9hXu8nkatrFw" TargetMode="External"/><Relationship Id="rId3769" Type="http://schemas.openxmlformats.org/officeDocument/2006/relationships/hyperlink" Target="https://www.google.com/url?q=http://www.spoj.com/problems/DICT/&amp;sa=D&amp;ust=1605639553841000&amp;usg=AFQjCNE2Lcz6b2rKcltDr85eIdVwWppOEA" TargetMode="External"/><Relationship Id="rId2785" Type="http://schemas.openxmlformats.org/officeDocument/2006/relationships/hyperlink" Target="https://www.google.com/url?q=http://ideone.com/mzXQ8U&amp;sa=D&amp;ust=1605639553199000&amp;usg=AFQjCNE0gllYj4HqUxLG1-DCY_Kydv0sWQ" TargetMode="External"/><Relationship Id="rId3836" Type="http://schemas.openxmlformats.org/officeDocument/2006/relationships/hyperlink" Target="https://www.google.com/url?q=http://pc.fdi.ucm.es/swerc/swerc09/SWERC-expl.pdf&amp;sa=D&amp;ust=1605639553887000&amp;usg=AFQjCNFI80LwKG3NFucu6hSghO5WBGWy9g" TargetMode="External"/><Relationship Id="rId757" Type="http://schemas.openxmlformats.org/officeDocument/2006/relationships/hyperlink" Target="https://www.google.com/url?q=http://codeforces.com/contest/847/problem/D&amp;sa=D&amp;ust=1605639551992000&amp;usg=AFQjCNEFoenlKEw7d4jAZel-yjnsfJ-WWg" TargetMode="External"/><Relationship Id="rId1387" Type="http://schemas.openxmlformats.org/officeDocument/2006/relationships/hyperlink" Target="https://www.google.com/url?q=https://codeforces.com/contest/1111/problem/D&amp;sa=D&amp;ust=1605639552368000&amp;usg=AFQjCNFtevtq_zuDE_eNMjahqAY6qmWhtQ" TargetMode="External"/><Relationship Id="rId2438" Type="http://schemas.openxmlformats.org/officeDocument/2006/relationships/hyperlink" Target="https://www.google.com/url?q=http://codeforces.com/contest/877/problem/D&amp;sa=D&amp;ust=1605639552988000&amp;usg=AFQjCNFde0rKiMaZ-Xjw-2JrRbrjUW5OXA" TargetMode="External"/><Relationship Id="rId2852" Type="http://schemas.openxmlformats.org/officeDocument/2006/relationships/hyperlink" Target="https://www.google.com/url?q=http://codeforces.com/contest/78/problem/E&amp;sa=D&amp;ust=1605639553238000&amp;usg=AFQjCNF203mkGKAs0qbbS_RNo-6K3tLzaw" TargetMode="External"/><Relationship Id="rId3903" Type="http://schemas.openxmlformats.org/officeDocument/2006/relationships/hyperlink" Target="https://www.google.com/url?q=http://codeforces.com/contest/86/problem/D&amp;sa=D&amp;ust=1605639553919000&amp;usg=AFQjCNHF2zEPgztU7-MFXdWmnrHzj6TBmA" TargetMode="External"/><Relationship Id="rId93" Type="http://schemas.openxmlformats.org/officeDocument/2006/relationships/hyperlink" Target="https://www.google.com/url?q=https://codeforces.com/contest/1092/problem/D1&amp;sa=D&amp;ust=1605639551606000&amp;usg=AFQjCNGdWV72CcRgyJ9sXBKzK3XnmRVGVA" TargetMode="External"/><Relationship Id="rId824" Type="http://schemas.openxmlformats.org/officeDocument/2006/relationships/hyperlink" Target="https://www.google.com/url?q=https://codeforces.com/contest/1087/problem/F&amp;sa=D&amp;ust=1605639552027000&amp;usg=AFQjCNGAlE7niIEgXMgWcK-U2qeb5WZqrw" TargetMode="External"/><Relationship Id="rId1454" Type="http://schemas.openxmlformats.org/officeDocument/2006/relationships/hyperlink" Target="https://www.google.com/url?q=https://github.com/mostafa-saad/MyCompetitiveProgramming/blob/master/PKU/PKU_2151.txt&amp;sa=D&amp;ust=1605639552417000&amp;usg=AFQjCNEarhVa4Vk6tQxCcxY2tUahU15nzg" TargetMode="External"/><Relationship Id="rId2505" Type="http://schemas.openxmlformats.org/officeDocument/2006/relationships/hyperlink" Target="https://www.google.com/url?q=http://codeforces.com/contest/73/problem/D&amp;sa=D&amp;ust=1605639553035000&amp;usg=AFQjCNEY-61eB8Lc6QJOsjrbEzJD3u9gyA" TargetMode="External"/><Relationship Id="rId1107" Type="http://schemas.openxmlformats.org/officeDocument/2006/relationships/hyperlink" Target="https://www.google.com/url?q=http://codeforces.com/contest/1071/problem/B&amp;sa=D&amp;ust=1605639552185000&amp;usg=AFQjCNHnVo3omUAFARe3tlZy6SPMuru1Jg" TargetMode="External"/><Relationship Id="rId1521" Type="http://schemas.openxmlformats.org/officeDocument/2006/relationships/hyperlink" Target="https://www.google.com/url?q=http://codeforces.com/contest/767/problem/E&amp;sa=D&amp;ust=1605639552459000&amp;usg=AFQjCNFA3kXDplalSYCplEmxwBd0fPzwwQ" TargetMode="External"/><Relationship Id="rId3279" Type="http://schemas.openxmlformats.org/officeDocument/2006/relationships/hyperlink" Target="https://www.google.com/url?q=https://www.codechef.com/problems/GCDMOD&amp;sa=D&amp;ust=1605639553470000&amp;usg=AFQjCNEZ6wb5ardbusVoFD9k9xT5lj6kbw" TargetMode="External"/><Relationship Id="rId3693" Type="http://schemas.openxmlformats.org/officeDocument/2006/relationships/hyperlink" Target="https://www.google.com/url?q=http://codeforces.com/contest/521/problem/C&amp;sa=D&amp;ust=1605639553793000&amp;usg=AFQjCNF3-5xgmAvOiSN8PZU_EErYDAL5hQ" TargetMode="External"/><Relationship Id="rId2295" Type="http://schemas.openxmlformats.org/officeDocument/2006/relationships/hyperlink" Target="https://www.google.com/url?q=http://agc025.contest.atcoder.jp/tasks/agc025_d&amp;sa=D&amp;ust=1605639552927000&amp;usg=AFQjCNGlY3Fot8251BuTpKz5D_kB2XgCEg" TargetMode="External"/><Relationship Id="rId3346" Type="http://schemas.openxmlformats.org/officeDocument/2006/relationships/hyperlink" Target="https://www.google.com/url?q=https://uva.onlinejudge.org/index.php?option%3Donlinejudge%26page%3Dshow_problem%26problem%3D353&amp;sa=D&amp;ust=1605639553515000&amp;usg=AFQjCNEeQ87uOYRyOOGAdcE_ywVMxmcaqw" TargetMode="External"/><Relationship Id="rId267" Type="http://schemas.openxmlformats.org/officeDocument/2006/relationships/hyperlink" Target="https://www.google.com/url?q=https://github.com/Huvok/CompetitiveProgramming/blob/master/UVA/326.cpp&amp;sa=D&amp;ust=1605639551739000&amp;usg=AFQjCNFar5UzwfE2c0zn9gdxzW_LUlMwvQ" TargetMode="External"/><Relationship Id="rId3760" Type="http://schemas.openxmlformats.org/officeDocument/2006/relationships/hyperlink" Target="https://www.google.com/url?q=http://codeforces.com/contest/706/problem/D&amp;sa=D&amp;ust=1605639553835000&amp;usg=AFQjCNEhslEh9zr-EylH14fauzoP99JFhQ" TargetMode="External"/><Relationship Id="rId681" Type="http://schemas.openxmlformats.org/officeDocument/2006/relationships/hyperlink" Target="https://www.google.com/url?q=https://github.com/mostafa-saad/MyCompetitiveProgramming/blob/master/SPOJ/SPOJ_MKTHNUM.txt&amp;sa=D&amp;ust=1605639551955000&amp;usg=AFQjCNGWB5kwJCCoWN7rY28wf62aJTHmzw" TargetMode="External"/><Relationship Id="rId2362" Type="http://schemas.openxmlformats.org/officeDocument/2006/relationships/hyperlink" Target="https://www.google.com/url?q=https://agc005.contest.atcoder.jp/tasks/agc005_c&amp;sa=D&amp;ust=1605639552951000&amp;usg=AFQjCNHDF52SPMMD5sStrBEeMa-rrqDcqw" TargetMode="External"/><Relationship Id="rId3413" Type="http://schemas.openxmlformats.org/officeDocument/2006/relationships/hyperlink" Target="https://www.google.com/url?q=http://codeforces.com/problemset/gymProblem/101498/D&amp;sa=D&amp;ust=1605639553560000&amp;usg=AFQjCNEyqb8GuBxYtnm4B7MiuEKYCri0EA" TargetMode="External"/><Relationship Id="rId334" Type="http://schemas.openxmlformats.org/officeDocument/2006/relationships/hyperlink" Target="https://www.google.com/url?q=https://icpcarchive.ecs.baylor.edu/index.php?option%3Dcom_onlinejudge%26Itemid%3D8%26category%3D19%26page%3Dshow_problem%26problem%3D1635&amp;sa=D&amp;ust=1605639551773000&amp;usg=AFQjCNEZnegrK2dm3UsZOeC2kp2441mteA" TargetMode="External"/><Relationship Id="rId2015" Type="http://schemas.openxmlformats.org/officeDocument/2006/relationships/hyperlink" Target="https://www.google.com/url?q=https://github.com/mostafa-saad/MyCompetitiveProgramming/blob/master/UVA/UVA_10466.txt&amp;sa=D&amp;ust=1605639552742000&amp;usg=AFQjCNEw3blbe0z3Ew6Iee3e5NuS4q5hkA" TargetMode="External"/><Relationship Id="rId401" Type="http://schemas.openxmlformats.org/officeDocument/2006/relationships/hyperlink" Target="https://www.google.com/url?q=http://codeforces.com/contest/314/problem/D&amp;sa=D&amp;ust=1605639551843000&amp;usg=AFQjCNFNU4IkLG0GzS6HkpReAD-oYzkWIQ" TargetMode="External"/><Relationship Id="rId1031" Type="http://schemas.openxmlformats.org/officeDocument/2006/relationships/hyperlink" Target="https://www.google.com/url?q=https://codeforces.com/contest/1257/problem/E&amp;sa=D&amp;ust=1605639552140000&amp;usg=AFQjCNFI4y-zmxJ9sCPDeEqCYCdiF-FtfQ" TargetMode="External"/><Relationship Id="rId4187" Type="http://schemas.openxmlformats.org/officeDocument/2006/relationships/hyperlink" Target="https://www.google.com/url?q=http://codeforces.com/contest/205/problem/E&amp;sa=D&amp;ust=1605639554235000&amp;usg=AFQjCNFkVYl2EUi92tTDvnvUfQBw0cfxLg" TargetMode="External"/><Relationship Id="rId4254" Type="http://schemas.openxmlformats.org/officeDocument/2006/relationships/hyperlink" Target="https://www.google.com/url?q=https://www.hackerrank.com/challenges/geometry-queries&amp;sa=D&amp;ust=1605639554266000&amp;usg=AFQjCNH3njkD71v74gCQABbznYZ7tiDRCA" TargetMode="External"/><Relationship Id="rId1848" Type="http://schemas.openxmlformats.org/officeDocument/2006/relationships/hyperlink" Target="https://www.google.com/url?q=https://codeforces.com/gym/101908/problem/B&amp;sa=D&amp;ust=1605639552640000&amp;usg=AFQjCNEeqwtMWDlV57jGPCh8D2nMDo8hSg" TargetMode="External"/><Relationship Id="rId3270" Type="http://schemas.openxmlformats.org/officeDocument/2006/relationships/hyperlink" Target="https://www.google.com/url?q=http://codeforces.com/contest/424/problem/C&amp;sa=D&amp;ust=1605639553464000&amp;usg=AFQjCNHvVxvqvU00Q0Grbk1-Ro2h9QGXZA" TargetMode="External"/><Relationship Id="rId4321" Type="http://schemas.openxmlformats.org/officeDocument/2006/relationships/hyperlink" Target="https://www.google.com/url?q=https://www.codechef.com/problems/CHEFAOR&amp;sa=D&amp;ust=1605639554293000&amp;usg=AFQjCNG8Rs6kDw_5YoQbjZjIRW-u0AJkig" TargetMode="External"/><Relationship Id="rId191" Type="http://schemas.openxmlformats.org/officeDocument/2006/relationships/hyperlink" Target="https://www.google.com/url?q=http://codeforces.com/contest/745/problem/D&amp;sa=D&amp;ust=1605639551672000&amp;usg=AFQjCNGtGDLXaC2Db9491_Uocb171egqxw" TargetMode="External"/><Relationship Id="rId1915" Type="http://schemas.openxmlformats.org/officeDocument/2006/relationships/hyperlink" Target="https://www.google.com/url?q=https://onlinejudge.org/index.php?option%3Dcom_onlinejudge%26Itemid%3D8%26page%3Dshow_problem%26problem%3D2119&amp;sa=D&amp;ust=1605639552687000&amp;usg=AFQjCNFtllcMwh9i3mGXxJOr98gFFVjwPg" TargetMode="External"/><Relationship Id="rId2689" Type="http://schemas.openxmlformats.org/officeDocument/2006/relationships/hyperlink" Target="https://www.google.com/url?q=https://github.com/achrafmam2/CompetitiveProgramming/blob/master/SPOJ/CHAIN.cc&amp;sa=D&amp;ust=1605639553141000&amp;usg=AFQjCNGWVqx1dYc1jE-j1zpCv0pG-jrQlw" TargetMode="External"/><Relationship Id="rId2756" Type="http://schemas.openxmlformats.org/officeDocument/2006/relationships/hyperlink" Target="https://www.google.com/url?q=https://uva.onlinejudge.org/index.php?option%3Donlinejudge%26page%3Dshow_problem%26problem%3D1928&amp;sa=D&amp;ust=1605639553181000&amp;usg=AFQjCNHfsk7Z1DBZwjHUIjW8F47NYCRJTQ" TargetMode="External"/><Relationship Id="rId3807" Type="http://schemas.openxmlformats.org/officeDocument/2006/relationships/hyperlink" Target="https://www.google.com/url?q=https://github.com/HosamEissa/Competitive-programming-/blob/master/UVA/12244.cpp&amp;sa=D&amp;ust=1605639553869000&amp;usg=AFQjCNEbVUCmCOUMngdf1UKG_lzbScbWqw" TargetMode="External"/><Relationship Id="rId728" Type="http://schemas.openxmlformats.org/officeDocument/2006/relationships/hyperlink" Target="https://www.google.com/url?q=http://codeforces.com/contest/558/problem/E&amp;sa=D&amp;ust=1605639551977000&amp;usg=AFQjCNEKlvFVykeZ_mrlrZ69XquEgI4bHw" TargetMode="External"/><Relationship Id="rId1358" Type="http://schemas.openxmlformats.org/officeDocument/2006/relationships/hyperlink" Target="https://www.google.com/url?q=http://agc026.contest.atcoder.jp/tasks/agc026_d&amp;sa=D&amp;ust=1605639552352000&amp;usg=AFQjCNGJFItzgamLAFvWar6GLvRoVexFww" TargetMode="External"/><Relationship Id="rId1772" Type="http://schemas.openxmlformats.org/officeDocument/2006/relationships/hyperlink" Target="https://www.google.com/url?q=http://codeforces.com/contest/154/problem/D&amp;sa=D&amp;ust=1605639552599000&amp;usg=AFQjCNEVRZjRQULFpczGs5sPVJOkdBfEqQ" TargetMode="External"/><Relationship Id="rId2409" Type="http://schemas.openxmlformats.org/officeDocument/2006/relationships/hyperlink" Target="https://www.google.com/url?q=http://codeforces.com/problemset/problem/1031/F&amp;sa=D&amp;ust=1605639552973000&amp;usg=AFQjCNF4aDza5oLX9zwNt-zY9NxkA00CtA" TargetMode="External"/><Relationship Id="rId64" Type="http://schemas.openxmlformats.org/officeDocument/2006/relationships/hyperlink" Target="https://www.google.com/url?q=http://codeforces.com/contest/907/problem/D&amp;sa=D&amp;ust=1605639551591000&amp;usg=AFQjCNHvRCg0eURxROsGBqlPc3M96ZvzKg" TargetMode="External"/><Relationship Id="rId1425" Type="http://schemas.openxmlformats.org/officeDocument/2006/relationships/hyperlink" Target="https://www.google.com/url?q=http://codeforces.com/contest/175/problem/D&amp;sa=D&amp;ust=1605639552400000&amp;usg=AFQjCNE0ZiKyvJOYiM7ekxiDSasuYhzQPA" TargetMode="External"/><Relationship Id="rId2823" Type="http://schemas.openxmlformats.org/officeDocument/2006/relationships/hyperlink" Target="https://www.google.com/url?q=https://github.com/mostafa-saad/MyCompetitiveProgramming/blob/master/LiveArchive/LIVEARCHIVE_5804.txt&amp;sa=D&amp;ust=1605639553222000&amp;usg=AFQjCNFPVOmFd6LU6FT_mvi4w7xKvcohbA" TargetMode="External"/><Relationship Id="rId2199" Type="http://schemas.openxmlformats.org/officeDocument/2006/relationships/hyperlink" Target="https://www.google.com/url?q=https://github.com/MeGaCrazy/CompetitiveProgramming/blob/8b73df41b564d85111013c8906f695b8420cd7d5/UVA/UVA_1641.cpp&amp;sa=D&amp;ust=1605639552870000&amp;usg=AFQjCNGBqMsFUwAqyHbfQ_ARD2e6UIVysA" TargetMode="External"/><Relationship Id="rId3597" Type="http://schemas.openxmlformats.org/officeDocument/2006/relationships/hyperlink" Target="https://www.google.com/url?q=https://codeforces.com/contest/952/problem/D&amp;sa=D&amp;ust=1605639553729000&amp;usg=AFQjCNGngmQHr-3wacwwYA93NGgrbuhxnw" TargetMode="External"/><Relationship Id="rId3664" Type="http://schemas.openxmlformats.org/officeDocument/2006/relationships/hyperlink" Target="https://www.google.com/url?q=https://github.com/mostafa-saad/MyCompetitiveProgramming/blob/master/UVA/UVA_10090.txt/&amp;sa=D&amp;ust=1605639553776000&amp;usg=AFQjCNFLsMPEZyM0KhQooHpuuSt2BGKhMw" TargetMode="External"/><Relationship Id="rId585" Type="http://schemas.openxmlformats.org/officeDocument/2006/relationships/hyperlink" Target="https://www.google.com/url?q=https://codeforces.com/contest/1109/problem/E&amp;sa=D&amp;ust=1605639551921000&amp;usg=AFQjCNEjlFC4joGZMJEsXyrXt2-s92acgQ" TargetMode="External"/><Relationship Id="rId2266" Type="http://schemas.openxmlformats.org/officeDocument/2006/relationships/hyperlink" Target="https://www.google.com/url?q=https://agc004.contest.atcoder.jp/tasks/agc004_f&amp;sa=D&amp;ust=1605639552911000&amp;usg=AFQjCNHaTI6RgCgyTfsZytujCJ4pczwj7g" TargetMode="External"/><Relationship Id="rId2680" Type="http://schemas.openxmlformats.org/officeDocument/2006/relationships/hyperlink" Target="https://www.google.com/url?q=http://codeforces.com/contest/915/problem/F&amp;sa=D&amp;ust=1605639553137000&amp;usg=AFQjCNFLonM7MSkK6rkZ6QOOKZHXw36asA" TargetMode="External"/><Relationship Id="rId3317" Type="http://schemas.openxmlformats.org/officeDocument/2006/relationships/hyperlink" Target="https://www.google.com/url?q=http://codeforces.com/contest/417/problem/E&amp;sa=D&amp;ust=1605639553497000&amp;usg=AFQjCNH0f4L1AXgNWE1E67rlg_SlkQyVaw" TargetMode="External"/><Relationship Id="rId3731" Type="http://schemas.openxmlformats.org/officeDocument/2006/relationships/hyperlink" Target="https://www.google.com/url?q=http://codeforces.com/contest/900/problem/D&amp;sa=D&amp;ust=1605639553816000&amp;usg=AFQjCNEhtxBVVjIuxnEGonUs1AYasX-DXg" TargetMode="External"/><Relationship Id="rId238" Type="http://schemas.openxmlformats.org/officeDocument/2006/relationships/hyperlink" Target="https://www.google.com/url?q=http://codeforces.com/contest/558/problem/C&amp;sa=D&amp;ust=1605639551704000&amp;usg=AFQjCNGMQBHZWkKT11O5hePpuXVwH3sDGg" TargetMode="External"/><Relationship Id="rId652" Type="http://schemas.openxmlformats.org/officeDocument/2006/relationships/hyperlink" Target="https://www.google.com/url?q=https://www.codechef.com/JUNE19A/problems/COOLCHEF&amp;sa=D&amp;ust=1605639551943000&amp;usg=AFQjCNFUUk49o_8u2Lif4xa-mxEPh5At1w" TargetMode="External"/><Relationship Id="rId1282" Type="http://schemas.openxmlformats.org/officeDocument/2006/relationships/hyperlink" Target="https://www.google.com/url?q=http://codeforces.com/contest/192/problem/C&amp;sa=D&amp;ust=1605639552305000&amp;usg=AFQjCNGy0ZXCIyFdJE9OKzb305Wy3Ms6QQ" TargetMode="External"/><Relationship Id="rId2333" Type="http://schemas.openxmlformats.org/officeDocument/2006/relationships/hyperlink" Target="https://www.google.com/url?q=http://codeforces.com/contest/510/problem/E&amp;sa=D&amp;ust=1605639552940000&amp;usg=AFQjCNFDkhGSwS9rkJzPH7Ed6LVnNK1pxQ" TargetMode="External"/><Relationship Id="rId305" Type="http://schemas.openxmlformats.org/officeDocument/2006/relationships/hyperlink" Target="https://www.google.com/url?q=https://agc018.contest.atcoder.jp/tasks/agc018_c&amp;sa=D&amp;ust=1605639551759000&amp;usg=AFQjCNEPoVPgZKKOo5xSPJfX4GE8k5corA" TargetMode="External"/><Relationship Id="rId2400" Type="http://schemas.openxmlformats.org/officeDocument/2006/relationships/hyperlink" Target="https://www.google.com/url?q=https://github.com/mostafa-saad/MyCompetitiveProgramming/blob/master/UVA/UVA_11090.txt&amp;sa=D&amp;ust=1605639552969000&amp;usg=AFQjCNHqve_t8U5ZBjpzAhPbQyBZiU-KBg" TargetMode="External"/><Relationship Id="rId1002" Type="http://schemas.openxmlformats.org/officeDocument/2006/relationships/hyperlink" Target="https://www.google.com/url?q=http://codeforces.com/contest/697/problem/C&amp;sa=D&amp;ust=1605639552126000&amp;usg=AFQjCNGOQHRvJ1oPSynuT45BJjzzEzGKhg" TargetMode="External"/><Relationship Id="rId4158" Type="http://schemas.openxmlformats.org/officeDocument/2006/relationships/hyperlink" Target="https://www.google.com/url?q=https://github.com/abdullaAshraf/Problem-Solving/blob/master/UVA/11506.cpp&amp;sa=D&amp;ust=1605639554211000&amp;usg=AFQjCNGNBOko88xy8Y0-RZ1Lph4JPZYPEg" TargetMode="External"/><Relationship Id="rId3174" Type="http://schemas.openxmlformats.org/officeDocument/2006/relationships/hyperlink" Target="https://www.google.com/url?q=http://codeforces.com/contest/371/problem/E&amp;sa=D&amp;ust=1605639553416000&amp;usg=AFQjCNE3zHZFgqaHAFrNyb3XXSfo7QBbuw" TargetMode="External"/><Relationship Id="rId1819" Type="http://schemas.openxmlformats.org/officeDocument/2006/relationships/hyperlink" Target="https://www.google.com/url?q=https://ipsc.ksp.sk/2010/real/solutions/booklet.pdf&amp;sa=D&amp;ust=1605639552623000&amp;usg=AFQjCNEgQKTSGwb94Oms71JW5nHVfH3jeA" TargetMode="External"/><Relationship Id="rId4225" Type="http://schemas.openxmlformats.org/officeDocument/2006/relationships/hyperlink" Target="https://www.google.com/url?q=https://github.com/luciocf/OI-Problems/blob/master/USACO/USACO%25202011-2012/Gold/Dec%25202011/grassplant.cpp&amp;sa=D&amp;ust=1605639554254000&amp;usg=AFQjCNFHuCJ1s8xCO2jl0_MPg3BmnAZouA" TargetMode="External"/><Relationship Id="rId2190" Type="http://schemas.openxmlformats.org/officeDocument/2006/relationships/hyperlink" Target="https://www.google.com/url?q=https://github.com/MeGaCrazy/CompetitiveProgramming/blob/263085312d6acc5da8fb2a9f7c1df298d1e4c121/UVA/UVA_11168.cpp&amp;sa=D&amp;ust=1605639552864000&amp;usg=AFQjCNGrGMCWuuayJWGMO0RwrjHUG0lUAw" TargetMode="External"/><Relationship Id="rId3241" Type="http://schemas.openxmlformats.org/officeDocument/2006/relationships/hyperlink" Target="https://www.google.com/url?q=https://codeforces.com/contest/1186/problem/C&amp;sa=D&amp;ust=1605639553449000&amp;usg=AFQjCNEBm5G4--b-zkGk-lpZp9XZAH3cgQ" TargetMode="External"/><Relationship Id="rId162" Type="http://schemas.openxmlformats.org/officeDocument/2006/relationships/hyperlink" Target="https://www.google.com/url?q=http://codeforces.com/contest/88/problem/D&amp;sa=D&amp;ust=1605639551648000&amp;usg=AFQjCNFWHLa7qCSj0XPDWqTOngU9Avi7dg" TargetMode="External"/><Relationship Id="rId979" Type="http://schemas.openxmlformats.org/officeDocument/2006/relationships/hyperlink" Target="https://www.google.com/url?q=http://codeforces.com/contest/845/problem/F&amp;sa=D&amp;ust=1605639552114000&amp;usg=AFQjCNEnNAiJGiYTGHF7XBrZpZmzMUt17g" TargetMode="External"/><Relationship Id="rId4082" Type="http://schemas.openxmlformats.org/officeDocument/2006/relationships/hyperlink" Target="https://www.google.com/url?q=http://codeforces.com/contest/276/problem/D&amp;sa=D&amp;ust=1605639554165000&amp;usg=AFQjCNHK35-PkAfFRQe1jH0j0xhqci6mqg" TargetMode="External"/><Relationship Id="rId1676" Type="http://schemas.openxmlformats.org/officeDocument/2006/relationships/hyperlink" Target="https://www.google.com/url?q=http://codeforces.com/contest/476/problem/D&amp;sa=D&amp;ust=1605639552544000&amp;usg=AFQjCNEGfoL6zJ3hbtuN_pAnY0O1ywG7Pw" TargetMode="External"/><Relationship Id="rId2727" Type="http://schemas.openxmlformats.org/officeDocument/2006/relationships/hyperlink" Target="https://www.google.com/url?q=https://onlinejudge.org/index.php?option%3Donlinejudge%26Itemid%3D8%26page%3Dshow_problem%26problem%3D5169&amp;sa=D&amp;ust=1605639553163000&amp;usg=AFQjCNHQHQPja8W0LOS08MbGDTjs0zL6uA" TargetMode="External"/><Relationship Id="rId1329" Type="http://schemas.openxmlformats.org/officeDocument/2006/relationships/hyperlink" Target="https://www.google.com/url?q=http://codeforces.com/contest/903/problem/F&amp;sa=D&amp;ust=1605639552330000&amp;usg=AFQjCNENSWFsnkA7F5RNNajRwpEmjNaSbA" TargetMode="External"/><Relationship Id="rId1743" Type="http://schemas.openxmlformats.org/officeDocument/2006/relationships/hyperlink" Target="https://www.google.com/url?q=http://codeforces.com/contest/370/problem/C&amp;sa=D&amp;ust=1605639552583000&amp;usg=AFQjCNFZMag8cDlKyrISNI_sBliSAEb7gQ" TargetMode="External"/><Relationship Id="rId35" Type="http://schemas.openxmlformats.org/officeDocument/2006/relationships/hyperlink" Target="https://www.google.com/url?q=https://hanoi18.kattis.com/problems/grabagraph&amp;sa=D&amp;ust=1605639551576000&amp;usg=AFQjCNHkojrYOfhHa-7B4ZuzbmxBcZg2VQ" TargetMode="External"/><Relationship Id="rId1810" Type="http://schemas.openxmlformats.org/officeDocument/2006/relationships/hyperlink" Target="https://www.google.com/url?q=http://codeforces.com/gym/100500/attachments&amp;sa=D&amp;ust=1605639552618000&amp;usg=AFQjCNHdhD9dM7S2UAt3dDAvyrXzAnc6pw" TargetMode="External"/><Relationship Id="rId3568" Type="http://schemas.openxmlformats.org/officeDocument/2006/relationships/hyperlink" Target="https://www.google.com/url?q=https://github.com/yazanKabbany/CompetitiveProgramming/blob/master/UVA/UVA%252011486.cpp&amp;sa=D&amp;ust=1605639553706000&amp;usg=AFQjCNHu8up7azO1wT3Iqwwi_xOH4YHNUQ" TargetMode="External"/><Relationship Id="rId3982" Type="http://schemas.openxmlformats.org/officeDocument/2006/relationships/hyperlink" Target="https://www.google.com/url?q=http://codeforces.com/contest/372/problem/D&amp;sa=D&amp;ust=1605639553964000&amp;usg=AFQjCNEwdJ4-xBxliepeZKDVC1fx4a5ZQA" TargetMode="External"/><Relationship Id="rId489" Type="http://schemas.openxmlformats.org/officeDocument/2006/relationships/hyperlink" Target="https://www.google.com/url?q=https://atcoder.jp/contests/abc134/tasks/abc134_e&amp;sa=D&amp;ust=1605639551881000&amp;usg=AFQjCNEA94HhdrlYoLb_lsk5DtLdHTMEMw" TargetMode="External"/><Relationship Id="rId2584" Type="http://schemas.openxmlformats.org/officeDocument/2006/relationships/hyperlink" Target="https://www.google.com/url?q=https://codeforces.com/contest/1282/problem/E&amp;sa=D&amp;ust=1605639553078000&amp;usg=AFQjCNFrIMjlBNQX7LfJhvMT_ro0JnBi1w" TargetMode="External"/><Relationship Id="rId3635" Type="http://schemas.openxmlformats.org/officeDocument/2006/relationships/hyperlink" Target="https://www.google.com/url?q=https://github.com/MohamedNabil97/CompetitiveProgramming/blob/master/Hackerrank/sherlock-and-probability.cpp&amp;sa=D&amp;ust=1605639553752000&amp;usg=AFQjCNHKh_Ej0yMJgOHjlhBeK6uJAaMx8g" TargetMode="External"/><Relationship Id="rId349" Type="http://schemas.openxmlformats.org/officeDocument/2006/relationships/hyperlink" Target="https://www.google.com/url?q=http://codeforces.com/contest/705/problem/C&amp;sa=D&amp;ust=1605639551790000&amp;usg=AFQjCNHT4jxP5xBsoh5lgn7Jjr_8SDEUhw" TargetMode="External"/><Relationship Id="rId556" Type="http://schemas.openxmlformats.org/officeDocument/2006/relationships/hyperlink" Target="https://www.google.com/url?q=https://github.com/osamahatem/CompetitiveProgramming/blob/master/Codeforces/359D.%2520Pair%2520of%2520Numbers.cpp&amp;sa=D&amp;ust=1605639551910000&amp;usg=AFQjCNHfvFa6QF5g1fOTYVnSGFdiSnQbMw" TargetMode="External"/><Relationship Id="rId763" Type="http://schemas.openxmlformats.org/officeDocument/2006/relationships/hyperlink" Target="https://www.google.com/url?q=https://github.com/AliOsm/CompetitiveProgramming/blob/master/SPOJ/BRCKTS%2520-%2520Brackets.cpp&amp;sa=D&amp;ust=1605639551995000&amp;usg=AFQjCNGbFKNlNb0QNOt3eMZ9FJwRTSZqEg" TargetMode="External"/><Relationship Id="rId1186" Type="http://schemas.openxmlformats.org/officeDocument/2006/relationships/hyperlink" Target="https://www.google.com/url?q=http://codeforces.com/contest/604/problem/C&amp;sa=D&amp;ust=1605639552232000&amp;usg=AFQjCNF7_fU2tY61gJEEHYCWKjdto-zkdg" TargetMode="External"/><Relationship Id="rId1393" Type="http://schemas.openxmlformats.org/officeDocument/2006/relationships/hyperlink" Target="https://www.google.com/url?q=https://github.com/MonaAhmed810/CompetitiveProgramming/blob/master/SPOJ/DCEPC810.cpp&amp;sa=D&amp;ust=1605639552374000&amp;usg=AFQjCNEG6h97MTPXJ0gDuyBEw5GJVupoEw" TargetMode="External"/><Relationship Id="rId2237" Type="http://schemas.openxmlformats.org/officeDocument/2006/relationships/hyperlink" Target="https://www.google.com/url?q=https://github.com/mostafa-saad/MyCompetitiveProgramming/blob/master/PKU/PKU_1177.txt&amp;sa=D&amp;ust=1605639552890000&amp;usg=AFQjCNFZya-YR2x0AVR3uRYacNMVr4CE7w" TargetMode="External"/><Relationship Id="rId2444" Type="http://schemas.openxmlformats.org/officeDocument/2006/relationships/hyperlink" Target="https://www.google.com/url?q=https://github.com/mostafa-saad/MyCompetitiveProgramming/blob/master/UVA/UVA_11573.txt&amp;sa=D&amp;ust=1605639552992000&amp;usg=AFQjCNFSLrTLaIafuevQMT9fNDkPZVCX8A" TargetMode="External"/><Relationship Id="rId3842" Type="http://schemas.openxmlformats.org/officeDocument/2006/relationships/hyperlink" Target="https://www.google.com/url?q=http://codeforces.com/contest/427/problem/D&amp;sa=D&amp;ust=1605639553889000&amp;usg=AFQjCNEn7q-VHkqT-P1cvTi5qH9c0QtqAw" TargetMode="External"/><Relationship Id="rId209" Type="http://schemas.openxmlformats.org/officeDocument/2006/relationships/hyperlink" Target="https://www.google.com/url?q=http://codeforces.com/problemset/problem/1017/D&amp;sa=D&amp;ust=1605639551683000&amp;usg=AFQjCNGgLo-2TXuroopcYYoUPgHQf3biAw" TargetMode="External"/><Relationship Id="rId416" Type="http://schemas.openxmlformats.org/officeDocument/2006/relationships/hyperlink" Target="https://www.google.com/url?q=http://codeforces.com/contest/920/problem/G&amp;sa=D&amp;ust=1605639551849000&amp;usg=AFQjCNECn4mfdLEhtL1DeiL2riMouH3QNA" TargetMode="External"/><Relationship Id="rId970" Type="http://schemas.openxmlformats.org/officeDocument/2006/relationships/hyperlink" Target="https://www.google.com/url?q=https://github.com/mostafa-saad/MyCompetitiveProgramming/blob/master/Codeforces/CF178-D12-F3.txt&amp;sa=D&amp;ust=1605639552111000&amp;usg=AFQjCNGJOBcJ9Y28gY5KCDiS43kjoBvcUg" TargetMode="External"/><Relationship Id="rId1046" Type="http://schemas.openxmlformats.org/officeDocument/2006/relationships/hyperlink" Target="https://www.google.com/url?q=https://github.com/tmwilliamlin168/CompetitiveProgramming/blob/master/UVA/1427.cpp&amp;sa=D&amp;ust=1605639552147000&amp;usg=AFQjCNEMwqYOvlAyqo5WWUP9R5Qm0ILKsg" TargetMode="External"/><Relationship Id="rId1253" Type="http://schemas.openxmlformats.org/officeDocument/2006/relationships/hyperlink" Target="https://www.google.com/url?q=http://codeforces.com/contest/1051/problem/D&amp;sa=D&amp;ust=1605639552292000&amp;usg=AFQjCNFQ2PVViFrq9_u9YxVqbRyX9RDVBQ" TargetMode="External"/><Relationship Id="rId2651" Type="http://schemas.openxmlformats.org/officeDocument/2006/relationships/hyperlink" Target="https://www.google.com/url?q=https://uva.onlinejudge.org/index.php?option%3Dcom_onlinejudge%26Itemid%3D8%26page%3Dshow_problem%26problem%3D703&amp;sa=D&amp;ust=1605639553121000&amp;usg=AFQjCNED1n8EtxHKm5CWH479ZZlfKM7I8g" TargetMode="External"/><Relationship Id="rId3702" Type="http://schemas.openxmlformats.org/officeDocument/2006/relationships/hyperlink" Target="https://www.google.com/url?q=http://codeforces.com/contest/300/problem/C&amp;sa=D&amp;ust=1605639553797000&amp;usg=AFQjCNEIVwphM2uvBdUjQiC6Ubf3Rs_9oA" TargetMode="External"/><Relationship Id="rId623" Type="http://schemas.openxmlformats.org/officeDocument/2006/relationships/hyperlink" Target="https://www.google.com/url?q=https://github.com/mostafa-saad/MyCompetitiveProgramming/blob/master/AtCoder/AtCoder067-ARC-F.txt&amp;sa=D&amp;ust=1605639551934000&amp;usg=AFQjCNGemY3U-Vl-oyuNyyvlDnRrm81C_w" TargetMode="External"/><Relationship Id="rId830" Type="http://schemas.openxmlformats.org/officeDocument/2006/relationships/hyperlink" Target="https://www.google.com/url?q=http://codeforces.com/contest/384/problem/E&amp;sa=D&amp;ust=1605639552029000&amp;usg=AFQjCNFGP97EeSgdE7MYvq9TSqynPQM0fQ" TargetMode="External"/><Relationship Id="rId1460" Type="http://schemas.openxmlformats.org/officeDocument/2006/relationships/hyperlink" Target="https://www.google.com/url?q=https://github.com/mostafa-saad/MyCompetitiveProgramming/blob/master/PKU/PKU_3071.txt&amp;sa=D&amp;ust=1605639552422000&amp;usg=AFQjCNED1lSSDAUxa2JO35g4NOyLmO9J1g" TargetMode="External"/><Relationship Id="rId2304" Type="http://schemas.openxmlformats.org/officeDocument/2006/relationships/hyperlink" Target="https://www.google.com/url?q=http://codeforces.com/gym/101939/problem/K&amp;sa=D&amp;ust=1605639552931000&amp;usg=AFQjCNEnsTE_eLrar-F6F4wuht1n9cbNmw" TargetMode="External"/><Relationship Id="rId2511" Type="http://schemas.openxmlformats.org/officeDocument/2006/relationships/hyperlink" Target="https://www.google.com/url?q=http://codeforces.com/contest/1103/problem/C&amp;sa=D&amp;ust=1605639553038000&amp;usg=AFQjCNHhwlA6F7wXJ1_LZQ5NyoOhxznxNA" TargetMode="External"/><Relationship Id="rId1113" Type="http://schemas.openxmlformats.org/officeDocument/2006/relationships/hyperlink" Target="https://www.google.com/url?q=https://github.com/timpostuvan/CompetitiveProgramming/blob/master/CodeChef/CHSIGN.cpp&amp;sa=D&amp;ust=1605639552189000&amp;usg=AFQjCNFO4jB2gFEG_zthFt2_p9vaZozCpQ" TargetMode="External"/><Relationship Id="rId1320" Type="http://schemas.openxmlformats.org/officeDocument/2006/relationships/hyperlink" Target="https://www.google.com/url?q=https://github.com/OmarHashim/Competitive-Programming/blob/master/SPOJ/HELPBOB.cpp&amp;sa=D&amp;ust=1605639552326000&amp;usg=AFQjCNF1jy9oZUp-FvkS1QM2YhhnY-syTA" TargetMode="External"/><Relationship Id="rId4269" Type="http://schemas.openxmlformats.org/officeDocument/2006/relationships/hyperlink" Target="https://www.google.com/url?q=http://codeforces.com/contest/436/problem/F&amp;sa=D&amp;ust=1605639554272000&amp;usg=AFQjCNHMLBCzg5CLOBDI6BYq4LgDlPEskw" TargetMode="External"/><Relationship Id="rId3078" Type="http://schemas.openxmlformats.org/officeDocument/2006/relationships/hyperlink" Target="https://www.google.com/url?q=https://ideone.com/P9tqg9&amp;sa=D&amp;ust=1605639553362000&amp;usg=AFQjCNHr2FwB-6_4Wooc4g-FMEw00U5uMg" TargetMode="External"/><Relationship Id="rId3285" Type="http://schemas.openxmlformats.org/officeDocument/2006/relationships/hyperlink" Target="https://www.google.com/url?q=http://codeforces.com/contest/689/problem/C&amp;sa=D&amp;ust=1605639553473000&amp;usg=AFQjCNGjyl567RUQJSyW-hoT8EkKErC-og" TargetMode="External"/><Relationship Id="rId3492" Type="http://schemas.openxmlformats.org/officeDocument/2006/relationships/hyperlink" Target="https://www.google.com/url?q=https://raw.githubusercontent.com/NadaAlaa/CompetitiveProgramming/master/LiveArchive/2557.cpp&amp;sa=D&amp;ust=1605639553615000&amp;usg=AFQjCNH2rR9FHS_gwpms9YZuX4py5TQJGQ" TargetMode="External"/><Relationship Id="rId4129" Type="http://schemas.openxmlformats.org/officeDocument/2006/relationships/hyperlink" Target="https://www.google.com/url?q=http://codeforces.com/contest/645/problem/D&amp;sa=D&amp;ust=1605639554195000&amp;usg=AFQjCNEzOFKRV8Xka8Otbe-7qw6zSoZplw" TargetMode="External"/><Relationship Id="rId4336" Type="http://schemas.openxmlformats.org/officeDocument/2006/relationships/hyperlink" Target="https://www.google.com/url?q=https://csacademy.com/contest/round-56/task/or-problem/&amp;sa=D&amp;ust=1605639554298000&amp;usg=AFQjCNEtvDrQoMO06q2ZdFQZO5MONhCo-g" TargetMode="External"/><Relationship Id="rId2094" Type="http://schemas.openxmlformats.org/officeDocument/2006/relationships/hyperlink" Target="https://www.google.com/url?q=https://github.com/mostafa-saad/MyCompetitiveProgramming/blob/master/UVA/UVA_10514.txt&amp;sa=D&amp;ust=1605639552800000&amp;usg=AFQjCNEV_HWj6OS3uScr55waK9ii-u7wLA" TargetMode="External"/><Relationship Id="rId3145" Type="http://schemas.openxmlformats.org/officeDocument/2006/relationships/hyperlink" Target="https://www.google.com/url?q=http://codeforces.com/contest/225/problem/E&amp;sa=D&amp;ust=1605639553402000&amp;usg=AFQjCNH5eFiG6K_4jVhaChKGI2LspgHMyg" TargetMode="External"/><Relationship Id="rId3352" Type="http://schemas.openxmlformats.org/officeDocument/2006/relationships/hyperlink" Target="https://www.google.com/url?q=https://uva.onlinejudge.org/index.php?option%3Donlinejudge%26page%3Dshow_problem%26problem%3D349&amp;sa=D&amp;ust=1605639553519000&amp;usg=AFQjCNG7WNFowYms4ORESTrJg5HuuLgthQ" TargetMode="External"/><Relationship Id="rId4403" Type="http://schemas.openxmlformats.org/officeDocument/2006/relationships/hyperlink" Target="https://www.google.com/url?q=http://codeforces.com/gym/101889/problem/G&amp;sa=D&amp;ust=1605639554331000&amp;usg=AFQjCNFMNcOUptOHPRdZyuvNZyVNK1_cNA" TargetMode="External"/><Relationship Id="rId273" Type="http://schemas.openxmlformats.org/officeDocument/2006/relationships/hyperlink" Target="https://www.google.com/url?q=https://www.codechef.com/problems/ARMYOFME&amp;sa=D&amp;ust=1605639551746000&amp;usg=AFQjCNFpRjyrF9pPvJxSMYRDI1Ytb6jk7A" TargetMode="External"/><Relationship Id="rId480" Type="http://schemas.openxmlformats.org/officeDocument/2006/relationships/hyperlink" Target="https://www.google.com/url?q=http://codeforces.com/contest/779/problem/D&amp;sa=D&amp;ust=1605639551877000&amp;usg=AFQjCNHEorpYLYl-rY0sz66AjvgswKJCJQ" TargetMode="External"/><Relationship Id="rId2161" Type="http://schemas.openxmlformats.org/officeDocument/2006/relationships/hyperlink" Target="https://www.google.com/url?q=https://github.com/MetalBall887/Competitive-Programming/blob/master/UVA/UVA%252011265.cpp&amp;sa=D&amp;ust=1605639552845000&amp;usg=AFQjCNGcvE5bUzqeZg1BKqMXo5J1ltgY2g" TargetMode="External"/><Relationship Id="rId3005" Type="http://schemas.openxmlformats.org/officeDocument/2006/relationships/hyperlink" Target="https://www.google.com/url?q=https://github.com/HeartBlue/CompetitiveProgramming/blob/master/LightOJ/LightOJ%25201251%2520Forming%2520the%2520Council.cpp&amp;sa=D&amp;ust=1605639553323000&amp;usg=AFQjCNGk-yhwFa3k5YuciRoAy-k-Nwfx9g" TargetMode="External"/><Relationship Id="rId3212" Type="http://schemas.openxmlformats.org/officeDocument/2006/relationships/hyperlink" Target="https://www.google.com/url?q=http://codeforces.com/contest/451/problem/C&amp;sa=D&amp;ust=1605639553432000&amp;usg=AFQjCNEiwIyinLjTj3tBNJ62rSGtFrHnFg" TargetMode="External"/><Relationship Id="rId133" Type="http://schemas.openxmlformats.org/officeDocument/2006/relationships/hyperlink" Target="https://www.google.com/url?q=https://www.codechef.com/LTIME64B/problems/OPPOSITE&amp;sa=D&amp;ust=1605639551632000&amp;usg=AFQjCNEq1GqNPgY8C6udkJW2IsTwQumdeA" TargetMode="External"/><Relationship Id="rId340" Type="http://schemas.openxmlformats.org/officeDocument/2006/relationships/hyperlink" Target="https://www.google.com/url?q=https://agc005.contest.atcoder.jp/tasks/agc005_b&amp;sa=D&amp;ust=1605639551776000&amp;usg=AFQjCNGI7CxPu1ApkjHDkpi9BBUiKxjH7Q" TargetMode="External"/><Relationship Id="rId2021" Type="http://schemas.openxmlformats.org/officeDocument/2006/relationships/hyperlink" Target="https://www.google.com/url?q=http://codeforces.com/problemset/problem/559/A&amp;sa=D&amp;ust=1605639552746000&amp;usg=AFQjCNHvzTvGzbDlsiNPbH7FJ9HbJvUpNw" TargetMode="External"/><Relationship Id="rId200" Type="http://schemas.openxmlformats.org/officeDocument/2006/relationships/hyperlink" Target="https://www.google.com/url?q=http://codeforces.com/contest/370/problem/D&amp;sa=D&amp;ust=1605639551679000&amp;usg=AFQjCNHsjkUEixqiX0reJSXHXgBqoMokeQ" TargetMode="External"/><Relationship Id="rId2978" Type="http://schemas.openxmlformats.org/officeDocument/2006/relationships/hyperlink" Target="https://www.google.com/url?q=https://github.com/stefdasca/CompetitiveProgramming/blob/master/SPOJ/CHASE1.cpp&amp;sa=D&amp;ust=1605639553308000&amp;usg=AFQjCNFyJm2Q_Rm-B0hOvoiAYrwxr4yEFQ" TargetMode="External"/><Relationship Id="rId4193" Type="http://schemas.openxmlformats.org/officeDocument/2006/relationships/hyperlink" Target="https://www.google.com/url?q=http://codeforces.com/contest/443/problem/D&amp;sa=D&amp;ust=1605639554239000&amp;usg=AFQjCNHVjHSnMxS6keg1eQjFZpEfkGVjYw" TargetMode="External"/><Relationship Id="rId1787" Type="http://schemas.openxmlformats.org/officeDocument/2006/relationships/hyperlink" Target="https://www.google.com/url?q=https://github.com/MetalBall887/Competitive-Programming/blob/master/CodeForces/CF101808-GYM-I.cpp&amp;sa=D&amp;ust=1605639552607000&amp;usg=AFQjCNEQbtm_5p6Mk78x7D1rZuxe9rI03A" TargetMode="External"/><Relationship Id="rId1994" Type="http://schemas.openxmlformats.org/officeDocument/2006/relationships/hyperlink" Target="https://www.google.com/url?q=http://codeforces.com/contest/336/problem/B&amp;sa=D&amp;ust=1605639552729000&amp;usg=AFQjCNGCmehX3T3z8LqbcjoA2QhV4jHnaw" TargetMode="External"/><Relationship Id="rId2838" Type="http://schemas.openxmlformats.org/officeDocument/2006/relationships/hyperlink" Target="https://www.google.com/url?q=https://ideone.com/gvetG2&amp;sa=D&amp;ust=1605639553230000&amp;usg=AFQjCNFhVPCfRx70b8NkE1_tZ6kzFgrepw" TargetMode="External"/><Relationship Id="rId79" Type="http://schemas.openxmlformats.org/officeDocument/2006/relationships/hyperlink" Target="https://www.google.com/url?q=http://codeforces.com/contest/779/problem/E&amp;sa=D&amp;ust=1605639551598000&amp;usg=AFQjCNGXxEncUx5hH4dvgkK81zr9QtzGOQ" TargetMode="External"/><Relationship Id="rId1647" Type="http://schemas.openxmlformats.org/officeDocument/2006/relationships/hyperlink" Target="https://www.google.com/url?q=http://codeforces.com/contest/242/problem/D&amp;sa=D&amp;ust=1605639552527000&amp;usg=AFQjCNG-98g3YiVmdenlRIfdJ0QTVEtz5A" TargetMode="External"/><Relationship Id="rId1854" Type="http://schemas.openxmlformats.org/officeDocument/2006/relationships/hyperlink" Target="https://www.google.com/url?q=https://onlinejudge.org/index.php?option%3Dcom_onlinejudge%26Itemid%3D8%26page%3Dshow_problem%26problem%3D4124&amp;sa=D&amp;ust=1605639552642000&amp;usg=AFQjCNHcHbBq4SrO-PF0RKIaaNE6Q0uU3A" TargetMode="External"/><Relationship Id="rId2905" Type="http://schemas.openxmlformats.org/officeDocument/2006/relationships/hyperlink" Target="https://www.google.com/url?q=http://codeforces.com/contest/802/problem/N&amp;sa=D&amp;ust=1605639553268000&amp;usg=AFQjCNGDXnX4oFn30y9e4dZnVNhR2IiqZg" TargetMode="External"/><Relationship Id="rId4053" Type="http://schemas.openxmlformats.org/officeDocument/2006/relationships/hyperlink" Target="https://www.google.com/url?q=https://www.hackerrank.com/contests/world-codesprint-5/challenges/mining&amp;sa=D&amp;ust=1605639554152000&amp;usg=AFQjCNH6t0bxzF3yn38GkE0cx0lkDEbzsA" TargetMode="External"/><Relationship Id="rId4260" Type="http://schemas.openxmlformats.org/officeDocument/2006/relationships/hyperlink" Target="https://www.google.com/url?q=http://codeforces.com/contest/455/problem/E&amp;sa=D&amp;ust=1605639554269000&amp;usg=AFQjCNHBm5hhLT2ANFOgVJcvSzhPLTYhdQ" TargetMode="External"/><Relationship Id="rId1507" Type="http://schemas.openxmlformats.org/officeDocument/2006/relationships/hyperlink" Target="https://www.google.com/url?q=https://github.com/abdullaAshraf/Problem-Solving/blob/master/UVA/1362.cpp&amp;sa=D&amp;ust=1605639552450000&amp;usg=AFQjCNEcp4Dzssh0pxlnlpdd8gN5qZCoGw" TargetMode="External"/><Relationship Id="rId1714" Type="http://schemas.openxmlformats.org/officeDocument/2006/relationships/hyperlink" Target="https://www.google.com/url?q=https://uva.onlinejudge.org/index.php?option%3Donlinejudge%26page%3Dshow_problem%26problem%3D3276&amp;sa=D&amp;ust=1605639552568000&amp;usg=AFQjCNFHEM6Fjj33toGb0oK9aYyKA6Ka2A" TargetMode="External"/><Relationship Id="rId4120" Type="http://schemas.openxmlformats.org/officeDocument/2006/relationships/hyperlink" Target="https://www.google.com/url?q=https://codeforces.com/contest/1100/problem/E&amp;sa=D&amp;ust=1605639554189000&amp;usg=AFQjCNEOnOn7ojq4ICqk4QwOxuz-FFvSdA" TargetMode="External"/><Relationship Id="rId1921" Type="http://schemas.openxmlformats.org/officeDocument/2006/relationships/hyperlink" Target="https://www.google.com/url?q=http://codeforces.com/contest/23/problem/D&amp;sa=D&amp;ust=1605639552691000&amp;usg=AFQjCNFJUQ96rEPYj_HwWDlg3JrUyeIVTw" TargetMode="External"/><Relationship Id="rId3679" Type="http://schemas.openxmlformats.org/officeDocument/2006/relationships/hyperlink" Target="https://www.google.com/url?q=https://www.hackerrank.com/challenges/manasa-and-combinatorics&amp;sa=D&amp;ust=1605639553785000&amp;usg=AFQjCNHUzAghcweul1_Grv_ZDhFZ60so4w" TargetMode="External"/><Relationship Id="rId2488" Type="http://schemas.openxmlformats.org/officeDocument/2006/relationships/hyperlink" Target="https://www.google.com/url?q=http://codeforces.com/contest/14/problem/D&amp;sa=D&amp;ust=1605639553026000&amp;usg=AFQjCNHJ_gJR17YSDmKuJfdYbkPFdCwtyQ" TargetMode="External"/><Relationship Id="rId3886" Type="http://schemas.openxmlformats.org/officeDocument/2006/relationships/hyperlink" Target="https://www.google.com/url?q=http://acm.hdu.edu.cn/showproblem.php?pid%3D4358&amp;sa=D&amp;ust=1605639553913000&amp;usg=AFQjCNHkkvt0TVvjUuS-PnZgPEZd6Mxu-g" TargetMode="External"/><Relationship Id="rId1297" Type="http://schemas.openxmlformats.org/officeDocument/2006/relationships/hyperlink" Target="https://www.google.com/url?q=http://codeforces.com/contest/413/problem/D&amp;sa=D&amp;ust=1605639552315000&amp;usg=AFQjCNEYA7AGJYTJr0T2Qkk7jeXcg6FHDA" TargetMode="External"/><Relationship Id="rId2695" Type="http://schemas.openxmlformats.org/officeDocument/2006/relationships/hyperlink" Target="https://www.google.com/url?q=https://codeforces.com/contest/1243/problem/D&amp;sa=D&amp;ust=1605639553145000&amp;usg=AFQjCNE6sig1eAuE-KNMsuRHjbnpSWYVBg" TargetMode="External"/><Relationship Id="rId3539" Type="http://schemas.openxmlformats.org/officeDocument/2006/relationships/hyperlink" Target="https://www.google.com/url?q=https://www.codechef.com/problems/INMAT&amp;sa=D&amp;ust=1605639553657000&amp;usg=AFQjCNFnbhvwsY38YwNEBA8LspjBBe-Rrw" TargetMode="External"/><Relationship Id="rId3746" Type="http://schemas.openxmlformats.org/officeDocument/2006/relationships/hyperlink" Target="https://www.google.com/url?q=https://github.com/hosamk92/CompetitiveProgramming/blob/master/Codeforces/CF100781-GYM-J.cpp&amp;sa=D&amp;ust=1605639553828000&amp;usg=AFQjCNG8NKssTW9isjkzGuBd2TW93J8YJQ" TargetMode="External"/><Relationship Id="rId3953" Type="http://schemas.openxmlformats.org/officeDocument/2006/relationships/hyperlink" Target="https://www.google.com/url?q=https://ideone.com/QCHUj4&amp;sa=D&amp;ust=1605639553945000&amp;usg=AFQjCNE8YeTcs09LYOGhVr4ivXe4vINJSg" TargetMode="External"/><Relationship Id="rId667" Type="http://schemas.openxmlformats.org/officeDocument/2006/relationships/hyperlink" Target="https://www.google.com/url?q=https://codeforces.com/contest/1107/problem/G&amp;sa=D&amp;ust=1605639551948000&amp;usg=AFQjCNF5mft9yDJD0XwZ69sFDizMnNNd9A" TargetMode="External"/><Relationship Id="rId874" Type="http://schemas.openxmlformats.org/officeDocument/2006/relationships/hyperlink" Target="https://www.google.com/url?q=https://codeforces.com/contest/1278/problem/E&amp;sa=D&amp;ust=1605639552053000&amp;usg=AFQjCNGWoh594ckMz62ZOkktJdF1URPUGg" TargetMode="External"/><Relationship Id="rId2348" Type="http://schemas.openxmlformats.org/officeDocument/2006/relationships/hyperlink" Target="https://www.google.com/url?q=https://github.com/mostafa-saad/MyCompetitiveProgramming/blob/master/TopCoder/SRM608-D2-1000.txt&amp;sa=D&amp;ust=1605639552947000&amp;usg=AFQjCNFiQuiuslcaTTVEQ31zonTLphr2oA" TargetMode="External"/><Relationship Id="rId2555" Type="http://schemas.openxmlformats.org/officeDocument/2006/relationships/hyperlink" Target="https://www.google.com/url?q=http://codeforces.com/gym/100517/problem/L&amp;sa=D&amp;ust=1605639553062000&amp;usg=AFQjCNEML9qQdoQOG5RHW40J_g4JYHYO4w" TargetMode="External"/><Relationship Id="rId2762" Type="http://schemas.openxmlformats.org/officeDocument/2006/relationships/hyperlink" Target="https://www.google.com/url?q=http://codeforces.com/contest/189/problem/D&amp;sa=D&amp;ust=1605639553185000&amp;usg=AFQjCNG3mWekFS43doCCB9tSirpkfTB4gQ" TargetMode="External"/><Relationship Id="rId3606" Type="http://schemas.openxmlformats.org/officeDocument/2006/relationships/hyperlink" Target="https://www.google.com/url?q=http://codeforces.com/contest/110/problem/D&amp;sa=D&amp;ust=1605639553737000&amp;usg=AFQjCNEMNjhXU4tz-GrEiYg3YDwGZkfbLw" TargetMode="External"/><Relationship Id="rId3813" Type="http://schemas.openxmlformats.org/officeDocument/2006/relationships/hyperlink" Target="https://www.google.com/url?q=http://codeforces.com/gym/101889/problem/M&amp;sa=D&amp;ust=1605639553873000&amp;usg=AFQjCNEjONTXoNgj8nhIwHEcHuK7g0WfBQ" TargetMode="External"/><Relationship Id="rId527" Type="http://schemas.openxmlformats.org/officeDocument/2006/relationships/hyperlink" Target="https://www.google.com/url?q=https://csacademy.com/contest/round-67/task/hamming-distances/&amp;sa=D&amp;ust=1605639551898000&amp;usg=AFQjCNHuQ_rStiRe0jF4lCgNyfI1nYIZYw" TargetMode="External"/><Relationship Id="rId734" Type="http://schemas.openxmlformats.org/officeDocument/2006/relationships/hyperlink" Target="https://www.google.com/url?q=http://codeforces.com/contest/380/problem/C&amp;sa=D&amp;ust=1605639551980000&amp;usg=AFQjCNGCNt7xC9uaAhJEaPUM-1zC6uQD1g" TargetMode="External"/><Relationship Id="rId941" Type="http://schemas.openxmlformats.org/officeDocument/2006/relationships/hyperlink" Target="https://www.google.com/url?q=http://codeforces.com/contest/365/problem/D&amp;sa=D&amp;ust=1605639552092000&amp;usg=AFQjCNHONZeICklIoHIHc0qtuytserZ1ng" TargetMode="External"/><Relationship Id="rId1157" Type="http://schemas.openxmlformats.org/officeDocument/2006/relationships/hyperlink" Target="https://www.google.com/url?q=http://codeforces.com/contest/607/problem/D&amp;sa=D&amp;ust=1605639552216000&amp;usg=AFQjCNGLqto-jUZrRhsxoEjE_LyOWzJmnQ" TargetMode="External"/><Relationship Id="rId1364" Type="http://schemas.openxmlformats.org/officeDocument/2006/relationships/hyperlink" Target="https://www.google.com/url?q=http://agc030.contest.atcoder.jp/tasks/agc030_d&amp;sa=D&amp;ust=1605639552355000&amp;usg=AFQjCNEv6ISQ5C-uUko2Al45ycFm5KqrJw" TargetMode="External"/><Relationship Id="rId1571" Type="http://schemas.openxmlformats.org/officeDocument/2006/relationships/hyperlink" Target="https://www.google.com/url?q=https://atcoder.jp/contests/abc140/tasks/abc140_f&amp;sa=D&amp;ust=1605639552484000&amp;usg=AFQjCNF2SbXhn5NfbdRPi-Tf42ub0LOyDw" TargetMode="External"/><Relationship Id="rId2208" Type="http://schemas.openxmlformats.org/officeDocument/2006/relationships/hyperlink" Target="https://www.google.com/url?q=https://github.com/mostafa-saad/MyCompetitiveProgramming/blob/master/SPOJ/SPOJ_RAIN1.txt&amp;sa=D&amp;ust=1605639552877000&amp;usg=AFQjCNF04S9URe3tqOqhhRLqANghaxyTAA" TargetMode="External"/><Relationship Id="rId2415" Type="http://schemas.openxmlformats.org/officeDocument/2006/relationships/hyperlink" Target="https://www.google.com/url?q=http://codeforces.com/contest/789/problem/E&amp;sa=D&amp;ust=1605639552978000&amp;usg=AFQjCNH7Ukme4rZ81XZWsY7hNHlDyMFbiw" TargetMode="External"/><Relationship Id="rId2622" Type="http://schemas.openxmlformats.org/officeDocument/2006/relationships/hyperlink" Target="https://www.google.com/url?q=https://github.com/stefdasca/CompetitiveProgramming/blob/master/Codeforces/Gym/CF101666-gym-D.cpp&amp;sa=D&amp;ust=1605639553107000&amp;usg=AFQjCNEKFyjMX39x6QHhzlVhDROFd1CRaA" TargetMode="External"/><Relationship Id="rId70" Type="http://schemas.openxmlformats.org/officeDocument/2006/relationships/hyperlink" Target="https://www.google.com/url?q=https://github.com/AhmedRamadanAbdElghany/CompetitiveProgramming/blob/master/CodeForces/CF333-D1-D.cpp&amp;sa=D&amp;ust=1605639551594000&amp;usg=AFQjCNGtEJUFYzRDydbvpsYlVwb7tgb6Ww" TargetMode="External"/><Relationship Id="rId801" Type="http://schemas.openxmlformats.org/officeDocument/2006/relationships/hyperlink" Target="https://www.google.com/url?q=http://codeforces.com/contest/339/problem/D&amp;sa=D&amp;ust=1605639552014000&amp;usg=AFQjCNE9FZkSLt9Qb8hF3_zMGj-bkWDeOQ" TargetMode="External"/><Relationship Id="rId1017" Type="http://schemas.openxmlformats.org/officeDocument/2006/relationships/hyperlink" Target="https://www.google.com/url?q=https://codeforces.com/contest/922/problem/E&amp;sa=D&amp;ust=1605639552133000&amp;usg=AFQjCNE00nyaUAohUQQUK7VEAj7yefFMiw" TargetMode="External"/><Relationship Id="rId1224" Type="http://schemas.openxmlformats.org/officeDocument/2006/relationships/hyperlink" Target="https://www.google.com/url?q=https://codeforces.com/gym/102190/attachments&amp;sa=D&amp;ust=1605639552266000&amp;usg=AFQjCNHG7C6DBiCELbxQwlKsR2yBwzVpmQ" TargetMode="External"/><Relationship Id="rId1431" Type="http://schemas.openxmlformats.org/officeDocument/2006/relationships/hyperlink" Target="https://www.google.com/url?q=https://codeforces.com/contest/1097/problem/D&amp;sa=D&amp;ust=1605639552404000&amp;usg=AFQjCNFScW0hWcun2sSk5MoAhBFp2GSq_w" TargetMode="External"/><Relationship Id="rId3189" Type="http://schemas.openxmlformats.org/officeDocument/2006/relationships/hyperlink" Target="https://www.google.com/url?q=http://codeforces.com/contest/349/problem/C&amp;sa=D&amp;ust=1605639553421000&amp;usg=AFQjCNEdpP6tmgdzx45LCxEJbrVdM1SOKQ" TargetMode="External"/><Relationship Id="rId3396" Type="http://schemas.openxmlformats.org/officeDocument/2006/relationships/hyperlink" Target="https://www.google.com/url?q=https://codeforces.com/contest/833/problem/C&amp;sa=D&amp;ust=1605639553551000&amp;usg=AFQjCNHBeysUT_LzM85W17H_S0jJekA95w" TargetMode="External"/><Relationship Id="rId4447" Type="http://schemas.openxmlformats.org/officeDocument/2006/relationships/hyperlink" Target="https://www.google.com/url?q=https://codeforces.com/problemset/problem/632/E&amp;sa=D&amp;ust=1605639554348000&amp;usg=AFQjCNGmQ10RvXesYpptuEXbegchZnTMmA" TargetMode="External"/><Relationship Id="rId3049" Type="http://schemas.openxmlformats.org/officeDocument/2006/relationships/hyperlink" Target="https://www.google.com/url?q=https://github.com/ahmedsamir221/CompetitiveProgramming/blob/master/CodeForces/CF101979-GYM-H.cpp&amp;sa=D&amp;ust=1605639553348000&amp;usg=AFQjCNEuJE2W8s4iW3zNlPxk9p_47GK37g" TargetMode="External"/><Relationship Id="rId3256" Type="http://schemas.openxmlformats.org/officeDocument/2006/relationships/hyperlink" Target="https://www.google.com/url?q=https://codeforces.com/contest/816/problem/B&amp;sa=D&amp;ust=1605639553459000&amp;usg=AFQjCNFbW1OSz9ZBKpV_gzAoDzLnBXW12A" TargetMode="External"/><Relationship Id="rId3463" Type="http://schemas.openxmlformats.org/officeDocument/2006/relationships/hyperlink" Target="https://www.google.com/url?q=https://www.codechef.com/SNCK1A19/problems/PERIODIC&amp;sa=D&amp;ust=1605639553594000&amp;usg=AFQjCNFBUL8cHbJTyC3hfFryrxCdPEeXJw" TargetMode="External"/><Relationship Id="rId4307" Type="http://schemas.openxmlformats.org/officeDocument/2006/relationships/hyperlink" Target="https://www.google.com/url?q=https://www.codechef.com/problems/DOCSDEL&amp;sa=D&amp;ust=1605639554288000&amp;usg=AFQjCNEck-9BWhfqHo9NN18FDgefa8jUwg" TargetMode="External"/><Relationship Id="rId177" Type="http://schemas.openxmlformats.org/officeDocument/2006/relationships/hyperlink" Target="https://www.google.com/url?q=http://codeforces.com/contest/460/problem/D&amp;sa=D&amp;ust=1605639551664000&amp;usg=AFQjCNHyOpjI4jiIyWFIkBhHhzbPMyYj_A" TargetMode="External"/><Relationship Id="rId384" Type="http://schemas.openxmlformats.org/officeDocument/2006/relationships/hyperlink" Target="https://www.google.com/url?q=https://github.com/mostafa-saad/MyCompetitiveProgramming/blob/master/UVA/UVA_10058.txt&amp;sa=D&amp;ust=1605639551822000&amp;usg=AFQjCNEQkE0fcdBq6rZecpI0MICgB0ePfw" TargetMode="External"/><Relationship Id="rId591" Type="http://schemas.openxmlformats.org/officeDocument/2006/relationships/hyperlink" Target="https://www.google.com/url?q=http://codeforces.com/contest/765/problem/F&amp;sa=D&amp;ust=1605639551923000&amp;usg=AFQjCNE2gpgYjy6cq1CCuTnuDA3oEsqawQ" TargetMode="External"/><Relationship Id="rId2065" Type="http://schemas.openxmlformats.org/officeDocument/2006/relationships/hyperlink" Target="https://www.google.com/url?q=https://github.com/mostafa-saad/MyCompetitiveProgramming/blob/master/UVA/UVA_11515.txt&amp;sa=D&amp;ust=1605639552780000&amp;usg=AFQjCNGhxTGmzI38sTjWFCxN4guE3Zc_0g" TargetMode="External"/><Relationship Id="rId2272" Type="http://schemas.openxmlformats.org/officeDocument/2006/relationships/hyperlink" Target="https://www.google.com/url?q=https://github.com/tmwilliamlin168/CompetitiveProgramming/blob/master/AtCoder/G008-E.cpp&amp;sa=D&amp;ust=1605639552913000&amp;usg=AFQjCNFq9DsCPyp-m7gPiNx7wtmYNlOLhw" TargetMode="External"/><Relationship Id="rId3116" Type="http://schemas.openxmlformats.org/officeDocument/2006/relationships/hyperlink" Target="https://www.google.com/url?q=https://uva.onlinejudge.org/index.php?option%3Dcom_onlinejudge%26Itemid%3D8%26page%3Dshow_problem%26problem%3D3838&amp;sa=D&amp;ust=1605639553385000&amp;usg=AFQjCNE-3SCEEvEmfmE39fNu2X0L5Ey0fQ" TargetMode="External"/><Relationship Id="rId3670" Type="http://schemas.openxmlformats.org/officeDocument/2006/relationships/hyperlink" Target="https://www.google.com/url?q=http://codeforces.com/gym/100506/problem/C&amp;sa=D&amp;ust=1605639553781000&amp;usg=AFQjCNGp5xdMwJSyioO7yBIJC79SPtQcZA" TargetMode="External"/><Relationship Id="rId244" Type="http://schemas.openxmlformats.org/officeDocument/2006/relationships/hyperlink" Target="https://www.google.com/url?q=http://codeforces.com/contest/219/problem/C&amp;sa=D&amp;ust=1605639551711000&amp;usg=AFQjCNGPVC9DFtDBhTJcTDIX94gyUsl7ZQ" TargetMode="External"/><Relationship Id="rId1081" Type="http://schemas.openxmlformats.org/officeDocument/2006/relationships/hyperlink" Target="https://www.google.com/url?q=https://codeforces.com/contest/1066/problem/F&amp;sa=D&amp;ust=1605639552168000&amp;usg=AFQjCNEIHqf1JT2_n67HiNFDoZfS7df32A" TargetMode="External"/><Relationship Id="rId3323" Type="http://schemas.openxmlformats.org/officeDocument/2006/relationships/hyperlink" Target="https://www.google.com/url?q=http://codeforces.com/contest/492/problem/E&amp;sa=D&amp;ust=1605639553501000&amp;usg=AFQjCNEk_6albrxF9wH-j7Tqq3lPPQL0WA" TargetMode="External"/><Relationship Id="rId3530" Type="http://schemas.openxmlformats.org/officeDocument/2006/relationships/hyperlink" Target="https://www.google.com/url?q=https://uva.onlinejudge.org/index.php?option%3Donlinejudge%26page%3Dshow_problem%26problem%3D1450&amp;sa=D&amp;ust=1605639553649000&amp;usg=AFQjCNEtJ7GQxyoRaXdXSYFuedhHW0fZ-w" TargetMode="External"/><Relationship Id="rId451" Type="http://schemas.openxmlformats.org/officeDocument/2006/relationships/hyperlink" Target="https://www.google.com/url?q=https://atcoder.jp/contests/abc155/tasks/abc155_d&amp;sa=D&amp;ust=1605639551863000&amp;usg=AFQjCNHU38Zb5EwLClo8Imhov7BKim02yg" TargetMode="External"/><Relationship Id="rId2132" Type="http://schemas.openxmlformats.org/officeDocument/2006/relationships/hyperlink" Target="https://www.google.com/url?q=https://github.com/OmarHashim/Competitive-Programming/blob/master/LiveArchive/8039.cpp&amp;sa=D&amp;ust=1605639552823000&amp;usg=AFQjCNHg7YPvJnKZTGigZv087cUVUdUOWA" TargetMode="External"/><Relationship Id="rId104" Type="http://schemas.openxmlformats.org/officeDocument/2006/relationships/hyperlink" Target="https://www.google.com/url?q=https://agc004.contest.atcoder.jp/tasks/agc004_c&amp;sa=D&amp;ust=1605639551614000&amp;usg=AFQjCNHi4HXTxVUTGJOC_r20QIxdUZuCJA" TargetMode="External"/><Relationship Id="rId311" Type="http://schemas.openxmlformats.org/officeDocument/2006/relationships/hyperlink" Target="https://www.google.com/url?q=http://codeforces.com/contest/219/problem/E&amp;sa=D&amp;ust=1605639551762000&amp;usg=AFQjCNGIdtuqEjSMLOGR_YpEgasgw8EXBA" TargetMode="External"/><Relationship Id="rId1898" Type="http://schemas.openxmlformats.org/officeDocument/2006/relationships/hyperlink" Target="https://www.google.com/url?q=http://codeforces.com/contest/559/problem/D&amp;sa=D&amp;ust=1605639552667000&amp;usg=AFQjCNFU2MgtRwd1Vg21k7AB8lS_dX3zGQ" TargetMode="External"/><Relationship Id="rId2949" Type="http://schemas.openxmlformats.org/officeDocument/2006/relationships/hyperlink" Target="https://www.google.com/url?q=https://github.com/mostafa-saad/MyCompetitiveProgramming/blob/master/UVA/UVA_11354.txt&amp;sa=D&amp;ust=1605639553291000&amp;usg=AFQjCNFs8nTxN3cVlu6rB0EXRR2mvCQKzQ" TargetMode="External"/><Relationship Id="rId4097" Type="http://schemas.openxmlformats.org/officeDocument/2006/relationships/hyperlink" Target="https://www.google.com/url?q=https://community.topcoder.com/stat?c%3Dproblem_statement%26pm%3D10549%26rd%3D13903&amp;sa=D&amp;ust=1605639554174000&amp;usg=AFQjCNE8-jVveXwBQKqJDae0jF4dxepxLg" TargetMode="External"/><Relationship Id="rId1758" Type="http://schemas.openxmlformats.org/officeDocument/2006/relationships/hyperlink" Target="https://www.google.com/url?q=http://codeforces.com/contest/597/problem/B&amp;sa=D&amp;ust=1605639552590000&amp;usg=AFQjCNFj6tk1qR83g7zD70IJMt2esXbf-w" TargetMode="External"/><Relationship Id="rId2809" Type="http://schemas.openxmlformats.org/officeDocument/2006/relationships/hyperlink" Target="https://www.google.com/url?q=https://github.com/aviroop123/CompetitiveProgramming/blob/master/CodeChef/CODECHEF%2520SEAGRP.cpp&amp;sa=D&amp;ust=1605639553216000&amp;usg=AFQjCNHmt3Bkgsleo0d36Yk1QIl1BwP4OA" TargetMode="External"/><Relationship Id="rId4164" Type="http://schemas.openxmlformats.org/officeDocument/2006/relationships/hyperlink" Target="https://www.google.com/url?q=https://www.hackerrank.com/challenges/rirb&amp;sa=D&amp;ust=1605639554213000&amp;usg=AFQjCNFjhVDMgQiWic6pbR9zNsdhDCdnYQ" TargetMode="External"/><Relationship Id="rId4371" Type="http://schemas.openxmlformats.org/officeDocument/2006/relationships/hyperlink" Target="https://www.google.com/url?q=http://codeforces.com/contest/735/problem/E&amp;sa=D&amp;ust=1605639554313000&amp;usg=AFQjCNFm8NAEXMrBNcNvrb5K3ReQtX93cg" TargetMode="External"/><Relationship Id="rId1965" Type="http://schemas.openxmlformats.org/officeDocument/2006/relationships/hyperlink" Target="https://www.google.com/url?q=https://github.com/MichaelMounir12/CompetitiveProgramming/blob/master/Contests/SuperVision-Contest-33139/UVA_12957.cpp&amp;sa=D&amp;ust=1605639552714000&amp;usg=AFQjCNFV853LfXc5AFn5ERyp_OtjzOCWBQ" TargetMode="External"/><Relationship Id="rId3180" Type="http://schemas.openxmlformats.org/officeDocument/2006/relationships/hyperlink" Target="https://www.google.com/url?q=http://codeforces.com/contest/359/problem/C&amp;sa=D&amp;ust=1605639553418000&amp;usg=AFQjCNGlngynbhmRTh68nZqv0kOGs_U__A" TargetMode="External"/><Relationship Id="rId4024" Type="http://schemas.openxmlformats.org/officeDocument/2006/relationships/hyperlink" Target="https://www.google.com/url?q=https://github.com/mostafa-saad/MyCompetitiveProgramming/blob/master/SPOJ/SPOJ_ALIEN.txt&amp;sa=D&amp;ust=1605639554137000&amp;usg=AFQjCNFtdWD5TtatvdsCNCsfoYZAp7HzWA" TargetMode="External"/><Relationship Id="rId4231" Type="http://schemas.openxmlformats.org/officeDocument/2006/relationships/hyperlink" Target="https://www.google.com/url?q=http://codeforces.com/contest/833/problem/D&amp;sa=D&amp;ust=1605639554257000&amp;usg=AFQjCNHhgQwYjtEWEqCTg9GP4wTIJAKMPg" TargetMode="External"/><Relationship Id="rId1618" Type="http://schemas.openxmlformats.org/officeDocument/2006/relationships/hyperlink" Target="https://www.google.com/url?q=https://codeforces.com/gym/102215/problem/I&amp;sa=D&amp;ust=1605639552511000&amp;usg=AFQjCNHbpsmfEvI3k05msb6Y7wkF3b0bqw" TargetMode="External"/><Relationship Id="rId1825" Type="http://schemas.openxmlformats.org/officeDocument/2006/relationships/hyperlink" Target="https://www.google.com/url?q=https://www.hackerrank.com/contests/world-codesprint-april/challenges/move-the-coins&amp;sa=D&amp;ust=1605639552627000&amp;usg=AFQjCNGN0lthnOwG4HVYiFnoLEox3QHQeQ" TargetMode="External"/><Relationship Id="rId3040" Type="http://schemas.openxmlformats.org/officeDocument/2006/relationships/hyperlink" Target="https://www.google.com/url?q=https://github.com/WaleedAbdelhakim/Competitive-Programming/blob/master/CodeForces/CF100676-gym-H.cpp&amp;sa=D&amp;ust=1605639553345000&amp;usg=AFQjCNFgQRYYJdBGW27Y2A45jGADe9GmJg" TargetMode="External"/><Relationship Id="rId3997" Type="http://schemas.openxmlformats.org/officeDocument/2006/relationships/hyperlink" Target="https://www.google.com/url?q=https://github.com/mostafa-saad/MyCompetitiveProgramming/blob/master/LeetCode/LeetCode-shortest-subarray-with-sum-at-least-k.txt&amp;sa=D&amp;ust=1605639554125000&amp;usg=AFQjCNFWBx0TODdJCr4-bl7WfEFIYkppbg" TargetMode="External"/><Relationship Id="rId2599" Type="http://schemas.openxmlformats.org/officeDocument/2006/relationships/hyperlink" Target="https://www.google.com/url?q=http://codeforces.com/contest/382/problem/D&amp;sa=D&amp;ust=1605639553087000&amp;usg=AFQjCNGRq3vvjJ4CsIcIRWCvVUIpZJMNdA" TargetMode="External"/><Relationship Id="rId3857" Type="http://schemas.openxmlformats.org/officeDocument/2006/relationships/hyperlink" Target="https://www.google.com/url?q=http://codeforces.com/gym/101808/problem/B&amp;sa=D&amp;ust=1605639553894000&amp;usg=AFQjCNHazOM8CS4VdrWFze1raMpH8akq-w" TargetMode="External"/><Relationship Id="rId778" Type="http://schemas.openxmlformats.org/officeDocument/2006/relationships/hyperlink" Target="https://www.google.com/url?q=https://github.com/SpeedOfMagic/CompetitiveProgramming/blob/master/Codeforces/CF61-D2-E.cpp&amp;sa=D&amp;ust=1605639552002000&amp;usg=AFQjCNG9_FN5m15WN20T9uvg2LtpyHk3Dg" TargetMode="External"/><Relationship Id="rId985" Type="http://schemas.openxmlformats.org/officeDocument/2006/relationships/hyperlink" Target="https://www.google.com/url?q=https://github.com/nya-nya-meow/CompetitiveProgramming/blob/master/CodeForces/CF1043-D12-F.cpp&amp;sa=D&amp;ust=1605639552117000&amp;usg=AFQjCNFV5MJj00Wz32DelkcBtSD5LlyfgQ" TargetMode="External"/><Relationship Id="rId2459" Type="http://schemas.openxmlformats.org/officeDocument/2006/relationships/hyperlink" Target="https://www.google.com/url?q=http://www.spoj.com/problems/CERC07K/&amp;sa=D&amp;ust=1605639553001000&amp;usg=AFQjCNGnM2jiHNQ21FMmjzNt7ViWdHt91A" TargetMode="External"/><Relationship Id="rId2666" Type="http://schemas.openxmlformats.org/officeDocument/2006/relationships/hyperlink" Target="https://www.google.com/url?q=https://www.e-olymp.com/en/problems/3077&amp;sa=D&amp;ust=1605639553130000&amp;usg=AFQjCNHCHeArzYxSj1Edv8AmJAgEPL8Gzg" TargetMode="External"/><Relationship Id="rId2873" Type="http://schemas.openxmlformats.org/officeDocument/2006/relationships/hyperlink" Target="https://www.google.com/url?q=https://github.com/Coder-Boy1/SPOJ/blob/master/SPOJ%2520ADABLOOM&amp;sa=D&amp;ust=1605639553248000&amp;usg=AFQjCNGUATXSo-kpgf6pAjQjAvpt4ZZQZw" TargetMode="External"/><Relationship Id="rId3717" Type="http://schemas.openxmlformats.org/officeDocument/2006/relationships/hyperlink" Target="https://www.google.com/url?q=https://www.quora.com/How-can-I-solve-the-problem-GCD-Extreme-GCDEX-on-SPOJ&amp;sa=D&amp;ust=1605639553808000&amp;usg=AFQjCNGy37ST03awh-dY9NSSdTs6dnBpkQ" TargetMode="External"/><Relationship Id="rId3924" Type="http://schemas.openxmlformats.org/officeDocument/2006/relationships/hyperlink" Target="https://www.google.com/url?q=http://codeforces.com/contest/251/problem/B&amp;sa=D&amp;ust=1605639553930000&amp;usg=AFQjCNF4KL_v8bgTBHLJ7QVX1VNvWiA8qg" TargetMode="External"/><Relationship Id="rId638" Type="http://schemas.openxmlformats.org/officeDocument/2006/relationships/hyperlink" Target="https://www.google.com/url?q=http://codeforces.com/contest/555/problem/C&amp;sa=D&amp;ust=1605639551938000&amp;usg=AFQjCNFfFVn9b9HBJy3fkXOjas1ql9_vFA" TargetMode="External"/><Relationship Id="rId845" Type="http://schemas.openxmlformats.org/officeDocument/2006/relationships/hyperlink" Target="https://www.google.com/url?q=https://codeforces.com/contest/540/problem/E&amp;sa=D&amp;ust=1605639552037000&amp;usg=AFQjCNE-SOEhy6d8IhIdiyu2kxGDz0Zq9g" TargetMode="External"/><Relationship Id="rId1268" Type="http://schemas.openxmlformats.org/officeDocument/2006/relationships/hyperlink" Target="https://www.google.com/url?q=https://csacademy.com/contest/round-40/task/restricted-permutations/&amp;sa=D&amp;ust=1605639552299000&amp;usg=AFQjCNGQ5YkcdCg00BguQl8zLSi-4AEj3A" TargetMode="External"/><Relationship Id="rId1475" Type="http://schemas.openxmlformats.org/officeDocument/2006/relationships/hyperlink" Target="https://www.google.com/url?q=http://codeforces.com/gym/101808/problem/D&amp;sa=D&amp;ust=1605639552430000&amp;usg=AFQjCNGWWjjue7k8Hj1oPcbbJbBC5ig0oA" TargetMode="External"/><Relationship Id="rId1682" Type="http://schemas.openxmlformats.org/officeDocument/2006/relationships/hyperlink" Target="https://www.google.com/url?q=http://codeforces.com/contest/222/problem/D&amp;sa=D&amp;ust=1605639552551000&amp;usg=AFQjCNHN80UBesZT2ZPSdT7ymeOwT66IqA" TargetMode="External"/><Relationship Id="rId2319" Type="http://schemas.openxmlformats.org/officeDocument/2006/relationships/hyperlink" Target="https://www.google.com/url?q=https://github.com/timpostuvan/CompetitiveProgramming/blob/master/CodeChef/CHANGNUM.cpp&amp;sa=D&amp;ust=1605639552935000&amp;usg=AFQjCNG9Q0kRCBQ-MKx2hd70RYksVVAnkA" TargetMode="External"/><Relationship Id="rId2526" Type="http://schemas.openxmlformats.org/officeDocument/2006/relationships/hyperlink" Target="https://www.google.com/url?q=https://arc079.contest.atcoder.jp/tasks/arc079_d&amp;sa=D&amp;ust=1605639553046000&amp;usg=AFQjCNF9NqR_yALOfGxYzhb2D4zjyURFhA" TargetMode="External"/><Relationship Id="rId2733" Type="http://schemas.openxmlformats.org/officeDocument/2006/relationships/hyperlink" Target="https://www.google.com/url?q=https://codeforces.com/gym/102001/problem/C&amp;sa=D&amp;ust=1605639553165000&amp;usg=AFQjCNFNfwGuAy-isp3G4flUqMm8UYn21Q" TargetMode="External"/><Relationship Id="rId705" Type="http://schemas.openxmlformats.org/officeDocument/2006/relationships/hyperlink" Target="https://www.google.com/url?q=https://github.com/mostafa-saad/MyCompetitiveProgramming/blob/master/Kattis/kattis-whiteboard.txt&amp;sa=D&amp;ust=1605639551967000&amp;usg=AFQjCNFmCX-gf3Gm5J8MCtBSCTb3e9fW0g" TargetMode="External"/><Relationship Id="rId1128" Type="http://schemas.openxmlformats.org/officeDocument/2006/relationships/hyperlink" Target="https://www.google.com/url?q=https://codeforces.com/contest/1197/problem/D&amp;sa=D&amp;ust=1605639552196000&amp;usg=AFQjCNFvwLQmaTVVUHXZ68SmmzqavNPHkg" TargetMode="External"/><Relationship Id="rId1335" Type="http://schemas.openxmlformats.org/officeDocument/2006/relationships/hyperlink" Target="https://www.google.com/url?q=https://uva.onlinejudge.org/index.php?option%3Dcom_onlinejudge%26Itemid%3D8%26page%3Dshow_problem%26problem%3D1205&amp;sa=D&amp;ust=1605639552337000&amp;usg=AFQjCNE_1PKpav97UIMIDtlRsps6hRtR1w" TargetMode="External"/><Relationship Id="rId1542" Type="http://schemas.openxmlformats.org/officeDocument/2006/relationships/hyperlink" Target="https://www.google.com/url?q=https://agc027.contest.atcoder.jp/tasks/agc027_b&amp;sa=D&amp;ust=1605639552470000&amp;usg=AFQjCNHqmqETz4O5WNOoWobfMeoZMhQ7xg" TargetMode="External"/><Relationship Id="rId2940" Type="http://schemas.openxmlformats.org/officeDocument/2006/relationships/hyperlink" Target="https://www.google.com/url?q=https://github.com/AbdelrahmanRamadan/competitive-programming/blob/master/World%2520Finals/2005/3271%2520-%2520The%2520Traveling%2520Judges%2520Problem.cpp&amp;sa=D&amp;ust=1605639553286000&amp;usg=AFQjCNGHs6M6CDH_EDTr71t5s7LVF5FhgQ" TargetMode="External"/><Relationship Id="rId912" Type="http://schemas.openxmlformats.org/officeDocument/2006/relationships/hyperlink" Target="https://www.google.com/url?q=http://codeforces.com/contest/722/problem/E&amp;sa=D&amp;ust=1605639552078000&amp;usg=AFQjCNHzbzzj6sEsXwen9eMkx4-NxcoYsg" TargetMode="External"/><Relationship Id="rId2800" Type="http://schemas.openxmlformats.org/officeDocument/2006/relationships/hyperlink" Target="https://www.google.com/url?q=https://codeforces.com/gym/101908/problem/G&amp;sa=D&amp;ust=1605639553210000&amp;usg=AFQjCNHjYNAT6R3vV358npdp0l7eilktqA" TargetMode="External"/><Relationship Id="rId41" Type="http://schemas.openxmlformats.org/officeDocument/2006/relationships/hyperlink" Target="https://www.google.com/url?q=https://codeforces.com/contest/1261/problem/E&amp;sa=D&amp;ust=1605639551580000&amp;usg=AFQjCNGhsm0ozncXUwDk-Y_hiGZf2HH0tw" TargetMode="External"/><Relationship Id="rId1402" Type="http://schemas.openxmlformats.org/officeDocument/2006/relationships/hyperlink" Target="https://www.google.com/url?q=http://codeforces.com/contest/118/problem/D&amp;sa=D&amp;ust=1605639552382000&amp;usg=AFQjCNHo1WxnU1bjzzbY3tUTZmtUM1KJ8A" TargetMode="External"/><Relationship Id="rId288" Type="http://schemas.openxmlformats.org/officeDocument/2006/relationships/hyperlink" Target="https://www.google.com/url?q=https://github.com/mostafa-saad/MyCompetitiveProgramming/blob/master/Codeforces/CF100488-GYM-L.txt&amp;sa=D&amp;ust=1605639551751000&amp;usg=AFQjCNEaYp6IbdeJ5lOriMWs_PcjTrdPeA" TargetMode="External"/><Relationship Id="rId3367" Type="http://schemas.openxmlformats.org/officeDocument/2006/relationships/hyperlink" Target="https://www.google.com/url?q=https://github.com/mostafa-saad/MyCompetitiveProgramming/blob/master/UVA/UVA_10830.txt&amp;sa=D&amp;ust=1605639553530000&amp;usg=AFQjCNG-_HGgSunF2kTX6EP-6xITIPn69g" TargetMode="External"/><Relationship Id="rId3574" Type="http://schemas.openxmlformats.org/officeDocument/2006/relationships/hyperlink" Target="https://www.google.com/url?q=https://github.com/MohamedNabil97/CompetitiveProgramming/blob/master/UVA/10229.cpp&amp;sa=D&amp;ust=1605639553709000&amp;usg=AFQjCNGFnZX-S-oihpnIeu1RYc1pVMr-1Q" TargetMode="External"/><Relationship Id="rId3781" Type="http://schemas.openxmlformats.org/officeDocument/2006/relationships/hyperlink" Target="https://www.google.com/url?q=https://atcoder.jp/contests/abc150/tasks/abc150_f&amp;sa=D&amp;ust=1605639553849000&amp;usg=AFQjCNG7hmZHlj7yNMB-M3Ze-BqD2hjVaA" TargetMode="External"/><Relationship Id="rId4418" Type="http://schemas.openxmlformats.org/officeDocument/2006/relationships/hyperlink" Target="https://www.google.com/url?q=https://github.com/mostafa-saad/MyCompetitiveProgramming/blob/master/Timus/Timus_1362.txt&amp;sa=D&amp;ust=1605639554337000&amp;usg=AFQjCNFXm-regMIMV-hiB6MgVaY0qYm6-g" TargetMode="External"/><Relationship Id="rId495" Type="http://schemas.openxmlformats.org/officeDocument/2006/relationships/hyperlink" Target="https://www.google.com/url?q=https://community.topcoder.com/stat?c%3Dproblem_statement%26pm%3D3501&amp;sa=D&amp;ust=1605639551884000&amp;usg=AFQjCNGCRWtWtQvyf3aC7YVSsaFQ-7PXOQ" TargetMode="External"/><Relationship Id="rId2176" Type="http://schemas.openxmlformats.org/officeDocument/2006/relationships/hyperlink" Target="https://www.google.com/url?q=http://codeforces.com/contest/682/problem/E&amp;sa=D&amp;ust=1605639552854000&amp;usg=AFQjCNHiplT-C1GoV6Tm0RfNuvXCUHM-pg" TargetMode="External"/><Relationship Id="rId2383" Type="http://schemas.openxmlformats.org/officeDocument/2006/relationships/hyperlink" Target="https://www.google.com/url?q=https://codeforces.com/contest/1068/problem/C&amp;sa=D&amp;ust=1605639552961000&amp;usg=AFQjCNFbz1ws90Sk6510KBu502Jgoni2HQ" TargetMode="External"/><Relationship Id="rId2590" Type="http://schemas.openxmlformats.org/officeDocument/2006/relationships/hyperlink" Target="https://www.google.com/url?q=https://github.com/yazanKabbany/CompetitiveProgramming/blob/master/Timus/1437.cpp&amp;sa=D&amp;ust=1605639553082000&amp;usg=AFQjCNEH2zL9OakllXntfFJO-bOO0YxKcg" TargetMode="External"/><Relationship Id="rId3227" Type="http://schemas.openxmlformats.org/officeDocument/2006/relationships/hyperlink" Target="https://www.google.com/url?q=https://github.com/abdullaAshraf/Problem-Solving/blob/master/UVA/126.cpp&amp;sa=D&amp;ust=1605639553440000&amp;usg=AFQjCNFz4WIha4UYOzvtQ0vquwr6sDis9w" TargetMode="External"/><Relationship Id="rId3434" Type="http://schemas.openxmlformats.org/officeDocument/2006/relationships/hyperlink" Target="https://www.google.com/url?q=http://codeforces.com/contest/289/problem/D&amp;sa=D&amp;ust=1605639553573000&amp;usg=AFQjCNFwodFQ2RVt7kcicZj-glxbgl7qQw" TargetMode="External"/><Relationship Id="rId3641" Type="http://schemas.openxmlformats.org/officeDocument/2006/relationships/hyperlink" Target="https://www.google.com/url?q=http://codeforces.com/contest/449/problem/C&amp;sa=D&amp;ust=1605639553758000&amp;usg=AFQjCNGfJ9ATjTOwCd0KpoRlxe5edIthww" TargetMode="External"/><Relationship Id="rId148" Type="http://schemas.openxmlformats.org/officeDocument/2006/relationships/hyperlink" Target="https://www.google.com/url?q=http://codeforces.com/contest/976/problem/C&amp;sa=D&amp;ust=1605639551641000&amp;usg=AFQjCNHXiU3bSsZCuucR0gj49DZfkgujzA" TargetMode="External"/><Relationship Id="rId355" Type="http://schemas.openxmlformats.org/officeDocument/2006/relationships/hyperlink" Target="https://www.google.com/url?q=https://github.com/Ownography/CP/blob/master/SPOJ%2520POSTERIN&amp;sa=D&amp;ust=1605639551794000&amp;usg=AFQjCNEplPTQztdBtP-jlYghQ-nAlwPCwA" TargetMode="External"/><Relationship Id="rId562" Type="http://schemas.openxmlformats.org/officeDocument/2006/relationships/hyperlink" Target="https://www.google.com/url?q=http://codeforces.com/gym/100093/problem/E&amp;sa=D&amp;ust=1605639551912000&amp;usg=AFQjCNFQUk3vijZhCM9ESKSASp_RZ4M14Q" TargetMode="External"/><Relationship Id="rId1192" Type="http://schemas.openxmlformats.org/officeDocument/2006/relationships/hyperlink" Target="https://www.google.com/url?q=http://codeforces.com/contest/415/problem/D&amp;sa=D&amp;ust=1605639552235000&amp;usg=AFQjCNGRoXd37efmcLvpEHPTI_tzenRdyg" TargetMode="External"/><Relationship Id="rId2036" Type="http://schemas.openxmlformats.org/officeDocument/2006/relationships/hyperlink" Target="https://www.google.com/url?q=https://www.hackerrank.com/challenges/points-on-rectangle&amp;sa=D&amp;ust=1605639552759000&amp;usg=AFQjCNGFR2hPqnFdMq_2lrkM51y_XPu_oQ" TargetMode="External"/><Relationship Id="rId2243" Type="http://schemas.openxmlformats.org/officeDocument/2006/relationships/hyperlink" Target="https://www.google.com/url?q=https://github.com/aboodJAD/CompetitiveProgramming/blob/master/UVA/UVA%252010750.cpp&amp;sa=D&amp;ust=1605639552893000&amp;usg=AFQjCNF3eSSai-5arKOC08nG7CiKcfoD0g" TargetMode="External"/><Relationship Id="rId2450" Type="http://schemas.openxmlformats.org/officeDocument/2006/relationships/hyperlink" Target="https://www.google.com/url?q=https://codeforces.com/contest/131/problem/D&amp;sa=D&amp;ust=1605639552995000&amp;usg=AFQjCNFoknJoSe20AJxhPlTargmHqj92WA" TargetMode="External"/><Relationship Id="rId3501" Type="http://schemas.openxmlformats.org/officeDocument/2006/relationships/hyperlink" Target="https://www.google.com/url?q=http://codeforces.com/contest/83/problem/D&amp;sa=D&amp;ust=1605639553628000&amp;usg=AFQjCNF1dTKYFHPToY6EBJDzgOpVf9FFYQ" TargetMode="External"/><Relationship Id="rId215" Type="http://schemas.openxmlformats.org/officeDocument/2006/relationships/hyperlink" Target="https://www.google.com/url?q=https://codeforces.com/contest/1077/problem/E&amp;sa=D&amp;ust=1605639551687000&amp;usg=AFQjCNFXZqMRs81NeRF13RJNvS_alZXKYA" TargetMode="External"/><Relationship Id="rId422" Type="http://schemas.openxmlformats.org/officeDocument/2006/relationships/hyperlink" Target="https://www.google.com/url?q=https://codeforces.com/contest/1277/problem/F&amp;sa=D&amp;ust=1605639551851000&amp;usg=AFQjCNFfa8_A45wTVkga9Tk2pj6QhtpiPw" TargetMode="External"/><Relationship Id="rId1052" Type="http://schemas.openxmlformats.org/officeDocument/2006/relationships/hyperlink" Target="https://www.google.com/url?q=http://codeforces.com/contest/984/problem/D&amp;sa=D&amp;ust=1605639552149000&amp;usg=AFQjCNGaabpzY5lLNLZkqK4H3Rijo6tyaQ" TargetMode="External"/><Relationship Id="rId2103" Type="http://schemas.openxmlformats.org/officeDocument/2006/relationships/hyperlink" Target="https://www.google.com/url?q=https://github.com/MeGaCrazy/CompetitiveProgramming/blob/5b920a5ddab614e30ea12e7e3a7da12267a203ec/UVA/UVA_10790.cpp&amp;sa=D&amp;ust=1605639552805000&amp;usg=AFQjCNEoq3ngP0JYT19BNgwQNOxRlhgdoA" TargetMode="External"/><Relationship Id="rId2310" Type="http://schemas.openxmlformats.org/officeDocument/2006/relationships/hyperlink" Target="https://www.google.com/url?q=https://arc099.contest.atcoder.jp/tasks/arc099_c&amp;sa=D&amp;ust=1605639552933000&amp;usg=AFQjCNECUphitGpy6VwlfJeThucUrCUXIA" TargetMode="External"/><Relationship Id="rId4068" Type="http://schemas.openxmlformats.org/officeDocument/2006/relationships/hyperlink" Target="https://www.google.com/url?q=http://codeforces.com/gym/100324/attachments&amp;sa=D&amp;ust=1605639554158000&amp;usg=AFQjCNHVDYsdiinvSbTwARvIObKsungseA" TargetMode="External"/><Relationship Id="rId4275" Type="http://schemas.openxmlformats.org/officeDocument/2006/relationships/hyperlink" Target="https://www.google.com/url?q=http://codeforces.com/problemset/problem/311/B&amp;sa=D&amp;ust=1605639554274000&amp;usg=AFQjCNHA3ZgsVw9mfce5awNpE0pta8NQeA" TargetMode="External"/><Relationship Id="rId1869" Type="http://schemas.openxmlformats.org/officeDocument/2006/relationships/hyperlink" Target="https://www.google.com/url?q=https://www.hackerrank.com/challenges/digits-square-board-1&amp;sa=D&amp;ust=1605639552647000&amp;usg=AFQjCNG9m5WBDLgI4F5N7bT6gMriZ37UMg" TargetMode="External"/><Relationship Id="rId3084" Type="http://schemas.openxmlformats.org/officeDocument/2006/relationships/hyperlink" Target="https://www.google.com/url?q=https://open.kattis.com/problems/tourists&amp;sa=D&amp;ust=1605639553364000&amp;usg=AFQjCNFj26j193Wgov8hVEw3WsBhx4tLDw" TargetMode="External"/><Relationship Id="rId3291" Type="http://schemas.openxmlformats.org/officeDocument/2006/relationships/hyperlink" Target="https://www.google.com/url?q=https://uva.onlinejudge.org/index.php?option%3Dcom_onlinejudge%26Itemid%3D8%26page%3Dshow_problem%26problem%3D1047&amp;sa=D&amp;ust=1605639553476000&amp;usg=AFQjCNF_mAkAKbbBN8-L0WHouFZ8w53lDA" TargetMode="External"/><Relationship Id="rId4135" Type="http://schemas.openxmlformats.org/officeDocument/2006/relationships/hyperlink" Target="https://www.google.com/url?q=http://codeforces.com/contest/825/problem/E&amp;sa=D&amp;ust=1605639554198000&amp;usg=AFQjCNEJq-a0NOutp2NLzsr1dZOagB99TQ" TargetMode="External"/><Relationship Id="rId1729" Type="http://schemas.openxmlformats.org/officeDocument/2006/relationships/hyperlink" Target="https://www.google.com/url?q=https://github.com/MedoN11/CompetitiveProgramming/blob/master/CSES%2520ProblemSet/main.cpp&amp;sa=D&amp;ust=1605639552576000&amp;usg=AFQjCNHvDxO4Bb8yKI-YZ5TZTM2E0lmfcA" TargetMode="External"/><Relationship Id="rId1936" Type="http://schemas.openxmlformats.org/officeDocument/2006/relationships/hyperlink" Target="https://www.google.com/url?q=https://github.com/OmarHashim/Competitive-Programming/blob/master/UVA/10288.cpp&amp;sa=D&amp;ust=1605639552702000&amp;usg=AFQjCNF3i1ZdVFtZjJSXI8O_phI3LTnpUg" TargetMode="External"/><Relationship Id="rId4342" Type="http://schemas.openxmlformats.org/officeDocument/2006/relationships/hyperlink" Target="https://www.google.com/url?q=https://www.codechef.com/problems/STR_FUNC&amp;sa=D&amp;ust=1605639554301000&amp;usg=AFQjCNE1HuiTN_9zHNgFJcf5HxpDK7BHCA" TargetMode="External"/><Relationship Id="rId3151" Type="http://schemas.openxmlformats.org/officeDocument/2006/relationships/hyperlink" Target="https://www.google.com/url?q=https://www.codechef.com/COME2019/problems/SWAPSIGN&amp;sa=D&amp;ust=1605639553406000&amp;usg=AFQjCNFUgCKFFnVIIfVT50S_2xCQ9OR4Sg" TargetMode="External"/><Relationship Id="rId4202" Type="http://schemas.openxmlformats.org/officeDocument/2006/relationships/hyperlink" Target="https://www.google.com/url?q=http://codeforces.com/contest/487/problem/E&amp;sa=D&amp;ust=1605639554243000&amp;usg=AFQjCNGx69DCQPyhAkqdVsud2f8xwVjfuA" TargetMode="External"/><Relationship Id="rId3011" Type="http://schemas.openxmlformats.org/officeDocument/2006/relationships/hyperlink" Target="https://www.google.com/url?q=https://github.com/HeartBlue/CompetitiveProgramming/blob/master/LIVEARCHIVE/LIVEARCHIVE%25202973%2520Map%2520Labeler.cpp&amp;sa=D&amp;ust=1605639553326000&amp;usg=AFQjCNFyRei7bBRwLZbPxWYw0ASSGz7fhA" TargetMode="External"/><Relationship Id="rId3968" Type="http://schemas.openxmlformats.org/officeDocument/2006/relationships/hyperlink" Target="https://www.google.com/url?q=http://codeforces.com/contest/43/problem/D&amp;sa=D&amp;ust=1605639553953000&amp;usg=AFQjCNEdX1G-sdfUhPWM6eBc9vkD5ZbwOw" TargetMode="External"/><Relationship Id="rId5" Type="http://schemas.openxmlformats.org/officeDocument/2006/relationships/hyperlink" Target="https://www.google.com/url?q=https://codeforces.com/contest/1070/problem/L&amp;sa=D&amp;ust=1605639551564000&amp;usg=AFQjCNFreXGnMOIFKJZ9bceIlF23VdmSCg" TargetMode="External"/><Relationship Id="rId889" Type="http://schemas.openxmlformats.org/officeDocument/2006/relationships/hyperlink" Target="https://www.google.com/url?q=https://www.codechef.com/problems/SAFPAR&amp;sa=D&amp;ust=1605639552064000&amp;usg=AFQjCNEido7K12X6yp5s5uM0Om3FkIp8xA" TargetMode="External"/><Relationship Id="rId2777" Type="http://schemas.openxmlformats.org/officeDocument/2006/relationships/hyperlink" Target="https://www.google.com/url?q=https://uva.onlinejudge.org/index.php?option%3Donlinejudge%26page%3Dshow_problem%26problem%3D464&amp;sa=D&amp;ust=1605639553194000&amp;usg=AFQjCNGkLHfeEvbMlzXB08gV_0skQgwWhg" TargetMode="External"/><Relationship Id="rId749" Type="http://schemas.openxmlformats.org/officeDocument/2006/relationships/hyperlink" Target="https://www.google.com/url?q=https://uva.onlinejudge.org/index.php?option%3Dcom_onlinejudge%26Itemid%3D8%26page%3Dshow_problem%26problem%3D3673&amp;sa=D&amp;ust=1605639551988000&amp;usg=AFQjCNHLatnqBTGM8XdRxLpo8w0spLJbZQ" TargetMode="External"/><Relationship Id="rId1379" Type="http://schemas.openxmlformats.org/officeDocument/2006/relationships/hyperlink" Target="https://www.google.com/url?q=http://codeforces.com/contest/128/problem/C&amp;sa=D&amp;ust=1605639552362000&amp;usg=AFQjCNHTRRjliRD08wvYIJTe_Dp3HI9Yhg" TargetMode="External"/><Relationship Id="rId1586" Type="http://schemas.openxmlformats.org/officeDocument/2006/relationships/hyperlink" Target="https://www.google.com/url?q=http://codeforces.com/contest/976/problem/E&amp;sa=D&amp;ust=1605639552495000&amp;usg=AFQjCNEb66iOOf-lWgcjSZiOCk1VrnGWIA" TargetMode="External"/><Relationship Id="rId2984" Type="http://schemas.openxmlformats.org/officeDocument/2006/relationships/hyperlink" Target="https://www.google.com/url?q=https://uva.onlinejudge.org/index.php?option%3Dcom_onlinejudge%26Itemid%3D8%26page%3Dshow_problem%26problem%3D3319&amp;sa=D&amp;ust=1605639553311000&amp;usg=AFQjCNGzbNZDbdBvNx8O05au4Nnz5b0BKw" TargetMode="External"/><Relationship Id="rId3828" Type="http://schemas.openxmlformats.org/officeDocument/2006/relationships/hyperlink" Target="https://www.google.com/url?q=https://github.com/goswami-rahul/competitive-coding/blob/master/CompetitiveProgramming/codeforces/CF1073-D12-G.cpp&amp;sa=D&amp;ust=1605639553882000&amp;usg=AFQjCNE5n_l_2ipnIO0ceS9uZTH4XONIbg" TargetMode="External"/><Relationship Id="rId609" Type="http://schemas.openxmlformats.org/officeDocument/2006/relationships/hyperlink" Target="https://www.google.com/url?q=http://uoj.ac/problem/164&amp;sa=D&amp;ust=1605639551929000&amp;usg=AFQjCNFKITAj0g1a6hHu8TusBv1ndXbNvQ" TargetMode="External"/><Relationship Id="rId956" Type="http://schemas.openxmlformats.org/officeDocument/2006/relationships/hyperlink" Target="https://www.google.com/url?q=http://codeforces.com/problemset/problem/1065/G&amp;sa=D&amp;ust=1605639552103000&amp;usg=AFQjCNFLhNu4W1PWYd0JaatE_cydgi-mDw" TargetMode="External"/><Relationship Id="rId1239" Type="http://schemas.openxmlformats.org/officeDocument/2006/relationships/hyperlink" Target="https://www.google.com/url?q=https://github.com/nya-nya-meow/CompetitiveProgramming/blob/master/LightOJ/1126.cpp&amp;sa=D&amp;ust=1605639552275000&amp;usg=AFQjCNFP_9KfMpW3VxF0FNKrEbuyF4y7tw" TargetMode="External"/><Relationship Id="rId1793" Type="http://schemas.openxmlformats.org/officeDocument/2006/relationships/hyperlink" Target="https://www.google.com/url?q=http://codeforces.com/problemset/problem/120/E&amp;sa=D&amp;ust=1605639552610000&amp;usg=AFQjCNH4LKyRNYSkEEutZLL5WxMK9ZsKPg" TargetMode="External"/><Relationship Id="rId2637" Type="http://schemas.openxmlformats.org/officeDocument/2006/relationships/hyperlink" Target="https://www.google.com/url?q=http://codeforces.com/contest/507/problem/E&amp;sa=D&amp;ust=1605639553116000&amp;usg=AFQjCNEd9_MGD9oMuC_tFb8Wbp2958V_dQ" TargetMode="External"/><Relationship Id="rId2844" Type="http://schemas.openxmlformats.org/officeDocument/2006/relationships/hyperlink" Target="https://www.google.com/url?q=https://github.com/ilyesG/Competitive-Programming/blob/master/UVA/UVA%252010330.cpp&amp;sa=D&amp;ust=1605639553233000&amp;usg=AFQjCNFa7zzY3xhdCAp62M3OAsUswfavUQ" TargetMode="External"/><Relationship Id="rId85" Type="http://schemas.openxmlformats.org/officeDocument/2006/relationships/hyperlink" Target="https://www.google.com/url?q=http://code.cloudkaksha.org/spoj/spoj-pairsum-solution&amp;sa=D&amp;ust=1605639551602000&amp;usg=AFQjCNHm1InPSYCW5khJkvv8haCxVe96jQ" TargetMode="External"/><Relationship Id="rId816" Type="http://schemas.openxmlformats.org/officeDocument/2006/relationships/hyperlink" Target="https://www.google.com/url?q=https://vjudge.net/problem/27056&amp;sa=D&amp;ust=1605639552023000&amp;usg=AFQjCNHIcsloZ9V5yNbQ6wsNqxCyz_1aLw" TargetMode="External"/><Relationship Id="rId1446" Type="http://schemas.openxmlformats.org/officeDocument/2006/relationships/hyperlink" Target="https://www.google.com/url?q=https://github.com/AliOsm/CompetitiveProgramming/blob/master/UVA/10169%2520-%2520Urn-ball%2520Probabilities!.cpp&amp;sa=D&amp;ust=1605639552413000&amp;usg=AFQjCNEp2FKURHeJlpyQz8w0pm7v_ML0LA" TargetMode="External"/><Relationship Id="rId1653" Type="http://schemas.openxmlformats.org/officeDocument/2006/relationships/hyperlink" Target="https://www.google.com/url?q=https://github.com/mostafa-saad/MyCompetitiveProgramming/blob/master/SPOJ/SPOJ_SAM.txt&amp;sa=D&amp;ust=1605639552532000&amp;usg=AFQjCNEwlGh2CnYFUwrjrH_W8pxfZ7golA" TargetMode="External"/><Relationship Id="rId1860" Type="http://schemas.openxmlformats.org/officeDocument/2006/relationships/hyperlink" Target="https://www.google.com/url?q=http://codeforces.com/contest/256/problem/C&amp;sa=D&amp;ust=1605639552644000&amp;usg=AFQjCNE38kpo99e2cusELVxDR87_Tfiuqw" TargetMode="External"/><Relationship Id="rId2704" Type="http://schemas.openxmlformats.org/officeDocument/2006/relationships/hyperlink" Target="https://www.google.com/url?q=https://github.com/abdullaAshraf/Problem-Solving/blob/master/CodeForces/CF437-D2-D.cpp&amp;sa=D&amp;ust=1605639553149000&amp;usg=AFQjCNHwIZqWQvrY36qXdNrNMLig0O821Q" TargetMode="External"/><Relationship Id="rId2911" Type="http://schemas.openxmlformats.org/officeDocument/2006/relationships/hyperlink" Target="https://www.google.com/url?q=https://github.com/khaledsliti/CompetitiveProgramming/blob/master/Codeforces/CF1107-D12-F.cpp&amp;sa=D&amp;ust=1605639553270000&amp;usg=AFQjCNH3FUtO5XwbeabqIO6rXG9MTB1KKA" TargetMode="External"/><Relationship Id="rId1306" Type="http://schemas.openxmlformats.org/officeDocument/2006/relationships/hyperlink" Target="https://www.google.com/url?q=http://codeforces.com/contest/907/problem/E&amp;sa=D&amp;ust=1605639552319000&amp;usg=AFQjCNGrmueGnmvAgt8LyLXtbD43BJLXWw" TargetMode="External"/><Relationship Id="rId1513" Type="http://schemas.openxmlformats.org/officeDocument/2006/relationships/hyperlink" Target="https://www.google.com/url?q=https://github.com/MichaelMounir12/CompetitiveProgramming/blob/7a8bea8c513222833368c1c475d51b705ced5fbf/Topcoder/SRM367-D2-1000.cpp&amp;sa=D&amp;ust=1605639552455000&amp;usg=AFQjCNGw8w3_JyIUpqMpCxoi8ND8rVgI7g" TargetMode="External"/><Relationship Id="rId1720" Type="http://schemas.openxmlformats.org/officeDocument/2006/relationships/hyperlink" Target="https://www.google.com/url?q=http://codeforces.com/gym/101597/problem/J&amp;sa=D&amp;ust=1605639552570000&amp;usg=AFQjCNFAtaTmHRvGTE1EyQXjQLIZ62Uazg" TargetMode="External"/><Relationship Id="rId12" Type="http://schemas.openxmlformats.org/officeDocument/2006/relationships/hyperlink" Target="https://www.google.com/url?q=https://agc003.contest.atcoder.jp/tasks/agc003_e&amp;sa=D&amp;ust=1605639551567000&amp;usg=AFQjCNHzgRPqz1KS2teJgFqQ1M6ChuLcSA" TargetMode="External"/><Relationship Id="rId3478" Type="http://schemas.openxmlformats.org/officeDocument/2006/relationships/hyperlink" Target="https://www.google.com/url?q=https://uva.onlinejudge.org/index.php?option%3Donlinejudge%26page%3Dshow_problem%26problem%3D2322&amp;sa=D&amp;ust=1605639553603000&amp;usg=AFQjCNFK4iP6PkZ4N8hbAKGulE3WbQPMgg" TargetMode="External"/><Relationship Id="rId3685" Type="http://schemas.openxmlformats.org/officeDocument/2006/relationships/hyperlink" Target="https://www.google.com/url?q=http://codeforces.com/contest/338/problem/D&amp;sa=D&amp;ust=1605639553790000&amp;usg=AFQjCNFUChZ7n1jZyfvVisCjLqDfdwjwoA" TargetMode="External"/><Relationship Id="rId3892" Type="http://schemas.openxmlformats.org/officeDocument/2006/relationships/hyperlink" Target="https://www.google.com/url?q=http://codeforces.com/contest/351/problem/D&amp;sa=D&amp;ust=1605639553915000&amp;usg=AFQjCNEVM9F5dT-r-sklZ6wO0omcwkKkyA" TargetMode="External"/><Relationship Id="rId399" Type="http://schemas.openxmlformats.org/officeDocument/2006/relationships/hyperlink" Target="https://www.google.com/url?q=https://github.com/tmwilliamlin168/CompetitiveProgramming/blob/master/CodeForces/CF981-D12-F.cpp&amp;sa=D&amp;ust=1605639551841000&amp;usg=AFQjCNHjKocIki6xInn4pl95IS-Ot34fZg" TargetMode="External"/><Relationship Id="rId2287" Type="http://schemas.openxmlformats.org/officeDocument/2006/relationships/hyperlink" Target="https://www.google.com/url?q=http://codeforces.com/contest/879/problem/E&amp;sa=D&amp;ust=1605639552921000&amp;usg=AFQjCNFHgaZkb8c9Oe7PnajDmqq-XKH4mw" TargetMode="External"/><Relationship Id="rId2494" Type="http://schemas.openxmlformats.org/officeDocument/2006/relationships/hyperlink" Target="https://www.google.com/url?q=https://uva.onlinejudge.org/index.php?option%3Donlinejudge%26page%3Dshow_problem%26problem%3D3801&amp;sa=D&amp;ust=1605639553028000&amp;usg=AFQjCNFin948mTm_j-pZVacJuzNTk0Of5Q" TargetMode="External"/><Relationship Id="rId3338" Type="http://schemas.openxmlformats.org/officeDocument/2006/relationships/hyperlink" Target="https://www.google.com/url?q=http://codeforces.com/contest/592/problem/C&amp;sa=D&amp;ust=1605639553511000&amp;usg=AFQjCNEkYJQn_JWth26prRTbWg3VjVhuOA" TargetMode="External"/><Relationship Id="rId3545" Type="http://schemas.openxmlformats.org/officeDocument/2006/relationships/hyperlink" Target="https://www.google.com/url?q=http://codeforces.com/contest/227/problem/E&amp;sa=D&amp;ust=1605639553683000&amp;usg=AFQjCNFhLCXmE7lg6uQC86mljKaSXYWvCg" TargetMode="External"/><Relationship Id="rId3752" Type="http://schemas.openxmlformats.org/officeDocument/2006/relationships/hyperlink" Target="https://www.google.com/url?q=http://codeforces.com/contest/817/problem/E&amp;sa=D&amp;ust=1605639553831000&amp;usg=AFQjCNH6QIpXXM_oKLg_BIpWLxciokBvlQ" TargetMode="External"/><Relationship Id="rId259" Type="http://schemas.openxmlformats.org/officeDocument/2006/relationships/hyperlink" Target="https://www.google.com/url?q=http://codeforces.com/contest/1030/problem/E&amp;sa=D&amp;ust=1605639551728000&amp;usg=AFQjCNHWqY4tG2zPd4juG_50EvaVb_BgSg" TargetMode="External"/><Relationship Id="rId466" Type="http://schemas.openxmlformats.org/officeDocument/2006/relationships/hyperlink" Target="https://www.google.com/url?q=https://github.com/VAMPIER000001/CompetitiveProgramming/blob/master/Spoj/SPOJ%2520DICTSUB.Cpp&amp;sa=D&amp;ust=1605639551871000&amp;usg=AFQjCNFdzunBs_oeNwXmd3MhKEXDRaM2rQ" TargetMode="External"/><Relationship Id="rId673" Type="http://schemas.openxmlformats.org/officeDocument/2006/relationships/hyperlink" Target="https://www.google.com/url?q=https://codeforces.com/contest/1110/problem/F&amp;sa=D&amp;ust=1605639551951000&amp;usg=AFQjCNFIWIO8oLI3vKTlAtQ66aez6FbzMQ" TargetMode="External"/><Relationship Id="rId880" Type="http://schemas.openxmlformats.org/officeDocument/2006/relationships/hyperlink" Target="https://www.google.com/url?q=https://github.com/farmerboy95/CompetitiveProgramming/blob/master/Google%2520Kickstart/Kickstart%252019-RH-A.cpp&amp;sa=D&amp;ust=1605639552057000&amp;usg=AFQjCNFM3mnzVn_46tGuc7Ok-itO-B1Tqw" TargetMode="External"/><Relationship Id="rId1096" Type="http://schemas.openxmlformats.org/officeDocument/2006/relationships/hyperlink" Target="https://www.google.com/url?q=http://codeforces.com/contest/1012/problem/C&amp;sa=D&amp;ust=1605639552174000&amp;usg=AFQjCNFqsFj44jcgnyxkYGpEs92w84URpA" TargetMode="External"/><Relationship Id="rId2147" Type="http://schemas.openxmlformats.org/officeDocument/2006/relationships/hyperlink" Target="https://www.google.com/url?q=http://codeforces.com/contest/801/problem/D&amp;sa=D&amp;ust=1605639552836000&amp;usg=AFQjCNGn9VMaWgcmypsTom2N_epdIw8KwA" TargetMode="External"/><Relationship Id="rId2354" Type="http://schemas.openxmlformats.org/officeDocument/2006/relationships/hyperlink" Target="https://www.google.com/url?q=https://codeforces.com/contest/1269/problem/D&amp;sa=D&amp;ust=1605639552948000&amp;usg=AFQjCNFADZ7h0iFZxNTPeh2X4_f0-tHTXw" TargetMode="External"/><Relationship Id="rId2561" Type="http://schemas.openxmlformats.org/officeDocument/2006/relationships/hyperlink" Target="https://www.google.com/url?q=https://github.com/mostafa-saad/MyCompetitiveProgramming/blob/master/UVA/UVA_707.txt&amp;sa=D&amp;ust=1605639553065000&amp;usg=AFQjCNEub-gBmGSoW_04LGjWYAtGqVnEQg" TargetMode="External"/><Relationship Id="rId3405" Type="http://schemas.openxmlformats.org/officeDocument/2006/relationships/hyperlink" Target="https://www.google.com/url?q=http://codeforces.com/contest/109/problem/C&amp;sa=D&amp;ust=1605639553556000&amp;usg=AFQjCNH94QCA-OkV38z9EXCaNxXH7ERW8w" TargetMode="External"/><Relationship Id="rId119" Type="http://schemas.openxmlformats.org/officeDocument/2006/relationships/hyperlink" Target="https://www.google.com/url?q=http://codeforces.com/contest/298/problem/D&amp;sa=D&amp;ust=1605639551623000&amp;usg=AFQjCNFhRKezs_LhbBRGODc_lq10Khb0ww" TargetMode="External"/><Relationship Id="rId326" Type="http://schemas.openxmlformats.org/officeDocument/2006/relationships/hyperlink" Target="https://www.google.com/url?q=https://github.com/mostafa-saad/MyCompetitiveProgramming/blob/master/SPOJ/SPOJ_WEIRDFN.txt&amp;sa=D&amp;ust=1605639551769000&amp;usg=AFQjCNEvq_nKILs2jXjQe_KbBPElf2RqnA" TargetMode="External"/><Relationship Id="rId533" Type="http://schemas.openxmlformats.org/officeDocument/2006/relationships/hyperlink" Target="https://www.google.com/url?q=http://codeforces.com/contest/490/problem/D&amp;sa=D&amp;ust=1605639551901000&amp;usg=AFQjCNH7iTzc3VtPgASBYn5zBSwLwxTcWQ" TargetMode="External"/><Relationship Id="rId1163" Type="http://schemas.openxmlformats.org/officeDocument/2006/relationships/hyperlink" Target="https://www.google.com/url?q=http://codeforces.com/problemset/problem/842/C&amp;sa=D&amp;ust=1605639552221000&amp;usg=AFQjCNH9bMONSq5HaGqbEEKjLeZbaj4jSA" TargetMode="External"/><Relationship Id="rId1370" Type="http://schemas.openxmlformats.org/officeDocument/2006/relationships/hyperlink" Target="https://www.google.com/url?q=http://codeforces.com/contest/37/problem/D&amp;sa=D&amp;ust=1605639552357000&amp;usg=AFQjCNF0_h3fr40g7_nx0jMFoiXvxgadwg" TargetMode="External"/><Relationship Id="rId2007" Type="http://schemas.openxmlformats.org/officeDocument/2006/relationships/hyperlink" Target="https://www.google.com/url?q=https://codeforces.com/contest/1080/problem/C&amp;sa=D&amp;ust=1605639552738000&amp;usg=AFQjCNFp-WyaYaXW1Gedsrr1W02_WrxK0Q" TargetMode="External"/><Relationship Id="rId2214" Type="http://schemas.openxmlformats.org/officeDocument/2006/relationships/hyperlink" Target="https://www.google.com/url?q=https://icpcarchive.ecs.baylor.edu/index.php?option%3Donlinejudge%26page%3Dshow_problem%26problem%3D3806&amp;sa=D&amp;ust=1605639552879000&amp;usg=AFQjCNHBiL0Z_nclnDbQvxoL0_yDOcBliQ" TargetMode="External"/><Relationship Id="rId3612" Type="http://schemas.openxmlformats.org/officeDocument/2006/relationships/hyperlink" Target="https://www.google.com/url?q=https://github.com/aabdelzaher/Competitive-Programming/blob/master/Codeforces/CF513-D12-C.java&amp;sa=D&amp;ust=1605639553740000&amp;usg=AFQjCNGQ1JWQqOjO4f6644v9DsvVPqEZ3g" TargetMode="External"/><Relationship Id="rId740" Type="http://schemas.openxmlformats.org/officeDocument/2006/relationships/hyperlink" Target="https://www.google.com/url?q=https://codeforces.com/gym/101807/problem/J&amp;sa=D&amp;ust=1605639551983000&amp;usg=AFQjCNGrkAL0DfxwO1xSr4ltC1rewHr8lA" TargetMode="External"/><Relationship Id="rId1023" Type="http://schemas.openxmlformats.org/officeDocument/2006/relationships/hyperlink" Target="https://www.google.com/url?q=http://codeforces.com/contest/623/problem/B&amp;sa=D&amp;ust=1605639552137000&amp;usg=AFQjCNGz-PKgunDBTtOLS9D9XMw3US1CKA" TargetMode="External"/><Relationship Id="rId2421" Type="http://schemas.openxmlformats.org/officeDocument/2006/relationships/hyperlink" Target="https://www.google.com/url?q=http://www.algorithmist.com/index.php/UVa_10748&amp;sa=D&amp;ust=1605639552979000&amp;usg=AFQjCNFQ0w_ZcqlPvR1mIuP2IXB1_iyMrg" TargetMode="External"/><Relationship Id="rId4179" Type="http://schemas.openxmlformats.org/officeDocument/2006/relationships/hyperlink" Target="https://www.google.com/url?q=https://www.codechef.com/problems/FSSYNC&amp;sa=D&amp;ust=1605639554222000&amp;usg=AFQjCNGEKRHUb8YX_GOMu88nr3tkLMGD5Q" TargetMode="External"/><Relationship Id="rId600" Type="http://schemas.openxmlformats.org/officeDocument/2006/relationships/hyperlink" Target="https://www.google.com/url?q=http://codeforces.com/contest/377/problem/D&amp;sa=D&amp;ust=1605639551926000&amp;usg=AFQjCNFn815lpDEbzGJKjcnmTADgu64ltQ" TargetMode="External"/><Relationship Id="rId1230" Type="http://schemas.openxmlformats.org/officeDocument/2006/relationships/hyperlink" Target="https://www.google.com/url?q=https://github.com/mostafa-saad/MyCompetitiveProgramming/blob/master/UVA/UVA_12099.txt&amp;sa=D&amp;ust=1605639552271000&amp;usg=AFQjCNGb6--svFy-TTcXJboeVp-tktffbA" TargetMode="External"/><Relationship Id="rId4386" Type="http://schemas.openxmlformats.org/officeDocument/2006/relationships/hyperlink" Target="https://www.google.com/url?q=http://codeforces.com/contest/543/problem/D&amp;sa=D&amp;ust=1605639554320000&amp;usg=AFQjCNGQjgkHq-cCHGRWTGEBW5K-Jga7ZA" TargetMode="External"/><Relationship Id="rId3195" Type="http://schemas.openxmlformats.org/officeDocument/2006/relationships/hyperlink" Target="https://www.google.com/url?q=https://codeforces.com/contest/1220/problem/D&amp;sa=D&amp;ust=1605639553425000&amp;usg=AFQjCNHBd7QiuxJLXNF5HFglikFPO5nvCg" TargetMode="External"/><Relationship Id="rId4039" Type="http://schemas.openxmlformats.org/officeDocument/2006/relationships/hyperlink" Target="https://www.google.com/url?q=https://uva.onlinejudge.org/index.php?option%3Dcom_onlinejudge%26Itemid%3D8%26page%3Dshow_problem%26problem%3D1394&amp;sa=D&amp;ust=1605639554146000&amp;usg=AFQjCNGxZ6gNUs8HRpM56ifKanNaUnSbJg" TargetMode="External"/><Relationship Id="rId4246" Type="http://schemas.openxmlformats.org/officeDocument/2006/relationships/hyperlink" Target="https://www.google.com/url?q=http://codeforces.com/problemset/problem/321/C&amp;sa=D&amp;ust=1605639554263000&amp;usg=AFQjCNGk62Kc5W4zsAd-joNV8a1cPkXBVA" TargetMode="External"/><Relationship Id="rId4453" Type="http://schemas.openxmlformats.org/officeDocument/2006/relationships/hyperlink" Target="https://www.google.com/url?q=http://acm.timus.ru/problem.aspx?space%3D1%26num%3D1099&amp;sa=D&amp;ust=1605639554351000&amp;usg=AFQjCNEzqgp20j_bfkHP6kcAA2a_ItSJxg" TargetMode="External"/><Relationship Id="rId3055" Type="http://schemas.openxmlformats.org/officeDocument/2006/relationships/hyperlink" Target="https://www.google.com/url?q=http://codeforces.com/contest/593/problem/D&amp;sa=D&amp;ust=1605639553353000&amp;usg=AFQjCNEtSHxoqQJGYwE0E0WldHDayQ4W5g" TargetMode="External"/><Relationship Id="rId3262" Type="http://schemas.openxmlformats.org/officeDocument/2006/relationships/hyperlink" Target="https://www.google.com/url?q=https://codeforces.com/contest/1143/problem/D&amp;sa=D&amp;ust=1605639553461000&amp;usg=AFQjCNF301AnuBSS8phupMHNTmqg9XpwCg" TargetMode="External"/><Relationship Id="rId4106" Type="http://schemas.openxmlformats.org/officeDocument/2006/relationships/hyperlink" Target="https://www.google.com/url?q=https://uva.onlinejudge.org/index.php?option%3Dcom_onlinejudge%26Itemid%3D8%26page%3Dshow_problem%26problem%3D3104&amp;sa=D&amp;ust=1605639554180000&amp;usg=AFQjCNFXI1MIFUMRt9nlWrQO6YRuYuqyLg" TargetMode="External"/><Relationship Id="rId4313" Type="http://schemas.openxmlformats.org/officeDocument/2006/relationships/hyperlink" Target="https://www.google.com/url?q=https://github.com/tmwilliamlin168/CompetitiveProgramming/blob/master/HackerRank/world-codesprint-13/competitive-teams.cpp&amp;sa=D&amp;ust=1605639554289000&amp;usg=AFQjCNFYpOlWf0wqwvHoz3GRDVab7E2vyA" TargetMode="External"/><Relationship Id="rId183" Type="http://schemas.openxmlformats.org/officeDocument/2006/relationships/hyperlink" Target="https://www.google.com/url?q=http://codeforces.com/contest/680/problem/D&amp;sa=D&amp;ust=1605639551666000&amp;usg=AFQjCNFPAvDQ3-NknOjm_cz8V2sP8KttKg" TargetMode="External"/><Relationship Id="rId390" Type="http://schemas.openxmlformats.org/officeDocument/2006/relationships/hyperlink" Target="https://www.google.com/url?q=http://codeforces.com/contest/448/problem/C&amp;sa=D&amp;ust=1605639551833000&amp;usg=AFQjCNEZBRVoPdzgp60XdYZ9RO3BslgopQ" TargetMode="External"/><Relationship Id="rId1907" Type="http://schemas.openxmlformats.org/officeDocument/2006/relationships/hyperlink" Target="https://www.google.com/url?q=https://codeforces.com/contest/667/problem/E&amp;sa=D&amp;ust=1605639552676000&amp;usg=AFQjCNGQtzhet44D1RN-NIVTFim51ef8Yg" TargetMode="External"/><Relationship Id="rId2071" Type="http://schemas.openxmlformats.org/officeDocument/2006/relationships/hyperlink" Target="https://www.google.com/url?q=https://github.com/MeGaCrazy/CompetitiveProgramming/blob/51252e18803855ed2eacedc50f53b90fe8d184e6/UVA/UVA_10301.cpp&amp;sa=D&amp;ust=1605639552784000&amp;usg=AFQjCNFMq2owN_-alEbr6xGWf5WnsH23lA" TargetMode="External"/><Relationship Id="rId3122" Type="http://schemas.openxmlformats.org/officeDocument/2006/relationships/hyperlink" Target="https://www.google.com/url?q=https://github.com/ryuzmukhametov/CompetitiveProgramming/blob/master/Topcoder/SRM436-D2-1000.cpp&amp;sa=D&amp;ust=1605639553387000&amp;usg=AFQjCNFDmEt4UrdnGAWDbollgkxE8BuSxA" TargetMode="External"/><Relationship Id="rId250" Type="http://schemas.openxmlformats.org/officeDocument/2006/relationships/hyperlink" Target="https://www.google.com/url?q=https://ideone.com/VFD9au&amp;sa=D&amp;ust=1605639551714000&amp;usg=AFQjCNGdXWls_PM_SDo8WbyjPO0ikDD6qw" TargetMode="External"/><Relationship Id="rId110" Type="http://schemas.openxmlformats.org/officeDocument/2006/relationships/hyperlink" Target="https://www.google.com/url?q=https://github.com/OmarKharouba/CompetitiveProgramming/blob/master/Timus/Timus_1689.java?fref%3Dgc%26dti%3D160725894286891&amp;sa=D&amp;ust=1605639551617000&amp;usg=AFQjCNHLtUdRulQg2lXM9N4eCGjTGR8mIQ" TargetMode="External"/><Relationship Id="rId2888" Type="http://schemas.openxmlformats.org/officeDocument/2006/relationships/hyperlink" Target="https://www.google.com/url?q=https://github.com/OmarKharouba/CompetitiveProgramming/blob/master/CodeForces/CF101047_GYM_H.java&amp;sa=D&amp;ust=1605639553257000&amp;usg=AFQjCNGyDVJX5yH3g36iBYOuVkAsZsJgfQ" TargetMode="External"/><Relationship Id="rId3939" Type="http://schemas.openxmlformats.org/officeDocument/2006/relationships/hyperlink" Target="https://www.google.com/url?q=https://csacademy.com/contest/round-79/task/groups/&amp;sa=D&amp;ust=1605639553939000&amp;usg=AFQjCNFlY7CKVDiiZ60tKFNcoL0BDGB0gw" TargetMode="External"/><Relationship Id="rId1697" Type="http://schemas.openxmlformats.org/officeDocument/2006/relationships/hyperlink" Target="https://www.google.com/url?q=http://codeforces.com/contest/720/problem/A&amp;sa=D&amp;ust=1605639552558000&amp;usg=AFQjCNFyae91rz7SUxzWUzmNlYh3ECgzFw" TargetMode="External"/><Relationship Id="rId2748" Type="http://schemas.openxmlformats.org/officeDocument/2006/relationships/hyperlink" Target="https://www.google.com/url?q=https://github.com/Huvok/CompetitiveProgramming/blob/master/Topcoder/SRM268-D1-500.cpp&amp;sa=D&amp;ust=1605639553173000&amp;usg=AFQjCNHnD9CDp2uc5mueifULvDjhX5sYMg" TargetMode="External"/><Relationship Id="rId2955" Type="http://schemas.openxmlformats.org/officeDocument/2006/relationships/hyperlink" Target="https://www.google.com/url?q=https://github.com/SpeedOfMagic/CompetitiveProgramming/blob/master/CodeforcesGym/CF101286-GYM-E.cpp&amp;sa=D&amp;ust=1605639553292000&amp;usg=AFQjCNHL_MQhNtxX0r6gJ22HUc8f_8L_xw" TargetMode="External"/><Relationship Id="rId927" Type="http://schemas.openxmlformats.org/officeDocument/2006/relationships/hyperlink" Target="https://www.google.com/url?q=http://codeforces.com/contest/407/problem/D&amp;sa=D&amp;ust=1605639552086000&amp;usg=AFQjCNEhInVdFnRghgtW6iK9E8LlJGMTlg" TargetMode="External"/><Relationship Id="rId1557" Type="http://schemas.openxmlformats.org/officeDocument/2006/relationships/hyperlink" Target="https://www.google.com/url?q=http://codeforces.com/contest/807/problem/E&amp;sa=D&amp;ust=1605639552479000&amp;usg=AFQjCNGMxdSkw3nN1sa07gXOMPEDBJD8AA" TargetMode="External"/><Relationship Id="rId1764" Type="http://schemas.openxmlformats.org/officeDocument/2006/relationships/hyperlink" Target="https://www.google.com/url?q=http://codeforces.com/contest/350/problem/C&amp;sa=D&amp;ust=1605639552595000&amp;usg=AFQjCNGLVXmoFe82FmkcyR_YSaSr79xyGA" TargetMode="External"/><Relationship Id="rId1971" Type="http://schemas.openxmlformats.org/officeDocument/2006/relationships/hyperlink" Target="https://www.google.com/url?q=http://codeforces.com/gym/101726/problem/F&amp;sa=D&amp;ust=1605639552717000&amp;usg=AFQjCNEAo35PywmDiLE3nViyqdC9S1kIvw" TargetMode="External"/><Relationship Id="rId2608" Type="http://schemas.openxmlformats.org/officeDocument/2006/relationships/hyperlink" Target="https://www.google.com/url?q=https://www.codechef.com/problems/CROCDILE&amp;sa=D&amp;ust=1605639553097000&amp;usg=AFQjCNF-O06-J1AMP4e2tyn3ymPqcXLH6Q" TargetMode="External"/><Relationship Id="rId2815" Type="http://schemas.openxmlformats.org/officeDocument/2006/relationships/hyperlink" Target="https://www.google.com/url?q=http://poj.org/problem?id%3D3308&amp;sa=D&amp;ust=1605639553218000&amp;usg=AFQjCNHTivjV1sQzTau0gvz749LTp8uHzw" TargetMode="External"/><Relationship Id="rId4170" Type="http://schemas.openxmlformats.org/officeDocument/2006/relationships/hyperlink" Target="https://www.google.com/url?q=https://www.hackerrank.com/challenges/matchstick-experiment&amp;sa=D&amp;ust=1605639554217000&amp;usg=AFQjCNFaz8idHvZ8WbBy6FlgSVQRvXwfDQ" TargetMode="External"/><Relationship Id="rId56" Type="http://schemas.openxmlformats.org/officeDocument/2006/relationships/hyperlink" Target="https://www.google.com/url?q=https://codeforces.com/contest/1084/problem/E&amp;sa=D&amp;ust=1605639551585000&amp;usg=AFQjCNH7P2K5gnJ50aIBkEp1hRzcmtDUKA" TargetMode="External"/><Relationship Id="rId1417" Type="http://schemas.openxmlformats.org/officeDocument/2006/relationships/hyperlink" Target="https://www.google.com/url?q=https://github.com/abdullaAshraf/Problem-Solving/blob/master/UVA/10578.cpp&amp;sa=D&amp;ust=1605639552393000&amp;usg=AFQjCNF2gDJosoixNbiZO7bv78cnEJvK4A" TargetMode="External"/><Relationship Id="rId1624" Type="http://schemas.openxmlformats.org/officeDocument/2006/relationships/hyperlink" Target="https://www.google.com/url?q=https://beta.atcoder.jp/contests/abc009/tasks/abc009_3&amp;sa=D&amp;ust=1605639552515000&amp;usg=AFQjCNEZOJk0Dzos5UenM4dG1KflUsGtSw" TargetMode="External"/><Relationship Id="rId1831" Type="http://schemas.openxmlformats.org/officeDocument/2006/relationships/hyperlink" Target="https://www.google.com/url?q=https://codeforces.com/gym/102394&amp;sa=D&amp;ust=1605639552632000&amp;usg=AFQjCNFGSjXd1gvcE4efRnijD3tVIHp4tQ" TargetMode="External"/><Relationship Id="rId4030" Type="http://schemas.openxmlformats.org/officeDocument/2006/relationships/hyperlink" Target="https://www.google.com/url?q=https://github.com/Huvok/CompetitiveProgramming/blob/master/UVA/10086.cpp&amp;sa=D&amp;ust=1605639554143000&amp;usg=AFQjCNEKpo-OywvBsPVDKIj-IkhCpUgnpQ" TargetMode="External"/><Relationship Id="rId3589" Type="http://schemas.openxmlformats.org/officeDocument/2006/relationships/hyperlink" Target="https://www.google.com/url?q=http://acm.timus.ru/forum/thread.aspx?id%3D27887%26upd%3D634661729512364046&amp;sa=D&amp;ust=1605639553722000&amp;usg=AFQjCNFQqT8Kcn-d0ej9oh8dULw89EfO4w" TargetMode="External"/><Relationship Id="rId3796" Type="http://schemas.openxmlformats.org/officeDocument/2006/relationships/hyperlink" Target="https://www.google.com/url?q=http://www.spoj.com/problems/TESSER/&amp;sa=D&amp;ust=1605639553858000&amp;usg=AFQjCNEcliFW_aAFnrfBjDnUItOUT0q20A" TargetMode="External"/><Relationship Id="rId2398" Type="http://schemas.openxmlformats.org/officeDocument/2006/relationships/hyperlink" Target="https://www.google.com/url?q=https://codeforces.com/problemset/problem/1225/F&amp;sa=D&amp;ust=1605639552967000&amp;usg=AFQjCNEI2HQqv8bIQCCYdBSxNsC16zIC0g" TargetMode="External"/><Relationship Id="rId3449" Type="http://schemas.openxmlformats.org/officeDocument/2006/relationships/hyperlink" Target="https://www.google.com/url?q=https://github.com/MedoN11/CompetitiveProgramming/blob/master/UVA/10570.cpp&amp;sa=D&amp;ust=1605639553583000&amp;usg=AFQjCNFMpusGLbepRiYGoLuBh8_mdumdfA" TargetMode="External"/><Relationship Id="rId577" Type="http://schemas.openxmlformats.org/officeDocument/2006/relationships/hyperlink" Target="https://www.google.com/url?q=https://www.codechef.com/problems/DISTNUM2&amp;sa=D&amp;ust=1605639551918000&amp;usg=AFQjCNHCYnRuvuleHiR8GfHOaMaw58JpTQ" TargetMode="External"/><Relationship Id="rId2258" Type="http://schemas.openxmlformats.org/officeDocument/2006/relationships/hyperlink" Target="https://www.google.com/url?q=https://codeforces.com/contest/995/problem/E&amp;sa=D&amp;ust=1605639552907000&amp;usg=AFQjCNEgeawDPwXOkJ1HBIR-JWmQDkghUQ" TargetMode="External"/><Relationship Id="rId3656" Type="http://schemas.openxmlformats.org/officeDocument/2006/relationships/hyperlink" Target="https://www.google.com/url?q=https://uva.onlinejudge.org/index.php?option%3Dcom_onlinejudge%26Itemid%3D8%26page%3Dshow_problem%26problem%3D825&amp;sa=D&amp;ust=1605639553770000&amp;usg=AFQjCNFEdrIEMozU_OvtP2Pft_VSjJlJkg" TargetMode="External"/><Relationship Id="rId3863" Type="http://schemas.openxmlformats.org/officeDocument/2006/relationships/hyperlink" Target="https://www.google.com/url?q=https://www.hackerearth.com/practice/algorithms/searching/binary-search/practice-problems/algorithm/kriti-and-her-birthday-gift/&amp;sa=D&amp;ust=1605639553897000&amp;usg=AFQjCNGuZzH-1Wp4HUmsuaI4KB-qNSMUsA" TargetMode="External"/><Relationship Id="rId784" Type="http://schemas.openxmlformats.org/officeDocument/2006/relationships/hyperlink" Target="https://www.google.com/url?q=https://www.hackerearth.com/practice/data-structures/queues/basics-of-queues/practice-problems/algorithm/weird-planet-2000a170/&amp;sa=D&amp;ust=1605639552004000&amp;usg=AFQjCNHGSuWxWkFK8Bg5TP0khOWTyDkueg" TargetMode="External"/><Relationship Id="rId991" Type="http://schemas.openxmlformats.org/officeDocument/2006/relationships/hyperlink" Target="https://www.google.com/url?q=https://codeforces.com/contest/1088/problem/F&amp;sa=D&amp;ust=1605639552121000&amp;usg=AFQjCNFyxSwcSswpsOJYhSqsuAu8D7oXyw" TargetMode="External"/><Relationship Id="rId1067" Type="http://schemas.openxmlformats.org/officeDocument/2006/relationships/hyperlink" Target="https://www.google.com/url?q=http://codeforces.com/contest/1025/problem/D&amp;sa=D&amp;ust=1605639552160000&amp;usg=AFQjCNHHun_zGBZYFc6KEIip3bQLil8sOA" TargetMode="External"/><Relationship Id="rId2465" Type="http://schemas.openxmlformats.org/officeDocument/2006/relationships/hyperlink" Target="https://www.google.com/url?q=https://github.com/mostafa-saad/MyCompetitiveProgramming/blob/master/SPOJ/SPOJ_CATM.txt&amp;sa=D&amp;ust=1605639553005000&amp;usg=AFQjCNFpY0wVTnUQZPFl1JwQMKcse9gACQ" TargetMode="External"/><Relationship Id="rId2672" Type="http://schemas.openxmlformats.org/officeDocument/2006/relationships/hyperlink" Target="https://www.google.com/url?q=https://github.com/MetalBall887/Competitive-Programming/blob/master/AtCoder/AtCoder012-AGC-D.cpp&amp;sa=D&amp;ust=1605639553134000&amp;usg=AFQjCNEzAvS1crFNjYwopscfFDbK9kE4NQ" TargetMode="External"/><Relationship Id="rId3309" Type="http://schemas.openxmlformats.org/officeDocument/2006/relationships/hyperlink" Target="https://www.google.com/url?q=https://atcoder.jp/contests/yahoo-procon2019-qual/tasks/yahoo_procon2019_qual_c&amp;sa=D&amp;ust=1605639553486000&amp;usg=AFQjCNEVB86tpbypi0TRnIldI99X3tFUsA" TargetMode="External"/><Relationship Id="rId3516" Type="http://schemas.openxmlformats.org/officeDocument/2006/relationships/hyperlink" Target="https://www.google.com/url?q=https://www.hackerrank.com/challenges/mehta-and-the-typical-supermarket&amp;sa=D&amp;ust=1605639553635000&amp;usg=AFQjCNHWry_WLtoh9nyE30B2fgLaA5ehjQ" TargetMode="External"/><Relationship Id="rId3723" Type="http://schemas.openxmlformats.org/officeDocument/2006/relationships/hyperlink" Target="https://www.google.com/url?q=https://github.com/sggutier/CompetitiveProgramming/blob/master/UVa/11424.cpp&amp;sa=D&amp;ust=1605639553812000&amp;usg=AFQjCNF1K2hEKnq14RLZNJDWjzo4K14EyA" TargetMode="External"/><Relationship Id="rId3930" Type="http://schemas.openxmlformats.org/officeDocument/2006/relationships/hyperlink" Target="https://www.google.com/url?q=http://codeforces.com/contest/630/problem/E&amp;sa=D&amp;ust=1605639553934000&amp;usg=AFQjCNEU2-9R5aqPqSwuHLPTC-MIWj4YRA" TargetMode="External"/><Relationship Id="rId437" Type="http://schemas.openxmlformats.org/officeDocument/2006/relationships/hyperlink" Target="https://www.google.com/url?q=https://codeforces.com/contest/1277/problem/F&amp;sa=D&amp;ust=1605639551858000&amp;usg=AFQjCNFohVZcfr8t5ciMt1b5EprK1Ij16w" TargetMode="External"/><Relationship Id="rId644" Type="http://schemas.openxmlformats.org/officeDocument/2006/relationships/hyperlink" Target="https://www.google.com/url?q=https://github.com/mostafa-saad/MyCompetitiveProgramming/blob/master/Codeforces/CF101492-GYM-C.txt&amp;sa=D&amp;ust=1605639551941000&amp;usg=AFQjCNEw_57Xp3ejoyd3R03kf5Y54b6qqw" TargetMode="External"/><Relationship Id="rId851" Type="http://schemas.openxmlformats.org/officeDocument/2006/relationships/hyperlink" Target="https://www.google.com/url?q=https://github.com/miguelAlessandro/CompetitiveProgramming/blob/master/live_archive/4976.cpp&amp;sa=D&amp;ust=1605639552040000&amp;usg=AFQjCNGrizcEET7N1oXGbcjzMV31M6B-TA" TargetMode="External"/><Relationship Id="rId1274" Type="http://schemas.openxmlformats.org/officeDocument/2006/relationships/hyperlink" Target="https://www.google.com/url?q=http://codeforces.com/contest/710/problem/E&amp;sa=D&amp;ust=1605639552302000&amp;usg=AFQjCNGcetRruxMOvlF4QTsLbpILTIWP_Q" TargetMode="External"/><Relationship Id="rId1481" Type="http://schemas.openxmlformats.org/officeDocument/2006/relationships/hyperlink" Target="https://www.google.com/url?q=https://codeforces.com/contest/398/problem/B&amp;sa=D&amp;ust=1605639552433000&amp;usg=AFQjCNFsMdgP4zEPOB53pr_2FER-TZtheg" TargetMode="External"/><Relationship Id="rId2118" Type="http://schemas.openxmlformats.org/officeDocument/2006/relationships/hyperlink" Target="https://www.google.com/url?q=https://github.com/MeGaCrazy/CompetitiveProgramming/blob/05160f4c6128ab550de31f62b5ac6d1c0c266d12/UVA/UVA_10357.cpp&amp;sa=D&amp;ust=1605639552812000&amp;usg=AFQjCNGjRC48UD6_7oxNGQwaZtXXMnEyaA" TargetMode="External"/><Relationship Id="rId2325" Type="http://schemas.openxmlformats.org/officeDocument/2006/relationships/hyperlink" Target="https://www.google.com/url?q=https://codeforces.com/contest/412/problem/D&amp;sa=D&amp;ust=1605639552938000&amp;usg=AFQjCNH3_s5bE23nguo6WZjfn1_pViKf_A" TargetMode="External"/><Relationship Id="rId2532" Type="http://schemas.openxmlformats.org/officeDocument/2006/relationships/hyperlink" Target="https://www.google.com/url?q=https://codeforces.com/contest/1159/problem/E&amp;sa=D&amp;ust=1605639553049000&amp;usg=AFQjCNERyqB5BB0mrPXe8rsRrZ-c6bdxvQ" TargetMode="External"/><Relationship Id="rId504" Type="http://schemas.openxmlformats.org/officeDocument/2006/relationships/hyperlink" Target="https://www.google.com/url?q=http://codeforces.com/gym/101102/problem/I&amp;sa=D&amp;ust=1605639551888000&amp;usg=AFQjCNGjK25J4g5RW3yM3-vNsh3vR2_lRg" TargetMode="External"/><Relationship Id="rId711" Type="http://schemas.openxmlformats.org/officeDocument/2006/relationships/hyperlink" Target="https://www.google.com/url?q=http://codeforces.com/contest/818/problem/E&amp;sa=D&amp;ust=1605639551969000&amp;usg=AFQjCNGFjyCJRRMYXZU7K2sttCjqjWtA_w" TargetMode="External"/><Relationship Id="rId1134" Type="http://schemas.openxmlformats.org/officeDocument/2006/relationships/hyperlink" Target="https://www.google.com/url?q=https://atcoder.jp/contests/abc155/tasks/abc155_e&amp;sa=D&amp;ust=1605639552198000&amp;usg=AFQjCNFZHBCMS471O-Snc0cJ_7WUxC-WNw" TargetMode="External"/><Relationship Id="rId1341" Type="http://schemas.openxmlformats.org/officeDocument/2006/relationships/hyperlink" Target="https://www.google.com/url?q=https://github.com/ahmedcpbl/CompetitiveProgramming/blob/master/UVA/11088.cpp&amp;sa=D&amp;ust=1605639552342000&amp;usg=AFQjCNHXw69jEbt1Gy4_s08uQ0PCIEdJLA" TargetMode="External"/><Relationship Id="rId1201" Type="http://schemas.openxmlformats.org/officeDocument/2006/relationships/hyperlink" Target="https://www.google.com/url?q=https://uva.onlinejudge.org/index.php?option%3Dcom_onlinejudge%26Itemid%3D8%26page%3Dshow_problem%26problem%3D438&amp;sa=D&amp;ust=1605639552244000&amp;usg=AFQjCNEPhzW7YvBSK-ddEfmSrd30fTfMdg" TargetMode="External"/><Relationship Id="rId3099" Type="http://schemas.openxmlformats.org/officeDocument/2006/relationships/hyperlink" Target="https://www.google.com/url?q=http://codeforces.com/contest/863/problem/E&amp;sa=D&amp;ust=1605639553374000&amp;usg=AFQjCNEaEZniD1BZFv6lI4En5x0oBBkSiA" TargetMode="External"/><Relationship Id="rId4357" Type="http://schemas.openxmlformats.org/officeDocument/2006/relationships/hyperlink" Target="https://www.google.com/url?q=https://olymp.innopolis.ru/ooui/informatics/upload/2018-2019/inno-2019-final-en.pdf&amp;sa=D&amp;ust=1605639554308000&amp;usg=AFQjCNHZavXVKAxKo7TuaQzJk0-7TJsJ6g" TargetMode="External"/><Relationship Id="rId3166" Type="http://schemas.openxmlformats.org/officeDocument/2006/relationships/hyperlink" Target="https://www.google.com/url?q=http://codeforces.com/gym/101615/attachments/download/6308/20172018-acmicpc-pacific-northwest-regional-contest-div-1-en.pdf&amp;sa=D&amp;ust=1605639553413000&amp;usg=AFQjCNHR6qnUai-G2Pa64P4G4BdT1griDA" TargetMode="External"/><Relationship Id="rId3373" Type="http://schemas.openxmlformats.org/officeDocument/2006/relationships/hyperlink" Target="https://www.google.com/url?q=https://uva.onlinejudge.org/index.php?option%3Dcom_onlinejudge%26Itemid%3D8%26page%3Dshow_problem%26problem%3D668&amp;sa=D&amp;ust=1605639553536000&amp;usg=AFQjCNHEcs8ON2Hu48qbJvHTJ4FocUR4Dw" TargetMode="External"/><Relationship Id="rId3580" Type="http://schemas.openxmlformats.org/officeDocument/2006/relationships/hyperlink" Target="https://www.google.com/url?q=http://codeforces.com/contest/251/problem/D&amp;sa=D&amp;ust=1605639553715000&amp;usg=AFQjCNHVaaeTWd-HhQRfzjsNdBkIH9gUBA" TargetMode="External"/><Relationship Id="rId4217" Type="http://schemas.openxmlformats.org/officeDocument/2006/relationships/hyperlink" Target="https://www.google.com/url?q=http://www.codechef.com/problems/GERALD2&amp;sa=D&amp;ust=1605639554250000&amp;usg=AFQjCNHa4PGS7ZvB_QmXbDSwjq9iCEQrjw" TargetMode="External"/><Relationship Id="rId4424" Type="http://schemas.openxmlformats.org/officeDocument/2006/relationships/hyperlink" Target="https://www.google.com/url?q=https://github.com/pranavjangir/CompetitiveProgramming/blob/master/CodeForces/CF1086-D1-C.cpp&amp;sa=D&amp;ust=1605639554339000&amp;usg=AFQjCNEFQ9181TLUbLduHQZqV_TDk2N5vA" TargetMode="External"/><Relationship Id="rId294" Type="http://schemas.openxmlformats.org/officeDocument/2006/relationships/hyperlink" Target="https://www.google.com/url?q=https://csacademy.com/contest/round-79/task/smallest-subsets/&amp;sa=D&amp;ust=1605639551754000&amp;usg=AFQjCNF79hRD8Vkr072f6dufgSZ_9Xdyfg" TargetMode="External"/><Relationship Id="rId2182" Type="http://schemas.openxmlformats.org/officeDocument/2006/relationships/hyperlink" Target="https://www.google.com/url?q=https://github.com/quangloc99/CompetitiveProgramming/blob/master/SPOJ/TFOSS.cpp&amp;sa=D&amp;ust=1605639552859000&amp;usg=AFQjCNG_cu6mUF7AekS6a5OAdFxvEPTrUg" TargetMode="External"/><Relationship Id="rId3026" Type="http://schemas.openxmlformats.org/officeDocument/2006/relationships/hyperlink" Target="https://www.google.com/url?q=https://www.spoj.com/problems/BUGLIFE/&amp;sa=D&amp;ust=1605639553334000&amp;usg=AFQjCNGRGvobSwmaTEsApcqVZg2ol1EyOw" TargetMode="External"/><Relationship Id="rId3233" Type="http://schemas.openxmlformats.org/officeDocument/2006/relationships/hyperlink" Target="https://www.google.com/url?q=http://codeforces.com/contest/1062/problem/B&amp;sa=D&amp;ust=1605639553443000&amp;usg=AFQjCNGZrKYtiPBe_59_MuYXhSgB7DEn1A" TargetMode="External"/><Relationship Id="rId154" Type="http://schemas.openxmlformats.org/officeDocument/2006/relationships/hyperlink" Target="https://www.google.com/url?q=https://github.com/AhmedElsisy/CompetitiveProgramming/blob/master/Codeforces/CF21-D12-C.cpp&amp;sa=D&amp;ust=1605639551643000&amp;usg=AFQjCNGxeVwhAGOED4-bod5-m86zDhDBuA" TargetMode="External"/><Relationship Id="rId361" Type="http://schemas.openxmlformats.org/officeDocument/2006/relationships/hyperlink" Target="https://www.google.com/url?q=https://www.facebook.com/hackercup/problem/330920680938986/&amp;sa=D&amp;ust=1605639551797000&amp;usg=AFQjCNHYXlIW45fyhReRVjEl6BPj4hkA0w" TargetMode="External"/><Relationship Id="rId2042" Type="http://schemas.openxmlformats.org/officeDocument/2006/relationships/hyperlink" Target="https://www.google.com/url?q=http://codeforces.com/contest/2/problem/C&amp;sa=D&amp;ust=1605639552767000&amp;usg=AFQjCNERRw_XoJ6HYzQ4nkoQsU-P9cDpGA" TargetMode="External"/><Relationship Id="rId3440" Type="http://schemas.openxmlformats.org/officeDocument/2006/relationships/hyperlink" Target="https://www.google.com/url?q=https://uva.onlinejudge.org/index.php?option%3Donlinejudge%26page%3Dshow_problem%26problem%3D2172&amp;sa=D&amp;ust=1605639553577000&amp;usg=AFQjCNG6dHmwFklL0EJWU8mJuOW2AtaNmw" TargetMode="External"/><Relationship Id="rId2999" Type="http://schemas.openxmlformats.org/officeDocument/2006/relationships/hyperlink" Target="https://www.google.com/url?q=http://codeforces.com/contest/538/problem/H&amp;sa=D&amp;ust=1605639553320000&amp;usg=AFQjCNESEl4DXgMHhy6JFAk8qM410kSQkg" TargetMode="External"/><Relationship Id="rId3300" Type="http://schemas.openxmlformats.org/officeDocument/2006/relationships/hyperlink" Target="https://www.google.com/url?q=https://github.com/MedoN11/CompetitiveProgramming/blob/master/UVA/11415.cpp&amp;sa=D&amp;ust=1605639553482000&amp;usg=AFQjCNEIZK37EcNbW2Gr0OrvobtCy_Vy_g" TargetMode="External"/><Relationship Id="rId221" Type="http://schemas.openxmlformats.org/officeDocument/2006/relationships/hyperlink" Target="https://www.google.com/url?q=http://codeforces.com/contest/465/problem/D&amp;sa=D&amp;ust=1605639551690000&amp;usg=AFQjCNHSlb39kxcdqtZ5YOyb_-OmSbfRtA" TargetMode="External"/><Relationship Id="rId2859" Type="http://schemas.openxmlformats.org/officeDocument/2006/relationships/hyperlink" Target="https://www.google.com/url?q=https://github.com/tmwilliamlin168/CompetitiveProgramming/blob/master/CodeChef/KPERFMAT.cpp&amp;sa=D&amp;ust=1605639553241000&amp;usg=AFQjCNFvYZ6as8Wnj4dsD21ZFx7_PgA05g" TargetMode="External"/><Relationship Id="rId1668" Type="http://schemas.openxmlformats.org/officeDocument/2006/relationships/hyperlink" Target="https://www.google.com/url?q=https://github.com/AliOsm/CompetitiveProgramming/blob/master/Timus/1515.%2520Cashmaster.cpp&amp;sa=D&amp;ust=1605639552540000&amp;usg=AFQjCNESN_tM38hK8YOelVqaBwJGbJhs3g" TargetMode="External"/><Relationship Id="rId1875" Type="http://schemas.openxmlformats.org/officeDocument/2006/relationships/hyperlink" Target="https://www.google.com/url?q=https://www.hackerearth.com/fr/practice/algorithms/dynamic-programming/2-dimensional/practice-problems/algorithm/prime-game-1-2604365b/&amp;sa=D&amp;ust=1605639552650000&amp;usg=AFQjCNEDZsuKNuCJUCF9KhJw8OI_XqH3Hw" TargetMode="External"/><Relationship Id="rId2719" Type="http://schemas.openxmlformats.org/officeDocument/2006/relationships/hyperlink" Target="https://www.google.com/url?q=https://en.wikipedia.org/wiki/Planar_graph%23Euler%27s_formula&amp;sa=D&amp;ust=1605639553156000&amp;usg=AFQjCNF0i2iQfGc_LyvW41y_TfRQbUn2kA" TargetMode="External"/><Relationship Id="rId4074" Type="http://schemas.openxmlformats.org/officeDocument/2006/relationships/hyperlink" Target="https://www.google.com/url?q=https://github.com/MedoN11/CompetitiveProgramming/blob/master/TopCoder/SRM546-D1-500.cpp&amp;sa=D&amp;ust=1605639554161000&amp;usg=AFQjCNGo_WzIkj5E9SyLxHXu1NRE6ktoyg" TargetMode="External"/><Relationship Id="rId4281" Type="http://schemas.openxmlformats.org/officeDocument/2006/relationships/hyperlink" Target="https://www.google.com/url?q=https://codeforces.com/problemset/problem/1083/E&amp;sa=D&amp;ust=1605639554278000&amp;usg=AFQjCNEDW5O2ahXQfXgY0xjUUGT_fEkk9g" TargetMode="External"/><Relationship Id="rId1528" Type="http://schemas.openxmlformats.org/officeDocument/2006/relationships/hyperlink" Target="https://www.google.com/url?q=https://github.com/mostafa-saad/MyCompetitiveProgramming/blob/master/Codeforces/CF713-D1-C.txt&amp;sa=D&amp;ust=1605639552462000&amp;usg=AFQjCNFIXIjFSwnXH6kJC7iguwDdc9G_Wg" TargetMode="External"/><Relationship Id="rId2926" Type="http://schemas.openxmlformats.org/officeDocument/2006/relationships/hyperlink" Target="https://www.google.com/url?q=https://naipc17.kattis.com/problems/blazingnewtrails&amp;sa=D&amp;ust=1605639553281000&amp;usg=AFQjCNFxxAgzss453A7-qI-YTSus5B6u_Q" TargetMode="External"/><Relationship Id="rId3090" Type="http://schemas.openxmlformats.org/officeDocument/2006/relationships/hyperlink" Target="https://www.google.com/url?q=https://github.com/mostafa-saad/MyCompetitiveProgramming/blob/master/Codeforces/CF192-D2-E.txt&amp;sa=D&amp;ust=1605639553366000&amp;usg=AFQjCNE-U7EX0TyWm7xv_HrvRvOXwvYkAQ" TargetMode="External"/><Relationship Id="rId4141" Type="http://schemas.openxmlformats.org/officeDocument/2006/relationships/hyperlink" Target="https://www.google.com/url?q=https://github.com/BidhanRoy/Algorithm-Code-Library/blob/master/Sample%2520Codes/Knuth%2520Optimization%2520(%2520Uva%252010304%2520).cpp&amp;sa=D&amp;ust=1605639554202000&amp;usg=AFQjCNGpQmSlV8uLV9S7CxCjjk8PshZs6A" TargetMode="External"/><Relationship Id="rId1735" Type="http://schemas.openxmlformats.org/officeDocument/2006/relationships/hyperlink" Target="https://www.google.com/url?q=http://codeforces.com/contest/216/problem/C&amp;sa=D&amp;ust=1605639552578000&amp;usg=AFQjCNFzhm0iUBCYz6htVuSJKsRrsb6xPw" TargetMode="External"/><Relationship Id="rId1942" Type="http://schemas.openxmlformats.org/officeDocument/2006/relationships/hyperlink" Target="https://www.google.com/url?q=https://agc001.contest.atcoder.jp/tasks/agc001_b&amp;sa=D&amp;ust=1605639552705000&amp;usg=AFQjCNG8wksYeJqKdoue76LXi2mBxAAlTg" TargetMode="External"/><Relationship Id="rId4001" Type="http://schemas.openxmlformats.org/officeDocument/2006/relationships/hyperlink" Target="https://www.google.com/url?q=http://codeforces.com/contest/1043/problem/D&amp;sa=D&amp;ust=1605639554126000&amp;usg=AFQjCNEkCMUwizS4oUOuYW6dq_ZowFRthA" TargetMode="External"/><Relationship Id="rId27" Type="http://schemas.openxmlformats.org/officeDocument/2006/relationships/hyperlink" Target="https://www.google.com/url?q=https://github.com/mostafa-saad/MyCompetitiveProgramming/blob/master/HACKERRANK/HACKR-meeting-point.txt&amp;sa=D&amp;ust=1605639551573000&amp;usg=AFQjCNF3cSPp5yJkqo8mCVqFhjt1YwyD_Q" TargetMode="External"/><Relationship Id="rId1802" Type="http://schemas.openxmlformats.org/officeDocument/2006/relationships/hyperlink" Target="https://www.google.com/url?q=https://github.com/morris821028/UVa/blob/master/temp/UVaDate/12917%2520-%2520Prop%2520hunt!.cpp&amp;sa=D&amp;ust=1605639552614000&amp;usg=AFQjCNHP0AiANBzK05DxIUpu0yfrAqcmkw" TargetMode="External"/><Relationship Id="rId3767" Type="http://schemas.openxmlformats.org/officeDocument/2006/relationships/hyperlink" Target="https://www.google.com/url?q=https://uva.onlinejudge.org/index.php?option%3Dcom_onlinejudge%26Itemid%3D8%26page%3Dshow_problem%26problem%3D3971&amp;sa=D&amp;ust=1605639553840000&amp;usg=AFQjCNFYxdNzT1wOXEEA4JB9ei9_J2FEaw" TargetMode="External"/><Relationship Id="rId3974" Type="http://schemas.openxmlformats.org/officeDocument/2006/relationships/hyperlink" Target="https://www.google.com/url?q=http://codeforces.com/contest/670/problem/C&amp;sa=D&amp;ust=1605639553957000&amp;usg=AFQjCNGGginei8gX0lG0cCOUpHqcS9uDNg" TargetMode="External"/><Relationship Id="rId688" Type="http://schemas.openxmlformats.org/officeDocument/2006/relationships/hyperlink" Target="https://www.google.com/url?q=https://ideone.com/KCCz60&amp;sa=D&amp;ust=1605639551959000&amp;usg=AFQjCNFbsJVvv-ts454kPzUqx3WoKaby2w" TargetMode="External"/><Relationship Id="rId895" Type="http://schemas.openxmlformats.org/officeDocument/2006/relationships/hyperlink" Target="https://www.google.com/url?q=http://codeforces.com/contest/388/problem/D&amp;sa=D&amp;ust=1605639552067000&amp;usg=AFQjCNFUbpDsJ-jZ4CH2LWwla5OtxTs7nw" TargetMode="External"/><Relationship Id="rId2369" Type="http://schemas.openxmlformats.org/officeDocument/2006/relationships/hyperlink" Target="https://www.google.com/url?q=https://github.com/mostafa-saad/MyCompetitiveProgramming/blob/master/UVA/UVA_10982.txt&amp;sa=D&amp;ust=1605639552954000&amp;usg=AFQjCNG5peOMEnpl6ZSf2g3E_-n41Wk-lw" TargetMode="External"/><Relationship Id="rId2576" Type="http://schemas.openxmlformats.org/officeDocument/2006/relationships/hyperlink" Target="https://www.google.com/url?q=http://codeforces.com/contest/1027/problem/D&amp;sa=D&amp;ust=1605639553074000&amp;usg=AFQjCNErHMujmjZW8_xpWqb8uE9LyCv3wQ" TargetMode="External"/><Relationship Id="rId2783" Type="http://schemas.openxmlformats.org/officeDocument/2006/relationships/hyperlink" Target="https://www.google.com/url?q=https://github.com/ahmedcpbl/CompetitiveProgramming/blob/master/UVA/12319.cpp&amp;sa=D&amp;ust=1605639553198000&amp;usg=AFQjCNF3_ZfiLD1FuCZVbpBNs1pzQ1SPRw" TargetMode="External"/><Relationship Id="rId2990" Type="http://schemas.openxmlformats.org/officeDocument/2006/relationships/hyperlink" Target="https://www.google.com/url?q=https://github.com/shashank0107/CompetitiveProgramming/blob/master/UVA/1263.cpp&amp;sa=D&amp;ust=1605639553315000&amp;usg=AFQjCNHZflXNBDWU8l9q3Y3JwG0apd5efw" TargetMode="External"/><Relationship Id="rId3627" Type="http://schemas.openxmlformats.org/officeDocument/2006/relationships/hyperlink" Target="https://www.google.com/url?q=http://codeforces.com/gym/101864/problem/A&amp;sa=D&amp;ust=1605639553748000&amp;usg=AFQjCNHOR15LZ-389AWvzxuTteGupoWxZg" TargetMode="External"/><Relationship Id="rId3834" Type="http://schemas.openxmlformats.org/officeDocument/2006/relationships/hyperlink" Target="https://www.google.com/url?q=http://codeforces.com/problemset/problem/113/B&amp;sa=D&amp;ust=1605639553886000&amp;usg=AFQjCNELN4vb1RSzHPw3W0z4kQhhm88FmA" TargetMode="External"/><Relationship Id="rId548" Type="http://schemas.openxmlformats.org/officeDocument/2006/relationships/hyperlink" Target="https://www.google.com/url?q=http://codeforces.com/contest/1062/problem/E&amp;sa=D&amp;ust=1605639551907000&amp;usg=AFQjCNGAN_w-d583OmTD-PGLB1Fv7QPi3g" TargetMode="External"/><Relationship Id="rId755" Type="http://schemas.openxmlformats.org/officeDocument/2006/relationships/hyperlink" Target="https://www.google.com/url?q=https://codeforces.com/contest/1263/problem/E&amp;sa=D&amp;ust=1605639551991000&amp;usg=AFQjCNHILEqsHyYvWITUlR6g0zGO8WDFoA" TargetMode="External"/><Relationship Id="rId962" Type="http://schemas.openxmlformats.org/officeDocument/2006/relationships/hyperlink" Target="https://www.google.com/url?q=http://codeforces.com/contest/650/problem/D&amp;sa=D&amp;ust=1605639552107000&amp;usg=AFQjCNHROW8NX2SgSQDqQl5srpq4mBpsew" TargetMode="External"/><Relationship Id="rId1178" Type="http://schemas.openxmlformats.org/officeDocument/2006/relationships/hyperlink" Target="https://www.google.com/url?q=https://github.com/MichaelMounir12/CompetitiveProgramming/blob/69c0dba2b0b29083ebad94dfd18be25dcf903235/UVA/UVA_607.cpp&amp;sa=D&amp;ust=1605639552227000&amp;usg=AFQjCNFTwxsTy4bmOVWp0vHcwkRjxI_P7w" TargetMode="External"/><Relationship Id="rId1385" Type="http://schemas.openxmlformats.org/officeDocument/2006/relationships/hyperlink" Target="https://www.google.com/url?q=http://codeforces.com/contest/258/problem/C&amp;sa=D&amp;ust=1605639552366000&amp;usg=AFQjCNGiLVVWmf9OahUE0__S5HhEmd8r8Q" TargetMode="External"/><Relationship Id="rId1592" Type="http://schemas.openxmlformats.org/officeDocument/2006/relationships/hyperlink" Target="https://www.google.com/url?q=http://codeforces.com/contest/794/problem/C&amp;sa=D&amp;ust=1605639552497000&amp;usg=AFQjCNHedav0DvQv3JLwyLIzW39vj7lgQw" TargetMode="External"/><Relationship Id="rId2229" Type="http://schemas.openxmlformats.org/officeDocument/2006/relationships/hyperlink" Target="https://www.google.com/url?q=https://github.com/mostafa-saad/MyCompetitiveProgramming/blob/master/Codeforces/CF101147-GYM-I.txt&amp;sa=D&amp;ust=1605639552886000&amp;usg=AFQjCNHC-hW-ccvqkmm428ACPj_KdCGTNg" TargetMode="External"/><Relationship Id="rId2436" Type="http://schemas.openxmlformats.org/officeDocument/2006/relationships/hyperlink" Target="https://www.google.com/url?q=http://codeforces.com/contest/821/problem/D&amp;sa=D&amp;ust=1605639552987000&amp;usg=AFQjCNGiIudMl_VhDNedqrjRXZvNYYYwGg" TargetMode="External"/><Relationship Id="rId2643" Type="http://schemas.openxmlformats.org/officeDocument/2006/relationships/hyperlink" Target="https://www.google.com/url?q=http://codeforces.com/contest/144/problem/D&amp;sa=D&amp;ust=1605639553117000&amp;usg=AFQjCNEwVjRFihCPnTcbCPl1YUiQo-yMIA" TargetMode="External"/><Relationship Id="rId2850" Type="http://schemas.openxmlformats.org/officeDocument/2006/relationships/hyperlink" Target="https://www.google.com/url?q=http://codeforces.com/gym/101666/problem/E&amp;sa=D&amp;ust=1605639553237000&amp;usg=AFQjCNHDswVQSvjWRYF5WRVplix2Tb0ELA" TargetMode="External"/><Relationship Id="rId91" Type="http://schemas.openxmlformats.org/officeDocument/2006/relationships/hyperlink" Target="https://www.google.com/url?q=https://codeforces.com/contest/1270/problem/D&amp;sa=D&amp;ust=1605639551605000&amp;usg=AFQjCNFwN60w57GerbwUrIqpPB89vwDjEw" TargetMode="External"/><Relationship Id="rId408" Type="http://schemas.openxmlformats.org/officeDocument/2006/relationships/hyperlink" Target="https://www.google.com/url?q=http://codeforces.com/contest/627/problem/D&amp;sa=D&amp;ust=1605639551846000&amp;usg=AFQjCNHY7rbAlVZ31rzTV6k8W6os6YJrYg" TargetMode="External"/><Relationship Id="rId615" Type="http://schemas.openxmlformats.org/officeDocument/2006/relationships/hyperlink" Target="https://www.google.com/url?q=http://codeforces.com/contest/526/problem/F&amp;sa=D&amp;ust=1605639551931000&amp;usg=AFQjCNHAeIspDcBNxOAcFJQETyFRv9NDag" TargetMode="External"/><Relationship Id="rId822" Type="http://schemas.openxmlformats.org/officeDocument/2006/relationships/hyperlink" Target="https://www.google.com/url?q=http://codeforces.com/contest/542/problem/A&amp;sa=D&amp;ust=1605639552026000&amp;usg=AFQjCNGjZ_32WKxWTzxAyJvkB_Fvk6jqeQ" TargetMode="External"/><Relationship Id="rId1038" Type="http://schemas.openxmlformats.org/officeDocument/2006/relationships/hyperlink" Target="https://www.google.com/url?q=https://github.com/goswami-rahul/competitive-coding/blob/master/CompetitiveProgramming/codeforces/CF611-D12-D.cpp&amp;sa=D&amp;ust=1605639552143000&amp;usg=AFQjCNGn22ZnsxScSCes8-D3KIXLytIuMA" TargetMode="External"/><Relationship Id="rId1245" Type="http://schemas.openxmlformats.org/officeDocument/2006/relationships/hyperlink" Target="https://www.google.com/url?q=http://codeforces.com/contest/75/problem/D&amp;sa=D&amp;ust=1605639552281000&amp;usg=AFQjCNGAAwpgNuFdYWNqAc7OIcVWCe7SwQ" TargetMode="External"/><Relationship Id="rId1452" Type="http://schemas.openxmlformats.org/officeDocument/2006/relationships/hyperlink" Target="https://www.google.com/url?q=https://github.com/mostafa-saad/MyCompetitiveProgramming/blob/master/PKU/PKU_3744.txt&amp;sa=D&amp;ust=1605639552416000&amp;usg=AFQjCNH77KPT_aBdIOTkKsXszFiwMcYS-w" TargetMode="External"/><Relationship Id="rId2503" Type="http://schemas.openxmlformats.org/officeDocument/2006/relationships/hyperlink" Target="https://www.google.com/url?q=https://codeforces.com/blog/entry/68138&amp;sa=D&amp;ust=1605639553035000&amp;usg=AFQjCNHlhaES3l7tubXXoSzxy6vV6qNHOw" TargetMode="External"/><Relationship Id="rId3901" Type="http://schemas.openxmlformats.org/officeDocument/2006/relationships/hyperlink" Target="https://www.google.com/url?q=https://github.com/WaleedAbdelhakim/Competitive-Programming/blob/master/SPOJ/ZQUERY.cpp&amp;sa=D&amp;ust=1605639553918000&amp;usg=AFQjCNHlVqWBBwBj5nwA7FjdJw16_YHxyw" TargetMode="External"/><Relationship Id="rId1105" Type="http://schemas.openxmlformats.org/officeDocument/2006/relationships/hyperlink" Target="https://www.google.com/url?q=https://atcoder.jp/contests/abc120/tasks/abc118_d&amp;sa=D&amp;ust=1605639552183000&amp;usg=AFQjCNGIdl-yUxT9wIdTloaNPruzGHb3pA" TargetMode="External"/><Relationship Id="rId1312" Type="http://schemas.openxmlformats.org/officeDocument/2006/relationships/hyperlink" Target="https://www.google.com/url?q=https://codeforces.com/contest/757/problem/D&amp;sa=D&amp;ust=1605639552321000&amp;usg=AFQjCNFyQOQ39dXf20xGcgHMH7xH5vMNrA" TargetMode="External"/><Relationship Id="rId2710" Type="http://schemas.openxmlformats.org/officeDocument/2006/relationships/hyperlink" Target="https://www.google.com/url?q=http://codeforces.com/problemset/gymProblem/100923/H&amp;sa=D&amp;ust=1605639553152000&amp;usg=AFQjCNHx2-eweqmKoGcmbodfbp4KRUYNyw" TargetMode="External"/><Relationship Id="rId3277" Type="http://schemas.openxmlformats.org/officeDocument/2006/relationships/hyperlink" Target="https://www.google.com/url?q=http://codeforces.com/contest/488/problem/B&amp;sa=D&amp;ust=1605639553468000&amp;usg=AFQjCNFZgPURu-X_RulYQ85ZJ-lIS_gmrA" TargetMode="External"/><Relationship Id="rId198" Type="http://schemas.openxmlformats.org/officeDocument/2006/relationships/hyperlink" Target="https://www.google.com/url?q=http://codeforces.com/contest/361/problem/C&amp;sa=D&amp;ust=1605639551678000&amp;usg=AFQjCNFeGq32r8N9S1alUEu111aRZ8XSRA" TargetMode="External"/><Relationship Id="rId2086" Type="http://schemas.openxmlformats.org/officeDocument/2006/relationships/hyperlink" Target="https://www.google.com/url?q=https://github.com/miguelAlessandro/CompetitiveProgramming/blob/master/UVA/11796.cpp&amp;sa=D&amp;ust=1605639552796000&amp;usg=AFQjCNFHsmLIcxPjMlCnuHYyN-qAbxzTiA" TargetMode="External"/><Relationship Id="rId3484" Type="http://schemas.openxmlformats.org/officeDocument/2006/relationships/hyperlink" Target="https://www.google.com/url?q=https://uva.onlinejudge.org/index.php?option%3Donlinejudge%26page%3Dshow_problem%26problem%3D488&amp;sa=D&amp;ust=1605639553607000&amp;usg=AFQjCNHbYpIR8hfQdJoQflQBFzZPGfjPlQ" TargetMode="External"/><Relationship Id="rId3691" Type="http://schemas.openxmlformats.org/officeDocument/2006/relationships/hyperlink" Target="https://www.google.com/url?q=http://codeforces.com/contest/785/problem/D&amp;sa=D&amp;ust=1605639553793000&amp;usg=AFQjCNHLKczNu7D2NggLs0TgW-Fwk0f8Dg" TargetMode="External"/><Relationship Id="rId4328" Type="http://schemas.openxmlformats.org/officeDocument/2006/relationships/hyperlink" Target="https://www.google.com/url?q=http://codeforces.com/contest/367/problem/E&amp;sa=D&amp;ust=1605639554295000&amp;usg=AFQjCNF9XNbZgSvZPKrkqUNvgkkjj2hjpQ" TargetMode="External"/><Relationship Id="rId2293" Type="http://schemas.openxmlformats.org/officeDocument/2006/relationships/hyperlink" Target="https://www.google.com/url?q=https://www.codechef.com/IOITC181/problems/CYCLECOL&amp;sa=D&amp;ust=1605639552926000&amp;usg=AFQjCNHhFuzQEwBxSmbjWL8gNRFzglKcQA" TargetMode="External"/><Relationship Id="rId3137" Type="http://schemas.openxmlformats.org/officeDocument/2006/relationships/hyperlink" Target="https://www.google.com/url?q=https://www.codechef.com/problems/ARIGEOM&amp;sa=D&amp;ust=1605639553398000&amp;usg=AFQjCNFKdhBXxiAPopLmJ95_CcSzSAuL7w" TargetMode="External"/><Relationship Id="rId3344" Type="http://schemas.openxmlformats.org/officeDocument/2006/relationships/hyperlink" Target="https://www.google.com/url?q=https://github.com/magdy-hasan/competitive-programming/blob/master/uva-/uva%252010717%2520-%2520Mint.cpp&amp;sa=D&amp;ust=1605639553514000&amp;usg=AFQjCNGlM7pgtwfyb3XSpX4Td_bB3MZWDQ" TargetMode="External"/><Relationship Id="rId3551" Type="http://schemas.openxmlformats.org/officeDocument/2006/relationships/hyperlink" Target="https://www.google.com/url?q=http://codeforces.com/contest/107/problem/D&amp;sa=D&amp;ust=1605639553690000&amp;usg=AFQjCNFaNWFsmVkcrUnRxwoiuQoHuzaZUA" TargetMode="External"/><Relationship Id="rId265" Type="http://schemas.openxmlformats.org/officeDocument/2006/relationships/hyperlink" Target="https://www.google.com/url?q=http://ideone.com/0FAHJa&amp;sa=D&amp;ust=1605639551734000&amp;usg=AFQjCNFFMMzs6jJNlcHG6gOxZcXoHfBQgA" TargetMode="External"/><Relationship Id="rId472" Type="http://schemas.openxmlformats.org/officeDocument/2006/relationships/hyperlink" Target="https://www.google.com/url?q=http://codeforces.com/contest/471/problem/C&amp;sa=D&amp;ust=1605639551873000&amp;usg=AFQjCNFSgenjsYlnLrp-Omb_H_gHl1tVWg" TargetMode="External"/><Relationship Id="rId2153" Type="http://schemas.openxmlformats.org/officeDocument/2006/relationships/hyperlink" Target="https://www.google.com/url?q=https://github.com/mostafa-saad/MyCompetitiveProgramming/blob/master/UVA/UVA_12300.txt&amp;sa=D&amp;ust=1605639552839000&amp;usg=AFQjCNF5YWShbF_lJ48Mw4r6B3jkhD-ZeA" TargetMode="External"/><Relationship Id="rId2360" Type="http://schemas.openxmlformats.org/officeDocument/2006/relationships/hyperlink" Target="https://www.google.com/url?q=http://codeforces.com/contest/664/problem/D&amp;sa=D&amp;ust=1605639552950000&amp;usg=AFQjCNHKME2izJGfXNAu562Pj1iIWC0Rtw" TargetMode="External"/><Relationship Id="rId3204" Type="http://schemas.openxmlformats.org/officeDocument/2006/relationships/hyperlink" Target="https://www.google.com/url?q=https://codeforces.com/contest/1079/problem/D&amp;sa=D&amp;ust=1605639553429000&amp;usg=AFQjCNGpF6sFoQyHrb4Kd6ABB7xbHdY5XQ" TargetMode="External"/><Relationship Id="rId3411" Type="http://schemas.openxmlformats.org/officeDocument/2006/relationships/hyperlink" Target="https://www.google.com/url?q=http://codeforces.com/contest/938/problem/E&amp;sa=D&amp;ust=1605639553558000&amp;usg=AFQjCNG8mlUrhgRWEHSKO4d1Ldlmta-icw" TargetMode="External"/><Relationship Id="rId125" Type="http://schemas.openxmlformats.org/officeDocument/2006/relationships/hyperlink" Target="https://www.google.com/url?q=http://codeforces.com/contest/195/problem/C&amp;sa=D&amp;ust=1605639551626000&amp;usg=AFQjCNFWvvvd8arBC6dMThp2KrL3ELF5hA" TargetMode="External"/><Relationship Id="rId332" Type="http://schemas.openxmlformats.org/officeDocument/2006/relationships/hyperlink" Target="https://www.google.com/url?q=https://uva.onlinejudge.org/index.php?option%3Donlinejudge%26page%3Dshow_problem%26problem%3D442&amp;sa=D&amp;ust=1605639551772000&amp;usg=AFQjCNEBUnl5RyArj7xhGoHhb1mTekDuyQ" TargetMode="External"/><Relationship Id="rId2013" Type="http://schemas.openxmlformats.org/officeDocument/2006/relationships/hyperlink" Target="https://www.google.com/url?q=https://www.youtube.com/watch?v%3DTpRObCQT9Lw&amp;sa=D&amp;ust=1605639552741000&amp;usg=AFQjCNHkPX0YyplXTZiJC6KwCZTqZtNg4w" TargetMode="External"/><Relationship Id="rId2220" Type="http://schemas.openxmlformats.org/officeDocument/2006/relationships/hyperlink" Target="https://www.google.com/url?q=https://github.com/DrSchwad/CompetitiveProgramming/blob/master/UVA/UVA%252011704.cpp&amp;sa=D&amp;ust=1605639552881000&amp;usg=AFQjCNEAkP-uemEGqulzVBRWllrf9KEGMg" TargetMode="External"/><Relationship Id="rId4185" Type="http://schemas.openxmlformats.org/officeDocument/2006/relationships/hyperlink" Target="https://www.google.com/url?q=http://codeforces.com/problemset/problem/912/D&amp;sa=D&amp;ust=1605639554233000&amp;usg=AFQjCNFJGp0RCAanyupmlzhUdL4X-3QRNA" TargetMode="External"/><Relationship Id="rId4392" Type="http://schemas.openxmlformats.org/officeDocument/2006/relationships/hyperlink" Target="https://www.google.com/url?q=https://codeforces.com/contest/1092/problem/F&amp;sa=D&amp;ust=1605639554323000&amp;usg=AFQjCNFWnKR7VRZDutzAR-0_dGUH1RVTYQ" TargetMode="External"/><Relationship Id="rId1779" Type="http://schemas.openxmlformats.org/officeDocument/2006/relationships/hyperlink" Target="https://www.google.com/url?q=https://github.com/aviroop123/CompetitiveProgramming/blob/master/SPOJ/SPOJ%2520GAME2.cpp&amp;sa=D&amp;ust=1605639552603000&amp;usg=AFQjCNHjscMTDpKlVWYzbtCIlySVtdRHSQ" TargetMode="External"/><Relationship Id="rId1986" Type="http://schemas.openxmlformats.org/officeDocument/2006/relationships/hyperlink" Target="https://www.google.com/url?q=https://codeforces.com/contest/1100/problem/C&amp;sa=D&amp;ust=1605639552726000&amp;usg=AFQjCNHPn_GauccQtfMfpDwvEzFJBsDyAQ" TargetMode="External"/><Relationship Id="rId4045" Type="http://schemas.openxmlformats.org/officeDocument/2006/relationships/hyperlink" Target="https://www.google.com/url?q=http://codeforces.com/problemset/problem/673/E&amp;sa=D&amp;ust=1605639554148000&amp;usg=AFQjCNFmPgK3Hxrla1N4N2B70la6kR1qRw" TargetMode="External"/><Relationship Id="rId4252" Type="http://schemas.openxmlformats.org/officeDocument/2006/relationships/hyperlink" Target="https://www.google.com/url?q=http://codeforces.com/problemset/problem/660/F&amp;sa=D&amp;ust=1605639554264000&amp;usg=AFQjCNHTdX3oLCD8zw577_MwAFlwdsTJoA" TargetMode="External"/><Relationship Id="rId1639" Type="http://schemas.openxmlformats.org/officeDocument/2006/relationships/hyperlink" Target="https://www.google.com/url?q=http://codeforces.com/contest/465/problem/C&amp;sa=D&amp;ust=1605639552522000&amp;usg=AFQjCNFeTyBjB1I-lce2GdlgW15t2F7Bqw" TargetMode="External"/><Relationship Id="rId1846" Type="http://schemas.openxmlformats.org/officeDocument/2006/relationships/hyperlink" Target="https://www.google.com/url?q=https://github.com/MetalBall887/Competitive-Programming/blob/master/TopCoder/SRM561-D1-500.cpp&amp;sa=D&amp;ust=1605639552639000&amp;usg=AFQjCNGDJNSeBoiyEg-tzF1g2YkxilsPdA" TargetMode="External"/><Relationship Id="rId3061" Type="http://schemas.openxmlformats.org/officeDocument/2006/relationships/hyperlink" Target="https://www.google.com/url?q=http://codeforces.com/contest/165/problem/D&amp;sa=D&amp;ust=1605639553355000&amp;usg=AFQjCNGY_7CbN-FsWYzZGZT9j-as7Af0SQ" TargetMode="External"/><Relationship Id="rId1706" Type="http://schemas.openxmlformats.org/officeDocument/2006/relationships/hyperlink" Target="https://www.google.com/url?q=http://codeforces.com/contest/260/problem/C&amp;sa=D&amp;ust=1605639552563000&amp;usg=AFQjCNGX2BGLs-NMANY98yk6GF4YLjtWBg" TargetMode="External"/><Relationship Id="rId1913" Type="http://schemas.openxmlformats.org/officeDocument/2006/relationships/hyperlink" Target="https://www.google.com/url?q=https://github.com/jebouin/CompetitiveProgramming/blob/master/Timus/TIMUS%25201451.cpp&amp;sa=D&amp;ust=1605639552686000&amp;usg=AFQjCNEqivXvOxBtqeRNnB80cPMjZWDGHQ" TargetMode="External"/><Relationship Id="rId4112" Type="http://schemas.openxmlformats.org/officeDocument/2006/relationships/hyperlink" Target="https://www.google.com/url?q=https://github.com/mostafa-saad/MyCompetitiveProgramming/blob/master/SPOJ/SPOJ_TREEISO.txt&amp;sa=D&amp;ust=1605639554185000&amp;usg=AFQjCNHyheFPSnDhcrxhUzy-QyiMNERt2w" TargetMode="External"/><Relationship Id="rId3878" Type="http://schemas.openxmlformats.org/officeDocument/2006/relationships/hyperlink" Target="https://www.google.com/url?q=https://www.codechef.com/problems/PRESTIGE&amp;sa=D&amp;ust=1605639553907000&amp;usg=AFQjCNFbyqfLbzNbQCucpjcCk8NLGpU_YA" TargetMode="External"/><Relationship Id="rId799" Type="http://schemas.openxmlformats.org/officeDocument/2006/relationships/hyperlink" Target="https://www.google.com/url?q=https://github.com/mostafa-saad/MyCompetitiveProgramming/blob/master/Timus/TIMUS_1724.txt&amp;sa=D&amp;ust=1605639552013000&amp;usg=AFQjCNErL3E5gu7BC6OkHUv7fOI8ODzyBA" TargetMode="External"/><Relationship Id="rId2687" Type="http://schemas.openxmlformats.org/officeDocument/2006/relationships/hyperlink" Target="https://www.google.com/url?q=https://codeforces.com/gym/102299/problem/G&amp;sa=D&amp;ust=1605639553140000&amp;usg=AFQjCNFUkYgYipOyFhqvf-pb7WAPKweMRA" TargetMode="External"/><Relationship Id="rId2894" Type="http://schemas.openxmlformats.org/officeDocument/2006/relationships/hyperlink" Target="https://www.google.com/url?q=https://github.com/mostafa-saad/MyCompetitiveProgramming/blob/master/UVA/UVA_753.txt&amp;sa=D&amp;ust=1605639553260000&amp;usg=AFQjCNEJoUEXaxkLz6vZGRMErs8saabBNQ" TargetMode="External"/><Relationship Id="rId3738" Type="http://schemas.openxmlformats.org/officeDocument/2006/relationships/hyperlink" Target="https://www.google.com/url?q=https://www.codechef.com/problems/GPD&amp;sa=D&amp;ust=1605639553824000&amp;usg=AFQjCNFCPsBkcyhYlTUvtsqCplXcLkDCBQ" TargetMode="External"/><Relationship Id="rId659" Type="http://schemas.openxmlformats.org/officeDocument/2006/relationships/hyperlink" Target="https://www.google.com/url?q=https://github.com/stefdasca/CompetitiveProgramming/blob/master/SPOJ/XXXXXXXX.cpp&amp;sa=D&amp;ust=1605639551945000&amp;usg=AFQjCNG76Ts4TskFeHippI5ahdrSWDPlXQ" TargetMode="External"/><Relationship Id="rId866" Type="http://schemas.openxmlformats.org/officeDocument/2006/relationships/hyperlink" Target="https://www.google.com/url?q=https://github.com/shashank0107/CompetitiveProgramming/blob/master/SPOJ/DCEPC705.cpp&amp;sa=D&amp;ust=1605639552049000&amp;usg=AFQjCNFAmlZo1HnXNP0vphO3q2IYXKya3A" TargetMode="External"/><Relationship Id="rId1289" Type="http://schemas.openxmlformats.org/officeDocument/2006/relationships/hyperlink" Target="https://www.google.com/url?q=http://codeforces.com/contest/544/problem/E&amp;sa=D&amp;ust=1605639552310000&amp;usg=AFQjCNFmVXTLoMkkb6Iof6cj7Yzh8uWhsQ" TargetMode="External"/><Relationship Id="rId1496" Type="http://schemas.openxmlformats.org/officeDocument/2006/relationships/hyperlink" Target="https://www.google.com/url?q=https://github.com/arvindr9/CompetitiveProgramming/blob/master/TopCoder/SRM184-D1-500.cpp&amp;sa=D&amp;ust=1605639552441000&amp;usg=AFQjCNEZH0_xMIrUd9YgU7-KQxySgHVN2A" TargetMode="External"/><Relationship Id="rId2547" Type="http://schemas.openxmlformats.org/officeDocument/2006/relationships/hyperlink" Target="https://www.google.com/url?q=http://codeforces.com/contest/920/problem/E&amp;sa=D&amp;ust=1605639553059000&amp;usg=AFQjCNGQqJjdWP6cuNaLWJzV0CuY-r6p3w" TargetMode="External"/><Relationship Id="rId3945" Type="http://schemas.openxmlformats.org/officeDocument/2006/relationships/hyperlink" Target="https://www.google.com/url?q=http://codeforces.com/contest/350/problem/E&amp;sa=D&amp;ust=1605639553940000&amp;usg=AFQjCNEKoq9l1nvHEI5JjvfGJHwz0YgZGQ" TargetMode="External"/><Relationship Id="rId519" Type="http://schemas.openxmlformats.org/officeDocument/2006/relationships/hyperlink" Target="https://www.google.com/url?q=https://www.codechef.com/problems/XORSORT2/&amp;sa=D&amp;ust=1605639551895000&amp;usg=AFQjCNEmYEPHvTXkT7mGwZ0GxM96PpxeQA" TargetMode="External"/><Relationship Id="rId1149" Type="http://schemas.openxmlformats.org/officeDocument/2006/relationships/hyperlink" Target="https://www.google.com/url?q=http://codeforces.com/contest/699/problem/C&amp;sa=D&amp;ust=1605639552207000&amp;usg=AFQjCNFfxcYvyb1M8Uvq16_tEIMbvOV1qA" TargetMode="External"/><Relationship Id="rId1356" Type="http://schemas.openxmlformats.org/officeDocument/2006/relationships/hyperlink" Target="https://www.google.com/url?q=http://agc028.contest.atcoder.jp/tasks/agc028_d&amp;sa=D&amp;ust=1605639552351000&amp;usg=AFQjCNGHd8uMDCJCUO65ofG91xWURFH5Eg" TargetMode="External"/><Relationship Id="rId2754" Type="http://schemas.openxmlformats.org/officeDocument/2006/relationships/hyperlink" Target="https://www.google.com/url?q=https://uva.onlinejudge.org/index.php?option%3Donlinejudge%26page%3Dshow_problem%26problem%3D61&amp;sa=D&amp;ust=1605639553180000&amp;usg=AFQjCNGdaab_tIU3P4CsTB52YOUIQB3ZxQ" TargetMode="External"/><Relationship Id="rId2961" Type="http://schemas.openxmlformats.org/officeDocument/2006/relationships/hyperlink" Target="https://www.google.com/url?q=https://uva.onlinejudge.org/index.php?option%3Dcom_onlinejudge%26Itemid%3D8%26page%3Dshow_problem%26problem%3D3675&amp;sa=D&amp;ust=1605639553297000&amp;usg=AFQjCNGDC8p-tSSJ7LI_qpB2UljEkDe0Fw" TargetMode="External"/><Relationship Id="rId3805" Type="http://schemas.openxmlformats.org/officeDocument/2006/relationships/hyperlink" Target="https://www.google.com/url?q=http://codeforces.com/problemset/gymProblem/101064/E&amp;sa=D&amp;ust=1605639553867000&amp;usg=AFQjCNHprDD5dA32REbWXFUGm9K1R_iWjA" TargetMode="External"/><Relationship Id="rId726" Type="http://schemas.openxmlformats.org/officeDocument/2006/relationships/hyperlink" Target="https://www.google.com/url?q=https://github.com/mostafa-saad/MyCompetitiveProgramming/blob/master/UVA/UVA_10909.txt&amp;sa=D&amp;ust=1605639551976000&amp;usg=AFQjCNGPXQLytgm2Tx1GJPVOIo7uSSARxw" TargetMode="External"/><Relationship Id="rId933" Type="http://schemas.openxmlformats.org/officeDocument/2006/relationships/hyperlink" Target="https://www.google.com/url?q=http://codeforces.com/contest/126/problem/D&amp;sa=D&amp;ust=1605639552089000&amp;usg=AFQjCNGITcg5zN67MpyEU_bPJdCEIK4L5g" TargetMode="External"/><Relationship Id="rId1009" Type="http://schemas.openxmlformats.org/officeDocument/2006/relationships/hyperlink" Target="https://www.google.com/url?q=https://atcoder.jp/contests/caddi2018/tasks/caddi2018_c&amp;sa=D&amp;ust=1605639552129000&amp;usg=AFQjCNFkc76Kx4molBHGzBIkwd9QbTle_w" TargetMode="External"/><Relationship Id="rId1563" Type="http://schemas.openxmlformats.org/officeDocument/2006/relationships/hyperlink" Target="https://www.google.com/url?q=http://codeforces.com/contest/1166/problem/D&amp;sa=D&amp;ust=1605639552481000&amp;usg=AFQjCNFg0xiFYsmXDY6OXQGu_2_6NyWa0Q" TargetMode="External"/><Relationship Id="rId1770" Type="http://schemas.openxmlformats.org/officeDocument/2006/relationships/hyperlink" Target="https://www.google.com/url?q=https://agc005.contest.atcoder.jp/tasks/agc005_e&amp;sa=D&amp;ust=1605639552599000&amp;usg=AFQjCNEciaJ_ShBNiZs0K-AAEYC5B7bD0Q" TargetMode="External"/><Relationship Id="rId2407" Type="http://schemas.openxmlformats.org/officeDocument/2006/relationships/hyperlink" Target="https://www.google.com/url?q=http://codeforces.com/contest/29/problem/E&amp;sa=D&amp;ust=1605639552973000&amp;usg=AFQjCNGXItM4x36QXjD_jkta_FJBRcQdMA" TargetMode="External"/><Relationship Id="rId2614" Type="http://schemas.openxmlformats.org/officeDocument/2006/relationships/hyperlink" Target="https://www.google.com/url?q=https://github.com/mostafa-saad/MyCompetitiveProgramming/blob/master/Codeforces/CF141-D2-D.txt&amp;sa=D&amp;ust=1605639553101000&amp;usg=AFQjCNF-8yp2aoKVIEt5oWVSZO1UCZgD2A" TargetMode="External"/><Relationship Id="rId2821" Type="http://schemas.openxmlformats.org/officeDocument/2006/relationships/hyperlink" Target="https://www.google.com/url?q=https://github.com/MohamedNabil97/CompetitiveProgramming/tree/master/SPOJ/NETADMIN.cpp&amp;sa=D&amp;ust=1605639553221000&amp;usg=AFQjCNEFSxhRzU07_2ae6L20pWIeDAsFDg" TargetMode="External"/><Relationship Id="rId62" Type="http://schemas.openxmlformats.org/officeDocument/2006/relationships/hyperlink" Target="https://www.google.com/url?q=https://github.com/adarshkr532/CompetitiveProgramming/blob/master/Codeforces/CF101806-GYM-T.cpp&amp;sa=D&amp;ust=1605639551590000&amp;usg=AFQjCNHHH1PP0G0x0yKrewVGFNW_jc9mtA" TargetMode="External"/><Relationship Id="rId1216" Type="http://schemas.openxmlformats.org/officeDocument/2006/relationships/hyperlink" Target="https://www.google.com/url?q=https://codeforces.com/blog/entry/61306&amp;sa=D&amp;ust=1605639552260000&amp;usg=AFQjCNHipJfPYhopacoV0tm5KkXDdSKRYA" TargetMode="External"/><Relationship Id="rId1423" Type="http://schemas.openxmlformats.org/officeDocument/2006/relationships/hyperlink" Target="https://www.google.com/url?q=http://codeforces.com/contest/698/problem/C&amp;sa=D&amp;ust=1605639552399000&amp;usg=AFQjCNFuDlxX1-6I9Z_N5Of2GTVIhhVlXA" TargetMode="External"/><Relationship Id="rId1630" Type="http://schemas.openxmlformats.org/officeDocument/2006/relationships/hyperlink" Target="https://www.google.com/url?q=https://codeforces.com/contest/1256/problem/F&amp;sa=D&amp;ust=1605639552518000&amp;usg=AFQjCNGcSIr6_G6xGwm4POQHfkndu-MgYQ" TargetMode="External"/><Relationship Id="rId3388" Type="http://schemas.openxmlformats.org/officeDocument/2006/relationships/hyperlink" Target="https://www.google.com/url?q=http://codeforces.com/contest/288/problem/D&amp;sa=D&amp;ust=1605639553546000&amp;usg=AFQjCNFdGrQmazlvboUZgdV1YcuCNk6FVQ" TargetMode="External"/><Relationship Id="rId3595" Type="http://schemas.openxmlformats.org/officeDocument/2006/relationships/hyperlink" Target="https://www.google.com/url?q=https://www.hackerrank.com/challenges/james-tree&amp;sa=D&amp;ust=1605639553727000&amp;usg=AFQjCNFsG-NrTTGDyraWDEEdxWV9JbBpqA" TargetMode="External"/><Relationship Id="rId4439" Type="http://schemas.openxmlformats.org/officeDocument/2006/relationships/hyperlink" Target="https://www.google.com/url?q=http://codeforces.com/contest/1096/problem/G&amp;sa=D&amp;ust=1605639554345000&amp;usg=AFQjCNHjj8gLrltbOavGVK_td0HHCo-2VQ" TargetMode="External"/><Relationship Id="rId2197" Type="http://schemas.openxmlformats.org/officeDocument/2006/relationships/hyperlink" Target="https://www.google.com/url?q=https://uva.onlinejudge.org/index.php?option%3Donlinejudge%26page%3Dshow_problem%26problem%3D1029&amp;sa=D&amp;ust=1605639552870000&amp;usg=AFQjCNFeeyRXlvhGyNf4yXHjWYuXZBElhw" TargetMode="External"/><Relationship Id="rId3248" Type="http://schemas.openxmlformats.org/officeDocument/2006/relationships/hyperlink" Target="https://www.google.com/url?q=http://codeforces.com/contest/94/problem/C&amp;sa=D&amp;ust=1605639553453000&amp;usg=AFQjCNHsEP8Ws-X2W6Ov4eksqKRSk6xvjg" TargetMode="External"/><Relationship Id="rId3455" Type="http://schemas.openxmlformats.org/officeDocument/2006/relationships/hyperlink" Target="https://www.google.com/url?q=http://codeforces.com/contest/338/problem/C&amp;sa=D&amp;ust=1605639553590000&amp;usg=AFQjCNHqKlPgJlNHcxxTFMA3MVxvgZ4Yjw" TargetMode="External"/><Relationship Id="rId3662" Type="http://schemas.openxmlformats.org/officeDocument/2006/relationships/hyperlink" Target="https://www.google.com/url?q=http://codeforces.com/problemset/gymProblem/100812/L&amp;sa=D&amp;ust=1605639553776000&amp;usg=AFQjCNH9GwL_tGEX1MTgtJMUzcsvHQJuwA" TargetMode="External"/><Relationship Id="rId169" Type="http://schemas.openxmlformats.org/officeDocument/2006/relationships/hyperlink" Target="https://www.google.com/url?q=https://www.codechef.com/problems/EXTRAN&amp;sa=D&amp;ust=1605639551653000&amp;usg=AFQjCNHmf1YF8NrhW_0xBw92qFmmnt2zlA" TargetMode="External"/><Relationship Id="rId376" Type="http://schemas.openxmlformats.org/officeDocument/2006/relationships/hyperlink" Target="https://www.google.com/url?q=https://uva.onlinejudge.org/index.php?option%3Dcom_onlinejudge%26Itemid%3D8%26page%3Dshow_problem%26problem%3D691&amp;sa=D&amp;ust=1605639551812000&amp;usg=AFQjCNG7JqdhGD6dB6-MRnLUo1TSyj2SqQ" TargetMode="External"/><Relationship Id="rId583" Type="http://schemas.openxmlformats.org/officeDocument/2006/relationships/hyperlink" Target="https://www.google.com/url?q=https://codeforces.com/problemset/problem/1084/F&amp;sa=D&amp;ust=1605639551920000&amp;usg=AFQjCNGXTzXFahuCYO3dqd0oM5EJM0gurw" TargetMode="External"/><Relationship Id="rId790" Type="http://schemas.openxmlformats.org/officeDocument/2006/relationships/hyperlink" Target="https://www.google.com/url?q=https://codeforces.com/gym/101992/problem/M&amp;sa=D&amp;ust=1605639552009000&amp;usg=AFQjCNG5my3k7Yld8JpgmHQAJaKEXE7TbA" TargetMode="External"/><Relationship Id="rId2057" Type="http://schemas.openxmlformats.org/officeDocument/2006/relationships/hyperlink" Target="https://www.google.com/url?q=https://github.com/YazanZebak/CompetitiveProgramming/blob/master/Codeforces/CF102021-GYM-B.cpp&amp;sa=D&amp;ust=1605639552775000&amp;usg=AFQjCNE2z9swrUWPrXI0FvwudQ9U6k7v1Q" TargetMode="External"/><Relationship Id="rId2264" Type="http://schemas.openxmlformats.org/officeDocument/2006/relationships/hyperlink" Target="https://www.google.com/url?q=https://agc010.contest.atcoder.jp/tasks/agc010_e&amp;sa=D&amp;ust=1605639552910000&amp;usg=AFQjCNE_qceTijI2Ai9jtG8s24efnckdkA" TargetMode="External"/><Relationship Id="rId2471" Type="http://schemas.openxmlformats.org/officeDocument/2006/relationships/hyperlink" Target="https://www.google.com/url?q=https://github.com/MedoN11/CompetitiveProgramming/blob/master/Atcoder/ARC_005.java&amp;sa=D&amp;ust=1605639553009000&amp;usg=AFQjCNEi_X4zXKydfsRagINvqhDO2dcgAw" TargetMode="External"/><Relationship Id="rId3108" Type="http://schemas.openxmlformats.org/officeDocument/2006/relationships/hyperlink" Target="https://www.google.com/url?q=https://github.com/sggutier/CompetitiveProgramming/blob/master/UVa/1451.cpp&amp;sa=D&amp;ust=1605639553379000&amp;usg=AFQjCNGk4dAGlRg6Dx91ge18ztttq_u0Ig" TargetMode="External"/><Relationship Id="rId3315" Type="http://schemas.openxmlformats.org/officeDocument/2006/relationships/hyperlink" Target="https://www.google.com/url?q=http://codeforces.com/contest/582/problem/C&amp;sa=D&amp;ust=1605639553496000&amp;usg=AFQjCNFTNJkEEyJ8doK7Jykcyx3d-kTyjg" TargetMode="External"/><Relationship Id="rId3522" Type="http://schemas.openxmlformats.org/officeDocument/2006/relationships/hyperlink" Target="https://www.google.com/url?q=https://uva.onlinejudge.org/index.php?option%3Donlinejudge%26page%3Dshow_problem%26problem%3D1266&amp;sa=D&amp;ust=1605639553637000&amp;usg=AFQjCNGGuV2pRACxlOIkHqfKrEb6-EF1_w" TargetMode="External"/><Relationship Id="rId236" Type="http://schemas.openxmlformats.org/officeDocument/2006/relationships/hyperlink" Target="https://www.google.com/url?q=https://agc004.contest.atcoder.jp/tasks/agc004_b&amp;sa=D&amp;ust=1605639551702000&amp;usg=AFQjCNHtNR34cncREwIGdjLDzmgM8uzRrg" TargetMode="External"/><Relationship Id="rId443" Type="http://schemas.openxmlformats.org/officeDocument/2006/relationships/hyperlink" Target="https://www.google.com/url?q=http://codeforces.com/contest/448/problem/D&amp;sa=D&amp;ust=1605639551861000&amp;usg=AFQjCNHW_o6-oHeON5gd-MMC0nHiFh2_8w" TargetMode="External"/><Relationship Id="rId650" Type="http://schemas.openxmlformats.org/officeDocument/2006/relationships/hyperlink" Target="https://www.google.com/url?q=https://codeforces.com/contest/1239/problem/C&amp;sa=D&amp;ust=1605639551942000&amp;usg=AFQjCNEpRXWcJ89AL22CEuvAKuMu0Zl8-A" TargetMode="External"/><Relationship Id="rId1073" Type="http://schemas.openxmlformats.org/officeDocument/2006/relationships/hyperlink" Target="https://www.google.com/url?q=http://codeforces.com/contest/149/problem/D&amp;sa=D&amp;ust=1605639552163000&amp;usg=AFQjCNFyKN9yZLpHXmQXVXYE1rQTgXVKxw" TargetMode="External"/><Relationship Id="rId1280" Type="http://schemas.openxmlformats.org/officeDocument/2006/relationships/hyperlink" Target="https://www.google.com/url?q=https://github.com/andriy-zhuk/CompetitiveProgramming/blob/master/TopCoder/SRM534-D1-500.cpp&amp;sa=D&amp;ust=1605639552305000&amp;usg=AFQjCNHv-uC4mw2qQiKeO6J0uHNJNQBzpg" TargetMode="External"/><Relationship Id="rId2124" Type="http://schemas.openxmlformats.org/officeDocument/2006/relationships/hyperlink" Target="https://www.google.com/url?q=http://acm.student.cs.uwaterloo.ca/~acm00/080615/data/E.cc&amp;sa=D&amp;ust=1605639552818000&amp;usg=AFQjCNEKU4t7zVhlxVz2GFqQJfXVfCkcAQ" TargetMode="External"/><Relationship Id="rId2331" Type="http://schemas.openxmlformats.org/officeDocument/2006/relationships/hyperlink" Target="https://www.google.com/url?q=https://www.codechef.com/problems/F2NDMAX&amp;sa=D&amp;ust=1605639552939000&amp;usg=AFQjCNGsLltY8kiJijQ1o9d1rMhe2zqVXg" TargetMode="External"/><Relationship Id="rId303" Type="http://schemas.openxmlformats.org/officeDocument/2006/relationships/hyperlink" Target="https://www.google.com/url?q=https://csacademy.com/contest/round-19/%23task/smallest-array-permutation&amp;sa=D&amp;ust=1605639551758000&amp;usg=AFQjCNGC9LWshF6xOlNLHmcVqp7mCELMxA" TargetMode="External"/><Relationship Id="rId1140" Type="http://schemas.openxmlformats.org/officeDocument/2006/relationships/hyperlink" Target="https://www.google.com/url?q=http://codeforces.com/contest/2/problem/B&amp;sa=D&amp;ust=1605639552202000&amp;usg=AFQjCNHFr4LJA1Of0VEayIzdXQL2fNRKyA" TargetMode="External"/><Relationship Id="rId4089" Type="http://schemas.openxmlformats.org/officeDocument/2006/relationships/hyperlink" Target="https://www.google.com/url?q=https://github.com/s6007589/competitive-programming/blob/master/CF440-D12-D.cpp&amp;sa=D&amp;ust=1605639554169000&amp;usg=AFQjCNHM-u0GiOvGbd2r9po90SwtFR82FA" TargetMode="External"/><Relationship Id="rId4296" Type="http://schemas.openxmlformats.org/officeDocument/2006/relationships/hyperlink" Target="https://www.google.com/url?q=https://codeforces.com/problemset/problem/1182/F&amp;sa=D&amp;ust=1605639554283000&amp;usg=AFQjCNH5G94qD2XpEavwOhmTcLcQgNUnFg" TargetMode="External"/><Relationship Id="rId510" Type="http://schemas.openxmlformats.org/officeDocument/2006/relationships/hyperlink" Target="https://www.google.com/url?q=http://codeforces.com/contest/250/problem/D&amp;sa=D&amp;ust=1605639551890000&amp;usg=AFQjCNFT0prmsUZQUSrNF5LJytNA-Cg--w" TargetMode="External"/><Relationship Id="rId1000" Type="http://schemas.openxmlformats.org/officeDocument/2006/relationships/hyperlink" Target="https://www.google.com/url?q=http://codeforces.com/contest/536/problem/D&amp;sa=D&amp;ust=1605639552125000&amp;usg=AFQjCNEDaFlzutvTt17mVai7nsjwKLAU3w" TargetMode="External"/><Relationship Id="rId1957" Type="http://schemas.openxmlformats.org/officeDocument/2006/relationships/hyperlink" Target="https://www.google.com/url?q=http://codeforces.com/contest/342/problem/C&amp;sa=D&amp;ust=1605639552710000&amp;usg=AFQjCNHxzh5W5oPYcmgaPNC1AKYsHY4yMQ" TargetMode="External"/><Relationship Id="rId4156" Type="http://schemas.openxmlformats.org/officeDocument/2006/relationships/hyperlink" Target="https://www.google.com/url?q=https://github.com/MohamedNabil97/CompetitiveProgramming/blob/master/TopCoder/SRM447-D1-500.cpp&amp;sa=D&amp;ust=1605639554210000&amp;usg=AFQjCNFLwfqlIr5fK6Lu9Rtgk1vH9Wr4XQ" TargetMode="External"/><Relationship Id="rId4363" Type="http://schemas.openxmlformats.org/officeDocument/2006/relationships/hyperlink" Target="https://www.google.com/url?q=https://www.hackerearth.com/problem/algorithm/berland-programming-contests-9c8b5165/description/&amp;sa=D&amp;ust=1605639554310000&amp;usg=AFQjCNGC6b9vZvwY_AQtMPVWhr_10mXQRw" TargetMode="External"/><Relationship Id="rId1817" Type="http://schemas.openxmlformats.org/officeDocument/2006/relationships/hyperlink" Target="https://www.google.com/url?q=http://codeforces.com/contest/55/problem/C&amp;sa=D&amp;ust=1605639552622000&amp;usg=AFQjCNGt8_-WDNORP_Tkhk6BsqI82Bl91Q" TargetMode="External"/><Relationship Id="rId3172" Type="http://schemas.openxmlformats.org/officeDocument/2006/relationships/hyperlink" Target="https://www.google.com/url?q=https://www.codechef.com/problems/REMMAX&amp;sa=D&amp;ust=1605639553415000&amp;usg=AFQjCNFF6OJ1DoovCZW7l-9NF1jjy1VGFA" TargetMode="External"/><Relationship Id="rId4016" Type="http://schemas.openxmlformats.org/officeDocument/2006/relationships/hyperlink" Target="https://www.google.com/url?q=https://github.com/aabdelzaher/Competitive-Programming/blob/master/Live%2520Archive/LIVEARCHIVE2932.java&amp;sa=D&amp;ust=1605639554134000&amp;usg=AFQjCNHCEfgg_ajUFJEXXluO5cA_czAhEw" TargetMode="External"/><Relationship Id="rId4223" Type="http://schemas.openxmlformats.org/officeDocument/2006/relationships/hyperlink" Target="https://www.google.com/url?q=https://github.com/mostafa-saad/MyCompetitiveProgramming/blob/master/PKU/PKU_2763.txt&amp;sa=D&amp;ust=1605639554253000&amp;usg=AFQjCNHIlqBiYCvDoy89zcFW1Gt2ZeCHJg" TargetMode="External"/><Relationship Id="rId4430" Type="http://schemas.openxmlformats.org/officeDocument/2006/relationships/hyperlink" Target="https://www.google.com/url?q=http://codeforces.com/contest/438/submission/34078438&amp;sa=D&amp;ust=1605639554342000&amp;usg=AFQjCNFajAdTIcUZ0cMUg5qvC-kke4dSZQ" TargetMode="External"/><Relationship Id="rId3032" Type="http://schemas.openxmlformats.org/officeDocument/2006/relationships/hyperlink" Target="https://www.google.com/url?q=http://codeforces.com/contest/700/problem/C&amp;sa=D&amp;ust=1605639553340000&amp;usg=AFQjCNFvMe66drU0vul-k6jS2slX8Ed3hw" TargetMode="External"/><Relationship Id="rId160" Type="http://schemas.openxmlformats.org/officeDocument/2006/relationships/hyperlink" Target="https://www.google.com/url?q=https://github.com/AhmedElsisy/CompetitiveProgramming/blob/master/SPOJ/SPOJ%2520MAIN8_E.cpp&amp;sa=D&amp;ust=1605639551647000&amp;usg=AFQjCNHmWcF39XfhrvL9fC7W6S8md0Oacw" TargetMode="External"/><Relationship Id="rId3989" Type="http://schemas.openxmlformats.org/officeDocument/2006/relationships/hyperlink" Target="https://www.google.com/url?q=https://codeforces.com/gym/102001/problem/F&amp;sa=D&amp;ust=1605639554122000&amp;usg=AFQjCNG0fnPw9rGt2KcMeYe6cY4iWEPGCw" TargetMode="External"/><Relationship Id="rId2798" Type="http://schemas.openxmlformats.org/officeDocument/2006/relationships/hyperlink" Target="https://www.google.com/url?q=http://codeforces.com/gym/101656/problem/K&amp;sa=D&amp;ust=1605639553209000&amp;usg=AFQjCNG3Nxycke8wzFFXwm0n2KUbwUA3Lg" TargetMode="External"/><Relationship Id="rId3849" Type="http://schemas.openxmlformats.org/officeDocument/2006/relationships/hyperlink" Target="https://www.google.com/url?q=https://codeforces.com/gym/101627/problem/D&amp;sa=D&amp;ust=1605639553892000&amp;usg=AFQjCNHFMBlvxXJJH3jliTBgMIfY2dyq_g" TargetMode="External"/><Relationship Id="rId977" Type="http://schemas.openxmlformats.org/officeDocument/2006/relationships/hyperlink" Target="https://www.google.com/url?q=https://codeforces.com/contest/1131/problem/E&amp;sa=D&amp;ust=1605639552113000&amp;usg=AFQjCNHmH4ANRaatAcIsOVpF-Oko-2Y9Mw" TargetMode="External"/><Relationship Id="rId2658" Type="http://schemas.openxmlformats.org/officeDocument/2006/relationships/hyperlink" Target="https://www.google.com/url?q=http://codeforces.com/contest/36/problem/E&amp;sa=D&amp;ust=1605639553128000&amp;usg=AFQjCNFeJipYyz6FJ5u5yfS7NfYOQnv5Cg" TargetMode="External"/><Relationship Id="rId2865" Type="http://schemas.openxmlformats.org/officeDocument/2006/relationships/hyperlink" Target="https://www.google.com/url?q=https://code.google.com/codejam/contest/204113/dashboard%23s%3Dp2%26a%3D2&amp;sa=D&amp;ust=1605639553243000&amp;usg=AFQjCNEK-K6xbyxr9WS2fJm6xzSfo0BRQg" TargetMode="External"/><Relationship Id="rId3709" Type="http://schemas.openxmlformats.org/officeDocument/2006/relationships/hyperlink" Target="https://www.google.com/url?q=https://github.com/mostafa-saad/MyCompetitiveProgramming/blob/master/UVA/UVA_10837.txt&amp;sa=D&amp;ust=1605639553802000&amp;usg=AFQjCNFCAWd3N3hND1Vw67Wg0hIUwylZXw" TargetMode="External"/><Relationship Id="rId3916" Type="http://schemas.openxmlformats.org/officeDocument/2006/relationships/hyperlink" Target="https://www.google.com/url?q=http://codeforces.com/contest/734/problem/F&amp;sa=D&amp;ust=1605639553927000&amp;usg=AFQjCNGyVDIeH-S1oVf7H6rQDM2raJbhNQ" TargetMode="External"/><Relationship Id="rId4080" Type="http://schemas.openxmlformats.org/officeDocument/2006/relationships/hyperlink" Target="https://www.google.com/url?q=https://github.com/MedoN11/CompetitiveProgramming/blob/master/Timus/1057.cpp?fref%3Dgc%26dti%3D197799716986593&amp;sa=D&amp;ust=1605639554164000&amp;usg=AFQjCNFlMQUTFfajGAaTpJDFCA5wy5EtoA" TargetMode="External"/><Relationship Id="rId837" Type="http://schemas.openxmlformats.org/officeDocument/2006/relationships/hyperlink" Target="https://www.google.com/url?q=http://codeforces.com/contest/276/problem/E&amp;sa=D&amp;ust=1605639552033000&amp;usg=AFQjCNG5ks8Iu_WPtMBRs0xNV1GFQO0QEA" TargetMode="External"/><Relationship Id="rId1467" Type="http://schemas.openxmlformats.org/officeDocument/2006/relationships/hyperlink" Target="https://www.google.com/url?q=https://github.com/3agwa/CompetitiveProgramming/blob/master/UVA/UVA%252012457&amp;sa=D&amp;ust=1605639552425000&amp;usg=AFQjCNGbg9D4qGC_l3O6P4XXR7VXgmXU3A" TargetMode="External"/><Relationship Id="rId1674" Type="http://schemas.openxmlformats.org/officeDocument/2006/relationships/hyperlink" Target="https://www.google.com/url?q=http://codeforces.com/contest/917/problem/A&amp;sa=D&amp;ust=1605639552543000&amp;usg=AFQjCNFgnyC-itimASOxC0auiErrR1rWjw" TargetMode="External"/><Relationship Id="rId1881" Type="http://schemas.openxmlformats.org/officeDocument/2006/relationships/hyperlink" Target="https://www.google.com/url?q=http://acm.hdu.edu.cn/showproblem.php?pid%3D2177&amp;sa=D&amp;ust=1605639552654000&amp;usg=AFQjCNH50VM-4dRDLBwPuzneiP1Ui90QHw" TargetMode="External"/><Relationship Id="rId2518" Type="http://schemas.openxmlformats.org/officeDocument/2006/relationships/hyperlink" Target="https://www.google.com/url?q=http://codeforces.com/contest/605/problem/D&amp;sa=D&amp;ust=1605639553041000&amp;usg=AFQjCNEKCdHf7rBDX_8PmkRE3wGIWbhrAA" TargetMode="External"/><Relationship Id="rId2725" Type="http://schemas.openxmlformats.org/officeDocument/2006/relationships/hyperlink" Target="https://www.google.com/url?q=https://github.com/VAMPIER000001/CompetitiveProgramming/blob/master/UVA/V-11/UVA%25201174.Cpp&amp;sa=D&amp;ust=1605639553161000&amp;usg=AFQjCNECv_Zm4NFu1bQYk7c45axWKlKO9g" TargetMode="External"/><Relationship Id="rId2932" Type="http://schemas.openxmlformats.org/officeDocument/2006/relationships/hyperlink" Target="https://www.google.com/url?q=https://codeforces.com/contest/951/problem/D&amp;sa=D&amp;ust=1605639553283000&amp;usg=AFQjCNHWsv7pOVWe8kp1oTG_3opWaLmdJw" TargetMode="External"/><Relationship Id="rId904" Type="http://schemas.openxmlformats.org/officeDocument/2006/relationships/hyperlink" Target="https://www.google.com/url?q=http://codeforces.com/contest/254/problem/E&amp;sa=D&amp;ust=1605639552073000&amp;usg=AFQjCNEyH6U9hltxTAbZygD7S9-PoZ3Ryw" TargetMode="External"/><Relationship Id="rId1327" Type="http://schemas.openxmlformats.org/officeDocument/2006/relationships/hyperlink" Target="https://www.google.com/url?q=http://codeforces.com/problemset/gymProblem/100155/F&amp;sa=D&amp;ust=1605639552329000&amp;usg=AFQjCNGZ-LvfdMqOCZXfE5I8nYbF_dz1GQ" TargetMode="External"/><Relationship Id="rId1534" Type="http://schemas.openxmlformats.org/officeDocument/2006/relationships/hyperlink" Target="https://www.google.com/url?q=http://codeforces.com/contest/297/problem/C&amp;sa=D&amp;ust=1605639552465000&amp;usg=AFQjCNErGjcc5EnTIObyB1bxGOt-PAS14g" TargetMode="External"/><Relationship Id="rId1741" Type="http://schemas.openxmlformats.org/officeDocument/2006/relationships/hyperlink" Target="https://www.google.com/url?q=http://codeforces.com/contest/754/problem/C&amp;sa=D&amp;ust=1605639552581000&amp;usg=AFQjCNE7abdL9Ywv1en3f8ZjACsAsknS8w" TargetMode="External"/><Relationship Id="rId33" Type="http://schemas.openxmlformats.org/officeDocument/2006/relationships/hyperlink" Target="https://www.google.com/url?q=https://codeforces.com/gym/102154/problem/C&amp;sa=D&amp;ust=1605639551575000&amp;usg=AFQjCNHW72WesWrG1mlPrZQfM6Qp2p2Ajg" TargetMode="External"/><Relationship Id="rId1601" Type="http://schemas.openxmlformats.org/officeDocument/2006/relationships/hyperlink" Target="https://www.google.com/url?q=http://codeforces.com/contest/1043/problem/E&amp;sa=D&amp;ust=1605639552503000&amp;usg=AFQjCNFkrximYO4WwTUBPUKuER7s2Z2gig" TargetMode="External"/><Relationship Id="rId3499" Type="http://schemas.openxmlformats.org/officeDocument/2006/relationships/hyperlink" Target="https://www.google.com/url?q=https://github.com/Otrebus/timus/blob/master/1940.cpp&amp;sa=D&amp;ust=1605639553626000&amp;usg=AFQjCNGHq5ORP9NVvfcoua-LMtFx2uBLqA" TargetMode="External"/><Relationship Id="rId3359" Type="http://schemas.openxmlformats.org/officeDocument/2006/relationships/hyperlink" Target="https://www.google.com/url?q=https://github.com/mostafa-saad/MyCompetitiveProgramming/blob/master/TopCoder/SRM231-D1-500.txt&amp;sa=D&amp;ust=1605639553527000&amp;usg=AFQjCNFQbl6gPZhRl6H0t9XrJB9VKBZvyw" TargetMode="External"/><Relationship Id="rId3566" Type="http://schemas.openxmlformats.org/officeDocument/2006/relationships/hyperlink" Target="https://www.google.com/url?q=http://codeforces.com/contest/582/problem/B&amp;sa=D&amp;ust=1605639553705000&amp;usg=AFQjCNEiuKqYAa4x_7ADv7h0ZFqVzs6c0A" TargetMode="External"/><Relationship Id="rId487" Type="http://schemas.openxmlformats.org/officeDocument/2006/relationships/hyperlink" Target="https://www.google.com/url?q=https://github.com/MichaelMounir12/CompetitiveProgramming/blob/master/Contests/SuperVision-Contest-33139/UVA_12791.cpp&amp;sa=D&amp;ust=1605639551881000&amp;usg=AFQjCNGqfXVpAWLCcINx_YhQ3EJwomh_kg" TargetMode="External"/><Relationship Id="rId694" Type="http://schemas.openxmlformats.org/officeDocument/2006/relationships/hyperlink" Target="https://www.google.com/url?q=https://codeforces.com/contest/1108/problem/E2&amp;sa=D&amp;ust=1605639551961000&amp;usg=AFQjCNE-JVccc3hcgwL28MmXh4RQUFjYVA" TargetMode="External"/><Relationship Id="rId2168" Type="http://schemas.openxmlformats.org/officeDocument/2006/relationships/hyperlink" Target="https://www.google.com/url?q=https://www.hackerrank.com/challenges/best-sum&amp;sa=D&amp;ust=1605639552850000&amp;usg=AFQjCNEN3RfbiY2xCr0oZdemlhgLvpB4WQ" TargetMode="External"/><Relationship Id="rId2375" Type="http://schemas.openxmlformats.org/officeDocument/2006/relationships/hyperlink" Target="https://www.google.com/url?q=https://codeforces.com/contest/1189/problem/D2&amp;sa=D&amp;ust=1605639552956000&amp;usg=AFQjCNHqHt2xFMK3DjdwcOyggFlzmeaVrw" TargetMode="External"/><Relationship Id="rId3219" Type="http://schemas.openxmlformats.org/officeDocument/2006/relationships/hyperlink" Target="https://www.google.com/url?q=http://codeforces.com/contest/1029/problem/D&amp;sa=D&amp;ust=1605639553436000&amp;usg=AFQjCNFSuaI_9nshKBqkFwGAAyUJLevfAQ" TargetMode="External"/><Relationship Id="rId3773" Type="http://schemas.openxmlformats.org/officeDocument/2006/relationships/hyperlink" Target="https://www.google.com/url?q=https://github.com/HosamEissa/Competitive-programming-/blob/master/TJU/3753.cpp&amp;sa=D&amp;ust=1605639553844000&amp;usg=AFQjCNGCet4owYA4iMmwbBB3PuDMdajlOA" TargetMode="External"/><Relationship Id="rId3980" Type="http://schemas.openxmlformats.org/officeDocument/2006/relationships/hyperlink" Target="https://www.google.com/url?q=http://codeforces.com/contest/47/problem/C&amp;sa=D&amp;ust=1605639553960000&amp;usg=AFQjCNEgJXlVlBxn9vghqy8vjxuy3Qt-Ag" TargetMode="External"/><Relationship Id="rId347" Type="http://schemas.openxmlformats.org/officeDocument/2006/relationships/hyperlink" Target="https://www.google.com/url?q=https://codeforces.com/contest/1140/problem/C&amp;sa=D&amp;ust=1605639551789000&amp;usg=AFQjCNGhO4G1EfD85TC_SyOeJH9j7IIc7A" TargetMode="External"/><Relationship Id="rId1184" Type="http://schemas.openxmlformats.org/officeDocument/2006/relationships/hyperlink" Target="https://www.google.com/url?q=https://www.hackerrank.com/contests/moodys-analytics-2018-university-codesprint/challenges/short-trade-transaction&amp;sa=D&amp;ust=1605639552230000&amp;usg=AFQjCNE5ZRM5ncdOzIxwgGHvAlW3sZ-1OQ" TargetMode="External"/><Relationship Id="rId2028" Type="http://schemas.openxmlformats.org/officeDocument/2006/relationships/hyperlink" Target="https://www.google.com/url?q=http://codeforces.com/contest/667/problem/A&amp;sa=D&amp;ust=1605639552750000&amp;usg=AFQjCNHyE7W82KAS2x8hF58wmA_ZTd-3SA" TargetMode="External"/><Relationship Id="rId2582" Type="http://schemas.openxmlformats.org/officeDocument/2006/relationships/hyperlink" Target="https://www.google.com/url?q=https://github.com/HosamEissa/Competitive-programming-/blob/master/Codeforces/CF101484-GYM-F.cpp&amp;sa=D&amp;ust=1605639553077000&amp;usg=AFQjCNGm-cx8FYPFTyr8Mx1yk0rmVUuDag" TargetMode="External"/><Relationship Id="rId3426" Type="http://schemas.openxmlformats.org/officeDocument/2006/relationships/hyperlink" Target="https://www.google.com/url?q=http://codeforces.com/contest/340/problem/C&amp;sa=D&amp;ust=1605639553568000&amp;usg=AFQjCNGvEgHrD6jn1tRWtXz9XMLjh_AtMA" TargetMode="External"/><Relationship Id="rId3633" Type="http://schemas.openxmlformats.org/officeDocument/2006/relationships/hyperlink" Target="https://www.google.com/url?q=https://github.com/mostafa-saad/MyCompetitiveProgramming/blob/master/UVA/UVA_10056.txt&amp;sa=D&amp;ust=1605639553751000&amp;usg=AFQjCNHvbeQGQTCSBu5JXkyeSIsRuEUoKQ" TargetMode="External"/><Relationship Id="rId3840" Type="http://schemas.openxmlformats.org/officeDocument/2006/relationships/hyperlink" Target="https://www.google.com/url?q=https://github.com/HosamEissa/Competitive-programming-/blob/master/Spoj/MINMOVE.cpp&amp;sa=D&amp;ust=1605639553889000&amp;usg=AFQjCNF2phXv0VHZiFnAl479p96QY8rjoA" TargetMode="External"/><Relationship Id="rId554" Type="http://schemas.openxmlformats.org/officeDocument/2006/relationships/hyperlink" Target="https://www.google.com/url?q=http://codeforces.com/contest/689/problem/D&amp;sa=D&amp;ust=1605639551909000&amp;usg=AFQjCNGkYwBfc26V8Ii9K9EhQxDZfzUexA" TargetMode="External"/><Relationship Id="rId761" Type="http://schemas.openxmlformats.org/officeDocument/2006/relationships/hyperlink" Target="https://www.google.com/url?q=https://www.youtube.com/watch?v%3DrkbdB_vhgJw&amp;sa=D&amp;ust=1605639551994000&amp;usg=AFQjCNHflsc4Ehw-AMjmYw-DIBXJLuFkqQ" TargetMode="External"/><Relationship Id="rId1391" Type="http://schemas.openxmlformats.org/officeDocument/2006/relationships/hyperlink" Target="https://www.google.com/url?q=https://github.com/mostafa-saad/MyCompetitiveProgramming/blob/master/TopCoder/SRM428-D2-1000.txt&amp;sa=D&amp;ust=1605639552373000&amp;usg=AFQjCNGG3gz8j3Da4IdGqYhUaxc2zy8m2Q" TargetMode="External"/><Relationship Id="rId2235" Type="http://schemas.openxmlformats.org/officeDocument/2006/relationships/hyperlink" Target="https://www.google.com/url?q=https://github.com/MohamedNabil97/CompetitiveProgramming/blob/master/CodeForces/CF100622-GYM-C.cpp&amp;sa=D&amp;ust=1605639552889000&amp;usg=AFQjCNHbKaYDs_TWbzEnoLzB6u9F4g8zxg" TargetMode="External"/><Relationship Id="rId2442" Type="http://schemas.openxmlformats.org/officeDocument/2006/relationships/hyperlink" Target="https://www.google.com/url?q=http://codeforces.com/contest/787/problem/C&amp;sa=D&amp;ust=1605639552990000&amp;usg=AFQjCNGkkfSGnjFpO7x68ACVeaW31H2JCg" TargetMode="External"/><Relationship Id="rId3700" Type="http://schemas.openxmlformats.org/officeDocument/2006/relationships/hyperlink" Target="https://www.google.com/url?q=http://codeforces.com/contest/688/problem/D&amp;sa=D&amp;ust=1605639553796000&amp;usg=AFQjCNHEnFrdYgraVZF5AxqSdL-Q1Xaw3A" TargetMode="External"/><Relationship Id="rId207" Type="http://schemas.openxmlformats.org/officeDocument/2006/relationships/hyperlink" Target="https://www.google.com/url?q=http://codeforces.com/contest/818/problem/D&amp;sa=D&amp;ust=1605639551682000&amp;usg=AFQjCNGJPdOh2D36EsuNPhQfTx8s61tnnQ" TargetMode="External"/><Relationship Id="rId414" Type="http://schemas.openxmlformats.org/officeDocument/2006/relationships/hyperlink" Target="https://www.google.com/url?q=http://codeforces.com/contest/555/problem/D&amp;sa=D&amp;ust=1605639551849000&amp;usg=AFQjCNH3wI_wIisrw1E8mcH9X06Y-Oxt-Q" TargetMode="External"/><Relationship Id="rId621" Type="http://schemas.openxmlformats.org/officeDocument/2006/relationships/hyperlink" Target="https://www.google.com/url?q=https://github.com/minaamir26/Competitive-Programming/blob/master/SPOJ/GSS2.java&amp;sa=D&amp;ust=1605639551933000&amp;usg=AFQjCNEpfmysoievctpG-VVZsQsfL_bZLQ" TargetMode="External"/><Relationship Id="rId1044" Type="http://schemas.openxmlformats.org/officeDocument/2006/relationships/hyperlink" Target="https://www.google.com/url?q=https://codeforces.com/problemset/gymProblem/100503/F&amp;sa=D&amp;ust=1605639552146000&amp;usg=AFQjCNGWe5Q77iJPQTgVWj22h0kzewu_zw" TargetMode="External"/><Relationship Id="rId1251" Type="http://schemas.openxmlformats.org/officeDocument/2006/relationships/hyperlink" Target="https://www.google.com/url?q=https://github.com/stefdasca/CompetitiveProgramming/blob/master/TopCoder/SRM416-D1-500.cpp&amp;sa=D&amp;ust=1605639552288000&amp;usg=AFQjCNGXpCzjYRXs7z3m0PDV2FjvkAw9oA" TargetMode="External"/><Relationship Id="rId2302" Type="http://schemas.openxmlformats.org/officeDocument/2006/relationships/hyperlink" Target="https://www.google.com/url?q=https://codeforces.com/contest/1091/problem/E&amp;sa=D&amp;ust=1605639552930000&amp;usg=AFQjCNHV9X3op6L_CmXVNad1fo3jhlQb6Q" TargetMode="External"/><Relationship Id="rId1111" Type="http://schemas.openxmlformats.org/officeDocument/2006/relationships/hyperlink" Target="https://www.google.com/url?q=http://codeforces.com/contest/598/problem/E&amp;sa=D&amp;ust=1605639552189000&amp;usg=AFQjCNEJXrfLdEKYI49klaULmjFVKsMHaw" TargetMode="External"/><Relationship Id="rId4267" Type="http://schemas.openxmlformats.org/officeDocument/2006/relationships/hyperlink" Target="https://www.google.com/url?q=https://github.com/mostafa-saad/MyCompetitiveProgramming/blob/master/SPOJ/SPOJ_BAABO.txt&amp;sa=D&amp;ust=1605639554272000&amp;usg=AFQjCNGBVBOiuS3P9o6lwtxF9atkQDWHKg" TargetMode="External"/><Relationship Id="rId3076" Type="http://schemas.openxmlformats.org/officeDocument/2006/relationships/hyperlink" Target="https://www.google.com/url?q=https://codeforces.com/contest/191/problem/C&amp;sa=D&amp;ust=1605639553360000&amp;usg=AFQjCNF3klMFp8C_pxK4PJuJw4BgT_HqKg" TargetMode="External"/><Relationship Id="rId3283" Type="http://schemas.openxmlformats.org/officeDocument/2006/relationships/hyperlink" Target="https://www.google.com/url?q=http://codeforces.com/contest/758/problem/C&amp;sa=D&amp;ust=1605639553471000&amp;usg=AFQjCNGBh3LWu-rVCE6P0O7ijt2DKMxCag" TargetMode="External"/><Relationship Id="rId3490" Type="http://schemas.openxmlformats.org/officeDocument/2006/relationships/hyperlink" Target="https://www.google.com/url?q=https://uva.onlinejudge.org/index.php?option%3Dcom_onlinejudge%26Itemid%3D8%26page%3Dshow_problem%26problem%3D457&amp;sa=D&amp;ust=1605639553613000&amp;usg=AFQjCNHEV7Qb-LqqnRO5M4OErK_ztLq4DA" TargetMode="External"/><Relationship Id="rId4127" Type="http://schemas.openxmlformats.org/officeDocument/2006/relationships/hyperlink" Target="https://www.google.com/url?q=https://github.com/mahmoudbadawy5/CompetitiveProgramming/blob/master/codeforces/CF681-D2-D.cpp&amp;sa=D&amp;ust=1605639554192000&amp;usg=AFQjCNFIFtiEnMevUSq1xm7jCzMC8BdwTg" TargetMode="External"/><Relationship Id="rId4334" Type="http://schemas.openxmlformats.org/officeDocument/2006/relationships/hyperlink" Target="https://www.google.com/url?q=http://codeforces.com/contest/674/problem/C&amp;sa=D&amp;ust=1605639554298000&amp;usg=AFQjCNH5i_GdYoLs7Uk45SlhA__q2bzffA" TargetMode="External"/><Relationship Id="rId1928" Type="http://schemas.openxmlformats.org/officeDocument/2006/relationships/hyperlink" Target="https://www.google.com/url?q=https://github.com/arvindr9/CompetitiveProgramming/blob/master/Timus/TIMUS%25201647.cpp&amp;sa=D&amp;ust=1605639552696000&amp;usg=AFQjCNHcQ2biY-KwYPQPQeph63DvSQdGiA" TargetMode="External"/><Relationship Id="rId2092" Type="http://schemas.openxmlformats.org/officeDocument/2006/relationships/hyperlink" Target="https://www.google.com/url?q=https://github.com/AhmedElsisy/CompetitiveProgramming/blob/master/Codeforces/CF100112-GYM-G.cpp&amp;sa=D&amp;ust=1605639552799000&amp;usg=AFQjCNEptz-qnGjtaEuWa3QgPvPs21YktQ" TargetMode="External"/><Relationship Id="rId3143" Type="http://schemas.openxmlformats.org/officeDocument/2006/relationships/hyperlink" Target="https://www.google.com/url?q=https://codingcompetitions.withgoogle.com/codejam/round/00000000000516b9/0000000000134e91&amp;sa=D&amp;ust=1605639553401000&amp;usg=AFQjCNHg4NXHZ0zNN-0DVeJ5s1BXWmxXfQ" TargetMode="External"/><Relationship Id="rId3350" Type="http://schemas.openxmlformats.org/officeDocument/2006/relationships/hyperlink" Target="https://www.google.com/url?q=http://codeforces.com/contest/337/problem/C&amp;sa=D&amp;ust=1605639553518000&amp;usg=AFQjCNGKV4CLezOTsVqYRF-hy__TzEsapA" TargetMode="External"/><Relationship Id="rId271" Type="http://schemas.openxmlformats.org/officeDocument/2006/relationships/hyperlink" Target="https://www.google.com/url?q=http://xoptutorials.com/index.php/2017/01/01/timus1607/&amp;sa=D&amp;ust=1605639551742000&amp;usg=AFQjCNGszOk1c30Ys_M7fLMlp2USM8w7Ew" TargetMode="External"/><Relationship Id="rId3003" Type="http://schemas.openxmlformats.org/officeDocument/2006/relationships/hyperlink" Target="https://www.google.com/url?q=https://github.com/HeartBlue/CompetitiveProgramming/blob/master/LIVEARCHIVE/LIVEARCHIVE%25205764%2520Eliminate%2520the%2520Conflict.cpp&amp;sa=D&amp;ust=1605639553322000&amp;usg=AFQjCNGccX2vCXypIhIAUpEn6WNlaJMIeQ" TargetMode="External"/><Relationship Id="rId4401" Type="http://schemas.openxmlformats.org/officeDocument/2006/relationships/hyperlink" Target="https://www.google.com/url?q=http://codeforces.com/contest/533/problem/B&amp;sa=D&amp;ust=1605639554327000&amp;usg=AFQjCNEW2DANim4pstExzldnEA19I9hfhA" TargetMode="External"/><Relationship Id="rId131" Type="http://schemas.openxmlformats.org/officeDocument/2006/relationships/hyperlink" Target="https://www.google.com/url?q=http://codeforces.com/contest/1075/problem/C&amp;sa=D&amp;ust=1605639551631000&amp;usg=AFQjCNFi8C-QkriLSKTOXeLWWgXPVu8FDg" TargetMode="External"/><Relationship Id="rId3210" Type="http://schemas.openxmlformats.org/officeDocument/2006/relationships/hyperlink" Target="https://www.google.com/url?q=https://atcoder.jp/contests/abc140/tasks/abc140_e&amp;sa=D&amp;ust=1605639553431000&amp;usg=AFQjCNFqG8dnqDsir-ilFWyTfqdSmjm7WA" TargetMode="External"/><Relationship Id="rId2769" Type="http://schemas.openxmlformats.org/officeDocument/2006/relationships/hyperlink" Target="https://www.google.com/url?q=https://uva.onlinejudge.org/index.php?option%3Dcom_onlinejudge%26Itemid%3D8%26page%3Dshow_problem%26problem%3D475&amp;sa=D&amp;ust=1605639553190000&amp;usg=AFQjCNFnkISkOCtKjli8qOG2Pbp_Hc3hkQ" TargetMode="External"/><Relationship Id="rId2976" Type="http://schemas.openxmlformats.org/officeDocument/2006/relationships/hyperlink" Target="https://www.google.com/url?q=http://codeforces.com/problemset/problem/1065/F&amp;sa=D&amp;ust=1605639553306000&amp;usg=AFQjCNH_ebbrWCVsAxAAjYFQECIzbeImew" TargetMode="External"/><Relationship Id="rId948" Type="http://schemas.openxmlformats.org/officeDocument/2006/relationships/hyperlink" Target="https://www.google.com/url?q=http://codeforces.com/contest/95/problem/E&amp;sa=D&amp;ust=1605639552099000&amp;usg=AFQjCNGtaGdSjvNI2ZYu44tYGv97LvYlmw" TargetMode="External"/><Relationship Id="rId1578" Type="http://schemas.openxmlformats.org/officeDocument/2006/relationships/hyperlink" Target="https://www.google.com/url?q=http://codeforces.com/contest/679/problem/B&amp;sa=D&amp;ust=1605639552489000&amp;usg=AFQjCNHW07bpavnskXR6niR2LMaDhC2sSw" TargetMode="External"/><Relationship Id="rId1785" Type="http://schemas.openxmlformats.org/officeDocument/2006/relationships/hyperlink" Target="https://www.google.com/url?q=https://atcoder.jp/contests/arc064/tasks/arc064_b&amp;sa=D&amp;ust=1605639552606000&amp;usg=AFQjCNGAB1oHPksYTfPg_5cMTfMdvgIDVw" TargetMode="External"/><Relationship Id="rId1992" Type="http://schemas.openxmlformats.org/officeDocument/2006/relationships/hyperlink" Target="https://www.google.com/url?q=https://ideone.com/RV8bWJ&amp;sa=D&amp;ust=1605639552728000&amp;usg=AFQjCNGByWeg3gzTW6npucDMsviSm-FxWQ" TargetMode="External"/><Relationship Id="rId2629" Type="http://schemas.openxmlformats.org/officeDocument/2006/relationships/hyperlink" Target="https://www.google.com/url?q=http://codeforces.com/contest/1076/problem/D&amp;sa=D&amp;ust=1605639553110000&amp;usg=AFQjCNGh3Rr7k9O00hmKSLLGd5iFs4QwdA" TargetMode="External"/><Relationship Id="rId2836" Type="http://schemas.openxmlformats.org/officeDocument/2006/relationships/hyperlink" Target="https://www.google.com/url?q=https://github.com/mostafa-saad/MyCompetitiveProgramming/blob/master/UVA/UVA_12125.txt&amp;sa=D&amp;ust=1605639553229000&amp;usg=AFQjCNFjoZyjr34le1MHy6R6r9qOR-R7WQ" TargetMode="External"/><Relationship Id="rId4191" Type="http://schemas.openxmlformats.org/officeDocument/2006/relationships/hyperlink" Target="https://www.google.com/url?q=https://www.hackerrank.com/challenges/vertical-sticks&amp;sa=D&amp;ust=1605639554237000&amp;usg=AFQjCNFfi2I8TYc23wxChfY8FWFreoJloQ" TargetMode="External"/><Relationship Id="rId77" Type="http://schemas.openxmlformats.org/officeDocument/2006/relationships/hyperlink" Target="https://www.google.com/url?q=https://github.com/OmarHashim/Competitive-Programming/blob/master/LiveArchive/3695.cpp&amp;sa=D&amp;ust=1605639551597000&amp;usg=AFQjCNH3FW1iwwm-RT-QX-H2DapaSvlhnA" TargetMode="External"/><Relationship Id="rId808" Type="http://schemas.openxmlformats.org/officeDocument/2006/relationships/hyperlink" Target="https://www.google.com/url?q=https://github.com/3agwa/CompetitiveProgramming/blob/master/CodeForces/CF100812-GYM-E&amp;sa=D&amp;ust=1605639552017000&amp;usg=AFQjCNGP3Gx5Msan7PpmoF47EII4fdu5HQ" TargetMode="External"/><Relationship Id="rId1438" Type="http://schemas.openxmlformats.org/officeDocument/2006/relationships/hyperlink" Target="https://www.google.com/url?q=http://codeforces.com/contest/236/problem/D&amp;sa=D&amp;ust=1605639552410000&amp;usg=AFQjCNEEYyqcNhFPjpLc4S-iJu_rGkiy7Q" TargetMode="External"/><Relationship Id="rId1645" Type="http://schemas.openxmlformats.org/officeDocument/2006/relationships/hyperlink" Target="https://www.google.com/url?q=http://codeforces.com/problemsets/acmsguru/problem/99999/321&amp;sa=D&amp;ust=1605639552526000&amp;usg=AFQjCNFKhRbcvGwmNGMxpv6B3nyn8XG4cg" TargetMode="External"/><Relationship Id="rId4051" Type="http://schemas.openxmlformats.org/officeDocument/2006/relationships/hyperlink" Target="https://www.google.com/url?q=http://codeforces.com/gym/101741/problem/J&amp;sa=D&amp;ust=1605639554150000&amp;usg=AFQjCNHcDauDkL88EQsmyD8nWMsx7YvtJw" TargetMode="External"/><Relationship Id="rId1852" Type="http://schemas.openxmlformats.org/officeDocument/2006/relationships/hyperlink" Target="https://www.google.com/url?q=http://agc017.contest.atcoder.jp/tasks/agc017_d&amp;sa=D&amp;ust=1605639552641000&amp;usg=AFQjCNEdjb_jETZ0VWVijyfO334Kj4mwJg" TargetMode="External"/><Relationship Id="rId2903" Type="http://schemas.openxmlformats.org/officeDocument/2006/relationships/hyperlink" Target="https://www.google.com/url?q=https://github.com/ilyesG/Competitive-Programming/blob/master/UVA/UVA%252010080.cpp&amp;sa=D&amp;ust=1605639553265000&amp;usg=AFQjCNGhfup0WHbK2l-IrjYN2-G8GCu9wg" TargetMode="External"/><Relationship Id="rId1505" Type="http://schemas.openxmlformats.org/officeDocument/2006/relationships/hyperlink" Target="https://www.google.com/url?q=https://github.com/mostafa-saad/MyCompetitiveProgramming/blob/master/UVA/UVA_1626.txt&amp;sa=D&amp;ust=1605639552449000&amp;usg=AFQjCNFNkz1X8One6qFYNp3wq6RJWMqwVA" TargetMode="External"/><Relationship Id="rId1712" Type="http://schemas.openxmlformats.org/officeDocument/2006/relationships/hyperlink" Target="https://www.google.com/url?q=http://codeforces.com/contest/58/problem/D&amp;sa=D&amp;ust=1605639552566000&amp;usg=AFQjCNEn4njPjQhj-V68b3zSuC8WByiHHg" TargetMode="External"/><Relationship Id="rId3677" Type="http://schemas.openxmlformats.org/officeDocument/2006/relationships/hyperlink" Target="https://www.google.com/url?q=https://www.hackerrank.com/challenges/count-fox-sequences&amp;sa=D&amp;ust=1605639553784000&amp;usg=AFQjCNG4YD8pm-GH7xEK8BkRR22m3ONb9g" TargetMode="External"/><Relationship Id="rId3884" Type="http://schemas.openxmlformats.org/officeDocument/2006/relationships/hyperlink" Target="https://www.google.com/url?q=http://codeforces.com/problemset/gymProblem/100147/G&amp;sa=D&amp;ust=1605639553911000&amp;usg=AFQjCNGILUXImI0Sf-IlAR4M6r9K-LIkug" TargetMode="External"/><Relationship Id="rId598" Type="http://schemas.openxmlformats.org/officeDocument/2006/relationships/hyperlink" Target="https://www.google.com/url?q=http://codeforces.com/contest/811/problem/E&amp;sa=D&amp;ust=1605639551926000&amp;usg=AFQjCNGiNS6jmLbILwG9RL-cHPgZmI1ErA" TargetMode="External"/><Relationship Id="rId2279" Type="http://schemas.openxmlformats.org/officeDocument/2006/relationships/hyperlink" Target="https://www.google.com/url?q=http://codeforces.com/problemset/problem/79/D&amp;sa=D&amp;ust=1605639552917000&amp;usg=AFQjCNFevpyALQ2ET7nIpOb1SIeHEbEzKg" TargetMode="External"/><Relationship Id="rId2486" Type="http://schemas.openxmlformats.org/officeDocument/2006/relationships/hyperlink" Target="https://www.google.com/url?q=http://codeforces.com/contest/734/problem/E&amp;sa=D&amp;ust=1605639553025000&amp;usg=AFQjCNE_3E077ezN9W0DC7jYaFqwY5kw4w" TargetMode="External"/><Relationship Id="rId2693" Type="http://schemas.openxmlformats.org/officeDocument/2006/relationships/hyperlink" Target="https://www.google.com/url?q=http://codeforces.com/contest/433/problem/D&amp;sa=D&amp;ust=1605639553143000&amp;usg=AFQjCNEPCwgqEwv16lCtdh1fskOudnQ37g" TargetMode="External"/><Relationship Id="rId3537" Type="http://schemas.openxmlformats.org/officeDocument/2006/relationships/hyperlink" Target="https://www.google.com/url?q=https://uva.onlinejudge.org/index.php?option%3Donlinejudge%26page%3Dshow_problem%26problem%3D1753&amp;sa=D&amp;ust=1605639553656000&amp;usg=AFQjCNEHPkFZ5Th6JYiSXWrOi_M2EpAamw" TargetMode="External"/><Relationship Id="rId3744" Type="http://schemas.openxmlformats.org/officeDocument/2006/relationships/hyperlink" Target="https://www.google.com/url?q=https://github.com/ilyesG/Competitive-Programming/blob/master/UVA/UVA%252010745.cpp&amp;sa=D&amp;ust=1605639553828000&amp;usg=AFQjCNHj3fd6EqVdG6C5hsW2JT6bauk6mQ" TargetMode="External"/><Relationship Id="rId3951" Type="http://schemas.openxmlformats.org/officeDocument/2006/relationships/hyperlink" Target="https://www.google.com/url?q=http://codeforces.com/contest/433/problem/C&amp;sa=D&amp;ust=1605639553944000&amp;usg=AFQjCNF3ura_bJt5MQYvZZHQcbS_BtU4Tg" TargetMode="External"/><Relationship Id="rId458" Type="http://schemas.openxmlformats.org/officeDocument/2006/relationships/hyperlink" Target="https://www.google.com/url?q=https://github.com/Ownography/CP/blob/master/UVA%252013177&amp;sa=D&amp;ust=1605639551867000&amp;usg=AFQjCNEs51w2ZtCn73B1J5qKoNPAbk0x_A" TargetMode="External"/><Relationship Id="rId665" Type="http://schemas.openxmlformats.org/officeDocument/2006/relationships/hyperlink" Target="https://www.google.com/url?q=https://www.codechef.com/MARCH18B/problems/PSHTRG&amp;sa=D&amp;ust=1605639551947000&amp;usg=AFQjCNEgte89KW63Elslz8qs7lj-cX0byA" TargetMode="External"/><Relationship Id="rId872" Type="http://schemas.openxmlformats.org/officeDocument/2006/relationships/hyperlink" Target="https://www.google.com/url?q=https://github.com/shashank0107/CompetitiveProgramming/blob/master/DCP/422.cpp&amp;sa=D&amp;ust=1605639552051000&amp;usg=AFQjCNGfv_gLTOPGTHpL91290o0ZHqA11Q" TargetMode="External"/><Relationship Id="rId1088" Type="http://schemas.openxmlformats.org/officeDocument/2006/relationships/hyperlink" Target="https://www.google.com/url?q=https://github.com/mostafa-saad/MyCompetitiveProgramming/blob/master/UVA/UVA_348.txt&amp;sa=D&amp;ust=1605639552171000&amp;usg=AFQjCNEvBc5cG_kPLhUP59yzAZmclFpSqA" TargetMode="External"/><Relationship Id="rId1295" Type="http://schemas.openxmlformats.org/officeDocument/2006/relationships/hyperlink" Target="https://www.google.com/url?q=https://codeforces.com/contest/1313/problem/D&amp;sa=D&amp;ust=1605639552314000&amp;usg=AFQjCNFkMGyJQ9v60ePJb5c-mv3jTTVDfg" TargetMode="External"/><Relationship Id="rId2139" Type="http://schemas.openxmlformats.org/officeDocument/2006/relationships/hyperlink" Target="https://www.google.com/url?q=http://codeforces.com/contest/166/problem/B&amp;sa=D&amp;ust=1605639552831000&amp;usg=AFQjCNEQf3BVNfdE6NFujFsiiKc9sTo6nw" TargetMode="External"/><Relationship Id="rId2346" Type="http://schemas.openxmlformats.org/officeDocument/2006/relationships/hyperlink" Target="https://www.google.com/url?q=http://codeforces.com/gym/101191/problem/G&amp;sa=D&amp;ust=1605639552946000&amp;usg=AFQjCNH1raK9yvtS13fm9ZwG2AJpmVV9FA" TargetMode="External"/><Relationship Id="rId2553" Type="http://schemas.openxmlformats.org/officeDocument/2006/relationships/hyperlink" Target="https://www.google.com/url?q=http://codeforces.com/contest/506/problem/B&amp;sa=D&amp;ust=1605639553061000&amp;usg=AFQjCNGuwLjE73KD7TyMP8AOMbUwr9hRzw" TargetMode="External"/><Relationship Id="rId2760" Type="http://schemas.openxmlformats.org/officeDocument/2006/relationships/hyperlink" Target="https://www.google.com/url?q=http://codeforces.com/contest/295/problem/B&amp;sa=D&amp;ust=1605639553184000&amp;usg=AFQjCNHyognphwFaxgQPg9jQjZgNAl2MSw" TargetMode="External"/><Relationship Id="rId3604" Type="http://schemas.openxmlformats.org/officeDocument/2006/relationships/hyperlink" Target="https://www.google.com/url?q=https://codeforces.com/contest/1096/problem/F&amp;sa=D&amp;ust=1605639553735000&amp;usg=AFQjCNEBmX9H3rnSjyziT6GlwlHMHqS4Bw" TargetMode="External"/><Relationship Id="rId3811" Type="http://schemas.openxmlformats.org/officeDocument/2006/relationships/hyperlink" Target="https://www.google.com/url?q=http://codeforces.com/problemset/problem/1063/F&amp;sa=D&amp;ust=1605639553872000&amp;usg=AFQjCNGs_Ui1P9ytPObTEO_ndZKD6VQB7A" TargetMode="External"/><Relationship Id="rId318" Type="http://schemas.openxmlformats.org/officeDocument/2006/relationships/hyperlink" Target="https://www.google.com/url?q=http://codeforces.com/contest/319/problem/B&amp;sa=D&amp;ust=1605639551765000&amp;usg=AFQjCNHhQNVZM-kd4Ujda1Bru9IE3HvWMA" TargetMode="External"/><Relationship Id="rId525" Type="http://schemas.openxmlformats.org/officeDocument/2006/relationships/hyperlink" Target="https://www.google.com/url?q=https://github.com/DrSchwad/CompetitiveProgramming/blob/master/TopCoder/SRM307-D1-1000.cpp&amp;sa=D&amp;ust=1605639551897000&amp;usg=AFQjCNHlm3xqq4yJw2sbD5WRKTAvm3S9sA" TargetMode="External"/><Relationship Id="rId732" Type="http://schemas.openxmlformats.org/officeDocument/2006/relationships/hyperlink" Target="https://www.google.com/url?q=http://www.spoj.com/problems/SEGSQRSS&amp;sa=D&amp;ust=1605639551979000&amp;usg=AFQjCNF6BqS7Ozm_K3EoDREKjTHCbY178Q" TargetMode="External"/><Relationship Id="rId1155" Type="http://schemas.openxmlformats.org/officeDocument/2006/relationships/hyperlink" Target="https://www.google.com/url?q=https://github.com/MedoN11/CompetitiveProgramming/blob/master/CodeChef/VOGOZO.cpp&amp;sa=D&amp;ust=1605639552214000&amp;usg=AFQjCNE3DNn_NelmSjDNJXHit4fEHzdf5A" TargetMode="External"/><Relationship Id="rId1362" Type="http://schemas.openxmlformats.org/officeDocument/2006/relationships/hyperlink" Target="https://www.google.com/url?q=http://codeforces.com/contest/295/problem/D&amp;sa=D&amp;ust=1605639552354000&amp;usg=AFQjCNEveFNazLLRW5cX_C5Nuv7SJMzsrg" TargetMode="External"/><Relationship Id="rId2206" Type="http://schemas.openxmlformats.org/officeDocument/2006/relationships/hyperlink" Target="https://www.google.com/url?q=https://github.com/MedoN11/CompetitiveProgramming/blob/master/TopCoder/TC(CORNERSDECODING).cpp&amp;sa=D&amp;ust=1605639552876000&amp;usg=AFQjCNHLNJG1FSXWM-zrlS48NGolBmuO_Q" TargetMode="External"/><Relationship Id="rId2413" Type="http://schemas.openxmlformats.org/officeDocument/2006/relationships/hyperlink" Target="https://www.google.com/url?q=http://codeforces.com/contest/354/problem/D&amp;sa=D&amp;ust=1605639552977000&amp;usg=AFQjCNGy5YYNCBiBPG70zcAb2LM8lA19tA" TargetMode="External"/><Relationship Id="rId2620" Type="http://schemas.openxmlformats.org/officeDocument/2006/relationships/hyperlink" Target="https://www.google.com/url?q=https://github.com/ilyesG/Competitive-Programming/blob/master/TopCoder/SRM626-D2-1000.cpp&amp;sa=D&amp;ust=1605639553106000&amp;usg=AFQjCNE3Zisk6oEl_YeF2KLZWjFH6p1HOA" TargetMode="External"/><Relationship Id="rId1015" Type="http://schemas.openxmlformats.org/officeDocument/2006/relationships/hyperlink" Target="https://www.google.com/url?q=https://codeforces.com/contest/1105/problem/E&amp;sa=D&amp;ust=1605639552132000&amp;usg=AFQjCNENkbx2lGNlbjafK2DbsXzhrEYFsw" TargetMode="External"/><Relationship Id="rId1222" Type="http://schemas.openxmlformats.org/officeDocument/2006/relationships/hyperlink" Target="https://www.google.com/url?q=https://github.com/mostafa-saad/MyCompetitiveProgramming/blob/master/GoogleCodeJam/CODEJAM-09-R1A-C.txt&amp;sa=D&amp;ust=1605639552265000&amp;usg=AFQjCNFe5Jq0VjHwV3sfx55HtWkJS8wBzw" TargetMode="External"/><Relationship Id="rId4378" Type="http://schemas.openxmlformats.org/officeDocument/2006/relationships/hyperlink" Target="https://www.google.com/url?q=http://codeforces.com/contest/816/problem/E&amp;sa=D&amp;ust=1605639554316000&amp;usg=AFQjCNEhXBymbnvFmjD7pGMRX2-t-34yaw" TargetMode="External"/><Relationship Id="rId3187" Type="http://schemas.openxmlformats.org/officeDocument/2006/relationships/hyperlink" Target="https://www.google.com/url?q=http://codeforces.com/contest/1040/problem/D&amp;sa=D&amp;ust=1605639553421000&amp;usg=AFQjCNHobjh8x-itkzs0xAmKdAgk4npmoA" TargetMode="External"/><Relationship Id="rId3394" Type="http://schemas.openxmlformats.org/officeDocument/2006/relationships/hyperlink" Target="https://www.google.com/url?q=https://www.codechef.com/problems/MDN&amp;sa=D&amp;ust=1605639553549000&amp;usg=AFQjCNHqqRkJfaN6_1wBGeleec5FwfY5ag" TargetMode="External"/><Relationship Id="rId4238" Type="http://schemas.openxmlformats.org/officeDocument/2006/relationships/hyperlink" Target="https://www.google.com/url?q=https://www.devskill.com/CodingProblems/ViewProblem/176&amp;sa=D&amp;ust=1605639554259000&amp;usg=AFQjCNFN-Eow2RxVoDiJNF7wqQ3eucOPiw" TargetMode="External"/><Relationship Id="rId3047" Type="http://schemas.openxmlformats.org/officeDocument/2006/relationships/hyperlink" Target="https://www.google.com/url?q=http://codeforces.com/gym/100342/submission/34115410&amp;sa=D&amp;ust=1605639553348000&amp;usg=AFQjCNEKKJ_uj9UbCSqNn-iYuKSHYgCzZQ" TargetMode="External"/><Relationship Id="rId4445" Type="http://schemas.openxmlformats.org/officeDocument/2006/relationships/hyperlink" Target="https://www.google.com/url?q=https://www.codechef.com/MAY19A/problems/TREDEG&amp;sa=D&amp;ust=1605639554347000&amp;usg=AFQjCNH4eyFujfHDZ_pW21WaRuf1Mwd3Dg" TargetMode="External"/><Relationship Id="rId175" Type="http://schemas.openxmlformats.org/officeDocument/2006/relationships/hyperlink" Target="https://www.google.com/url?q=http://codeforces.com/contest/754/problem/E&amp;sa=D&amp;ust=1605639551660000&amp;usg=AFQjCNFqUULm6xWfr4_YUzD6VreymZ-vcg" TargetMode="External"/><Relationship Id="rId3254" Type="http://schemas.openxmlformats.org/officeDocument/2006/relationships/hyperlink" Target="https://www.google.com/url?q=http://codeforces.com/contest/320/problem/C&amp;sa=D&amp;ust=1605639553458000&amp;usg=AFQjCNHWFSsdUnr_uYNHM3toK1YnP0xeQQ" TargetMode="External"/><Relationship Id="rId3461" Type="http://schemas.openxmlformats.org/officeDocument/2006/relationships/hyperlink" Target="https://www.google.com/url?q=https://github.com/thackerhelik/Codechef/blob/master/CHEFDIV.cpp&amp;sa=D&amp;ust=1605639553594000&amp;usg=AFQjCNFd0dklTkmojuWWyU39K8rZwFwt5Q" TargetMode="External"/><Relationship Id="rId4305" Type="http://schemas.openxmlformats.org/officeDocument/2006/relationships/hyperlink" Target="https://www.google.com/url?q=http://codeforces.com/contest/547/problem/E&amp;sa=D&amp;ust=1605639554287000&amp;usg=AFQjCNFAFDuOa8GiCWCgGlZSmRNPlxtoMA" TargetMode="External"/><Relationship Id="rId382" Type="http://schemas.openxmlformats.org/officeDocument/2006/relationships/hyperlink" Target="https://www.google.com/url?q=https://github.com/AliOsm/CompetitiveProgramming/blob/master/ZOJ/1097%2520-%2520Code%2520the%2520Tree.cpp&amp;sa=D&amp;ust=1605639551821000&amp;usg=AFQjCNFma98Oge3aP0vwRIsteB0GJiaCeQ" TargetMode="External"/><Relationship Id="rId2063" Type="http://schemas.openxmlformats.org/officeDocument/2006/relationships/hyperlink" Target="https://www.google.com/url?q=http://codeforces.com/contest/199/problem/B&amp;sa=D&amp;ust=1605639552779000&amp;usg=AFQjCNEBrjJHCirw4IK9s0XDnTaTOQozVg" TargetMode="External"/><Relationship Id="rId2270" Type="http://schemas.openxmlformats.org/officeDocument/2006/relationships/hyperlink" Target="https://www.google.com/url?q=https://codeforces.com/problemset/problem/1129/E&amp;sa=D&amp;ust=1605639552913000&amp;usg=AFQjCNGvkIhccskgeNij1rOj4kgYb6NwJg" TargetMode="External"/><Relationship Id="rId3114" Type="http://schemas.openxmlformats.org/officeDocument/2006/relationships/hyperlink" Target="https://www.google.com/url?q=https://codeforces.com/contest/1100/problem/F&amp;sa=D&amp;ust=1605639553384000&amp;usg=AFQjCNH0bg6tLpxASkf-DZ9Btlw6lwWe9g" TargetMode="External"/><Relationship Id="rId3321" Type="http://schemas.openxmlformats.org/officeDocument/2006/relationships/hyperlink" Target="https://www.google.com/url?q=http://codeforces.com/contest/357/problem/D&amp;sa=D&amp;ust=1605639553500000&amp;usg=AFQjCNECYpMpHE3MiGLpAKNguv2ltbboRA" TargetMode="External"/><Relationship Id="rId242" Type="http://schemas.openxmlformats.org/officeDocument/2006/relationships/hyperlink" Target="https://www.google.com/url?q=http://codeforces.com/contest/255/problem/C&amp;sa=D&amp;ust=1605639551707000&amp;usg=AFQjCNGTufg0DXjqnvkG5aqfpzeWHjdtnQ" TargetMode="External"/><Relationship Id="rId2130" Type="http://schemas.openxmlformats.org/officeDocument/2006/relationships/hyperlink" Target="https://www.google.com/url?q=https://www.hackerrank.com/challenges/good-point&amp;sa=D&amp;ust=1605639552822000&amp;usg=AFQjCNF5RfRgVJhuqknRtgKgph_s3H3KUQ" TargetMode="External"/><Relationship Id="rId102" Type="http://schemas.openxmlformats.org/officeDocument/2006/relationships/hyperlink" Target="https://www.google.com/url?q=https://codejam.withgoogle.com/2018/challenges/0000000000007706/dashboard&amp;sa=D&amp;ust=1605639551612000&amp;usg=AFQjCNGxI4cEh7QRYYt_gCQbMX1OdeFMvA" TargetMode="External"/><Relationship Id="rId1689" Type="http://schemas.openxmlformats.org/officeDocument/2006/relationships/hyperlink" Target="https://www.google.com/url?q=http://codeforces.com/contest/486/problem/C&amp;sa=D&amp;ust=1605639552554000&amp;usg=AFQjCNFw-cAF1_5Uga08vP5TvL0fXc_zTQ" TargetMode="External"/><Relationship Id="rId4095" Type="http://schemas.openxmlformats.org/officeDocument/2006/relationships/hyperlink" Target="https://www.google.com/url?q=https://github.com/Otrebus/timus/blob/master/1519.cpp&amp;sa=D&amp;ust=1605639554171000&amp;usg=AFQjCNFPO9SPkI3s-VKYkXRyH3S6h-ixwQ" TargetMode="External"/><Relationship Id="rId1896" Type="http://schemas.openxmlformats.org/officeDocument/2006/relationships/hyperlink" Target="https://www.google.com/url?q=https://github.com/infnty/acm/blob/master/acm.uva.es/10864.c&amp;sa=D&amp;ust=1605639552666000&amp;usg=AFQjCNEuB-ffzqV4qFKBy0eDyPykDFfEEw" TargetMode="External"/><Relationship Id="rId2947" Type="http://schemas.openxmlformats.org/officeDocument/2006/relationships/hyperlink" Target="https://www.google.com/url?q=https://github.com/mostafa-saad/MyCompetitiveProgramming/blob/master/Codeforces/CF100283-GYM-B.txt&amp;sa=D&amp;ust=1605639553290000&amp;usg=AFQjCNHWgH-1oA7HGk6QOcMXmSnXVeKZ0Q" TargetMode="External"/><Relationship Id="rId4162" Type="http://schemas.openxmlformats.org/officeDocument/2006/relationships/hyperlink" Target="https://www.google.com/url?q=https://www.hackerrank.com/challenges/assignment&amp;sa=D&amp;ust=1605639554213000&amp;usg=AFQjCNH2tA5TuWcSlQfYQlpSPLlk3-Bcug" TargetMode="External"/><Relationship Id="rId919" Type="http://schemas.openxmlformats.org/officeDocument/2006/relationships/hyperlink" Target="https://www.google.com/url?q=http://codeforces.com/contest/979/problem/E&amp;sa=D&amp;ust=1605639552081000&amp;usg=AFQjCNElSmTc_z845XlrEv2i9PocQmsklg" TargetMode="External"/><Relationship Id="rId1549" Type="http://schemas.openxmlformats.org/officeDocument/2006/relationships/hyperlink" Target="https://www.google.com/url?q=https://codeforces.com/problemset/problem/996/E&amp;sa=D&amp;ust=1605639552474000&amp;usg=AFQjCNED-7xYgDZCxzgZF9ZNtTIogjB_zw" TargetMode="External"/><Relationship Id="rId1756" Type="http://schemas.openxmlformats.org/officeDocument/2006/relationships/hyperlink" Target="https://www.google.com/url?q=http://codeforces.com/contest/234/problem/G&amp;sa=D&amp;ust=1605639552589000&amp;usg=AFQjCNG2lAzGV85RND9Va93lkpfmhCTaxA" TargetMode="External"/><Relationship Id="rId1963" Type="http://schemas.openxmlformats.org/officeDocument/2006/relationships/hyperlink" Target="https://www.google.com/url?q=http://codeforces.com/contest/97/problem/B&amp;sa=D&amp;ust=1605639552713000&amp;usg=AFQjCNHLjeTQ3r4JcqtfKqrK97nbPLEOrQ" TargetMode="External"/><Relationship Id="rId2807" Type="http://schemas.openxmlformats.org/officeDocument/2006/relationships/hyperlink" Target="https://www.google.com/url?q=https://github.com/MohamedNabil97/CompetitiveProgramming/tree/master/CodeForces/CF101128-GYM-F.cpp&amp;sa=D&amp;ust=1605639553213000&amp;usg=AFQjCNHPQaA3FGvUO6z281zK9Yezz4CwwA" TargetMode="External"/><Relationship Id="rId4022" Type="http://schemas.openxmlformats.org/officeDocument/2006/relationships/hyperlink" Target="https://www.google.com/url?q=http://codeforces.com/contest/216/problem/D&amp;sa=D&amp;ust=1605639554136000&amp;usg=AFQjCNGQPyd3HWbn4cJCVOThA6ZX4lUKvw" TargetMode="External"/><Relationship Id="rId48" Type="http://schemas.openxmlformats.org/officeDocument/2006/relationships/hyperlink" Target="https://www.google.com/url?q=https://github.com/thackerhelik/AtCoder/blob/master/AtCoder092-ARC-B.cpp&amp;sa=D&amp;ust=1605639551582000&amp;usg=AFQjCNEwePKhcQmWaqBThFk8SIHpQ0cosQ" TargetMode="External"/><Relationship Id="rId1409" Type="http://schemas.openxmlformats.org/officeDocument/2006/relationships/hyperlink" Target="https://www.google.com/url?q=https://github.com/arvindr9/CompetitiveProgramming/blob/master/TopCoder/SRM419-D1-500.cpp&amp;sa=D&amp;ust=1605639552388000&amp;usg=AFQjCNG85mD9n9T9t4sb1T9RagDwHilkTw" TargetMode="External"/><Relationship Id="rId1616" Type="http://schemas.openxmlformats.org/officeDocument/2006/relationships/hyperlink" Target="https://www.google.com/url?q=http://codeforces.com/problemset/problem/893/D&amp;sa=D&amp;ust=1605639552510000&amp;usg=AFQjCNGYXK1xFaN9WW4WvNzrV3YtECa9qg" TargetMode="External"/><Relationship Id="rId1823" Type="http://schemas.openxmlformats.org/officeDocument/2006/relationships/hyperlink" Target="https://www.google.com/url?q=http://codeforces.com/contest/142/problem/D&amp;sa=D&amp;ust=1605639552625000&amp;usg=AFQjCNHmDwPcuMKkTYuwLLXUTGx5kuzAvg" TargetMode="External"/><Relationship Id="rId3788" Type="http://schemas.openxmlformats.org/officeDocument/2006/relationships/hyperlink" Target="https://www.google.com/url?q=https://codeforces.com/contest/1138/problem/D&amp;sa=D&amp;ust=1605639553852000&amp;usg=AFQjCNGwbF897abwoLthZd5xFqV-D9ws6Q" TargetMode="External"/><Relationship Id="rId3995" Type="http://schemas.openxmlformats.org/officeDocument/2006/relationships/hyperlink" Target="https://www.google.com/url?q=https://github.com/MohamedNabil97/CompetitiveProgramming/tree/master/UVA/1344.cpp&amp;sa=D&amp;ust=1605639554124000&amp;usg=AFQjCNFzQupLbCGzb9SP1PuNwl3zSZOhdw" TargetMode="External"/><Relationship Id="rId2597" Type="http://schemas.openxmlformats.org/officeDocument/2006/relationships/hyperlink" Target="https://www.google.com/url?q=http://codeforces.com/contest/327/problem/D&amp;sa=D&amp;ust=1605639553085000&amp;usg=AFQjCNFMGp5_Rn5NCZ_yLOHvlWfT-hEvrw" TargetMode="External"/><Relationship Id="rId3648" Type="http://schemas.openxmlformats.org/officeDocument/2006/relationships/hyperlink" Target="https://www.google.com/url?q=https://uva.onlinejudge.org/index.php?option%3Donlinejudge%26page%3Dshow_problem%26problem%3D1425&amp;sa=D&amp;ust=1605639553762000&amp;usg=AFQjCNFh1w5_MKd0vq-HyDEJmHZ_JnXTiQ" TargetMode="External"/><Relationship Id="rId3855" Type="http://schemas.openxmlformats.org/officeDocument/2006/relationships/hyperlink" Target="https://www.google.com/url?q=https://codeforces.com/contest/1056/problem/E&amp;sa=D&amp;ust=1605639553893000&amp;usg=AFQjCNEaDBNVKifgbroOX3T7IDIhKKqnPg" TargetMode="External"/><Relationship Id="rId569" Type="http://schemas.openxmlformats.org/officeDocument/2006/relationships/hyperlink" Target="https://www.google.com/url?q=https://codeforces.com/problemset/problem/1060/G&amp;sa=D&amp;ust=1605639551914000&amp;usg=AFQjCNH-aGkcbuq9Q14twgTU6N8QyLFfoA" TargetMode="External"/><Relationship Id="rId776" Type="http://schemas.openxmlformats.org/officeDocument/2006/relationships/hyperlink" Target="https://www.google.com/url?q=http://codeforces.com/contest/460/problem/C&amp;sa=D&amp;ust=1605639552001000&amp;usg=AFQjCNHgN2fjzafnbhRlI1kRRPcqAmSFtw" TargetMode="External"/><Relationship Id="rId983" Type="http://schemas.openxmlformats.org/officeDocument/2006/relationships/hyperlink" Target="https://www.google.com/url?q=http://codeforces.com/contest/796/problem/E&amp;sa=D&amp;ust=1605639552116000&amp;usg=AFQjCNEh1N3xgYnpabweu5efjr3jdfJ14g" TargetMode="External"/><Relationship Id="rId1199" Type="http://schemas.openxmlformats.org/officeDocument/2006/relationships/hyperlink" Target="https://www.google.com/url?q=http://codeforces.com/contest/41/problem/D&amp;sa=D&amp;ust=1605639552243000&amp;usg=AFQjCNH3KikIhzkwoQyzrNc4r1Iy1lw_bQ" TargetMode="External"/><Relationship Id="rId2457" Type="http://schemas.openxmlformats.org/officeDocument/2006/relationships/hyperlink" Target="https://www.google.com/url?q=https://github.com/mostafa-saad/MyCompetitiveProgramming/blob/master/SPOJ/SPOJ_ANARC08A.txt&amp;sa=D&amp;ust=1605639553000000&amp;usg=AFQjCNFonEHccKmwnWJUY_xid0yKhwFbCg" TargetMode="External"/><Relationship Id="rId2664" Type="http://schemas.openxmlformats.org/officeDocument/2006/relationships/hyperlink" Target="https://www.google.com/url?q=https://codeforces.com/gym/101194/problem/G&amp;sa=D&amp;ust=1605639553130000&amp;usg=AFQjCNH5ZRrIY4CQ2VoE3797gSyKepSkQQ" TargetMode="External"/><Relationship Id="rId3508" Type="http://schemas.openxmlformats.org/officeDocument/2006/relationships/hyperlink" Target="https://www.google.com/url?q=https://codeforces.com/contest/1096/problem/E&amp;sa=D&amp;ust=1605639553632000&amp;usg=AFQjCNHxO_pSgeXlzZ9vfsw2_bRvzHZKhw" TargetMode="External"/><Relationship Id="rId429" Type="http://schemas.openxmlformats.org/officeDocument/2006/relationships/hyperlink" Target="https://www.google.com/url?q=https://www.facebook.com/hackercup/problem/1892930427431211/&amp;sa=D&amp;ust=1605639551854000&amp;usg=AFQjCNE35Tj3FX9s-KLZziHUwsMfpienww" TargetMode="External"/><Relationship Id="rId636" Type="http://schemas.openxmlformats.org/officeDocument/2006/relationships/hyperlink" Target="https://www.google.com/url?q=https://codeforces.com/contest/377/problem/D&amp;sa=D&amp;ust=1605639551938000&amp;usg=AFQjCNHiNlwItWtrHJ3CaWKOOWlhXo1UrQ" TargetMode="External"/><Relationship Id="rId1059" Type="http://schemas.openxmlformats.org/officeDocument/2006/relationships/hyperlink" Target="https://www.google.com/url?q=http://codeforces.com/contest/675/problem/E&amp;sa=D&amp;ust=1605639552153000&amp;usg=AFQjCNGShXVEnp6jbwoBZMZQQ3GkFm9NIw" TargetMode="External"/><Relationship Id="rId1266" Type="http://schemas.openxmlformats.org/officeDocument/2006/relationships/hyperlink" Target="https://www.google.com/url?q=https://github.com/MedoN11/CompetitiveProgramming/blob/master/CodeForces/CF101490-GYM-D.cpp&amp;sa=D&amp;ust=1605639552298000&amp;usg=AFQjCNHOCoYox4H9c8AhztMFvNYaKWPV7w" TargetMode="External"/><Relationship Id="rId1473" Type="http://schemas.openxmlformats.org/officeDocument/2006/relationships/hyperlink" Target="https://www.google.com/url?q=http://codeforces.com/contest/183/problem/D&amp;sa=D&amp;ust=1605639552427000&amp;usg=AFQjCNEheHK-HCPqhlTxgg_kcu0bctzdGQ" TargetMode="External"/><Relationship Id="rId2317" Type="http://schemas.openxmlformats.org/officeDocument/2006/relationships/hyperlink" Target="https://www.google.com/url?q=https://github.com/farmerboy95/CompetitiveProgramming/blob/master/Codeforces/CF1242-D1-C.cpp&amp;sa=D&amp;ust=1605639552934000&amp;usg=AFQjCNHwCXlRt_zLuzlcNCHEFAVybh8tRA" TargetMode="External"/><Relationship Id="rId2871" Type="http://schemas.openxmlformats.org/officeDocument/2006/relationships/hyperlink" Target="https://www.google.com/url?q=https://github.com/goswami-rahul/competitive-coding/blob/master/CompetitiveProgramming/spoj/ADAPATH.cpp&amp;sa=D&amp;ust=1605639553247000&amp;usg=AFQjCNH9XAWSDJmauEIiug5BCIoxLaSIeQ" TargetMode="External"/><Relationship Id="rId3715" Type="http://schemas.openxmlformats.org/officeDocument/2006/relationships/hyperlink" Target="https://www.google.com/url?q=https://codeforces.com/contest/1114/problem/F&amp;sa=D&amp;ust=1605639553806000&amp;usg=AFQjCNGs3TQsdg4kaB25QwrD42kvCKEVXA" TargetMode="External"/><Relationship Id="rId3922" Type="http://schemas.openxmlformats.org/officeDocument/2006/relationships/hyperlink" Target="https://www.google.com/url?q=http://codeforces.com/contest/33/problem/E&amp;sa=D&amp;ust=1605639553929000&amp;usg=AFQjCNHyRazQoi2-dTbWDB9e24fzmmu5lQ" TargetMode="External"/><Relationship Id="rId843" Type="http://schemas.openxmlformats.org/officeDocument/2006/relationships/hyperlink" Target="https://www.google.com/url?q=https://github.com/tr0j4n034/SPOJ/blob/master/CRAYON.cpp&amp;sa=D&amp;ust=1605639552037000&amp;usg=AFQjCNGHAcAVdK2Cpc3dsuZCxHicikgB5A" TargetMode="External"/><Relationship Id="rId1126" Type="http://schemas.openxmlformats.org/officeDocument/2006/relationships/hyperlink" Target="https://www.google.com/url?q=http://codeforces.com/contest/340/problem/D&amp;sa=D&amp;ust=1605639552195000&amp;usg=AFQjCNHQlfWVx4twmKj41-OQaEf0_TfWDQ" TargetMode="External"/><Relationship Id="rId1680" Type="http://schemas.openxmlformats.org/officeDocument/2006/relationships/hyperlink" Target="https://www.google.com/url?q=https://agc003.contest.atcoder.jp/tasks/agc003_c&amp;sa=D&amp;ust=1605639552548000&amp;usg=AFQjCNFEfnS8DHYh6uyZFNVWFO3DIukD_A" TargetMode="External"/><Relationship Id="rId2524" Type="http://schemas.openxmlformats.org/officeDocument/2006/relationships/hyperlink" Target="https://www.google.com/url?q=http://codeforces.com/gym/101806/problem/X&amp;sa=D&amp;ust=1605639553046000&amp;usg=AFQjCNGUucGboaDwSSOerYHeXBHlMLP86A" TargetMode="External"/><Relationship Id="rId2731" Type="http://schemas.openxmlformats.org/officeDocument/2006/relationships/hyperlink" Target="https://www.google.com/url?q=https://github.com/pranavjangir/CompetitiveProgramming/blob/master/CodeForces/CF101650-GYM-I.cpp&amp;sa=D&amp;ust=1605639553164000&amp;usg=AFQjCNEJCvwh7bQ3Z-dwzEoou1ywk5-uww" TargetMode="External"/><Relationship Id="rId703" Type="http://schemas.openxmlformats.org/officeDocument/2006/relationships/hyperlink" Target="https://www.google.com/url?q=https://github.com/tanmoy13/CompetitveProgramming/blob/master/Online-Judge-Solutions/SPOJ/LGLOVE%2520-%2520LCM%2520GCD%2520Love.cpp&amp;sa=D&amp;ust=1605639551966000&amp;usg=AFQjCNG9yOOcf_MFvmR8nDJmeEMUM99tLQ" TargetMode="External"/><Relationship Id="rId910" Type="http://schemas.openxmlformats.org/officeDocument/2006/relationships/hyperlink" Target="https://www.google.com/url?q=https://www.acmicpc.net/problem/5962&amp;sa=D&amp;ust=1605639552077000&amp;usg=AFQjCNEqExuixlkF_VSlxcNEuol_O5rG0w" TargetMode="External"/><Relationship Id="rId1333" Type="http://schemas.openxmlformats.org/officeDocument/2006/relationships/hyperlink" Target="https://www.google.com/url?q=http://acm.tju.edu.cn/toj/showp1189.html&amp;sa=D&amp;ust=1605639552333000&amp;usg=AFQjCNEZ07xWnMQNQZ9698LvvTMP0MfehQ" TargetMode="External"/><Relationship Id="rId1540" Type="http://schemas.openxmlformats.org/officeDocument/2006/relationships/hyperlink" Target="https://www.google.com/url?q=http://codeforces.com/contest/1054/problem/E&amp;sa=D&amp;ust=1605639552469000&amp;usg=AFQjCNFrR1EptPzxmYeHAtGAOksW0NlBOg" TargetMode="External"/><Relationship Id="rId1400" Type="http://schemas.openxmlformats.org/officeDocument/2006/relationships/hyperlink" Target="https://www.google.com/url?q=https://uva.onlinejudge.org/index.php?option%3Dcom_onlinejudge%26Itemid%3D8%26page%3Dshow_problem%26problem%3D1139&amp;sa=D&amp;ust=1605639552381000&amp;usg=AFQjCNHAjPfrmkpO75OLH6QQLfrl4XZ6Jw" TargetMode="External"/><Relationship Id="rId3298" Type="http://schemas.openxmlformats.org/officeDocument/2006/relationships/hyperlink" Target="https://www.google.com/url?q=https://uva.onlinejudge.org/index.php?option%3Dcom_onlinejudge%26Itemid%3D8%26page%3Dshow_problem%26problem%3D89&amp;sa=D&amp;ust=1605639553481000&amp;usg=AFQjCNGVmSkmhyKpSDK9ELIunQ4Ppa5EOQ" TargetMode="External"/><Relationship Id="rId4349" Type="http://schemas.openxmlformats.org/officeDocument/2006/relationships/hyperlink" Target="https://www.google.com/url?q=https://codeforces.com/gym/102006/problem/F&amp;sa=D&amp;ust=1605639554304000&amp;usg=AFQjCNHoDRUFgVSgC3VTi6yHSi0DIMregg" TargetMode="External"/><Relationship Id="rId3158" Type="http://schemas.openxmlformats.org/officeDocument/2006/relationships/hyperlink" Target="https://www.google.com/url?q=https://codeforces.com/contest/1090/problem/F&amp;sa=D&amp;ust=1605639553408000&amp;usg=AFQjCNG-QD_GNFz89Aa3WaXCKArBugxtcg" TargetMode="External"/><Relationship Id="rId3365" Type="http://schemas.openxmlformats.org/officeDocument/2006/relationships/hyperlink" Target="https://www.google.com/url?q=http://codeforces.com/contest/476/problem/C&amp;sa=D&amp;ust=1605639553530000&amp;usg=AFQjCNE3mpU7wt9y2mz-s40v_yPNjqrsIg" TargetMode="External"/><Relationship Id="rId3572" Type="http://schemas.openxmlformats.org/officeDocument/2006/relationships/hyperlink" Target="https://www.google.com/url?q=http://www.spoj.com/problems/FLIB/&amp;sa=D&amp;ust=1605639553709000&amp;usg=AFQjCNHkOCEV5hcfL6q5B2XvcKddTj0ELw" TargetMode="External"/><Relationship Id="rId4209" Type="http://schemas.openxmlformats.org/officeDocument/2006/relationships/hyperlink" Target="https://www.google.com/url?q=https://codeforces.com/gym/101908/problem/H&amp;sa=D&amp;ust=1605639554246000&amp;usg=AFQjCNFkU0BgpxxgP5kwKwK3JrCL3SPgPQ" TargetMode="External"/><Relationship Id="rId4416" Type="http://schemas.openxmlformats.org/officeDocument/2006/relationships/hyperlink" Target="https://www.google.com/url?q=https://codeforces.com/contest/1101/problem/D&amp;sa=D&amp;ust=1605639554336000&amp;usg=AFQjCNExYLQlwqdklkHRJrVDbMgC7xRM7w" TargetMode="External"/><Relationship Id="rId286" Type="http://schemas.openxmlformats.org/officeDocument/2006/relationships/hyperlink" Target="https://www.google.com/url?q=https://github.com/3agwa/CompetitiveProgramming/blob/master/CodeForces/CF313-D2-E.cpp&amp;sa=D&amp;ust=1605639551751000&amp;usg=AFQjCNFdDyUFMCL6VJjE1XmzvS_9HhhQCg" TargetMode="External"/><Relationship Id="rId493" Type="http://schemas.openxmlformats.org/officeDocument/2006/relationships/hyperlink" Target="https://www.google.com/url?q=https://www.topcoder.com/tc?module%3DStatic%26d1%3Dtournaments%26d2%3Dtco07%26d3%3Dalgorithm%26d4%3DalgoFinals&amp;sa=D&amp;ust=1605639551884000&amp;usg=AFQjCNFUyFWUo_-t3AFUMOdidppPMYtDWQ" TargetMode="External"/><Relationship Id="rId2174" Type="http://schemas.openxmlformats.org/officeDocument/2006/relationships/hyperlink" Target="https://www.google.com/url?q=http://codeforces.com/contest/70/problem/D&amp;sa=D&amp;ust=1605639552853000&amp;usg=AFQjCNFEmEftYlxDhLwfl6jirLVcG-Ygvw" TargetMode="External"/><Relationship Id="rId2381" Type="http://schemas.openxmlformats.org/officeDocument/2006/relationships/hyperlink" Target="https://www.google.com/url?q=https://codeforces.com/contest/764/problem/C&amp;sa=D&amp;ust=1605639552959000&amp;usg=AFQjCNHURw9AUYxpUwGESvfp7b-JQNfRng" TargetMode="External"/><Relationship Id="rId3018" Type="http://schemas.openxmlformats.org/officeDocument/2006/relationships/hyperlink" Target="https://www.google.com/url?q=https://github.com/HeartBlue/CompetitiveProgramming/blob/master/PKU/PKU%25202723%2520Get%2520Luffy%2520Out.cpp&amp;sa=D&amp;ust=1605639553331000&amp;usg=AFQjCNGxvjTqEhfZoA-pIAE4Ppmk8TpWQw" TargetMode="External"/><Relationship Id="rId3225" Type="http://schemas.openxmlformats.org/officeDocument/2006/relationships/hyperlink" Target="https://www.google.com/url?q=https://www.codechef.com/problems/PRMDIV&amp;sa=D&amp;ust=1605639553438000&amp;usg=AFQjCNGmZuoSVe7vJ-0nAfaZFLNDfejWQw" TargetMode="External"/><Relationship Id="rId3432" Type="http://schemas.openxmlformats.org/officeDocument/2006/relationships/hyperlink" Target="https://www.google.com/url?q=http://codeforces.com/contest/110/problem/E&amp;sa=D&amp;ust=1605639553571000&amp;usg=AFQjCNGS4BLdq9xji43Hs2OdaWLdoYFR5g" TargetMode="External"/><Relationship Id="rId146" Type="http://schemas.openxmlformats.org/officeDocument/2006/relationships/hyperlink" Target="https://www.google.com/url?q=http://codeforces.com/contest/913/problem/C&amp;sa=D&amp;ust=1605639551640000&amp;usg=AFQjCNGAkqEqkq9We_W9rH_VphDbUCSlAQ" TargetMode="External"/><Relationship Id="rId353" Type="http://schemas.openxmlformats.org/officeDocument/2006/relationships/hyperlink" Target="https://www.google.com/url?q=https://www.hackerrank.com/contests/world-codesprint-13/challenges/watsons-love-for-arrays&amp;sa=D&amp;ust=1605639551792000&amp;usg=AFQjCNFjbydM01cyKGxrXqoobCAwv6mhQA" TargetMode="External"/><Relationship Id="rId560" Type="http://schemas.openxmlformats.org/officeDocument/2006/relationships/hyperlink" Target="https://www.google.com/url?q=http://www.spoj.com/problems/HISTOGRA/&amp;sa=D&amp;ust=1605639551911000&amp;usg=AFQjCNFcOxWJabDSgunbHyFgpA0V5cn-NQ" TargetMode="External"/><Relationship Id="rId1190" Type="http://schemas.openxmlformats.org/officeDocument/2006/relationships/hyperlink" Target="https://www.google.com/url?q=https://github.com/arvindr9/CompetitiveProgramming/blob/master/UVA/UVA%252010980.cpp&amp;sa=D&amp;ust=1605639552235000&amp;usg=AFQjCNGfqe-N2Eiojb4bS8B4rxuPChQvig" TargetMode="External"/><Relationship Id="rId2034" Type="http://schemas.openxmlformats.org/officeDocument/2006/relationships/hyperlink" Target="https://www.google.com/url?q=http://codeforces.com/contest/706/problem/A&amp;sa=D&amp;ust=1605639552757000&amp;usg=AFQjCNEfH1JHrYqkxoUz9zG0btjALzZ3fg" TargetMode="External"/><Relationship Id="rId2241" Type="http://schemas.openxmlformats.org/officeDocument/2006/relationships/hyperlink" Target="https://www.google.com/url?q=https://github.com/MohamedNabil97/CompetitiveProgramming/blob/master/UVA/11378.cpp&amp;sa=D&amp;ust=1605639552892000&amp;usg=AFQjCNHSm6f1H0hnkXEkHppRW0UELb9e2A" TargetMode="External"/><Relationship Id="rId213" Type="http://schemas.openxmlformats.org/officeDocument/2006/relationships/hyperlink" Target="https://www.google.com/url?q=https://github.com/mostafa-saad/MyCompetitiveProgramming/blob/master/UVA/UVA_10705.txt&amp;sa=D&amp;ust=1605639551686000&amp;usg=AFQjCNHxG2GbMfDDqDPdlV_D31esBpepbg" TargetMode="External"/><Relationship Id="rId420" Type="http://schemas.openxmlformats.org/officeDocument/2006/relationships/hyperlink" Target="https://www.google.com/url?q=https://github.com/mostafa-saad/MyCompetitiveProgramming/blob/master/SPOJ/SPOJ_MSE07E.txt&amp;sa=D&amp;ust=1605639551851000&amp;usg=AFQjCNFdlTS6hXotFFLm03vEjhw-N8fBeg" TargetMode="External"/><Relationship Id="rId1050" Type="http://schemas.openxmlformats.org/officeDocument/2006/relationships/hyperlink" Target="https://www.google.com/url?q=https://github.com/VAMPIER000001/CompetitiveProgramming/blob/dd04e50225a4acfb86449f9c42a1eeb99604201f/CF/CF920-D2-D.Cpp&amp;sa=D&amp;ust=1605639552148000&amp;usg=AFQjCNHMNrOJNHIjpGFl-k1KsvrjUyAgRQ" TargetMode="External"/><Relationship Id="rId2101" Type="http://schemas.openxmlformats.org/officeDocument/2006/relationships/hyperlink" Target="https://www.google.com/url?q=https://www.hackerrank.com/challenges/stars&amp;sa=D&amp;ust=1605639552804000&amp;usg=AFQjCNHASzVTGII1Hs69vU1Jgn0MP_6szA" TargetMode="External"/><Relationship Id="rId4066" Type="http://schemas.openxmlformats.org/officeDocument/2006/relationships/hyperlink" Target="https://www.google.com/url?q=http://codeforces.com/contest/507/problem/D&amp;sa=D&amp;ust=1605639554157000&amp;usg=AFQjCNEE4lQf170PixwBE_s5OarAbmnCJg" TargetMode="External"/><Relationship Id="rId1867" Type="http://schemas.openxmlformats.org/officeDocument/2006/relationships/hyperlink" Target="https://www.google.com/url?q=https://github.com/mostafa-saad/MyCompetitiveProgramming/blob/master/SPOJ/SPOJ_TRIOMINO.txt&amp;sa=D&amp;ust=1605639552646000&amp;usg=AFQjCNGiVygcdC_lBqxsH-hwNABI2T5VDw" TargetMode="External"/><Relationship Id="rId2918" Type="http://schemas.openxmlformats.org/officeDocument/2006/relationships/hyperlink" Target="https://www.google.com/url?q=https://github.com/tmwilliamlin168/CompetitiveProgramming/blob/master/HackerRank/cargo-delivery.cpp&amp;sa=D&amp;ust=1605639553273000&amp;usg=AFQjCNHIEtWdYhIEGrygyBccf68GTm9Vdw" TargetMode="External"/><Relationship Id="rId4273" Type="http://schemas.openxmlformats.org/officeDocument/2006/relationships/hyperlink" Target="https://www.google.com/url?q=https://www.codechef.com/problems/CYCLRACE&amp;sa=D&amp;ust=1605639554274000&amp;usg=AFQjCNECS60FDBz2L4mNmVDnPcWOvtTRWA" TargetMode="External"/><Relationship Id="rId1727" Type="http://schemas.openxmlformats.org/officeDocument/2006/relationships/hyperlink" Target="https://www.google.com/url?q=https://github.com/MedoN11/CompetitiveProgramming/blob/master/CSES%2520ProblemSet/apartmen.cpp&amp;sa=D&amp;ust=1605639552575000&amp;usg=AFQjCNHU9iWTHqvOpug9isog4geFqxeA0g" TargetMode="External"/><Relationship Id="rId1934" Type="http://schemas.openxmlformats.org/officeDocument/2006/relationships/hyperlink" Target="https://www.google.com/url?q=http://harunurrashid-coding.blogspot.com/2014/08/problem-link-httpwww_19.html&amp;sa=D&amp;ust=1605639552701000&amp;usg=AFQjCNHieJ9HKspZu-_JnE6knWexiB0FEg" TargetMode="External"/><Relationship Id="rId3082" Type="http://schemas.openxmlformats.org/officeDocument/2006/relationships/hyperlink" Target="https://www.google.com/url?q=http://www.codechef.com/problems/RRTREE&amp;sa=D&amp;ust=1605639553363000&amp;usg=AFQjCNHMBhcZmw7XoHV6n63T2Is1mZ6HWA" TargetMode="External"/><Relationship Id="rId4133" Type="http://schemas.openxmlformats.org/officeDocument/2006/relationships/hyperlink" Target="https://www.google.com/url?q=http://codeforces.com/contest/655/problem/D&amp;sa=D&amp;ust=1605639554197000&amp;usg=AFQjCNG9c3x0orffN1VEdGHdIT3nMsA6lA" TargetMode="External"/><Relationship Id="rId4340" Type="http://schemas.openxmlformats.org/officeDocument/2006/relationships/hyperlink" Target="https://www.google.com/url?q=https://github.com/swapnil119/CompetitiveProgramming/blob/master/CompetitiveProgramming/Codeforces/CF101840-GYM-B.cpp&amp;sa=D&amp;ust=1605639554300000&amp;usg=AFQjCNE4pD2GXKuC5ggOGNkL8gc8HXTO7A" TargetMode="External"/><Relationship Id="rId19" Type="http://schemas.openxmlformats.org/officeDocument/2006/relationships/hyperlink" Target="https://www.google.com/url?q=https://codeforces.com/problemset/problem/1227/G&amp;sa=D&amp;ust=1605639551570000&amp;usg=AFQjCNGwYjmJ61ZO894XVx3ccndt6x2ikw" TargetMode="External"/><Relationship Id="rId3899" Type="http://schemas.openxmlformats.org/officeDocument/2006/relationships/hyperlink" Target="https://www.google.com/url?q=http://codeforces.com/contest/877/problem/F&amp;sa=D&amp;ust=1605639553918000&amp;usg=AFQjCNF_7vPmYnbaDzD18lPv_6tPSzI2ZA" TargetMode="External"/><Relationship Id="rId4200" Type="http://schemas.openxmlformats.org/officeDocument/2006/relationships/hyperlink" Target="https://www.google.com/url?q=https://www.hackerrank.com/challenges/lazy-sorting&amp;sa=D&amp;ust=1605639554242000&amp;usg=AFQjCNEuTfxT8nVUeCBOhhmOmgYnhQPXsQ" TargetMode="External"/><Relationship Id="rId3759" Type="http://schemas.openxmlformats.org/officeDocument/2006/relationships/hyperlink" Target="https://www.google.com/url?q=http://codeforces.com/contest/271/problem/D&amp;sa=D&amp;ust=1605639553835000&amp;usg=AFQjCNHieixQOLmYeJHsDFJg5eV_9igLfA" TargetMode="External"/><Relationship Id="rId3966" Type="http://schemas.openxmlformats.org/officeDocument/2006/relationships/hyperlink" Target="https://www.google.com/url?q=http://codeforces.com/contest/200/problem/D&amp;sa=D&amp;ust=1605639553951000&amp;usg=AFQjCNFgGm8YcAGEYLjWPetH_Menx2L_HA" TargetMode="External"/><Relationship Id="rId3" Type="http://schemas.openxmlformats.org/officeDocument/2006/relationships/hyperlink" Target="https://www.google.com/url?q=https://github.com/nya-nya-meow/CompetitiveProgramming/blob/master/Kattis/bipartitebattle.cpp&amp;sa=D&amp;ust=1605639551563000&amp;usg=AFQjCNF5c4ntP4YBb-4qJFC2gbhSJ72hNA" TargetMode="External"/><Relationship Id="rId887" Type="http://schemas.openxmlformats.org/officeDocument/2006/relationships/hyperlink" Target="https://www.google.com/url?q=http://codeforces.com/contest/797/problem/F&amp;sa=D&amp;ust=1605639552064000&amp;usg=AFQjCNEeB1N7JZCCIRvZbZ9X2BTOAOQNYQ" TargetMode="External"/><Relationship Id="rId2568" Type="http://schemas.openxmlformats.org/officeDocument/2006/relationships/hyperlink" Target="https://www.google.com/url?q=https://agc004.contest.atcoder.jp/tasks/agc004_d&amp;sa=D&amp;ust=1605639553070000&amp;usg=AFQjCNEkcB8G9gTl77rAHLvY_lQhaVd2Sg" TargetMode="External"/><Relationship Id="rId2775" Type="http://schemas.openxmlformats.org/officeDocument/2006/relationships/hyperlink" Target="https://www.google.com/url?q=https://uva.onlinejudge.org/index.php?option%3Dcom_onlinejudge%26Itemid%3D8%26page%3Dshow_problem%26problem%3D270&amp;sa=D&amp;ust=1605639553193000&amp;usg=AFQjCNGFLYmxkT91BaxgheywsM8QZPCh5w" TargetMode="External"/><Relationship Id="rId2982" Type="http://schemas.openxmlformats.org/officeDocument/2006/relationships/hyperlink" Target="https://www.google.com/url?q=http://codeforces.com/contest/950/problem/E&amp;sa=D&amp;ust=1605639553310000&amp;usg=AFQjCNEaaMuuKAMmhe1795EBgh6Py1ospA" TargetMode="External"/><Relationship Id="rId3619" Type="http://schemas.openxmlformats.org/officeDocument/2006/relationships/hyperlink" Target="https://www.google.com/url?q=http://codeforces.com/problemset/problem/442/B&amp;sa=D&amp;ust=1605639553743000&amp;usg=AFQjCNF8uYKmAGsVeHKcDbZkFtAScEEIcw" TargetMode="External"/><Relationship Id="rId3826" Type="http://schemas.openxmlformats.org/officeDocument/2006/relationships/hyperlink" Target="https://www.google.com/url?q=https://codeforces.com/contest/1129/problem/C&amp;sa=D&amp;ust=1605639553881000&amp;usg=AFQjCNGiDtHWBKe-p8PKIc-DgRM2UQKtsg" TargetMode="External"/><Relationship Id="rId747" Type="http://schemas.openxmlformats.org/officeDocument/2006/relationships/hyperlink" Target="https://www.google.com/url?q=https://github.com/mostafa-saad/MyCompetitiveProgramming/blob/master/SPOJ/SPOJ_BRCKTS2.txt&amp;sa=D&amp;ust=1605639551987000&amp;usg=AFQjCNGrTtFeu0wNdwreFbOKRCVfdtBePg" TargetMode="External"/><Relationship Id="rId954" Type="http://schemas.openxmlformats.org/officeDocument/2006/relationships/hyperlink" Target="https://www.google.com/url?q=http://codeforces.com/gym/101490/attachments/download/5853/2016-benelux-algorithm-programming-contest-bapc-16-en.pdf&amp;sa=D&amp;ust=1605639552103000&amp;usg=AFQjCNESlA2V-fSGiw2QPYdOtVTHS-xH9g" TargetMode="External"/><Relationship Id="rId1377" Type="http://schemas.openxmlformats.org/officeDocument/2006/relationships/hyperlink" Target="https://www.google.com/url?q=https://github.com/IbraheemTuffaha/Competitive-Programming/blob/master/Codeforces/2018-Nov-15/CF129-D2-E.cpp&amp;sa=D&amp;ust=1605639552361000&amp;usg=AFQjCNGhANZQ4oRHA9yNH5jZu51uhfK-IA" TargetMode="External"/><Relationship Id="rId1584" Type="http://schemas.openxmlformats.org/officeDocument/2006/relationships/hyperlink" Target="https://www.google.com/url?q=http://codeforces.com/contest/746/problem/E&amp;sa=D&amp;ust=1605639552493000&amp;usg=AFQjCNEMUNhUET_Ip9JxC1Dlo_sMcsltug" TargetMode="External"/><Relationship Id="rId1791" Type="http://schemas.openxmlformats.org/officeDocument/2006/relationships/hyperlink" Target="https://www.google.com/url?q=https://codeforces.com/contest/1147/problem/C&amp;sa=D&amp;ust=1605639552609000&amp;usg=AFQjCNH39PaeKYwG5ZidQKlzXT6M7H15kg" TargetMode="External"/><Relationship Id="rId2428" Type="http://schemas.openxmlformats.org/officeDocument/2006/relationships/hyperlink" Target="https://www.google.com/url?q=https://github.com/dasannagariraja/CompetitiveProgramming/blob/master/UVA/UVA%252010985.cpp&amp;sa=D&amp;ust=1605639552983000&amp;usg=AFQjCNFfMNKFhK0xAXesHN4O_cVhqYvuwA" TargetMode="External"/><Relationship Id="rId2635" Type="http://schemas.openxmlformats.org/officeDocument/2006/relationships/hyperlink" Target="https://www.google.com/url?q=https://github.com/Maverick10/Competitive-Programming/blob/master/Solutions/UVa/UVa%2520-%252012144.cpp&amp;sa=D&amp;ust=1605639553115000&amp;usg=AFQjCNHrbnOOLZ8EOZCjeRraHMD6zepdGw" TargetMode="External"/><Relationship Id="rId2842" Type="http://schemas.openxmlformats.org/officeDocument/2006/relationships/hyperlink" Target="https://www.google.com/url?q=https://github.com/3agwa/CompetitiveProgramming/blob/master/SPOJ/SPOJ%2520FASTFLOW.cpp&amp;sa=D&amp;ust=1605639553232000&amp;usg=AFQjCNGxq8z0c5c4q_71XIEiSrstG5dw4w" TargetMode="External"/><Relationship Id="rId83" Type="http://schemas.openxmlformats.org/officeDocument/2006/relationships/hyperlink" Target="https://www.google.com/url?q=https://codeforces.com/contest/867/problem/C&amp;sa=D&amp;ust=1605639551601000&amp;usg=AFQjCNHPHLcPcDnaWzkgzULreogOWUSDYg" TargetMode="External"/><Relationship Id="rId607" Type="http://schemas.openxmlformats.org/officeDocument/2006/relationships/hyperlink" Target="https://www.google.com/url?q=http://codeforces.com/gym/100956/attachments&amp;sa=D&amp;ust=1605639551928000&amp;usg=AFQjCNHatKJqFqFQz6aMKyZ7_Or1t1iEgg" TargetMode="External"/><Relationship Id="rId814" Type="http://schemas.openxmlformats.org/officeDocument/2006/relationships/hyperlink" Target="https://www.google.com/url?q=https://csacademy.com/contest/round-84/task/the-sprawl/statement/&amp;sa=D&amp;ust=1605639552022000&amp;usg=AFQjCNH37SpNr_Pcifj_YHJ4rGQ5Gh4FeA" TargetMode="External"/><Relationship Id="rId1237" Type="http://schemas.openxmlformats.org/officeDocument/2006/relationships/hyperlink" Target="https://www.google.com/url?q=https://github.com/Mahmoud3ali/CompetitiveProgramming/blob/master/TopCoder/SRM508-D1-500.cpp&amp;sa=D&amp;ust=1605639552274000&amp;usg=AFQjCNExmAVJjP3uAFutkj1TRZUAmzQHgw" TargetMode="External"/><Relationship Id="rId1444" Type="http://schemas.openxmlformats.org/officeDocument/2006/relationships/hyperlink" Target="https://www.google.com/url?q=https://github.com/aabdelzaher/Competitive-Programming/blob/master/Codeforces/CF28-D12-C.java&amp;sa=D&amp;ust=1605639552413000&amp;usg=AFQjCNEqtsPzE4gWmPzaj1UHfz9j9Wv82A" TargetMode="External"/><Relationship Id="rId1651" Type="http://schemas.openxmlformats.org/officeDocument/2006/relationships/hyperlink" Target="https://www.google.com/url?q=http://codeforces.com/contest/239/problem/D&amp;sa=D&amp;ust=1605639552530000&amp;usg=AFQjCNGztNqXrnFb9BPDc8tC9BoIGyxgkg" TargetMode="External"/><Relationship Id="rId2702" Type="http://schemas.openxmlformats.org/officeDocument/2006/relationships/hyperlink" Target="https://www.google.com/url?q=https://github.com/AliOsm/CompetitiveProgramming/blob/master/CodeForces%2520Gyms/ACM%2520International%2520Collegiate%2520Programming%2520Contest%252C%2520Tishreen%2520Collegiate%2520Programming%2520Contest%2520(2017)/J.%2520The%2520Volcano%2520Eruption.cpp&amp;sa=D&amp;ust=1605639553148000&amp;usg=AFQjCNHfmF1dZJ2suOxqJKO-Z3DA3ME5fw" TargetMode="External"/><Relationship Id="rId1304" Type="http://schemas.openxmlformats.org/officeDocument/2006/relationships/hyperlink" Target="https://www.google.com/url?q=https://codeforces.com/contest/378/problem/E&amp;sa=D&amp;ust=1605639552318000&amp;usg=AFQjCNHlin1ub63gz9AKJHHC_rVew62J7w" TargetMode="External"/><Relationship Id="rId1511" Type="http://schemas.openxmlformats.org/officeDocument/2006/relationships/hyperlink" Target="https://www.google.com/url?q=https://github.com/MichaelMounir12/CompetitiveProgramming/blob/6968e76a38d600c4a9f0f385050be2100e7f0f9f/UVA/UVA_10688.cpp&amp;sa=D&amp;ust=1605639552452000&amp;usg=AFQjCNEyKqEnBlzkBKDc3T1GSHnAYWuRvg" TargetMode="External"/><Relationship Id="rId3269" Type="http://schemas.openxmlformats.org/officeDocument/2006/relationships/hyperlink" Target="https://www.google.com/url?q=http://codeforces.com/contest/186/problem/C&amp;sa=D&amp;ust=1605639553463000&amp;usg=AFQjCNEJtmHeF0BHY8gF9su8ye4Js-gSFA" TargetMode="External"/><Relationship Id="rId3476" Type="http://schemas.openxmlformats.org/officeDocument/2006/relationships/hyperlink" Target="https://www.google.com/url?q=http://codeforces.com/problemset/problem/1033/D&amp;sa=D&amp;ust=1605639553602000&amp;usg=AFQjCNGrl_RqZVDi_8c7qRu9Csmw_7hoNQ" TargetMode="External"/><Relationship Id="rId3683" Type="http://schemas.openxmlformats.org/officeDocument/2006/relationships/hyperlink" Target="https://www.google.com/url?q=http://agc031.contest.atcoder.jp/tasks/agc031_d&amp;sa=D&amp;ust=1605639553788000&amp;usg=AFQjCNF8SERNJslGHabRGpWknNxzOm4rzw" TargetMode="External"/><Relationship Id="rId10" Type="http://schemas.openxmlformats.org/officeDocument/2006/relationships/hyperlink" Target="https://www.google.com/url?q=https://csacademy.com/contest/round-58/task/binary-swaps/statement/&amp;sa=D&amp;ust=1605639551567000&amp;usg=AFQjCNH1Fxg4PUM7GA6qk6YetzMcMgg4aw" TargetMode="External"/><Relationship Id="rId397" Type="http://schemas.openxmlformats.org/officeDocument/2006/relationships/hyperlink" Target="https://www.google.com/url?q=https://www.hackerearth.com/problem/algorithm/make-n00b_land-great-again-circuits/description/&amp;sa=D&amp;ust=1605639551840000&amp;usg=AFQjCNFFTP0unEEA993_TZpuwQVvKGXEqA" TargetMode="External"/><Relationship Id="rId2078" Type="http://schemas.openxmlformats.org/officeDocument/2006/relationships/hyperlink" Target="https://www.google.com/url?q=https://github.com/MeGaCrazy/CompetitiveProgramming/blob/29ebad1d90e70a17ac4e646e5f049b980fb777de/UVA/UVA_12748.cpp&amp;sa=D&amp;ust=1605639552786000&amp;usg=AFQjCNFOIg8FbCGtuvRpMWAkBHbkpnxRuQ" TargetMode="External"/><Relationship Id="rId2285" Type="http://schemas.openxmlformats.org/officeDocument/2006/relationships/hyperlink" Target="https://www.google.com/url?q=https://github.com/MetalBall887/Competitive-Programming/blob/master/GoogleCodeJam/CODEJAM%252018-R2-D.cpp&amp;sa=D&amp;ust=1605639552920000&amp;usg=AFQjCNE45IjpO3D0_7UTosYrogknOFD1iA" TargetMode="External"/><Relationship Id="rId2492" Type="http://schemas.openxmlformats.org/officeDocument/2006/relationships/hyperlink" Target="https://www.google.com/url?q=https://uva.onlinejudge.org/index.php?option%3Donlinejudge%26page%3Dshow_problem%26problem%3D1400&amp;sa=D&amp;ust=1605639553027000&amp;usg=AFQjCNHTUT_JjLYuGZC5TzOqqgUOdtDR8A" TargetMode="External"/><Relationship Id="rId3129" Type="http://schemas.openxmlformats.org/officeDocument/2006/relationships/hyperlink" Target="https://www.google.com/url?q=http://codeforces.com/contest/850/problem/B&amp;sa=D&amp;ust=1605639553395000&amp;usg=AFQjCNE0imfdwrOHLgSTvgIYZSVqk_W7Og" TargetMode="External"/><Relationship Id="rId3336" Type="http://schemas.openxmlformats.org/officeDocument/2006/relationships/hyperlink" Target="https://www.google.com/url?q=https://pastebin.com/1s937M7e&amp;sa=D&amp;ust=1605639553509000&amp;usg=AFQjCNHJ2XnDkfKFfXVK27uFm-edVXE6Lg" TargetMode="External"/><Relationship Id="rId3890" Type="http://schemas.openxmlformats.org/officeDocument/2006/relationships/hyperlink" Target="https://www.google.com/url?q=http://acm.hdu.edu.cn/showproblem.php?pid%3D5381&amp;sa=D&amp;ust=1605639553914000&amp;usg=AFQjCNF4f0kUrZltNwzRnweoOFcnJjb4Nw" TargetMode="External"/><Relationship Id="rId257" Type="http://schemas.openxmlformats.org/officeDocument/2006/relationships/hyperlink" Target="https://www.google.com/url?q=http://codeforces.com/contest/161/problem/C&amp;sa=D&amp;ust=1605639551726000&amp;usg=AFQjCNFvzkeozCsIxfAzuhH5USl9dZsaPA" TargetMode="External"/><Relationship Id="rId464" Type="http://schemas.openxmlformats.org/officeDocument/2006/relationships/hyperlink" Target="https://www.google.com/url?q=http://codeforces.com/contest/381/problem/C&amp;sa=D&amp;ust=1605639551870000&amp;usg=AFQjCNHaqd1PsiskIwLF0UHLsXTRtEW-vA" TargetMode="External"/><Relationship Id="rId1094" Type="http://schemas.openxmlformats.org/officeDocument/2006/relationships/hyperlink" Target="https://www.google.com/url?q=https://codeforces.com/contest/1256/problem/E&amp;sa=D&amp;ust=1605639552173000&amp;usg=AFQjCNFg04xXRLTDGKMDNnOs61WcUV5gOg" TargetMode="External"/><Relationship Id="rId2145" Type="http://schemas.openxmlformats.org/officeDocument/2006/relationships/hyperlink" Target="https://www.google.com/url?q=http://codeforces.com/contest/1017/problem/E&amp;sa=D&amp;ust=1605639552835000&amp;usg=AFQjCNHmwSK86dIy1COqKh7NKd_XUoJ-Bg" TargetMode="External"/><Relationship Id="rId3543" Type="http://schemas.openxmlformats.org/officeDocument/2006/relationships/hyperlink" Target="https://www.google.com/url?q=http://codeforces.com/contest/202/problem/C&amp;sa=D&amp;ust=1605639553681000&amp;usg=AFQjCNF64lnZCroxTqI9VAC2pjEKNeGWFg" TargetMode="External"/><Relationship Id="rId3750" Type="http://schemas.openxmlformats.org/officeDocument/2006/relationships/hyperlink" Target="https://www.google.com/url?q=https://codingcompetitions.withgoogle.com/codejam/round/00000000000516b9/0000000000134c90&amp;sa=D&amp;ust=1605639553830000&amp;usg=AFQjCNHCpL2bhxnstK6VTI4GzGGwherf_A" TargetMode="External"/><Relationship Id="rId117" Type="http://schemas.openxmlformats.org/officeDocument/2006/relationships/hyperlink" Target="https://www.google.com/url?q=http://codeforces.com/contest/808/problem/D&amp;sa=D&amp;ust=1605639551622000&amp;usg=AFQjCNF9sDmdw_VXwCJFVD2L2KLc0A4Haw" TargetMode="External"/><Relationship Id="rId671" Type="http://schemas.openxmlformats.org/officeDocument/2006/relationships/hyperlink" Target="https://www.google.com/url?q=http://poj.org/problem?id%3D2991&amp;sa=D&amp;ust=1605639551951000&amp;usg=AFQjCNEact-J7vJ0YDlb-n3PjAvtkYatKw" TargetMode="External"/><Relationship Id="rId2352" Type="http://schemas.openxmlformats.org/officeDocument/2006/relationships/hyperlink" Target="https://www.google.com/url?q=http://codeforces.com/contest/486/problem/D&amp;sa=D&amp;ust=1605639552947000&amp;usg=AFQjCNEM81MXw_dNEzjCM4nRrMxZMR20pg" TargetMode="External"/><Relationship Id="rId3403" Type="http://schemas.openxmlformats.org/officeDocument/2006/relationships/hyperlink" Target="https://www.google.com/url?q=https://codeforces.com/contest/691/problem/F&amp;sa=D&amp;ust=1605639553555000&amp;usg=AFQjCNEBbthOntPCBcX3aC7Es7wbn3L3tA" TargetMode="External"/><Relationship Id="rId3610" Type="http://schemas.openxmlformats.org/officeDocument/2006/relationships/hyperlink" Target="https://www.google.com/url?q=https://stackoverflow.com/questions/25281005/calculating-probability-for-funprob&amp;sa=D&amp;ust=1605639553740000&amp;usg=AFQjCNHjd397eELNVN2DZNpeM4LPMbJ6bA" TargetMode="External"/><Relationship Id="rId324" Type="http://schemas.openxmlformats.org/officeDocument/2006/relationships/hyperlink" Target="https://www.google.com/url?q=http://codeforces.com/contest/911/problem/E&amp;sa=D&amp;ust=1605639551769000&amp;usg=AFQjCNFMc-vyoCyhyHsu6pAPdeD6rBgSaA" TargetMode="External"/><Relationship Id="rId531" Type="http://schemas.openxmlformats.org/officeDocument/2006/relationships/hyperlink" Target="https://www.google.com/url?q=https://github.com/shashank0107/CompetitiveProgramming/blob/master/SPOJ/SOLIT.cpp&amp;sa=D&amp;ust=1605639551900000&amp;usg=AFQjCNGhjkO7uoMnR_5pWHuLt6ZBZgwhkA" TargetMode="External"/><Relationship Id="rId1161" Type="http://schemas.openxmlformats.org/officeDocument/2006/relationships/hyperlink" Target="https://www.google.com/url?q=https://github.com/AliOsm/CompetitiveProgramming/blob/master/SPOJ/BRDGHRD%2520-%2520Building%2520Bridges(HARD).cpp&amp;sa=D&amp;ust=1605639552218000&amp;usg=AFQjCNHxz65LKdH_dsrwnCng9PBGtAeGUA" TargetMode="External"/><Relationship Id="rId2005" Type="http://schemas.openxmlformats.org/officeDocument/2006/relationships/hyperlink" Target="https://www.google.com/url?q=https://codeforces.com/contest/1096/problem/C&amp;sa=D&amp;ust=1605639552737000&amp;usg=AFQjCNFuE_A2LY6FuYiIsptsrHuSHD23dg" TargetMode="External"/><Relationship Id="rId2212" Type="http://schemas.openxmlformats.org/officeDocument/2006/relationships/hyperlink" Target="https://www.google.com/url?q=http://codeforces.com/contest/845/problem/E&amp;sa=D&amp;ust=1605639552879000&amp;usg=AFQjCNHb4QpGtVusSA2N-Il87FZVFMw79Q" TargetMode="External"/><Relationship Id="rId1021" Type="http://schemas.openxmlformats.org/officeDocument/2006/relationships/hyperlink" Target="https://www.google.com/url?q=https://github.com/peon-pasado/CompetitiveProgramming/blob/master/codeforces/CF124-D2-E.cpp&amp;sa=D&amp;ust=1605639552135000&amp;usg=AFQjCNEAM185_gwHfTzUUyWqa0lJCShA7Q" TargetMode="External"/><Relationship Id="rId1978" Type="http://schemas.openxmlformats.org/officeDocument/2006/relationships/hyperlink" Target="https://www.google.com/url?q=http://codeforces.com/contest/659/problem/D&amp;sa=D&amp;ust=1605639552720000&amp;usg=AFQjCNGc5YdV-pH83AuAqu8mB8iD1WZ9rA" TargetMode="External"/><Relationship Id="rId4177" Type="http://schemas.openxmlformats.org/officeDocument/2006/relationships/hyperlink" Target="https://www.google.com/url?q=https://github.com/3agwa/CompetitiveProgramming/blob/master/CodeForces/CF268-D2-E.cpp&amp;sa=D&amp;ust=1605639554221000&amp;usg=AFQjCNFRNz8OpE9rbqlO3YyANcoxsHTGNw" TargetMode="External"/><Relationship Id="rId4384" Type="http://schemas.openxmlformats.org/officeDocument/2006/relationships/hyperlink" Target="https://www.google.com/url?q=https://github.com/mostafa-saad/MyCompetitiveProgramming/blob/master/LiveArchive/LIVEARCHIVE_7236.txt&amp;sa=D&amp;ust=1605639554319000&amp;usg=AFQjCNFnAbbe93hqjTzGfnu7WUtWs2PHFg" TargetMode="External"/><Relationship Id="rId3193" Type="http://schemas.openxmlformats.org/officeDocument/2006/relationships/hyperlink" Target="https://www.google.com/url?q=https://www.facebook.com/hackercup/problem/432000547357525/&amp;sa=D&amp;ust=1605639553424000&amp;usg=AFQjCNE3V-ovEXa5b8K3fxhB3-hMIkUPKQ" TargetMode="External"/><Relationship Id="rId4037" Type="http://schemas.openxmlformats.org/officeDocument/2006/relationships/hyperlink" Target="https://www.google.com/url?q=http://codeforces.com/contest/137/problem/D&amp;sa=D&amp;ust=1605639554145000&amp;usg=AFQjCNF1tNnAmlf3QTJzcgKgmSciONoagA" TargetMode="External"/><Relationship Id="rId4244" Type="http://schemas.openxmlformats.org/officeDocument/2006/relationships/hyperlink" Target="https://www.google.com/url?q=https://www.codechef.com/problems/TESTERS&amp;sa=D&amp;ust=1605639554262000&amp;usg=AFQjCNE0X4bsFLb6qbzfr9PFOLonAW-BBA" TargetMode="External"/><Relationship Id="rId4451" Type="http://schemas.openxmlformats.org/officeDocument/2006/relationships/hyperlink" Target="https://www.google.com/url?q=http://uoj.ac/problem/171&amp;sa=D&amp;ust=1605639554351000&amp;usg=AFQjCNHHsUiciZUN0mDV7o4l1ce47JeDIw" TargetMode="External"/><Relationship Id="rId1838" Type="http://schemas.openxmlformats.org/officeDocument/2006/relationships/hyperlink" Target="https://www.google.com/url?q=https://www.codechef.com/problems/BIGPIZA&amp;sa=D&amp;ust=1605639552635000&amp;usg=AFQjCNHN1-4vSCG0oHEJas5qxgnB_NRWMg" TargetMode="External"/><Relationship Id="rId3053" Type="http://schemas.openxmlformats.org/officeDocument/2006/relationships/hyperlink" Target="https://www.google.com/url?q=http://codeforces.com/contest/916/problem/E&amp;sa=D&amp;ust=1605639553352000&amp;usg=AFQjCNHV4vbXnZxmtL2adMS77V0qZAxYZQ" TargetMode="External"/><Relationship Id="rId3260" Type="http://schemas.openxmlformats.org/officeDocument/2006/relationships/hyperlink" Target="https://www.google.com/url?q=https://www.codechef.com/problems/GRIDTOUR&amp;sa=D&amp;ust=1605639553460000&amp;usg=AFQjCNGNwqICClS9isHSNK7QXz91ASJGdw" TargetMode="External"/><Relationship Id="rId4104" Type="http://schemas.openxmlformats.org/officeDocument/2006/relationships/hyperlink" Target="https://www.google.com/url?q=https://open.kattis.com/problems/coast&amp;sa=D&amp;ust=1605639554179000&amp;usg=AFQjCNHTQpBNWHYotZ8WfYSfY_xtD9b9Ww" TargetMode="External"/><Relationship Id="rId4311" Type="http://schemas.openxmlformats.org/officeDocument/2006/relationships/hyperlink" Target="https://www.google.com/url?q=http://codeforces.com/contest/13/problem/E&amp;sa=D&amp;ust=1605639554289000&amp;usg=AFQjCNENyQsobKIaY1_3oUHLILuhYwMIJA" TargetMode="External"/><Relationship Id="rId181" Type="http://schemas.openxmlformats.org/officeDocument/2006/relationships/hyperlink" Target="https://www.google.com/url?q=http://codeforces.com/contest/365/problem/E&amp;sa=D&amp;ust=1605639551665000&amp;usg=AFQjCNGJrmuoQHJSPQ5lyHlTYpS0s1yzHg" TargetMode="External"/><Relationship Id="rId1905" Type="http://schemas.openxmlformats.org/officeDocument/2006/relationships/hyperlink" Target="https://www.google.com/url?q=https://codeforces.com/contest/1159/problem/F&amp;sa=D&amp;ust=1605639552675000&amp;usg=AFQjCNG1PNkBP7M7g6oPNtSPcfAxhILcyg" TargetMode="External"/><Relationship Id="rId3120" Type="http://schemas.openxmlformats.org/officeDocument/2006/relationships/hyperlink" Target="https://www.google.com/url?q=http://codeforces.com/contest/641/problem/D&amp;sa=D&amp;ust=1605639553387000&amp;usg=AFQjCNGKaI3JlM3rL1ooFhf6ht4G3r6ulQ" TargetMode="External"/><Relationship Id="rId998" Type="http://schemas.openxmlformats.org/officeDocument/2006/relationships/hyperlink" Target="https://www.google.com/url?q=https://www.facebook.com/hackercup/problem/271442536778669/&amp;sa=D&amp;ust=1605639552123000&amp;usg=AFQjCNEh51Y9YG4PJ27SeaNLWRo3y9T5ng" TargetMode="External"/><Relationship Id="rId2679" Type="http://schemas.openxmlformats.org/officeDocument/2006/relationships/hyperlink" Target="https://www.google.com/url?q=http://codeforces.com/contest/160/problem/D&amp;sa=D&amp;ust=1605639553137000&amp;usg=AFQjCNGcXAEoxvni8r_F9Qo7_UIkZfMoAw" TargetMode="External"/><Relationship Id="rId2886" Type="http://schemas.openxmlformats.org/officeDocument/2006/relationships/hyperlink" Target="https://www.google.com/url?q=https://github.com/mostafa-saad/MyCompetitiveProgramming/blob/master/UVA/UVA_11159.txt&amp;sa=D&amp;ust=1605639553256000&amp;usg=AFQjCNEnTIJfPxaNF0L5i-qRBpv6gS_2Bg" TargetMode="External"/><Relationship Id="rId3937" Type="http://schemas.openxmlformats.org/officeDocument/2006/relationships/hyperlink" Target="https://www.google.com/url?q=http://codeforces.com/contest/435/problem/D&amp;sa=D&amp;ust=1605639553938000&amp;usg=AFQjCNGwnuDLsMjjJVM45GgogyowiP6gQA" TargetMode="External"/><Relationship Id="rId858" Type="http://schemas.openxmlformats.org/officeDocument/2006/relationships/hyperlink" Target="https://www.google.com/url?q=http://codeforces.com/contest/610/problem/D&amp;sa=D&amp;ust=1605639552043000&amp;usg=AFQjCNH9_90nQx0WL0ij-G8wAh6xLedYFQ" TargetMode="External"/><Relationship Id="rId1488" Type="http://schemas.openxmlformats.org/officeDocument/2006/relationships/hyperlink" Target="https://www.google.com/url?q=https://github.com/mostafa-saad/MyCompetitiveProgramming/blob/master/PKU/PKU_2096.txt&amp;sa=D&amp;ust=1605639552437000&amp;usg=AFQjCNGMUx0ZR0gr0Zn1yFbAGz_-trmPxQ" TargetMode="External"/><Relationship Id="rId1695" Type="http://schemas.openxmlformats.org/officeDocument/2006/relationships/hyperlink" Target="https://www.google.com/url?q=http://codeforces.com/contest/384/problem/C&amp;sa=D&amp;ust=1605639552557000&amp;usg=AFQjCNFXrJfi8ieggRndCdakibBzd4BalQ" TargetMode="External"/><Relationship Id="rId2539" Type="http://schemas.openxmlformats.org/officeDocument/2006/relationships/hyperlink" Target="https://www.google.com/url?q=https://github.com/goswami-rahul/competitive-coding/blob/master/CompetitiveProgramming/spoj/CAC.cpp&amp;sa=D&amp;ust=1605639553055000&amp;usg=AFQjCNE4bZgU77UiTE2pLmcLsgGM726xVA" TargetMode="External"/><Relationship Id="rId2746" Type="http://schemas.openxmlformats.org/officeDocument/2006/relationships/hyperlink" Target="https://www.google.com/url?q=https://github.com/WaleedAbdelhakim/Competitive-Programming/blob/master/CodeForces/CF21-D12-D.cpp&amp;sa=D&amp;ust=1605639553172000&amp;usg=AFQjCNFHWJ7n2HvUjRv1sDf1ntWw9jpP-g" TargetMode="External"/><Relationship Id="rId2953" Type="http://schemas.openxmlformats.org/officeDocument/2006/relationships/hyperlink" Target="https://www.google.com/url?q=https://github.com/YazanZebak/CompetitiveProgramming/blob/master/Codeforces/CF102021-GYM-M.cpp&amp;sa=D&amp;ust=1605639553292000&amp;usg=AFQjCNGJq4j9ZWquMX3oNH5JfwMIOQxxCQ" TargetMode="External"/><Relationship Id="rId718" Type="http://schemas.openxmlformats.org/officeDocument/2006/relationships/hyperlink" Target="https://www.google.com/url?q=http://codeforces.com/contest/242/problem/E&amp;sa=D&amp;ust=1605639551972000&amp;usg=AFQjCNGnjJBA6i5PkEQm95OlwR2SDs66Mg" TargetMode="External"/><Relationship Id="rId925" Type="http://schemas.openxmlformats.org/officeDocument/2006/relationships/hyperlink" Target="https://www.google.com/url?q=http://codeforces.com/contest/58/problem/E&amp;sa=D&amp;ust=1605639552085000&amp;usg=AFQjCNGszz0TEZFFhO8rTMwZGLRdu_84Cw" TargetMode="External"/><Relationship Id="rId1348" Type="http://schemas.openxmlformats.org/officeDocument/2006/relationships/hyperlink" Target="https://www.google.com/url?q=https://agc013.contest.atcoder.jp/tasks/agc013_e&amp;sa=D&amp;ust=1605639552346000&amp;usg=AFQjCNFxsSB_l5fRzoIRT_CCGB0-7luKqg" TargetMode="External"/><Relationship Id="rId1555" Type="http://schemas.openxmlformats.org/officeDocument/2006/relationships/hyperlink" Target="https://www.google.com/url?q=https://codeforces.com/contest/867/problem/E&amp;sa=D&amp;ust=1605639552478000&amp;usg=AFQjCNELPUshgvt-6rlyQ-Pqwuu91uSYPw" TargetMode="External"/><Relationship Id="rId1762" Type="http://schemas.openxmlformats.org/officeDocument/2006/relationships/hyperlink" Target="https://www.google.com/url?q=http://codeforces.com/contest/140/problem/C&amp;sa=D&amp;ust=1605639552594000&amp;usg=AFQjCNEfvJO0F_S-cf4UmWtfePHTNOZUoQ" TargetMode="External"/><Relationship Id="rId2606" Type="http://schemas.openxmlformats.org/officeDocument/2006/relationships/hyperlink" Target="https://www.google.com/url?q=http://codeforces.com/contest/360/problem/E&amp;sa=D&amp;ust=1605639553096000&amp;usg=AFQjCNEmmUdw6ETM3jNFD_Nqzm3CNhUUpQ" TargetMode="External"/><Relationship Id="rId1208" Type="http://schemas.openxmlformats.org/officeDocument/2006/relationships/hyperlink" Target="https://www.google.com/url?q=http://www.spoj.com/problems/TRT/&amp;sa=D&amp;ust=1605639552252000&amp;usg=AFQjCNEyd-JJkdfprpttwdqQHQiVacBahQ" TargetMode="External"/><Relationship Id="rId1415" Type="http://schemas.openxmlformats.org/officeDocument/2006/relationships/hyperlink" Target="https://www.google.com/url?q=http://codeforces.com/contest/148/problem/D&amp;sa=D&amp;ust=1605639552393000&amp;usg=AFQjCNFXcTiVWl1Cr-9fzKDxPxxUUzdMNw" TargetMode="External"/><Relationship Id="rId2813" Type="http://schemas.openxmlformats.org/officeDocument/2006/relationships/hyperlink" Target="https://www.google.com/url?q=https://www.codechef.com/problems/GNUM&amp;sa=D&amp;ust=1605639553218000&amp;usg=AFQjCNH-rcB3Em_R-3QKKSTVWMpvF7CfCw" TargetMode="External"/><Relationship Id="rId54" Type="http://schemas.openxmlformats.org/officeDocument/2006/relationships/hyperlink" Target="https://www.google.com/url?q=https://github.com/mostafa-saad/MyCompetitiveProgramming/blob/master/Codeforces/CF124-D2-D.txt&amp;sa=D&amp;ust=1605639551584000&amp;usg=AFQjCNEfloqqDcEoSwCraHp83965u7O_sA" TargetMode="External"/><Relationship Id="rId1622" Type="http://schemas.openxmlformats.org/officeDocument/2006/relationships/hyperlink" Target="https://www.google.com/url?q=https://ideone.com/AwNNMM&amp;sa=D&amp;ust=1605639552514000&amp;usg=AFQjCNHdXuEANVDDwG5G-SoDffnzyzoNfg" TargetMode="External"/><Relationship Id="rId2189" Type="http://schemas.openxmlformats.org/officeDocument/2006/relationships/hyperlink" Target="https://www.google.com/url?q=https://github.com/mostafa-saad/MyCompetitiveProgramming/blob/master/Codeforces/CF101484-GYM-E.txt&amp;sa=D&amp;ust=1605639552862000&amp;usg=AFQjCNHqyfm4MmBOKhESRHrf-8VP3IVJzg" TargetMode="External"/><Relationship Id="rId3587" Type="http://schemas.openxmlformats.org/officeDocument/2006/relationships/hyperlink" Target="https://www.google.com/url?q=http://codeforces.com/problemset/problem/832/E&amp;sa=D&amp;ust=1605639553720000&amp;usg=AFQjCNE0o8C7sXQNzTVxOfOjSrwAXucncA" TargetMode="External"/><Relationship Id="rId3794" Type="http://schemas.openxmlformats.org/officeDocument/2006/relationships/hyperlink" Target="https://www.google.com/url?q=http://www.spoj.com/problems/PERIOD/&amp;sa=D&amp;ust=1605639553857000&amp;usg=AFQjCNEkSrScciBL6Nhr5fDvHxo8xtJfrA" TargetMode="External"/><Relationship Id="rId2396" Type="http://schemas.openxmlformats.org/officeDocument/2006/relationships/hyperlink" Target="https://www.google.com/url?q=https://codeforces.com/gym/102394&amp;sa=D&amp;ust=1605639552966000&amp;usg=AFQjCNGVVos_D1i8n1svIp_S2KNgNdyYig" TargetMode="External"/><Relationship Id="rId3447" Type="http://schemas.openxmlformats.org/officeDocument/2006/relationships/hyperlink" Target="https://www.google.com/url?q=https://community.topcoder.com/stat?c%3Dproblem_statement%26pm%3D2321&amp;sa=D&amp;ust=1605639553581000&amp;usg=AFQjCNGeSqANA4tGrzTZUdFoZLKisVhFXA" TargetMode="External"/><Relationship Id="rId3654" Type="http://schemas.openxmlformats.org/officeDocument/2006/relationships/hyperlink" Target="https://www.google.com/url?q=http://www.spoj.com/problems/PSYCHON/&amp;sa=D&amp;ust=1605639553765000&amp;usg=AFQjCNHWovERRLEA6pE1xJzx2JoHtI9Wsw" TargetMode="External"/><Relationship Id="rId3861" Type="http://schemas.openxmlformats.org/officeDocument/2006/relationships/hyperlink" Target="https://www.google.com/url?q=https://codeforces.com/contest/1200/problem/E&amp;sa=D&amp;ust=1605639553896000&amp;usg=AFQjCNF_rSIvNygNRjRDizA0dbrYX9jBGA" TargetMode="External"/><Relationship Id="rId368" Type="http://schemas.openxmlformats.org/officeDocument/2006/relationships/hyperlink" Target="https://www.google.com/url?q=https://codingcompetitions.withgoogle.com/codejam/round/0000000000051635/0000000000104e03&amp;sa=D&amp;ust=1605639551805000&amp;usg=AFQjCNEFJG7NBoKGWmZ9-fRr0EJqTwCIQA" TargetMode="External"/><Relationship Id="rId575" Type="http://schemas.openxmlformats.org/officeDocument/2006/relationships/hyperlink" Target="https://www.google.com/url?q=http://codeforces.com/contest/220/problem/E&amp;sa=D&amp;ust=1605639551917000&amp;usg=AFQjCNHUh_rU2tlPG8uQms9awQylAyozOA" TargetMode="External"/><Relationship Id="rId782" Type="http://schemas.openxmlformats.org/officeDocument/2006/relationships/hyperlink" Target="https://www.google.com/url?q=https://uva.onlinejudge.org/index.php?option%3Dcom_onlinejudge%26Itemid%3D8%26page%3Dshow_problem%26problem%3D2397&amp;sa=D&amp;ust=1605639552003000&amp;usg=AFQjCNFIg2mTNMsc-hB6neQ5Q4XAr_7fWQ" TargetMode="External"/><Relationship Id="rId2049" Type="http://schemas.openxmlformats.org/officeDocument/2006/relationships/hyperlink" Target="https://www.google.com/url?q=https://github.com/mostafa-saad/MyCompetitiveProgramming/blob/master/UVA/UVA_10136.txt&amp;sa=D&amp;ust=1605639552772000&amp;usg=AFQjCNGaEYh_WQkFE3sRxcasTsVcW6TR5w" TargetMode="External"/><Relationship Id="rId2256" Type="http://schemas.openxmlformats.org/officeDocument/2006/relationships/hyperlink" Target="https://www.google.com/url?q=http://codeforces.com/contest/528/problem/C&amp;sa=D&amp;ust=1605639552906000&amp;usg=AFQjCNEE69GZEugJRZLRgJ8_pa9rOiywUg" TargetMode="External"/><Relationship Id="rId2463" Type="http://schemas.openxmlformats.org/officeDocument/2006/relationships/hyperlink" Target="https://www.google.com/url?q=http://codeforces.com/contest/489/problem/D&amp;sa=D&amp;ust=1605639553003000&amp;usg=AFQjCNFLNsvkapl1zsIOqjDwwfWvp6N8kA" TargetMode="External"/><Relationship Id="rId2670" Type="http://schemas.openxmlformats.org/officeDocument/2006/relationships/hyperlink" Target="https://www.google.com/url?q=https://codeforces.com/contest/1166/problem/F&amp;sa=D&amp;ust=1605639553133000&amp;usg=AFQjCNGkhRKRRXKGAcEtRSMLetlX17ga4g" TargetMode="External"/><Relationship Id="rId3307" Type="http://schemas.openxmlformats.org/officeDocument/2006/relationships/hyperlink" Target="https://www.google.com/url?q=https://onlinejudge.org/index.php?option%3Donlinejudge%26page%3Dshow_problem%26problem%3D1568&amp;sa=D&amp;ust=1605639553485000&amp;usg=AFQjCNGZ6twprGzcP4bZHdgW-_m8w-ms2Q" TargetMode="External"/><Relationship Id="rId3514" Type="http://schemas.openxmlformats.org/officeDocument/2006/relationships/hyperlink" Target="https://www.google.com/url?q=http://codeforces.com/problemset/problem/547/C&amp;sa=D&amp;ust=1605639553634000&amp;usg=AFQjCNHHJGSzA-DvJ38VR3wjuS49feLiyA" TargetMode="External"/><Relationship Id="rId3721" Type="http://schemas.openxmlformats.org/officeDocument/2006/relationships/hyperlink" Target="https://www.google.com/url?q=https://www.quora.com/What-is-the-algorithm-behind-the-LCM-Sum-problem-on-SPOJ&amp;sa=D&amp;ust=1605639553811000&amp;usg=AFQjCNHoTTatrtrcBXTf_JTEM0Viv1tEVw" TargetMode="External"/><Relationship Id="rId228" Type="http://schemas.openxmlformats.org/officeDocument/2006/relationships/hyperlink" Target="https://www.google.com/url?q=http://codeforces.com/contest/63/problem/C&amp;sa=D&amp;ust=1605639551698000&amp;usg=AFQjCNHSU6BREmLj-ZT3OvxIb9dxKrGbtQ" TargetMode="External"/><Relationship Id="rId435" Type="http://schemas.openxmlformats.org/officeDocument/2006/relationships/hyperlink" Target="https://www.google.com/url?q=http://codeforces.com/contest/750/problem/C&amp;sa=D&amp;ust=1605639551858000&amp;usg=AFQjCNESS1kAZ5saVuut0hgH2yWz_WAS4w" TargetMode="External"/><Relationship Id="rId642" Type="http://schemas.openxmlformats.org/officeDocument/2006/relationships/hyperlink" Target="https://www.google.com/url?q=http://codeforces.com/contest/719/problem/E&amp;sa=D&amp;ust=1605639551939000&amp;usg=AFQjCNEeNW6-7X-04Z_SLtIbF_G4S2nizA" TargetMode="External"/><Relationship Id="rId1065" Type="http://schemas.openxmlformats.org/officeDocument/2006/relationships/hyperlink" Target="https://www.google.com/url?q=https://www.codechef.com/problems/MKSTR&amp;sa=D&amp;ust=1605639552159000&amp;usg=AFQjCNHCzEbzSSkgCu7fyFGf_5W8uWoYAQ" TargetMode="External"/><Relationship Id="rId1272" Type="http://schemas.openxmlformats.org/officeDocument/2006/relationships/hyperlink" Target="https://www.google.com/url?q=http://codeforces.com/contest/813/problem/D&amp;sa=D&amp;ust=1605639552301000&amp;usg=AFQjCNEHJ33acS1wBZ-idSDtQkP2NbPNgg" TargetMode="External"/><Relationship Id="rId2116" Type="http://schemas.openxmlformats.org/officeDocument/2006/relationships/hyperlink" Target="https://www.google.com/url?q=https://www.hackerrank.com/challenges/jim-beam&amp;sa=D&amp;ust=1605639552811000&amp;usg=AFQjCNFi9tiolE7az78ut8_HaN7nWDYTTA" TargetMode="External"/><Relationship Id="rId2323" Type="http://schemas.openxmlformats.org/officeDocument/2006/relationships/hyperlink" Target="https://www.google.com/url?q=http://codeforces.com/contest/769/problem/C&amp;sa=D&amp;ust=1605639552937000&amp;usg=AFQjCNFBlFoBQCVuZJy9AVcstdwPk9v2Iw" TargetMode="External"/><Relationship Id="rId2530" Type="http://schemas.openxmlformats.org/officeDocument/2006/relationships/hyperlink" Target="https://www.google.com/url?q=https://github.com/mostafa-saad/MyCompetitiveProgramming/blob/master/UVA/UVA_529.txt&amp;sa=D&amp;ust=1605639553049000&amp;usg=AFQjCNFriCyzuM5dLXdu7AC9Ym3oa1RhhQ" TargetMode="External"/><Relationship Id="rId502" Type="http://schemas.openxmlformats.org/officeDocument/2006/relationships/hyperlink" Target="https://www.google.com/url?q=https://github.com/marinvhs/coding/blob/master/uva/Volume%2520CXVII/11702.cpp&amp;sa=D&amp;ust=1605639551887000&amp;usg=AFQjCNFKNelnNO5WvtECfziOPop4HRv3nA" TargetMode="External"/><Relationship Id="rId1132" Type="http://schemas.openxmlformats.org/officeDocument/2006/relationships/hyperlink" Target="https://www.google.com/url?q=https://github.com/Coder-Boy1/UVA/blob/master/10690&amp;sa=D&amp;ust=1605639552197000&amp;usg=AFQjCNFd1CjefLed3b7kRQFbm5l1h_Yc4A" TargetMode="External"/><Relationship Id="rId4288" Type="http://schemas.openxmlformats.org/officeDocument/2006/relationships/hyperlink" Target="https://www.google.com/url?q=https://www.hackerearth.com/practice/algorithms/graphs/depth-first-search/practice-problems/algorithm/the-grass-type/&amp;sa=D&amp;ust=1605639554280000&amp;usg=AFQjCNFxnSL9PJpbFUsYKiNnrT7Rz8Wp7Q" TargetMode="External"/><Relationship Id="rId3097" Type="http://schemas.openxmlformats.org/officeDocument/2006/relationships/hyperlink" Target="https://www.google.com/url?q=http://codeforces.com/contest/243/problem/C&amp;sa=D&amp;ust=1605639553373000&amp;usg=AFQjCNEgoi0dG9NjocP1CSTlTUfps-1_2A" TargetMode="External"/><Relationship Id="rId4148" Type="http://schemas.openxmlformats.org/officeDocument/2006/relationships/hyperlink" Target="https://www.google.com/url?q=https://www.facebook.com/hackercup/problem/448364075989193/&amp;sa=D&amp;ust=1605639554206000&amp;usg=AFQjCNHCIAKTYhMOuytmJ0qc4E6aK9lznQ" TargetMode="External"/><Relationship Id="rId4355" Type="http://schemas.openxmlformats.org/officeDocument/2006/relationships/hyperlink" Target="https://www.google.com/url?q=https://codeforces.com/contest/1208/problem/F&amp;sa=D&amp;ust=1605639554307000&amp;usg=AFQjCNFPtHneJUl16gqF0GtuH63WRGwTrw" TargetMode="External"/><Relationship Id="rId1949" Type="http://schemas.openxmlformats.org/officeDocument/2006/relationships/hyperlink" Target="https://www.google.com/url?q=https://github.com/mostafa-saad/MyCompetitiveProgramming/blob/master/Codeforces/CF101177-GYM-D.txt&amp;sa=D&amp;ust=1605639552706000&amp;usg=AFQjCNFstmoljp07-QKfknh8ssts_tsgkg" TargetMode="External"/><Relationship Id="rId3164" Type="http://schemas.openxmlformats.org/officeDocument/2006/relationships/hyperlink" Target="https://www.google.com/url?q=http://codeforces.com/contest/185/problem/B&amp;sa=D&amp;ust=1605639553412000&amp;usg=AFQjCNFiPh-YyL_LzXSW-mAvVZV23PetmA" TargetMode="External"/><Relationship Id="rId4008" Type="http://schemas.openxmlformats.org/officeDocument/2006/relationships/hyperlink" Target="https://www.google.com/url?q=http://codeforces.com/contest/368/problem/D&amp;sa=D&amp;ust=1605639554130000&amp;usg=AFQjCNH-raN1mT0idBEokd4N1xTLN6V5_Q" TargetMode="External"/><Relationship Id="rId292" Type="http://schemas.openxmlformats.org/officeDocument/2006/relationships/hyperlink" Target="https://www.google.com/url?q=https://codeforces.com/contest/875/problem/D&amp;sa=D&amp;ust=1605639551753000&amp;usg=AFQjCNF6BzPt_q8nXP9RkkyGmlhTMcoEFw" TargetMode="External"/><Relationship Id="rId1809" Type="http://schemas.openxmlformats.org/officeDocument/2006/relationships/hyperlink" Target="https://www.google.com/url?q=https://github.com/MedoN11/CompetitiveProgramming/blob/master/CodeForces/GYM/CF10149-GYM-I.cpp&amp;sa=D&amp;ust=1605639552618000&amp;usg=AFQjCNHqEHqt4gZnKQsjuwFxP351pZvDUQ" TargetMode="External"/><Relationship Id="rId3371" Type="http://schemas.openxmlformats.org/officeDocument/2006/relationships/hyperlink" Target="https://www.google.com/url?q=http://codeforces.com/contest/227/problem/C&amp;sa=D&amp;ust=1605639553534000&amp;usg=AFQjCNHWJPmocEGbCzfhrNfpUClg__3jYg" TargetMode="External"/><Relationship Id="rId4215" Type="http://schemas.openxmlformats.org/officeDocument/2006/relationships/hyperlink" Target="https://www.google.com/url?q=https://www.codechef.com/problems/MONOPLOY&amp;sa=D&amp;ust=1605639554249000&amp;usg=AFQjCNHVvyHG2sivzfbE8wIsObner3gZ2w" TargetMode="External"/><Relationship Id="rId4422" Type="http://schemas.openxmlformats.org/officeDocument/2006/relationships/hyperlink" Target="https://www.google.com/url?q=https://github.com/abdullaAshraf/Problem-Solving/blob/master/SPOJ/PT07X.cpp&amp;sa=D&amp;ust=1605639554338000&amp;usg=AFQjCNGo5NcrzWyGjrWAGKIjmkIK9Ng0rQ" TargetMode="External"/><Relationship Id="rId2180" Type="http://schemas.openxmlformats.org/officeDocument/2006/relationships/hyperlink" Target="https://www.google.com/url?q=https://github.com/dasannagariraja/CompetitiveProgramming/blob/master/SPOJ/SPOJ%2520SPOINTS.cpp&amp;sa=D&amp;ust=1605639552857000&amp;usg=AFQjCNHrpvF0fvJ3BENcFGkmCqRtUr6GqA" TargetMode="External"/><Relationship Id="rId3024" Type="http://schemas.openxmlformats.org/officeDocument/2006/relationships/hyperlink" Target="https://www.google.com/url?q=https://github.com/3agwa/CompetitiveProgramming/blob/master/LiveArchive/LIVEARCHIVE%25204185.cpp&amp;sa=D&amp;ust=1605639553334000&amp;usg=AFQjCNHQ1mlq9cay0z0XiWhU6vev2ASNeQ" TargetMode="External"/><Relationship Id="rId3231" Type="http://schemas.openxmlformats.org/officeDocument/2006/relationships/hyperlink" Target="https://www.google.com/url?q=https://ideone.com/Rgvbck&amp;sa=D&amp;ust=1605639553442000&amp;usg=AFQjCNHGURhGVy4_EykYYStvvzuoJgJhIA" TargetMode="External"/><Relationship Id="rId152" Type="http://schemas.openxmlformats.org/officeDocument/2006/relationships/hyperlink" Target="https://www.google.com/url?q=https://github.com/MedoN11/CompetitiveProgramming/blob/master/CodeForces/CF450-D2-C.cpp&amp;sa=D&amp;ust=1605639551642000&amp;usg=AFQjCNE3nH4URBLDvhXJ5xx_UcX8k6CU9A" TargetMode="External"/><Relationship Id="rId2040" Type="http://schemas.openxmlformats.org/officeDocument/2006/relationships/hyperlink" Target="https://www.google.com/url?q=https://github.com/arvindr9/CompetitiveProgramming/blob/master/UVA/UVA%2520313.cpp&amp;sa=D&amp;ust=1605639552762000&amp;usg=AFQjCNFcfus5WuS0uEvlJ1rU1Iobgg1gTA" TargetMode="External"/><Relationship Id="rId2997" Type="http://schemas.openxmlformats.org/officeDocument/2006/relationships/hyperlink" Target="https://www.google.com/url?q=http://codeforces.com/contest/427/problem/C&amp;sa=D&amp;ust=1605639553318000&amp;usg=AFQjCNGJsje87JsamMjU9uG9YafhdZt-tg" TargetMode="External"/><Relationship Id="rId969" Type="http://schemas.openxmlformats.org/officeDocument/2006/relationships/hyperlink" Target="https://www.google.com/url?q=http://codeforces.com/contest/178/problem/F3&amp;sa=D&amp;ust=1605639552110000&amp;usg=AFQjCNHrdn-EsKzuzCAVvWfBi_9lrorHEg" TargetMode="External"/><Relationship Id="rId1599" Type="http://schemas.openxmlformats.org/officeDocument/2006/relationships/hyperlink" Target="https://www.google.com/url?q=http://codeforces.com/contest/1023/problem/E&amp;sa=D&amp;ust=1605639552502000&amp;usg=AFQjCNFH3JW_UXaWzZfKIvaJS28xt2jveg" TargetMode="External"/><Relationship Id="rId1459" Type="http://schemas.openxmlformats.org/officeDocument/2006/relationships/hyperlink" Target="https://www.google.com/url?q=https://github.com/AliOsm/CompetitiveProgramming/blob/master/UVA/10759%2520-%2520Dice%2520Throwing.cpp&amp;sa=D&amp;ust=1605639552420000&amp;usg=AFQjCNFyj-QG2_lfNOazYTfxqpaqWz8kYA" TargetMode="External"/><Relationship Id="rId2857" Type="http://schemas.openxmlformats.org/officeDocument/2006/relationships/hyperlink" Target="https://www.google.com/url?q=https://github.com/mostafa-saad/MyCompetitiveProgramming/blob/master/UVA/UVA_10735.txt&amp;sa=D&amp;ust=1605639553240000&amp;usg=AFQjCNHnng902X1Xy15D5bjzizA-sGqYRQ" TargetMode="External"/><Relationship Id="rId3908" Type="http://schemas.openxmlformats.org/officeDocument/2006/relationships/hyperlink" Target="https://www.google.com/url?q=https://www.hackerearth.com/problem/algorithm/substrings-count-3/&amp;sa=D&amp;ust=1605639553922000&amp;usg=AFQjCNGNAX18g0vHcHN-w6F8Yul-uW7BCw" TargetMode="External"/><Relationship Id="rId4072" Type="http://schemas.openxmlformats.org/officeDocument/2006/relationships/hyperlink" Target="https://www.google.com/url?q=https://github.com/Huvok/CompetitiveProgramming/blob/master/Topcoder/SRM741-D1-250.cpp&amp;sa=D&amp;ust=1605639554160000&amp;usg=AFQjCNEmjTvRlgNf2kWfS0f61QP4K9YDxQ" TargetMode="External"/><Relationship Id="rId98" Type="http://schemas.openxmlformats.org/officeDocument/2006/relationships/hyperlink" Target="https://www.google.com/url?q=http://codeforces.com/problemset/gymProblem/100812/B&amp;sa=D&amp;ust=1605639551610000&amp;usg=AFQjCNE-vkQ_r0JjRKQmlHi9hRQmqkxJwA" TargetMode="External"/><Relationship Id="rId829" Type="http://schemas.openxmlformats.org/officeDocument/2006/relationships/hyperlink" Target="https://www.google.com/url?q=https://www.codechef.com/problems/TEMPQUE&amp;sa=D&amp;ust=1605639552029000&amp;usg=AFQjCNGJ84rVwz5tjd7KLGI2C7tvR-6mEQ" TargetMode="External"/><Relationship Id="rId1666" Type="http://schemas.openxmlformats.org/officeDocument/2006/relationships/hyperlink" Target="https://www.google.com/url?q=http://codeforces.com/contest/978/problem/G&amp;sa=D&amp;ust=1605639552538000&amp;usg=AFQjCNGIkDwQAfcDo_FBZL7jAADyQ-ZAEQ" TargetMode="External"/><Relationship Id="rId1873" Type="http://schemas.openxmlformats.org/officeDocument/2006/relationships/hyperlink" Target="https://www.google.com/url?q=https://blog.csdn.net/accelerator_/article/details/37881301&amp;sa=D&amp;ust=1605639552649000&amp;usg=AFQjCNFGWgBNPYNP7Yya7JuA9gciH_yy6w" TargetMode="External"/><Relationship Id="rId2717" Type="http://schemas.openxmlformats.org/officeDocument/2006/relationships/hyperlink" Target="https://www.google.com/url?q=https://uva.onlinejudge.org/index.php?option%3Donlinejudge%26page%3Dshow_problem%26problem%3D1626&amp;sa=D&amp;ust=1605639553155000&amp;usg=AFQjCNGY_NxViHmthP44LoZICzWHQ_0Hlw" TargetMode="External"/><Relationship Id="rId2924" Type="http://schemas.openxmlformats.org/officeDocument/2006/relationships/hyperlink" Target="https://www.google.com/url?q=https://csacademy.com/contest/round-82/task/water-supply/&amp;sa=D&amp;ust=1605639553280000&amp;usg=AFQjCNHfZ77Kd7Tvu8SkFK0IroJNfj5uFw" TargetMode="External"/><Relationship Id="rId1319" Type="http://schemas.openxmlformats.org/officeDocument/2006/relationships/hyperlink" Target="https://www.google.com/url?q=https://github.com/HosamEissa/Competitive-programming-/blob/master/Codeforces/CF101484-GYM-K.cpp&amp;sa=D&amp;ust=1605639552326000&amp;usg=AFQjCNHWC3cj6wFQ9S2_4e2uk4BsmOijQg" TargetMode="External"/><Relationship Id="rId1526" Type="http://schemas.openxmlformats.org/officeDocument/2006/relationships/hyperlink" Target="https://www.google.com/url?q=https://atcoder.jp/contests/agc037/tasks/agc037_e&amp;sa=D&amp;ust=1605639552461000&amp;usg=AFQjCNGj5oTB7-rnwtuRU1RkpGIsP2NyDQ" TargetMode="External"/><Relationship Id="rId1733" Type="http://schemas.openxmlformats.org/officeDocument/2006/relationships/hyperlink" Target="https://www.google.com/url?q=http://codeforces.com/contest/116/problem/D&amp;sa=D&amp;ust=1605639552577000&amp;usg=AFQjCNFxrsGuwo7epzAVYJfmohaKb_uAlA" TargetMode="External"/><Relationship Id="rId1940" Type="http://schemas.openxmlformats.org/officeDocument/2006/relationships/hyperlink" Target="https://www.google.com/url?q=https://github.com/AhmedElsisy/CompetitiveProgramming/blob/master/Codeforces/CF100112-GYM-E.cpp&amp;sa=D&amp;ust=1605639552704000&amp;usg=AFQjCNHrPmkk9h0Lk6B-vYjqku0kW-hjLA" TargetMode="External"/><Relationship Id="rId25" Type="http://schemas.openxmlformats.org/officeDocument/2006/relationships/hyperlink" Target="https://www.google.com/url?q=http://codeforces.com/contest/909/problem/F&amp;sa=D&amp;ust=1605639551573000&amp;usg=AFQjCNGySAMdPsYm6XOXfnXzXuk60fM93A" TargetMode="External"/><Relationship Id="rId1800" Type="http://schemas.openxmlformats.org/officeDocument/2006/relationships/hyperlink" Target="https://www.google.com/url?q=http://codeforces.com/contest/36/problem/D&amp;sa=D&amp;ust=1605639552613000&amp;usg=AFQjCNH33OJp8QAMWhjJYzJwS2Ohg-lpJQ" TargetMode="External"/><Relationship Id="rId3698" Type="http://schemas.openxmlformats.org/officeDocument/2006/relationships/hyperlink" Target="https://www.google.com/url?q=http://codeforces.com/contest/816/problem/D&amp;sa=D&amp;ust=1605639553796000&amp;usg=AFQjCNF2QwOXo1GcRmI5mwHHHjvn5h2pmg" TargetMode="External"/><Relationship Id="rId3558" Type="http://schemas.openxmlformats.org/officeDocument/2006/relationships/hyperlink" Target="https://www.google.com/url?q=https://github.com/mostafa-saad/MyCompetitiveProgramming/blob/master/SPOJ/SPOJ_PLHOP.txt&amp;sa=D&amp;ust=1605639553693000&amp;usg=AFQjCNG_PzkPOeC76f0yZ2DAHbsxfmNF7g" TargetMode="External"/><Relationship Id="rId3765" Type="http://schemas.openxmlformats.org/officeDocument/2006/relationships/hyperlink" Target="https://www.google.com/url?q=https://codingcompetitions.withgoogle.com/codejam/round/0000000000051635/0000000000104e05&amp;sa=D&amp;ust=1605639553839000&amp;usg=AFQjCNEz9WbDQu4bWsaByMA2bu8b035gTA" TargetMode="External"/><Relationship Id="rId3972" Type="http://schemas.openxmlformats.org/officeDocument/2006/relationships/hyperlink" Target="https://www.google.com/url?q=http://codeforces.com/contest/282/problem/C&amp;sa=D&amp;ust=1605639553955000&amp;usg=AFQjCNG2Lb1kJ8gahw9gPpUOrRtJMU_iLA" TargetMode="External"/><Relationship Id="rId479" Type="http://schemas.openxmlformats.org/officeDocument/2006/relationships/hyperlink" Target="https://www.google.com/url?q=http://codeforces.com/contest/75/problem/C&amp;sa=D&amp;ust=1605639551877000&amp;usg=AFQjCNHCVSiIPKANageXyI143Cx7eQ6owg" TargetMode="External"/><Relationship Id="rId686" Type="http://schemas.openxmlformats.org/officeDocument/2006/relationships/hyperlink" Target="https://www.google.com/url?q=https://codeforces.com/contest/1136/problem/E&amp;sa=D&amp;ust=1605639551958000&amp;usg=AFQjCNEYgzBPC_BXiUuMvpHuWfZQ8J9SAg" TargetMode="External"/><Relationship Id="rId893" Type="http://schemas.openxmlformats.org/officeDocument/2006/relationships/hyperlink" Target="https://www.google.com/url?q=https://codeforces.com/blog/entry/47821&amp;sa=D&amp;ust=1605639552066000&amp;usg=AFQjCNEidAEbUr-VZOcwHWmZrH7M2nSLpg" TargetMode="External"/><Relationship Id="rId2367" Type="http://schemas.openxmlformats.org/officeDocument/2006/relationships/hyperlink" Target="https://www.google.com/url?q=https://codeforces.com/contest/1146/problem/D&amp;sa=D&amp;ust=1605639552954000&amp;usg=AFQjCNGYndtiUPRmsK04bHeH8ZpgGiYp-w" TargetMode="External"/><Relationship Id="rId2574" Type="http://schemas.openxmlformats.org/officeDocument/2006/relationships/hyperlink" Target="https://www.google.com/url?q=https://codeforces.com/contest/1056/problem/D&amp;sa=D&amp;ust=1605639553073000&amp;usg=AFQjCNFqtns6VBkRbYQEfMSfd84XNVYrVA" TargetMode="External"/><Relationship Id="rId2781" Type="http://schemas.openxmlformats.org/officeDocument/2006/relationships/hyperlink" Target="https://www.google.com/url?q=https://github.com/VAMPIER000001/CompetitiveProgramming/blob/master/UVA/V-1/UVA%2520186.Cpp&amp;sa=D&amp;ust=1605639553196000&amp;usg=AFQjCNG8fA_YWgauYjnh33XizTCVK3SryA" TargetMode="External"/><Relationship Id="rId3418" Type="http://schemas.openxmlformats.org/officeDocument/2006/relationships/hyperlink" Target="https://www.google.com/url?q=https://codeforces.com/contest/1091/problem/D&amp;sa=D&amp;ust=1605639553563000&amp;usg=AFQjCNGsVwXrTXYb0u1bJ8E-rJEYKZb-EQ" TargetMode="External"/><Relationship Id="rId3625" Type="http://schemas.openxmlformats.org/officeDocument/2006/relationships/hyperlink" Target="https://www.google.com/url?q=http://codeforces.com/contest/108/problem/D&amp;sa=D&amp;ust=1605639553746000&amp;usg=AFQjCNHXsyS6r4PLnT2yPPAcGvEI7-WNgw" TargetMode="External"/><Relationship Id="rId339" Type="http://schemas.openxmlformats.org/officeDocument/2006/relationships/hyperlink" Target="https://www.google.com/url?q=https://csacademy.com/contest/round-84/task/manhattan-center/&amp;sa=D&amp;ust=1605639551775000&amp;usg=AFQjCNFflSgQjyt2vNA5J77Ax5TE0k5OeQ" TargetMode="External"/><Relationship Id="rId546" Type="http://schemas.openxmlformats.org/officeDocument/2006/relationships/hyperlink" Target="https://www.google.com/url?q=https://codeforces.com/contest/1143/problem/E&amp;sa=D&amp;ust=1605639551907000&amp;usg=AFQjCNF1v9xP8eatOrdQaxjdeQaZPl3Sbg" TargetMode="External"/><Relationship Id="rId753" Type="http://schemas.openxmlformats.org/officeDocument/2006/relationships/hyperlink" Target="https://www.google.com/url?q=http://codeforces.com/contest/400/problem/E&amp;sa=D&amp;ust=1605639551990000&amp;usg=AFQjCNGFp3MhbxoyFzLpKVrN2xXHTCin6g" TargetMode="External"/><Relationship Id="rId1176" Type="http://schemas.openxmlformats.org/officeDocument/2006/relationships/hyperlink" Target="https://www.google.com/url?q=https://uva.onlinejudge.org/index.php?option%3Dcom_onlinejudge%26Itemid%3D8%26page%3Dshow_problem%26problem%3D1558&amp;sa=D&amp;ust=1605639552227000&amp;usg=AFQjCNHGuzy4m9nvWRSOgmDXQ-iXlgVQjQ" TargetMode="External"/><Relationship Id="rId1383" Type="http://schemas.openxmlformats.org/officeDocument/2006/relationships/hyperlink" Target="https://www.google.com/url?q=http://codeforces.com/contest/295/problem/C&amp;sa=D&amp;ust=1605639552364000&amp;usg=AFQjCNHghZrXV37auiNQu30xH4nyB1mpMA" TargetMode="External"/><Relationship Id="rId2227" Type="http://schemas.openxmlformats.org/officeDocument/2006/relationships/hyperlink" Target="https://www.google.com/url?q=https://github.com/mostafa-saad/MyCompetitiveProgramming/blob/master/SPOJ/SPOJ_SHORTCUT.txt&amp;sa=D&amp;ust=1605639552884000&amp;usg=AFQjCNGvzL0Ab_hSuUte4QtN4mUTo6ywNQ" TargetMode="External"/><Relationship Id="rId2434" Type="http://schemas.openxmlformats.org/officeDocument/2006/relationships/hyperlink" Target="https://www.google.com/url?q=http://codeforces.com/contest/1065/problem/D&amp;sa=D&amp;ust=1605639552987000&amp;usg=AFQjCNEuXkwqL_zoieePpsGFaXwRQhNZUQ" TargetMode="External"/><Relationship Id="rId3832" Type="http://schemas.openxmlformats.org/officeDocument/2006/relationships/hyperlink" Target="https://www.google.com/url?q=http://codeforces.com/contest/129/problem/D&amp;sa=D&amp;ust=1605639553885000&amp;usg=AFQjCNFXt2X_7Xc5UE3l1WPQZwm1fVPieg" TargetMode="External"/><Relationship Id="rId406" Type="http://schemas.openxmlformats.org/officeDocument/2006/relationships/hyperlink" Target="https://www.google.com/url?q=http://codeforces.com/contest/993/problem/D&amp;sa=D&amp;ust=1605639551845000&amp;usg=AFQjCNGorsRvZDCXbnNEqPIHKy0n6kiN7A" TargetMode="External"/><Relationship Id="rId960" Type="http://schemas.openxmlformats.org/officeDocument/2006/relationships/hyperlink" Target="https://www.google.com/url?q=https://www.facebook.com/hackercup/problem/421194065345355/&amp;sa=D&amp;ust=1605639552105000&amp;usg=AFQjCNG62Tl5iNlGnFkGgm6Z7Ur6YvilFQ" TargetMode="External"/><Relationship Id="rId1036" Type="http://schemas.openxmlformats.org/officeDocument/2006/relationships/hyperlink" Target="https://www.google.com/url?q=https://agc007.contest.atcoder.jp/tasks/agc007_d&amp;sa=D&amp;ust=1605639552142000&amp;usg=AFQjCNEBDvW9kJXo6xftvn1m1wMnxHR_Hw" TargetMode="External"/><Relationship Id="rId1243" Type="http://schemas.openxmlformats.org/officeDocument/2006/relationships/hyperlink" Target="https://www.google.com/url?q=https://codeforces.com/contest/1199/problem/F&amp;sa=D&amp;ust=1605639552279000&amp;usg=AFQjCNF_y7KV4YNlSaKpAEOf-lTTbkwdpQ" TargetMode="External"/><Relationship Id="rId1590" Type="http://schemas.openxmlformats.org/officeDocument/2006/relationships/hyperlink" Target="https://www.google.com/url?q=https://codeforces.com/contest/965/problem/D&amp;sa=D&amp;ust=1605639552496000&amp;usg=AFQjCNGTZ-TFDORztxk9zbom71J3sD-WGg" TargetMode="External"/><Relationship Id="rId2641" Type="http://schemas.openxmlformats.org/officeDocument/2006/relationships/hyperlink" Target="https://www.google.com/url?q=http://www.spoj.com/problems/ROADS/en/&amp;sa=D&amp;ust=1605639553117000&amp;usg=AFQjCNE_9P-C6bpX65lay23o_ZtCz6wAdA" TargetMode="External"/><Relationship Id="rId4399" Type="http://schemas.openxmlformats.org/officeDocument/2006/relationships/hyperlink" Target="https://www.google.com/url?q=https://www.hackerrank.com/contests/101hack22/challenges/sum-of-all-distances&amp;sa=D&amp;ust=1605639554327000&amp;usg=AFQjCNHMMkqlDgggNPtxhx1s5x6V577zCw" TargetMode="External"/><Relationship Id="rId613" Type="http://schemas.openxmlformats.org/officeDocument/2006/relationships/hyperlink" Target="https://www.google.com/url?q=http://codeforces.com/contest/173/problem/E&amp;sa=D&amp;ust=1605639551930000&amp;usg=AFQjCNEI2fv7HY3EGdCy_IDQ5mAdRyRPzg" TargetMode="External"/><Relationship Id="rId820" Type="http://schemas.openxmlformats.org/officeDocument/2006/relationships/hyperlink" Target="https://www.google.com/url?q=https://github.com/sggutier/CompetitiveProgramming/blob/master/SPOJ/SWAPS.cpp&amp;sa=D&amp;ust=1605639552025000&amp;usg=AFQjCNG6FdGrRS-O6oH3EpjUAx8l528wUg" TargetMode="External"/><Relationship Id="rId1450" Type="http://schemas.openxmlformats.org/officeDocument/2006/relationships/hyperlink" Target="https://www.google.com/url?q=https://github.com/3agwa/CompetitiveProgramming/blob/master/CodeForces/CF16-D2-E.cpp&amp;sa=D&amp;ust=1605639552415000&amp;usg=AFQjCNFiZ51ycWMH63WrwZcmB8QeBzyjRw" TargetMode="External"/><Relationship Id="rId2501" Type="http://schemas.openxmlformats.org/officeDocument/2006/relationships/hyperlink" Target="https://www.google.com/url?q=http://codeforces.com/contest/671/problem/D&amp;sa=D&amp;ust=1605639553034000&amp;usg=AFQjCNGrJGg6xMcwj1RfbxVl80a0ni2jUQ" TargetMode="External"/><Relationship Id="rId1103" Type="http://schemas.openxmlformats.org/officeDocument/2006/relationships/hyperlink" Target="https://www.google.com/url?q=http://codeforces.com/contest/627/problem/A&amp;sa=D&amp;ust=1605639552181000&amp;usg=AFQjCNG0ZELXrF0YgeWvPyfDd_AQReLHgQ" TargetMode="External"/><Relationship Id="rId1310" Type="http://schemas.openxmlformats.org/officeDocument/2006/relationships/hyperlink" Target="https://www.google.com/url?q=http://codeforces.com/contest/743/problem/E&amp;sa=D&amp;ust=1605639552320000&amp;usg=AFQjCNFmKAevuwrQlOS-71lRzb-M_z-Ofg" TargetMode="External"/><Relationship Id="rId4259" Type="http://schemas.openxmlformats.org/officeDocument/2006/relationships/hyperlink" Target="https://www.google.com/url?q=https://codeforces.com/contest/932/problem/F&amp;sa=D&amp;ust=1605639554268000&amp;usg=AFQjCNGNRZ7pONi0FMls5gNyQCo_t2E2Qg" TargetMode="External"/><Relationship Id="rId3068" Type="http://schemas.openxmlformats.org/officeDocument/2006/relationships/hyperlink" Target="https://www.google.com/url?q=http://codeforces.com/problemset/problem/838/B&amp;sa=D&amp;ust=1605639553358000&amp;usg=AFQjCNE83o7353otzdZ-SM9oOYDAeAddTQ" TargetMode="External"/><Relationship Id="rId3275" Type="http://schemas.openxmlformats.org/officeDocument/2006/relationships/hyperlink" Target="https://www.google.com/url?q=https://csacademy.com/contest/round-59/task/win-percentages/&amp;sa=D&amp;ust=1605639553466000&amp;usg=AFQjCNFa5FJ_-NKTthAx6JJwAI9jVSj1NA" TargetMode="External"/><Relationship Id="rId3482" Type="http://schemas.openxmlformats.org/officeDocument/2006/relationships/hyperlink" Target="https://www.google.com/url?q=https://github.com/MohamedNabil97/CompetitiveProgramming/blob/master/Timus/1854.cpp&amp;sa=D&amp;ust=1605639553605000&amp;usg=AFQjCNECj0r7wLDII7EC0rtuM58NixjHJg" TargetMode="External"/><Relationship Id="rId4119" Type="http://schemas.openxmlformats.org/officeDocument/2006/relationships/hyperlink" Target="https://www.google.com/url?q=https://onlinejudge.org/index.php?option%3Dcom_onlinejudge%26Itemid%3D8%26page%3Dshow_problem%26problem%3D3933&amp;sa=D&amp;ust=1605639554187000&amp;usg=AFQjCNHTPhXOTnRZxv7sgfqtRLQ1rYNBjw" TargetMode="External"/><Relationship Id="rId4326" Type="http://schemas.openxmlformats.org/officeDocument/2006/relationships/hyperlink" Target="https://www.google.com/url?q=http://codeforces.com/contest/704/problem/B&amp;sa=D&amp;ust=1605639554295000&amp;usg=AFQjCNHtXPZ6ikx9I58RXeWx8WBvnMT6ZA" TargetMode="External"/><Relationship Id="rId196" Type="http://schemas.openxmlformats.org/officeDocument/2006/relationships/hyperlink" Target="https://www.google.com/url?q=http://codeforces.com/contest/1166/problem/E&amp;sa=D&amp;ust=1605639551677000&amp;usg=AFQjCNHhQA3-il7KB7aoo94er8VOXRGEIA" TargetMode="External"/><Relationship Id="rId2084" Type="http://schemas.openxmlformats.org/officeDocument/2006/relationships/hyperlink" Target="https://www.google.com/url?q=https://github.com/Huvok/CompetitiveProgramming/blob/master/PKU/1066.cpp&amp;sa=D&amp;ust=1605639552795000&amp;usg=AFQjCNECa-nXW1u3i6QU2kW9_w9S6CLESA" TargetMode="External"/><Relationship Id="rId2291" Type="http://schemas.openxmlformats.org/officeDocument/2006/relationships/hyperlink" Target="https://www.google.com/url?q=http://codeforces.com/contest/405/problem/E&amp;sa=D&amp;ust=1605639552925000&amp;usg=AFQjCNH86nTe75kg2XbrSO8MJRkDG6N4Bg" TargetMode="External"/><Relationship Id="rId3135" Type="http://schemas.openxmlformats.org/officeDocument/2006/relationships/hyperlink" Target="https://www.google.com/url?q=https://github.com/ajfabian/Competitive-Programming/blob/master/CodeForces/CF101741-GYM-F/a.cpp&amp;sa=D&amp;ust=1605639553398000&amp;usg=AFQjCNG12noCWjrJc-vCB1nZpS_hi_bnVQ" TargetMode="External"/><Relationship Id="rId3342" Type="http://schemas.openxmlformats.org/officeDocument/2006/relationships/hyperlink" Target="https://www.google.com/url?q=http://codeforces.com/contest/88/problem/C&amp;sa=D&amp;ust=1605639553513000&amp;usg=AFQjCNF_23D0hjub3tdU1WwgrMhpblBVcA" TargetMode="External"/><Relationship Id="rId263" Type="http://schemas.openxmlformats.org/officeDocument/2006/relationships/hyperlink" Target="https://www.google.com/url?q=http://codeforces.com/gym/101201/problem/J&amp;sa=D&amp;ust=1605639551733000&amp;usg=AFQjCNGXwZASLdryPUxa7NfURfsEmDGOhQ" TargetMode="External"/><Relationship Id="rId470" Type="http://schemas.openxmlformats.org/officeDocument/2006/relationships/hyperlink" Target="https://www.google.com/url?q=http://codeforces.com/contest/84/problem/D&amp;sa=D&amp;ust=1605639551872000&amp;usg=AFQjCNGU1Jc8QjGeLRg-abWVZ71ToSiObg" TargetMode="External"/><Relationship Id="rId2151" Type="http://schemas.openxmlformats.org/officeDocument/2006/relationships/hyperlink" Target="https://www.google.com/url?q=https://github.com/AbdelrahmanRamadan/competitive-programming/blob/master/Timus/1599-Winding-Number.cpp&amp;sa=D&amp;ust=1605639552838000&amp;usg=AFQjCNEMZx8HiP3G6jKwJHNYF-p0v1uY3Q" TargetMode="External"/><Relationship Id="rId3202" Type="http://schemas.openxmlformats.org/officeDocument/2006/relationships/hyperlink" Target="https://www.google.com/url?q=https://codeforces.com/contest/397/problem/D&amp;sa=D&amp;ust=1605639553428000&amp;usg=AFQjCNFLXcJFFyTVaHMziBhoT_E5VfhN3w" TargetMode="External"/><Relationship Id="rId123" Type="http://schemas.openxmlformats.org/officeDocument/2006/relationships/hyperlink" Target="https://www.google.com/url?q=https://ideone.com/wPylKR&amp;sa=D&amp;ust=1605639551626000&amp;usg=AFQjCNH5cvGmLzBTlJpErkAIxnPRzqbu5A" TargetMode="External"/><Relationship Id="rId330" Type="http://schemas.openxmlformats.org/officeDocument/2006/relationships/hyperlink" Target="https://www.google.com/url?q=https://github.com/Firastic/CompetitiveProgramming/blob/master/SPOJ/SPOJ%2520RMID2.cpp&amp;sa=D&amp;ust=1605639551771000&amp;usg=AFQjCNE9hFafKuo5ifhOt9LzvTxsE1WfmA" TargetMode="External"/><Relationship Id="rId2011" Type="http://schemas.openxmlformats.org/officeDocument/2006/relationships/hyperlink" Target="https://www.google.com/url?q=https://ideone.com/BTMmzG&amp;sa=D&amp;ust=1605639552740000&amp;usg=AFQjCNGQ_jwPPvLUaceUE9wTKGARI_Ru6g" TargetMode="External"/><Relationship Id="rId2968" Type="http://schemas.openxmlformats.org/officeDocument/2006/relationships/hyperlink" Target="https://www.google.com/url?q=https://uva.onlinejudge.org/index.php?option%3Dcom_onlinejudge%26Itemid%3D8%26page%3Dshow_problem%26problem%3D1541&amp;sa=D&amp;ust=1605639553300000&amp;usg=AFQjCNF-vFCz6-raNKebFiTW8druUVMEaw" TargetMode="External"/><Relationship Id="rId4183" Type="http://schemas.openxmlformats.org/officeDocument/2006/relationships/hyperlink" Target="https://www.google.com/url?q=http://codeforces.com/problemset/problem/846/F&amp;sa=D&amp;ust=1605639554231000&amp;usg=AFQjCNGytCq1i47KZQeiqtRve73U3zQbMQ" TargetMode="External"/><Relationship Id="rId1777" Type="http://schemas.openxmlformats.org/officeDocument/2006/relationships/hyperlink" Target="https://www.google.com/url?q=https://onlinejudge.org/index.php?option%3Dcom_onlinejudge%26Itemid%3D8%26page%3Dshow_problem%26problem%3D4235&amp;sa=D&amp;ust=1605639552602000&amp;usg=AFQjCNGUW0pdTGPxktz-JpOuGcFWptqPxQ" TargetMode="External"/><Relationship Id="rId1984" Type="http://schemas.openxmlformats.org/officeDocument/2006/relationships/hyperlink" Target="https://www.google.com/url?q=http://codeforces.com/contest/618/problem/C&amp;sa=D&amp;ust=1605639552724000&amp;usg=AFQjCNF8iTIXKCR5EQAY772lwY0T_UCsHw" TargetMode="External"/><Relationship Id="rId2828" Type="http://schemas.openxmlformats.org/officeDocument/2006/relationships/hyperlink" Target="https://www.google.com/url?q=https://github.com/mostafa-saad/MyCompetitiveProgramming/blob/master/SPOJ/SPOJ_IM.txt&amp;sa=D&amp;ust=1605639553226000&amp;usg=AFQjCNG7K9YLvXJPacR9uWvMRl-zntIzdQ" TargetMode="External"/><Relationship Id="rId4390" Type="http://schemas.openxmlformats.org/officeDocument/2006/relationships/hyperlink" Target="https://www.google.com/url?q=http://codeforces.com/contest/629/problem/E&amp;sa=D&amp;ust=1605639554322000&amp;usg=AFQjCNGEzrKCcizCn3nCZT3MTj9Sndp-Ug" TargetMode="External"/><Relationship Id="rId69" Type="http://schemas.openxmlformats.org/officeDocument/2006/relationships/hyperlink" Target="https://www.google.com/url?q=http://codeforces.com/contest/333/problem/D&amp;sa=D&amp;ust=1605639551593000&amp;usg=AFQjCNHY_shSo0Ac88y15mpCR5xsYkU7DQ" TargetMode="External"/><Relationship Id="rId1637" Type="http://schemas.openxmlformats.org/officeDocument/2006/relationships/hyperlink" Target="https://www.google.com/url?q=https://codeforces.com/contest/1153/problem/D&amp;sa=D&amp;ust=1605639552521000&amp;usg=AFQjCNH1w_LdD5_lmN7mzCuLWGj4SAtmtg" TargetMode="External"/><Relationship Id="rId1844" Type="http://schemas.openxmlformats.org/officeDocument/2006/relationships/hyperlink" Target="https://www.google.com/url?q=https://arc087.contest.atcoder.jp/tasks/arc087_c&amp;sa=D&amp;ust=1605639552637000&amp;usg=AFQjCNHP0qJtNCd-MKrdCbkuwyybkLDaIA" TargetMode="External"/><Relationship Id="rId4043" Type="http://schemas.openxmlformats.org/officeDocument/2006/relationships/hyperlink" Target="https://www.google.com/url?q=https://github.com/mostafa-saad/MyCompetitiveProgramming/blob/master/LiveArchive/LIVEARCHIVE_7577.txt&amp;sa=D&amp;ust=1605639554147000&amp;usg=AFQjCNHcN3N5_Hr3R0ouqKG_YdRG0q3cfQ" TargetMode="External"/><Relationship Id="rId4250" Type="http://schemas.openxmlformats.org/officeDocument/2006/relationships/hyperlink" Target="https://www.google.com/url?q=https://codeforces.com/gym/100829&amp;sa=D&amp;ust=1605639554264000&amp;usg=AFQjCNHwx8bUCmCsR6K0oWrWtEZrPRxylg" TargetMode="External"/><Relationship Id="rId1704" Type="http://schemas.openxmlformats.org/officeDocument/2006/relationships/hyperlink" Target="https://www.google.com/url?q=http://codeforces.com/contest/287/problem/C&amp;sa=D&amp;ust=1605639552562000&amp;usg=AFQjCNG-7Kh3yV22ghp1M3pvkp5LCBMiAg" TargetMode="External"/><Relationship Id="rId4110" Type="http://schemas.openxmlformats.org/officeDocument/2006/relationships/hyperlink" Target="https://www.google.com/url?q=https://uva.onlinejudge.org/index.php?option%3Donlinejudge%26page%3Dshow_problem%26problem%3D542&amp;sa=D&amp;ust=1605639554183000&amp;usg=AFQjCNGx8zbcEXVTudcJl2txjq2KxzKiFw" TargetMode="External"/><Relationship Id="rId1911" Type="http://schemas.openxmlformats.org/officeDocument/2006/relationships/hyperlink" Target="https://www.google.com/url?q=http://codeforces.com/contest/76/problem/F&amp;sa=D&amp;ust=1605639552682000&amp;usg=AFQjCNFR_2fy_dQ9Yj_zhAVVktLOC8P6Rw" TargetMode="External"/><Relationship Id="rId3669" Type="http://schemas.openxmlformats.org/officeDocument/2006/relationships/hyperlink" Target="https://www.google.com/url?q=https://github.com/tanmoy13/CompetitveProgramming/blob/master/Online-Judge-Solutions/UVA/718%2520-%2520Skyscraper%2520Floors.cpp&amp;sa=D&amp;ust=1605639553781000&amp;usg=AFQjCNEUCw1UD1KJWuC7TLjvIOfo4EbK1A" TargetMode="External"/><Relationship Id="rId797" Type="http://schemas.openxmlformats.org/officeDocument/2006/relationships/hyperlink" Target="https://www.google.com/url?q=http://www.spoj.com/problems/HELPR2D2&amp;sa=D&amp;ust=1605639552011000&amp;usg=AFQjCNHVX0iZSJ6fIafhux6zWBPz3ku0PA" TargetMode="External"/><Relationship Id="rId2478" Type="http://schemas.openxmlformats.org/officeDocument/2006/relationships/hyperlink" Target="https://www.google.com/url?q=http://www.spoj.com/problems/BITMAP/&amp;sa=D&amp;ust=1605639553018000&amp;usg=AFQjCNF_uZTR3r1960RMiOjJ_upqw7Xt-A" TargetMode="External"/><Relationship Id="rId3876" Type="http://schemas.openxmlformats.org/officeDocument/2006/relationships/hyperlink" Target="https://www.google.com/url?q=https://github.com/SpeedOfMagic/CompetitiveProgramming/blob/master/SPOJ/CERC07S.cpp&amp;sa=D&amp;ust=1605639553906000&amp;usg=AFQjCNGHVXmBf5nXED5cDG0Iuzk7iF5G3g" TargetMode="External"/><Relationship Id="rId1287" Type="http://schemas.openxmlformats.org/officeDocument/2006/relationships/hyperlink" Target="https://www.google.com/url?q=http://codeforces.com/contest/1198/problem/F&amp;sa=D&amp;ust=1605639552308000&amp;usg=AFQjCNEChhfXNOWJkXJqvlf_ZTdmX5lA2g" TargetMode="External"/><Relationship Id="rId2685" Type="http://schemas.openxmlformats.org/officeDocument/2006/relationships/hyperlink" Target="https://www.google.com/url?q=http://codeforces.com/gym/101669/problem/D&amp;sa=D&amp;ust=1605639553139000&amp;usg=AFQjCNGbwusxr7lME1VWZarOGZw5rJeJoQ" TargetMode="External"/><Relationship Id="rId2892" Type="http://schemas.openxmlformats.org/officeDocument/2006/relationships/hyperlink" Target="https://www.google.com/url?q=https://github.com/AhmedRamadanAbdElghany/CompetitiveProgramming/blob/master/UVA/1184.cpp&amp;sa=D&amp;ust=1605639553259000&amp;usg=AFQjCNGuCmsGPR2o4pOUA4YZb-3XBhIiGQ" TargetMode="External"/><Relationship Id="rId3529" Type="http://schemas.openxmlformats.org/officeDocument/2006/relationships/hyperlink" Target="https://www.google.com/url?q=https://github.com/thackerhelik/UVA/blob/master/10859.cpp&amp;sa=D&amp;ust=1605639553648000&amp;usg=AFQjCNE0vcdZI0yZGy9eiXzU7hUh3Nyklw" TargetMode="External"/><Relationship Id="rId3736" Type="http://schemas.openxmlformats.org/officeDocument/2006/relationships/hyperlink" Target="https://www.google.com/url?q=https://www.codechef.com/problems/PPTREE&amp;sa=D&amp;ust=1605639553823000&amp;usg=AFQjCNGW0Cy9NWq5_QYTspjpak2r_uZESg" TargetMode="External"/><Relationship Id="rId3943" Type="http://schemas.openxmlformats.org/officeDocument/2006/relationships/hyperlink" Target="https://www.google.com/url?q=http://codeforces.com/contest/570/problem/C&amp;sa=D&amp;ust=1605639553940000&amp;usg=AFQjCNGZVTDUEfSuaCOwFdxhQmpLKVUepw" TargetMode="External"/><Relationship Id="rId657" Type="http://schemas.openxmlformats.org/officeDocument/2006/relationships/hyperlink" Target="https://www.google.com/url?q=https://www.codechef.com/problems/BOMBING&amp;sa=D&amp;ust=1605639551945000&amp;usg=AFQjCNHTsB667Wi8EHZTSfVqfP4TDHIlIw" TargetMode="External"/><Relationship Id="rId864" Type="http://schemas.openxmlformats.org/officeDocument/2006/relationships/hyperlink" Target="https://www.google.com/url?q=http://codeforces.com/contest/985/problem/E&amp;sa=D&amp;ust=1605639552048000&amp;usg=AFQjCNFAF7Du9haAZ5qTYOLaNk9e2p4gYg" TargetMode="External"/><Relationship Id="rId1494" Type="http://schemas.openxmlformats.org/officeDocument/2006/relationships/hyperlink" Target="https://www.google.com/url?q=https://codeforces.com/contest/1265/problem/E&amp;sa=D&amp;ust=1605639552440000&amp;usg=AFQjCNF38wSjIYYKd7dNISspSzaE1nlygw" TargetMode="External"/><Relationship Id="rId2338" Type="http://schemas.openxmlformats.org/officeDocument/2006/relationships/hyperlink" Target="https://www.google.com/url?q=http://codeforces.com/contest/389/problem/D&amp;sa=D&amp;ust=1605639552942000&amp;usg=AFQjCNF-S8DnrDAv9M833zjdC1gGL_uE0w" TargetMode="External"/><Relationship Id="rId2545" Type="http://schemas.openxmlformats.org/officeDocument/2006/relationships/hyperlink" Target="https://www.google.com/url?q=https://github.com/AbdelrahmanRamadan/competitive-programming/blob/master/Codeforces/CF707-D2-D.cpp&amp;sa=D&amp;ust=1605639553058000&amp;usg=AFQjCNHv-U7fDlJqpXnOvr3wyQ36mxspRQ" TargetMode="External"/><Relationship Id="rId2752" Type="http://schemas.openxmlformats.org/officeDocument/2006/relationships/hyperlink" Target="https://www.google.com/url?q=https://uva.onlinejudge.org/index.php?option%3Dcom_onlinejudge%26Itemid%3D8%26page%3Dshow_problem%26problem%3D40&amp;sa=D&amp;ust=1605639553179000&amp;usg=AFQjCNHMs5ZMLdXn4W4OGYt4cjZB6Oim-A" TargetMode="External"/><Relationship Id="rId3803" Type="http://schemas.openxmlformats.org/officeDocument/2006/relationships/hyperlink" Target="https://www.google.com/url?q=https://open.kattis.com/problems/insidersidentity&amp;sa=D&amp;ust=1605639553865000&amp;usg=AFQjCNFwrl5bhqzU9H0MdGqoh-ifqKmlqg" TargetMode="External"/><Relationship Id="rId517" Type="http://schemas.openxmlformats.org/officeDocument/2006/relationships/hyperlink" Target="https://www.google.com/url?q=https://www.codechef.com/problems/LEBOXES&amp;sa=D&amp;ust=1605639551894000&amp;usg=AFQjCNGdFceeCKvoHSAy-tFNxsJA4y8GOw" TargetMode="External"/><Relationship Id="rId724" Type="http://schemas.openxmlformats.org/officeDocument/2006/relationships/hyperlink" Target="https://www.google.com/url?q=http://codeforces.com/contest/669/problem/E&amp;sa=D&amp;ust=1605639551976000&amp;usg=AFQjCNH_idBRImjqA4bo1Oxp8xFi892A3w" TargetMode="External"/><Relationship Id="rId931" Type="http://schemas.openxmlformats.org/officeDocument/2006/relationships/hyperlink" Target="https://www.google.com/url?q=https://codeforces.com/contest/1146/problem/H&amp;sa=D&amp;ust=1605639552088000&amp;usg=AFQjCNHwIEz2B7TJSgeCSM9Rvni0E_IWUA" TargetMode="External"/><Relationship Id="rId1147" Type="http://schemas.openxmlformats.org/officeDocument/2006/relationships/hyperlink" Target="https://www.google.com/url?q=http://codeforces.com/contest/225/problem/C&amp;sa=D&amp;ust=1605639552206000&amp;usg=AFQjCNEE1kFlE_-ufiGR9WoXZAhL1CQkqw" TargetMode="External"/><Relationship Id="rId1354" Type="http://schemas.openxmlformats.org/officeDocument/2006/relationships/hyperlink" Target="https://www.google.com/url?q=https://codeforces.com/contest/1097/problem/G&amp;sa=D&amp;ust=1605639552349000&amp;usg=AFQjCNHty1d-77viByS2Whf4UwFc_3qHuw" TargetMode="External"/><Relationship Id="rId1561" Type="http://schemas.openxmlformats.org/officeDocument/2006/relationships/hyperlink" Target="https://www.google.com/url?q=http://codeforces.com/contest/908/problem/F&amp;sa=D&amp;ust=1605639552481000&amp;usg=AFQjCNGYGJxbjcxshv1zDeTQn6krRgtt1A" TargetMode="External"/><Relationship Id="rId2405" Type="http://schemas.openxmlformats.org/officeDocument/2006/relationships/hyperlink" Target="https://www.google.com/url?q=https://github.com/ryuzmukhametov/CompetitiveProgramming/blob/master/livearchive/LIVEARCHIVE%25204509.cpp&amp;sa=D&amp;ust=1605639552971000&amp;usg=AFQjCNEUGzYluYPRpAcAVbZ6Og93Zwd5-Q" TargetMode="External"/><Relationship Id="rId2612" Type="http://schemas.openxmlformats.org/officeDocument/2006/relationships/hyperlink" Target="https://www.google.com/url?q=http://codeforces.com/contest/715/problem/B&amp;sa=D&amp;ust=1605639553100000&amp;usg=AFQjCNGOg5EHw5TQ2anqNf_bEOB5G1npzA" TargetMode="External"/><Relationship Id="rId60" Type="http://schemas.openxmlformats.org/officeDocument/2006/relationships/hyperlink" Target="https://www.google.com/url?q=http://arc079.contest.atcoder.jp/tasks/arc079_b&amp;sa=D&amp;ust=1605639551589000&amp;usg=AFQjCNGNowZKk7aDMkRzP3z_-2dToRNYig" TargetMode="External"/><Relationship Id="rId1007" Type="http://schemas.openxmlformats.org/officeDocument/2006/relationships/hyperlink" Target="https://www.google.com/url?q=https://github.com/tmwilliamlin168/CompetitiveProgramming/blob/master/CodeForces/CF981-D12-E.cpp&amp;sa=D&amp;ust=1605639552128000&amp;usg=AFQjCNGoR9R3GdKizHMqUddFER_aQ8Vl4w" TargetMode="External"/><Relationship Id="rId1214" Type="http://schemas.openxmlformats.org/officeDocument/2006/relationships/hyperlink" Target="https://www.google.com/url?q=https://codeforces.com/problemset/problem/1225/G&amp;sa=D&amp;ust=1605639552260000&amp;usg=AFQjCNFFXmGwk_t6xQlcrnNYIq0-aqaF0g" TargetMode="External"/><Relationship Id="rId1421" Type="http://schemas.openxmlformats.org/officeDocument/2006/relationships/hyperlink" Target="https://www.google.com/url?q=https://github.com/VAMPIER000001/CompetitiveProgramming/blob/58946d0dcba06adfc2c5ec0b423546a6a0c6da9c/UVA/V-104/UVA%252010404.Cpp&amp;sa=D&amp;ust=1605639552397000&amp;usg=AFQjCNHCipWQxC3YxhguozlpdReBCR8dTQ" TargetMode="External"/><Relationship Id="rId3179" Type="http://schemas.openxmlformats.org/officeDocument/2006/relationships/hyperlink" Target="https://www.google.com/url?q=https://github.com/Huvok/CompetitiveProgramming/blob/master/Codeforces/CF975-D2-D.cpp&amp;sa=D&amp;ust=1605639553418000&amp;usg=AFQjCNEIeiKSUrBh2XXEZ6HQk9a6hnAPVg" TargetMode="External"/><Relationship Id="rId3386" Type="http://schemas.openxmlformats.org/officeDocument/2006/relationships/hyperlink" Target="https://www.google.com/url?q=http://codeforces.com/contest/380/problem/D&amp;sa=D&amp;ust=1605639553545000&amp;usg=AFQjCNHta0holZq8kfDV1VdSABuOFxHxng" TargetMode="External"/><Relationship Id="rId3593" Type="http://schemas.openxmlformats.org/officeDocument/2006/relationships/hyperlink" Target="https://www.google.com/url?q=https://github.com/Mohammad-Yasser/CompetitiveProgramming/blob/master/SPOJ/XMAX.cpp&amp;sa=D&amp;ust=1605639553724000&amp;usg=AFQjCNFwgK43fxtoIFl-HcdyyzORYb04Qg" TargetMode="External"/><Relationship Id="rId4437" Type="http://schemas.openxmlformats.org/officeDocument/2006/relationships/hyperlink" Target="https://www.google.com/url?q=https://github.com/aviroop123/CompetitiveProgramming/blob/master/CodeChef/CODECHEF%2520IMGOD.cpp&amp;sa=D&amp;ust=1605639554344000&amp;usg=AFQjCNHhtoFzUo1RX9xDKvInvetMMJ5kZg" TargetMode="External"/><Relationship Id="rId2195" Type="http://schemas.openxmlformats.org/officeDocument/2006/relationships/hyperlink" Target="https://www.google.com/url?q=https://www.hackerrank.com/challenges/polygon&amp;sa=D&amp;ust=1605639552868000&amp;usg=AFQjCNF9ySbUs9RVPn0FgSql_kzpCuvlXg" TargetMode="External"/><Relationship Id="rId3039" Type="http://schemas.openxmlformats.org/officeDocument/2006/relationships/hyperlink" Target="https://www.google.com/url?q=http://codeforces.com/problemset/gymProblem/100676/H&amp;sa=D&amp;ust=1605639553345000&amp;usg=AFQjCNGOWF4JxoUOKXnvZA4yZE5Y-k1qIg" TargetMode="External"/><Relationship Id="rId3246" Type="http://schemas.openxmlformats.org/officeDocument/2006/relationships/hyperlink" Target="https://www.google.com/url?q=http://codeforces.com/contest/834/problem/C&amp;sa=D&amp;ust=1605639553452000&amp;usg=AFQjCNH_8jwEDe_34AEIzYmFkGucU0ZAnA" TargetMode="External"/><Relationship Id="rId3453" Type="http://schemas.openxmlformats.org/officeDocument/2006/relationships/hyperlink" Target="https://www.google.com/url?q=https://www.facebook.com/hackercup/problem/232395994158286/&amp;sa=D&amp;ust=1605639553587000&amp;usg=AFQjCNHe2okSUnKfgh0Uzghw8LH9SVrOHA" TargetMode="External"/><Relationship Id="rId167" Type="http://schemas.openxmlformats.org/officeDocument/2006/relationships/hyperlink" Target="https://www.google.com/url?q=https://github.com/MedoN11/CompetitiveProgramming/blob/master/Timus/1059.java&amp;sa=D&amp;ust=1605639551652000&amp;usg=AFQjCNGbEyyne_HcH0XrhHnId3hwU6PLMw" TargetMode="External"/><Relationship Id="rId374" Type="http://schemas.openxmlformats.org/officeDocument/2006/relationships/hyperlink" Target="https://www.google.com/url?q=http://codeforces.com/gym/100952/problem/E&amp;sa=D&amp;ust=1605639551811000&amp;usg=AFQjCNF3rTMv0c7V3C2uDnMAxJMf-K_H7g" TargetMode="External"/><Relationship Id="rId581" Type="http://schemas.openxmlformats.org/officeDocument/2006/relationships/hyperlink" Target="https://www.google.com/url?q=http://codeforces.com/problemset/problem/1044/F&amp;sa=D&amp;ust=1605639551919000&amp;usg=AFQjCNECyP5KeeRl2IRPFUPro3d5Rg5s5A" TargetMode="External"/><Relationship Id="rId2055" Type="http://schemas.openxmlformats.org/officeDocument/2006/relationships/hyperlink" Target="https://www.google.com/url?q=https://github.com/mostafa-saad/MyCompetitiveProgramming/blob/master/UVA/UVA_10005.txt&amp;sa=D&amp;ust=1605639552774000&amp;usg=AFQjCNFBL9lNt3KBwHHNRx7AKMLndC3bqA" TargetMode="External"/><Relationship Id="rId2262" Type="http://schemas.openxmlformats.org/officeDocument/2006/relationships/hyperlink" Target="https://www.google.com/url?q=http://codeforces.com/gym/101968&amp;sa=D&amp;ust=1605639552909000&amp;usg=AFQjCNH0fBSZt8-akqXTEfnlwbS-QOS8fw" TargetMode="External"/><Relationship Id="rId3106" Type="http://schemas.openxmlformats.org/officeDocument/2006/relationships/hyperlink" Target="https://www.google.com/url?q=https://codeforces.com/contest/1086/problem/F&amp;sa=D&amp;ust=1605639553378000&amp;usg=AFQjCNEUp8BLR1MZhi8-SEIDxevytD_Gug" TargetMode="External"/><Relationship Id="rId3660" Type="http://schemas.openxmlformats.org/officeDocument/2006/relationships/hyperlink" Target="https://www.google.com/url?q=https://www.hackerrank.com/challenges/solve-equations&amp;sa=D&amp;ust=1605639553775000&amp;usg=AFQjCNFHHXaNXVKeSlEqejMJvta6mG5xmg" TargetMode="External"/><Relationship Id="rId234" Type="http://schemas.openxmlformats.org/officeDocument/2006/relationships/hyperlink" Target="https://www.google.com/url?q=http://codeforces.com/contest/526/problem/C&amp;sa=D&amp;ust=1605639551701000&amp;usg=AFQjCNHL5ATidpOKMjeeYTZescu6WrrydA" TargetMode="External"/><Relationship Id="rId3313" Type="http://schemas.openxmlformats.org/officeDocument/2006/relationships/hyperlink" Target="https://www.google.com/url?q=http://codeforces.com/contest/114/problem/E&amp;sa=D&amp;ust=1605639553494000&amp;usg=AFQjCNFFv4xnIjc0g9mvj20dDawpjCXp2A" TargetMode="External"/><Relationship Id="rId3520" Type="http://schemas.openxmlformats.org/officeDocument/2006/relationships/hyperlink" Target="https://www.google.com/url?q=https://github.com/pranavjangir/CompetitiveProgramming/blob/master/CodeForces/CF101933-GYM-K.cpp&amp;sa=D&amp;ust=1605639553636000&amp;usg=AFQjCNFtNCBbCBGoGfNdCaTDFy372DySwg" TargetMode="External"/><Relationship Id="rId441" Type="http://schemas.openxmlformats.org/officeDocument/2006/relationships/hyperlink" Target="https://www.google.com/url?q=https://uva.onlinejudge.org/index.php?option%3Donlinejudge%26page%3Dshow_problem%26problem%3D4330&amp;sa=D&amp;ust=1605639551860000&amp;usg=AFQjCNEVhJVJuVOTjVV2QaX-7BNS4Uva0Q" TargetMode="External"/><Relationship Id="rId1071" Type="http://schemas.openxmlformats.org/officeDocument/2006/relationships/hyperlink" Target="https://www.google.com/url?q=http://codeforces.com/contest/762/problem/D&amp;sa=D&amp;ust=1605639552162000&amp;usg=AFQjCNHmFC3l3ShJFuhKs6wXTHeK8ax4jg" TargetMode="External"/><Relationship Id="rId2122" Type="http://schemas.openxmlformats.org/officeDocument/2006/relationships/hyperlink" Target="https://www.google.com/url?q=https://uva.onlinejudge.org/index.php?option%3Dcom_onlinejudge%26Itemid%3D8%26page%3Dshow_problem%26problem%3D2318&amp;sa=D&amp;ust=1605639552814000&amp;usg=AFQjCNH1gOin1aqeKY4RUWQE7KQVEMQ68Q" TargetMode="External"/><Relationship Id="rId301" Type="http://schemas.openxmlformats.org/officeDocument/2006/relationships/hyperlink" Target="https://www.google.com/url?q=https://github.com/mostafa-saad/MyCompetitiveProgramming/blob/master/SPOJ/SPOJ_FSEQ.cpp&amp;sa=D&amp;ust=1605639551758000&amp;usg=AFQjCNGZu7eGmLwBTyf0nMYAQUx2tVy85Q" TargetMode="External"/><Relationship Id="rId1888" Type="http://schemas.openxmlformats.org/officeDocument/2006/relationships/hyperlink" Target="https://www.google.com/url?q=http://codeforces.com/contest/46/problem/G&amp;sa=D&amp;ust=1605639552660000&amp;usg=AFQjCNHdqwlsy9NHXqpeeCW23J7RK0Mf2A" TargetMode="External"/><Relationship Id="rId2939" Type="http://schemas.openxmlformats.org/officeDocument/2006/relationships/hyperlink" Target="https://www.google.com/url?q=https://github.com/MetalBall887/Competitive-Programming/blob/master/CodeForces/CF891-D1-C.cpp&amp;sa=D&amp;ust=1605639553285000&amp;usg=AFQjCNFjv2-Y8Gx845DTGOQqZQ2oHvSJJA" TargetMode="External"/><Relationship Id="rId4087" Type="http://schemas.openxmlformats.org/officeDocument/2006/relationships/hyperlink" Target="https://www.google.com/url?q=http://codeforces.com/blog/entry/18523&amp;sa=D&amp;ust=1605639554168000&amp;usg=AFQjCNGIhSUwMWVUR19nq-dQbi69Knq1Mw" TargetMode="External"/><Relationship Id="rId4294" Type="http://schemas.openxmlformats.org/officeDocument/2006/relationships/hyperlink" Target="https://www.google.com/url?q=http://codeforces.com/contest/487/problem/D&amp;sa=D&amp;ust=1605639554282000&amp;usg=AFQjCNFZuQ-IsEPzhMKGJm4NBhDVBWiOMw" TargetMode="External"/><Relationship Id="rId1748" Type="http://schemas.openxmlformats.org/officeDocument/2006/relationships/hyperlink" Target="https://www.google.com/url?q=http://codeforces.com/contest/515/problem/C&amp;sa=D&amp;ust=1605639552585000&amp;usg=AFQjCNGlBL0ksLECS6AKqg9nCDS_2_WZ0g" TargetMode="External"/><Relationship Id="rId4154" Type="http://schemas.openxmlformats.org/officeDocument/2006/relationships/hyperlink" Target="https://www.google.com/url?q=https://github.com/Huvok/CompetitiveProgramming/blob/master/Topcoder/SRM465-D1-500.cpp&amp;sa=D&amp;ust=1605639554209000&amp;usg=AFQjCNEg9puH9Uk-WRIeB761un2H_o0J-Q" TargetMode="External"/><Relationship Id="rId4361" Type="http://schemas.openxmlformats.org/officeDocument/2006/relationships/hyperlink" Target="https://www.google.com/url?q=https://www.hackerearth.com/practice/algorithms/dynamic-programming/2-dimensional/practice-problems/algorithm/uchiha-brothers-and-two-products-circuit/&amp;sa=D&amp;ust=1605639554309000&amp;usg=AFQjCNHeUilzfZz9lfcDimXv7c0_D-GhSw" TargetMode="External"/><Relationship Id="rId1955" Type="http://schemas.openxmlformats.org/officeDocument/2006/relationships/hyperlink" Target="https://www.google.com/url?q=http://codeforces.com/gym/101064/problem/A&amp;sa=D&amp;ust=1605639552710000&amp;usg=AFQjCNFJe2CfqRfu9dCPw0Lj0B74R4rESw" TargetMode="External"/><Relationship Id="rId3170" Type="http://schemas.openxmlformats.org/officeDocument/2006/relationships/hyperlink" Target="https://www.google.com/url?q=http://codeforces.com/contest/352/problem/D&amp;sa=D&amp;ust=1605639553414000&amp;usg=AFQjCNFSWFLdlQRtRa3HNev1NbubGZnLYw" TargetMode="External"/><Relationship Id="rId4014" Type="http://schemas.openxmlformats.org/officeDocument/2006/relationships/hyperlink" Target="https://www.google.com/url?q=https://ideone.com/8udwfm&amp;sa=D&amp;ust=1605639554133000&amp;usg=AFQjCNHtu11E5JAVyau1d_cWjvEEst-ZWg" TargetMode="External"/><Relationship Id="rId4221" Type="http://schemas.openxmlformats.org/officeDocument/2006/relationships/hyperlink" Target="https://www.google.com/url?q=https://www.codechef.com/JUNE19A/problems/INTRPATH&amp;sa=D&amp;ust=1605639554252000&amp;usg=AFQjCNHCAUmHyTtDqvZXtY6xtlT58eh3aw" TargetMode="External"/><Relationship Id="rId1608" Type="http://schemas.openxmlformats.org/officeDocument/2006/relationships/hyperlink" Target="https://www.google.com/url?q=https://github.com/tmwilliamlin168/CompetitiveProgramming/blob/master/GoogleCodeJam/18-R3-A.java&amp;sa=D&amp;ust=1605639552505000&amp;usg=AFQjCNFq8xdNHwzi9ni_f71EGIZJXpV8qA" TargetMode="External"/><Relationship Id="rId1815" Type="http://schemas.openxmlformats.org/officeDocument/2006/relationships/hyperlink" Target="https://www.google.com/url?q=https://www.codechef.com/problems/NUMGAME&amp;sa=D&amp;ust=1605639552620000&amp;usg=AFQjCNFQlNMX13LVEXTGBB5aDzGkQY1jTw" TargetMode="External"/><Relationship Id="rId3030" Type="http://schemas.openxmlformats.org/officeDocument/2006/relationships/hyperlink" Target="https://www.google.com/url?q=http://codeforces.com/contest/980/problem/F&amp;sa=D&amp;ust=1605639553339000&amp;usg=AFQjCNFZ2iWJB6v1W_JSjBoztgblIMCt-Q" TargetMode="External"/><Relationship Id="rId3987" Type="http://schemas.openxmlformats.org/officeDocument/2006/relationships/hyperlink" Target="https://www.google.com/url?q=http://codeforces.com/contest/253/problem/D&amp;sa=D&amp;ust=1605639553966000&amp;usg=AFQjCNE1H7Xi1hQzfvJFD8Na6avDa0b9Uw" TargetMode="External"/><Relationship Id="rId2589" Type="http://schemas.openxmlformats.org/officeDocument/2006/relationships/hyperlink" Target="https://www.google.com/url?q=http://codeforces.com/contest/982/problem/C&amp;sa=D&amp;ust=1605639553081000&amp;usg=AFQjCNHviHsPFSKFPn5CiIKl4fR9OG-Row" TargetMode="External"/><Relationship Id="rId2796" Type="http://schemas.openxmlformats.org/officeDocument/2006/relationships/hyperlink" Target="https://www.google.com/url?q=http://codeforces.com/contest/708/submission/35136300&amp;sa=D&amp;ust=1605639553208000&amp;usg=AFQjCNGvHwuv87zzi1q2ZWdSj_AdwOWmhA" TargetMode="External"/><Relationship Id="rId3847" Type="http://schemas.openxmlformats.org/officeDocument/2006/relationships/hyperlink" Target="https://www.google.com/url?q=https://codeforces.com/contest/1055/problem/D&amp;sa=D&amp;ust=1605639553891000&amp;usg=AFQjCNFCYJYdsTkmTIzsdkoumq3vmeiRMw" TargetMode="External"/><Relationship Id="rId768" Type="http://schemas.openxmlformats.org/officeDocument/2006/relationships/hyperlink" Target="https://www.google.com/url?q=https://github.com/Emsawy/CompetitiveProgramming/blob/master/UVA/12299.cpp&amp;sa=D&amp;ust=1605639551997000&amp;usg=AFQjCNHwEbdVetONUUzicl2DFSVbWBfXpQ" TargetMode="External"/><Relationship Id="rId975" Type="http://schemas.openxmlformats.org/officeDocument/2006/relationships/hyperlink" Target="https://www.google.com/url?q=https://community.topcoder.com/stat?c%3Dproblem_statement%26pm%3D10902&amp;sa=D&amp;ust=1605639552113000&amp;usg=AFQjCNGFt9iRjFNjGSgIpWy9rU-KgMHpAA" TargetMode="External"/><Relationship Id="rId1398" Type="http://schemas.openxmlformats.org/officeDocument/2006/relationships/hyperlink" Target="https://www.google.com/url?q=http://codeforces.com/contest/474/problem/D&amp;sa=D&amp;ust=1605639552379000&amp;usg=AFQjCNHlFBxVQ_j2qtSK25BO9hgxJ34eEQ" TargetMode="External"/><Relationship Id="rId2449" Type="http://schemas.openxmlformats.org/officeDocument/2006/relationships/hyperlink" Target="https://www.google.com/url?q=http://codeforces.com/contest/253/problem/C&amp;sa=D&amp;ust=1605639552995000&amp;usg=AFQjCNEv3JkCS29BqbtGD_whOgTAxzE__Q" TargetMode="External"/><Relationship Id="rId2656" Type="http://schemas.openxmlformats.org/officeDocument/2006/relationships/hyperlink" Target="https://www.google.com/url?q=https://uva.onlinejudge.org/index.php?option%3Dcom_onlinejudge%26Itemid%3D8%26page%3Dshow_problem%26problem%3D1927&amp;sa=D&amp;ust=1605639553124000&amp;usg=AFQjCNEczrOjKBZldfnSILmVwtOiwukYUw" TargetMode="External"/><Relationship Id="rId2863" Type="http://schemas.openxmlformats.org/officeDocument/2006/relationships/hyperlink" Target="https://www.google.com/url?q=http://codeforces.com/problemset/problem/1054/F&amp;sa=D&amp;ust=1605639553242000&amp;usg=AFQjCNHy_t0DpuGK4QiSmRDTv5Ybur6uPA" TargetMode="External"/><Relationship Id="rId3707" Type="http://schemas.openxmlformats.org/officeDocument/2006/relationships/hyperlink" Target="https://www.google.com/url?q=https://codeforces.com/contest/1208/problem/G&amp;sa=D&amp;ust=1605639553801000&amp;usg=AFQjCNGztmA8TUEBNkViKjqSamZYb-8fng" TargetMode="External"/><Relationship Id="rId3914" Type="http://schemas.openxmlformats.org/officeDocument/2006/relationships/hyperlink" Target="https://www.google.com/url?q=http://codeforces.com/contest/253/problem/E&amp;sa=D&amp;ust=1605639553926000&amp;usg=AFQjCNHyzdfyZqmtoXwwIxJGYFxwGQZXbw" TargetMode="External"/><Relationship Id="rId628" Type="http://schemas.openxmlformats.org/officeDocument/2006/relationships/hyperlink" Target="https://www.google.com/url?q=http://codeforces.com/contest/1042/problem/F&amp;sa=D&amp;ust=1605639551935000&amp;usg=AFQjCNHrWmnMT72GixT2pqzKp6E7-Ls_xA" TargetMode="External"/><Relationship Id="rId835" Type="http://schemas.openxmlformats.org/officeDocument/2006/relationships/hyperlink" Target="https://www.google.com/url?q=http://codeforces.com/contest/341/problem/D&amp;sa=D&amp;ust=1605639552032000&amp;usg=AFQjCNFmrUXbVcKNLSZn19wW_NNzTb2QuA" TargetMode="External"/><Relationship Id="rId1258" Type="http://schemas.openxmlformats.org/officeDocument/2006/relationships/hyperlink" Target="https://www.google.com/url?q=http://codeforces.com/contest/840/problem/C&amp;sa=D&amp;ust=1605639552296000&amp;usg=AFQjCNFTcD2NejrzDmCU1qvgVi9ySJoRbQ" TargetMode="External"/><Relationship Id="rId1465" Type="http://schemas.openxmlformats.org/officeDocument/2006/relationships/hyperlink" Target="https://www.google.com/url?q=https://uva.onlinejudge.org/index.php?option%3Dcom_onlinejudge%26Itemid%3D8%26page%3Dshow_problem%26problem%3D3175&amp;sa=D&amp;ust=1605639552424000&amp;usg=AFQjCNG-PyasGpYoV_NYjE7QTYxOulAFHA" TargetMode="External"/><Relationship Id="rId1672" Type="http://schemas.openxmlformats.org/officeDocument/2006/relationships/hyperlink" Target="https://www.google.com/url?q=https://uva.onlinejudge.org/index.php?option%3Dcom_onlinejudge%26Itemid%3D8%26page%3Dshow_problem%26problem%3D4470&amp;sa=D&amp;ust=1605639552542000&amp;usg=AFQjCNH6Ec-40kVLn8VZWLlK8sXjv9_0FA" TargetMode="External"/><Relationship Id="rId2309" Type="http://schemas.openxmlformats.org/officeDocument/2006/relationships/hyperlink" Target="https://www.google.com/url?q=https://github.com/Huvok/CompetitiveProgramming/blob/master/Codeforces/CF742-D2-E.cpp&amp;sa=D&amp;ust=1605639552932000&amp;usg=AFQjCNFvgAZHMgGF6LNWcACcxUufjEpsMQ" TargetMode="External"/><Relationship Id="rId2516" Type="http://schemas.openxmlformats.org/officeDocument/2006/relationships/hyperlink" Target="https://www.google.com/url?q=https://www.codechef.com/problems/EXACTWAL&amp;sa=D&amp;ust=1605639553041000&amp;usg=AFQjCNGw7toxmo6Lv0vUqKfiEiFt8LXQNQ" TargetMode="External"/><Relationship Id="rId2723" Type="http://schemas.openxmlformats.org/officeDocument/2006/relationships/hyperlink" Target="https://www.google.com/url?q=https://github.com/Maverick10/Competitive-Programming/blob/master/Solutions/SPOJ/SPOJ%2520IITWPC4I.cpp&amp;sa=D&amp;ust=1605639553160000&amp;usg=AFQjCNHa0IaMw6UIpsqdXaH7UTNnJyapHg" TargetMode="External"/><Relationship Id="rId1118" Type="http://schemas.openxmlformats.org/officeDocument/2006/relationships/hyperlink" Target="https://www.google.com/url?q=http://codeforces.com/contest/383/problem/D&amp;sa=D&amp;ust=1605639552191000&amp;usg=AFQjCNG5MHrNpNKI3J9K8GxNHBbhGhXZTw" TargetMode="External"/><Relationship Id="rId1325" Type="http://schemas.openxmlformats.org/officeDocument/2006/relationships/hyperlink" Target="https://www.google.com/url?q=https://github.com/WaleedAbdelhakim/Competitive-Programming/blob/master/CodeForces/CF102219-GYM-F.cpp&amp;sa=D&amp;ust=1605639552328000&amp;usg=AFQjCNHh-wG1m8OJ2ijsAhoxUx2Q-VnhYw" TargetMode="External"/><Relationship Id="rId1532" Type="http://schemas.openxmlformats.org/officeDocument/2006/relationships/hyperlink" Target="https://www.google.com/url?q=http://agc027.contest.atcoder.jp/tasks/agc027_d&amp;sa=D&amp;ust=1605639552464000&amp;usg=AFQjCNG3FBFxpMrFEZHcJsNlywxnuMfCQQ" TargetMode="External"/><Relationship Id="rId2930" Type="http://schemas.openxmlformats.org/officeDocument/2006/relationships/hyperlink" Target="https://www.google.com/url?q=http://codeforces.com/contest/892/problem/E&amp;sa=D&amp;ust=1605639553282000&amp;usg=AFQjCNF99fXRJSIqenkEa1WGPqMu3NIM3Q" TargetMode="External"/><Relationship Id="rId902" Type="http://schemas.openxmlformats.org/officeDocument/2006/relationships/hyperlink" Target="https://www.google.com/url?q=http://codeforces.com/contest/453/problem/D&amp;sa=D&amp;ust=1605639552072000&amp;usg=AFQjCNHfy0-kdxZZQynk4loTbcTJdZvnZA" TargetMode="External"/><Relationship Id="rId3497" Type="http://schemas.openxmlformats.org/officeDocument/2006/relationships/hyperlink" Target="https://www.google.com/url?q=http://codeforces.com/contest/585/problem/E&amp;sa=D&amp;ust=1605639553625000&amp;usg=AFQjCNFQAOmi25cr_pJrnh77D0vyeV7wng" TargetMode="External"/><Relationship Id="rId31" Type="http://schemas.openxmlformats.org/officeDocument/2006/relationships/hyperlink" Target="https://www.google.com/url?q=https://github.com/nya-nya-meow/CompetitiveProgramming/blob/master/Kattis/hanoi18.jurassicjungle.cpp&amp;sa=D&amp;ust=1605639551574000&amp;usg=AFQjCNFj94S-8wqYwGhVFZP-Qa5oNdvb6g" TargetMode="External"/><Relationship Id="rId2099" Type="http://schemas.openxmlformats.org/officeDocument/2006/relationships/hyperlink" Target="https://www.google.com/url?q=https://github.com/mostafa-saad/MyCompetitiveProgramming/blob/master/UVA/UVA_737.txt&amp;sa=D&amp;ust=1605639552803000&amp;usg=AFQjCNGhYbLoRpVwyiMuI9TK02iPvPlVnQ" TargetMode="External"/><Relationship Id="rId278" Type="http://schemas.openxmlformats.org/officeDocument/2006/relationships/hyperlink" Target="https://www.google.com/url?q=https://codeforces.com/problemset/problem/1181/E2&amp;sa=D&amp;ust=1605639551748000&amp;usg=AFQjCNFHKK_7-kOlKJy1ENB859D1aCL3MQ" TargetMode="External"/><Relationship Id="rId3357" Type="http://schemas.openxmlformats.org/officeDocument/2006/relationships/hyperlink" Target="https://www.google.com/url?q=https://www.codechef.com/problems/C2&amp;sa=D&amp;ust=1605639553525000&amp;usg=AFQjCNEATF0D9mBKPPV0UigLvCXVaNim3A" TargetMode="External"/><Relationship Id="rId3564" Type="http://schemas.openxmlformats.org/officeDocument/2006/relationships/hyperlink" Target="https://www.google.com/url?q=https://codeforces.com/contest/821/problem/E&amp;sa=D&amp;ust=1605639553703000&amp;usg=AFQjCNGXJRBeTsVsFfgNEQtpTYR0tfeGFg" TargetMode="External"/><Relationship Id="rId3771" Type="http://schemas.openxmlformats.org/officeDocument/2006/relationships/hyperlink" Target="https://www.google.com/url?q=https://github.com/mostafa-saad/MyCompetitiveProgramming/blob/master/UVA/UVA_1590.txt&amp;sa=D&amp;ust=1605639553842000&amp;usg=AFQjCNEuwVTdn3FXHyUYv5xJo9f2bJ_mUQ" TargetMode="External"/><Relationship Id="rId4408" Type="http://schemas.openxmlformats.org/officeDocument/2006/relationships/hyperlink" Target="https://www.google.com/url?q=http://codeforces.com/contest/337/problem/D&amp;sa=D&amp;ust=1605639554333000&amp;usg=AFQjCNFN7TDEctyFyMcu15NcsLNeyyyQ2A" TargetMode="External"/><Relationship Id="rId485" Type="http://schemas.openxmlformats.org/officeDocument/2006/relationships/hyperlink" Target="https://www.google.com/url?q=https://uva.onlinejudge.org/index.php?option%3Donlinejudge%26page%3Dshow_problem%26problem%3D1217&amp;sa=D&amp;ust=1605639551880000&amp;usg=AFQjCNF0iF3RIXoqJNmC7Wt2Mjhf2CbMcw" TargetMode="External"/><Relationship Id="rId692" Type="http://schemas.openxmlformats.org/officeDocument/2006/relationships/hyperlink" Target="https://www.google.com/url?q=https://www.codechef.com/problems/MBOARD&amp;sa=D&amp;ust=1605639551961000&amp;usg=AFQjCNFQXpThAqtiPsqORI_aNy8vjDKw1Q" TargetMode="External"/><Relationship Id="rId2166" Type="http://schemas.openxmlformats.org/officeDocument/2006/relationships/hyperlink" Target="https://www.google.com/url?q=https://github.com/MeGaCrazy/CompetitiveProgramming/blob/c9f4ed6571a135dbc26cfeeb099384a8fec2ff92/LiveArchive/LIVEARCHIVE_2831.cpp&amp;sa=D&amp;ust=1605639552849000&amp;usg=AFQjCNFf81ExQMwC7m6wdTE5iGbgu-dZhA" TargetMode="External"/><Relationship Id="rId2373" Type="http://schemas.openxmlformats.org/officeDocument/2006/relationships/hyperlink" Target="https://www.google.com/url?q=https://codeforces.com/contest/1082/problem/D&amp;sa=D&amp;ust=1605639552955000&amp;usg=AFQjCNHpJ21KudDp6fYPWgjU3U07XsFi5A" TargetMode="External"/><Relationship Id="rId2580" Type="http://schemas.openxmlformats.org/officeDocument/2006/relationships/hyperlink" Target="https://www.google.com/url?q=http://codeforces.com/contest/219/problem/D&amp;sa=D&amp;ust=1605639553076000&amp;usg=AFQjCNHklTn3EAWqF_ylsv9ezPISQr22Ag" TargetMode="External"/><Relationship Id="rId3217" Type="http://schemas.openxmlformats.org/officeDocument/2006/relationships/hyperlink" Target="https://www.google.com/url?q=http://codeforces.com/contest/499/problem/C&amp;sa=D&amp;ust=1605639553435000&amp;usg=AFQjCNE14IpaBacRSd_kqKNtyOBY9pBwpQ" TargetMode="External"/><Relationship Id="rId3424" Type="http://schemas.openxmlformats.org/officeDocument/2006/relationships/hyperlink" Target="https://www.google.com/url?q=http://codeforces.com/contest/758/problem/C&amp;sa=D&amp;ust=1605639553567000&amp;usg=AFQjCNHIf1uvZOo4QGaeMt98stDMgEd2Pw" TargetMode="External"/><Relationship Id="rId3631" Type="http://schemas.openxmlformats.org/officeDocument/2006/relationships/hyperlink" Target="https://www.google.com/url?q=https://github.com/mostafa-saad/MyCompetitiveProgramming/blob/master/UVA/UVA_11628.txt&amp;sa=D&amp;ust=1605639553750000&amp;usg=AFQjCNHYDhWAZJHNlvlZcXUWOp9BOnLxKA" TargetMode="External"/><Relationship Id="rId138" Type="http://schemas.openxmlformats.org/officeDocument/2006/relationships/hyperlink" Target="https://www.google.com/url?q=http://codeforces.com/contest/733/problem/D&amp;sa=D&amp;ust=1605639551635000&amp;usg=AFQjCNFLffB3GxLBWkNPhUxS59RZhkX_Vw" TargetMode="External"/><Relationship Id="rId345" Type="http://schemas.openxmlformats.org/officeDocument/2006/relationships/hyperlink" Target="https://www.google.com/url?q=http://codeforces.com/problemset/problem/845/D&amp;sa=D&amp;ust=1605639551788000&amp;usg=AFQjCNHcE4bGbt73WJmYR8Z449M_fA75NA" TargetMode="External"/><Relationship Id="rId552" Type="http://schemas.openxmlformats.org/officeDocument/2006/relationships/hyperlink" Target="https://www.google.com/url?q=https://www.codechef.com/problems/UPDOTR&amp;sa=D&amp;ust=1605639551909000&amp;usg=AFQjCNE_W70x01tz74XWuyrvhjoTgmDJrA" TargetMode="External"/><Relationship Id="rId1182" Type="http://schemas.openxmlformats.org/officeDocument/2006/relationships/hyperlink" Target="https://www.google.com/url?q=http://ideone.com/HN1fLp&amp;sa=D&amp;ust=1605639552229000&amp;usg=AFQjCNFRl9RlSMO2xlkd8ck41vJFrS1jnA" TargetMode="External"/><Relationship Id="rId2026" Type="http://schemas.openxmlformats.org/officeDocument/2006/relationships/hyperlink" Target="https://www.google.com/url?q=http://codeforces.com/contest/908/problem/C&amp;sa=D&amp;ust=1605639552749000&amp;usg=AFQjCNEgUks655y4m_gj_Y6jhiyHBD0ALw" TargetMode="External"/><Relationship Id="rId2233" Type="http://schemas.openxmlformats.org/officeDocument/2006/relationships/hyperlink" Target="https://www.google.com/url?q=https://github.com/mostafa-saad/MyCompetitiveProgramming/blob/master/TopCoder/SRM206-D1-500.txt&amp;sa=D&amp;ust=1605639552888000&amp;usg=AFQjCNHWOUauaMydaOynHfwTZBUuWa4qFA" TargetMode="External"/><Relationship Id="rId2440" Type="http://schemas.openxmlformats.org/officeDocument/2006/relationships/hyperlink" Target="https://www.google.com/url?q=https://codeforces.com/contest/1206/problem/D&amp;sa=D&amp;ust=1605639552989000&amp;usg=AFQjCNEkb9Em2050OIHL3jNVgMGh8FqG2g" TargetMode="External"/><Relationship Id="rId205" Type="http://schemas.openxmlformats.org/officeDocument/2006/relationships/hyperlink" Target="https://www.google.com/url?q=https://github.com/MedoN11/CompetitiveProgramming/blob/master/CodeForces/CF621-D2-D-Complex.cpp&amp;sa=D&amp;ust=1605639551681000&amp;usg=AFQjCNETdy5wuPwvEn6CmXPvCKQ_ZGpShA" TargetMode="External"/><Relationship Id="rId412" Type="http://schemas.openxmlformats.org/officeDocument/2006/relationships/hyperlink" Target="https://www.google.com/url?q=https://hanoi18.kattis.com/problems/hanoi18.dividedoughnut&amp;sa=D&amp;ust=1605639551848000&amp;usg=AFQjCNE81SD7IK7DgEPVYPZq0VOy7PLkbA" TargetMode="External"/><Relationship Id="rId1042" Type="http://schemas.openxmlformats.org/officeDocument/2006/relationships/hyperlink" Target="https://www.google.com/url?q=https://onlinejudge.org/index.php?option%3Donlinejudge%26Itemid%3D8%26page%3Dshow_problem%26problem%3D4902&amp;sa=D&amp;ust=1605639552145000&amp;usg=AFQjCNHr1Ex6FwHl1j4_CN0Lv-a7xCD9Mg" TargetMode="External"/><Relationship Id="rId2300" Type="http://schemas.openxmlformats.org/officeDocument/2006/relationships/hyperlink" Target="https://www.google.com/url?q=https://codeforces.com/contest/1098/problem/C&amp;sa=D&amp;ust=1605639552929000&amp;usg=AFQjCNGnlGJLhNmk_WRxbHwXV6pSRVARsQ" TargetMode="External"/><Relationship Id="rId4198" Type="http://schemas.openxmlformats.org/officeDocument/2006/relationships/hyperlink" Target="https://www.google.com/url?q=https://github.com/mostafa-saad/MyCompetitiveProgramming/blob/master/UVA/UVA_10777.txt&amp;sa=D&amp;ust=1605639554241000&amp;usg=AFQjCNGTT5TLfv4M0YyNKvolxM1dOn5_xg" TargetMode="External"/><Relationship Id="rId1999" Type="http://schemas.openxmlformats.org/officeDocument/2006/relationships/hyperlink" Target="https://www.google.com/url?q=https://github.com/MohamedNabil97/CompetitiveProgramming/blob/master/UVA/10991.cpp&amp;sa=D&amp;ust=1605639552733000&amp;usg=AFQjCNEoO1Ou6Cw4zE-EZLvL211QdorIcw" TargetMode="External"/><Relationship Id="rId4058" Type="http://schemas.openxmlformats.org/officeDocument/2006/relationships/hyperlink" Target="https://www.google.com/url?q=https://github.com/nikolapesic2802/Programming-Practice/blob/master/Leaves/main.cpp&amp;sa=D&amp;ust=1605639554153000&amp;usg=AFQjCNEHm77AEL7kE13s4WPpL4FC05-m5w" TargetMode="External"/><Relationship Id="rId4265" Type="http://schemas.openxmlformats.org/officeDocument/2006/relationships/hyperlink" Target="https://www.google.com/url?q=https://www.hackerrank.com/contests/university-codesprint-5/challenges/sword-profit&amp;sa=D&amp;ust=1605639554271000&amp;usg=AFQjCNEHanJ3VIzIPA0uDZVV_1qV7-AyBw" TargetMode="External"/><Relationship Id="rId1859" Type="http://schemas.openxmlformats.org/officeDocument/2006/relationships/hyperlink" Target="https://www.google.com/url?q=http://codeforces.com/contest/851/problem/E&amp;sa=D&amp;ust=1605639552644000&amp;usg=AFQjCNHEnIGcVCFDD2IoGQLw_xfv9ojzxQ" TargetMode="External"/><Relationship Id="rId3074" Type="http://schemas.openxmlformats.org/officeDocument/2006/relationships/hyperlink" Target="https://www.google.com/url?q=http://codeforces.com/contest/609/problem/E&amp;sa=D&amp;ust=1605639553359000&amp;usg=AFQjCNEHeLldBL2duRv-okZW3ats6HUrPw" TargetMode="External"/><Relationship Id="rId4125" Type="http://schemas.openxmlformats.org/officeDocument/2006/relationships/hyperlink" Target="https://www.google.com/url?q=http://codeforces.com/contest/274/problem/D&amp;sa=D&amp;ust=1605639554192000&amp;usg=AFQjCNFLx_jnE_WNnSC9uUPnNrP5iLbaCA" TargetMode="External"/><Relationship Id="rId1719" Type="http://schemas.openxmlformats.org/officeDocument/2006/relationships/hyperlink" Target="https://www.google.com/url?q=https://codeforces.com/contest/1064/problem/C&amp;sa=D&amp;ust=1605639552570000&amp;usg=AFQjCNGeH8In-vKAGeKmJ-Ngz5eA0HT2zg" TargetMode="External"/><Relationship Id="rId1926" Type="http://schemas.openxmlformats.org/officeDocument/2006/relationships/hyperlink" Target="https://www.google.com/url?q=https://github.com/ryuzmukhametov/CompetitiveProgramming/blob/master/livearchive/LIVEARCHIVE%25204043.cpp&amp;sa=D&amp;ust=1605639552694000&amp;usg=AFQjCNFfWwb6ma1b6HpJtbke5QNTZ-qoDQ" TargetMode="External"/><Relationship Id="rId3281" Type="http://schemas.openxmlformats.org/officeDocument/2006/relationships/hyperlink" Target="https://www.google.com/url?q=http://codeforces.com/contest/534/problem/C&amp;sa=D&amp;ust=1605639553470000&amp;usg=AFQjCNE9nbYGqtwU6cVxgm628J2QMUsZYA" TargetMode="External"/><Relationship Id="rId4332" Type="http://schemas.openxmlformats.org/officeDocument/2006/relationships/hyperlink" Target="https://www.google.com/url?q=http://codeforces.com/contest/739/problem/E&amp;sa=D&amp;ust=1605639554297000&amp;usg=AFQjCNFuar_H2HpYuTTwJ0CmVPQQCtp8Gg" TargetMode="External"/><Relationship Id="rId2090" Type="http://schemas.openxmlformats.org/officeDocument/2006/relationships/hyperlink" Target="https://www.google.com/url?q=https://github.com/shanto86/Training/blob/master/CodeForces/CF248-D2-C.cpp&amp;sa=D&amp;ust=1605639552798000&amp;usg=AFQjCNHSwwF24pHbx2VKzAkCXtxJwx0_nQ" TargetMode="External"/><Relationship Id="rId3141" Type="http://schemas.openxmlformats.org/officeDocument/2006/relationships/hyperlink" Target="https://www.google.com/url?q=https://codeforces.com/contest/1088/problem/D&amp;sa=D&amp;ust=1605639553401000&amp;usg=AFQjCNEB4ZHz6UsZA85lCAOMSMl1Yu8KyQ" TargetMode="External"/><Relationship Id="rId3001" Type="http://schemas.openxmlformats.org/officeDocument/2006/relationships/hyperlink" Target="https://www.google.com/url?q=http://codeforces.com/contest/588/problem/F&amp;sa=D&amp;ust=1605639553320000&amp;usg=AFQjCNHih0khhM2LNbGQPXjnXrYJ29sbXA" TargetMode="External"/><Relationship Id="rId3958" Type="http://schemas.openxmlformats.org/officeDocument/2006/relationships/hyperlink" Target="https://www.google.com/url?q=http://codeforces.com/contest/469/problem/C&amp;sa=D&amp;ust=1605639553947000&amp;usg=AFQjCNFrzVrBG-7jb3uMwolpZOm2bb1pJA" TargetMode="External"/><Relationship Id="rId879" Type="http://schemas.openxmlformats.org/officeDocument/2006/relationships/hyperlink" Target="https://www.google.com/url?q=https://codingcompetitions.withgoogle.com/kickstart/round/0000000000050edd/00000000001a274e&amp;sa=D&amp;ust=1605639552057000&amp;usg=AFQjCNFa_oDNPbVYpZaQzv5_1y6vvrpTxw" TargetMode="External"/><Relationship Id="rId2767" Type="http://schemas.openxmlformats.org/officeDocument/2006/relationships/hyperlink" Target="https://www.google.com/url?q=http://codeforces.com/contest/301/problem/B?mobile%3Dfalse&amp;sa=D&amp;ust=1605639553187000&amp;usg=AFQjCNF4MTiiNuSj6fc5RghvYWG3tIJBHQ" TargetMode="External"/><Relationship Id="rId739" Type="http://schemas.openxmlformats.org/officeDocument/2006/relationships/hyperlink" Target="https://www.google.com/url?q=https://codeforces.com/contest/1191/problem/E&amp;sa=D&amp;ust=1605639551982000&amp;usg=AFQjCNHnfS-cs-h5iHr-bRkGyziFON9Ivw" TargetMode="External"/><Relationship Id="rId1369" Type="http://schemas.openxmlformats.org/officeDocument/2006/relationships/hyperlink" Target="https://www.google.com/url?q=https://github.com/mostafa-saad/MyCompetitiveProgramming/blob/master/Codeforces/CF101064-GYM-B.txt&amp;sa=D&amp;ust=1605639552357000&amp;usg=AFQjCNHqUJrAOxnjaZGz3GvtQHlKGHBVQw" TargetMode="External"/><Relationship Id="rId1576" Type="http://schemas.openxmlformats.org/officeDocument/2006/relationships/hyperlink" Target="https://www.google.com/url?q=http://codeforces.com/problemset/problem/884/D&amp;sa=D&amp;ust=1605639552487000&amp;usg=AFQjCNGbIEjB88_PH6EQxs5m8izHZnn3ww" TargetMode="External"/><Relationship Id="rId2974" Type="http://schemas.openxmlformats.org/officeDocument/2006/relationships/hyperlink" Target="https://www.google.com/url?q=https://uva.onlinejudge.org/index.php?option%3Donlinejudge%26page%3Dshow_problem%26problem%3D1403&amp;sa=D&amp;ust=1605639553305000&amp;usg=AFQjCNHkluitnAMimG1Q0lb1OXau0_vVGg" TargetMode="External"/><Relationship Id="rId3818" Type="http://schemas.openxmlformats.org/officeDocument/2006/relationships/hyperlink" Target="https://www.google.com/url?q=http://codeforces.com/contest/316/problem/G2&amp;sa=D&amp;ust=1605639553876000&amp;usg=AFQjCNEecP1tRPkh3clb1cfRm6Bco099Cw" TargetMode="External"/><Relationship Id="rId946" Type="http://schemas.openxmlformats.org/officeDocument/2006/relationships/hyperlink" Target="https://www.google.com/url?q=http://codeforces.com/gym/101492/problem/J&amp;sa=D&amp;ust=1605639552098000&amp;usg=AFQjCNHRSs8CsZXDSGoxPXXI1MUA9iAQMw" TargetMode="External"/><Relationship Id="rId1229" Type="http://schemas.openxmlformats.org/officeDocument/2006/relationships/hyperlink" Target="https://www.google.com/url?q=https://agc004.contest.atcoder.jp/tasks/agc004_e&amp;sa=D&amp;ust=1605639552270000&amp;usg=AFQjCNEeZFKMa7Q6aWh2V5ZG8LsYivK2pw" TargetMode="External"/><Relationship Id="rId1783" Type="http://schemas.openxmlformats.org/officeDocument/2006/relationships/hyperlink" Target="https://www.google.com/url?q=https://github.com/MetalBall887/Competitive-Programming/blob/master/CodeForces/CF919-D2-F.cpp&amp;sa=D&amp;ust=1605639552605000&amp;usg=AFQjCNHz9cLTSwCKd_UFVstuqwV_pf0-kQ" TargetMode="External"/><Relationship Id="rId1990" Type="http://schemas.openxmlformats.org/officeDocument/2006/relationships/hyperlink" Target="https://www.google.com/url?q=http://codeforces.com/contest/60/problem/C&amp;sa=D&amp;ust=1605639552727000&amp;usg=AFQjCNFrmRSOnY69ls5EHiFwNJ7h7LTLrA" TargetMode="External"/><Relationship Id="rId2627" Type="http://schemas.openxmlformats.org/officeDocument/2006/relationships/hyperlink" Target="https://www.google.com/url?q=http://codeforces.com/contest/96/problem/D&amp;sa=D&amp;ust=1605639553110000&amp;usg=AFQjCNF38nDRPoHCphedjlurlNA2O98INw" TargetMode="External"/><Relationship Id="rId2834" Type="http://schemas.openxmlformats.org/officeDocument/2006/relationships/hyperlink" Target="https://www.google.com/url?q=https://github.com/MohamedNabil97/CompetitiveProgramming/blob/master/TJU/2823.cpp&amp;sa=D&amp;ust=1605639553228000&amp;usg=AFQjCNFYlG2q9t0BX3G_RzJ4iJxaGWIXjA" TargetMode="External"/><Relationship Id="rId75" Type="http://schemas.openxmlformats.org/officeDocument/2006/relationships/hyperlink" Target="https://www.google.com/url?q=https://codingcompetitions.withgoogle.com/kickstart/round/0000000000050ff2/0000000000150aae&amp;sa=D&amp;ust=1605639551596000&amp;usg=AFQjCNF1HFZv73eAXMoeOeqWWj2jZ7Y3hQ" TargetMode="External"/><Relationship Id="rId806" Type="http://schemas.openxmlformats.org/officeDocument/2006/relationships/hyperlink" Target="https://www.google.com/url?q=http://www.spoj.com/problems/CNTPRIME&amp;sa=D&amp;ust=1605639552017000&amp;usg=AFQjCNHttBxJX7YuY3Godc_iKE4v67xsDA" TargetMode="External"/><Relationship Id="rId1436" Type="http://schemas.openxmlformats.org/officeDocument/2006/relationships/hyperlink" Target="https://www.google.com/url?q=https://github.com/mostafa-saad/MyCompetitiveProgramming/blob/master/UVA/UVA_11176.txt&amp;sa=D&amp;ust=1605639552408000&amp;usg=AFQjCNEb_6uwzIzxbSM36SnobEKBgKLUKg" TargetMode="External"/><Relationship Id="rId1643" Type="http://schemas.openxmlformats.org/officeDocument/2006/relationships/hyperlink" Target="https://www.google.com/url?q=https://agc002.contest.atcoder.jp/tasks/agc002_c&amp;sa=D&amp;ust=1605639552525000&amp;usg=AFQjCNHeWKpw9ukYErvLuoaNEx0laqyZ_g" TargetMode="External"/><Relationship Id="rId1850" Type="http://schemas.openxmlformats.org/officeDocument/2006/relationships/hyperlink" Target="https://www.google.com/url?q=https://www.codechef.com/COOK98A/problems/GHVSSI&amp;sa=D&amp;ust=1605639552640000&amp;usg=AFQjCNEVW7CpmzinQbOy3Xb_Jj_lmufGhA" TargetMode="External"/><Relationship Id="rId2901" Type="http://schemas.openxmlformats.org/officeDocument/2006/relationships/hyperlink" Target="https://www.google.com/url?q=https://github.com/tanmoy13/CompetitveProgramming/blob/master/Online-Judge-Solutions/LiveArchive/3128%2520-%2520Card%2520Game%2520Cheater.cpp&amp;sa=D&amp;ust=1605639553264000&amp;usg=AFQjCNFai3MFByYDQ56kLqBR478vzbzkdQ" TargetMode="External"/><Relationship Id="rId1503" Type="http://schemas.openxmlformats.org/officeDocument/2006/relationships/hyperlink" Target="https://www.google.com/url?q=https://github.com/Huvok/CompetitiveProgramming/blob/master/UVA/1351.cpp&amp;sa=D&amp;ust=1605639552447000&amp;usg=AFQjCNGllk8jjjPQXIlyLXIIIgWKtdfmPg" TargetMode="External"/><Relationship Id="rId1710" Type="http://schemas.openxmlformats.org/officeDocument/2006/relationships/hyperlink" Target="https://www.google.com/url?q=http://ideone.com/J4ZSf4&amp;sa=D&amp;ust=1605639552565000&amp;usg=AFQjCNFlpL-Q0r07xyfbclRs_O3Dw-lcew" TargetMode="External"/><Relationship Id="rId3468" Type="http://schemas.openxmlformats.org/officeDocument/2006/relationships/hyperlink" Target="https://www.google.com/url?q=http://codeforces.com/contest/300/problem/E&amp;sa=D&amp;ust=1605639553596000&amp;usg=AFQjCNHBGni8uE76rVMXTJVHy0o--A1S9g" TargetMode="External"/><Relationship Id="rId3675" Type="http://schemas.openxmlformats.org/officeDocument/2006/relationships/hyperlink" Target="https://www.google.com/url?q=https://www.hackerrank.com/challenges/div-and-span&amp;sa=D&amp;ust=1605639553783000&amp;usg=AFQjCNG9_ZKtivDDOn-TOU0RgmxuZ4OOWQ" TargetMode="External"/><Relationship Id="rId3882" Type="http://schemas.openxmlformats.org/officeDocument/2006/relationships/hyperlink" Target="https://www.google.com/url?q=https://www.spoj.com/problems/TREAP/&amp;sa=D&amp;ust=1605639553909000&amp;usg=AFQjCNEgNhPm16vgE0tSC1qA1rQZPAK7UA" TargetMode="External"/><Relationship Id="rId389" Type="http://schemas.openxmlformats.org/officeDocument/2006/relationships/hyperlink" Target="https://www.google.com/url?q=http://codeforces.com/contest/862/problem/D&amp;sa=D&amp;ust=1605639551831000&amp;usg=AFQjCNEe2kyj1aXbyRWwC6VjcHsfv16DIw" TargetMode="External"/><Relationship Id="rId596" Type="http://schemas.openxmlformats.org/officeDocument/2006/relationships/hyperlink" Target="https://www.google.com/url?q=https://www.codechef.com/DEC18A/problems/CBFEAST&amp;sa=D&amp;ust=1605639551925000&amp;usg=AFQjCNEbSuIFVvgQs2gaZE4azg6OKpG47Q" TargetMode="External"/><Relationship Id="rId2277" Type="http://schemas.openxmlformats.org/officeDocument/2006/relationships/hyperlink" Target="https://www.google.com/url?q=http://codeforces.com/gym/101726/problem/A&amp;sa=D&amp;ust=1605639552915000&amp;usg=AFQjCNHyv_xPSapazS_pXK9IYUAoe1MP2A" TargetMode="External"/><Relationship Id="rId2484" Type="http://schemas.openxmlformats.org/officeDocument/2006/relationships/hyperlink" Target="https://www.google.com/url?q=http://codeforces.com/contest/592/problem/D&amp;sa=D&amp;ust=1605639553024000&amp;usg=AFQjCNGjk886W7ujyG2azNB6BhPu9wyaqA" TargetMode="External"/><Relationship Id="rId2691" Type="http://schemas.openxmlformats.org/officeDocument/2006/relationships/hyperlink" Target="https://www.google.com/url?q=https://github.com/Maverick10/Competitive-Programming/blob/master/Solutions/SPOJ/SPOJ%2520INVENT.cpp&amp;sa=D&amp;ust=1605639553142000&amp;usg=AFQjCNEBHXEQlBf6pdpgVO-mNX5qAvJOJA" TargetMode="External"/><Relationship Id="rId3328" Type="http://schemas.openxmlformats.org/officeDocument/2006/relationships/hyperlink" Target="https://www.google.com/url?q=https://github.com/dasannagariraja/CompetitiveProgramming/blob/master/AtCoder/AtCoder026-AGC-B.cpp&amp;sa=D&amp;ust=1605639553504000&amp;usg=AFQjCNElh8nI2kvdSyNBtE41ycPpoZe-iw" TargetMode="External"/><Relationship Id="rId3535" Type="http://schemas.openxmlformats.org/officeDocument/2006/relationships/hyperlink" Target="https://www.google.com/url?q=http://xoptutorials.com/index.php/2017/01/01/timus1349/&amp;sa=D&amp;ust=1605639553655000&amp;usg=AFQjCNEQPPb0ul8Hs06ndIanTV5IJwf9LQ" TargetMode="External"/><Relationship Id="rId3742" Type="http://schemas.openxmlformats.org/officeDocument/2006/relationships/hyperlink" Target="https://www.google.com/url?q=https://csacademy.com/contest/round-42/task/xor-submatrix/&amp;sa=D&amp;ust=1605639553826000&amp;usg=AFQjCNH-PXdwunobIdI2rfCKXDdQTiml3A" TargetMode="External"/><Relationship Id="rId249" Type="http://schemas.openxmlformats.org/officeDocument/2006/relationships/hyperlink" Target="https://www.google.com/url?q=http://codeforces.com/contest/368/problem/C&amp;sa=D&amp;ust=1605639551714000&amp;usg=AFQjCNE5aPheQ-THfHWmFhlUDrfftneiDA" TargetMode="External"/><Relationship Id="rId456" Type="http://schemas.openxmlformats.org/officeDocument/2006/relationships/hyperlink" Target="https://www.google.com/url?q=http://codeforces.com/contest/344/problem/E&amp;sa=D&amp;ust=1605639551866000&amp;usg=AFQjCNGPijB7LLMW8G1xJX6HV3vlgy0uHA" TargetMode="External"/><Relationship Id="rId663" Type="http://schemas.openxmlformats.org/officeDocument/2006/relationships/hyperlink" Target="https://www.google.com/url?q=http://codeforces.com/contest/580/problem/E&amp;sa=D&amp;ust=1605639551947000&amp;usg=AFQjCNHvKnDm-4i5uq5At3wutCkL-HVDew" TargetMode="External"/><Relationship Id="rId870" Type="http://schemas.openxmlformats.org/officeDocument/2006/relationships/hyperlink" Target="https://www.google.com/url?q=https://github.com/magdy-hasan/competitive-programming/blob/master/SPOJ/SPOJ%2520NICEDAY%2520-%2520The%2520day%2520of%2520the%2520competitors.cpp&amp;sa=D&amp;ust=1605639552050000&amp;usg=AFQjCNF6CzqD244jHy3sqtVrsbfMjxiupg" TargetMode="External"/><Relationship Id="rId1086" Type="http://schemas.openxmlformats.org/officeDocument/2006/relationships/hyperlink" Target="https://www.google.com/url?q=https://github.com/YazanZebak/CompetitiveProgramming/blob/master/Codeforces/CF102021-GYM-K.cpp&amp;sa=D&amp;ust=1605639552170000&amp;usg=AFQjCNEv4uC2K3IDTvCOPykdXIIxldQNDQ" TargetMode="External"/><Relationship Id="rId1293" Type="http://schemas.openxmlformats.org/officeDocument/2006/relationships/hyperlink" Target="https://www.google.com/url?q=http://codeforces.com/contest/454/problem/D&amp;sa=D&amp;ust=1605639552312000&amp;usg=AFQjCNEmby9Ke4UemTMySpzZqVkKZ_pgXw" TargetMode="External"/><Relationship Id="rId2137" Type="http://schemas.openxmlformats.org/officeDocument/2006/relationships/hyperlink" Target="https://www.google.com/url?q=http://codeforces.com/problemset/gymProblem/101142/I&amp;sa=D&amp;ust=1605639552831000&amp;usg=AFQjCNEeQThiSWn14dLx5we_vi7uYbw45A" TargetMode="External"/><Relationship Id="rId2344" Type="http://schemas.openxmlformats.org/officeDocument/2006/relationships/hyperlink" Target="https://www.google.com/url?q=http://codeforces.com/gym/101615/attachments/download/6308/20172018-acmicpc-pacific-northwest-regional-contest-div-1-en.pdf&amp;sa=D&amp;ust=1605639552945000&amp;usg=AFQjCNFpQGpMOZqpBx7u6M706GIt7TKRgw" TargetMode="External"/><Relationship Id="rId2551" Type="http://schemas.openxmlformats.org/officeDocument/2006/relationships/hyperlink" Target="https://www.google.com/url?q=https://github.com/mostafa-saad/MyCompetitiveProgramming/blob/master/Codeforces/CF101102-GYM-K.txt&amp;sa=D&amp;ust=1605639553060000&amp;usg=AFQjCNHSKqGt720Ve6l3_Y1mO07-9VV-cQ" TargetMode="External"/><Relationship Id="rId109" Type="http://schemas.openxmlformats.org/officeDocument/2006/relationships/hyperlink" Target="https://www.google.com/url?q=https://github.com/MedoN11/CompetitiveProgramming/blob/master/Atcoder/ATCODER-AGC-019-B.cpp&amp;sa=D&amp;ust=1605639551617000&amp;usg=AFQjCNHkUpdeQKoKB_xZcxOQaXguOR6y_g" TargetMode="External"/><Relationship Id="rId316" Type="http://schemas.openxmlformats.org/officeDocument/2006/relationships/hyperlink" Target="https://www.google.com/url?q=http://codeforces.com/contest/548/problem/D&amp;sa=D&amp;ust=1605639551764000&amp;usg=AFQjCNFPrmxfvtFxcM3jXtfmw6UpZ8W3Zw" TargetMode="External"/><Relationship Id="rId523" Type="http://schemas.openxmlformats.org/officeDocument/2006/relationships/hyperlink" Target="https://www.google.com/url?q=http://codeforces.com/contest/839/problem/E&amp;sa=D&amp;ust=1605639551897000&amp;usg=AFQjCNFIbeTMvGZb9EAP9EOezS6aXvY-Ng" TargetMode="External"/><Relationship Id="rId1153" Type="http://schemas.openxmlformats.org/officeDocument/2006/relationships/hyperlink" Target="https://www.google.com/url?q=http://codeforces.com/contest/527/problem/D&amp;sa=D&amp;ust=1605639552213000&amp;usg=AFQjCNFtRzBpeaxB6EeE6FwbzOIUZIO3Uw" TargetMode="External"/><Relationship Id="rId2204" Type="http://schemas.openxmlformats.org/officeDocument/2006/relationships/hyperlink" Target="https://www.google.com/url?q=http://codeforces.com/contest/35/problem/E&amp;sa=D&amp;ust=1605639552875000&amp;usg=AFQjCNFnYJg0z5Vop6Ha7V5heOyV2pEbQg" TargetMode="External"/><Relationship Id="rId3602" Type="http://schemas.openxmlformats.org/officeDocument/2006/relationships/hyperlink" Target="https://www.google.com/url?q=https://codeforces.com/contest/1061/problem/F&amp;sa=D&amp;ust=1605639553733000&amp;usg=AFQjCNGFdlrNciIyokfnIKEekFyOldo3QA" TargetMode="External"/><Relationship Id="rId730" Type="http://schemas.openxmlformats.org/officeDocument/2006/relationships/hyperlink" Target="https://www.google.com/url?q=http://www.spoj.com/problems/GSS3/&amp;sa=D&amp;ust=1605639551978000&amp;usg=AFQjCNGa2cU7XFJGtVAVf0rAcbo62G23Ew" TargetMode="External"/><Relationship Id="rId1013" Type="http://schemas.openxmlformats.org/officeDocument/2006/relationships/hyperlink" Target="https://www.google.com/url?q=https://codeforces.com/contest/1206/problem/E&amp;sa=D&amp;ust=1605639552131000&amp;usg=AFQjCNGo9RRv_KgkIEh1vdqxpEdax6CiiQ" TargetMode="External"/><Relationship Id="rId1360" Type="http://schemas.openxmlformats.org/officeDocument/2006/relationships/hyperlink" Target="https://www.google.com/url?q=https://www.hackerrank.com/contests/monthly/challenges/alien-languages/problem&amp;sa=D&amp;ust=1605639552353000&amp;usg=AFQjCNF_OsGJsJCcfsNXmNYN5p1maVFhiA" TargetMode="External"/><Relationship Id="rId2411" Type="http://schemas.openxmlformats.org/officeDocument/2006/relationships/hyperlink" Target="https://www.google.com/url?q=http://codeforces.com/contest/716/problem/D&amp;sa=D&amp;ust=1605639552975000&amp;usg=AFQjCNEsTC89gmNU4W3BysPC37BBnwCdTw" TargetMode="External"/><Relationship Id="rId4169" Type="http://schemas.openxmlformats.org/officeDocument/2006/relationships/hyperlink" Target="https://www.google.com/url?q=http://codeforces.com/contest/280/problem/C&amp;sa=D&amp;ust=1605639554217000&amp;usg=AFQjCNEdvrCKsnkxt1bBYvJWkwvz7Mt0VA" TargetMode="External"/><Relationship Id="rId1220" Type="http://schemas.openxmlformats.org/officeDocument/2006/relationships/hyperlink" Target="https://www.google.com/url?q=https://github.com/mostafa-saad/MyCompetitiveProgramming/blob/master/UVA/UVA_1390.txt&amp;sa=D&amp;ust=1605639552264000&amp;usg=AFQjCNFRnQrEPkfErFP0m0ZcI2TJVC1eGg" TargetMode="External"/><Relationship Id="rId4376" Type="http://schemas.openxmlformats.org/officeDocument/2006/relationships/hyperlink" Target="https://www.google.com/url?q=https://codeforces.com/contest/1280/problem/D&amp;sa=D&amp;ust=1605639554315000&amp;usg=AFQjCNFUDWk_YbJXGjpcnDKhDt_z2DMluA" TargetMode="External"/><Relationship Id="rId3185" Type="http://schemas.openxmlformats.org/officeDocument/2006/relationships/hyperlink" Target="https://www.google.com/url?q=http://codeforces.com/problemset/problem/899/D&amp;sa=D&amp;ust=1605639553420000&amp;usg=AFQjCNH1LvnU8QAMBLfIvxLBggXYcHTmVQ" TargetMode="External"/><Relationship Id="rId3392" Type="http://schemas.openxmlformats.org/officeDocument/2006/relationships/hyperlink" Target="https://www.google.com/url?q=https://github.com/mraron/CompetitiveProgramming/blob/master/CodeForces/102032E.cpp&amp;sa=D&amp;ust=1605639553547000&amp;usg=AFQjCNGJ7Z2GVAqdHsxeQn7eKhFgh09LMg" TargetMode="External"/><Relationship Id="rId4029" Type="http://schemas.openxmlformats.org/officeDocument/2006/relationships/hyperlink" Target="https://www.google.com/url?q=https://github.com/MonaAhmed810/CompetitiveProgramming/tree/master/Codeforces/CF101589-GYM-H&amp;sa=D&amp;ust=1605639554142000&amp;usg=AFQjCNHLOK8zI2s5DvJ_PNAWVBDeUI0Q2w" TargetMode="External"/><Relationship Id="rId4236" Type="http://schemas.openxmlformats.org/officeDocument/2006/relationships/hyperlink" Target="https://www.google.com/url?q=https://www.hackerrank.com/challenges/bst-maintenance/problem&amp;sa=D&amp;ust=1605639554259000&amp;usg=AFQjCNENDmxQAx98Yc9c7lOL25iV7bg6jQ" TargetMode="External"/><Relationship Id="rId4443" Type="http://schemas.openxmlformats.org/officeDocument/2006/relationships/hyperlink" Target="https://www.google.com/url?q=http://codeforces.com/contest/993/problem/E&amp;sa=D&amp;ust=1605639554347000&amp;usg=AFQjCNGPpnm_cSj9Qasd-t8i51tOIcZb7Q" TargetMode="External"/><Relationship Id="rId3045" Type="http://schemas.openxmlformats.org/officeDocument/2006/relationships/hyperlink" Target="https://www.google.com/url?q=https://codeforces.com/contest/1214/problem/D&amp;sa=D&amp;ust=1605639553347000&amp;usg=AFQjCNGm7SGeE0u_toDFr_xLIFX8pB4uzg" TargetMode="External"/><Relationship Id="rId3252" Type="http://schemas.openxmlformats.org/officeDocument/2006/relationships/hyperlink" Target="https://www.google.com/url?q=http://codeforces.com/contest/680/problem/C&amp;sa=D&amp;ust=1605639553456000&amp;usg=AFQjCNFI0fh-RCug-ML9yjrOtGYbWOyJGQ" TargetMode="External"/><Relationship Id="rId4303" Type="http://schemas.openxmlformats.org/officeDocument/2006/relationships/hyperlink" Target="https://www.google.com/url?q=https://www.codechef.com/problems/MINXOR&amp;sa=D&amp;ust=1605639554285000&amp;usg=AFQjCNGun-PplMM03F89_AyZnJ4wfxQbdw" TargetMode="External"/><Relationship Id="rId173" Type="http://schemas.openxmlformats.org/officeDocument/2006/relationships/hyperlink" Target="https://www.google.com/url?q=https://apps.topcoder.com/forums/?module%3DThread%26threadID%3D686244%26start%3D0%26mc%3D8&amp;sa=D&amp;ust=1605639551658000&amp;usg=AFQjCNHoc8muDjQKdJsI12slzhJp9xFLdQ" TargetMode="External"/><Relationship Id="rId380" Type="http://schemas.openxmlformats.org/officeDocument/2006/relationships/hyperlink" Target="https://www.google.com/url?q=https://uva.onlinejudge.org/index.php?option%3Donlinejudge%26page%3Dshow_problem%26problem%3D563&amp;sa=D&amp;ust=1605639551820000&amp;usg=AFQjCNEN0ydLoqXiVSe36Swhsf9eagfnIQ" TargetMode="External"/><Relationship Id="rId2061" Type="http://schemas.openxmlformats.org/officeDocument/2006/relationships/hyperlink" Target="https://www.google.com/url?q=https://ideone.com/dFbdzh&amp;sa=D&amp;ust=1605639552778000&amp;usg=AFQjCNGwv7Bg1V6ZTu3_JH2Z_3kp3NZX_g" TargetMode="External"/><Relationship Id="rId3112" Type="http://schemas.openxmlformats.org/officeDocument/2006/relationships/hyperlink" Target="https://www.google.com/url?q=https://www.codechef.com/problems/BMASTER&amp;sa=D&amp;ust=1605639553383000&amp;usg=AFQjCNGjkC_audRaljuRgmjmp8lLFe9iJA" TargetMode="External"/><Relationship Id="rId240" Type="http://schemas.openxmlformats.org/officeDocument/2006/relationships/hyperlink" Target="https://www.google.com/url?q=http://codeforces.com/contest/911/problem/D&amp;sa=D&amp;ust=1605639551705000&amp;usg=AFQjCNHUdzPMaP3N88VEzqP3IC4XIIQSAA" TargetMode="External"/><Relationship Id="rId100" Type="http://schemas.openxmlformats.org/officeDocument/2006/relationships/hyperlink" Target="https://www.google.com/url?q=http://codeforces.com/problemset/problem/957/D&amp;sa=D&amp;ust=1605639551611000&amp;usg=AFQjCNEGtMOnhiyzFjZ_OLMO436suyIfZw" TargetMode="External"/><Relationship Id="rId2878" Type="http://schemas.openxmlformats.org/officeDocument/2006/relationships/hyperlink" Target="https://www.google.com/url?q=https://github.com/mostafa-saad/MyCompetitiveProgramming/blob/master/SPOJ/SPOJ_OILCOMP.txt&amp;sa=D&amp;ust=1605639553252000&amp;usg=AFQjCNEOdclfYsqB5OtbKs5RHRlLidkNcg" TargetMode="External"/><Relationship Id="rId3929" Type="http://schemas.openxmlformats.org/officeDocument/2006/relationships/hyperlink" Target="https://www.google.com/url?q=http://codeforces.com/contest/292/problem/C&amp;sa=D&amp;ust=1605639553934000&amp;usg=AFQjCNGqL-2IWB4Y9LgeZnCQ1Bk-nY35Fw" TargetMode="External"/><Relationship Id="rId4093" Type="http://schemas.openxmlformats.org/officeDocument/2006/relationships/hyperlink" Target="https://www.google.com/url?q=http://acm.zju.edu.cn/onlinejudge/showProblem.do?problemCode%3D3213&amp;sa=D&amp;ust=1605639554170000&amp;usg=AFQjCNF9ZKsclwDhKttFd7HINx4JXQRIPw" TargetMode="External"/><Relationship Id="rId1687" Type="http://schemas.openxmlformats.org/officeDocument/2006/relationships/hyperlink" Target="https://www.google.com/url?q=http://codeforces.com/contest/729/problem/D&amp;sa=D&amp;ust=1605639552554000&amp;usg=AFQjCNHwn7dxS7k0wQOhHr2QhdBb8mxZzg" TargetMode="External"/><Relationship Id="rId1894" Type="http://schemas.openxmlformats.org/officeDocument/2006/relationships/hyperlink" Target="https://www.google.com/url?q=http://codeforces.com/contest/13/problem/D&amp;sa=D&amp;ust=1605639552662000&amp;usg=AFQjCNGEP9DPLuX7QjZJM45WXX_y7m6qkA" TargetMode="External"/><Relationship Id="rId2738" Type="http://schemas.openxmlformats.org/officeDocument/2006/relationships/hyperlink" Target="https://www.google.com/url?q=https://github.com/mostafa-saad/MyCompetitiveProgramming/blob/master/UVA/UVA_10040.txt&amp;sa=D&amp;ust=1605639553168000&amp;usg=AFQjCNFssd92_Pc9R-IeFPqywFostAHPmA" TargetMode="External"/><Relationship Id="rId2945" Type="http://schemas.openxmlformats.org/officeDocument/2006/relationships/hyperlink" Target="https://www.google.com/url?q=https://github.com/ryuzmukhametov/CompetitiveProgramming/blob/master/uva/UVA%25201151.cpp&amp;sa=D&amp;ust=1605639553289000&amp;usg=AFQjCNGVK0iHR9GaLA40jmzs_dkb6gr9cQ" TargetMode="External"/><Relationship Id="rId917" Type="http://schemas.openxmlformats.org/officeDocument/2006/relationships/hyperlink" Target="https://www.google.com/url?q=http://codeforces.com/gym/101064/problem/L&amp;sa=D&amp;ust=1605639552080000&amp;usg=AFQjCNFou4605R_rxL5UJmYX7SPl-TifKA" TargetMode="External"/><Relationship Id="rId1547" Type="http://schemas.openxmlformats.org/officeDocument/2006/relationships/hyperlink" Target="https://www.google.com/url?q=http://codeforces.com/contest/404/problem/E&amp;sa=D&amp;ust=1605639552472000&amp;usg=AFQjCNEOiYYqn8jEuEVEeVDppuu-M4uu9w" TargetMode="External"/><Relationship Id="rId1754" Type="http://schemas.openxmlformats.org/officeDocument/2006/relationships/hyperlink" Target="https://www.google.com/url?q=http://codeforces.com/contest/979/problem/B&amp;sa=D&amp;ust=1605639552588000&amp;usg=AFQjCNGQX54KQWrGkHPc42ULfMR3PbNJuA" TargetMode="External"/><Relationship Id="rId1961" Type="http://schemas.openxmlformats.org/officeDocument/2006/relationships/hyperlink" Target="https://www.google.com/url?q=http://codeforces.com/gym/101864/problem/L&amp;sa=D&amp;ust=1605639552713000&amp;usg=AFQjCNGMwWqBrjVrdBTJBENa_ClgVfS6BA" TargetMode="External"/><Relationship Id="rId2805" Type="http://schemas.openxmlformats.org/officeDocument/2006/relationships/hyperlink" Target="https://www.google.com/url?q=https://github.com/MohamedNabil97/CompetitiveProgramming/blob/master/SPOJ/PROFIT.cpp&amp;sa=D&amp;ust=1605639553212000&amp;usg=AFQjCNFhJoxsItelshR-k8JGrTr70NEmgQ" TargetMode="External"/><Relationship Id="rId4160" Type="http://schemas.openxmlformats.org/officeDocument/2006/relationships/hyperlink" Target="https://www.google.com/url?q=https://github.com/abdullaAshraf/Problem-Solving/blob/master/UVA/10480.cpp&amp;sa=D&amp;ust=1605639554212000&amp;usg=AFQjCNFzpF5HcVM-Vn79hcT-CIHlRuoAWw" TargetMode="External"/><Relationship Id="rId46" Type="http://schemas.openxmlformats.org/officeDocument/2006/relationships/hyperlink" Target="https://www.google.com/url?q=http://codeforces.com/contest/425/problem/D&amp;sa=D&amp;ust=1605639551581000&amp;usg=AFQjCNEGUwE1S295Iwlzfn-WYT1ploKxUA" TargetMode="External"/><Relationship Id="rId1407" Type="http://schemas.openxmlformats.org/officeDocument/2006/relationships/hyperlink" Target="https://www.google.com/url?q=https://github.com/magdy-hasan/competitive-programming/blob/c9fdde70da7630affa45308221ab8d765a756ae9/Topcoder/SRM526-D1-500.cpp&amp;sa=D&amp;ust=1605639552387000&amp;usg=AFQjCNHia6FrzRms22xaA3dn8K3Abg1bEg" TargetMode="External"/><Relationship Id="rId1614" Type="http://schemas.openxmlformats.org/officeDocument/2006/relationships/hyperlink" Target="https://www.google.com/url?q=http://codeforces.com/contest/794/problem/C&amp;sa=D&amp;ust=1605639552508000&amp;usg=AFQjCNEOzaQ5ND--F4Oog1nmDRGmwqDIow" TargetMode="External"/><Relationship Id="rId1821" Type="http://schemas.openxmlformats.org/officeDocument/2006/relationships/hyperlink" Target="https://www.google.com/url?q=https://www.spoj.com/problems/ADAXMAS/&amp;sa=D&amp;ust=1605639552625000&amp;usg=AFQjCNEvIxIc0sBktBDqZ_Lrg9gjX-1YVQ" TargetMode="External"/><Relationship Id="rId4020" Type="http://schemas.openxmlformats.org/officeDocument/2006/relationships/hyperlink" Target="https://www.google.com/url?q=http://codeforces.com/contest/231/problem/C&amp;sa=D&amp;ust=1605639554136000&amp;usg=AFQjCNGKrOVaVXSKFre8pD_wm6BmZzgmPA" TargetMode="External"/><Relationship Id="rId3579" Type="http://schemas.openxmlformats.org/officeDocument/2006/relationships/hyperlink" Target="https://www.google.com/url?q=http://codeforces.com/contest/113/problem/D&amp;sa=D&amp;ust=1605639553714000&amp;usg=AFQjCNE4jw8ZEPubkLwNbhCPmvyikrJiyQ" TargetMode="External"/><Relationship Id="rId3786" Type="http://schemas.openxmlformats.org/officeDocument/2006/relationships/hyperlink" Target="https://www.google.com/url?q=http://codeforces.com/contest/432/problem/D&amp;sa=D&amp;ust=1605639553852000&amp;usg=AFQjCNE_ega7xQ-c2WgPuZMuooBfR7Y1Ng" TargetMode="External"/><Relationship Id="rId2388" Type="http://schemas.openxmlformats.org/officeDocument/2006/relationships/hyperlink" Target="https://www.google.com/url?q=http://codeforces.com/contest/586/problem/D&amp;sa=D&amp;ust=1605639552963000&amp;usg=AFQjCNH42g-n6sorssKhWbJwOiGxS8gbTA" TargetMode="External"/><Relationship Id="rId2595" Type="http://schemas.openxmlformats.org/officeDocument/2006/relationships/hyperlink" Target="https://www.google.com/url?q=http://codeforces.com/contest/116/problem/C&amp;sa=D&amp;ust=1605639553084000&amp;usg=AFQjCNF333U4Iw2koZaO8z3OG_zCJQNpYw" TargetMode="External"/><Relationship Id="rId3439" Type="http://schemas.openxmlformats.org/officeDocument/2006/relationships/hyperlink" Target="https://www.google.com/url?q=http://codeforces.com/contest/152/problem/C&amp;sa=D&amp;ust=1605639553577000&amp;usg=AFQjCNGPfP_HWzLJ9cF_kSCQNXxNQ53Y6Q" TargetMode="External"/><Relationship Id="rId3993" Type="http://schemas.openxmlformats.org/officeDocument/2006/relationships/hyperlink" Target="https://www.google.com/url?q=http://codeforces.com/contest/281/problem/D&amp;sa=D&amp;ust=1605639554123000&amp;usg=AFQjCNHrDt2CD4vYeGklWGqT3yVboay0Cw" TargetMode="External"/><Relationship Id="rId567" Type="http://schemas.openxmlformats.org/officeDocument/2006/relationships/hyperlink" Target="https://www.google.com/url?q=https://csacademy.com/contest/round-70/task/squared-ends/&amp;sa=D&amp;ust=1605639551913000&amp;usg=AFQjCNFG52RpSLzarK-jXz3ohgrHaxQtug" TargetMode="External"/><Relationship Id="rId1197" Type="http://schemas.openxmlformats.org/officeDocument/2006/relationships/hyperlink" Target="https://www.google.com/url?q=http://codeforces.com/contest/545/problem/C&amp;sa=D&amp;ust=1605639552241000&amp;usg=AFQjCNHCAeXcMQjvxEinjxnCNxv1JlzQ9w" TargetMode="External"/><Relationship Id="rId2248" Type="http://schemas.openxmlformats.org/officeDocument/2006/relationships/hyperlink" Target="https://www.google.com/url?q=https://github.com/osamahatem/CompetitiveProgramming/blob/master/ZOJ/2369%2520-%2520Two%2520Cylinders.cpp&amp;sa=D&amp;ust=1605639552901000&amp;usg=AFQjCNGIgzbxLo7ak6wtrXc5GEYL57LPBw" TargetMode="External"/><Relationship Id="rId3646" Type="http://schemas.openxmlformats.org/officeDocument/2006/relationships/hyperlink" Target="https://www.google.com/url?q=https://github.com/BRAINOOOO/CompetitiveProgramming/blob/master/UVA/V-104/UVA%252010419.Cpp&amp;sa=D&amp;ust=1605639553761000&amp;usg=AFQjCNEeG6nu7MmQ9-R6mGfS_n2WZrCNqA" TargetMode="External"/><Relationship Id="rId3853" Type="http://schemas.openxmlformats.org/officeDocument/2006/relationships/hyperlink" Target="https://www.google.com/url?q=http://codeforces.com/problemset/problem/985/F&amp;sa=D&amp;ust=1605639553893000&amp;usg=AFQjCNF_0Ed8SQ-JG570zvbWeoWW1JF3xg" TargetMode="External"/><Relationship Id="rId774" Type="http://schemas.openxmlformats.org/officeDocument/2006/relationships/hyperlink" Target="https://www.google.com/url?q=https://codeforces.com/contest/1187/problem/D&amp;sa=D&amp;ust=1605639552000000&amp;usg=AFQjCNFYqX852-HuTfDaJn73Z-zmnpGcFg" TargetMode="External"/><Relationship Id="rId981" Type="http://schemas.openxmlformats.org/officeDocument/2006/relationships/hyperlink" Target="https://www.google.com/url?q=https://codeforces.com/contest/1189/problem/E&amp;sa=D&amp;ust=1605639552115000&amp;usg=AFQjCNE-HjDCRk_ygoUBTQJleiGeJ71sNg" TargetMode="External"/><Relationship Id="rId1057" Type="http://schemas.openxmlformats.org/officeDocument/2006/relationships/hyperlink" Target="https://www.google.com/url?q=http://codeforces.com/contest/208/problem/B&amp;sa=D&amp;ust=1605639552152000&amp;usg=AFQjCNFaq6bmI4rK3sI7GC5hMO4iy23nFQ" TargetMode="External"/><Relationship Id="rId2455" Type="http://schemas.openxmlformats.org/officeDocument/2006/relationships/hyperlink" Target="https://www.google.com/url?q=http://codeforces.com/contest/954/problem/D&amp;sa=D&amp;ust=1605639553000000&amp;usg=AFQjCNHKfrDVEc1xCnSLDQz9vWypAZ3xbg" TargetMode="External"/><Relationship Id="rId2662" Type="http://schemas.openxmlformats.org/officeDocument/2006/relationships/hyperlink" Target="https://www.google.com/url?q=http://codeforces.com/contest/875/problem/F&amp;sa=D&amp;ust=1605639553129000&amp;usg=AFQjCNF7q0r_XX4CnEG0dvoTC1D6xdIXtg" TargetMode="External"/><Relationship Id="rId3506" Type="http://schemas.openxmlformats.org/officeDocument/2006/relationships/hyperlink" Target="https://www.google.com/url?q=https://github.com/osamahatem/CompetitiveProgramming/blob/master/Codeforces/439E.%2520Devu%2520and%2520Birthday%2520Celebration.cpp&amp;sa=D&amp;ust=1605639553631000&amp;usg=AFQjCNFnaE76Ztvr_QmO64QQf_9mUu0YQw" TargetMode="External"/><Relationship Id="rId3713" Type="http://schemas.openxmlformats.org/officeDocument/2006/relationships/hyperlink" Target="https://www.google.com/url?q=https://codeforces.com/contest/906/problem/D&amp;sa=D&amp;ust=1605639553804000&amp;usg=AFQjCNFFYr_2UOBeGTi2yEn2vzsuisRkpw" TargetMode="External"/><Relationship Id="rId3920" Type="http://schemas.openxmlformats.org/officeDocument/2006/relationships/hyperlink" Target="https://www.google.com/url?q=https://codeforces.com/contest/1307/problem/E&amp;sa=D&amp;ust=1605639553928000&amp;usg=AFQjCNH0gWnwchuyslhj_oAlTectOaY_Fw" TargetMode="External"/><Relationship Id="rId427" Type="http://schemas.openxmlformats.org/officeDocument/2006/relationships/hyperlink" Target="https://www.google.com/url?q=http://codeforces.com/contest/713/problem/B&amp;sa=D&amp;ust=1605639551853000&amp;usg=AFQjCNGxD4deI0odjI7FH7I9PyPZQ1FboQ" TargetMode="External"/><Relationship Id="rId634" Type="http://schemas.openxmlformats.org/officeDocument/2006/relationships/hyperlink" Target="https://www.google.com/url?q=https://codeforces.com/contest/1080/problem/F&amp;sa=D&amp;ust=1605639551937000&amp;usg=AFQjCNFEDZqHanjV-OVl4_MTUm-AjOdMbQ" TargetMode="External"/><Relationship Id="rId841" Type="http://schemas.openxmlformats.org/officeDocument/2006/relationships/hyperlink" Target="https://www.google.com/url?q=http://codeforces.com/contest/749/problem/E&amp;sa=D&amp;ust=1605639552036000&amp;usg=AFQjCNFqExnJ8ZiJdd9yw_FFyQqg9UBPww" TargetMode="External"/><Relationship Id="rId1264" Type="http://schemas.openxmlformats.org/officeDocument/2006/relationships/hyperlink" Target="https://www.google.com/url?q=https://codeforces.com/contest/570/problem/E&amp;sa=D&amp;ust=1605639552298000&amp;usg=AFQjCNGpJVW6EsaG2swjFcvtqQzW-WS9DA" TargetMode="External"/><Relationship Id="rId1471" Type="http://schemas.openxmlformats.org/officeDocument/2006/relationships/hyperlink" Target="https://www.google.com/url?q=https://www.hackerrank.com/challenges/bear-and-dancing&amp;sa=D&amp;ust=1605639552427000&amp;usg=AFQjCNFifRpfIVCLNTH41JVpej4poGhoUA" TargetMode="External"/><Relationship Id="rId2108" Type="http://schemas.openxmlformats.org/officeDocument/2006/relationships/hyperlink" Target="https://www.google.com/url?q=https://github.com/Maverick10/Competitive-Programming/blob/master/Solutions/UVa/UVa%2520-%252011783.cpp&amp;sa=D&amp;ust=1605639552809000&amp;usg=AFQjCNFGjmaL3atQlNraPliCIYq2ljPfOg" TargetMode="External"/><Relationship Id="rId2315" Type="http://schemas.openxmlformats.org/officeDocument/2006/relationships/hyperlink" Target="https://www.google.com/url?q=https://github.com/HosamEissa/Competitive-programming-/blob/master/Codeforces/CF101484-GYM-H.cpp&amp;sa=D&amp;ust=1605639552934000&amp;usg=AFQjCNFsELf_eV7st2-XftWp1onI-hcTXg" TargetMode="External"/><Relationship Id="rId2522" Type="http://schemas.openxmlformats.org/officeDocument/2006/relationships/hyperlink" Target="https://www.google.com/url?q=https://github.com/tfg50/Competitive-Programming/blob/master/Codeforces/CF506-D1-D.cpp&amp;sa=D&amp;ust=1605639553043000&amp;usg=AFQjCNGWBsd8JPXNzLHgqrDEtncFGK0QHA" TargetMode="External"/><Relationship Id="rId701" Type="http://schemas.openxmlformats.org/officeDocument/2006/relationships/hyperlink" Target="https://www.google.com/url?q=https://github.com/magdy-hasan/competitive-programming/blob/99949526fddbb0857a233c02342293b21e5f242d/SPOJ/SPOJ%2520CCOST%2520-%2520Calculate%2520The%2520Cost.cpp&amp;sa=D&amp;ust=1605639551965000&amp;usg=AFQjCNHXP8Tp9YIPukXjznLm6EhndlrUjg" TargetMode="External"/><Relationship Id="rId1124" Type="http://schemas.openxmlformats.org/officeDocument/2006/relationships/hyperlink" Target="https://www.google.com/url?q=https://uva.onlinejudge.org/index.php?option%3Dcom_onlinejudge%26Itemid%3D8%26page%3Dshow_problem%26problem%3D1475&amp;sa=D&amp;ust=1605639552194000&amp;usg=AFQjCNGcXdxt50KxYchsv1CH_AVOXCsgKw" TargetMode="External"/><Relationship Id="rId1331" Type="http://schemas.openxmlformats.org/officeDocument/2006/relationships/hyperlink" Target="https://www.google.com/url?q=https://github.com/ilyesG/Competitive-Programming/blob/master/UVA/UVA%252011825.cpp&amp;sa=D&amp;ust=1605639552331000&amp;usg=AFQjCNGVF5Am2_0umiRIBGoq-irmCqRHKw" TargetMode="External"/><Relationship Id="rId3089" Type="http://schemas.openxmlformats.org/officeDocument/2006/relationships/hyperlink" Target="https://www.google.com/url?q=http://codeforces.com/contest/192/problem/E&amp;sa=D&amp;ust=1605639553365000&amp;usg=AFQjCNGyamB3ES0tREPT67WxjNnV1h3K6w" TargetMode="External"/><Relationship Id="rId3296" Type="http://schemas.openxmlformats.org/officeDocument/2006/relationships/hyperlink" Target="https://www.google.com/url?q=https://github.com/mostafa-saad/MyCompetitiveProgramming/blob/master/LiveArchive/LIVEARCHIVE_3498.txt&amp;sa=D&amp;ust=1605639553480000&amp;usg=AFQjCNF7f9LF4kqDZuCOWhFCoJPNnddmUg" TargetMode="External"/><Relationship Id="rId4347" Type="http://schemas.openxmlformats.org/officeDocument/2006/relationships/hyperlink" Target="https://www.google.com/url?q=http://codeforces.com/gym/101666/problem/G&amp;sa=D&amp;ust=1605639554303000&amp;usg=AFQjCNH7lqnn6roOhKJVJyRQbkZ8FukpWQ" TargetMode="External"/><Relationship Id="rId3156" Type="http://schemas.openxmlformats.org/officeDocument/2006/relationships/hyperlink" Target="https://www.google.com/url?q=https://codeforces.com/contest/1081/problem/E&amp;sa=D&amp;ust=1605639553408000&amp;usg=AFQjCNEH12HDAGX4spO3DKjs-evhslqbhQ" TargetMode="External"/><Relationship Id="rId3363" Type="http://schemas.openxmlformats.org/officeDocument/2006/relationships/hyperlink" Target="https://www.google.com/url?q=http://codeforces.com/contest/731/problem/F&amp;sa=D&amp;ust=1605639553529000&amp;usg=AFQjCNH-ZrXCkLgFMx7kzpBkRIhZ9IWgRA" TargetMode="External"/><Relationship Id="rId4207" Type="http://schemas.openxmlformats.org/officeDocument/2006/relationships/hyperlink" Target="https://www.google.com/url?q=https://codeforces.com/problemset/problem/1007/D&amp;sa=D&amp;ust=1605639554244000&amp;usg=AFQjCNF_kcwJUNfWxIeuC0n0b2hcoAWt3A" TargetMode="External"/><Relationship Id="rId4414" Type="http://schemas.openxmlformats.org/officeDocument/2006/relationships/hyperlink" Target="https://www.google.com/url?q=https://codeforces.com/contest/1084/problem/D&amp;sa=D&amp;ust=1605639554335000&amp;usg=AFQjCNHHpek-woS8H9N1OEtir3ik_ERPiw" TargetMode="External"/><Relationship Id="rId284" Type="http://schemas.openxmlformats.org/officeDocument/2006/relationships/hyperlink" Target="https://www.google.com/url?q=https://github.com/sggutier/CompetitiveProgramming/blob/master/Codeforces/CF413-D12-E.cpp&amp;sa=D&amp;ust=1605639551750000&amp;usg=AFQjCNFj98vxqFLo8-cQNMfcv3n1LtkogA" TargetMode="External"/><Relationship Id="rId491" Type="http://schemas.openxmlformats.org/officeDocument/2006/relationships/hyperlink" Target="https://www.google.com/url?q=https://www.codechef.com/problems/SNAKEEAT&amp;sa=D&amp;ust=1605639551883000&amp;usg=AFQjCNHqcA-6W7tjXZuOPYvTh1M4P721Xw" TargetMode="External"/><Relationship Id="rId2172" Type="http://schemas.openxmlformats.org/officeDocument/2006/relationships/hyperlink" Target="https://www.google.com/url?q=https://github.com/morris821028/UVa/blob/master/volume119/11919%2520-%2520Hybrid%2520Salientia.cpp&amp;sa=D&amp;ust=1605639552852000&amp;usg=AFQjCNFO8G2KryjtfMbN4eT1P1Jv2_xuTg" TargetMode="External"/><Relationship Id="rId3016" Type="http://schemas.openxmlformats.org/officeDocument/2006/relationships/hyperlink" Target="https://www.google.com/url?q=https://www.codechef.com/LTIME65A/problems/ROBAGAIN&amp;sa=D&amp;ust=1605639553328000&amp;usg=AFQjCNGVPZt8CGZryFupCRj8LEIbzmX04w" TargetMode="External"/><Relationship Id="rId3223" Type="http://schemas.openxmlformats.org/officeDocument/2006/relationships/hyperlink" Target="https://www.google.com/url?q=http://codeforces.com/contest/803/problem/C&amp;sa=D&amp;ust=1605639553437000&amp;usg=AFQjCNGO7hqYuyki60YuWyF-QsLXo709pQ" TargetMode="External"/><Relationship Id="rId3570" Type="http://schemas.openxmlformats.org/officeDocument/2006/relationships/hyperlink" Target="https://www.google.com/url?q=http://codeforces.com/contest/222/problem/E&amp;sa=D&amp;ust=1605639553707000&amp;usg=AFQjCNHJow1grfC0hwmhhMSm16A89qw6vw" TargetMode="External"/><Relationship Id="rId144" Type="http://schemas.openxmlformats.org/officeDocument/2006/relationships/hyperlink" Target="https://www.google.com/url?q=http://codeforces.com/contest/862/problem/C&amp;sa=D&amp;ust=1605639551639000&amp;usg=AFQjCNF-kq7kZyqLzBDQzoL9Y2RoDlRyLw" TargetMode="External"/><Relationship Id="rId3430" Type="http://schemas.openxmlformats.org/officeDocument/2006/relationships/hyperlink" Target="https://www.google.com/url?q=http://codeforces.com/contest/810/problem/C&amp;sa=D&amp;ust=1605639553570000&amp;usg=AFQjCNEDQI0_LoC17tcn52GuVqQyCieHQA" TargetMode="External"/><Relationship Id="rId351" Type="http://schemas.openxmlformats.org/officeDocument/2006/relationships/hyperlink" Target="https://www.google.com/url?q=http://codeforces.com/contest/714/problem/C&amp;sa=D&amp;ust=1605639551791000&amp;usg=AFQjCNEdiZs3nNEXggxnAy1MIOznygbgDA" TargetMode="External"/><Relationship Id="rId2032" Type="http://schemas.openxmlformats.org/officeDocument/2006/relationships/hyperlink" Target="https://www.google.com/url?q=https://uva.onlinejudge.org/index.php?option%3Dcom_onlinejudge%26Itemid%3D8%26page%3Dshow_problem%26category%3D24%26problem%3D1162%26mosmsg%3DSubmission%2Breceived%2Bwith%2BID%2B18897095&amp;sa=D&amp;ust=1605639552755000&amp;usg=AFQjCNHUknlbwgeQDHuBYKwQ1Crv0RKyFg" TargetMode="External"/><Relationship Id="rId2989" Type="http://schemas.openxmlformats.org/officeDocument/2006/relationships/hyperlink" Target="https://www.google.com/url?q=http://acm.tju.edu.cn/toj/showp2233.html&amp;sa=D&amp;ust=1605639553314000&amp;usg=AFQjCNHhlhASjXsUb78NgHYoJ8hXrAqL8w" TargetMode="External"/><Relationship Id="rId211" Type="http://schemas.openxmlformats.org/officeDocument/2006/relationships/hyperlink" Target="https://www.google.com/url?q=http://codeforces.com/contest/872/problem/D&amp;sa=D&amp;ust=1605639551685000&amp;usg=AFQjCNEBaJovOM7e8K1IJrgDkAvfH-VmbA" TargetMode="External"/><Relationship Id="rId1798" Type="http://schemas.openxmlformats.org/officeDocument/2006/relationships/hyperlink" Target="https://www.google.com/url?q=http://codeforces.com/contest/594/problem/A&amp;sa=D&amp;ust=1605639552612000&amp;usg=AFQjCNEJfLQsOzRTB9_KjgkTibHXSgW9cw" TargetMode="External"/><Relationship Id="rId2849" Type="http://schemas.openxmlformats.org/officeDocument/2006/relationships/hyperlink" Target="https://www.google.com/url?q=https://icpc.camp/new-meta/Topcoder%25E4%25B8%2593%25E9%25A2%2598%23alienskislopes-srm687-hard&amp;sa=D&amp;ust=1605639553237000&amp;usg=AFQjCNEl8jLFK1_l3DhTnj1Jrpv22vgtUA" TargetMode="External"/><Relationship Id="rId1658" Type="http://schemas.openxmlformats.org/officeDocument/2006/relationships/hyperlink" Target="https://www.google.com/url?q=http://codeforces.com/problemset/gymProblem/101498/F&amp;sa=D&amp;ust=1605639552534000&amp;usg=AFQjCNH-ase64ugVZnsKgIK-EYJRwXzoEg" TargetMode="External"/><Relationship Id="rId1865" Type="http://schemas.openxmlformats.org/officeDocument/2006/relationships/hyperlink" Target="https://www.google.com/url?q=https://codeforces.com/gym/102058/problem/F&amp;sa=D&amp;ust=1605639552646000&amp;usg=AFQjCNH3s6mdXP4-wJ8DAeljChtgxC-iyA" TargetMode="External"/><Relationship Id="rId2709" Type="http://schemas.openxmlformats.org/officeDocument/2006/relationships/hyperlink" Target="https://www.google.com/url?q=https://atcoder.jp/contests/abc120/tasks/abc120_d&amp;sa=D&amp;ust=1605639553151000&amp;usg=AFQjCNH12em5IPy-OTn0RV6Ef_S21RrazQ" TargetMode="External"/><Relationship Id="rId4064" Type="http://schemas.openxmlformats.org/officeDocument/2006/relationships/hyperlink" Target="https://www.google.com/url?q=http://codeforces.com/contest/215/problem/E&amp;sa=D&amp;ust=1605639554157000&amp;usg=AFQjCNHpagijap47RNz6RruZGmNIM28c-Q" TargetMode="External"/><Relationship Id="rId4271" Type="http://schemas.openxmlformats.org/officeDocument/2006/relationships/hyperlink" Target="https://www.google.com/url?q=https://www.hackerrank.com/contests/world-codesprint-5/challenges/mining&amp;sa=D&amp;ust=1605639554273000&amp;usg=AFQjCNGs8zb1uuu4lAAJnSsF6lxcE38smA" TargetMode="External"/><Relationship Id="rId1518" Type="http://schemas.openxmlformats.org/officeDocument/2006/relationships/hyperlink" Target="https://www.google.com/url?q=https://codeforces.com/problemset/problem/1147/E&amp;sa=D&amp;ust=1605639552457000&amp;usg=AFQjCNG2Hdr36Wh25ZroKG4l-gJgsvab4g" TargetMode="External"/><Relationship Id="rId2916" Type="http://schemas.openxmlformats.org/officeDocument/2006/relationships/hyperlink" Target="https://www.google.com/url?q=http://codeforces.com/contest/818/problem/G&amp;sa=D&amp;ust=1605639553272000&amp;usg=AFQjCNHzuqD888Pvl71GhG_DO_1DjPEwxQ" TargetMode="External"/><Relationship Id="rId3080" Type="http://schemas.openxmlformats.org/officeDocument/2006/relationships/hyperlink" Target="https://www.google.com/url?q=https://www.spoj.com/problems/HACKERS/&amp;sa=D&amp;ust=1605639553363000&amp;usg=AFQjCNHXDNPWbZB0Pf4IqcImNxQF0qnzVw" TargetMode="External"/><Relationship Id="rId4131" Type="http://schemas.openxmlformats.org/officeDocument/2006/relationships/hyperlink" Target="https://www.google.com/url?q=https://codeforces.com/contest/1068/problem/E&amp;sa=D&amp;ust=1605639554196000&amp;usg=AFQjCNGlYG7hUxLz_rU5TuEzkUcEHItXuQ" TargetMode="External"/><Relationship Id="rId1725" Type="http://schemas.openxmlformats.org/officeDocument/2006/relationships/hyperlink" Target="https://www.google.com/url?q=https://codeforces.com/contest/1056/problem/C&amp;sa=D&amp;ust=1605639552574000&amp;usg=AFQjCNEjQjrYMDTckapG7KPGITpJrLG60Q" TargetMode="External"/><Relationship Id="rId1932" Type="http://schemas.openxmlformats.org/officeDocument/2006/relationships/hyperlink" Target="https://www.google.com/url?q=https://github.com/ryuzmukhametov/CompetitiveProgramming/blob/master/uva/UVA%25201606.cpp&amp;sa=D&amp;ust=1605639552698000&amp;usg=AFQjCNHyAuAAsb4IrIMrHxdblm7WwSqbSw" TargetMode="External"/><Relationship Id="rId17" Type="http://schemas.openxmlformats.org/officeDocument/2006/relationships/hyperlink" Target="https://www.google.com/url?q=https://codeforces.com/contest/1081/problem/F&amp;sa=D&amp;ust=1605639551569000&amp;usg=AFQjCNHndDilzjgewmWM1qTS_3KLs7xuag" TargetMode="External"/><Relationship Id="rId3897" Type="http://schemas.openxmlformats.org/officeDocument/2006/relationships/hyperlink" Target="https://www.google.com/url?q=https://github.com/tmwilliamlin168/CompetitiveProgramming/blob/master/CodeForces/CF1000-D12-F.cpp&amp;sa=D&amp;ust=1605639553917000&amp;usg=AFQjCNHqm38DUJLvMPSWww6x3n_c9ZEOUg" TargetMode="External"/><Relationship Id="rId2499" Type="http://schemas.openxmlformats.org/officeDocument/2006/relationships/hyperlink" Target="https://www.google.com/url?q=https://github.com/abdullaAshraf/Problem-Solving/blob/master/SPOJ/PT07Z.cpp&amp;sa=D&amp;ust=1605639553031000&amp;usg=AFQjCNGWP9z8MPgkMxevWLlgzvLSYJO5zw" TargetMode="External"/><Relationship Id="rId3757" Type="http://schemas.openxmlformats.org/officeDocument/2006/relationships/hyperlink" Target="https://www.google.com/url?q=https://codingcompetitions.withgoogle.com/kickstart/round/000000000019ffc7/00000000001d3ff3&amp;sa=D&amp;ust=1605639553834000&amp;usg=AFQjCNFEu6dqhx1Cy6v-LZ1d65DfERE22A" TargetMode="External"/><Relationship Id="rId3964" Type="http://schemas.openxmlformats.org/officeDocument/2006/relationships/hyperlink" Target="https://www.google.com/url?q=https://codeforces.com/contest/1077/problem/D&amp;sa=D&amp;ust=1605639553950000&amp;usg=AFQjCNESbSfIlG_nqQMeKjW0bqKqA9tA4w" TargetMode="External"/><Relationship Id="rId1" Type="http://schemas.openxmlformats.org/officeDocument/2006/relationships/hyperlink" Target="https://www.google.com/url?q=https://csacademy.com/contest/beta-round-4/task/soldiers/&amp;sa=D&amp;ust=1605639551561000&amp;usg=AFQjCNEHZbp0uQL6jD12kzqOtSwUR6MD2A" TargetMode="External"/><Relationship Id="rId678" Type="http://schemas.openxmlformats.org/officeDocument/2006/relationships/hyperlink" Target="https://www.google.com/url?q=https://codeforces.com/contest/1093/problem/G&amp;sa=D&amp;ust=1605639551954000&amp;usg=AFQjCNGDxn1f40OhHvydojNJu9YXC0Fedg" TargetMode="External"/><Relationship Id="rId885" Type="http://schemas.openxmlformats.org/officeDocument/2006/relationships/hyperlink" Target="https://www.google.com/url?q=https://github.com/shashank0107/CompetitiveProgramming/blob/master/SPOJ/SAS001.cpp&amp;sa=D&amp;ust=1605639552062000&amp;usg=AFQjCNFuhzNpFlmqrWps-aMHbopXm8ze3Q" TargetMode="External"/><Relationship Id="rId2359" Type="http://schemas.openxmlformats.org/officeDocument/2006/relationships/hyperlink" Target="https://www.google.com/url?q=https://www.facebook.com/hackercup/problem/638251746380051/&amp;sa=D&amp;ust=1605639552950000&amp;usg=AFQjCNGnmL4aqRLJTl79ObL4PidHWBHXpA" TargetMode="External"/><Relationship Id="rId2566" Type="http://schemas.openxmlformats.org/officeDocument/2006/relationships/hyperlink" Target="https://www.google.com/url?q=http://codeforces.com/contest/237/problem/D&amp;sa=D&amp;ust=1605639553068000&amp;usg=AFQjCNE_90Ft2e-Rlq3IcSGh6gfoeAjrGw" TargetMode="External"/><Relationship Id="rId2773" Type="http://schemas.openxmlformats.org/officeDocument/2006/relationships/hyperlink" Target="https://www.google.com/url?q=http://codeforces.com/gym/100341/attachments&amp;sa=D&amp;ust=1605639553192000&amp;usg=AFQjCNGVgDMwnB2XvQ5iL979VeWkzdjDZQ" TargetMode="External"/><Relationship Id="rId2980" Type="http://schemas.openxmlformats.org/officeDocument/2006/relationships/hyperlink" Target="https://www.google.com/url?q=https://github.com/aviroop123/CompetitiveProgramming/blob/master/SPOJ/SPOJ%2520BREAK.cpp&amp;sa=D&amp;ust=1605639553309000&amp;usg=AFQjCNFvVri1xJ4mCF41Q6mY-lbf0qjuhg" TargetMode="External"/><Relationship Id="rId3617" Type="http://schemas.openxmlformats.org/officeDocument/2006/relationships/hyperlink" Target="https://www.google.com/url?q=https://uva.onlinejudge.org/index.php?option%3Donlinejudge%26page%3Dshow_problem%26problem%3D2321&amp;sa=D&amp;ust=1605639553742000&amp;usg=AFQjCNFBVJ54OTUZ6WtOKEsUgulp07GFOA" TargetMode="External"/><Relationship Id="rId3824" Type="http://schemas.openxmlformats.org/officeDocument/2006/relationships/hyperlink" Target="https://www.google.com/url?q=https://codeforces.com/gym/102028/problem/H&amp;sa=D&amp;ust=1605639553881000&amp;usg=AFQjCNG-wqbA76GsCcvhpjTi31sLLJTiNQ" TargetMode="External"/><Relationship Id="rId538" Type="http://schemas.openxmlformats.org/officeDocument/2006/relationships/hyperlink" Target="https://www.google.com/url?q=https://github.com/MohamedNabil97/CompetitiveProgramming/blob/master/TopCoder/TC(KNAPSACKPROBLEM).cpp&amp;sa=D&amp;ust=1605639551903000&amp;usg=AFQjCNE985CYEJhBJtW-v3udPhW9qqE_nA" TargetMode="External"/><Relationship Id="rId745" Type="http://schemas.openxmlformats.org/officeDocument/2006/relationships/hyperlink" Target="https://www.google.com/url?q=https://github.com/mostafa-saad/MyCompetitiveProgramming/blob/master/SPOJ/SPOJ_ORDERS.txt&amp;sa=D&amp;ust=1605639551985000&amp;usg=AFQjCNGg-wABctSjVnAejlDzgoZyGC4hJg" TargetMode="External"/><Relationship Id="rId952" Type="http://schemas.openxmlformats.org/officeDocument/2006/relationships/hyperlink" Target="https://www.google.com/url?q=http://codeforces.com/contest/198/problem/D&amp;sa=D&amp;ust=1605639552102000&amp;usg=AFQjCNF3pA-yuE4FffIBXuLPc0qThOOL3w" TargetMode="External"/><Relationship Id="rId1168" Type="http://schemas.openxmlformats.org/officeDocument/2006/relationships/hyperlink" Target="https://www.google.com/url?q=https://github.com/SpeedOfMagic/CompetitiveProgramming/blob/master/FbHkrCup/FbHkrCup%252018-Tourist.cpp&amp;sa=D&amp;ust=1605639552223000&amp;usg=AFQjCNFfL2TLL7zzb_Gz4AtFytZewSos9Q" TargetMode="External"/><Relationship Id="rId1375" Type="http://schemas.openxmlformats.org/officeDocument/2006/relationships/hyperlink" Target="https://www.google.com/url?q=http://codeforces.com/contest/659/problem/G&amp;sa=D&amp;ust=1605639552360000&amp;usg=AFQjCNEQZ4G-P7v8VBzr6ZmWujVirY2P4g" TargetMode="External"/><Relationship Id="rId1582" Type="http://schemas.openxmlformats.org/officeDocument/2006/relationships/hyperlink" Target="https://www.google.com/url?q=http://codeforces.com/contest/416/problem/D&amp;sa=D&amp;ust=1605639552491000&amp;usg=AFQjCNHhkygi63q59A1sgV24zAnzZFkQrg" TargetMode="External"/><Relationship Id="rId2219" Type="http://schemas.openxmlformats.org/officeDocument/2006/relationships/hyperlink" Target="https://www.google.com/url?q=https://onlinejudge.org/index.php?option%3Dcom_onlinejudge%26Itemid%3D8%26category%3D117%26page%3Dshow_problem%26problem%3D2751&amp;sa=D&amp;ust=1605639552880000&amp;usg=AFQjCNEpAIproGbqDY_uMa4kdlfWDAWYrQ" TargetMode="External"/><Relationship Id="rId2426" Type="http://schemas.openxmlformats.org/officeDocument/2006/relationships/hyperlink" Target="https://www.google.com/url?q=https://github.com/andriy-zhuk/CompetitiveProgramming/blob/master/Codeforces/CF679-D1-C.cpp&amp;sa=D&amp;ust=1605639552982000&amp;usg=AFQjCNG-NxpVFyIppPWub0iET1Ks5pNtNQ" TargetMode="External"/><Relationship Id="rId2633" Type="http://schemas.openxmlformats.org/officeDocument/2006/relationships/hyperlink" Target="https://www.google.com/url?q=https://github.com/Maverick10/Competitive-Programming/blob/master/Solutions/UVa/UVa%2520-%252010758.cpp&amp;sa=D&amp;ust=1605639553112000&amp;usg=AFQjCNHa7UK7WYMAXKXuGDMCOqcRotmPjA" TargetMode="External"/><Relationship Id="rId81" Type="http://schemas.openxmlformats.org/officeDocument/2006/relationships/hyperlink" Target="https://www.google.com/url?q=https://codeforces.com/gym/101807/problem/F&amp;sa=D&amp;ust=1605639551601000&amp;usg=AFQjCNHn1EPYS6mS1p-HZ6p6juuLr0mI4w" TargetMode="External"/><Relationship Id="rId605" Type="http://schemas.openxmlformats.org/officeDocument/2006/relationships/hyperlink" Target="https://www.google.com/url?q=http://codeforces.com/contest/817/problem/F&amp;sa=D&amp;ust=1605639551928000&amp;usg=AFQjCNG2n92UgCx_F6jBboe_XdTIuFRIOg" TargetMode="External"/><Relationship Id="rId812" Type="http://schemas.openxmlformats.org/officeDocument/2006/relationships/hyperlink" Target="https://www.google.com/url?q=https://icpcarchive.ecs.baylor.edu/index.php?option%3Dcom_onlinejudge%26Itemid%3D8%26page%3Dshow_problem%26problem%3D192&amp;sa=D&amp;ust=1605639552019000&amp;usg=AFQjCNGe8CJfkAz5Ln4EAUsSQrvdNmmewg" TargetMode="External"/><Relationship Id="rId1028" Type="http://schemas.openxmlformats.org/officeDocument/2006/relationships/hyperlink" Target="https://www.google.com/url?q=https://github.com/Ownography/CP/blob/master/UVA%252013179&amp;sa=D&amp;ust=1605639552138000&amp;usg=AFQjCNEDxcvv-7ZOCZ62I4_lXq-kHQiB6g" TargetMode="External"/><Relationship Id="rId1235" Type="http://schemas.openxmlformats.org/officeDocument/2006/relationships/hyperlink" Target="https://www.google.com/url?q=http://codeforces.com/contest/559/problem/C&amp;sa=D&amp;ust=1605639552273000&amp;usg=AFQjCNG9kga0eRErQp8QjXnVDTP1EdqEtg" TargetMode="External"/><Relationship Id="rId1442" Type="http://schemas.openxmlformats.org/officeDocument/2006/relationships/hyperlink" Target="https://www.google.com/url?q=https://github.com/VAMPIER000001/CompetitiveProgramming/blob/master/UVA/V-110/UVA%252011021.cpp&amp;sa=D&amp;ust=1605639552412000&amp;usg=AFQjCNGO81O1F8JQUd-HuKoWEQVIWQfYXQ" TargetMode="External"/><Relationship Id="rId2840" Type="http://schemas.openxmlformats.org/officeDocument/2006/relationships/hyperlink" Target="https://www.google.com/url?q=https://github.com/magdy-hasan/competitive-programming/blob/983dc6255dce4f556eba3139f1ea985905559403/Codeforces/CF101845-GYM-F.cpp&amp;sa=D&amp;ust=1605639553231000&amp;usg=AFQjCNFTMgzzQP1Odl40isl4Bfe4j1Xn8A" TargetMode="External"/><Relationship Id="rId1302" Type="http://schemas.openxmlformats.org/officeDocument/2006/relationships/hyperlink" Target="https://www.google.com/url?q=https://github.com/andriy-zhuk/CompetitiveProgramming/blob/master/Codeforces/CF1209-D12-E2.cpp&amp;sa=D&amp;ust=1605639552317000&amp;usg=AFQjCNFWXePpeocWjEU8npCGKiUa0dj8oA" TargetMode="External"/><Relationship Id="rId2700" Type="http://schemas.openxmlformats.org/officeDocument/2006/relationships/hyperlink" Target="https://www.google.com/url?q=https://github.com/mostafa-saad/MyCompetitiveProgramming/blob/master/UVA/UVA_12128.txt&amp;sa=D&amp;ust=1605639553148000&amp;usg=AFQjCNGIWmaKStZPUI69yxQOE6ZaVDeWag" TargetMode="External"/><Relationship Id="rId3267" Type="http://schemas.openxmlformats.org/officeDocument/2006/relationships/hyperlink" Target="https://www.google.com/url?q=https://github.com/SpeedOfMagic/CompetitiveProgramming/blob/master/CodeforcesGym/CF101864-GYM-M.cpp&amp;sa=D&amp;ust=1605639553463000&amp;usg=AFQjCNFXf_12dhn1xNZsyuuz9XRfVLJcIA" TargetMode="External"/><Relationship Id="rId188" Type="http://schemas.openxmlformats.org/officeDocument/2006/relationships/hyperlink" Target="https://www.google.com/url?q=https://github.com/osamahatem/CompetitiveProgramming/blob/master/Codeforces/100517D.%2520Defend%2520the%2520Tower.cpp&amp;sa=D&amp;ust=1605639551669000&amp;usg=AFQjCNHvA_QuBKZINHZ9YtQpx0I9ybpg0w" TargetMode="External"/><Relationship Id="rId395" Type="http://schemas.openxmlformats.org/officeDocument/2006/relationships/hyperlink" Target="https://www.google.com/url?q=https://github.com/mostafa-saad/MyCompetitiveProgramming/blob/master/SPOJ/SPOJ_METEORS.txt&amp;sa=D&amp;ust=1605639551840000&amp;usg=AFQjCNFp4UpxXi9ammLMifU_YvfBFU6_Tg" TargetMode="External"/><Relationship Id="rId2076" Type="http://schemas.openxmlformats.org/officeDocument/2006/relationships/hyperlink" Target="https://www.google.com/url?q=https://github.com/MeGaCrazy/CompetitiveProgramming/blob/c099628e643065a7bae09af22c4cbce1216e4db9/UVA/UVA_453.cpp&amp;sa=D&amp;ust=1605639552786000&amp;usg=AFQjCNGTbtJRBuFfcn1aesfiZTrFhnPJ-Q" TargetMode="External"/><Relationship Id="rId3474" Type="http://schemas.openxmlformats.org/officeDocument/2006/relationships/hyperlink" Target="https://www.google.com/url?q=https://codeforces.com/contest/1029/problem/F&amp;sa=D&amp;ust=1605639553601000&amp;usg=AFQjCNFt66e5MCJAFidXhqYaEba3uXgwZA" TargetMode="External"/><Relationship Id="rId3681" Type="http://schemas.openxmlformats.org/officeDocument/2006/relationships/hyperlink" Target="https://www.google.com/url?q=http://codeforces.com/contest/111/problem/D&amp;sa=D&amp;ust=1605639553787000&amp;usg=AFQjCNFqTJeDIVcMs6jcQsk7EIblkfUsfw" TargetMode="External"/><Relationship Id="rId4318" Type="http://schemas.openxmlformats.org/officeDocument/2006/relationships/hyperlink" Target="https://www.google.com/url?q=http://codeforces.com/contest/103/problem/D&amp;sa=D&amp;ust=1605639554291000&amp;usg=AFQjCNG14F91_VuVc4blIVpQzWHWBAM0bw" TargetMode="External"/><Relationship Id="rId2283" Type="http://schemas.openxmlformats.org/officeDocument/2006/relationships/hyperlink" Target="https://www.google.com/url?q=https://arc103.contest.atcoder.jp/tasks/arc103_d&amp;sa=D&amp;ust=1605639552920000&amp;usg=AFQjCNHXpRmDFl8gFRow9s-fYU0fLYFbNg" TargetMode="External"/><Relationship Id="rId2490" Type="http://schemas.openxmlformats.org/officeDocument/2006/relationships/hyperlink" Target="https://www.google.com/url?q=https://agc001.contest.atcoder.jp/tasks/agc001_c&amp;sa=D&amp;ust=1605639553026000&amp;usg=AFQjCNHSPjMWwC6rEGLZeRprn2rlsDhOCQ" TargetMode="External"/><Relationship Id="rId3127" Type="http://schemas.openxmlformats.org/officeDocument/2006/relationships/hyperlink" Target="https://www.google.com/url?q=https://codeforces.com/gym/102028/problem/J&amp;sa=D&amp;ust=1605639553394000&amp;usg=AFQjCNEyBE7Ymd5GbXpU35cuxaFBVd5tfA" TargetMode="External"/><Relationship Id="rId3334" Type="http://schemas.openxmlformats.org/officeDocument/2006/relationships/hyperlink" Target="https://www.google.com/url?q=https://csacademy.com/contest/round-47/task/gcd-rebuild/&amp;sa=D&amp;ust=1605639553507000&amp;usg=AFQjCNGD72Mx5Hg2vYAfcxBkq6RA7ygBDg" TargetMode="External"/><Relationship Id="rId3541" Type="http://schemas.openxmlformats.org/officeDocument/2006/relationships/hyperlink" Target="https://www.google.com/url?q=https://www.codechef.com/FEB19B/problems/GUESSRT&amp;sa=D&amp;ust=1605639553680000&amp;usg=AFQjCNGFZ8sPjm8K9bR7gK88I3_bWXXcFA" TargetMode="External"/><Relationship Id="rId255" Type="http://schemas.openxmlformats.org/officeDocument/2006/relationships/hyperlink" Target="https://www.google.com/url?q=https://agc011.contest.atcoder.jp/tasks/agc011_d&amp;sa=D&amp;ust=1605639551725000&amp;usg=AFQjCNEwy91C1E9KcufTUDALOJVk777soA" TargetMode="External"/><Relationship Id="rId462" Type="http://schemas.openxmlformats.org/officeDocument/2006/relationships/hyperlink" Target="https://www.google.com/url?q=http://codeforces.com/contest/913/problem/D&amp;sa=D&amp;ust=1605639551870000&amp;usg=AFQjCNHM_PUy1Wgn6O-p7KO7a7oNzaV3kA" TargetMode="External"/><Relationship Id="rId1092" Type="http://schemas.openxmlformats.org/officeDocument/2006/relationships/hyperlink" Target="https://www.google.com/url?q=https://codeforces.com/contest/1148/problem/D&amp;sa=D&amp;ust=1605639552172000&amp;usg=AFQjCNFa2uSJkvKdXedh1iSVwf8hZv3ucQ" TargetMode="External"/><Relationship Id="rId2143" Type="http://schemas.openxmlformats.org/officeDocument/2006/relationships/hyperlink" Target="https://www.google.com/url?q=https://uva.onlinejudge.org/index.php?option%3Donlinejudge%26page%3Dshow_problem%26problem%3D73&amp;sa=D&amp;ust=1605639552834000&amp;usg=AFQjCNFNnrQOpXY2Z6B6QqsKeaHly7qXEw" TargetMode="External"/><Relationship Id="rId2350" Type="http://schemas.openxmlformats.org/officeDocument/2006/relationships/hyperlink" Target="https://www.google.com/url?q=https://github.com/gs15120/CompetitveProgrammingDirectories/blob/master/Atcoder/AtCoder103-ARC-E&amp;sa=D&amp;ust=1605639552947000&amp;usg=AFQjCNGgzDXbP4fPBbeGL8O-SJl1CCXZTQ" TargetMode="External"/><Relationship Id="rId3401" Type="http://schemas.openxmlformats.org/officeDocument/2006/relationships/hyperlink" Target="https://www.google.com/url?q=https://codeforces.com/contest/1262/problem/F2&amp;sa=D&amp;ust=1605639553553000&amp;usg=AFQjCNG5-iKGN9Xb67EYlVgIueURD5G6xA" TargetMode="External"/><Relationship Id="rId115" Type="http://schemas.openxmlformats.org/officeDocument/2006/relationships/hyperlink" Target="https://www.google.com/url?q=http://codeforces.com/contest/157/problem/D&amp;sa=D&amp;ust=1605639551621000&amp;usg=AFQjCNFcnB2VeifSt1xHjeiE2_xAZovkbQ" TargetMode="External"/><Relationship Id="rId322" Type="http://schemas.openxmlformats.org/officeDocument/2006/relationships/hyperlink" Target="https://www.google.com/url?q=http://codeforces.com/contest/982/problem/D&amp;sa=D&amp;ust=1605639551767000&amp;usg=AFQjCNE1wEld5XDSmHHgV0BNZpv5tM3nUw" TargetMode="External"/><Relationship Id="rId2003" Type="http://schemas.openxmlformats.org/officeDocument/2006/relationships/hyperlink" Target="https://www.google.com/url?q=http://codeforces.com/contest/651/problem/C&amp;sa=D&amp;ust=1605639552736000&amp;usg=AFQjCNFDsh58Yum7jFS8HAcYABTYPus3eg" TargetMode="External"/><Relationship Id="rId2210" Type="http://schemas.openxmlformats.org/officeDocument/2006/relationships/hyperlink" Target="https://www.google.com/url?q=https://www.quora.com/What-is-the-approach-to-solve-2051-cell-phone-CERC07C-on-SPOJ&amp;sa=D&amp;ust=1605639552878000&amp;usg=AFQjCNHw1ZuEyInhhPlDsIZmmGo8n6rvww" TargetMode="External"/><Relationship Id="rId4175" Type="http://schemas.openxmlformats.org/officeDocument/2006/relationships/hyperlink" Target="https://www.google.com/url?q=https://github.com/goswami-rahul/competitive-coding/blob/master/CompetitiveProgramming/codechef/EXPTPROD.cpp&amp;sa=D&amp;ust=1605639554220000&amp;usg=AFQjCNG2kBNJHndNUrL-_mA3ORMYNqr9Jg" TargetMode="External"/><Relationship Id="rId4382" Type="http://schemas.openxmlformats.org/officeDocument/2006/relationships/hyperlink" Target="https://www.google.com/url?q=http://codeforces.com/contest/581/problem/F&amp;sa=D&amp;ust=1605639554319000&amp;usg=AFQjCNHQNxpkPFTjcz0c9EPO3JtUAW1k0Q" TargetMode="External"/><Relationship Id="rId1769" Type="http://schemas.openxmlformats.org/officeDocument/2006/relationships/hyperlink" Target="https://www.google.com/url?q=https://agc001.contest.atcoder.jp/tasks/agc001_a&amp;sa=D&amp;ust=1605639552598000&amp;usg=AFQjCNF3YE2D16NIBrsETeyBfDpgmIWknQ" TargetMode="External"/><Relationship Id="rId1976" Type="http://schemas.openxmlformats.org/officeDocument/2006/relationships/hyperlink" Target="https://www.google.com/url?q=https://github.com/MedoN11/CompetitiveProgramming/blob/master/TopCoder/SRM280-D1-500.java&amp;sa=D&amp;ust=1605639552719000&amp;usg=AFQjCNFVc3UFjxPT6ms3nFQBiC5vxPDS2A" TargetMode="External"/><Relationship Id="rId3191" Type="http://schemas.openxmlformats.org/officeDocument/2006/relationships/hyperlink" Target="https://www.google.com/url?q=https://www.codechef.com/JUNE19A/problems/CHFING&amp;sa=D&amp;ust=1605639553422000&amp;usg=AFQjCNEzLNpDc-pdMe9gKe3iv-uQa-rWhw" TargetMode="External"/><Relationship Id="rId4035" Type="http://schemas.openxmlformats.org/officeDocument/2006/relationships/hyperlink" Target="https://www.google.com/url?q=http://codeforces.com/contest/56/problem/D&amp;sa=D&amp;ust=1605639554144000&amp;usg=AFQjCNGxtglatK04gtmYMXFGXh6nrIwMrg" TargetMode="External"/><Relationship Id="rId4242" Type="http://schemas.openxmlformats.org/officeDocument/2006/relationships/hyperlink" Target="https://www.google.com/url?q=https://codeforces.com/gym/101174/attachments&amp;sa=D&amp;ust=1605639554261000&amp;usg=AFQjCNF0DGQM4zXy1BTdbIfQspUikUdhtw" TargetMode="External"/><Relationship Id="rId1629" Type="http://schemas.openxmlformats.org/officeDocument/2006/relationships/hyperlink" Target="https://www.google.com/url?q=https://github.com/Huvok/CompetitiveProgramming/blob/master/Codeforces/CF101917-D12-B.cpp&amp;sa=D&amp;ust=1605639552518000&amp;usg=AFQjCNHMAQNNgLecBnQZK5DZQbzj6_iVCA" TargetMode="External"/><Relationship Id="rId1836" Type="http://schemas.openxmlformats.org/officeDocument/2006/relationships/hyperlink" Target="https://www.google.com/url?q=https://www.codechef.com/problems/WPLAY&amp;sa=D&amp;ust=1605639552634000&amp;usg=AFQjCNEXQuZg5dlUPsLLhoIJk0fTPP7gSg" TargetMode="External"/><Relationship Id="rId1903" Type="http://schemas.openxmlformats.org/officeDocument/2006/relationships/hyperlink" Target="https://www.google.com/url?q=https://onlinejudge.org/external/111/p11123.pdf&amp;sa=D&amp;ust=1605639552675000&amp;usg=AFQjCNFxmwYqFpOoRD-vczqJd2USF6RspA" TargetMode="External"/><Relationship Id="rId3051" Type="http://schemas.openxmlformats.org/officeDocument/2006/relationships/hyperlink" Target="https://www.google.com/url?q=http://codeforces.com/contest/494/problem/D&amp;sa=D&amp;ust=1605639553350000&amp;usg=AFQjCNHGOi35sbza5OlnP-XT08WY4Nyo8g" TargetMode="External"/><Relationship Id="rId4102" Type="http://schemas.openxmlformats.org/officeDocument/2006/relationships/hyperlink" Target="https://www.google.com/url?q=http://codeforces.com/contest/318/problem/D&amp;sa=D&amp;ust=1605639554178000&amp;usg=AFQjCNESJctn7EQ4APFc4pl2rARSjXBumQ" TargetMode="External"/><Relationship Id="rId3868" Type="http://schemas.openxmlformats.org/officeDocument/2006/relationships/hyperlink" Target="https://www.google.com/url?q=https://www.codechef.com/problems/GERALD07&amp;sa=D&amp;ust=1605639553900000&amp;usg=AFQjCNENLCIw1_rX3qr7JSLW9dB6Wytz3g" TargetMode="External"/><Relationship Id="rId789" Type="http://schemas.openxmlformats.org/officeDocument/2006/relationships/hyperlink" Target="https://www.google.com/url?q=http://codeforces.com/contest/914/problem/D&amp;sa=D&amp;ust=1605639552008000&amp;usg=AFQjCNGb2w0iPVpVy642DeVUuL8n0uHc4Q" TargetMode="External"/><Relationship Id="rId996" Type="http://schemas.openxmlformats.org/officeDocument/2006/relationships/hyperlink" Target="https://www.google.com/url?q=http://codeforces.com/problemset/problem/744/C&amp;sa=D&amp;ust=1605639552123000&amp;usg=AFQjCNEUF14u9rPfwx1m6sJKqfY3FMBTCA" TargetMode="External"/><Relationship Id="rId2677" Type="http://schemas.openxmlformats.org/officeDocument/2006/relationships/hyperlink" Target="https://www.google.com/url?q=https://github.com/tmwilliamlin168/CompetitiveProgramming/blob/master/Hackerrank/landslide.cpp&amp;sa=D&amp;ust=1605639553136000&amp;usg=AFQjCNEySWeQvAc3Tvw9ztwZqSILHujFig" TargetMode="External"/><Relationship Id="rId2884" Type="http://schemas.openxmlformats.org/officeDocument/2006/relationships/hyperlink" Target="https://www.google.com/url?q=https://github.com/mostafa-saad/MyCompetitiveProgramming/blob/master/SPOJ/SPOJ_QUEST4.txt&amp;sa=D&amp;ust=1605639553256000&amp;usg=AFQjCNEIMrLdvne-G4ImcKTHq4x0Ga1D8g" TargetMode="External"/><Relationship Id="rId3728" Type="http://schemas.openxmlformats.org/officeDocument/2006/relationships/hyperlink" Target="https://www.google.com/url?q=http://www.spoj.com/problems/SQFREE/&amp;sa=D&amp;ust=1605639553815000&amp;usg=AFQjCNF4-WDrtNE-AGKI2WvmyTS6MDYDeg" TargetMode="External"/><Relationship Id="rId649" Type="http://schemas.openxmlformats.org/officeDocument/2006/relationships/hyperlink" Target="https://www.google.com/url?q=https://github.com/mostafa-saad/MyCompetitiveProgramming/blob/master/Codeforces/CF911-D2-G.txt&amp;sa=D&amp;ust=1605639551942000&amp;usg=AFQjCNFTgjWeXZDp6ObcYcbujci9ymLuQQ" TargetMode="External"/><Relationship Id="rId856" Type="http://schemas.openxmlformats.org/officeDocument/2006/relationships/hyperlink" Target="https://www.google.com/url?q=http://codeforces.com/contest/374/problem/D&amp;sa=D&amp;ust=1605639552042000&amp;usg=AFQjCNEPpXESXn7-6Uyyldcdh-zQZJSq2g" TargetMode="External"/><Relationship Id="rId1279" Type="http://schemas.openxmlformats.org/officeDocument/2006/relationships/hyperlink" Target="https://www.google.com/url?q=https://morris821028.github.io/2014/07/06/oj/uva/uva-11266/&amp;sa=D&amp;ust=1605639552304000&amp;usg=AFQjCNGR6sOsnRFryTdOqZlK1FzEXUWqlg" TargetMode="External"/><Relationship Id="rId1486" Type="http://schemas.openxmlformats.org/officeDocument/2006/relationships/hyperlink" Target="https://www.google.com/url?q=https://atcoder.jp/contests/abc149/tasks/abc149_f&amp;sa=D&amp;ust=1605639552436000&amp;usg=AFQjCNGmQPki5278j3_2N6h_2Ix0liOEUA" TargetMode="External"/><Relationship Id="rId2537" Type="http://schemas.openxmlformats.org/officeDocument/2006/relationships/hyperlink" Target="https://www.google.com/url?q=http://codeforces.com/contest/686/problem/D&amp;sa=D&amp;ust=1605639553053000&amp;usg=AFQjCNHnGtwhCUqWuD3ktEuRznKDEsFQPw" TargetMode="External"/><Relationship Id="rId3935" Type="http://schemas.openxmlformats.org/officeDocument/2006/relationships/hyperlink" Target="https://www.google.com/url?q=https://codingcompetitions.withgoogle.com/kickstart/round/0000000000050ff2/0000000000150aac&amp;sa=D&amp;ust=1605639553937000&amp;usg=AFQjCNG__wrzajvs9gmzVnJ-HPEzMfLM0Q" TargetMode="External"/><Relationship Id="rId509" Type="http://schemas.openxmlformats.org/officeDocument/2006/relationships/hyperlink" Target="https://www.google.com/url?q=https://code.google.com/codejam/contest/189252/dashboard%23s%3Dp1%26a%3D1&amp;sa=D&amp;ust=1605639551889000&amp;usg=AFQjCNFiDi_n3492O1wDjN60Kfyt7xUv0g" TargetMode="External"/><Relationship Id="rId1139" Type="http://schemas.openxmlformats.org/officeDocument/2006/relationships/hyperlink" Target="https://www.google.com/url?q=https://codeforces.com/contest/1107/problem/D&amp;sa=D&amp;ust=1605639552202000&amp;usg=AFQjCNFKXfsmajXnFskC7xE6TUd5PeAraA" TargetMode="External"/><Relationship Id="rId1346" Type="http://schemas.openxmlformats.org/officeDocument/2006/relationships/hyperlink" Target="https://www.google.com/url?q=https://www.hackerrank.com/challenges/digit-products&amp;sa=D&amp;ust=1605639552345000&amp;usg=AFQjCNHxTMfOvtoAK1Vnnv3CM_yBgINolw" TargetMode="External"/><Relationship Id="rId1693" Type="http://schemas.openxmlformats.org/officeDocument/2006/relationships/hyperlink" Target="https://www.google.com/url?q=http://codeforces.com/contest/230/problem/C&amp;sa=D&amp;ust=1605639552556000&amp;usg=AFQjCNHEpl9x5os8yzMODJ8iYPdyQNjKuQ" TargetMode="External"/><Relationship Id="rId2744" Type="http://schemas.openxmlformats.org/officeDocument/2006/relationships/hyperlink" Target="https://www.google.com/url?q=https://github.com/nya-nya-meow/CompetitiveProgramming/blob/master/CodeForces/CF1062-D2-D.cpp&amp;sa=D&amp;ust=1605639553171000&amp;usg=AFQjCNH5ZBK4MW8pMITlFsVNNgQePbuPCw" TargetMode="External"/><Relationship Id="rId2951" Type="http://schemas.openxmlformats.org/officeDocument/2006/relationships/hyperlink" Target="https://www.google.com/url?q=https://github.com/nya-nya-meow/CompetitiveProgramming/blob/master/CodeForces/CF1108-D3-F%2520-%2520MST%2520Unification..cpp&amp;sa=D&amp;ust=1605639553291000&amp;usg=AFQjCNH61Qy_1BRwIVmAk9Zt4QdI6mSAmg" TargetMode="External"/><Relationship Id="rId716" Type="http://schemas.openxmlformats.org/officeDocument/2006/relationships/hyperlink" Target="https://www.google.com/url?q=https://ideone.com/iEbaYO&amp;sa=D&amp;ust=1605639551972000&amp;usg=AFQjCNF3q3DzuBsix13u0qzgCSBqVwoyqg" TargetMode="External"/><Relationship Id="rId923" Type="http://schemas.openxmlformats.org/officeDocument/2006/relationships/hyperlink" Target="https://www.google.com/url?q=https://github.com/shanto86/Training/blob/master/TopCoder/SRM452-D1-500.cpp&amp;sa=D&amp;ust=1605639552084000&amp;usg=AFQjCNFZ9vbF346BnDADjx5P3ce4LSuoog" TargetMode="External"/><Relationship Id="rId1553" Type="http://schemas.openxmlformats.org/officeDocument/2006/relationships/hyperlink" Target="https://www.google.com/url?q=https://github.com/MedoN11/CompetitiveProgramming/blob/master/CodeForces/GYM/CF10149-GYM-G.cpp&amp;sa=D&amp;ust=1605639552476000&amp;usg=AFQjCNFbYsp59Z7rV6b-qdNH7_-u2Tkx3A" TargetMode="External"/><Relationship Id="rId1760" Type="http://schemas.openxmlformats.org/officeDocument/2006/relationships/hyperlink" Target="https://www.google.com/url?q=http://codeforces.com/contest/51/problem/C&amp;sa=D&amp;ust=1605639552591000&amp;usg=AFQjCNExAV5ydEwnInZ3BmLdVR1Tcv6GDw" TargetMode="External"/><Relationship Id="rId2604" Type="http://schemas.openxmlformats.org/officeDocument/2006/relationships/hyperlink" Target="https://www.google.com/url?q=https://github.com/Maverick10/Competitive-Programming/blob/master/Solutions/UVa/UVa%2520-%252010687.cpp&amp;sa=D&amp;ust=1605639553093000&amp;usg=AFQjCNGCsA7tuRoVJkEGaosQ8d3Q7qyPtw" TargetMode="External"/><Relationship Id="rId2811" Type="http://schemas.openxmlformats.org/officeDocument/2006/relationships/hyperlink" Target="https://www.google.com/url?q=https://github.com/farmerboy95/CompetitiveProgramming/blob/master/Codeforces/CF1252-D12-L.cpp&amp;sa=D&amp;ust=1605639553217000&amp;usg=AFQjCNHBiHA6kW0w2HIEWZ_fZEumIV1Vxg" TargetMode="External"/><Relationship Id="rId52" Type="http://schemas.openxmlformats.org/officeDocument/2006/relationships/hyperlink" Target="https://www.google.com/url?q=http://agc029.contest.atcoder.jp/tasks/agc029_d&amp;sa=D&amp;ust=1605639551583000&amp;usg=AFQjCNFT-ytO_m4Yx5-P0Z_eCX5R3BDXcQ" TargetMode="External"/><Relationship Id="rId1206" Type="http://schemas.openxmlformats.org/officeDocument/2006/relationships/hyperlink" Target="https://www.google.com/url?q=https://uva.onlinejudge.org/index.php?option%3Dcom_onlinejudge%26Itemid%3D8%26page%3Dshow_problem%26problem%3D977&amp;sa=D&amp;ust=1605639552250000&amp;usg=AFQjCNE2HTEZFpQMjagFQFBtCRa6osnlzg" TargetMode="External"/><Relationship Id="rId1413" Type="http://schemas.openxmlformats.org/officeDocument/2006/relationships/hyperlink" Target="https://www.google.com/url?q=http://codeforces.com/contest/63/problem/E&amp;sa=D&amp;ust=1605639552392000&amp;usg=AFQjCNHD8878Tt2SAMRezzkPDDJrOcrDqA" TargetMode="External"/><Relationship Id="rId1620" Type="http://schemas.openxmlformats.org/officeDocument/2006/relationships/hyperlink" Target="https://www.google.com/url?q=http://codeforces.com/contest/238/problem/B&amp;sa=D&amp;ust=1605639552513000&amp;usg=AFQjCNFj59PNS_iBK4M5aSdDO0-lAgCY_w" TargetMode="External"/><Relationship Id="rId3378" Type="http://schemas.openxmlformats.org/officeDocument/2006/relationships/hyperlink" Target="https://www.google.com/url?q=http://codeforces.com/contest/145/problem/D&amp;sa=D&amp;ust=1605639553541000&amp;usg=AFQjCNFIXxwkDIeOWcUbrMeSr6imsu_eVg" TargetMode="External"/><Relationship Id="rId3585" Type="http://schemas.openxmlformats.org/officeDocument/2006/relationships/hyperlink" Target="https://www.google.com/url?q=https://csacademy.com/contest/archive/task/xor_cycle/statement/&amp;sa=D&amp;ust=1605639553717000&amp;usg=AFQjCNHfdIhpuaSjfVhf24lIRD5Cizrl4Q" TargetMode="External"/><Relationship Id="rId3792" Type="http://schemas.openxmlformats.org/officeDocument/2006/relationships/hyperlink" Target="https://www.google.com/url?q=http://codeforces.com/contest/346/problem/B&amp;sa=D&amp;ust=1605639553856000&amp;usg=AFQjCNHDrRKiQfBpRgrAuF31WtIvdi0jVg" TargetMode="External"/><Relationship Id="rId4429" Type="http://schemas.openxmlformats.org/officeDocument/2006/relationships/hyperlink" Target="https://www.google.com/url?q=http://codeforces.com/contest/438/problem/E&amp;sa=D&amp;ust=1605639554342000&amp;usg=AFQjCNEV7lZfUDGLhcTCWbw6WpH9zqxp4w" TargetMode="External"/><Relationship Id="rId299" Type="http://schemas.openxmlformats.org/officeDocument/2006/relationships/hyperlink" Target="https://www.google.com/url?q=https://www.codechef.com/problems/KOL15D&amp;sa=D&amp;ust=1605639551757000&amp;usg=AFQjCNEQcUYG6KEoFfaX7JJkNYEX5S3htw" TargetMode="External"/><Relationship Id="rId2187" Type="http://schemas.openxmlformats.org/officeDocument/2006/relationships/hyperlink" Target="https://www.google.com/url?q=https://github.com/MeGaCrazy/CompetitiveProgramming/blob/53a480a068a190154a3b9a10ad0068d7d8082f3c/UVA/UVA_109.cpp&amp;sa=D&amp;ust=1605639552861000&amp;usg=AFQjCNGUweOoK4vWuS8MdGJMvQHJtqkX6A" TargetMode="External"/><Relationship Id="rId2394" Type="http://schemas.openxmlformats.org/officeDocument/2006/relationships/hyperlink" Target="https://www.google.com/url?q=https://uva.onlinejudge.org/index.php?option%3Dcom_onlinejudge%26Itemid%3D8%26page%3Dshow_problem%26problem%3D58&amp;sa=D&amp;ust=1605639552966000&amp;usg=AFQjCNGUBKnSPxCfWcY8ETNGDTg6m_witQ" TargetMode="External"/><Relationship Id="rId3238" Type="http://schemas.openxmlformats.org/officeDocument/2006/relationships/hyperlink" Target="https://www.google.com/url?q=https://github.com/MedoN11/CompetitiveProgramming/blob/master/TopCoder/SRM552-D2-500.java&amp;sa=D&amp;ust=1605639553446000&amp;usg=AFQjCNHr-kS5NcRd1dt4I5iUq9goYZageg" TargetMode="External"/><Relationship Id="rId3445" Type="http://schemas.openxmlformats.org/officeDocument/2006/relationships/hyperlink" Target="https://www.google.com/url?q=https://www.hackerrank.com/challenges/antipalindromic-strings&amp;sa=D&amp;ust=1605639553580000&amp;usg=AFQjCNGtcfSbxji_1AvBjHujJqcR81wV3w" TargetMode="External"/><Relationship Id="rId3652" Type="http://schemas.openxmlformats.org/officeDocument/2006/relationships/hyperlink" Target="https://www.google.com/url?q=https://github.com/MohamedNabil97/CompetitiveProgramming/blob/master/UVA/11099.cpp&amp;sa=D&amp;ust=1605639553765000&amp;usg=AFQjCNGRAQnvr5qSH95I2UDrxGBgTWvKKw" TargetMode="External"/><Relationship Id="rId159" Type="http://schemas.openxmlformats.org/officeDocument/2006/relationships/hyperlink" Target="https://www.google.com/url?q=https://en.wikipedia.org/wiki/Cycle_detection%23Floyd.27s_Tortoise_and_Hare&amp;sa=D&amp;ust=1605639551646000&amp;usg=AFQjCNE1Ijof9m1ZPy5gMR6-skqC8HUt4A" TargetMode="External"/><Relationship Id="rId366" Type="http://schemas.openxmlformats.org/officeDocument/2006/relationships/hyperlink" Target="https://www.google.com/url?q=https://github.com/MNT95/Competitive-Programming/blob/master/UVa/Backtracking/10160%2520-%2520Servicing%2520Stations.cpp&amp;sa=D&amp;ust=1605639551803000&amp;usg=AFQjCNFdaPRs7c38IPOf7T99CX_SOo33tQ" TargetMode="External"/><Relationship Id="rId573" Type="http://schemas.openxmlformats.org/officeDocument/2006/relationships/hyperlink" Target="https://www.google.com/url?q=http://codeforces.com/contest/464/problem/E&amp;sa=D&amp;ust=1605639551916000&amp;usg=AFQjCNHwve6KdkJScAy5ghxBfUD_Dcyilw" TargetMode="External"/><Relationship Id="rId780" Type="http://schemas.openxmlformats.org/officeDocument/2006/relationships/hyperlink" Target="https://www.google.com/url?q=https://github.com/MedoN11/CompetitiveProgramming/blob/master/POJ/2019.cpp&amp;sa=D&amp;ust=1605639552003000&amp;usg=AFQjCNETCBVw9aOyzPaEyKb_qnsk5xGMPw" TargetMode="External"/><Relationship Id="rId2047" Type="http://schemas.openxmlformats.org/officeDocument/2006/relationships/hyperlink" Target="https://www.google.com/url?q=https://github.com/mostafa-saad/MyCompetitiveProgramming/blob/master/UVA/UVA_10792.txt&amp;sa=D&amp;ust=1605639552771000&amp;usg=AFQjCNHxb2TMsrXwknOTgKmY2UyGg4pExQ" TargetMode="External"/><Relationship Id="rId2254" Type="http://schemas.openxmlformats.org/officeDocument/2006/relationships/hyperlink" Target="https://www.google.com/url?q=https://www.hackerrank.com/challenges/spheres&amp;sa=D&amp;ust=1605639552905000&amp;usg=AFQjCNGwDAnhj8UdAFZDO9q4SeOXmQoa3w" TargetMode="External"/><Relationship Id="rId2461" Type="http://schemas.openxmlformats.org/officeDocument/2006/relationships/hyperlink" Target="https://www.google.com/url?q=http://www.spoj.com/problems/QUEEN/&amp;sa=D&amp;ust=1605639553002000&amp;usg=AFQjCNHI-NGy1CJ9I5vKHVfncjYZZWNZvQ" TargetMode="External"/><Relationship Id="rId3305" Type="http://schemas.openxmlformats.org/officeDocument/2006/relationships/hyperlink" Target="https://www.google.com/url?q=https://github.com/MuhammadMustafaAbdalqadir/Competitive-Programming-Workspace/blob/master/UVA/12041.cpp&amp;sa=D&amp;ust=1605639553484000&amp;usg=AFQjCNFycfURz-bRHxtqJamRU0NvkJz45w" TargetMode="External"/><Relationship Id="rId3512" Type="http://schemas.openxmlformats.org/officeDocument/2006/relationships/hyperlink" Target="https://www.google.com/url?q=https://github.com/amrayman88/CompetitiveProgramming/blob/master/CodeForces/CF428-D2-D.cpp&amp;sa=D&amp;ust=1605639553633000&amp;usg=AFQjCNHeugErkXmBdwnYSwNRWE5ZLPdW9w" TargetMode="External"/><Relationship Id="rId226" Type="http://schemas.openxmlformats.org/officeDocument/2006/relationships/hyperlink" Target="https://www.google.com/url?q=http://codeforces.com/contest/557/problem/C&amp;sa=D&amp;ust=1605639551695000&amp;usg=AFQjCNG8qt1e2LOWnYniVUM0ipmhyLM1Xg" TargetMode="External"/><Relationship Id="rId433" Type="http://schemas.openxmlformats.org/officeDocument/2006/relationships/hyperlink" Target="https://www.google.com/url?q=http://codeforces.com/contest/810/problem/D&amp;sa=D&amp;ust=1605639551856000&amp;usg=AFQjCNE96tIdYZgk1lVdgv5qEgcFWrzwzw" TargetMode="External"/><Relationship Id="rId1063" Type="http://schemas.openxmlformats.org/officeDocument/2006/relationships/hyperlink" Target="https://www.google.com/url?q=http://codeforces.com/contest/235/problem/B&amp;sa=D&amp;ust=1605639552156000&amp;usg=AFQjCNF33JE9LHgI0IMGTghxHxVjJ1O9Gw" TargetMode="External"/><Relationship Id="rId1270" Type="http://schemas.openxmlformats.org/officeDocument/2006/relationships/hyperlink" Target="https://www.google.com/url?q=http://codeforces.com/contest/570/problem/E&amp;sa=D&amp;ust=1605639552300000&amp;usg=AFQjCNEjtV8M8wMzRBaKKn-FvOqrkW0xIw" TargetMode="External"/><Relationship Id="rId2114" Type="http://schemas.openxmlformats.org/officeDocument/2006/relationships/hyperlink" Target="https://www.google.com/url?q=https://uva.onlinejudge.org/index.php?option%3Dcom_onlinejudge%26Itemid%3D8%26page%3Dshow_problem%26problem%3D209&amp;sa=D&amp;ust=1605639552811000&amp;usg=AFQjCNFDajINh-SqKJPFbjELUNY8pUX6WQ" TargetMode="External"/><Relationship Id="rId640" Type="http://schemas.openxmlformats.org/officeDocument/2006/relationships/hyperlink" Target="https://www.google.com/url?q=http://codeforces.com/contest/132/problem/D&amp;sa=D&amp;ust=1605639551939000&amp;usg=AFQjCNH6XLO2ZoeGF11F3_UE07cDa-z_QA" TargetMode="External"/><Relationship Id="rId2321" Type="http://schemas.openxmlformats.org/officeDocument/2006/relationships/hyperlink" Target="https://www.google.com/url?q=http://codeforces.com/contest/272/problem/E&amp;sa=D&amp;ust=1605639552936000&amp;usg=AFQjCNFDSlKIu92pG0We0qcRhMv17ZP1oA" TargetMode="External"/><Relationship Id="rId4079" Type="http://schemas.openxmlformats.org/officeDocument/2006/relationships/hyperlink" Target="https://www.google.com/url?q=http://codeforces.com/contest/261/problem/C&amp;sa=D&amp;ust=1605639554164000&amp;usg=AFQjCNHh5Mi6IS6DGlKDu4z_zbjLPBPo3A" TargetMode="External"/><Relationship Id="rId4286" Type="http://schemas.openxmlformats.org/officeDocument/2006/relationships/hyperlink" Target="https://www.google.com/url?q=http://codeforces.com/problemsets/acmsguru/problem/99999/507&amp;sa=D&amp;ust=1605639554279000&amp;usg=AFQjCNFLDQnzIeXXqopWD9ZUwR4GC7E7dQ" TargetMode="External"/><Relationship Id="rId500" Type="http://schemas.openxmlformats.org/officeDocument/2006/relationships/hyperlink" Target="https://www.google.com/url?q=https://github.com/tmwilliamlin168/CompetitiveProgramming/blob/master/CSAcademy/84-E.cpp&amp;sa=D&amp;ust=1605639551886000&amp;usg=AFQjCNF_XItcCtyAl0d5Ortkm_9VSJt4mA" TargetMode="External"/><Relationship Id="rId1130" Type="http://schemas.openxmlformats.org/officeDocument/2006/relationships/hyperlink" Target="https://www.google.com/url?q=https://atcoder.jp/contests/abc145/tasks/abc145_e&amp;sa=D&amp;ust=1605639552197000&amp;usg=AFQjCNETf_VdzaWEpA4QYNmYRvPEN0yt-w" TargetMode="External"/><Relationship Id="rId1947" Type="http://schemas.openxmlformats.org/officeDocument/2006/relationships/hyperlink" Target="https://www.google.com/url?q=https://github.com/OmarHashim/Competitive-Programming/blob/master/CodeForces/CF100531-GYM-H.cpp&amp;sa=D&amp;ust=1605639552706000&amp;usg=AFQjCNFiuCha8G8lJ_RS1XgmcNsEO6plXA" TargetMode="External"/><Relationship Id="rId3095" Type="http://schemas.openxmlformats.org/officeDocument/2006/relationships/hyperlink" Target="https://www.google.com/url?q=https://github.com/ahmedsamir221/CompetitiveProgramming/blob/master/SPOJ/SPOJ%2520QTREE2.cpp&amp;sa=D&amp;ust=1605639553368000&amp;usg=AFQjCNGQW3Md_3hLgq-i93IW1ow_TMtT0w" TargetMode="External"/><Relationship Id="rId4146" Type="http://schemas.openxmlformats.org/officeDocument/2006/relationships/hyperlink" Target="https://www.google.com/url?q=http://codeforces.com/contest/434/problem/D&amp;sa=D&amp;ust=1605639554205000&amp;usg=AFQjCNEds4amN2W-9bkdjTGGJZ9ePv0Amw" TargetMode="External"/><Relationship Id="rId4353" Type="http://schemas.openxmlformats.org/officeDocument/2006/relationships/hyperlink" Target="https://www.google.com/url?q=http://codeforces.com/problemset/problem/1033/F&amp;sa=D&amp;ust=1605639554305000&amp;usg=AFQjCNFw1zQXzIvPp0HSIvEx-WPXmJ6r2w" TargetMode="External"/><Relationship Id="rId1807" Type="http://schemas.openxmlformats.org/officeDocument/2006/relationships/hyperlink" Target="https://www.google.com/url?q=http://codeforces.com/contest/347/problem/C&amp;sa=D&amp;ust=1605639552617000&amp;usg=AFQjCNFhZULkYXSR0pVn5zgjH2UysXiFpQ" TargetMode="External"/><Relationship Id="rId3162" Type="http://schemas.openxmlformats.org/officeDocument/2006/relationships/hyperlink" Target="https://www.google.com/url?q=http://codeforces.com/contest/216/problem/E&amp;sa=D&amp;ust=1605639553410000&amp;usg=AFQjCNHfyXbIAqWdXwZeYecmG3833cO6RA" TargetMode="External"/><Relationship Id="rId4006" Type="http://schemas.openxmlformats.org/officeDocument/2006/relationships/hyperlink" Target="https://www.google.com/url?q=http://codeforces.com/contest/334/problem/D&amp;sa=D&amp;ust=1605639554128000&amp;usg=AFQjCNEVFhCATy7pm-k8iZBGByJZvmdKLw" TargetMode="External"/><Relationship Id="rId4213" Type="http://schemas.openxmlformats.org/officeDocument/2006/relationships/hyperlink" Target="https://www.google.com/url?q=http://codeforces.com/contest/601/problem/D&amp;sa=D&amp;ust=1605639554248000&amp;usg=AFQjCNGidJzCETMY517Dg4muazFzkfh0CQ" TargetMode="External"/><Relationship Id="rId4420" Type="http://schemas.openxmlformats.org/officeDocument/2006/relationships/hyperlink" Target="https://www.google.com/url?q=https://csacademy.com/contest/fii-code-2019-round-1/task/Sugarel-in-Love/&amp;sa=D&amp;ust=1605639554338000&amp;usg=AFQjCNEqPYpKou0Gv4fsNUNofTMc2smJvw" TargetMode="External"/><Relationship Id="rId290" Type="http://schemas.openxmlformats.org/officeDocument/2006/relationships/hyperlink" Target="https://www.google.com/url?q=http://codeforces.com/contest/500/problem/E&amp;sa=D&amp;ust=1605639551752000&amp;usg=AFQjCNHv7Y6773ow_Ddm-hgnnNeyhxqlfg" TargetMode="External"/><Relationship Id="rId3022" Type="http://schemas.openxmlformats.org/officeDocument/2006/relationships/hyperlink" Target="https://www.google.com/url?q=http://codeforces.com/contest/766/problem/D&amp;sa=D&amp;ust=1605639553333000&amp;usg=AFQjCNGtPGFTt0eWH3-NzwZp8gfuIx9ooA" TargetMode="External"/><Relationship Id="rId150" Type="http://schemas.openxmlformats.org/officeDocument/2006/relationships/hyperlink" Target="https://www.google.com/url?q=http://codeforces.com/contest/978/problem/F&amp;sa=D&amp;ust=1605639551642000&amp;usg=AFQjCNHKkidBUXa6-F2T57glNh1xFWzd0A" TargetMode="External"/><Relationship Id="rId3979" Type="http://schemas.openxmlformats.org/officeDocument/2006/relationships/hyperlink" Target="https://www.google.com/url?q=http://codeforces.com/contest/61/problem/C&amp;sa=D&amp;ust=1605639553960000&amp;usg=AFQjCNG7zyDMDRCeNENWEJm3-5nk5FgHVw" TargetMode="External"/><Relationship Id="rId2788" Type="http://schemas.openxmlformats.org/officeDocument/2006/relationships/hyperlink" Target="https://www.google.com/url?q=https://www.codechef.com/problems/ORDERAAM&amp;sa=D&amp;ust=1605639553204000&amp;usg=AFQjCNGkaz2z6zoh-R512aqVZMWwEmf_4Q" TargetMode="External"/><Relationship Id="rId2995" Type="http://schemas.openxmlformats.org/officeDocument/2006/relationships/hyperlink" Target="https://www.google.com/url?q=https://github.com/ilyesLtifi/Competitive-Programming/blob/master/UVA/UVA%252010731.cpp&amp;sa=D&amp;ust=1605639553317000&amp;usg=AFQjCNE7LL84eoqnVmjSsRW_ClkMHkXsNg" TargetMode="External"/><Relationship Id="rId3839" Type="http://schemas.openxmlformats.org/officeDocument/2006/relationships/hyperlink" Target="https://www.google.com/url?q=http://web.stanford.edu/class/cs97si/suffix-array.pdf&amp;sa=D&amp;ust=1605639553888000&amp;usg=AFQjCNHS7iFmkuh7JmbCg1DTc1FQUfTHbA" TargetMode="External"/><Relationship Id="rId967" Type="http://schemas.openxmlformats.org/officeDocument/2006/relationships/hyperlink" Target="https://www.google.com/url?q=https://atcoder.jp/contests/yahoo-procon2019-qual/tasks/yahoo_procon2019_qual_f&amp;sa=D&amp;ust=1605639552109000&amp;usg=AFQjCNHLfWvg18tNhlR-ElM5ixqtdidD9g" TargetMode="External"/><Relationship Id="rId1597" Type="http://schemas.openxmlformats.org/officeDocument/2006/relationships/hyperlink" Target="https://www.google.com/url?q=https://codeforces.com/contest/1061/problem/A&amp;sa=D&amp;ust=1605639552501000&amp;usg=AFQjCNEZnCTyF5muElA70Fd45h8K4Wf2qw" TargetMode="External"/><Relationship Id="rId2648" Type="http://schemas.openxmlformats.org/officeDocument/2006/relationships/hyperlink" Target="https://www.google.com/url?q=https://github.com/VAMPIER000001/CompetitiveProgramming/blob/master/Spoj/SPOJ%2520GONDOR.Cpp&amp;sa=D&amp;ust=1605639553119000&amp;usg=AFQjCNHWN6hqgbdqmB5CVVH7Aug5s6egLw" TargetMode="External"/><Relationship Id="rId2855" Type="http://schemas.openxmlformats.org/officeDocument/2006/relationships/hyperlink" Target="https://www.google.com/url?q=https://www.codechef.com/problems/TWOCOMP&amp;sa=D&amp;ust=1605639553239000&amp;usg=AFQjCNFuVM4JVM7vffrfQ08HJe0otbMbGg" TargetMode="External"/><Relationship Id="rId3906" Type="http://schemas.openxmlformats.org/officeDocument/2006/relationships/hyperlink" Target="https://www.google.com/url?q=https://www.codechef.com/problems/IITI15&amp;sa=D&amp;ust=1605639553921000&amp;usg=AFQjCNF6tK_s15VB-ZIoLlmiyPZn_MqWZQ" TargetMode="External"/><Relationship Id="rId96" Type="http://schemas.openxmlformats.org/officeDocument/2006/relationships/hyperlink" Target="https://www.google.com/url?q=http://codeforces.com/contest/1005/problem/E1&amp;sa=D&amp;ust=1605639551610000&amp;usg=AFQjCNGh9WXt-cBBVOYIHAPxguNa6lRBBA" TargetMode="External"/><Relationship Id="rId827" Type="http://schemas.openxmlformats.org/officeDocument/2006/relationships/hyperlink" Target="https://www.google.com/url?q=https://onlinejudge.org/index.php?option%3Donlinejudge%26Itemid%3D8%26page%3Dshow_problem%26problem%3D2418&amp;sa=D&amp;ust=1605639552028000&amp;usg=AFQjCNEqlkEcZ6SKL8Yx4ZveLNAZNs09JA" TargetMode="External"/><Relationship Id="rId1457" Type="http://schemas.openxmlformats.org/officeDocument/2006/relationships/hyperlink" Target="https://www.google.com/url?q=https://github.com/mostafa-saad/MyCompetitiveProgramming/blob/master/UVA/UVA_542.txt&amp;sa=D&amp;ust=1605639552419000&amp;usg=AFQjCNEp-zRT9SqtrM0jKtjL2twyfzD4SA" TargetMode="External"/><Relationship Id="rId1664" Type="http://schemas.openxmlformats.org/officeDocument/2006/relationships/hyperlink" Target="https://www.google.com/url?q=http://codeforces.com/contest/898/problem/E&amp;sa=D&amp;ust=1605639552537000&amp;usg=AFQjCNFDtRUBkYNO5r9akVQJp3H2i0NkfA" TargetMode="External"/><Relationship Id="rId1871" Type="http://schemas.openxmlformats.org/officeDocument/2006/relationships/hyperlink" Target="https://www.google.com/url?q=http://codeforces.com/contest/15/problem/C&amp;sa=D&amp;ust=1605639552649000&amp;usg=AFQjCNEwwLR_1WlP7ChOlHTAv_ARVJR5QQ" TargetMode="External"/><Relationship Id="rId2508" Type="http://schemas.openxmlformats.org/officeDocument/2006/relationships/hyperlink" Target="https://www.google.com/url?q=https://github.com/timpostuvan/CompetitiveProgramming/blob/master/Codeforces/CF982-D2-F.cpp&amp;sa=D&amp;ust=1605639553037000&amp;usg=AFQjCNEjTNAY0oKmHn9USJEYuwCkiIbTnA" TargetMode="External"/><Relationship Id="rId2715" Type="http://schemas.openxmlformats.org/officeDocument/2006/relationships/hyperlink" Target="https://www.google.com/url?q=https://github.com/VAMPIER000001/CompetitiveProgramming/blob/master/UVA/V-119/UVA%252011987.Cpp&amp;sa=D&amp;ust=1605639553154000&amp;usg=AFQjCNEerDvvsQ75llRbFVdibMSBku8zPw" TargetMode="External"/><Relationship Id="rId2922" Type="http://schemas.openxmlformats.org/officeDocument/2006/relationships/hyperlink" Target="https://www.google.com/url?q=http://codeforces.com/contest/240/problem/E&amp;sa=D&amp;ust=1605639553279000&amp;usg=AFQjCNFH9RGx_hP1aUtM5iY2yqNNBDmdGQ" TargetMode="External"/><Relationship Id="rId4070" Type="http://schemas.openxmlformats.org/officeDocument/2006/relationships/hyperlink" Target="https://www.google.com/url?q=http://codeforces.com/contest/431/problem/D&amp;sa=D&amp;ust=1605639554159000&amp;usg=AFQjCNFhqIMHfOMi0oEJ9t61DDe05T_HOQ" TargetMode="External"/><Relationship Id="rId1317" Type="http://schemas.openxmlformats.org/officeDocument/2006/relationships/hyperlink" Target="https://www.google.com/url?q=https://beta.atcoder.jp/contests/abc113/tasks/abc113_d&amp;sa=D&amp;ust=1605639552324000&amp;usg=AFQjCNEzZOrbUocOLRYJkcDNx3YnDrZpZg" TargetMode="External"/><Relationship Id="rId1524" Type="http://schemas.openxmlformats.org/officeDocument/2006/relationships/hyperlink" Target="https://www.google.com/url?q=http://codeforces.com/contest/922/problem/F&amp;sa=D&amp;ust=1605639552461000&amp;usg=AFQjCNESAVzE2mMltRHVjY41rwlUM_asuA" TargetMode="External"/><Relationship Id="rId1731" Type="http://schemas.openxmlformats.org/officeDocument/2006/relationships/hyperlink" Target="https://www.google.com/url?q=http://codeforces.com/contest/376/problem/D&amp;sa=D&amp;ust=1605639552576000&amp;usg=AFQjCNGl43IVcLph40go1b01EwI_xTNxwg" TargetMode="External"/><Relationship Id="rId23" Type="http://schemas.openxmlformats.org/officeDocument/2006/relationships/hyperlink" Target="https://www.google.com/url?q=https://codeforces.com/contest/1287/problem/E2&amp;sa=D&amp;ust=1605639551572000&amp;usg=AFQjCNH3AJoymypF1S6Vq_oPX99OyjZF_A" TargetMode="External"/><Relationship Id="rId3489" Type="http://schemas.openxmlformats.org/officeDocument/2006/relationships/hyperlink" Target="https://www.google.com/url?q=https://uva.onlinejudge.org/index.php?option%3Dcom_onlinejudge%26Itemid%3D8%26page%3Dshow_problem%26problem%3D1431&amp;sa=D&amp;ust=1605639553612000&amp;usg=AFQjCNE8Jd9d9SUHQxU_zu17qfsF4AwJWg" TargetMode="External"/><Relationship Id="rId3696" Type="http://schemas.openxmlformats.org/officeDocument/2006/relationships/hyperlink" Target="https://www.google.com/url?q=https://github.com/mostafa-saad/MyCompetitiveProgramming/blob/master/SPOJ/SPOJ_DIVEQL.txt&amp;sa=D&amp;ust=1605639553795000&amp;usg=AFQjCNE6KNn3tGYx5ieAJztRN_vWjVckSA" TargetMode="External"/><Relationship Id="rId2298" Type="http://schemas.openxmlformats.org/officeDocument/2006/relationships/hyperlink" Target="https://www.google.com/url?q=https://github.com/quangloc99/CompetitiveProgramming/blob/master/Livearchive/8257.cpp&amp;sa=D&amp;ust=1605639552929000&amp;usg=AFQjCNEwgclLepgBzlbBp8lK5ev2U1y6dw" TargetMode="External"/><Relationship Id="rId3349" Type="http://schemas.openxmlformats.org/officeDocument/2006/relationships/hyperlink" Target="https://www.google.com/url?q=https://github.com/Huvok/CompetitiveProgramming/blob/master/Codeforces/CF902-D2-D.cpp&amp;sa=D&amp;ust=1605639553518000&amp;usg=AFQjCNFd15OztkP3qMnVBLhsEF5QHWqjTg" TargetMode="External"/><Relationship Id="rId3556" Type="http://schemas.openxmlformats.org/officeDocument/2006/relationships/hyperlink" Target="https://www.google.com/url?q=https://atcoder.jp/contests/agc006/tasks/agc006_c&amp;sa=D&amp;ust=1605639553692000&amp;usg=AFQjCNGfykMhQ8toyw5RB2Z71395z5bNxA" TargetMode="External"/><Relationship Id="rId477" Type="http://schemas.openxmlformats.org/officeDocument/2006/relationships/hyperlink" Target="https://www.google.com/url?q=http://codeforces.com/contest/270/problem/C&amp;sa=D&amp;ust=1605639551876000&amp;usg=AFQjCNGgFt2PeSiBPm0osx6k31kAxDSaWA" TargetMode="External"/><Relationship Id="rId684" Type="http://schemas.openxmlformats.org/officeDocument/2006/relationships/hyperlink" Target="https://www.google.com/url?q=http://codeforces.com/gym/101194/attachments&amp;sa=D&amp;ust=1605639551957000&amp;usg=AFQjCNHMmz4MclUZwter5TWFneTiYc9UUg" TargetMode="External"/><Relationship Id="rId2158" Type="http://schemas.openxmlformats.org/officeDocument/2006/relationships/hyperlink" Target="https://www.google.com/url?q=http://home.ustc.edu.cn/~lyishuai/code/acm/%25B4%25FA%25C2%25EB%25B2%25D6%25BF%25E2/bookcodes/ch4/la3890.cpp&amp;sa=D&amp;ust=1605639552843000&amp;usg=AFQjCNH3e1A1P6_PE4RTPUssdjwtjk9U5Q" TargetMode="External"/><Relationship Id="rId2365" Type="http://schemas.openxmlformats.org/officeDocument/2006/relationships/hyperlink" Target="https://www.google.com/url?q=https://github.com/AhmedElsisy/CompetitiveProgramming/blob/master/Codeforces/CF125-D12-C.cpp&amp;sa=D&amp;ust=1605639552953000&amp;usg=AFQjCNFjjiKA1XdCkoS0J4dTSskQDvR3FQ" TargetMode="External"/><Relationship Id="rId3209" Type="http://schemas.openxmlformats.org/officeDocument/2006/relationships/hyperlink" Target="https://www.google.com/url?q=http://codeforces.com/contest/535/problem/C&amp;sa=D&amp;ust=1605639553431000&amp;usg=AFQjCNF2yjQwJJpdU6HmDBJhgS3zl1sIxA" TargetMode="External"/><Relationship Id="rId3763" Type="http://schemas.openxmlformats.org/officeDocument/2006/relationships/hyperlink" Target="https://www.google.com/url?q=https://github.com/3agwa/CompetitiveProgramming/blob/master/TopCoder/SRM330-D1-500&amp;sa=D&amp;ust=1605639553838000&amp;usg=AFQjCNHq5WTtEN-2S6S30p3d51UA6JCYiA" TargetMode="External"/><Relationship Id="rId3970" Type="http://schemas.openxmlformats.org/officeDocument/2006/relationships/hyperlink" Target="https://www.google.com/url?q=http://codeforces.com/contest/69/problem/C&amp;sa=D&amp;ust=1605639553954000&amp;usg=AFQjCNFhezYk39OyWuByHLtTLCFQvfcBYQ" TargetMode="External"/><Relationship Id="rId337" Type="http://schemas.openxmlformats.org/officeDocument/2006/relationships/hyperlink" Target="https://www.google.com/url?q=http://codeforces.com/problemset/problem/522/D&amp;sa=D&amp;ust=1605639551775000&amp;usg=AFQjCNGSnKN4GEgjMutcGH5xvzEwCtkVXw" TargetMode="External"/><Relationship Id="rId891" Type="http://schemas.openxmlformats.org/officeDocument/2006/relationships/hyperlink" Target="https://www.google.com/url?q=https://www.hackerrank.com/challenges/demidenko-farmer&amp;sa=D&amp;ust=1605639552065000&amp;usg=AFQjCNG0pVmMv4WA7jxgvojl3sZ4ogldQg" TargetMode="External"/><Relationship Id="rId2018" Type="http://schemas.openxmlformats.org/officeDocument/2006/relationships/hyperlink" Target="https://www.google.com/url?q=http://codeforces.com/gym/101492/problem/F&amp;sa=D&amp;ust=1605639552744000&amp;usg=AFQjCNFVu0Cjz9E-dKPiat09uqqU4D_0Qw" TargetMode="External"/><Relationship Id="rId2572" Type="http://schemas.openxmlformats.org/officeDocument/2006/relationships/hyperlink" Target="https://www.google.com/url?q=http://codeforces.com/contest/711/problem/D&amp;sa=D&amp;ust=1605639553072000&amp;usg=AFQjCNHjh8ps0FEezw2Rtxfe98jTq810hg" TargetMode="External"/><Relationship Id="rId3416" Type="http://schemas.openxmlformats.org/officeDocument/2006/relationships/hyperlink" Target="https://www.google.com/url?q=https://csacademy.com/contest/round-82/task/restricted-arrays/&amp;sa=D&amp;ust=1605639553562000&amp;usg=AFQjCNF-zpoucxS0KCj1GfzCLwyHDdCO2A" TargetMode="External"/><Relationship Id="rId3623" Type="http://schemas.openxmlformats.org/officeDocument/2006/relationships/hyperlink" Target="https://www.google.com/url?q=http://codeforces.com/contest/105/problem/B&amp;sa=D&amp;ust=1605639553746000&amp;usg=AFQjCNEyP7vMnQHLuNxm6faKt2_bjOuloQ" TargetMode="External"/><Relationship Id="rId3830" Type="http://schemas.openxmlformats.org/officeDocument/2006/relationships/hyperlink" Target="https://www.google.com/url?q=http://codeforces.com/contest/149/problem/E&amp;sa=D&amp;ust=1605639553883000&amp;usg=AFQjCNEFEGjtK3fjYCy6NgLk9wv2WDCy3g" TargetMode="External"/><Relationship Id="rId544" Type="http://schemas.openxmlformats.org/officeDocument/2006/relationships/hyperlink" Target="https://www.google.com/url?q=https://github.com/shashank0107/CompetitiveProgramming/blob/master/CODECHEF/AMITNITI.cpp&amp;sa=D&amp;ust=1605639551906000&amp;usg=AFQjCNFUjVH6a8wJl8YpAyZumspx753tyw" TargetMode="External"/><Relationship Id="rId751" Type="http://schemas.openxmlformats.org/officeDocument/2006/relationships/hyperlink" Target="https://www.google.com/url?q=http://codeforces.com/contest/482/problem/B&amp;sa=D&amp;ust=1605639551989000&amp;usg=AFQjCNGlEShFAbW6nrHP7hB7RABg396lYg" TargetMode="External"/><Relationship Id="rId1174" Type="http://schemas.openxmlformats.org/officeDocument/2006/relationships/hyperlink" Target="https://www.google.com/url?q=http://codeforces.com/contest/711/problem/C&amp;sa=D&amp;ust=1605639552226000&amp;usg=AFQjCNFjXc3ZaJAHowAhJky_2fXPkz8Esg" TargetMode="External"/><Relationship Id="rId1381" Type="http://schemas.openxmlformats.org/officeDocument/2006/relationships/hyperlink" Target="https://www.google.com/url?q=http://codeforces.com/contest/403/problem/D&amp;sa=D&amp;ust=1605639552363000&amp;usg=AFQjCNFIfSCNuY_1pSG8yfdqY-e86KDN-A" TargetMode="External"/><Relationship Id="rId2225" Type="http://schemas.openxmlformats.org/officeDocument/2006/relationships/hyperlink" Target="https://www.google.com/url?q=https://icpcarchive.ecs.baylor.edu/index.php?option%3Dcom_onlinejudge%26Itemid%3D8%26category%3D18%26page%3Dshow_problem%26problem%3D1526&amp;sa=D&amp;ust=1605639552884000&amp;usg=AFQjCNEYhCxr5KmMSg5Jm8hhD8b1dcF60A" TargetMode="External"/><Relationship Id="rId2432" Type="http://schemas.openxmlformats.org/officeDocument/2006/relationships/hyperlink" Target="https://www.google.com/url?q=https://uva.onlinejudge.org/index.php?option%3Dcom_onlinejudge%26Itemid%3D8%26category%3D24%26page%3Dshow_problem%26problem%3D1858&amp;sa=D&amp;ust=1605639552986000&amp;usg=AFQjCNHTJ4ftiP5gcV4fBvySomd6ENMRmg" TargetMode="External"/><Relationship Id="rId404" Type="http://schemas.openxmlformats.org/officeDocument/2006/relationships/hyperlink" Target="https://www.google.com/url?q=https://github.com/Mohammad-Yasser/CompetitiveProgramming/blob/master/Codeforces/CF1101-D2-F.cpp&amp;sa=D&amp;ust=1605639551844000&amp;usg=AFQjCNFZUwmdcdnRKhOADxsab-vScZAcxQ" TargetMode="External"/><Relationship Id="rId611" Type="http://schemas.openxmlformats.org/officeDocument/2006/relationships/hyperlink" Target="https://www.google.com/url?q=https://www.lydsy.com/JudgeOnline/problem.php?id%3D3064&amp;sa=D&amp;ust=1605639551930000&amp;usg=AFQjCNF7svTO_UZ0TZY1SK-kK_VbhPdVSw" TargetMode="External"/><Relationship Id="rId1034" Type="http://schemas.openxmlformats.org/officeDocument/2006/relationships/hyperlink" Target="https://www.google.com/url?q=https://github.com/ZeyadKhattab/Competitive-Programming/blob/master/Codeforces/Gyms/102014/CF102014-GYM-I.java&amp;sa=D&amp;ust=1605639552142000&amp;usg=AFQjCNHqx5jRM7nkPR1u1jnFoqLAnYfVAg" TargetMode="External"/><Relationship Id="rId1241" Type="http://schemas.openxmlformats.org/officeDocument/2006/relationships/hyperlink" Target="https://www.google.com/url?q=https://www.hackerrank.com/challenges/billboards&amp;sa=D&amp;ust=1605639552277000&amp;usg=AFQjCNHkGGKZC2EF7MmdGXwmuU_pAw7I8A" TargetMode="External"/><Relationship Id="rId4397" Type="http://schemas.openxmlformats.org/officeDocument/2006/relationships/hyperlink" Target="https://www.google.com/url?q=https://codeforces.com/contest/960/problem/E&amp;sa=D&amp;ust=1605639554326000&amp;usg=AFQjCNG5bboBcjPPa0ndzOX-ysKIfzMLDw" TargetMode="External"/><Relationship Id="rId1101" Type="http://schemas.openxmlformats.org/officeDocument/2006/relationships/hyperlink" Target="https://www.google.com/url?q=https://www.codechef.com/problems/KGP13G&amp;sa=D&amp;ust=1605639552180000&amp;usg=AFQjCNHt1lNzMXv2XmlF6HSpWtmXu-gn1A" TargetMode="External"/><Relationship Id="rId4257" Type="http://schemas.openxmlformats.org/officeDocument/2006/relationships/hyperlink" Target="https://www.google.com/url?q=https://codeforces.com/contest/1178/problem/G&amp;sa=D&amp;ust=1605639554268000&amp;usg=AFQjCNFgxYWbrJWCN59snsSbmydN5rV5JA" TargetMode="External"/><Relationship Id="rId3066" Type="http://schemas.openxmlformats.org/officeDocument/2006/relationships/hyperlink" Target="https://www.google.com/url?q=https://github.com/Szawinis/CompetitiveProgramming/blob/master/CodeForces/CF1045-D1-C.cpp&amp;sa=D&amp;ust=1605639553357000&amp;usg=AFQjCNE58reF5-3jRkbA_OUptA-_rzTujA" TargetMode="External"/><Relationship Id="rId3273" Type="http://schemas.openxmlformats.org/officeDocument/2006/relationships/hyperlink" Target="https://www.google.com/url?q=http://codeforces.com/contest/71/problem/C&amp;sa=D&amp;ust=1605639553465000&amp;usg=AFQjCNFbt3YUvibkOcxsDHWBX0lEmpnvBA" TargetMode="External"/><Relationship Id="rId3480" Type="http://schemas.openxmlformats.org/officeDocument/2006/relationships/hyperlink" Target="https://www.google.com/url?q=http://codeforces.com/gym/100753&amp;sa=D&amp;ust=1605639553604000&amp;usg=AFQjCNGG4sovrmkIFygHfWZ_NSrFDPN7kA" TargetMode="External"/><Relationship Id="rId4117" Type="http://schemas.openxmlformats.org/officeDocument/2006/relationships/hyperlink" Target="https://www.google.com/url?q=http://codeforces.com/contest/560/problem/D&amp;sa=D&amp;ust=1605639554187000&amp;usg=AFQjCNGeUUFe1Ki0Lgsw7dBAG1BYtr2sMw" TargetMode="External"/><Relationship Id="rId4324" Type="http://schemas.openxmlformats.org/officeDocument/2006/relationships/hyperlink" Target="https://www.google.com/url?q=https://github.com/taow-com-prog/problemsolving/blob/master/UVA/UVA%252012836.cpp&amp;sa=D&amp;ust=1605639554294000&amp;usg=AFQjCNH_51dzI-qsS-Kvdbu4_XS5nUr86g" TargetMode="External"/><Relationship Id="rId194" Type="http://schemas.openxmlformats.org/officeDocument/2006/relationships/hyperlink" Target="https://www.google.com/url?q=http://codeforces.com/contest/594/problem/C&amp;sa=D&amp;ust=1605639551676000&amp;usg=AFQjCNEymVva5pO-CCjnzhiG0NNCuoUo-Q" TargetMode="External"/><Relationship Id="rId1918" Type="http://schemas.openxmlformats.org/officeDocument/2006/relationships/hyperlink" Target="https://www.google.com/url?q=https://github.com/sggutier/CompetitiveProgramming/blob/master/Codeforces/CF281-D2-C.cpp&amp;sa=D&amp;ust=1605639552689000&amp;usg=AFQjCNFeB4jtWlQeJxw2718XwI9xL0bvyg" TargetMode="External"/><Relationship Id="rId2082" Type="http://schemas.openxmlformats.org/officeDocument/2006/relationships/hyperlink" Target="https://www.google.com/url?q=https://github.com/DrSchwad/CompetitiveProgramming/blob/master/TopCoder/SRM313-D1-1000.cpp&amp;sa=D&amp;ust=1605639552793000&amp;usg=AFQjCNFp4u0pa2mKIc6bkTmJjyssRxQaJg" TargetMode="External"/><Relationship Id="rId3133" Type="http://schemas.openxmlformats.org/officeDocument/2006/relationships/hyperlink" Target="https://www.google.com/url?q=https://codeforces.com/contest/1285/problem/F&amp;sa=D&amp;ust=1605639553396000&amp;usg=AFQjCNFNKSiinmA7oetUyUNssLbnxB7FPw" TargetMode="External"/><Relationship Id="rId261" Type="http://schemas.openxmlformats.org/officeDocument/2006/relationships/hyperlink" Target="https://www.google.com/url?q=http://codeforces.com/contest/950/problem/D&amp;sa=D&amp;ust=1605639551729000&amp;usg=AFQjCNFsBj-gKcCC_Nq6JVmg2LaO4OXMuQ" TargetMode="External"/><Relationship Id="rId3340" Type="http://schemas.openxmlformats.org/officeDocument/2006/relationships/hyperlink" Target="https://www.google.com/url?q=https://github.com/TheRealImaginary/CompetitiveProgramming/blob/master/UVA/UVA_10555_DeadFraction.java&amp;sa=D&amp;ust=1605639553513000&amp;usg=AFQjCNEmB0ybjptlkKHEOOc0tUGlpXp6vA" TargetMode="External"/><Relationship Id="rId2899" Type="http://schemas.openxmlformats.org/officeDocument/2006/relationships/hyperlink" Target="https://www.google.com/url?q=https://github.com/AhmedRamadanAbdElghany/CompetitiveProgramming/blob/master/UVA/11045.cpp&amp;sa=D&amp;ust=1605639553263000&amp;usg=AFQjCNFLmb1M7UZIxU9Kk3Ma5Wmgfrb3Qw" TargetMode="External"/><Relationship Id="rId3200" Type="http://schemas.openxmlformats.org/officeDocument/2006/relationships/hyperlink" Target="https://www.google.com/url?q=http://codeforces.com/contest/1167/problem/F&amp;sa=D&amp;ust=1605639553427000&amp;usg=AFQjCNGxw-SdpSXtkO3Top7YodH6pWHpXg" TargetMode="External"/><Relationship Id="rId121" Type="http://schemas.openxmlformats.org/officeDocument/2006/relationships/hyperlink" Target="https://www.google.com/url?q=http://codeforces.com/contest/124/problem/C&amp;sa=D&amp;ust=1605639551624000&amp;usg=AFQjCNE35Xumv8yHm-JXnYql61FPVxwf9w" TargetMode="External"/><Relationship Id="rId2759" Type="http://schemas.openxmlformats.org/officeDocument/2006/relationships/hyperlink" Target="https://www.google.com/url?q=https://www.youtube.com/watch?v%3DOWlJ8chpit0&amp;sa=D&amp;ust=1605639553182000&amp;usg=AFQjCNFcpxcnvHC99vxZy7l-GqpsxxCOWQ" TargetMode="External"/><Relationship Id="rId2966" Type="http://schemas.openxmlformats.org/officeDocument/2006/relationships/hyperlink" Target="https://www.google.com/url?q=https://icpcarchive.ecs.baylor.edu/index.php?option%3Donlinejudge%26page%3Dshow_problem%26problem%3D2327&amp;sa=D&amp;ust=1605639553299000&amp;usg=AFQjCNHI9ZX1NIqip94EgY8vbzAJZExm8w" TargetMode="External"/><Relationship Id="rId938" Type="http://schemas.openxmlformats.org/officeDocument/2006/relationships/hyperlink" Target="https://www.google.com/url?q=https://atcoder.jp/contests/yahoo-procon2019-qual/tasks/yahoo_procon2019_qual_d&amp;sa=D&amp;ust=1605639552091000&amp;usg=AFQjCNEI3kvw4E9HxcHtC0qCe8yXa0C23w" TargetMode="External"/><Relationship Id="rId1568" Type="http://schemas.openxmlformats.org/officeDocument/2006/relationships/hyperlink" Target="https://www.google.com/url?q=https://codeforces.com/contest/1178/problem/E&amp;sa=D&amp;ust=1605639552482000&amp;usg=AFQjCNFBMoBLQMLLOdMUiGnZUPe-MvNUyQ" TargetMode="External"/><Relationship Id="rId1775" Type="http://schemas.openxmlformats.org/officeDocument/2006/relationships/hyperlink" Target="https://www.google.com/url?q=https://github.com/MetalBall887/Competitive-Programming/blob/master/CodeForces/CF794-D12-E.cpp&amp;sa=D&amp;ust=1605639552601000&amp;usg=AFQjCNFyuXiizDvOaDDsvqBPJvmHcCWdiA" TargetMode="External"/><Relationship Id="rId2619" Type="http://schemas.openxmlformats.org/officeDocument/2006/relationships/hyperlink" Target="https://www.google.com/url?q=https://github.com/tmwilliamlin168/CompetitiveProgramming/blob/master/LiveArchive/5854.cpp&amp;sa=D&amp;ust=1605639553104000&amp;usg=AFQjCNF08kySBeEK-ZgJfGLTSf3L05eODg" TargetMode="External"/><Relationship Id="rId2826" Type="http://schemas.openxmlformats.org/officeDocument/2006/relationships/hyperlink" Target="https://www.google.com/url?q=http://codeforces.com/contest/653/problem/D&amp;sa=D&amp;ust=1605639553224000&amp;usg=AFQjCNEY9ZCNPokXtg5GolVc5Q9XYNMAJA" TargetMode="External"/><Relationship Id="rId4181" Type="http://schemas.openxmlformats.org/officeDocument/2006/relationships/hyperlink" Target="https://www.google.com/url?q=https://codeforces.com/contest/1009/problem/E&amp;sa=D&amp;ust=1605639554222000&amp;usg=AFQjCNGfnq8vV1OU54euN1Xs994bVZ3jAQ" TargetMode="External"/><Relationship Id="rId67" Type="http://schemas.openxmlformats.org/officeDocument/2006/relationships/hyperlink" Target="https://www.google.com/url?q=https://codingcompetitions.withgoogle.com/kickstart/round/0000000000050edd/00000000001a2835&amp;sa=D&amp;ust=1605639551593000&amp;usg=AFQjCNGE4TXUdpQd-J92i-MUE_xD76FRDg" TargetMode="External"/><Relationship Id="rId1428" Type="http://schemas.openxmlformats.org/officeDocument/2006/relationships/hyperlink" Target="https://www.google.com/url?q=http://codeforces.com/contest/596/problem/D&amp;sa=D&amp;ust=1605639552402000&amp;usg=AFQjCNHo2JBJePYBwgQL68Izhgp05UeUZg" TargetMode="External"/><Relationship Id="rId1635" Type="http://schemas.openxmlformats.org/officeDocument/2006/relationships/hyperlink" Target="https://www.google.com/url?q=https://codeforces.com/gym/101917/problem/D&amp;sa=D&amp;ust=1605639552521000&amp;usg=AFQjCNGwNjASPxiWvDsu0mwCPFGjxEzPXg" TargetMode="External"/><Relationship Id="rId1982" Type="http://schemas.openxmlformats.org/officeDocument/2006/relationships/hyperlink" Target="https://www.google.com/url?q=https://github.com/mostafa-saad/MyCompetitiveProgramming/blob/master/UVA/UVA_10927.txt&amp;sa=D&amp;ust=1605639552723000&amp;usg=AFQjCNEYlMyOnqTWbbbPEPFh036e9qf70w" TargetMode="External"/><Relationship Id="rId4041" Type="http://schemas.openxmlformats.org/officeDocument/2006/relationships/hyperlink" Target="https://www.google.com/url?q=https://uva.onlinejudge.org/index.php?option%3Dcom_onlinejudge%26Itemid%3D8%26page%3Dshow_problem%26problem%3D698&amp;sa=D&amp;ust=1605639554147000&amp;usg=AFQjCNHES75B_Dp1pV9q8z2N7GLX27dRtQ" TargetMode="External"/><Relationship Id="rId1842" Type="http://schemas.openxmlformats.org/officeDocument/2006/relationships/hyperlink" Target="https://www.google.com/url?q=http://codeforces.com/problemset/problem/1037/G&amp;sa=D&amp;ust=1605639552637000&amp;usg=AFQjCNHRuu_eA_6IuxpB2Q_0Cm7GYG_1fw" TargetMode="External"/><Relationship Id="rId1702" Type="http://schemas.openxmlformats.org/officeDocument/2006/relationships/hyperlink" Target="https://www.google.com/url?q=http://codeforces.com/contest/985/problem/C&amp;sa=D&amp;ust=1605639552560000&amp;usg=AFQjCNE-jMp_EkgwR2XSrGBqRW95g6eg7A" TargetMode="External"/><Relationship Id="rId3667" Type="http://schemas.openxmlformats.org/officeDocument/2006/relationships/hyperlink" Target="https://www.google.com/url?q=https://github.com/Huvok/CompetitiveProgramming/blob/master/UVA/11768.cpp&amp;sa=D&amp;ust=1605639553780000&amp;usg=AFQjCNF2BfUbMQPqvrN7WShfivvdSuACVQ" TargetMode="External"/><Relationship Id="rId3874" Type="http://schemas.openxmlformats.org/officeDocument/2006/relationships/hyperlink" Target="https://www.google.com/url?q=https://hanoi18.kattis.com/problems/hanoi18.lazylearner&amp;sa=D&amp;ust=1605639553905000&amp;usg=AFQjCNEdFAgWYM41UtEqFiXTxeGZHJ8jBA" TargetMode="External"/><Relationship Id="rId588" Type="http://schemas.openxmlformats.org/officeDocument/2006/relationships/hyperlink" Target="https://www.google.com/url?q=https://www.hackerrank.com/contests/world-codesprint-12/challenges/animal-transport&amp;sa=D&amp;ust=1605639551922000&amp;usg=AFQjCNH8EtA5LWKikENCgil8RF35Cd0Dvg" TargetMode="External"/><Relationship Id="rId795" Type="http://schemas.openxmlformats.org/officeDocument/2006/relationships/hyperlink" Target="https://www.google.com/url?q=http://www.spoj.com/problems/CITY2/&amp;sa=D&amp;ust=1605639552011000&amp;usg=AFQjCNFFtS2hyv-0Y42ATLub1Dv9JQkXVw" TargetMode="External"/><Relationship Id="rId2269" Type="http://schemas.openxmlformats.org/officeDocument/2006/relationships/hyperlink" Target="https://www.google.com/url?q=https://github.com/fiv2001/CompetitiveProgramming/blob/master/Codeforces/CF1218-H.cpp&amp;sa=D&amp;ust=1605639552912000&amp;usg=AFQjCNGE69vTzUT3u6DqYaHcrqilnwxWrQ" TargetMode="External"/><Relationship Id="rId2476" Type="http://schemas.openxmlformats.org/officeDocument/2006/relationships/hyperlink" Target="https://www.google.com/url?q=https://uva.onlinejudge.org/index.php?option%3Dcom_onlinejudge%26Itemid%3D8%26page%3Dshow_problem%26problem%3D380&amp;sa=D&amp;ust=1605639553016000&amp;usg=AFQjCNFwJzl9mUXc__AcOrXF4q8zSAdqfQ" TargetMode="External"/><Relationship Id="rId2683" Type="http://schemas.openxmlformats.org/officeDocument/2006/relationships/hyperlink" Target="https://www.google.com/url?q=https://github.com/SpeedOfMagic/CompetitiveProgramming/blob/master/MAUC/18-brokers-prediction.cpp&amp;sa=D&amp;ust=1605639553138000&amp;usg=AFQjCNGXciDXNxMVwGh8rME50x1fm-ahPA" TargetMode="External"/><Relationship Id="rId2890" Type="http://schemas.openxmlformats.org/officeDocument/2006/relationships/hyperlink" Target="https://www.google.com/url?q=https://github.com/mostafa-saad/MyCompetitiveProgramming/blob/master/LiveArchive/LIVEARCHIVE_3752.txt&amp;sa=D&amp;ust=1605639553258000&amp;usg=AFQjCNFhDR-wn0paE2HpmmLMV60AXao4Cg" TargetMode="External"/><Relationship Id="rId3527" Type="http://schemas.openxmlformats.org/officeDocument/2006/relationships/hyperlink" Target="https://www.google.com/url?q=http://acm.timus.ru/problem.aspx?space%3D1%26num%3D1619&amp;sa=D&amp;ust=1605639553646000&amp;usg=AFQjCNEgHWJRB6pmJhwZls066lDizCpWpQ" TargetMode="External"/><Relationship Id="rId3734" Type="http://schemas.openxmlformats.org/officeDocument/2006/relationships/hyperlink" Target="https://www.google.com/url?q=https://www.codechef.com/problems/COPRIME3&amp;sa=D&amp;ust=1605639553817000&amp;usg=AFQjCNHLXnqWIQJ3TJfer_FzCx71-xFPqg" TargetMode="External"/><Relationship Id="rId3941" Type="http://schemas.openxmlformats.org/officeDocument/2006/relationships/hyperlink" Target="https://www.google.com/url?q=https://codeforces.com/gym/101187/problem/F&amp;sa=D&amp;ust=1605639553939000&amp;usg=AFQjCNEcEXqtApHzFavm26GXAy-lRCi-5w" TargetMode="External"/><Relationship Id="rId448" Type="http://schemas.openxmlformats.org/officeDocument/2006/relationships/hyperlink" Target="https://www.google.com/url?q=https://github.com/AhmedElsisy/CompetitiveProgramming/blob/master/Codeforces/CF1060-D12-C.cpp&amp;sa=D&amp;ust=1605639551862000&amp;usg=AFQjCNFGOjFdcUthKk51RE2Rq3qQDz9PJw" TargetMode="External"/><Relationship Id="rId655" Type="http://schemas.openxmlformats.org/officeDocument/2006/relationships/hyperlink" Target="https://www.google.com/url?q=https://github.com/amraboelkher/CompetitiveProgramming/blob/master/UVA/11992%2520-%2520Fast%2520Matrix%2520Operations.cpp&amp;sa=D&amp;ust=1605639551944000&amp;usg=AFQjCNE9L8GaTTdTIBAbLnzdb2I7cuOLaQ" TargetMode="External"/><Relationship Id="rId862" Type="http://schemas.openxmlformats.org/officeDocument/2006/relationships/hyperlink" Target="https://www.google.com/url?q=https://codeforces.com/contest/1268/problem/C&amp;sa=D&amp;ust=1605639552045000&amp;usg=AFQjCNFsuJM-aklCLCoUAvPNrgievDJYYw" TargetMode="External"/><Relationship Id="rId1078" Type="http://schemas.openxmlformats.org/officeDocument/2006/relationships/hyperlink" Target="https://www.google.com/url?q=http://codeforces.com/contest/264/problem/C&amp;sa=D&amp;ust=1605639552166000&amp;usg=AFQjCNFeGa9GXuRqobxa8Fo7FK8WGI6L6A" TargetMode="External"/><Relationship Id="rId1285" Type="http://schemas.openxmlformats.org/officeDocument/2006/relationships/hyperlink" Target="https://www.google.com/url?q=https://github.com/swapnil119/CompetitiveProgramming/blob/master/CompetitiveProgramming/Codeforces/CF101915-GYM-E.cpp&amp;sa=D&amp;ust=1605639552307000&amp;usg=AFQjCNHbW9qFGkaCcZEU3Y-5hwCwaRzZbg" TargetMode="External"/><Relationship Id="rId1492" Type="http://schemas.openxmlformats.org/officeDocument/2006/relationships/hyperlink" Target="https://www.google.com/url?q=https://github.com/tanmoy13/CompetitveProgramming/blob/master/Online-Judge-Solutions/TopCoder/SRM420-D1-500.cpp&amp;sa=D&amp;ust=1605639552439000&amp;usg=AFQjCNFhbHWhkw6QLYApy26AlhwgdVdN0g" TargetMode="External"/><Relationship Id="rId2129" Type="http://schemas.openxmlformats.org/officeDocument/2006/relationships/hyperlink" Target="https://www.google.com/url?q=https://github.com/OmarHashim/Competitive-Programming/blob/master/UVA/132.cpp&amp;sa=D&amp;ust=1605639552822000&amp;usg=AFQjCNGKZ7p4Vl9D22vmLb7-REUcr0He-w" TargetMode="External"/><Relationship Id="rId2336" Type="http://schemas.openxmlformats.org/officeDocument/2006/relationships/hyperlink" Target="https://www.google.com/url?q=http://codeforces.com/contest/27/problem/D&amp;sa=D&amp;ust=1605639552942000&amp;usg=AFQjCNHojhw3jXZY2jWNINXV5pf-v0lpJQ" TargetMode="External"/><Relationship Id="rId2543" Type="http://schemas.openxmlformats.org/officeDocument/2006/relationships/hyperlink" Target="https://www.google.com/url?q=http://codeforces.com/contest/846/problem/E&amp;sa=D&amp;ust=1605639553057000&amp;usg=AFQjCNE47XsBLbBj3nbDz2SDT9rXde19cA" TargetMode="External"/><Relationship Id="rId2750" Type="http://schemas.openxmlformats.org/officeDocument/2006/relationships/hyperlink" Target="https://www.google.com/url?q=https://github.com/shashank0107/CompetitiveProgramming/blob/master/TIMUS/1137.cpp&amp;sa=D&amp;ust=1605639553176000&amp;usg=AFQjCNHVYX2JOZDMYm_188qAQZVn6BgwNA" TargetMode="External"/><Relationship Id="rId3801" Type="http://schemas.openxmlformats.org/officeDocument/2006/relationships/hyperlink" Target="https://www.google.com/url?q=http://codeforces.com/contest/433/problem/E&amp;sa=D&amp;ust=1605639553863000&amp;usg=AFQjCNFv2jSIngjLYoiVxaJAztATQFQG_Q" TargetMode="External"/><Relationship Id="rId308" Type="http://schemas.openxmlformats.org/officeDocument/2006/relationships/hyperlink" Target="https://www.google.com/url?q=https://csacademy.com/contest/round-75/task/electric-cars/&amp;sa=D&amp;ust=1605639551761000&amp;usg=AFQjCNFO30cR7gUiX6UfM0scQxgf5YMk3Q" TargetMode="External"/><Relationship Id="rId515" Type="http://schemas.openxmlformats.org/officeDocument/2006/relationships/hyperlink" Target="https://www.google.com/url?q=http://codeforces.com/contest/304/problem/D&amp;sa=D&amp;ust=1605639551892000&amp;usg=AFQjCNGLb4nAfqn7nqW53SVV0A70XgnyRA" TargetMode="External"/><Relationship Id="rId722" Type="http://schemas.openxmlformats.org/officeDocument/2006/relationships/hyperlink" Target="https://www.google.com/url?q=https://www.hackerrank.com/contests/hourrank-28/challenges/xorry-queries&amp;sa=D&amp;ust=1605639551975000&amp;usg=AFQjCNEyXAj-hJ_0Au7xYf6RoSPKzuX8XQ" TargetMode="External"/><Relationship Id="rId1145" Type="http://schemas.openxmlformats.org/officeDocument/2006/relationships/hyperlink" Target="https://www.google.com/url?q=http://agc021.contest.atcoder.jp/tasks/agc021_d&amp;sa=D&amp;ust=1605639552205000&amp;usg=AFQjCNEDcD6Yw-atEbAk1kcZ2Zvm-3WGlw" TargetMode="External"/><Relationship Id="rId1352" Type="http://schemas.openxmlformats.org/officeDocument/2006/relationships/hyperlink" Target="https://www.google.com/url?q=https://www.codechef.com/problems/TBGRAPH&amp;sa=D&amp;ust=1605639552349000&amp;usg=AFQjCNHaeUZlMT3sc9YboUCA-wElm_xqdQ" TargetMode="External"/><Relationship Id="rId2403" Type="http://schemas.openxmlformats.org/officeDocument/2006/relationships/hyperlink" Target="https://www.google.com/url?q=https://github.com/ryuzmukhametov/CompetitiveProgramming/blob/master/Topcoder/SRM270-D1-500.cpp&amp;sa=D&amp;ust=1605639552970000&amp;usg=AFQjCNF9mhFxT7DhgBF7vs8rHGTWz-pwqw" TargetMode="External"/><Relationship Id="rId1005" Type="http://schemas.openxmlformats.org/officeDocument/2006/relationships/hyperlink" Target="https://www.google.com/url?q=http://codeforces.com/contest/814/problem/E&amp;sa=D&amp;ust=1605639552128000&amp;usg=AFQjCNFbqZDEPuWJ4pZ11ZWShsAoYtAieg" TargetMode="External"/><Relationship Id="rId1212" Type="http://schemas.openxmlformats.org/officeDocument/2006/relationships/hyperlink" Target="https://www.google.com/url?q=https://uva.onlinejudge.org/index.php?option%3Donlinejudge%26page%3Dshow_problem%26problem%3D1133&amp;sa=D&amp;ust=1605639552256000&amp;usg=AFQjCNEYxdiJ61bi9Z8yVWJQMI00FytVBA" TargetMode="External"/><Relationship Id="rId2610" Type="http://schemas.openxmlformats.org/officeDocument/2006/relationships/hyperlink" Target="https://www.google.com/url?q=https://onlinejudge.org/index.php?option%3Donlinejudge%26Itemid%3D8%26page%3Dshow_problem%26problem%3D1207&amp;sa=D&amp;ust=1605639553099000&amp;usg=AFQjCNGb0zpesZCtT4IOKllhOStvVjkatw" TargetMode="External"/><Relationship Id="rId4368" Type="http://schemas.openxmlformats.org/officeDocument/2006/relationships/hyperlink" Target="https://www.google.com/url?q=http://codeforces.com/contest/204/problem/E&amp;sa=D&amp;ust=1605639554311000&amp;usg=AFQjCNEgAqsXu1S5wfBjgLiCrMAdsLVG9w" TargetMode="External"/><Relationship Id="rId3177" Type="http://schemas.openxmlformats.org/officeDocument/2006/relationships/hyperlink" Target="https://www.google.com/url?q=https://codeforces.com/contest/1119/problem/D&amp;sa=D&amp;ust=1605639553417000&amp;usg=AFQjCNHOE4pdRKbO1EYysh58vyOYPcZKeg" TargetMode="External"/><Relationship Id="rId4228" Type="http://schemas.openxmlformats.org/officeDocument/2006/relationships/hyperlink" Target="https://www.google.com/url?q=https://www.hackerrank.com/contests/w38/challenges/neighborhood-queries&amp;sa=D&amp;ust=1605639554256000&amp;usg=AFQjCNGYZ88yaNNqUxlgtCpcw31JDklofA" TargetMode="External"/><Relationship Id="rId3037" Type="http://schemas.openxmlformats.org/officeDocument/2006/relationships/hyperlink" Target="https://www.google.com/url?q=https://github.com/goswami-rahul/competitive-coding/tree/master/CompetitiveProgramming/spoj/GRAFFDEF.cpp&amp;sa=D&amp;ust=1605639553344000&amp;usg=AFQjCNEEnv4s7fx0dnX-M61ta9FIC8QD7Q" TargetMode="External"/><Relationship Id="rId3384" Type="http://schemas.openxmlformats.org/officeDocument/2006/relationships/hyperlink" Target="https://www.google.com/url?q=https://codeforces.com/contest/1205/problem/E&amp;sa=D&amp;ust=1605639553544000&amp;usg=AFQjCNHCgCbKAIBeb5JF_Qf8L3XEjfXsiw" TargetMode="External"/><Relationship Id="rId3591" Type="http://schemas.openxmlformats.org/officeDocument/2006/relationships/hyperlink" Target="https://www.google.com/url?q=https://github.com/marioyc/Online-Judge-Solutions/blob/master/Live%2520Archive/4305%2520-%2520Wizards.cpp&amp;sa=D&amp;ust=1605639553723000&amp;usg=AFQjCNGmWPGPozYOEoF_L0Em8bezZEFZJA" TargetMode="External"/><Relationship Id="rId4435" Type="http://schemas.openxmlformats.org/officeDocument/2006/relationships/hyperlink" Target="https://www.google.com/url?q=https://github.com/aviroop123/CompetitiveProgramming/blob/master/CodeChef/CODECHEF%2520PFRUIT.cpp&amp;sa=D&amp;ust=1605639554344000&amp;usg=AFQjCNGlSfzqNLR4hkW6UlBHYQITkPI9yA" TargetMode="External"/><Relationship Id="rId2193" Type="http://schemas.openxmlformats.org/officeDocument/2006/relationships/hyperlink" Target="https://www.google.com/url?q=https://github.com/MeGaCrazy/CompetitiveProgramming/blob/9ece9fb5793c170b4c0c7990925909f603bfe91d/SPOJ/SPOJ_BSHEEP.cpp&amp;sa=D&amp;ust=1605639552867000&amp;usg=AFQjCNEc1RrtIhVrj9UqNQEgTuLvh7HSMA" TargetMode="External"/><Relationship Id="rId3244" Type="http://schemas.openxmlformats.org/officeDocument/2006/relationships/hyperlink" Target="https://www.google.com/url?q=http://codeforces.com/contest/844/problem/D&amp;sa=D&amp;ust=1605639553451000&amp;usg=AFQjCNGiAUWX_ym7lAdvIaBZS9IcOxcw_A" TargetMode="External"/><Relationship Id="rId3451" Type="http://schemas.openxmlformats.org/officeDocument/2006/relationships/hyperlink" Target="https://www.google.com/url?q=https://github.com/mostafa-saad/MyCompetitiveProgramming/blob/master/SPOJ/SPOJ_LEONARDO.txt&amp;sa=D&amp;ust=1605639553586000&amp;usg=AFQjCNE00RqeVYtMjqTwbQWnx7LPb-ujow" TargetMode="External"/><Relationship Id="rId165" Type="http://schemas.openxmlformats.org/officeDocument/2006/relationships/hyperlink" Target="https://www.google.com/url?q=https://uva.onlinejudge.org/index.php?option%3Dcom_onlinejudge%26Itemid%3D8%26page%3Dshow_problem%26problem%3D124&amp;sa=D&amp;ust=1605639551651000&amp;usg=AFQjCNGLxewUqMdbbxP8sK0ORX0GEF649w" TargetMode="External"/><Relationship Id="rId372" Type="http://schemas.openxmlformats.org/officeDocument/2006/relationships/hyperlink" Target="https://www.google.com/url?q=https://github.com/ahmedsamir221/CompetitiveProgramming/blob/master/SPOJ/SPOJ%2520MYQ8.cpp&amp;sa=D&amp;ust=1605639551809000&amp;usg=AFQjCNESGCy-0NpbqxeZyeEpibR543DW_A" TargetMode="External"/><Relationship Id="rId2053" Type="http://schemas.openxmlformats.org/officeDocument/2006/relationships/hyperlink" Target="https://www.google.com/url?q=https://codeforces.com/contest/1059/problem/D&amp;sa=D&amp;ust=1605639552774000&amp;usg=AFQjCNEY_Ma_jAf9Y3WhSjP-sYThO0H0jw" TargetMode="External"/><Relationship Id="rId2260" Type="http://schemas.openxmlformats.org/officeDocument/2006/relationships/hyperlink" Target="https://www.google.com/url?q=https://csacademy.com/contest/round-21/task/catch-the-thief/&amp;sa=D&amp;ust=1605639552908000&amp;usg=AFQjCNGKYyQcoMe19rD_-fln0cjKPH8_0Q" TargetMode="External"/><Relationship Id="rId3104" Type="http://schemas.openxmlformats.org/officeDocument/2006/relationships/hyperlink" Target="https://www.google.com/url?q=http://codeforces.com/contest/73/problem/E&amp;sa=D&amp;ust=1605639553377000&amp;usg=AFQjCNFPk1e5TBsHVXbDaC56myFFI_UpPg" TargetMode="External"/><Relationship Id="rId3311" Type="http://schemas.openxmlformats.org/officeDocument/2006/relationships/hyperlink" Target="https://www.google.com/url?q=http://codeforces.com/contest/143/problem/D&amp;sa=D&amp;ust=1605639553490000&amp;usg=AFQjCNFpCDH4yg9LqJ_JkswKF6W3j_xHPw" TargetMode="External"/><Relationship Id="rId232" Type="http://schemas.openxmlformats.org/officeDocument/2006/relationships/hyperlink" Target="https://www.google.com/url?q=http://codeforces.com/contest/496/problem/C&amp;sa=D&amp;ust=1605639551700000&amp;usg=AFQjCNGcwmvOIMHsMzz7iZDK-jMaoVffHQ" TargetMode="External"/><Relationship Id="rId2120" Type="http://schemas.openxmlformats.org/officeDocument/2006/relationships/hyperlink" Target="https://www.google.com/url?q=https://uva.onlinejudge.org/index.php?option%3Donlinejudge%26page%3Dshow_problem%26problem%3D127&amp;sa=D&amp;ust=1605639552813000&amp;usg=AFQjCNExqAMLQ0h_XtVmPlU2ypqjnVLH0Q" TargetMode="External"/><Relationship Id="rId1679" Type="http://schemas.openxmlformats.org/officeDocument/2006/relationships/hyperlink" Target="https://www.google.com/url?q=http://codeforces.com/contest/732/problem/E&amp;sa=D&amp;ust=1605639552547000&amp;usg=AFQjCNEvh6fChA9VVxLsUEtNszzpW6Nwrg" TargetMode="External"/><Relationship Id="rId4085" Type="http://schemas.openxmlformats.org/officeDocument/2006/relationships/hyperlink" Target="https://www.google.com/url?q=https://github.com/mostafa-saad/MyCompetitiveProgramming/blob/master/LiveArchive/LIVEARCHIVE_7172.txt&amp;sa=D&amp;ust=1605639554167000&amp;usg=AFQjCNG1ZfWNdCyw75-SORaGvNXgnssdRg" TargetMode="External"/><Relationship Id="rId4292" Type="http://schemas.openxmlformats.org/officeDocument/2006/relationships/hyperlink" Target="https://www.google.com/url?q=https://codeforces.com/contest/896/problem/E&amp;sa=D&amp;ust=1605639554281000&amp;usg=AFQjCNGyBX9PwtViWTQ1rNsO8_0w2WXwBw" TargetMode="External"/><Relationship Id="rId1886" Type="http://schemas.openxmlformats.org/officeDocument/2006/relationships/hyperlink" Target="https://www.google.com/url?q=http://codeforces.com/contest/420/problem/E&amp;sa=D&amp;ust=1605639552657000&amp;usg=AFQjCNEJuiJqKbdWICNk7oT1l3mxAGE5Og" TargetMode="External"/><Relationship Id="rId2937" Type="http://schemas.openxmlformats.org/officeDocument/2006/relationships/hyperlink" Target="https://www.google.com/url?q=http://codeforces.com/contest/266/problem/D&amp;sa=D&amp;ust=1605639553284000&amp;usg=AFQjCNHjjV6wrk4daUzSGno2rhVUFrO9UQ" TargetMode="External"/><Relationship Id="rId4152" Type="http://schemas.openxmlformats.org/officeDocument/2006/relationships/hyperlink" Target="https://www.google.com/url?q=https://github.com/Huvok/CompetitiveProgramming/blob/master/SPOJ/COCONUTS.cpp&amp;sa=D&amp;ust=1605639554208000&amp;usg=AFQjCNHkz8gROw_sCq6sVZYSTqyDbm0iDw" TargetMode="External"/><Relationship Id="rId909" Type="http://schemas.openxmlformats.org/officeDocument/2006/relationships/hyperlink" Target="https://www.google.com/url?q=http://codeforces.com/contest/57/problem/D&amp;sa=D&amp;ust=1605639552076000&amp;usg=AFQjCNFxAk0lo38cSwnAjqX56hCbPlr-RQ" TargetMode="External"/><Relationship Id="rId1539" Type="http://schemas.openxmlformats.org/officeDocument/2006/relationships/hyperlink" Target="https://www.google.com/url?q=http://codeforces.com/contest/273/problem/C&amp;sa=D&amp;ust=1605639552468000&amp;usg=AFQjCNGn-HgJdq1avG5XVKCzbP83z7jibw" TargetMode="External"/><Relationship Id="rId1746" Type="http://schemas.openxmlformats.org/officeDocument/2006/relationships/hyperlink" Target="https://www.google.com/url?q=http://codeforces.com/contest/59/problem/D&amp;sa=D&amp;ust=1605639552584000&amp;usg=AFQjCNFg_99hG7sLHOQbXc46zn9sM9XMWg" TargetMode="External"/><Relationship Id="rId1953" Type="http://schemas.openxmlformats.org/officeDocument/2006/relationships/hyperlink" Target="https://www.google.com/url?q=https://github.com/arvindr9/CompetitiveProgramming/blob/master/Timus/TIMUS%25201084.cpp&amp;sa=D&amp;ust=1605639552709000&amp;usg=AFQjCNFyg3CcE7W9P9tlshPTm6wGTh4tOA" TargetMode="External"/><Relationship Id="rId38" Type="http://schemas.openxmlformats.org/officeDocument/2006/relationships/hyperlink" Target="https://www.google.com/url?q=https://codeforces.com/contest/1230/problem/F&amp;sa=D&amp;ust=1605639551578000&amp;usg=AFQjCNFZlNJ_AQ_wwj6HDgcohMZS8Q54jw" TargetMode="External"/><Relationship Id="rId1606" Type="http://schemas.openxmlformats.org/officeDocument/2006/relationships/hyperlink" Target="https://www.google.com/url?q=https://codeforces.com/problemset/problem/128/D&amp;sa=D&amp;ust=1605639552505000&amp;usg=AFQjCNEyT4KO0czxzEOdr7oUaE9yE2j9yg" TargetMode="External"/><Relationship Id="rId1813" Type="http://schemas.openxmlformats.org/officeDocument/2006/relationships/hyperlink" Target="https://www.google.com/url?q=https://github.com/mostafa-saad/MyCompetitiveProgramming/blob/master/UVA/UVA_10368.txt&amp;sa=D&amp;ust=1605639552619000&amp;usg=AFQjCNGuOZDVy32hjQpwuPzp8WVpw4zoMQ" TargetMode="External"/><Relationship Id="rId4012" Type="http://schemas.openxmlformats.org/officeDocument/2006/relationships/hyperlink" Target="https://www.google.com/url?q=http://codeforces.com/contest/131/problem/F&amp;sa=D&amp;ust=1605639554132000&amp;usg=AFQjCNEMeq1FQIGvEiEUc2SC2kRfvUd3Bg" TargetMode="External"/><Relationship Id="rId3778" Type="http://schemas.openxmlformats.org/officeDocument/2006/relationships/hyperlink" Target="https://www.google.com/url?q=http://codeforces.com/contest/495/problem/D&amp;sa=D&amp;ust=1605639553846000&amp;usg=AFQjCNFw2uRJe9nnHbRD7b5sq6-_CC4sug" TargetMode="External"/><Relationship Id="rId3985" Type="http://schemas.openxmlformats.org/officeDocument/2006/relationships/hyperlink" Target="https://www.google.com/url?q=https://codeforces.com/contest/1148/problem/E&amp;sa=D&amp;ust=1605639553965000&amp;usg=AFQjCNFpNc7Epv4cV9ZAt86bbywLPSRHQg" TargetMode="External"/><Relationship Id="rId699" Type="http://schemas.openxmlformats.org/officeDocument/2006/relationships/hyperlink" Target="https://www.google.com/url?q=https://www.codechef.com/problems/XRQRS&amp;sa=D&amp;ust=1605639551964000&amp;usg=AFQjCNG_yp4V-8emxUc3x2xfrSJdS0e3_Q" TargetMode="External"/><Relationship Id="rId2587" Type="http://schemas.openxmlformats.org/officeDocument/2006/relationships/hyperlink" Target="https://www.google.com/url?q=https://uva.onlinejudge.org/index.php?option%3Donlinejudge%26page%3Dshow_problem%26problem%3D1054&amp;sa=D&amp;ust=1605639553079000&amp;usg=AFQjCNHI5CKegO2x-gzHxWMINgK1omAHaA" TargetMode="External"/><Relationship Id="rId2794" Type="http://schemas.openxmlformats.org/officeDocument/2006/relationships/hyperlink" Target="https://www.google.com/url?q=https://github.com/OmarHashim/Competitive-Programming/blob/master/CodeForces/CF101606-GYM-K&amp;sa=D&amp;ust=1605639553207000&amp;usg=AFQjCNFsA1tamQ3EmtAz3AzRIswXuAmeRQ" TargetMode="External"/><Relationship Id="rId3638" Type="http://schemas.openxmlformats.org/officeDocument/2006/relationships/hyperlink" Target="https://www.google.com/url?q=https://ncpc.idi.ntnu.no/ncpc2008/&amp;sa=D&amp;ust=1605639553753000&amp;usg=AFQjCNEDs0fNJIMIhe_2r08cNFqZF8vRNw" TargetMode="External"/><Relationship Id="rId3845" Type="http://schemas.openxmlformats.org/officeDocument/2006/relationships/hyperlink" Target="https://www.google.com/url?q=https://github.com/WaleedAbdelhakim/Competitive-Programming/blob/master/CodeForces/CF102028-GYM-K.cpp&amp;sa=D&amp;ust=1605639553890000&amp;usg=AFQjCNGRhwHrKQglFqp1RR2XRbvv6GW3sw" TargetMode="External"/><Relationship Id="rId559" Type="http://schemas.openxmlformats.org/officeDocument/2006/relationships/hyperlink" Target="https://www.google.com/url?q=http://codeforces.com/problemset/problem/702/E&amp;sa=D&amp;ust=1605639551911000&amp;usg=AFQjCNG2Sl5lixPq5GG39Lg-BY5b-ob5_Q" TargetMode="External"/><Relationship Id="rId766" Type="http://schemas.openxmlformats.org/officeDocument/2006/relationships/hyperlink" Target="https://www.google.com/url?q=https://github.com/abdullaAshraf/Problem-Solving/blob/master/SPOJ/QUE2.cpp&amp;sa=D&amp;ust=1605639551996000&amp;usg=AFQjCNGgyc56NgEuvvBMXGz_hVR-YWjxyA" TargetMode="External"/><Relationship Id="rId1189" Type="http://schemas.openxmlformats.org/officeDocument/2006/relationships/hyperlink" Target="https://www.google.com/url?q=https://github.com/mostafa-saad/MyCompetitiveProgramming/blob/master/ZOJ/ZOJ_1025.txt&amp;sa=D&amp;ust=1605639552234000&amp;usg=AFQjCNG8s0KfOO-8rVe5awkjw-PPYebojA" TargetMode="External"/><Relationship Id="rId1396" Type="http://schemas.openxmlformats.org/officeDocument/2006/relationships/hyperlink" Target="https://www.google.com/url?q=https://www.hackerrank.com/challenges/volleyball-match&amp;sa=D&amp;ust=1605639552377000&amp;usg=AFQjCNHk7o7p7r3shDYDNEUuh54g7zCA5w" TargetMode="External"/><Relationship Id="rId2447" Type="http://schemas.openxmlformats.org/officeDocument/2006/relationships/hyperlink" Target="https://www.google.com/url?q=http://codeforces.com/contest/811/problem/D&amp;sa=D&amp;ust=1605639552994000&amp;usg=AFQjCNFkpC6MIkcNX66s8UMCfUORVBmSbw" TargetMode="External"/><Relationship Id="rId419" Type="http://schemas.openxmlformats.org/officeDocument/2006/relationships/hyperlink" Target="https://www.google.com/url?q=http://www.spoj.com/problems/MSE07E/&amp;sa=D&amp;ust=1605639551851000&amp;usg=AFQjCNFx0lsYhFeltk-trsup9ZpgoFVWkw" TargetMode="External"/><Relationship Id="rId626" Type="http://schemas.openxmlformats.org/officeDocument/2006/relationships/hyperlink" Target="https://www.google.com/url?q=http://codeforces.com/contest/610/problem/E&amp;sa=D&amp;ust=1605639551935000&amp;usg=AFQjCNHUTvKtI19VTH9lgZ1JEBTAz_R8_Q" TargetMode="External"/><Relationship Id="rId973" Type="http://schemas.openxmlformats.org/officeDocument/2006/relationships/hyperlink" Target="https://www.google.com/url?q=http://codeforces.com/problemset/problem/645/E&amp;sa=D&amp;ust=1605639552111000&amp;usg=AFQjCNFvRKFP01fgxT9kKTdL0gGzwKJuSg" TargetMode="External"/><Relationship Id="rId1049" Type="http://schemas.openxmlformats.org/officeDocument/2006/relationships/hyperlink" Target="https://www.google.com/url?q=http://codeforces.com/contest/920/problem/D&amp;sa=D&amp;ust=1605639552148000&amp;usg=AFQjCNEz7rsoFpBsOlVv559cE-21oe8wXg" TargetMode="External"/><Relationship Id="rId1256" Type="http://schemas.openxmlformats.org/officeDocument/2006/relationships/hyperlink" Target="https://www.google.com/url?q=https://algorithmist.com/wiki/UVa_10918&amp;sa=D&amp;ust=1605639552293000&amp;usg=AFQjCNHu7owcoB9UUglqVJBa-Jg3ZaKjww" TargetMode="External"/><Relationship Id="rId2307" Type="http://schemas.openxmlformats.org/officeDocument/2006/relationships/hyperlink" Target="https://www.google.com/url?q=https://codeforces.com/contest/782/problem/E&amp;sa=D&amp;ust=1605639552932000&amp;usg=AFQjCNHdfVWO4t8ljF9Vk5H5TQIVCfwMPA" TargetMode="External"/><Relationship Id="rId2654" Type="http://schemas.openxmlformats.org/officeDocument/2006/relationships/hyperlink" Target="https://www.google.com/url?q=http://www.spoj.com/problems/HIGHWAYS/&amp;sa=D&amp;ust=1605639553123000&amp;usg=AFQjCNFu3jCHEpek1gQTbeKlihCapAyScw" TargetMode="External"/><Relationship Id="rId2861" Type="http://schemas.openxmlformats.org/officeDocument/2006/relationships/hyperlink" Target="https://www.google.com/url?q=https://atcoder.jp/contests/agc037/tasks/agc037_d&amp;sa=D&amp;ust=1605639553241000&amp;usg=AFQjCNGWpOsVayLUf1o48-In3kw3wUI9jQ" TargetMode="External"/><Relationship Id="rId3705" Type="http://schemas.openxmlformats.org/officeDocument/2006/relationships/hyperlink" Target="https://www.google.com/url?q=https://github.com/yazanKabbany/CompetitiveProgramming/blob/master/LIVEARCHIVE/LIVEARCHIVE%25205990.cpp&amp;sa=D&amp;ust=1605639553800000&amp;usg=AFQjCNFeHWgi42PDHicEQH6SjqYHyAl7Kw" TargetMode="External"/><Relationship Id="rId3912" Type="http://schemas.openxmlformats.org/officeDocument/2006/relationships/hyperlink" Target="https://www.google.com/url?q=http://codeforces.com/contest/9/problem/D&amp;sa=D&amp;ust=1605639553925000&amp;usg=AFQjCNFyW2yMte4IhrPvD7JIx4IhOKsruA" TargetMode="External"/><Relationship Id="rId833" Type="http://schemas.openxmlformats.org/officeDocument/2006/relationships/hyperlink" Target="https://www.google.com/url?q=http://codeforces.com/contest/5/problem/E&amp;sa=D&amp;ust=1605639552031000&amp;usg=AFQjCNFgs31oBHEKV7HzfgMgQmXZzE1kuw" TargetMode="External"/><Relationship Id="rId1116" Type="http://schemas.openxmlformats.org/officeDocument/2006/relationships/hyperlink" Target="https://www.google.com/url?q=https://codeforces.com/contest/1132/problem/F&amp;sa=D&amp;ust=1605639552190000&amp;usg=AFQjCNFbDw8D5AK1qv2uR1KEd1sMjUNJXA" TargetMode="External"/><Relationship Id="rId1463" Type="http://schemas.openxmlformats.org/officeDocument/2006/relationships/hyperlink" Target="https://www.google.com/url?q=https://github.com/AliOsm/CompetitiveProgramming/blob/master/CodeForces%2520Gyms/2013%2520USP%2520Try-outs/B.%2520Spy%2520Duel.cpp&amp;sa=D&amp;ust=1605639552423000&amp;usg=AFQjCNG95QjMsepT-1BEWvii7PaYN0FeMw" TargetMode="External"/><Relationship Id="rId1670" Type="http://schemas.openxmlformats.org/officeDocument/2006/relationships/hyperlink" Target="https://www.google.com/url?q=http://codeforces.com/contest/551/problem/C&amp;sa=D&amp;ust=1605639552541000&amp;usg=AFQjCNHxExiORr559INjScnHD_FcMJRfRQ" TargetMode="External"/><Relationship Id="rId2514" Type="http://schemas.openxmlformats.org/officeDocument/2006/relationships/hyperlink" Target="https://www.google.com/url?q=https://agc009.contest.atcoder.jp/tasks/agc009_d&amp;sa=D&amp;ust=1605639553040000&amp;usg=AFQjCNFobMJ86aou61k7s3yOuVnt7LhQIw" TargetMode="External"/><Relationship Id="rId2721" Type="http://schemas.openxmlformats.org/officeDocument/2006/relationships/hyperlink" Target="https://www.google.com/url?q=https://uva.onlinejudge.org/index.php?option%3Donlinejudge%26page%3Dshow_problem%26problem%3D2498&amp;sa=D&amp;ust=1605639553157000&amp;usg=AFQjCNHW8arkQN0CZ3X2W5eysAKLLDsfQg" TargetMode="External"/><Relationship Id="rId900" Type="http://schemas.openxmlformats.org/officeDocument/2006/relationships/hyperlink" Target="https://www.google.com/url?q=https://codeforces.com/problemset/problem/354/E&amp;sa=D&amp;ust=1605639552071000&amp;usg=AFQjCNE33M4Al6_34iY3-Mu7N9LRegFheA" TargetMode="External"/><Relationship Id="rId1323" Type="http://schemas.openxmlformats.org/officeDocument/2006/relationships/hyperlink" Target="https://www.google.com/url?q=http://codeforces.com/contest/510/problem/D&amp;sa=D&amp;ust=1605639552327000&amp;usg=AFQjCNH3vDjamkf2wXdt_WYxgtOPzRfJuQ" TargetMode="External"/><Relationship Id="rId1530" Type="http://schemas.openxmlformats.org/officeDocument/2006/relationships/hyperlink" Target="https://www.google.com/url?q=https://codeforces.com/contest/1091/problem/F&amp;sa=D&amp;ust=1605639552463000&amp;usg=AFQjCNHtmqgbDgl3mg6x6tZDheJ_ESZFJQ" TargetMode="External"/><Relationship Id="rId3288" Type="http://schemas.openxmlformats.org/officeDocument/2006/relationships/hyperlink" Target="https://www.google.com/url?q=http://sound-system-79.blogspot.com/2016/06/uva-983-localized-summing-for-blurring.html&amp;sa=D&amp;ust=1605639553475000&amp;usg=AFQjCNEi5OwGLeDes7jrCMRCiM2pjRLmAQ" TargetMode="External"/><Relationship Id="rId3495" Type="http://schemas.openxmlformats.org/officeDocument/2006/relationships/hyperlink" Target="https://www.google.com/url?q=https://uva.onlinejudge.org/index.php?option%3Dcom_onlinejudge%26Itemid%3D8%26page%3Dshow_problem%26problem%3D230&amp;sa=D&amp;ust=1605639553616000&amp;usg=AFQjCNHWyaEdCKJXA5nfQAEAyC0OyFIZlg" TargetMode="External"/><Relationship Id="rId4339" Type="http://schemas.openxmlformats.org/officeDocument/2006/relationships/hyperlink" Target="https://www.google.com/url?q=http://codeforces.com/gym/101856/problem/B&amp;sa=D&amp;ust=1605639554300000&amp;usg=AFQjCNFkFOPznPke4V30QlZYhKm7MqghJQ" TargetMode="External"/><Relationship Id="rId2097" Type="http://schemas.openxmlformats.org/officeDocument/2006/relationships/hyperlink" Target="https://www.google.com/url?q=https://github.com/MeGaCrazy/CompetitiveProgramming/blob/master/UVA/UVA_866.cpp&amp;sa=D&amp;ust=1605639552802000&amp;usg=AFQjCNGkXMLjXVIz9uSZ7X8VCvR5BwqNYQ" TargetMode="External"/><Relationship Id="rId3148" Type="http://schemas.openxmlformats.org/officeDocument/2006/relationships/hyperlink" Target="https://www.google.com/url?q=https://atcoder.jp/contests/agc043/tasks/agc043_b&amp;sa=D&amp;ust=1605639553405000&amp;usg=AFQjCNE5ScWuEmxEtiIpUs3c6XvIDHwYuA" TargetMode="External"/><Relationship Id="rId3355" Type="http://schemas.openxmlformats.org/officeDocument/2006/relationships/hyperlink" Target="https://www.google.com/url?q=https://www.hackerrank.com/challenges/extremely-dangerous-virus&amp;sa=D&amp;ust=1605639553522000&amp;usg=AFQjCNEaI6aCuE83MDYLm8E8nCMVcQiyJw" TargetMode="External"/><Relationship Id="rId3562" Type="http://schemas.openxmlformats.org/officeDocument/2006/relationships/hyperlink" Target="https://www.google.com/url?q=https://github.com/stefdasca/CompetitiveProgramming/blob/master/Codeforces/CF621-D2-E.cpp&amp;sa=D&amp;ust=1605639553701000&amp;usg=AFQjCNGnWkwoG98wUJbK8n1i_1xxuGQcVQ" TargetMode="External"/><Relationship Id="rId4406" Type="http://schemas.openxmlformats.org/officeDocument/2006/relationships/hyperlink" Target="https://www.google.com/url?q=http://codeforces.com/problemset/problem/461/B&amp;sa=D&amp;ust=1605639554332000&amp;usg=AFQjCNFqpKlG6TgZHdHnicWmKnUNtgfl9Q" TargetMode="External"/><Relationship Id="rId276" Type="http://schemas.openxmlformats.org/officeDocument/2006/relationships/hyperlink" Target="https://www.google.com/url?q=https://arc070.contest.atcoder.jp/tasks/arc070_c&amp;sa=D&amp;ust=1605639551747000&amp;usg=AFQjCNHmsTTxb1ueeVawhOJlAQ5e95gt-g" TargetMode="External"/><Relationship Id="rId483" Type="http://schemas.openxmlformats.org/officeDocument/2006/relationships/hyperlink" Target="https://www.google.com/url?q=https://uva.onlinejudge.org/index.php?option%3Dcom_onlinejudge%26Itemid%3D8%26page%3Dshow_problem%26problem%3D1552&amp;sa=D&amp;ust=1605639551878000&amp;usg=AFQjCNGkXbm1BrYWjej_v0kvVsDVPb5VVg" TargetMode="External"/><Relationship Id="rId690" Type="http://schemas.openxmlformats.org/officeDocument/2006/relationships/hyperlink" Target="https://www.google.com/url?q=https://codeforces.com/contest/1146/problem/E&amp;sa=D&amp;ust=1605639551959000&amp;usg=AFQjCNF4fKNfLyj8QZMYlEL_arBg5_LU4Q" TargetMode="External"/><Relationship Id="rId2164" Type="http://schemas.openxmlformats.org/officeDocument/2006/relationships/hyperlink" Target="https://www.google.com/url?q=https://github.com/mostafa-saad/MyCompetitiveProgramming/blob/master/UVA/588.cpp&amp;sa=D&amp;ust=1605639552847000&amp;usg=AFQjCNHWKxc5ZVKeqHEyvF158BeRKJRqwQ" TargetMode="External"/><Relationship Id="rId2371" Type="http://schemas.openxmlformats.org/officeDocument/2006/relationships/hyperlink" Target="https://www.google.com/url?q=https://github.com/YazanZebak/CompetitiveProgramming/blob/master/Codeforces/CF102001-GYM-G.cpp&amp;sa=D&amp;ust=1605639552955000&amp;usg=AFQjCNEnqZFW-oo31LZw1eoTaXY6xqiykQ" TargetMode="External"/><Relationship Id="rId3008" Type="http://schemas.openxmlformats.org/officeDocument/2006/relationships/hyperlink" Target="https://www.google.com/url?q=https://github.com/HeartBlue/CompetitiveProgramming/blob/master/PKU/PKU%25203683%2520Priest%2520John%27s%2520Busiest%2520Day.cpp&amp;sa=D&amp;ust=1605639553324000&amp;usg=AFQjCNEWV1oVrLNFI9ybu6u3IukO2VPVBQ" TargetMode="External"/><Relationship Id="rId3215" Type="http://schemas.openxmlformats.org/officeDocument/2006/relationships/hyperlink" Target="https://www.google.com/url?q=https://github.com/ahmedsamir221/CompetitiveProgramming/blob/master/CodeForces/CF45-D12-D.cpp&amp;sa=D&amp;ust=1605639553433000&amp;usg=AFQjCNHzW3_SsG8vrqkFXn_EPD25izq23w" TargetMode="External"/><Relationship Id="rId3422" Type="http://schemas.openxmlformats.org/officeDocument/2006/relationships/hyperlink" Target="https://www.google.com/url?q=http://codeforces.com/problemset/problem/869/C&amp;sa=D&amp;ust=1605639553565000&amp;usg=AFQjCNG_7ue_3Ddf0yiVZsP4pzPBcjXWzA" TargetMode="External"/><Relationship Id="rId136" Type="http://schemas.openxmlformats.org/officeDocument/2006/relationships/hyperlink" Target="https://www.google.com/url?q=http://codeforces.com/contest/112/problem/D&amp;sa=D&amp;ust=1605639551634000&amp;usg=AFQjCNHVNH9uh4orsOKnD_goouOB0hynKg" TargetMode="External"/><Relationship Id="rId343" Type="http://schemas.openxmlformats.org/officeDocument/2006/relationships/hyperlink" Target="https://www.google.com/url?q=http://codeforces.com/contest/681/problem/C&amp;sa=D&amp;ust=1605639551778000&amp;usg=AFQjCNEHdm4lmV3BZ2SfLvz4DycMs0G4RA" TargetMode="External"/><Relationship Id="rId550" Type="http://schemas.openxmlformats.org/officeDocument/2006/relationships/hyperlink" Target="https://www.google.com/url?q=http://codeforces.com/contest/869/problem/E&amp;sa=D&amp;ust=1605639551908000&amp;usg=AFQjCNHnBqA5j_snmGh47RD-qUYdP5tHmQ" TargetMode="External"/><Relationship Id="rId1180" Type="http://schemas.openxmlformats.org/officeDocument/2006/relationships/hyperlink" Target="https://www.google.com/url?q=https://atcoder.jp/contests/abc119/tasks/abc119_c&amp;sa=D&amp;ust=1605639552229000&amp;usg=AFQjCNFdEf0_QZ_wqOApIIbPxIXcl5gqzg" TargetMode="External"/><Relationship Id="rId2024" Type="http://schemas.openxmlformats.org/officeDocument/2006/relationships/hyperlink" Target="https://www.google.com/url?q=https://uva.onlinejudge.org/index.php?option%3Donlinejudge%26page%3Dshow_problem%26problem%3D417&amp;sa=D&amp;ust=1605639552748000&amp;usg=AFQjCNHbTYo3hxPkYlqS43WoSWbqKIC50g" TargetMode="External"/><Relationship Id="rId2231" Type="http://schemas.openxmlformats.org/officeDocument/2006/relationships/hyperlink" Target="https://www.google.com/url?q=https://codeforces.com/contest/1046/problem/A&amp;sa=D&amp;ust=1605639552886000&amp;usg=AFQjCNF2l37aygOFNtmeBv_0NDPlLk4fUg" TargetMode="External"/><Relationship Id="rId203" Type="http://schemas.openxmlformats.org/officeDocument/2006/relationships/hyperlink" Target="https://www.google.com/url?q=http://codeforces.com/contest/633/problem/D&amp;sa=D&amp;ust=1605639551680000&amp;usg=AFQjCNF9BK2uZAMcv8QogW4Wd6Naa1WrYw" TargetMode="External"/><Relationship Id="rId1040" Type="http://schemas.openxmlformats.org/officeDocument/2006/relationships/hyperlink" Target="https://www.google.com/url?q=https://ideone.com/Zliix2&amp;sa=D&amp;ust=1605639552145000&amp;usg=AFQjCNGPYQ6iiBG2Xan4GsShQi1qFpXWcw" TargetMode="External"/><Relationship Id="rId4196" Type="http://schemas.openxmlformats.org/officeDocument/2006/relationships/hyperlink" Target="https://www.google.com/url?q=http://codeforces.com/contest/839/problem/C&amp;sa=D&amp;ust=1605639554240000&amp;usg=AFQjCNFLvxZV7ApSFYwP4sffSG-LvwJrvA" TargetMode="External"/><Relationship Id="rId410" Type="http://schemas.openxmlformats.org/officeDocument/2006/relationships/hyperlink" Target="https://www.google.com/url?q=http://agc002.contest.atcoder.jp/tasks/agc002_d%23&amp;sa=D&amp;ust=1605639551847000&amp;usg=AFQjCNGdJ7spyDThDnnQ_jYYEyuIal3-ew" TargetMode="External"/><Relationship Id="rId1997" Type="http://schemas.openxmlformats.org/officeDocument/2006/relationships/hyperlink" Target="https://www.google.com/url?q=http://codeforces.com/contest/407/problem/A&amp;sa=D&amp;ust=1605639552732000&amp;usg=AFQjCNHi_-HD5TruL1ZQDkng1kicVRV71w" TargetMode="External"/><Relationship Id="rId4056" Type="http://schemas.openxmlformats.org/officeDocument/2006/relationships/hyperlink" Target="https://www.google.com/url?q=https://github.com/jebouin/CompetitiveProgramming/blob/master/CodeForces/CF834-D2-D.cpp&amp;sa=D&amp;ust=1605639554152000&amp;usg=AFQjCNEiRucnTuq_HUbdZ5AGPKJguE-9dQ" TargetMode="External"/><Relationship Id="rId1857" Type="http://schemas.openxmlformats.org/officeDocument/2006/relationships/hyperlink" Target="https://www.google.com/url?q=https://github.com/arvindr9/CompetitiveProgramming/blob/master/TopCoder/SRM389-D1-1000.cpp&amp;sa=D&amp;ust=1605639552643000&amp;usg=AFQjCNHVgYmJmPBHwVEW1rlFrAOfmu0LSw" TargetMode="External"/><Relationship Id="rId2908" Type="http://schemas.openxmlformats.org/officeDocument/2006/relationships/hyperlink" Target="https://www.google.com/url?q=http://agc034.contest.atcoder.jp/tasks/agc034_d&amp;sa=D&amp;ust=1605639553269000&amp;usg=AFQjCNHJb3rpIbsToAoMSxvo_0HFD-Dsog" TargetMode="External"/><Relationship Id="rId4263" Type="http://schemas.openxmlformats.org/officeDocument/2006/relationships/hyperlink" Target="https://www.google.com/url?q=https://open.kattis.com/problems/yatp&amp;sa=D&amp;ust=1605639554270000&amp;usg=AFQjCNHJWh6RmWs_Qsw0YOu03TfoZnFcYQ" TargetMode="External"/><Relationship Id="rId1717" Type="http://schemas.openxmlformats.org/officeDocument/2006/relationships/hyperlink" Target="https://www.google.com/url?q=https://www.codechef.com/viewsolution/18635981&amp;sa=D&amp;ust=1605639552569000&amp;usg=AFQjCNGiW-4d3g_cN9wUuO2L9xQwpopBaw" TargetMode="External"/><Relationship Id="rId1924" Type="http://schemas.openxmlformats.org/officeDocument/2006/relationships/hyperlink" Target="https://www.google.com/url?q=http://codeforces.com/gym/101726/problem/J&amp;sa=D&amp;ust=1605639552693000&amp;usg=AFQjCNG2RIHr3cCxCZaqdM4cSSlQ4uUicA" TargetMode="External"/><Relationship Id="rId3072" Type="http://schemas.openxmlformats.org/officeDocument/2006/relationships/hyperlink" Target="https://www.google.com/url?q=http://codeforces.com/contest/121/problem/C&amp;sa=D&amp;ust=1605639553359000&amp;usg=AFQjCNGUqJsHBmzRTVBiCxlF0pxRikqCew" TargetMode="External"/><Relationship Id="rId4123" Type="http://schemas.openxmlformats.org/officeDocument/2006/relationships/hyperlink" Target="https://www.google.com/url?q=http://codeforces.com/contest/812/problem/D&amp;sa=D&amp;ust=1605639554190000&amp;usg=AFQjCNHKMGpvP8ckKmeYP0gaRjdEOdeFhw" TargetMode="External"/><Relationship Id="rId4330" Type="http://schemas.openxmlformats.org/officeDocument/2006/relationships/hyperlink" Target="https://www.google.com/url?q=http://codeforces.com/contest/466/problem/D&amp;sa=D&amp;ust=1605639554296000&amp;usg=AFQjCNEMCGtwsxJqXDCeTjd8lJO3ttI_pg" TargetMode="External"/><Relationship Id="rId3889" Type="http://schemas.openxmlformats.org/officeDocument/2006/relationships/hyperlink" Target="https://www.google.com/url?q=http://acm.hdu.edu.cn/showproblem.php?pid%3D5213&amp;sa=D&amp;ust=1605639553914000&amp;usg=AFQjCNFgKCxnNNJ_v6_TS-Mgrk4Nv4o1DQ" TargetMode="External"/><Relationship Id="rId2698" Type="http://schemas.openxmlformats.org/officeDocument/2006/relationships/hyperlink" Target="https://www.google.com/url?q=http://codeforces.com/contest/292/problem/D&amp;sa=D&amp;ust=1605639553147000&amp;usg=AFQjCNGryPm70jRgdEWmdvROpKqyePEKUw" TargetMode="External"/><Relationship Id="rId3749" Type="http://schemas.openxmlformats.org/officeDocument/2006/relationships/hyperlink" Target="https://www.google.com/url?q=https://github.com/mostafa-saad/MyCompetitiveProgramming/blob/master/HACKERRANK/HACKR-XOR-key.txt&amp;sa=D&amp;ust=1605639553829000&amp;usg=AFQjCNFXByOo4aYQv6z8YXchD7af2qxHTg" TargetMode="External"/><Relationship Id="rId3956" Type="http://schemas.openxmlformats.org/officeDocument/2006/relationships/hyperlink" Target="https://www.google.com/url?q=http://codeforces.com/contest/586/problem/C&amp;sa=D&amp;ust=1605639553946000&amp;usg=AFQjCNGH8ZqdBiY9eNcCEOD4K100CAEBpQ" TargetMode="External"/><Relationship Id="rId877" Type="http://schemas.openxmlformats.org/officeDocument/2006/relationships/hyperlink" Target="https://www.google.com/url?q=https://github.com/shashank0107/CompetitiveProgramming/blob/master/SPOJ/INTERVA2.cpp&amp;sa=D&amp;ust=1605639552056000&amp;usg=AFQjCNHQb4iny_9U07mo251SVhzCbrtb0Q" TargetMode="External"/><Relationship Id="rId2558" Type="http://schemas.openxmlformats.org/officeDocument/2006/relationships/hyperlink" Target="https://www.google.com/url?q=https://codeforces.com/problemset/problem/1147/D&amp;sa=D&amp;ust=1605639553064000&amp;usg=AFQjCNHSEAFwdkCq6F2p5moW8oJUiaYPjA" TargetMode="External"/><Relationship Id="rId2765" Type="http://schemas.openxmlformats.org/officeDocument/2006/relationships/hyperlink" Target="https://www.google.com/url?q=https://atcoder.jp/contests/abc143/tasks/abc143_e&amp;sa=D&amp;ust=1605639553186000&amp;usg=AFQjCNEsqz92dsRqqrB7ayUsstVD8aWX9Q" TargetMode="External"/><Relationship Id="rId2972" Type="http://schemas.openxmlformats.org/officeDocument/2006/relationships/hyperlink" Target="https://www.google.com/url?q=https://github.com/AbdelrahmanRamadan/competitive-programming/blob/master/Topcoder/SRM368%2520Jumping%2520Board.cpp&amp;sa=D&amp;ust=1605639553302000&amp;usg=AFQjCNEPCMFsBayM9UQzS2Bh9FbNRe-bhQ" TargetMode="External"/><Relationship Id="rId3609" Type="http://schemas.openxmlformats.org/officeDocument/2006/relationships/hyperlink" Target="https://www.google.com/url?q=https://github.com/mostafa-saad/MyCompetitiveProgramming/blob/master/Codeforces/CF26-D12-D.txt&amp;sa=D&amp;ust=1605639553739000&amp;usg=AFQjCNGb13OSLyaGsN4knPMNqSXZKti9Yg" TargetMode="External"/><Relationship Id="rId3816" Type="http://schemas.openxmlformats.org/officeDocument/2006/relationships/hyperlink" Target="https://www.google.com/url?q=http://codeforces.com/contest/235/problem/C&amp;sa=D&amp;ust=1605639553875000&amp;usg=AFQjCNFY8B0HMV13JJoc0EUI_r5XRSx8Mw" TargetMode="External"/><Relationship Id="rId737" Type="http://schemas.openxmlformats.org/officeDocument/2006/relationships/hyperlink" Target="https://www.google.com/url?q=http://www.spoj.com/problems/GSS4&amp;sa=D&amp;ust=1605639551981000&amp;usg=AFQjCNFUq8wLKLFox9OVG71DLSPt-qN0zg" TargetMode="External"/><Relationship Id="rId944" Type="http://schemas.openxmlformats.org/officeDocument/2006/relationships/hyperlink" Target="https://www.google.com/url?q=https://discuss.codechef.com/questions/137810/bbricks-editorial&amp;sa=D&amp;ust=1605639552097000&amp;usg=AFQjCNG5h04aLP_QRHIho1SWEQL4dUPBhQ" TargetMode="External"/><Relationship Id="rId1367" Type="http://schemas.openxmlformats.org/officeDocument/2006/relationships/hyperlink" Target="https://www.google.com/url?q=https://github.com/dasannagariraja/CompetitiveProgramming/blob/master/TopCoder/SRM532-D1-500.cpp&amp;sa=D&amp;ust=1605639552356000&amp;usg=AFQjCNHAbrVsQnfADxuBEEBna_bmsYep_Q" TargetMode="External"/><Relationship Id="rId1574" Type="http://schemas.openxmlformats.org/officeDocument/2006/relationships/hyperlink" Target="https://www.google.com/url?q=http://codeforces.com/contest/432/problem/E&amp;sa=D&amp;ust=1605639552486000&amp;usg=AFQjCNG1H4tezmTSM9Kc3Uqekhx7FBvp3A" TargetMode="External"/><Relationship Id="rId1781" Type="http://schemas.openxmlformats.org/officeDocument/2006/relationships/hyperlink" Target="https://www.google.com/url?q=https://github.com/MetalBall887/Competitive-Programming/blob/master/HACKERRANK/HACKR%2520the-white-lotus-and-caterpillar-game.cpp&amp;sa=D&amp;ust=1605639552604000&amp;usg=AFQjCNFogP-7fwbzs_CP0bGkT8IKPjFVrg" TargetMode="External"/><Relationship Id="rId2418" Type="http://schemas.openxmlformats.org/officeDocument/2006/relationships/hyperlink" Target="https://www.google.com/url?q=https://github.com/antimirage/Problems-solutions/blob/master/%D0%9A%D0%BE%D1%80%D0%BE%D0%B2%D0%B0%D0%BD%D1%8B.cpp&amp;sa=D&amp;ust=1605639552979000&amp;usg=AFQjCNEYpEh71nWt2aS6J15XNKvBqHgDmg" TargetMode="External"/><Relationship Id="rId2625" Type="http://schemas.openxmlformats.org/officeDocument/2006/relationships/hyperlink" Target="https://www.google.com/url?q=http://codeforces.com/problemset/gymProblem/100812/G&amp;sa=D&amp;ust=1605639553108000&amp;usg=AFQjCNFDr48dM1wTbAZr8R-dq7_BcO-JZA" TargetMode="External"/><Relationship Id="rId2832" Type="http://schemas.openxmlformats.org/officeDocument/2006/relationships/hyperlink" Target="https://www.google.com/url?q=https://github.com/MohamedNabil97/CompetitiveProgramming/blob/master/TJU/2842.cpp&amp;sa=D&amp;ust=1605639553227000&amp;usg=AFQjCNHNakZufjW5tLIGr0pv-SSMo3MV5g" TargetMode="External"/><Relationship Id="rId73" Type="http://schemas.openxmlformats.org/officeDocument/2006/relationships/hyperlink" Target="https://www.google.com/url?q=http://codeforces.com/contest/591/problem/C&amp;sa=D&amp;ust=1605639551595000&amp;usg=AFQjCNGzXaP_kyd-2wM6ub6OL04u3KgBFw" TargetMode="External"/><Relationship Id="rId804" Type="http://schemas.openxmlformats.org/officeDocument/2006/relationships/hyperlink" Target="https://www.google.com/url?q=https://github.com/BRAINOOOO/CompetitiveProgramming/blob/master/Spoj/SPOJ%2520MULTQ3.Cpp&amp;sa=D&amp;ust=1605639552015000&amp;usg=AFQjCNGy4NLV-ZPg0FeGBeVEppN4GY-amQ" TargetMode="External"/><Relationship Id="rId1227" Type="http://schemas.openxmlformats.org/officeDocument/2006/relationships/hyperlink" Target="https://www.google.com/url?q=https://github.com/mostafa-saad/MyCompetitiveProgramming/blob/master/SPOJ/SPOJ_GS.txt&amp;sa=D&amp;ust=1605639552268000&amp;usg=AFQjCNF3M0swXVggo87o-xuN3RZpxAI7xw" TargetMode="External"/><Relationship Id="rId1434" Type="http://schemas.openxmlformats.org/officeDocument/2006/relationships/hyperlink" Target="https://www.google.com/url?q=http://codeforces.com/contest/908/problem/D&amp;sa=D&amp;ust=1605639552407000&amp;usg=AFQjCNH9MWqnCdfk-omYuMrP4tfzpJ-kFQ" TargetMode="External"/><Relationship Id="rId1641" Type="http://schemas.openxmlformats.org/officeDocument/2006/relationships/hyperlink" Target="https://www.google.com/url?q=https://github.com/BRAINOOOO/CompetitiveProgramming/blob/3057480d3a311cc86a6d64546655a9bb4017cbd6/CF/CF101149-GYM-G.Cpp&amp;sa=D&amp;ust=1605639552524000&amp;usg=AFQjCNG5iVKuhEL3zZCo6m4gxWxl_4IRoA" TargetMode="External"/><Relationship Id="rId1501" Type="http://schemas.openxmlformats.org/officeDocument/2006/relationships/hyperlink" Target="https://www.google.com/url?q=https://csacademy.com/code/gAv1x3aG/&amp;sa=D&amp;ust=1605639552446000&amp;usg=AFQjCNGiLvQDSDHvPoEs2F3pLZ_qSQ0coA" TargetMode="External"/><Relationship Id="rId3399" Type="http://schemas.openxmlformats.org/officeDocument/2006/relationships/hyperlink" Target="https://www.google.com/url?q=http://codeforces.com/contest/305/problem/D&amp;sa=D&amp;ust=1605639553552000&amp;usg=AFQjCNFxF7Vz54ywMjBbtotQqfEQtcGCcw" TargetMode="External"/><Relationship Id="rId3259" Type="http://schemas.openxmlformats.org/officeDocument/2006/relationships/hyperlink" Target="https://www.google.com/url?q=https://www.algorithmist.com/index.php/UVa_113&amp;sa=D&amp;ust=1605639553460000&amp;usg=AFQjCNF9cjJfRTsh4-b06VUMUIIvunyF1Q" TargetMode="External"/><Relationship Id="rId3466" Type="http://schemas.openxmlformats.org/officeDocument/2006/relationships/hyperlink" Target="https://www.google.com/url?q=https://github.com/YazanZebak/CompetitiveProgramming/blob/master/Codeforces/CF102299-GYM-F.cpp&amp;sa=D&amp;ust=1605639553595000&amp;usg=AFQjCNG4Z7jJnZWucuh5ueuARQ-f0yNrMA" TargetMode="External"/><Relationship Id="rId387" Type="http://schemas.openxmlformats.org/officeDocument/2006/relationships/hyperlink" Target="https://www.google.com/url?q=https://codejam.withgoogle.com/2018/challenges/0000000000007706/dashboard/00000000000459f3&amp;sa=D&amp;ust=1605639551830000&amp;usg=AFQjCNEAYLHS1qD1JxsGXDkn_Fh-M0dA8Q" TargetMode="External"/><Relationship Id="rId594" Type="http://schemas.openxmlformats.org/officeDocument/2006/relationships/hyperlink" Target="https://www.google.com/url?q=https://github.com/mostafa-saad/MyCompetitiveProgramming/blob/master/Codeforces/CF453-D1-E.txt&amp;sa=D&amp;ust=1605639551924000&amp;usg=AFQjCNE4HIBgIDkwZMZO4JKbGraTxHRSkg" TargetMode="External"/><Relationship Id="rId2068" Type="http://schemas.openxmlformats.org/officeDocument/2006/relationships/hyperlink" Target="https://www.google.com/url?q=https://github.com/MeGaCrazy/CompetitiveProgramming/blob/5343b4e1aabd67db25a4864de4eb81eb094709e3/UVA/UVA_477.cpp&amp;sa=D&amp;ust=1605639552782000&amp;usg=AFQjCNFmoSZliKYXjfW5149jnFkeHDzU6Q" TargetMode="External"/><Relationship Id="rId2275" Type="http://schemas.openxmlformats.org/officeDocument/2006/relationships/hyperlink" Target="https://www.google.com/url?q=http://codeforces.com/gym/100513/problem/L&amp;sa=D&amp;ust=1605639552914000&amp;usg=AFQjCNEkTo6q6xiYMKwzBKtnJ8beci3gcA" TargetMode="External"/><Relationship Id="rId3119" Type="http://schemas.openxmlformats.org/officeDocument/2006/relationships/hyperlink" Target="https://www.google.com/url?q=http://codeforces.com/contest/488/problem/E&amp;sa=D&amp;ust=1605639553386000&amp;usg=AFQjCNEtBSXZIqnsF34PgAC9xDKeEnFpvw" TargetMode="External"/><Relationship Id="rId3326" Type="http://schemas.openxmlformats.org/officeDocument/2006/relationships/hyperlink" Target="https://www.google.com/url?q=https://github.com/mostafa-saad/MyCompetitiveProgramming/blob/master/LiveArchive/LiveArchive_6582.txt&amp;sa=D&amp;ust=1605639553503000&amp;usg=AFQjCNEorVwebqlzYE50gVRTeDgbqOpgkQ" TargetMode="External"/><Relationship Id="rId3673" Type="http://schemas.openxmlformats.org/officeDocument/2006/relationships/hyperlink" Target="https://www.google.com/url?q=https://www.hackerrank.com/challenges/irresponsible-numbers&amp;sa=D&amp;ust=1605639553782000&amp;usg=AFQjCNHMDgJ3NAitkUAWIu_KwbTjPhugJw" TargetMode="External"/><Relationship Id="rId3880" Type="http://schemas.openxmlformats.org/officeDocument/2006/relationships/hyperlink" Target="https://www.google.com/url?q=https://www.spoj.com/problems/ALLIN1/&amp;sa=D&amp;ust=1605639553908000&amp;usg=AFQjCNHLgYI9199L8QExmfdaMhDyYMsxIA" TargetMode="External"/><Relationship Id="rId247" Type="http://schemas.openxmlformats.org/officeDocument/2006/relationships/hyperlink" Target="https://www.google.com/url?q=http://codeforces.com/contest/439/problem/C&amp;sa=D&amp;ust=1605639551713000&amp;usg=AFQjCNGKDF9_XB5Y_yFDu0GLJdeRhxyG2g" TargetMode="External"/><Relationship Id="rId1084" Type="http://schemas.openxmlformats.org/officeDocument/2006/relationships/hyperlink" Target="https://www.google.com/url?q=https://codeforces.com/contest/1151/problem/E&amp;sa=D&amp;ust=1605639552169000&amp;usg=AFQjCNF5xVGSh16Z04xWB6AddX39JU_TFQ" TargetMode="External"/><Relationship Id="rId2482" Type="http://schemas.openxmlformats.org/officeDocument/2006/relationships/hyperlink" Target="https://www.google.com/url?q=http://www.spoj.com/problems/POUR1/&amp;sa=D&amp;ust=1605639553020000&amp;usg=AFQjCNFKMyn7trXocL59FPL-9dgV2rl0Mw" TargetMode="External"/><Relationship Id="rId3533" Type="http://schemas.openxmlformats.org/officeDocument/2006/relationships/hyperlink" Target="https://www.google.com/url?q=https://www.hackerrank.com/contests/infinitum18/challenges/tower-3-coloring&amp;sa=D&amp;ust=1605639553651000&amp;usg=AFQjCNGOLkTZS6_QJSKROrsOvJ8trOPjiQ" TargetMode="External"/><Relationship Id="rId3740" Type="http://schemas.openxmlformats.org/officeDocument/2006/relationships/hyperlink" Target="https://www.google.com/url?q=http://codeforces.com/contest/979/problem/D&amp;sa=D&amp;ust=1605639553824000&amp;usg=AFQjCNGiZNI1nuSrfXRjvgr7jQ2nzbRyng" TargetMode="External"/><Relationship Id="rId107" Type="http://schemas.openxmlformats.org/officeDocument/2006/relationships/hyperlink" Target="https://www.google.com/url?q=https://github.com/MedoN11/CompetitiveProgramming/blob/master/CodeForces/CF189-D1-C.cpp&amp;sa=D&amp;ust=1605639551616000&amp;usg=AFQjCNFUf0Ka8-BmmIGQH5n78thSxW_Kiw" TargetMode="External"/><Relationship Id="rId454" Type="http://schemas.openxmlformats.org/officeDocument/2006/relationships/hyperlink" Target="https://www.google.com/url?q=http://codeforces.com/contest/1010/problem/B&amp;sa=D&amp;ust=1605639551864000&amp;usg=AFQjCNENSco2ZGO43uFWD4ahAcneSL54Sw" TargetMode="External"/><Relationship Id="rId661" Type="http://schemas.openxmlformats.org/officeDocument/2006/relationships/hyperlink" Target="https://www.google.com/url?q=https://codeforces.com/contest/150/problem/C&amp;sa=D&amp;ust=1605639551946000&amp;usg=AFQjCNG8h-MXJkLUPECESl-9aUZ1wcOPtg" TargetMode="External"/><Relationship Id="rId1291" Type="http://schemas.openxmlformats.org/officeDocument/2006/relationships/hyperlink" Target="https://www.google.com/url?q=http://codeforces.com/contest/543/problem/C&amp;sa=D&amp;ust=1605639552311000&amp;usg=AFQjCNH2uTwIEZzPpz-kaki7gHogv25EpA" TargetMode="External"/><Relationship Id="rId2135" Type="http://schemas.openxmlformats.org/officeDocument/2006/relationships/hyperlink" Target="https://www.google.com/url?q=http://codeforces.com/contest/975/problem/E&amp;sa=D&amp;ust=1605639552829000&amp;usg=AFQjCNHpLsq8hORh75YUQU6NxH9O8sL-JA" TargetMode="External"/><Relationship Id="rId2342" Type="http://schemas.openxmlformats.org/officeDocument/2006/relationships/hyperlink" Target="https://www.google.com/url?q=http://codeforces.com/contest/368/problem/E&amp;sa=D&amp;ust=1605639552944000&amp;usg=AFQjCNHV6sIchsepvXZfUwLXUQCIVZ1zHw" TargetMode="External"/><Relationship Id="rId3600" Type="http://schemas.openxmlformats.org/officeDocument/2006/relationships/hyperlink" Target="https://www.google.com/url?q=https://icpc.kattis.com/problems/weather&amp;sa=D&amp;ust=1605639553731000&amp;usg=AFQjCNGXMhfhRpSbP5Tfz0VAJPn5LlWY7g" TargetMode="External"/><Relationship Id="rId314" Type="http://schemas.openxmlformats.org/officeDocument/2006/relationships/hyperlink" Target="https://www.google.com/url?q=http://codeforces.com/contest/862/problem/E&amp;sa=D&amp;ust=1605639551763000&amp;usg=AFQjCNHW2BEZO_GP9ZalAdB3GPrVs7hm9Q" TargetMode="External"/><Relationship Id="rId521" Type="http://schemas.openxmlformats.org/officeDocument/2006/relationships/hyperlink" Target="https://www.google.com/url?q=https://codeforces.com/contest/1257/problem/F&amp;sa=D&amp;ust=1605639551896000&amp;usg=AFQjCNHbguueiF4uMhH_rfoFvLRACqVU7Q" TargetMode="External"/><Relationship Id="rId1151" Type="http://schemas.openxmlformats.org/officeDocument/2006/relationships/hyperlink" Target="https://www.google.com/url?q=https://www.codechef.com/problems/RWALK&amp;sa=D&amp;ust=1605639552208000&amp;usg=AFQjCNH8x-GOO1zlBjha53bNIc3AgOJQfQ" TargetMode="External"/><Relationship Id="rId2202" Type="http://schemas.openxmlformats.org/officeDocument/2006/relationships/hyperlink" Target="https://www.google.com/url?q=https://github.com/DrSchwad/CompetitiveProgramming/blob/master/SPOJ/SPOJ%2520VCIRCLES.cpp&amp;sa=D&amp;ust=1605639552873000&amp;usg=AFQjCNHN4bg9nkVSqT1JObBJ5phPIY8iIA" TargetMode="External"/><Relationship Id="rId1011" Type="http://schemas.openxmlformats.org/officeDocument/2006/relationships/hyperlink" Target="https://www.google.com/url?q=http://codeforces.com/contest/490/problem/F&amp;sa=D&amp;ust=1605639552130000&amp;usg=AFQjCNGzO-c-aP2ZIRUnj4MLtKMa-00y_w" TargetMode="External"/><Relationship Id="rId1968" Type="http://schemas.openxmlformats.org/officeDocument/2006/relationships/hyperlink" Target="https://www.google.com/url?q=https://github.com/morris821028/UVa/blob/master/volume105/10545%2520-%2520Maximal%2520Quadrilateral.cpp&amp;sa=D&amp;ust=1605639552715000&amp;usg=AFQjCNFbJZyUkSv2UqysQGTJngwFCEQeLw" TargetMode="External"/><Relationship Id="rId4167" Type="http://schemas.openxmlformats.org/officeDocument/2006/relationships/hyperlink" Target="https://www.google.com/url?q=https://www.hackerrank.com/challenges/kevin-and-expected-value&amp;sa=D&amp;ust=1605639554216000&amp;usg=AFQjCNH7O9554Jnnr3_RnKD0X4tmFv3CyA" TargetMode="External"/><Relationship Id="rId4374" Type="http://schemas.openxmlformats.org/officeDocument/2006/relationships/hyperlink" Target="https://www.google.com/url?q=https://codeforces.com/contest/1179/problem/D&amp;sa=D&amp;ust=1605639554314000&amp;usg=AFQjCNG5Sn8Ee2qeyq845bp7pYVjkNfFkA" TargetMode="External"/><Relationship Id="rId3183" Type="http://schemas.openxmlformats.org/officeDocument/2006/relationships/hyperlink" Target="https://www.google.com/url?q=https://github.com/SpeedOfMagic/CompetitiveProgramming/blob/master/FbHkrCup/FbHkrCup%252018-Intersection.cpp&amp;sa=D&amp;ust=1605639553419000&amp;usg=AFQjCNH4rOKhn6ukhlwO_rSAPZXHQ8tkyw" TargetMode="External"/><Relationship Id="rId3390" Type="http://schemas.openxmlformats.org/officeDocument/2006/relationships/hyperlink" Target="https://www.google.com/url?q=http://codeforces.com/blog/entry/43886?%23comment-285657&amp;sa=D&amp;ust=1605639553547000&amp;usg=AFQjCNFPyFYLSUtIgbm4P2QzXUIlorHGQQ" TargetMode="External"/><Relationship Id="rId4027" Type="http://schemas.openxmlformats.org/officeDocument/2006/relationships/hyperlink" Target="https://www.google.com/url?q=https://github.com/Huvok/CompetitiveProgramming/blob/master/Topcoder/SRM340-D1-500.cpp&amp;sa=D&amp;ust=1605639554141000&amp;usg=AFQjCNHk02M2NNsXT-sEVow7e80jXpGIIg" TargetMode="External"/><Relationship Id="rId4234" Type="http://schemas.openxmlformats.org/officeDocument/2006/relationships/hyperlink" Target="https://www.google.com/url?q=https://codeforces.com/gym/100570/problem/F&amp;sa=D&amp;ust=1605639554258000&amp;usg=AFQjCNHRxUmTNXfOl3dZaLIOmwu9Ci606w" TargetMode="External"/><Relationship Id="rId4441" Type="http://schemas.openxmlformats.org/officeDocument/2006/relationships/hyperlink" Target="https://www.google.com/url?q=https://www.codechef.com/SEPT19A/problems/PSUM&amp;sa=D&amp;ust=1605639554346000&amp;usg=AFQjCNErZJtuaaYounCUKnvwCeztpdVK7A" TargetMode="External"/><Relationship Id="rId1828" Type="http://schemas.openxmlformats.org/officeDocument/2006/relationships/hyperlink" Target="https://www.google.com/url?q=https://www.codechef.com/problems/QCJ6&amp;sa=D&amp;ust=1605639552629000&amp;usg=AFQjCNERYYNgf4ud3uH6CeYAkJXmpf7jTA" TargetMode="External"/><Relationship Id="rId3043" Type="http://schemas.openxmlformats.org/officeDocument/2006/relationships/hyperlink" Target="https://www.google.com/url?q=https://github.com/miguelAlessandro/CompetitiveProgramming/blob/master/UVA/610.cpp&amp;sa=D&amp;ust=1605639553346000&amp;usg=AFQjCNEp3Mw00uhsh6v9xXJ89Z_9RcZwng" TargetMode="External"/><Relationship Id="rId3250" Type="http://schemas.openxmlformats.org/officeDocument/2006/relationships/hyperlink" Target="https://www.google.com/url?q=http://codeforces.com/contest/353/problem/C&amp;sa=D&amp;ust=1605639553455000&amp;usg=AFQjCNFKDGR7WvcL30vwnuce70nxNNFizQ" TargetMode="External"/><Relationship Id="rId171" Type="http://schemas.openxmlformats.org/officeDocument/2006/relationships/hyperlink" Target="https://www.google.com/url?q=https://github.com/MohamedNabil97/CompetitiveProgramming/tree/master/UVA/1326.cpp&amp;sa=D&amp;ust=1605639551655000&amp;usg=AFQjCNHOQ4x7EPyu5fYmRoidGMzciw5bDQ" TargetMode="External"/><Relationship Id="rId4301" Type="http://schemas.openxmlformats.org/officeDocument/2006/relationships/hyperlink" Target="https://www.google.com/url?q=https://github.com/tmwilliamlin168/CompetitiveProgramming/blob/master/Hackerrank/dynamic-trees.cpp&amp;sa=D&amp;ust=1605639554284000&amp;usg=AFQjCNGMaA-ys87IQTv13qu1ICYhG5JfyQ" TargetMode="External"/><Relationship Id="rId3110" Type="http://schemas.openxmlformats.org/officeDocument/2006/relationships/hyperlink" Target="https://www.google.com/url?q=https://www.hackerrank.com/challenges/randomness&amp;sa=D&amp;ust=1605639553380000&amp;usg=AFQjCNGiDN59R4-YSLXDMCmwaZLXLAYUTw" TargetMode="External"/><Relationship Id="rId988" Type="http://schemas.openxmlformats.org/officeDocument/2006/relationships/hyperlink" Target="https://www.google.com/url?q=https://codeforces.com/problemset/problem/1032/F&amp;sa=D&amp;ust=1605639552120000&amp;usg=AFQjCNHSRAszL8OVAyn7BAc0ZG3F8FrqQw" TargetMode="External"/><Relationship Id="rId2669" Type="http://schemas.openxmlformats.org/officeDocument/2006/relationships/hyperlink" Target="https://www.google.com/url?q=http://codeforces.com/contest/884/problem/E&amp;sa=D&amp;ust=1605639553133000&amp;usg=AFQjCNG3YahgssBKypA9Hh-h7bGtV79SzA" TargetMode="External"/><Relationship Id="rId2876" Type="http://schemas.openxmlformats.org/officeDocument/2006/relationships/hyperlink" Target="https://www.google.com/url?q=https://github.com/BRAINOOOO/CompetitiveProgramming/blob/master/UVA/V-121/UVA%252012168.Cpp&amp;sa=D&amp;ust=1605639553250000&amp;usg=AFQjCNEIU5uQfIrRb6_q4eMvkbrGWWoCKA" TargetMode="External"/><Relationship Id="rId3927" Type="http://schemas.openxmlformats.org/officeDocument/2006/relationships/hyperlink" Target="https://www.google.com/url?q=http://codeforces.com/contest/520/problem/D&amp;sa=D&amp;ust=1605639553933000&amp;usg=AFQjCNGMPKGkuZZdKh1ndzrFrSxvlqlZRg" TargetMode="External"/><Relationship Id="rId848" Type="http://schemas.openxmlformats.org/officeDocument/2006/relationships/hyperlink" Target="https://www.google.com/url?q=https://github.com/mostafa-saad/MyCompetitiveProgramming/blob/master/SPOJ/SPOJ_BRICKS.txt&amp;sa=D&amp;ust=1605639552039000&amp;usg=AFQjCNF0EQEZk_p-DGbwv30c46o_UbcWzw" TargetMode="External"/><Relationship Id="rId1478" Type="http://schemas.openxmlformats.org/officeDocument/2006/relationships/hyperlink" Target="https://www.google.com/url?q=https://github.com/nya-nya-meow/CompetitiveProgramming/blob/master/CodeForces/CF101620-GYM-G%2520-%2520Gambling%2520guide.cpp&amp;sa=D&amp;ust=1605639552431000&amp;usg=AFQjCNGJCJprvBhxrSNbV7xFeQbpiahdjQ" TargetMode="External"/><Relationship Id="rId1685" Type="http://schemas.openxmlformats.org/officeDocument/2006/relationships/hyperlink" Target="https://www.google.com/url?q=https://codeforces.com/contest/1087/problem/D&amp;sa=D&amp;ust=1605639552552000&amp;usg=AFQjCNH_Z8JpGzbqdazF02Oku_bVkukEhQ" TargetMode="External"/><Relationship Id="rId1892" Type="http://schemas.openxmlformats.org/officeDocument/2006/relationships/hyperlink" Target="https://www.google.com/url?q=http://codeforces.com/problemset/problem/1071/E&amp;sa=D&amp;ust=1605639552661000&amp;usg=AFQjCNFpb-tqZGB6g-9ux846hxlCKZ76HA" TargetMode="External"/><Relationship Id="rId2529" Type="http://schemas.openxmlformats.org/officeDocument/2006/relationships/hyperlink" Target="https://www.google.com/url?q=https://uva.onlinejudge.org/index.php?option%3Dcom_onlinejudge%26Itemid%3D8%26page%3Dshow_problem%26problem%3D470&amp;sa=D&amp;ust=1605639553048000&amp;usg=AFQjCNGJPPqWhdTxUAHVMrOkuDlC_W978w" TargetMode="External"/><Relationship Id="rId2736" Type="http://schemas.openxmlformats.org/officeDocument/2006/relationships/hyperlink" Target="https://www.google.com/url?q=http://codeforces.com/contest/723/problem/E&amp;sa=D&amp;ust=1605639553167000&amp;usg=AFQjCNHs6E0eRVgEJHthYOEpWSG5YiXDzA" TargetMode="External"/><Relationship Id="rId4091" Type="http://schemas.openxmlformats.org/officeDocument/2006/relationships/hyperlink" Target="https://www.google.com/url?q=http://www.lightoj.com/volume_showproblem.php?problem%3D1252&amp;sa=D&amp;ust=1605639554169000&amp;usg=AFQjCNHKN4X8LzjkwLPASbZ5gWlJHHpX5w" TargetMode="External"/><Relationship Id="rId708" Type="http://schemas.openxmlformats.org/officeDocument/2006/relationships/hyperlink" Target="https://www.google.com/url?q=http://codeforces.com/contest/19/problem/D&amp;sa=D&amp;ust=1605639551968000&amp;usg=AFQjCNGKPFM3wVv8vrQdd6wFa23an9EEEA" TargetMode="External"/><Relationship Id="rId915" Type="http://schemas.openxmlformats.org/officeDocument/2006/relationships/hyperlink" Target="https://www.google.com/url?q=http://codeforces.com/contest/178/problem/F2&amp;sa=D&amp;ust=1605639552079000&amp;usg=AFQjCNFGToFZumB130NrZYoBPc6PcsSgRg" TargetMode="External"/><Relationship Id="rId1338" Type="http://schemas.openxmlformats.org/officeDocument/2006/relationships/hyperlink" Target="https://www.google.com/url?q=http://www.spoj.com/problems/PERMUT1/&amp;sa=D&amp;ust=1605639552340000&amp;usg=AFQjCNHxnjeXWQMq2B0vu0tXwk9Qrk-U8g" TargetMode="External"/><Relationship Id="rId1545" Type="http://schemas.openxmlformats.org/officeDocument/2006/relationships/hyperlink" Target="https://www.google.com/url?q=https://codeforces.com/contest/1132/problem/E&amp;sa=D&amp;ust=1605639552472000&amp;usg=AFQjCNGRWness_4MSrnvdyC73RR_WVraNw" TargetMode="External"/><Relationship Id="rId2943" Type="http://schemas.openxmlformats.org/officeDocument/2006/relationships/hyperlink" Target="https://www.google.com/url?q=https://github.com/tanmoy13/CompetitveProgramming/blob/master/Online-Judge-Solutions/UVA/10805%2520-%2520Cockroach%2520Escape%2520Networks.cpp&amp;sa=D&amp;ust=1605639553288000&amp;usg=AFQjCNHX5g8p2TeS2OQkm17frkH69DWQNg" TargetMode="External"/><Relationship Id="rId1405" Type="http://schemas.openxmlformats.org/officeDocument/2006/relationships/hyperlink" Target="https://www.google.com/url?q=http://codeforces.com/contest/317/problem/D&amp;sa=D&amp;ust=1605639552386000&amp;usg=AFQjCNHOWXxThq1RUGC2qzUmWARmMq6sSw" TargetMode="External"/><Relationship Id="rId1752" Type="http://schemas.openxmlformats.org/officeDocument/2006/relationships/hyperlink" Target="https://www.google.com/url?q=https://codeforces.com/contest/1104/problem/C&amp;sa=D&amp;ust=1605639552588000&amp;usg=AFQjCNHijtUxNYLfopEAqO9OPccFrlrutA" TargetMode="External"/><Relationship Id="rId2803" Type="http://schemas.openxmlformats.org/officeDocument/2006/relationships/hyperlink" Target="https://www.google.com/url?q=https://github.com/HeartBlue/CompetitiveProgramming/blob/master/SPOJ/SPOJ%2520NWERC11D%2520Piece%2520it%2520together.cpp&amp;sa=D&amp;ust=1605639553211000&amp;usg=AFQjCNEOFFxW8j465QGGvS1dSW1LQPwQ1g" TargetMode="External"/><Relationship Id="rId44" Type="http://schemas.openxmlformats.org/officeDocument/2006/relationships/hyperlink" Target="https://www.google.com/url?q=http://codeforces.com/gym/102147/problem/D&amp;sa=D&amp;ust=1605639551581000&amp;usg=AFQjCNEEGaDdIiNkPkWSdhalxBh3vQmA5w" TargetMode="External"/><Relationship Id="rId1612" Type="http://schemas.openxmlformats.org/officeDocument/2006/relationships/hyperlink" Target="https://www.google.com/url?q=http://codeforces.com/contest/135/problem/C&amp;sa=D&amp;ust=1605639552507000&amp;usg=AFQjCNHMpVZhGeDU94VFq7Wi0E9PNvDwPQ" TargetMode="External"/><Relationship Id="rId498" Type="http://schemas.openxmlformats.org/officeDocument/2006/relationships/hyperlink" Target="https://www.google.com/url?q=https://github.com/arvindr9/CompetitiveProgramming/blob/master/LiveArchive/LIVEARCHIVE%25206341.cpp&amp;sa=D&amp;ust=1605639551885000&amp;usg=AFQjCNFVm-RaKCauFwZM876-7VrZBPxkKQ" TargetMode="External"/><Relationship Id="rId2179" Type="http://schemas.openxmlformats.org/officeDocument/2006/relationships/hyperlink" Target="https://www.google.com/url?q=https://github.com/tmwilliamlin168/CompetitiveProgramming/blob/master/CodeForces/0536C.cpp&amp;sa=D&amp;ust=1605639552855000&amp;usg=AFQjCNHi8dMWJnpnJJqhpDQ-qLCDGpdN4A" TargetMode="External"/><Relationship Id="rId3577" Type="http://schemas.openxmlformats.org/officeDocument/2006/relationships/hyperlink" Target="https://www.google.com/url?q=https://github.com/ahmedsamir221/CompetitiveProgramming/blob/master/SPOJ/SPOJ%2520FIBTWIST.cpp&amp;sa=D&amp;ust=1605639553712000&amp;usg=AFQjCNEY_kq9YDXWqgHO-OsUnWJJUxLDZA" TargetMode="External"/><Relationship Id="rId3784" Type="http://schemas.openxmlformats.org/officeDocument/2006/relationships/hyperlink" Target="https://www.google.com/url?q=https://github.com/Huvok/CompetitiveProgramming/blob/master/UVA/11475.cpp&amp;sa=D&amp;ust=1605639553850000&amp;usg=AFQjCNH7dvFrqqoPmTf7BIbyXfjxEDGetw" TargetMode="External"/><Relationship Id="rId3991" Type="http://schemas.openxmlformats.org/officeDocument/2006/relationships/hyperlink" Target="https://www.google.com/url?q=http://codeforces.com/contest/224/problem/D&amp;sa=D&amp;ust=1605639554123000&amp;usg=AFQjCNH92t4Yd3lyv_s7oYB57a7myng3sA" TargetMode="External"/><Relationship Id="rId2386" Type="http://schemas.openxmlformats.org/officeDocument/2006/relationships/hyperlink" Target="https://www.google.com/url?q=http://codeforces.com/contest/106/problem/D&amp;sa=D&amp;ust=1605639552962000&amp;usg=AFQjCNHmLECcO7rKHehIZthRgGfReQ8Klw" TargetMode="External"/><Relationship Id="rId2593" Type="http://schemas.openxmlformats.org/officeDocument/2006/relationships/hyperlink" Target="https://www.google.com/url?q=http://codeforces.com/contest/546/problem/C&amp;sa=D&amp;ust=1605639553083000&amp;usg=AFQjCNG0r9eDS2tMM480DYuUg9S7AnDQag" TargetMode="External"/><Relationship Id="rId3437" Type="http://schemas.openxmlformats.org/officeDocument/2006/relationships/hyperlink" Target="https://www.google.com/url?q=https://github.com/goswami-rahul/competitive-coding/blob/master/CompetitiveProgramming/spoj/ITRIX_E.py&amp;sa=D&amp;ust=1605639553575000&amp;usg=AFQjCNGIHa4krqsVDbMOkW9QTp2fnCiflA" TargetMode="External"/><Relationship Id="rId3644" Type="http://schemas.openxmlformats.org/officeDocument/2006/relationships/hyperlink" Target="https://www.google.com/url?q=https://github.com/mostafa-saad/MyCompetitiveProgramming/blob/master/LiveArchive/LIVEARCHIVE_4008.txt&amp;sa=D&amp;ust=1605639553761000&amp;usg=AFQjCNFKXs7776BWe8kgxQ-qFqScTMCABQ" TargetMode="External"/><Relationship Id="rId3851" Type="http://schemas.openxmlformats.org/officeDocument/2006/relationships/hyperlink" Target="https://www.google.com/url?q=http://codeforces.com/gym/101864/attachments/download/7365/2018-bacs-contest-replay-en.pdf&amp;sa=D&amp;ust=1605639553893000&amp;usg=AFQjCNFFtW1zN7GcTxU0iP2oDs4kQe0xKw" TargetMode="External"/><Relationship Id="rId358" Type="http://schemas.openxmlformats.org/officeDocument/2006/relationships/hyperlink" Target="https://www.google.com/url?q=http://codeforces.com/contest/518/problem/C&amp;sa=D&amp;ust=1605639551795000&amp;usg=AFQjCNEiN-btHJE7Fi6YlUVt-1pIQxZ9VA" TargetMode="External"/><Relationship Id="rId565" Type="http://schemas.openxmlformats.org/officeDocument/2006/relationships/hyperlink" Target="https://www.google.com/url?q=https://www.codechef.com/problems/MUPDO&amp;sa=D&amp;ust=1605639551913000&amp;usg=AFQjCNFGfjRr25Zl-VfE9ZINB6rj2xbm3w" TargetMode="External"/><Relationship Id="rId772" Type="http://schemas.openxmlformats.org/officeDocument/2006/relationships/hyperlink" Target="https://www.google.com/url?q=http://www.spoj.com/problems/ANDROUND&amp;sa=D&amp;ust=1605639551999000&amp;usg=AFQjCNGzSlnxmJ7T1pIqzWKjBUDiFTalgA" TargetMode="External"/><Relationship Id="rId1195" Type="http://schemas.openxmlformats.org/officeDocument/2006/relationships/hyperlink" Target="https://www.google.com/url?q=https://github.com/HeartBlue/CompetitiveProgramming/blob/master/UVA/UVA%252011026%2520A%2520Grouping%2520Problem.cpp&amp;sa=D&amp;ust=1605639552240000&amp;usg=AFQjCNE8_6R-jKbwzxqAwA60Ff3vvzH46A" TargetMode="External"/><Relationship Id="rId2039" Type="http://schemas.openxmlformats.org/officeDocument/2006/relationships/hyperlink" Target="https://www.google.com/url?q=http://codeforces.com/contest/442/problem/E&amp;sa=D&amp;ust=1605639552762000&amp;usg=AFQjCNFFMyInYIpYpVTut3X6AWYn0J7NVQ" TargetMode="External"/><Relationship Id="rId2246" Type="http://schemas.openxmlformats.org/officeDocument/2006/relationships/hyperlink" Target="https://www.google.com/url?q=https://github.com/MohamedNabil97/CompetitiveProgramming/blob/master/UVA/105.cpp&amp;sa=D&amp;ust=1605639552895000&amp;usg=AFQjCNFt302ESlw01VNNC3qDcAEF_t5IBg" TargetMode="External"/><Relationship Id="rId2453" Type="http://schemas.openxmlformats.org/officeDocument/2006/relationships/hyperlink" Target="https://www.google.com/url?q=https://github.com/cacophonix/SPOJ/blob/master/MLASERP.cpp&amp;sa=D&amp;ust=1605639552997000&amp;usg=AFQjCNHvDQ1YsRH0mREat6Nll3pMeuUr-w" TargetMode="External"/><Relationship Id="rId2660" Type="http://schemas.openxmlformats.org/officeDocument/2006/relationships/hyperlink" Target="https://www.google.com/url?q=http://codeforces.com/contest/92/problem/E&amp;sa=D&amp;ust=1605639553128000&amp;usg=AFQjCNFW6pK2JUYcFI_QiasPLNUxc98rSA" TargetMode="External"/><Relationship Id="rId3504" Type="http://schemas.openxmlformats.org/officeDocument/2006/relationships/hyperlink" Target="https://www.google.com/url?q=https://github.com/mostafa-saad/MyCompetitiveProgramming/blob/master/Timus/TIMUS_1675.txt&amp;sa=D&amp;ust=1605639553629000&amp;usg=AFQjCNHEQen4vpUIWF4Duz9JpCpGTY2r5g" TargetMode="External"/><Relationship Id="rId3711" Type="http://schemas.openxmlformats.org/officeDocument/2006/relationships/hyperlink" Target="https://www.google.com/url?q=https://github.com/mostafa-saad/MyCompetitiveProgramming/blob/master/LiveArchive/LIVEARCHIVE_3343.txt&amp;sa=D&amp;ust=1605639553803000&amp;usg=AFQjCNGSxtgToVOKL9TJ57twCtv_ZFa8Nw" TargetMode="External"/><Relationship Id="rId218" Type="http://schemas.openxmlformats.org/officeDocument/2006/relationships/hyperlink" Target="https://www.google.com/url?q=http://codeforces.com/contest/490/problem/C&amp;sa=D&amp;ust=1605639551689000&amp;usg=AFQjCNEaaRDV3rO4tNhvAGNIJ3oaOqFVEw" TargetMode="External"/><Relationship Id="rId425" Type="http://schemas.openxmlformats.org/officeDocument/2006/relationships/hyperlink" Target="https://www.google.com/url?q=https://codeforces.com/contest/1114/problem/E&amp;sa=D&amp;ust=1605639551852000&amp;usg=AFQjCNHI-YYq1Ss0sBX7IVEXjY_3FIM7Kw" TargetMode="External"/><Relationship Id="rId632" Type="http://schemas.openxmlformats.org/officeDocument/2006/relationships/hyperlink" Target="https://www.google.com/url?q=http://codeforces.com/contest/786/problem/C&amp;sa=D&amp;ust=1605639551936000&amp;usg=AFQjCNG0UflEzjAZfG2NW-G9Oiyad6uiTw" TargetMode="External"/><Relationship Id="rId1055" Type="http://schemas.openxmlformats.org/officeDocument/2006/relationships/hyperlink" Target="https://www.google.com/url?q=http://codeforces.com/contest/476/problem/E&amp;sa=D&amp;ust=1605639552150000&amp;usg=AFQjCNG4oLx47vSlKZqMi85QgFiwwuXY9w" TargetMode="External"/><Relationship Id="rId1262" Type="http://schemas.openxmlformats.org/officeDocument/2006/relationships/hyperlink" Target="https://www.google.com/url?q=http://codeforces.com/gym/100283/problem/C&amp;sa=D&amp;ust=1605639552297000&amp;usg=AFQjCNE2HWWV6u_0JaCVC0jzpolvY9qDgA" TargetMode="External"/><Relationship Id="rId2106" Type="http://schemas.openxmlformats.org/officeDocument/2006/relationships/hyperlink" Target="https://www.google.com/url?q=https://github.com/AbdelrahmanRamadan/competitive-programming/blob/master/UVA/10902-Pick-up-Sticks.cpp&amp;sa=D&amp;ust=1605639552808000&amp;usg=AFQjCNFO34mbk_xoFRZxo8LXfAi7O0Iudg" TargetMode="External"/><Relationship Id="rId2313" Type="http://schemas.openxmlformats.org/officeDocument/2006/relationships/hyperlink" Target="https://www.google.com/url?q=https://github.com/Evilandrew228/CompetitiveProgramming/blob/master/CF1199-D2-E&amp;sa=D&amp;ust=1605639552933000&amp;usg=AFQjCNF8ZlwqCYyNxr2y0_NVwK03Dl8Hzw" TargetMode="External"/><Relationship Id="rId2520" Type="http://schemas.openxmlformats.org/officeDocument/2006/relationships/hyperlink" Target="https://www.google.com/url?q=http://codeforces.com/contest/348/problem/B&amp;sa=D&amp;ust=1605639553042000&amp;usg=AFQjCNFiJTjgkslPybR0uZn6AV-FQJD30Q" TargetMode="External"/><Relationship Id="rId1122" Type="http://schemas.openxmlformats.org/officeDocument/2006/relationships/hyperlink" Target="https://www.google.com/url?q=https://codeforces.com/contest/1241/problem/D&amp;sa=D&amp;ust=1605639552193000&amp;usg=AFQjCNHL1K1bvjSkC8vmiiMM8_MZkdidtw" TargetMode="External"/><Relationship Id="rId4278" Type="http://schemas.openxmlformats.org/officeDocument/2006/relationships/hyperlink" Target="https://www.google.com/url?q=https://github.com/mostafa-saad/MyCompetitiveProgramming/blob/master/SPOJ/SPOJ_ACQUIRE.txt&amp;sa=D&amp;ust=1605639554277000&amp;usg=AFQjCNFVQHyYP-IJMP_TZaQ-_HsBhSjkow" TargetMode="External"/><Relationship Id="rId3087" Type="http://schemas.openxmlformats.org/officeDocument/2006/relationships/hyperlink" Target="https://www.google.com/url?q=http://codeforces.com/contest/33/submission/142981&amp;sa=D&amp;ust=1605639553365000&amp;usg=AFQjCNFlkDOKwm7CXxVQb_YdAotd86OVbQ" TargetMode="External"/><Relationship Id="rId3294" Type="http://schemas.openxmlformats.org/officeDocument/2006/relationships/hyperlink" Target="https://www.google.com/url?q=https://uva.onlinejudge.org/index.php?option%3Donlinejudge%26page%3Dshow_problem%26problem%3D654&amp;sa=D&amp;ust=1605639553478000&amp;usg=AFQjCNEVN8xaGBy6Ly5hHLQeYD3S1iNuXg" TargetMode="External"/><Relationship Id="rId4138" Type="http://schemas.openxmlformats.org/officeDocument/2006/relationships/hyperlink" Target="https://www.google.com/url?q=https://csacademy.com/contest/round-60/task/digit-permutation/&amp;sa=D&amp;ust=1605639554200000&amp;usg=AFQjCNEOV-HZLWoddjqDTXCfsc8H_K_I7w" TargetMode="External"/><Relationship Id="rId4345" Type="http://schemas.openxmlformats.org/officeDocument/2006/relationships/hyperlink" Target="https://www.google.com/url?q=https://www.codechef.com/problems/CSS&amp;sa=D&amp;ust=1605639554302000&amp;usg=AFQjCNHZlxEO5Ecbnaf54mM2fWGko-iB6w" TargetMode="External"/><Relationship Id="rId1939" Type="http://schemas.openxmlformats.org/officeDocument/2006/relationships/hyperlink" Target="https://www.google.com/url?q=https://codeforces.com/gym/100112/attachments&amp;sa=D&amp;ust=1605639552703000&amp;usg=AFQjCNEY_QvJMeXmiXJX0mqvMJ8eykEf0w" TargetMode="External"/><Relationship Id="rId3154" Type="http://schemas.openxmlformats.org/officeDocument/2006/relationships/hyperlink" Target="https://www.google.com/url?q=https://www.hackerrank.com/contests/world-codesprint-13/challenges/balanced-sequence&amp;sa=D&amp;ust=1605639553407000&amp;usg=AFQjCNEGDEHGvtMHO_Bicnzql0VyfBF9hw" TargetMode="External"/><Relationship Id="rId3361" Type="http://schemas.openxmlformats.org/officeDocument/2006/relationships/hyperlink" Target="https://www.google.com/url?q=https://codeforces.com/contest/616/problem/E&amp;sa=D&amp;ust=1605639553528000&amp;usg=AFQjCNHPiwLC78BN89bn3tWezxqTREPoJg" TargetMode="External"/><Relationship Id="rId4205" Type="http://schemas.openxmlformats.org/officeDocument/2006/relationships/hyperlink" Target="https://www.google.com/url?q=https://www.codechef.com/problems/QTREE6&amp;sa=D&amp;ust=1605639554243000&amp;usg=AFQjCNGEHp9uswTOP_1CKIWEpLpoRRQ36A" TargetMode="External"/><Relationship Id="rId4412" Type="http://schemas.openxmlformats.org/officeDocument/2006/relationships/hyperlink" Target="https://www.google.com/url?q=https://www.spoj.com/problems/VOCV/&amp;sa=D&amp;ust=1605639554335000&amp;usg=AFQjCNFnkrd7uxAJv8bqAYS0Mu6TZdJQCw" TargetMode="External"/><Relationship Id="rId282" Type="http://schemas.openxmlformats.org/officeDocument/2006/relationships/hyperlink" Target="https://www.google.com/url?q=https://github.com/mostafa-saad/MyCompetitiveProgramming/blob/master/SPOJ/SPOJ_SFLIP.txt&amp;sa=D&amp;ust=1605639551749000&amp;usg=AFQjCNHTpPK23hIL597gro2XEwhAUzik7A" TargetMode="External"/><Relationship Id="rId2170" Type="http://schemas.openxmlformats.org/officeDocument/2006/relationships/hyperlink" Target="https://www.google.com/url?q=http://codeforces.com/blog/entry/63070&amp;sa=D&amp;ust=1605639552850000&amp;usg=AFQjCNEIZSOJ4wQ0eotXpRXGwYhGe8OzPw" TargetMode="External"/><Relationship Id="rId3014" Type="http://schemas.openxmlformats.org/officeDocument/2006/relationships/hyperlink" Target="https://www.google.com/url?q=https://codeforces.com/contest/1218/problem/I&amp;sa=D&amp;ust=1605639553327000&amp;usg=AFQjCNE2k9fSPHk7jkfAyfsstuZvZ6vsgw" TargetMode="External"/><Relationship Id="rId3221" Type="http://schemas.openxmlformats.org/officeDocument/2006/relationships/hyperlink" Target="https://www.google.com/url?q=http://codeforces.com/contest/520/problem/C&amp;sa=D&amp;ust=1605639553437000&amp;usg=AFQjCNHuwqyhLTR3a1IZYu1-0CmCiu6IpQ" TargetMode="External"/><Relationship Id="rId8" Type="http://schemas.openxmlformats.org/officeDocument/2006/relationships/hyperlink" Target="https://www.google.com/url?q=https://codeforces.com/contest/930/problem/D&amp;sa=D&amp;ust=1605639551566000&amp;usg=AFQjCNEW4yWrr800gr3XTNCahtuCzaHMBw" TargetMode="External"/><Relationship Id="rId142" Type="http://schemas.openxmlformats.org/officeDocument/2006/relationships/hyperlink" Target="https://www.google.com/url?q=http://codeforces.com/contest/479/problem/D&amp;sa=D&amp;ust=1605639551638000&amp;usg=AFQjCNFkbZrIOMuPUbTG46UsF0Lb5NYrDA" TargetMode="External"/><Relationship Id="rId2030" Type="http://schemas.openxmlformats.org/officeDocument/2006/relationships/hyperlink" Target="https://www.google.com/url?q=https://uva.onlinejudge.org/index.php?option%3Donlinejudge%26page%3Dshow_problem%26problem%3D1183&amp;sa=D&amp;ust=1605639552752000&amp;usg=AFQjCNFRqKvg6ytJjQ2q6232sWu4s9UGlQ" TargetMode="External"/><Relationship Id="rId2987" Type="http://schemas.openxmlformats.org/officeDocument/2006/relationships/hyperlink" Target="https://www.google.com/url?q=https://uva.onlinejudge.org/index.php?option%3Donlinejudge%26page%3Dshow_problem%26problem%3D2499&amp;sa=D&amp;ust=1605639553313000&amp;usg=AFQjCNGKJ4AmO5tMFmtsKTVummMHXYcybA" TargetMode="External"/><Relationship Id="rId959" Type="http://schemas.openxmlformats.org/officeDocument/2006/relationships/hyperlink" Target="https://www.google.com/url?q=http://codeforces.com/contest/801/problem/E&amp;sa=D&amp;ust=1605639552105000&amp;usg=AFQjCNEwJsjiljyB2-fOlGyODlXcSggDmA" TargetMode="External"/><Relationship Id="rId1589" Type="http://schemas.openxmlformats.org/officeDocument/2006/relationships/hyperlink" Target="https://www.google.com/url?q=http://codeforces.com/contest/427/problem/E&amp;sa=D&amp;ust=1605639552496000&amp;usg=AFQjCNFyCB4ZLKpJDIbbat-kw6eTm7W8xQ" TargetMode="External"/><Relationship Id="rId1449" Type="http://schemas.openxmlformats.org/officeDocument/2006/relationships/hyperlink" Target="https://www.google.com/url?q=http://codeforces.com/contest/16/problem/E&amp;sa=D&amp;ust=1605639552415000&amp;usg=AFQjCNF523JCV1d3Kxj4UnzB50Pvmf_NYA" TargetMode="External"/><Relationship Id="rId1796" Type="http://schemas.openxmlformats.org/officeDocument/2006/relationships/hyperlink" Target="https://www.google.com/url?q=https://pastebin.com/udLvZbc9&amp;sa=D&amp;ust=1605639552611000&amp;usg=AFQjCNGnjBUA8H13N0Jp9qhW3iAnr-u8dA" TargetMode="External"/><Relationship Id="rId2847" Type="http://schemas.openxmlformats.org/officeDocument/2006/relationships/hyperlink" Target="https://www.google.com/url?q=https://github.com/mostafa-saad/MyCompetitiveProgramming/blob/master/Timus/TIMUS_2038.txt&amp;sa=D&amp;ust=1605639553236000&amp;usg=AFQjCNHXzErqlmIKBJs59wg0yuDhSGE4Rg" TargetMode="External"/><Relationship Id="rId4062" Type="http://schemas.openxmlformats.org/officeDocument/2006/relationships/hyperlink" Target="https://www.google.com/url?q=https://codeforces.com/contest/1245/problem/F&amp;sa=D&amp;ust=1605639554156000&amp;usg=AFQjCNEAy4iKOpmFMTUdePnho-nmGbcDhQ" TargetMode="External"/><Relationship Id="rId88" Type="http://schemas.openxmlformats.org/officeDocument/2006/relationships/hyperlink" Target="https://www.google.com/url?q=https://codeforces.com/contest/1174/problem/D&amp;sa=D&amp;ust=1605639551604000&amp;usg=AFQjCNFh7Pk7TAg1c4N2PlCkjMYbUI22Qg" TargetMode="External"/><Relationship Id="rId819" Type="http://schemas.openxmlformats.org/officeDocument/2006/relationships/hyperlink" Target="https://www.google.com/url?q=https://codeforces.com/contest/1093/problem/E&amp;sa=D&amp;ust=1605639552025000&amp;usg=AFQjCNHSyaaSumK0NJPZR53zyLQp5NGQqg" TargetMode="External"/><Relationship Id="rId1656" Type="http://schemas.openxmlformats.org/officeDocument/2006/relationships/hyperlink" Target="https://www.google.com/url?q=http://codeforces.com/gym/100883/problem/h?mobile%3Dtrue&amp;sa=D&amp;ust=1605639552533000&amp;usg=AFQjCNHGXfNyVtcLu9KpeqMD5CZNGdTxsw" TargetMode="External"/><Relationship Id="rId1863" Type="http://schemas.openxmlformats.org/officeDocument/2006/relationships/hyperlink" Target="https://www.google.com/url?q=https://github.com/arvindr9/CompetitiveProgramming/blob/master/CodeForces/CF87-D1-C.cpp&amp;sa=D&amp;ust=1605639552645000&amp;usg=AFQjCNE8v37fsNq1ThFwG4Zijrtq98HQ-w" TargetMode="External"/><Relationship Id="rId2707" Type="http://schemas.openxmlformats.org/officeDocument/2006/relationships/hyperlink" Target="https://www.google.com/url?q=https://codeforces.com/contest/1131/problem/F&amp;sa=D&amp;ust=1605639553150000&amp;usg=AFQjCNE3vKTEt9Xhay-R_Z_Z1d0uMWqrKg" TargetMode="External"/><Relationship Id="rId2914" Type="http://schemas.openxmlformats.org/officeDocument/2006/relationships/hyperlink" Target="https://www.google.com/url?q=http://codeforces.com/contest/863/problem/F&amp;sa=D&amp;ust=1605639553271000&amp;usg=AFQjCNFRdXixjFhDukIeORBjthO-CE7yhg" TargetMode="External"/><Relationship Id="rId1309" Type="http://schemas.openxmlformats.org/officeDocument/2006/relationships/hyperlink" Target="https://www.google.com/url?q=https://github.com/mostafa-saad/MyCompetitiveProgramming/blob/master/LiveArchive/LIVEARCHIVE_4970.txt&amp;sa=D&amp;ust=1605639552320000&amp;usg=AFQjCNGSHbWy2bFReY3ABu6gsG1Q3i-ncw" TargetMode="External"/><Relationship Id="rId1516" Type="http://schemas.openxmlformats.org/officeDocument/2006/relationships/hyperlink" Target="https://www.google.com/url?q=http://codeforces.com/problemset/problem/1012/D&amp;sa=D&amp;ust=1605639552457000&amp;usg=AFQjCNHvnqOcldnRPFXnm7qPmlqde6jzHA" TargetMode="External"/><Relationship Id="rId1723" Type="http://schemas.openxmlformats.org/officeDocument/2006/relationships/hyperlink" Target="https://www.google.com/url?q=http://codeforces.com/contest/445/problem/C&amp;sa=D&amp;ust=1605639552573000&amp;usg=AFQjCNExSYP0uEZgznY2nvZQnyycTU5AvA" TargetMode="External"/><Relationship Id="rId1930" Type="http://schemas.openxmlformats.org/officeDocument/2006/relationships/hyperlink" Target="https://www.google.com/url?q=https://codeforces.com/contest/600/problem/D&amp;sa=D&amp;ust=1605639552697000&amp;usg=AFQjCNE3lawUzEYao610waj6ZJaSYvl72w" TargetMode="External"/><Relationship Id="rId15" Type="http://schemas.openxmlformats.org/officeDocument/2006/relationships/hyperlink" Target="https://www.google.com/url?q=http://codeforces.com/contest/914/problem/F&amp;sa=D&amp;ust=1605639551568000&amp;usg=AFQjCNG8dcYScqZ1HpS8Vmjv9UbPzh73Zw" TargetMode="External"/><Relationship Id="rId3688" Type="http://schemas.openxmlformats.org/officeDocument/2006/relationships/hyperlink" Target="https://www.google.com/url?q=https://github.com/Huvok/CompetitiveProgramming/blob/master/Codeforces/CF17-D12-D.cpp&amp;sa=D&amp;ust=1605639553791000&amp;usg=AFQjCNExlOWZKrSNcwip97N3b-epUd7oCg" TargetMode="External"/><Relationship Id="rId3895" Type="http://schemas.openxmlformats.org/officeDocument/2006/relationships/hyperlink" Target="https://www.google.com/url?q=https://codeforces.com/contest/840/problem/D&amp;sa=D&amp;ust=1605639553916000&amp;usg=AFQjCNHM-LjhlPt9GMeJh294R3kMU1ejNA" TargetMode="External"/><Relationship Id="rId2497" Type="http://schemas.openxmlformats.org/officeDocument/2006/relationships/hyperlink" Target="https://www.google.com/url?q=https://github.com/ilyesG/Competitive-Programming/blob/master/UVA/UVA%252010308.cpp&amp;sa=D&amp;ust=1605639553030000&amp;usg=AFQjCNFDXED5FfyTjOOSyynfEZo0Vah-Jg" TargetMode="External"/><Relationship Id="rId3548" Type="http://schemas.openxmlformats.org/officeDocument/2006/relationships/hyperlink" Target="https://www.google.com/url?q=http://codeforces.com/contest/593/problem/E&amp;sa=D&amp;ust=1605639553686000&amp;usg=AFQjCNH0aRYkO13aZkeamsUnmkAtNKfrEw" TargetMode="External"/><Relationship Id="rId3755" Type="http://schemas.openxmlformats.org/officeDocument/2006/relationships/hyperlink" Target="https://www.google.com/url?q=https://github.com/ahmed-osama-iv/CompetitiveProgramming/blob/master/LiveArchive/8015.cpp&amp;sa=D&amp;ust=1605639553833000&amp;usg=AFQjCNFeBs6_oHvflBKPedqKpum65mUnWw" TargetMode="External"/><Relationship Id="rId469" Type="http://schemas.openxmlformats.org/officeDocument/2006/relationships/hyperlink" Target="https://www.google.com/url?q=http://codeforces.com/contest/492/problem/D&amp;sa=D&amp;ust=1605639551872000&amp;usg=AFQjCNErkUQWdtPgr6mAU2wqN36smSlIVw" TargetMode="External"/><Relationship Id="rId676" Type="http://schemas.openxmlformats.org/officeDocument/2006/relationships/hyperlink" Target="https://www.google.com/url?q=http://codeforces.com/contest/462/problem/E&amp;sa=D&amp;ust=1605639551953000&amp;usg=AFQjCNHATOIV4jMK-8toOsXni37RF-NXoA" TargetMode="External"/><Relationship Id="rId883" Type="http://schemas.openxmlformats.org/officeDocument/2006/relationships/hyperlink" Target="https://www.google.com/url?q=https://github.com/mostafa-saad/MyCompetitiveProgramming/blob/master/SPOJ/SPOJ_MSE06H.txt&amp;sa=D&amp;ust=1605639552060000&amp;usg=AFQjCNHORsXHOSDiEPufBEEJjsa7oeuv1A" TargetMode="External"/><Relationship Id="rId1099" Type="http://schemas.openxmlformats.org/officeDocument/2006/relationships/hyperlink" Target="https://www.google.com/url?q=https://github.com/3agwa/CompetitiveProgramming/blob/master/TopCoder/SRM366-D1-1000.cpp&amp;sa=D&amp;ust=1605639552177000&amp;usg=AFQjCNG7NzA9PotDMm1gXjPPZC52brqh0g" TargetMode="External"/><Relationship Id="rId2357" Type="http://schemas.openxmlformats.org/officeDocument/2006/relationships/hyperlink" Target="https://www.google.com/url?q=https://codeforces.com/contest/154/problem/C&amp;sa=D&amp;ust=1605639552949000&amp;usg=AFQjCNFYJTU6OAS_HjNH2D8R3ouI8xTXxg" TargetMode="External"/><Relationship Id="rId2564" Type="http://schemas.openxmlformats.org/officeDocument/2006/relationships/hyperlink" Target="https://www.google.com/url?q=http://codeforces.com/contest/915/problem/D&amp;sa=D&amp;ust=1605639553067000&amp;usg=AFQjCNH3AsVgUBOBWy7FIXRwwodKMPS6Rg" TargetMode="External"/><Relationship Id="rId3408" Type="http://schemas.openxmlformats.org/officeDocument/2006/relationships/hyperlink" Target="https://www.google.com/url?q=https://codeforces.com/contest/690/problem/D2&amp;sa=D&amp;ust=1605639553557000&amp;usg=AFQjCNFItQ9WbALOlCNvKqNT4mjg0qKOuA" TargetMode="External"/><Relationship Id="rId3615" Type="http://schemas.openxmlformats.org/officeDocument/2006/relationships/hyperlink" Target="https://www.google.com/url?q=https://github.com/AliOsm/CompetitiveProgramming/blob/master/TopCoder/SRM153-D1-450.cpp&amp;sa=D&amp;ust=1605639553741000&amp;usg=AFQjCNHvjUPe-aD0z0JeqE_6flXUOK4KmA" TargetMode="External"/><Relationship Id="rId3962" Type="http://schemas.openxmlformats.org/officeDocument/2006/relationships/hyperlink" Target="https://www.google.com/url?q=http://codeforces.com/contest/382/problem/C&amp;sa=D&amp;ust=1605639553949000&amp;usg=AFQjCNEuSjC3uvXGCmtAZbjTRn0ssz0mvQ" TargetMode="External"/><Relationship Id="rId329" Type="http://schemas.openxmlformats.org/officeDocument/2006/relationships/hyperlink" Target="https://www.google.com/url?q=https://codeforces.com/contest/817/submission/47359168&amp;sa=D&amp;ust=1605639551771000&amp;usg=AFQjCNHK_AxM_kMTxuAmj4Rtz8T9zGqTzQ" TargetMode="External"/><Relationship Id="rId536" Type="http://schemas.openxmlformats.org/officeDocument/2006/relationships/hyperlink" Target="https://www.google.com/url?q=http://codeforces.com/contest/888/problem/E&amp;sa=D&amp;ust=1605639551902000&amp;usg=AFQjCNGWe9nw_H8uTbsnOvAGCsz95T0K0g" TargetMode="External"/><Relationship Id="rId1166" Type="http://schemas.openxmlformats.org/officeDocument/2006/relationships/hyperlink" Target="https://www.google.com/url?q=http://codeforces.com/contest/706/problem/C&amp;sa=D&amp;ust=1605639552222000&amp;usg=AFQjCNFjq_8bo85VcQwFMhuqzNd30gyfrg" TargetMode="External"/><Relationship Id="rId1373" Type="http://schemas.openxmlformats.org/officeDocument/2006/relationships/hyperlink" Target="https://www.google.com/url?q=https://codeforces.com/contest/1204/problem/E&amp;sa=D&amp;ust=1605639552359000&amp;usg=AFQjCNHXXpyprtX7YnaNnDLoRhFnPaegMw" TargetMode="External"/><Relationship Id="rId2217" Type="http://schemas.openxmlformats.org/officeDocument/2006/relationships/hyperlink" Target="https://www.google.com/url?q=https://github.com/DrSchwad/CompetitiveProgramming/blob/master/UVA/UVA%252010613.cpp&amp;sa=D&amp;ust=1605639552880000&amp;usg=AFQjCNGC2pGMur8Hqa_W_bLRZabC9U6Xww" TargetMode="External"/><Relationship Id="rId2771" Type="http://schemas.openxmlformats.org/officeDocument/2006/relationships/hyperlink" Target="https://www.google.com/url?q=https://uva.onlinejudge.org/index.php?option%3Donlinejudge%26page%3Dshow_problem%26problem%3D1757&amp;sa=D&amp;ust=1605639553191000&amp;usg=AFQjCNFBoLr2pq8_apiV5Ptgksbp-Zjf2Q" TargetMode="External"/><Relationship Id="rId3822" Type="http://schemas.openxmlformats.org/officeDocument/2006/relationships/hyperlink" Target="https://www.google.com/url?q=https://www.codechef.com/problems/MOU1H&amp;sa=D&amp;ust=1605639553879000&amp;usg=AFQjCNE7i8478e4LAixB3sgVXpbSBqpE_w" TargetMode="External"/><Relationship Id="rId743" Type="http://schemas.openxmlformats.org/officeDocument/2006/relationships/hyperlink" Target="https://www.google.com/url?q=https://github.com/guskal01/CompetitiveProgramming/blob/master/CodeForces/CF102154-GYM-B.cpp&amp;sa=D&amp;ust=1605639551984000&amp;usg=AFQjCNFkx30OGwHP4RgwXDjdQVHIz2iZKA" TargetMode="External"/><Relationship Id="rId950" Type="http://schemas.openxmlformats.org/officeDocument/2006/relationships/hyperlink" Target="https://www.google.com/url?q=http://codeforces.com/contest/352/problem/E&amp;sa=D&amp;ust=1605639552101000&amp;usg=AFQjCNEM6ljM0mrvLIBxNuwGpHn7-ta97Q" TargetMode="External"/><Relationship Id="rId1026" Type="http://schemas.openxmlformats.org/officeDocument/2006/relationships/hyperlink" Target="https://www.google.com/url?q=https://atcoder.jp/contests/abc145/tasks/abc145_f&amp;sa=D&amp;ust=1605639552138000&amp;usg=AFQjCNGYzpYNpD763OXVy3ADe80qmqxFbQ" TargetMode="External"/><Relationship Id="rId1580" Type="http://schemas.openxmlformats.org/officeDocument/2006/relationships/hyperlink" Target="https://www.google.com/url?q=http://codeforces.com/problemset/problem/463/E&amp;sa=D&amp;ust=1605639552490000&amp;usg=AFQjCNG_j16QmWwNwOc3BGEuunEvgUWiXw" TargetMode="External"/><Relationship Id="rId2424" Type="http://schemas.openxmlformats.org/officeDocument/2006/relationships/hyperlink" Target="https://www.google.com/url?q=https://codeforces.com/contest/187/problem/C&amp;sa=D&amp;ust=1605639552981000&amp;usg=AFQjCNEBhFEwleJ5n9tVkC0yNHAbRf-Wlg" TargetMode="External"/><Relationship Id="rId2631" Type="http://schemas.openxmlformats.org/officeDocument/2006/relationships/hyperlink" Target="https://www.google.com/url?q=http://codeforces.com/gym/100959&amp;sa=D&amp;ust=1605639553111000&amp;usg=AFQjCNFaAjkTFHasablF_xJX5Wm958R2mw" TargetMode="External"/><Relationship Id="rId4389" Type="http://schemas.openxmlformats.org/officeDocument/2006/relationships/hyperlink" Target="https://www.google.com/url?q=http://codeforces.com/contest/791/problem/D&amp;sa=D&amp;ust=1605639554322000&amp;usg=AFQjCNF-Bm39rYgqwxcqNchOPGTzwotrvg" TargetMode="External"/><Relationship Id="rId603" Type="http://schemas.openxmlformats.org/officeDocument/2006/relationships/hyperlink" Target="https://www.google.com/url?q=http://codeforces.com/contest/849/problem/E&amp;sa=D&amp;ust=1605639551927000&amp;usg=AFQjCNHeWLyxoAR79Oa5p2n-hfyno7gPdg" TargetMode="External"/><Relationship Id="rId810" Type="http://schemas.openxmlformats.org/officeDocument/2006/relationships/hyperlink" Target="https://www.google.com/url?q=http://www.spoj.com/problems/CDC12_H&amp;sa=D&amp;ust=1605639552018000&amp;usg=AFQjCNFadg1_57EzC-Gv7mfT2fqowGuKPQ" TargetMode="External"/><Relationship Id="rId1233" Type="http://schemas.openxmlformats.org/officeDocument/2006/relationships/hyperlink" Target="https://www.google.com/url?q=http://codeforces.com/contest/351/problem/C&amp;sa=D&amp;ust=1605639552272000&amp;usg=AFQjCNG2d-76F7DhpnvG8uNO4DWK-TIjLA" TargetMode="External"/><Relationship Id="rId1440" Type="http://schemas.openxmlformats.org/officeDocument/2006/relationships/hyperlink" Target="https://www.google.com/url?q=http://codeforces.com/contest/768/problem/D&amp;sa=D&amp;ust=1605639552411000&amp;usg=AFQjCNGolmo5vgMglQbSbD0wpuI3u04I1A" TargetMode="External"/><Relationship Id="rId1300" Type="http://schemas.openxmlformats.org/officeDocument/2006/relationships/hyperlink" Target="https://www.google.com/url?q=https://www.codechef.com/problems/FAVGAME&amp;sa=D&amp;ust=1605639552317000&amp;usg=AFQjCNF5hEWxcSWGJvn94rxgOa1Y6WExag" TargetMode="External"/><Relationship Id="rId3198" Type="http://schemas.openxmlformats.org/officeDocument/2006/relationships/hyperlink" Target="https://www.google.com/url?q=https://github.com/ahmedsamir221/CompetitiveProgramming/blob/master/CodeForces/CF701-D2-D.cpp&amp;sa=D&amp;ust=1605639553426000&amp;usg=AFQjCNG3Nw7c1TNM8MdE-nw_oDVkX_17XA" TargetMode="External"/><Relationship Id="rId4249" Type="http://schemas.openxmlformats.org/officeDocument/2006/relationships/hyperlink" Target="https://www.google.com/url?q=http://codeforces.com/contest/377/problem/E&amp;sa=D&amp;ust=1605639554264000&amp;usg=AFQjCNHJYst_82qtmDY9BDk2Jp8OmeVJ5g" TargetMode="External"/><Relationship Id="rId4456" Type="http://schemas.openxmlformats.org/officeDocument/2006/relationships/hyperlink" Target="https://www.google.com/url?q=https://www.hackerearth.com/practice/algorithms/dynamic-programming/2-dimensional/practice-problems/algorithm/uchiha-brothers-and-two-products-circuit/&amp;sa=D&amp;ust=1605639554309000&amp;usg=AFQjCNHeUilzfZz9lfcDimXv7c0_D-GhSw" TargetMode="External"/><Relationship Id="rId3058" Type="http://schemas.openxmlformats.org/officeDocument/2006/relationships/hyperlink" Target="https://www.google.com/url?q=http://codeforces.com/contest/1000/problem/G&amp;sa=D&amp;ust=1605639553354000&amp;usg=AFQjCNG1q6J3dgFCS8XLdLht9VqPRog3OQ" TargetMode="External"/><Relationship Id="rId3265" Type="http://schemas.openxmlformats.org/officeDocument/2006/relationships/hyperlink" Target="https://www.google.com/url?q=https://uva.onlinejudge.org/index.php?option%3Dcom_onlinejudge%26Itemid%3D8%26page%3Dshow_problem%26problem%3D1917&amp;sa=D&amp;ust=1605639553462000&amp;usg=AFQjCNEB_qoY4VuK8JFnJS0bo99rS683uw" TargetMode="External"/><Relationship Id="rId3472" Type="http://schemas.openxmlformats.org/officeDocument/2006/relationships/hyperlink" Target="https://www.google.com/url?q=https://community.topcoder.com/stat?c%3Dproblem_statement%26pm%3D15211&amp;sa=D&amp;ust=1605639553600000&amp;usg=AFQjCNGkQBwqjDN8fFPKXwhLhjKO-oKAKg" TargetMode="External"/><Relationship Id="rId4109" Type="http://schemas.openxmlformats.org/officeDocument/2006/relationships/hyperlink" Target="https://www.google.com/url?q=https://uva.onlinejudge.org/index.php?option%3Dcom_onlinejudge%26Itemid%3D8%26page%3Dshow_problem%26problem%3D793&amp;sa=D&amp;ust=1605639554182000&amp;usg=AFQjCNEiH8l2U1lOqDJeeD8GKMaHmsUz0g" TargetMode="External"/><Relationship Id="rId4316" Type="http://schemas.openxmlformats.org/officeDocument/2006/relationships/hyperlink" Target="https://www.google.com/url?q=http://codeforces.com/contest/797/problem/E&amp;sa=D&amp;ust=1605639554291000&amp;usg=AFQjCNEwoBqhs4eE63S5PjRGjCd3G2RYEg" TargetMode="External"/><Relationship Id="rId186" Type="http://schemas.openxmlformats.org/officeDocument/2006/relationships/hyperlink" Target="https://www.google.com/url?q=http://codeforces.com/contest/424/problem/D&amp;sa=D&amp;ust=1605639551668000&amp;usg=AFQjCNFYjPruFiO9pBM27xcVWZehUdTwbg" TargetMode="External"/><Relationship Id="rId393" Type="http://schemas.openxmlformats.org/officeDocument/2006/relationships/hyperlink" Target="https://www.google.com/url?q=http://codeforces.com/contest/1008/problem/E&amp;sa=D&amp;ust=1605639551839000&amp;usg=AFQjCNGUSMApp9OjirKjPEWTvvWl-1wopg" TargetMode="External"/><Relationship Id="rId2074" Type="http://schemas.openxmlformats.org/officeDocument/2006/relationships/hyperlink" Target="https://www.google.com/url?q=https://github.com/hosamk92/CompetitiveProgramming/blob/master/UVA/UVA%2520438.cpp&amp;sa=D&amp;ust=1605639552785000&amp;usg=AFQjCNEUHU4CQg91rq3SOw5ZnQaz99ktrw" TargetMode="External"/><Relationship Id="rId2281" Type="http://schemas.openxmlformats.org/officeDocument/2006/relationships/hyperlink" Target="https://www.google.com/url?q=https://github.com/tmwilliamlin168/CompetitiveProgramming/blob/master/GoogleCodeJam/18-R3-B.java&amp;sa=D&amp;ust=1605639552918000&amp;usg=AFQjCNEbOuuVFHrh3oLV-gGFBhk07y6CMg" TargetMode="External"/><Relationship Id="rId3125" Type="http://schemas.openxmlformats.org/officeDocument/2006/relationships/hyperlink" Target="https://www.google.com/url?q=https://github.com/farmerboy95/CompetitiveProgramming/blob/master/TopCoder/SRM240-D1-500.cpp&amp;sa=D&amp;ust=1605639553391000&amp;usg=AFQjCNFxbEnmhd1pEuZepNoJL-Q40lTfUw" TargetMode="External"/><Relationship Id="rId3332" Type="http://schemas.openxmlformats.org/officeDocument/2006/relationships/hyperlink" Target="https://www.google.com/url?q=http://codeforces.com/contest/344/problem/C&amp;sa=D&amp;ust=1605639553506000&amp;usg=AFQjCNFfjQzdkcLKdy_oQ6hKfKU_C9Nt9g" TargetMode="External"/><Relationship Id="rId253" Type="http://schemas.openxmlformats.org/officeDocument/2006/relationships/hyperlink" Target="https://www.google.com/url?q=http://codeforces.com/contest/189/problem/A&amp;sa=D&amp;ust=1605639551718000&amp;usg=AFQjCNFd2PJ5y3ukO0wAi2C2oky_BHVy3g" TargetMode="External"/><Relationship Id="rId460" Type="http://schemas.openxmlformats.org/officeDocument/2006/relationships/hyperlink" Target="https://www.google.com/url?q=https://www.codechef.com/COOK96A/problems/CHGCDG&amp;sa=D&amp;ust=1605639551868000&amp;usg=AFQjCNGZhqlEzFwvH0OrwpEQyCL63T3RYg" TargetMode="External"/><Relationship Id="rId1090" Type="http://schemas.openxmlformats.org/officeDocument/2006/relationships/hyperlink" Target="https://www.google.com/url?q=https://github.com/farmerboy95/CompetitiveProgramming/blob/master/Google%2520Kickstart/Kickstart%252019-RH-C.cpp&amp;sa=D&amp;ust=1605639552171000&amp;usg=AFQjCNH1AO976BDjv3PUOpktBkLYda2dZQ" TargetMode="External"/><Relationship Id="rId2141" Type="http://schemas.openxmlformats.org/officeDocument/2006/relationships/hyperlink" Target="https://www.google.com/url?q=https://csacademy.com/contest/round-34/task/point-in-kgon/&amp;sa=D&amp;ust=1605639552833000&amp;usg=AFQjCNH224hNDPgb6jxNjOJDxHX6a3cfHg" TargetMode="External"/><Relationship Id="rId113" Type="http://schemas.openxmlformats.org/officeDocument/2006/relationships/hyperlink" Target="https://www.google.com/url?q=https://github.com/ahmedsamir221/CompetitiveProgramming/blob/master/SPOJ/SPOJ%2520KOMPICI.cpp&amp;sa=D&amp;ust=1605639551619000&amp;usg=AFQjCNGcQBoG90deKn6vPUlmrSToz47IQA" TargetMode="External"/><Relationship Id="rId320" Type="http://schemas.openxmlformats.org/officeDocument/2006/relationships/hyperlink" Target="https://www.google.com/url?q=http://qkxue.net/info/113260/UVA-Boxes-Line-12657&amp;sa=D&amp;ust=1605639551766000&amp;usg=AFQjCNGbh2DzhbFZnefMvS93XrMnKi_KRg" TargetMode="External"/><Relationship Id="rId2001" Type="http://schemas.openxmlformats.org/officeDocument/2006/relationships/hyperlink" Target="https://www.google.com/url?q=http://codeforces.com/contest/14/problem/C&amp;sa=D&amp;ust=1605639552735000&amp;usg=AFQjCNF7c22ImJK267pNjq2HRd9H6WKAiA" TargetMode="External"/><Relationship Id="rId2958" Type="http://schemas.openxmlformats.org/officeDocument/2006/relationships/hyperlink" Target="https://www.google.com/url?q=http://codeforces.com/contest/472/problem/D&amp;sa=D&amp;ust=1605639553295000&amp;usg=AFQjCNH-S6O5CAIQgaUong7_fmBM8bZ72Q" TargetMode="External"/><Relationship Id="rId1767" Type="http://schemas.openxmlformats.org/officeDocument/2006/relationships/hyperlink" Target="https://www.google.com/url?q=http://codeforces.com/contest/112/problem/C&amp;sa=D&amp;ust=1605639552596000&amp;usg=AFQjCNHk-KdnadRbfocFdsiTjRoCMzvevA" TargetMode="External"/><Relationship Id="rId1974" Type="http://schemas.openxmlformats.org/officeDocument/2006/relationships/hyperlink" Target="https://www.google.com/url?q=http://codeforces.com/contest/598/problem/C&amp;sa=D&amp;ust=1605639552718000&amp;usg=AFQjCNHA0cF6O5RIQPhYrBxn0z71uEaLUQ" TargetMode="External"/><Relationship Id="rId2818" Type="http://schemas.openxmlformats.org/officeDocument/2006/relationships/hyperlink" Target="https://www.google.com/url?q=https://codeforces.com/contest/1184/problem/B3&amp;sa=D&amp;ust=1605639553220000&amp;usg=AFQjCNF82GG1MthT72_VQPDT6amxfvlmQA" TargetMode="External"/><Relationship Id="rId4173" Type="http://schemas.openxmlformats.org/officeDocument/2006/relationships/hyperlink" Target="https://www.google.com/url?q=http://codeforces.com/contest/280/problem/C&amp;sa=D&amp;ust=1605639554219000&amp;usg=AFQjCNHZSZACwee8WXW7k0xp0Nuqfyp99g" TargetMode="External"/><Relationship Id="rId4380" Type="http://schemas.openxmlformats.org/officeDocument/2006/relationships/hyperlink" Target="https://www.google.com/url?q=http://codeforces.com/contest/294/problem/E&amp;sa=D&amp;ust=1605639554318000&amp;usg=AFQjCNF6UjZOCaZW09cNFOPc6BG60megIA" TargetMode="External"/><Relationship Id="rId59" Type="http://schemas.openxmlformats.org/officeDocument/2006/relationships/hyperlink" Target="https://www.google.com/url?q=http://codeforces.com/gym/101149/problem/M?locale%3Den&amp;sa=D&amp;ust=1605639551588000&amp;usg=AFQjCNE_m6W5NydRtJzoKHUvVpM-d3g8sQ" TargetMode="External"/><Relationship Id="rId1627" Type="http://schemas.openxmlformats.org/officeDocument/2006/relationships/hyperlink" Target="https://www.google.com/url?q=http://codeforces.com/contest/141/problem/C&amp;sa=D&amp;ust=1605639552517000&amp;usg=AFQjCNGMkJNVZayY_mtU2-JsfQGsdsx71w" TargetMode="External"/><Relationship Id="rId1834" Type="http://schemas.openxmlformats.org/officeDocument/2006/relationships/hyperlink" Target="https://www.google.com/url?q=https://www.codechef.com/problems/G3&amp;sa=D&amp;ust=1605639552633000&amp;usg=AFQjCNF1rvvhnic5A5ID47GJ15bNX-3kYg" TargetMode="External"/><Relationship Id="rId4033" Type="http://schemas.openxmlformats.org/officeDocument/2006/relationships/hyperlink" Target="https://www.google.com/url?q=https://uva.onlinejudge.org/index.php?option%3Dcom_onlinejudge%26Itemid%3D8%26page%3Dshow_problem%26problem%3D603&amp;sa=D&amp;ust=1605639554144000&amp;usg=AFQjCNHS9OEIlRO4Xs7oxjucQ7c7ebYY2w" TargetMode="External"/><Relationship Id="rId4240" Type="http://schemas.openxmlformats.org/officeDocument/2006/relationships/hyperlink" Target="https://www.google.com/url?q=https://github.com/nya-nya-meow/CompetitiveProgramming/blob/master/SPOJ/QTREE5.cpp&amp;sa=D&amp;ust=1605639554260000&amp;usg=AFQjCNEvU3g3peMT1C_YxeHeZkeQUJfBlw" TargetMode="External"/><Relationship Id="rId3799" Type="http://schemas.openxmlformats.org/officeDocument/2006/relationships/hyperlink" Target="https://www.google.com/url?q=https://github.com/ilyesG/Competitive-Programming/blob/master/SPOJ/SPOJ%2520FILRTEST.cpp&amp;sa=D&amp;ust=1605639553862000&amp;usg=AFQjCNHqZC-vQ9Zvu5jgabSfS8gUnNd7Uw" TargetMode="External"/><Relationship Id="rId4100" Type="http://schemas.openxmlformats.org/officeDocument/2006/relationships/hyperlink" Target="https://www.google.com/url?q=http://codeforces.com/contest/342/problem/D&amp;sa=D&amp;ust=1605639554175000&amp;usg=AFQjCNGoYub4nhM0b4VSvPkLKTJB2J-hLA" TargetMode="External"/><Relationship Id="rId1901" Type="http://schemas.openxmlformats.org/officeDocument/2006/relationships/hyperlink" Target="https://www.google.com/url?q=https://www.hackerrank.com/challenges/isosceles-triangles&amp;sa=D&amp;ust=1605639552672000&amp;usg=AFQjCNGQ1Zjo7Y_kyx0zmq5fIailJ7TOMg" TargetMode="External"/><Relationship Id="rId3659" Type="http://schemas.openxmlformats.org/officeDocument/2006/relationships/hyperlink" Target="https://www.google.com/url?q=https://github.com/VAMPIER000001/CompetitiveProgramming/blob/master/UVA/V-121/UVA%252012101.Cpp&amp;sa=D&amp;ust=1605639553773000&amp;usg=AFQjCNEWas4RLutS_ZgIkWo0Btpl0d8Egg" TargetMode="External"/><Relationship Id="rId3866" Type="http://schemas.openxmlformats.org/officeDocument/2006/relationships/hyperlink" Target="https://www.google.com/url?q=https://github.com/quangloc99/CompetitiveProgramming/blob/master/Codeforces/CF1056-D12-G.cpp&amp;sa=D&amp;ust=1605639553898000&amp;usg=AFQjCNEOmEebP9xzhJ5ZNV9RqHlyI5g2cQ" TargetMode="External"/><Relationship Id="rId787" Type="http://schemas.openxmlformats.org/officeDocument/2006/relationships/hyperlink" Target="https://www.google.com/url?q=http://codeforces.com/contest/830/problem/B&amp;sa=D&amp;ust=1605639552006000&amp;usg=AFQjCNH9e3Fpp8dYFT6ZFTdfs61OQiVnCg" TargetMode="External"/><Relationship Id="rId994" Type="http://schemas.openxmlformats.org/officeDocument/2006/relationships/hyperlink" Target="https://www.google.com/url?q=http://codeforces.com/contest/373/problem/E&amp;sa=D&amp;ust=1605639552122000&amp;usg=AFQjCNEuJwHmABqXUJcQay9SSAd0kxbjWA" TargetMode="External"/><Relationship Id="rId2468" Type="http://schemas.openxmlformats.org/officeDocument/2006/relationships/hyperlink" Target="https://www.google.com/url?q=https://codeforces.com/contest/1183/problem/E&amp;sa=D&amp;ust=1605639553008000&amp;usg=AFQjCNFqNhUXFKZJ3GvbQeCxT37YyInqeQ" TargetMode="External"/><Relationship Id="rId2675" Type="http://schemas.openxmlformats.org/officeDocument/2006/relationships/hyperlink" Target="https://www.google.com/url?q=https://github.com/farmerboy95/CompetitiveProgramming/blob/master/Codeforces/CF60-D12-D.cpp&amp;sa=D&amp;ust=1605639553135000&amp;usg=AFQjCNEwyneHz8kh_HqEc_XopgVSw0aK2g" TargetMode="External"/><Relationship Id="rId2882" Type="http://schemas.openxmlformats.org/officeDocument/2006/relationships/hyperlink" Target="https://www.google.com/url?q=https://uva.onlinejudge.org/index.php?option%3Donlinejudge%26page%3Dshow_problem%26problem%3D1290&amp;sa=D&amp;ust=1605639553254000&amp;usg=AFQjCNG3QjXw5za3A1qxER-IkNBhXueJ4A" TargetMode="External"/><Relationship Id="rId3519" Type="http://schemas.openxmlformats.org/officeDocument/2006/relationships/hyperlink" Target="https://www.google.com/url?q=https://codeforces.com/gym/101933/problem/K&amp;sa=D&amp;ust=1605639553636000&amp;usg=AFQjCNG8N0rmcFwmCg4XWJgj3rFoqwifiQ" TargetMode="External"/><Relationship Id="rId3726" Type="http://schemas.openxmlformats.org/officeDocument/2006/relationships/hyperlink" Target="https://www.google.com/url?q=https://github.com/swapnil119/CompetitiveProgramming/blob/master/CompetitiveProgramming/Codeforces/CF101908-GYM-A.cpp&amp;sa=D&amp;ust=1605639553814000&amp;usg=AFQjCNHHEq3f9jojh8_gtasa5Gve7XTgLg" TargetMode="External"/><Relationship Id="rId3933" Type="http://schemas.openxmlformats.org/officeDocument/2006/relationships/hyperlink" Target="https://www.google.com/url?q=http://codeforces.com/contest/320/problem/D&amp;sa=D&amp;ust=1605639553936000&amp;usg=AFQjCNEkema8MpvEG1UmeNI2MPt_YCW6pw" TargetMode="External"/><Relationship Id="rId647" Type="http://schemas.openxmlformats.org/officeDocument/2006/relationships/hyperlink" Target="https://www.google.com/url?q=https://atcoder.jp/contests/dp/tasks/dp_w&amp;sa=D&amp;ust=1605639551942000&amp;usg=AFQjCNHzjz3HqkmnymDQzZFaKmWB5gX7iw" TargetMode="External"/><Relationship Id="rId854" Type="http://schemas.openxmlformats.org/officeDocument/2006/relationships/hyperlink" Target="https://www.google.com/url?q=https://github.com/nya-nya-meow/CompetitiveProgramming/blob/master/Kattis/keepthemseparated.cpp&amp;sa=D&amp;ust=1605639552041000&amp;usg=AFQjCNFwTdA6uDH_WQplwsAka7aGiC5NWg" TargetMode="External"/><Relationship Id="rId1277" Type="http://schemas.openxmlformats.org/officeDocument/2006/relationships/hyperlink" Target="https://www.google.com/url?q=https://github.com/mostafa-saad/MyCompetitiveProgramming/blob/master/ZOJ/ZOJ_3305.txt&amp;sa=D&amp;ust=1605639552304000&amp;usg=AFQjCNEVxsNOTqMlvSbtk4cCRQ_j9KUORQ" TargetMode="External"/><Relationship Id="rId1484" Type="http://schemas.openxmlformats.org/officeDocument/2006/relationships/hyperlink" Target="https://www.google.com/url?q=https://github.com/mostafa-saad/MyCompetitiveProgramming/blob/master/Hackerearth/HACKR-connect-the-country.txt&amp;sa=D&amp;ust=1605639552435000&amp;usg=AFQjCNEp1ioDWfKf4q6EBZUlSe7WQ0Z3rg" TargetMode="External"/><Relationship Id="rId1691" Type="http://schemas.openxmlformats.org/officeDocument/2006/relationships/hyperlink" Target="https://www.google.com/url?q=http://codeforces.com/contest/584/problem/C&amp;sa=D&amp;ust=1605639552555000&amp;usg=AFQjCNEPkQLLx0t5OcacNtNC5-Dwhvc5Bw" TargetMode="External"/><Relationship Id="rId2328" Type="http://schemas.openxmlformats.org/officeDocument/2006/relationships/hyperlink" Target="https://www.google.com/url?q=https://codeforces.com/contest/960/problem/D&amp;sa=D&amp;ust=1605639552938000&amp;usg=AFQjCNEvuP19D_bzGV9yZ3N_xwUTBWA8eg" TargetMode="External"/><Relationship Id="rId2535" Type="http://schemas.openxmlformats.org/officeDocument/2006/relationships/hyperlink" Target="https://www.google.com/url?q=http://codeforces.com/contest/135/problem/D&amp;sa=D&amp;ust=1605639553052000&amp;usg=AFQjCNGV-0xgh3hZ3Axnl1Be23_qOjJa-Q" TargetMode="External"/><Relationship Id="rId2742" Type="http://schemas.openxmlformats.org/officeDocument/2006/relationships/hyperlink" Target="https://www.google.com/url?q=http://codeforces.com/contest/62/problem/D&amp;sa=D&amp;ust=1605639553170000&amp;usg=AFQjCNGstsWw7fwRFUqMG_n5SfcnnQ9QAw" TargetMode="External"/><Relationship Id="rId507" Type="http://schemas.openxmlformats.org/officeDocument/2006/relationships/hyperlink" Target="https://www.google.com/url?q=http://codeforces.com/contest/106/problem/E&amp;sa=D&amp;ust=1605639551889000&amp;usg=AFQjCNF9Myjpsij0gT6pxArz8b5l6yh03A" TargetMode="External"/><Relationship Id="rId714" Type="http://schemas.openxmlformats.org/officeDocument/2006/relationships/hyperlink" Target="https://www.google.com/url?q=https://www.hackerrank.com/contests/w38/challenges/cyclical-queries&amp;sa=D&amp;ust=1605639551971000&amp;usg=AFQjCNHZcL6VmThw2QmN5K6i-CMGRsOpNQ" TargetMode="External"/><Relationship Id="rId921" Type="http://schemas.openxmlformats.org/officeDocument/2006/relationships/hyperlink" Target="https://www.google.com/url?q=http://codeforces.com/contest/939/problem/F&amp;sa=D&amp;ust=1605639552083000&amp;usg=AFQjCNG0NA3Pv7BixMpDGLltiJsPjL2p4g" TargetMode="External"/><Relationship Id="rId1137" Type="http://schemas.openxmlformats.org/officeDocument/2006/relationships/hyperlink" Target="https://www.google.com/url?q=https://github.com/Huvok/CompetitiveProgramming/blob/master/Codeforces/CF101-D1-B.cpp&amp;sa=D&amp;ust=1605639552201000&amp;usg=AFQjCNFuKgg_My96eFicC-xKRAesw2cPnA" TargetMode="External"/><Relationship Id="rId1344" Type="http://schemas.openxmlformats.org/officeDocument/2006/relationships/hyperlink" Target="https://www.google.com/url?q=https://ideone.com/UPTPfz&amp;sa=D&amp;ust=1605639552344000&amp;usg=AFQjCNEyM-5JtMUL1LDL6XosACwF_IACCg" TargetMode="External"/><Relationship Id="rId1551" Type="http://schemas.openxmlformats.org/officeDocument/2006/relationships/hyperlink" Target="https://www.google.com/url?q=https://agc001.contest.atcoder.jp/tasks/agc001_d&amp;sa=D&amp;ust=1605639552475000&amp;usg=AFQjCNG-gpfP4ToVYlCTgUNKvojUx2rD6Q" TargetMode="External"/><Relationship Id="rId2602" Type="http://schemas.openxmlformats.org/officeDocument/2006/relationships/hyperlink" Target="https://www.google.com/url?q=https://github.com/AhmedElsisy/CompetitiveProgramming/blob/master/SPOJ/SPOJ%2520LEXSTR.cpp&amp;sa=D&amp;ust=1605639553089000&amp;usg=AFQjCNGWUDeLwYvBMxfsjbJDlp0XCGFWNw" TargetMode="External"/><Relationship Id="rId50" Type="http://schemas.openxmlformats.org/officeDocument/2006/relationships/hyperlink" Target="https://www.google.com/url?q=http://codeforces.com/contest/1004/problem/D&amp;sa=D&amp;ust=1605639551583000&amp;usg=AFQjCNHnMSg9y6khjZJ16Xg-xHXVQAAl_g" TargetMode="External"/><Relationship Id="rId1204" Type="http://schemas.openxmlformats.org/officeDocument/2006/relationships/hyperlink" Target="https://www.google.com/url?q=https://github.com/AhmedElsisy/CompetitiveProgramming/blob/master/SPOJ/SPOJ%2520NOVICE63.cpp&amp;sa=D&amp;ust=1605639552248000&amp;usg=AFQjCNGtTvmyYCQAX_W_TPjga7GP7orQAg" TargetMode="External"/><Relationship Id="rId1411" Type="http://schemas.openxmlformats.org/officeDocument/2006/relationships/hyperlink" Target="https://www.google.com/url?q=https://github.com/mostafa-saad/MyCompetitiveProgramming/blob/master/UVA/UVA_10111.txt&amp;sa=D&amp;ust=1605639552390000&amp;usg=AFQjCNG9UOhXgnUKDDXzklRk61uyDvhPaA" TargetMode="External"/><Relationship Id="rId3169" Type="http://schemas.openxmlformats.org/officeDocument/2006/relationships/hyperlink" Target="https://www.google.com/url?q=https://codeforces.com/contest/1189/problem/E&amp;sa=D&amp;ust=1605639553414000&amp;usg=AFQjCNF1P5DKz_I0sNUQBvcbV7liqIqDlg" TargetMode="External"/><Relationship Id="rId3376" Type="http://schemas.openxmlformats.org/officeDocument/2006/relationships/hyperlink" Target="https://www.google.com/url?q=https://github.com/sggutier/CompetitiveProgramming/blob/master/PKU/3191.cpp&amp;sa=D&amp;ust=1605639553539000&amp;usg=AFQjCNElGD_eiRN78GljgUc9ZIBpkv_ePQ" TargetMode="External"/><Relationship Id="rId3583" Type="http://schemas.openxmlformats.org/officeDocument/2006/relationships/hyperlink" Target="https://www.google.com/url?q=https://github.com/goswami-rahul/competitive-coding/blob/master/CompetitiveProgramming/codeforces/CF845-D12-G.cpp&amp;sa=D&amp;ust=1605639553716000&amp;usg=AFQjCNGKmDBBhWil46Y9nG8zowhZuv6asA" TargetMode="External"/><Relationship Id="rId4427" Type="http://schemas.openxmlformats.org/officeDocument/2006/relationships/hyperlink" Target="https://www.google.com/url?q=https://codeforces.com/contest/1282/problem/D&amp;sa=D&amp;ust=1605639554341000&amp;usg=AFQjCNGgTYjJdZi6mDiCxG5HstugFsNJCA" TargetMode="External"/><Relationship Id="rId297" Type="http://schemas.openxmlformats.org/officeDocument/2006/relationships/hyperlink" Target="https://www.google.com/url?q=http://codeforces.com/contest/706/problem/E&amp;sa=D&amp;ust=1605639551755000&amp;usg=AFQjCNHpT8bgX7uRn78p_t8Pv7yfSVo8nw" TargetMode="External"/><Relationship Id="rId2185" Type="http://schemas.openxmlformats.org/officeDocument/2006/relationships/hyperlink" Target="https://www.google.com/url?q=https://morris821028.github.io/2014/08/28/oj/uva/uva-12048/&amp;sa=D&amp;ust=1605639552861000&amp;usg=AFQjCNFgAhVJqye9MTJdTrrg7Y9hwLPOdA" TargetMode="External"/><Relationship Id="rId2392" Type="http://schemas.openxmlformats.org/officeDocument/2006/relationships/hyperlink" Target="https://www.google.com/url?q=https://www.facebook.com/groups/160725894286891/permalink/412072809152197/&amp;sa=D&amp;ust=1605639552965000&amp;usg=AFQjCNGF20L9seTlJbuibDThzoJ3Urb4Ww" TargetMode="External"/><Relationship Id="rId3029" Type="http://schemas.openxmlformats.org/officeDocument/2006/relationships/hyperlink" Target="https://www.google.com/url?q=https://codeforces.com/contest/1250/problem/N&amp;sa=D&amp;ust=1605639553336000&amp;usg=AFQjCNG5ZevarLUkcnYGNxlV8kxChqsnUg" TargetMode="External"/><Relationship Id="rId3236" Type="http://schemas.openxmlformats.org/officeDocument/2006/relationships/hyperlink" Target="https://www.google.com/url?q=https://github.com/Mahmoud3ali/CompetitiveProgramming/blob/master/CodeForces/CF101102-GYM-J.cpp&amp;sa=D&amp;ust=1605639553444000&amp;usg=AFQjCNEbGNnus354yQW-6yVmr-C2oFL20w" TargetMode="External"/><Relationship Id="rId3790" Type="http://schemas.openxmlformats.org/officeDocument/2006/relationships/hyperlink" Target="https://www.google.com/url?q=https://github.com/TheRealImaginary/CompetitiveProgramming/blob/master/UVA/UVA_11888_Abnormal89s.java&amp;sa=D&amp;ust=1605639553855000&amp;usg=AFQjCNFq35_n5CXazGP3lMaL7YhjUXtZ5Q" TargetMode="External"/><Relationship Id="rId157" Type="http://schemas.openxmlformats.org/officeDocument/2006/relationships/hyperlink" Target="https://www.google.com/url?q=https://csacademy.com/contest/round-59/task/triangular-matrix/&amp;sa=D&amp;ust=1605639551645000&amp;usg=AFQjCNGAKQjLgPPkyRY5RQPm2K1A6ref9A" TargetMode="External"/><Relationship Id="rId364" Type="http://schemas.openxmlformats.org/officeDocument/2006/relationships/hyperlink" Target="https://www.google.com/url?q=https://github.com/shanto86/Training/blob/master/TopCoder/SRM523-D1-1000.cpp&amp;sa=D&amp;ust=1605639551801000&amp;usg=AFQjCNGwwiI4ZzaQ85K-95jPblgs5wOpwQ" TargetMode="External"/><Relationship Id="rId2045" Type="http://schemas.openxmlformats.org/officeDocument/2006/relationships/hyperlink" Target="https://www.google.com/url?q=http://codeforces.com/gym/100200/problem/C&amp;sa=D&amp;ust=1605639552770000&amp;usg=AFQjCNEAcwvgWNxcTjEEX62iblWISGELdQ" TargetMode="External"/><Relationship Id="rId3443" Type="http://schemas.openxmlformats.org/officeDocument/2006/relationships/hyperlink" Target="https://www.google.com/url?q=https://www.hackerrank.com/challenges/a-chocolate-fiesta&amp;sa=D&amp;ust=1605639553579000&amp;usg=AFQjCNFjqwe350t7YqR-BJhuTgW6T2kfPg" TargetMode="External"/><Relationship Id="rId3650" Type="http://schemas.openxmlformats.org/officeDocument/2006/relationships/hyperlink" Target="https://www.google.com/url?q=https://uva.onlinejudge.org/index.php?option%3Dcom_onlinejudge%26Itemid%3D8%26page%3Dshow_problem%26problem%3D1683&amp;sa=D&amp;ust=1605639553764000&amp;usg=AFQjCNFXIncWDO8DiMZU3iiGR31YSk2oOA" TargetMode="External"/><Relationship Id="rId571" Type="http://schemas.openxmlformats.org/officeDocument/2006/relationships/hyperlink" Target="https://www.google.com/url?q=https://www.hackerrank.com/contests/hourrank-31/challenges/basketball-tournament-1/&amp;sa=D&amp;ust=1605639551915000&amp;usg=AFQjCNGuPCYd1iv9k8seLSU0GS5p75YPWA" TargetMode="External"/><Relationship Id="rId2252" Type="http://schemas.openxmlformats.org/officeDocument/2006/relationships/hyperlink" Target="https://www.google.com/url?q=https://codeforces.com/contest/1237/problem/C2&amp;sa=D&amp;ust=1605639552903000&amp;usg=AFQjCNHOECKuoP0rNfRaf8at9HmRwh12qw" TargetMode="External"/><Relationship Id="rId3303" Type="http://schemas.openxmlformats.org/officeDocument/2006/relationships/hyperlink" Target="https://www.google.com/url?q=https://github.com/ryuzmukhametov/CompetitiveProgramming/blob/master/Codeforces/CF554-D2-D.cpp&amp;sa=D&amp;ust=1605639553483000&amp;usg=AFQjCNHPlP_P0332fdQTNC3fnBBNBJfs3w" TargetMode="External"/><Relationship Id="rId3510" Type="http://schemas.openxmlformats.org/officeDocument/2006/relationships/hyperlink" Target="https://www.google.com/url?q=https://ideone.com/bDMQGD&amp;sa=D&amp;ust=1605639553632000&amp;usg=AFQjCNFTnX5SJT-vfdkUOSeecJSM9Ro8kQ" TargetMode="External"/><Relationship Id="rId224" Type="http://schemas.openxmlformats.org/officeDocument/2006/relationships/hyperlink" Target="https://www.google.com/url?q=http://codeforces.com/contest/336/problem/C&amp;sa=D&amp;ust=1605639551692000&amp;usg=AFQjCNH7sII7upaSFjaK0hZDHFOEAG-3iA" TargetMode="External"/><Relationship Id="rId431" Type="http://schemas.openxmlformats.org/officeDocument/2006/relationships/hyperlink" Target="https://www.google.com/url?q=https://www.codechef.com/problems/SCHEDULE&amp;sa=D&amp;ust=1605639551855000&amp;usg=AFQjCNFrkGIVq53trt2z5FAeIQdrzMtnfg" TargetMode="External"/><Relationship Id="rId1061" Type="http://schemas.openxmlformats.org/officeDocument/2006/relationships/hyperlink" Target="https://www.google.com/url?q=http://pavelsimo.blogspot.com/2012/07/uva-11654-arithmetic-subsequence.html&amp;sa=D&amp;ust=1605639552155000&amp;usg=AFQjCNHXSOgW91jJtBJ9p4gT1TRSArelVA" TargetMode="External"/><Relationship Id="rId2112" Type="http://schemas.openxmlformats.org/officeDocument/2006/relationships/hyperlink" Target="https://www.google.com/url?q=https://uva.onlinejudge.org/index.php?option%3Donlinejudge%26page%3Dshow_problem%26problem%3D2468&amp;sa=D&amp;ust=1605639552810000&amp;usg=AFQjCNHsiMU69K2VknYojTnvTuronIys7g" TargetMode="External"/><Relationship Id="rId1878" Type="http://schemas.openxmlformats.org/officeDocument/2006/relationships/hyperlink" Target="https://www.google.com/url?q=https://www.codechef.com/problems/LAMQUGAM&amp;sa=D&amp;ust=1605639552653000&amp;usg=AFQjCNF9u9Hgi_aB7izhy_hphGurjRRw9w" TargetMode="External"/><Relationship Id="rId2929" Type="http://schemas.openxmlformats.org/officeDocument/2006/relationships/hyperlink" Target="https://www.google.com/url?q=https://github.com/tmwilliamlin168/CompetitiveProgramming/blob/master/CodeForces/1023F(2).cpp&amp;sa=D&amp;ust=1605639553282000&amp;usg=AFQjCNESTh82TShTVQuxXurElx35UC7NLQ" TargetMode="External"/><Relationship Id="rId4077" Type="http://schemas.openxmlformats.org/officeDocument/2006/relationships/hyperlink" Target="https://www.google.com/url?q=https://www.hackerearth.com/problem/algorithm/pr-numbers-160aa0c9/&amp;sa=D&amp;ust=1605639554163000&amp;usg=AFQjCNF74DROGPcGkbTK8ZG1mHPgKA_ehQ" TargetMode="External"/><Relationship Id="rId4284" Type="http://schemas.openxmlformats.org/officeDocument/2006/relationships/hyperlink" Target="https://www.google.com/url?q=https://github.com/jebouin/CompetitiveProgramming/blob/master/CodeForces/CF291-D2-E.cpp&amp;sa=D&amp;ust=1605639554278000&amp;usg=AFQjCNEOKQMh7gG5cN3aJVdv-7uI1EeYaw" TargetMode="External"/><Relationship Id="rId1738" Type="http://schemas.openxmlformats.org/officeDocument/2006/relationships/hyperlink" Target="https://www.google.com/url?q=http://codeforces.com/contest/81/problem/D&amp;sa=D&amp;ust=1605639552579000&amp;usg=AFQjCNHFRbTuXQappLdMakZ-I1dOickayA" TargetMode="External"/><Relationship Id="rId3093" Type="http://schemas.openxmlformats.org/officeDocument/2006/relationships/hyperlink" Target="https://www.google.com/url?q=https://codeforces.com/group/viIfsUpAco/contest/102191/problem/I&amp;sa=D&amp;ust=1605639553367000&amp;usg=AFQjCNG_6-ADDpBvhigpUFP_YdQnof36rA" TargetMode="External"/><Relationship Id="rId4144" Type="http://schemas.openxmlformats.org/officeDocument/2006/relationships/hyperlink" Target="https://www.google.com/url?q=https://ideone.com/F83fze&amp;sa=D&amp;ust=1605639554205000&amp;usg=AFQjCNEhXwSXxF3YnJVrq-5xR5q9c-nk8w" TargetMode="External"/><Relationship Id="rId4351" Type="http://schemas.openxmlformats.org/officeDocument/2006/relationships/hyperlink" Target="https://www.google.com/url?q=https://www.codechef.com/problems/BEAUTY&amp;sa=D&amp;ust=1605639554304000&amp;usg=AFQjCNEhEg1zoqjdOQJyLIXt4nGox9mSNg" TargetMode="External"/><Relationship Id="rId1945" Type="http://schemas.openxmlformats.org/officeDocument/2006/relationships/hyperlink" Target="https://www.google.com/url?q=https://github.com/Huvok/CompetitiveProgramming/blob/master/Codeforces/CF101917-D12-E.cpp&amp;sa=D&amp;ust=1605639552705000&amp;usg=AFQjCNEoJ7hFTMTjSEx5rzQXd14gR0_R3A" TargetMode="External"/><Relationship Id="rId3160" Type="http://schemas.openxmlformats.org/officeDocument/2006/relationships/hyperlink" Target="https://www.google.com/url?q=https://github.com/yazanKabbany/CompetitiveProgramming/blob/master/Codeforces/CF919-D2-E.cpp&amp;sa=D&amp;ust=1605639553409000&amp;usg=AFQjCNGO4MtBXAwmttF7CIGd9riV3t3fSQ" TargetMode="External"/><Relationship Id="rId4004" Type="http://schemas.openxmlformats.org/officeDocument/2006/relationships/hyperlink" Target="https://www.google.com/url?q=http://codeforces.com/contest/6/problem/E&amp;sa=D&amp;ust=1605639554128000&amp;usg=AFQjCNEgve0sSkOvN11hOjhKFQNF8EE7Pw" TargetMode="External"/><Relationship Id="rId4211" Type="http://schemas.openxmlformats.org/officeDocument/2006/relationships/hyperlink" Target="https://www.google.com/url?q=http://codeforces.com/contest/696/problem/E&amp;sa=D&amp;ust=1605639554247000&amp;usg=AFQjCNGYhk4YWJJYWsNM_m8wIbBygUiojQ" TargetMode="External"/><Relationship Id="rId1805" Type="http://schemas.openxmlformats.org/officeDocument/2006/relationships/hyperlink" Target="https://www.google.com/url?q=https://codeforces.com/gym/101979/problem/A&amp;sa=D&amp;ust=1605639552616000&amp;usg=AFQjCNFrTb1iTwr1ZTnlWBbHrEENsfhPNQ" TargetMode="External"/><Relationship Id="rId3020" Type="http://schemas.openxmlformats.org/officeDocument/2006/relationships/hyperlink" Target="https://www.google.com/url?q=https://github.com/HeartBlue/CompetitiveProgramming/blob/master/PKU/PKU%25203678%2520Katu%2520Puzzle.cpp&amp;sa=D&amp;ust=1605639553332000&amp;usg=AFQjCNHICKMZHWAEsua-cAMXh1ZfR76xeA" TargetMode="External"/><Relationship Id="rId3977" Type="http://schemas.openxmlformats.org/officeDocument/2006/relationships/hyperlink" Target="https://www.google.com/url?q=https://codeforces.com/contest/1136/problem/C&amp;sa=D&amp;ust=1605639553958000&amp;usg=AFQjCNFiGDToAwrumxj9eiwD3ztwsjU-fQ" TargetMode="External"/><Relationship Id="rId898" Type="http://schemas.openxmlformats.org/officeDocument/2006/relationships/hyperlink" Target="https://www.google.com/url?q=https://agc007.contest.atcoder.jp/tasks/agc007_e&amp;sa=D&amp;ust=1605639552070000&amp;usg=AFQjCNEbkdqrpI0GwpjFzysdT63g-qVR0w" TargetMode="External"/><Relationship Id="rId2579" Type="http://schemas.openxmlformats.org/officeDocument/2006/relationships/hyperlink" Target="https://www.google.com/url?q=http://www.spoj.com/problems/CDOWN/&amp;sa=D&amp;ust=1605639553076000&amp;usg=AFQjCNEYiKDX0AoXqW8B9TxtCLyoTtNtHg" TargetMode="External"/><Relationship Id="rId2786" Type="http://schemas.openxmlformats.org/officeDocument/2006/relationships/hyperlink" Target="https://www.google.com/url?q=https://www.codechef.com/problems/ANUBTT&amp;sa=D&amp;ust=1605639553202000&amp;usg=AFQjCNGJ_VhlL77h4JCxnYGcyGfufOBXaw" TargetMode="External"/><Relationship Id="rId2993" Type="http://schemas.openxmlformats.org/officeDocument/2006/relationships/hyperlink" Target="https://www.google.com/url?q=https://github.com/BRAINOOOO/CompetitiveProgramming/blob/master/Spoj/SPOJ%2520BOTTOM.Cpp&amp;sa=D&amp;ust=1605639553316000&amp;usg=AFQjCNFAYgZr8YvwdDbQSZQW_74RYQHkhw" TargetMode="External"/><Relationship Id="rId3837" Type="http://schemas.openxmlformats.org/officeDocument/2006/relationships/hyperlink" Target="https://www.google.com/url?q=https://github.com/mostafa-saad/MyCompetitiveProgramming/blob/master/SPOJ/SPOJ_LPS.txt&amp;sa=D&amp;ust=1605639553887000&amp;usg=AFQjCNE5UvJbAPJ4yowApkawbUPKP5LvYw" TargetMode="External"/><Relationship Id="rId758" Type="http://schemas.openxmlformats.org/officeDocument/2006/relationships/hyperlink" Target="https://www.google.com/url?q=https://github.com/ahmedsamir221/CompetitiveProgramming/blob/master/CodeForces/CF847-D12-D.cpp&amp;sa=D&amp;ust=1605639551992000&amp;usg=AFQjCNEn0PZJLqnslV7_D5OY-JLAsuvgKw" TargetMode="External"/><Relationship Id="rId965" Type="http://schemas.openxmlformats.org/officeDocument/2006/relationships/hyperlink" Target="https://www.google.com/url?q=http://codeforces.com/contest/624/problem/D&amp;sa=D&amp;ust=1605639552108000&amp;usg=AFQjCNEDurdVjKZz8iO3LE8iNXQGm4a3UA" TargetMode="External"/><Relationship Id="rId1388" Type="http://schemas.openxmlformats.org/officeDocument/2006/relationships/hyperlink" Target="https://www.google.com/url?q=https://codeforces.com/contest/1156/problem/F&amp;sa=D&amp;ust=1605639552368000&amp;usg=AFQjCNG82Wr3j0je9RUdC4zlAfdlJMLizw" TargetMode="External"/><Relationship Id="rId1595" Type="http://schemas.openxmlformats.org/officeDocument/2006/relationships/hyperlink" Target="https://www.google.com/url?q=https://www.codechef.com/LTIME64B/problems/BJUDGE&amp;sa=D&amp;ust=1605639552500000&amp;usg=AFQjCNHnwu2Fbrd4U6GqO-KJudhK1DzIhg" TargetMode="External"/><Relationship Id="rId2439" Type="http://schemas.openxmlformats.org/officeDocument/2006/relationships/hyperlink" Target="https://www.google.com/url?q=https://github.com/ahmedsamir221/CompetitiveProgramming/blob/master/SPOJ/SPOJ%2520MULTII.cpp&amp;sa=D&amp;ust=1605639552989000&amp;usg=AFQjCNFzcqSO5IOVd-YecEXQlXdivSSaqA" TargetMode="External"/><Relationship Id="rId2646" Type="http://schemas.openxmlformats.org/officeDocument/2006/relationships/hyperlink" Target="https://www.google.com/url?q=https://uva.onlinejudge.org/index.php?option%3Dcom_onlinejudge%26Itemid%3D8%26page%3Dshow_problem%26problem%3D370&amp;sa=D&amp;ust=1605639553118000&amp;usg=AFQjCNGFiXhARNdlJTgMylcxpIRE5Rvgvg" TargetMode="External"/><Relationship Id="rId2853" Type="http://schemas.openxmlformats.org/officeDocument/2006/relationships/hyperlink" Target="https://www.google.com/url?q=https://community.topcoder.com/stat?c%3Dproblem_statement%26pm%3D1931%26rd%3D4709&amp;sa=D&amp;ust=1605639553238000&amp;usg=AFQjCNFU7XGQutLyEdDsucfGZKRZVoHRyA" TargetMode="External"/><Relationship Id="rId3904" Type="http://schemas.openxmlformats.org/officeDocument/2006/relationships/hyperlink" Target="https://www.google.com/url?q=https://www.hackerearth.com/practice/notes/mos-algorithm/&amp;sa=D&amp;ust=1605639553920000&amp;usg=AFQjCNH2MMblipxMRHpvXYjBNBSoeFe_yg" TargetMode="External"/><Relationship Id="rId94" Type="http://schemas.openxmlformats.org/officeDocument/2006/relationships/hyperlink" Target="https://www.google.com/url?q=http://codeforces.com/contest/1110/problem/E&amp;sa=D&amp;ust=1605639551607000&amp;usg=AFQjCNGlo8eRNq1ffrZWeg_N9i0IMH585w" TargetMode="External"/><Relationship Id="rId618" Type="http://schemas.openxmlformats.org/officeDocument/2006/relationships/hyperlink" Target="https://www.google.com/url?q=https://www.codechef.com/problems/FRBSUM&amp;sa=D&amp;ust=1605639551932000&amp;usg=AFQjCNEGyii77ifJ4-mi5ReRY2qCo3oWxg" TargetMode="External"/><Relationship Id="rId825" Type="http://schemas.openxmlformats.org/officeDocument/2006/relationships/hyperlink" Target="https://www.google.com/url?q=https://github.com/mostafa-saad/MyCompetitiveProgramming/blob/master/SPOJ/SPOJ_INCDSEQ.txt&amp;sa=D&amp;ust=1605639552027000&amp;usg=AFQjCNHvoumkdJ1njwF79NtHl-e3vzLydw" TargetMode="External"/><Relationship Id="rId1248" Type="http://schemas.openxmlformats.org/officeDocument/2006/relationships/hyperlink" Target="https://www.google.com/url?q=https://www.codechef.com/problems/BUYING&amp;sa=D&amp;ust=1605639552287000&amp;usg=AFQjCNEF6OqqgvsVD5DIMu5Q4b27Dcmf2A" TargetMode="External"/><Relationship Id="rId1455" Type="http://schemas.openxmlformats.org/officeDocument/2006/relationships/hyperlink" Target="https://www.google.com/url?q=https://github.com/mostafa-saad/MyCompetitiveProgramming/blob/master/UVA/UVA_12179.txt&amp;sa=D&amp;ust=1605639552417000&amp;usg=AFQjCNHfNgO09nC6nVh25lp5ed-eLSwncA" TargetMode="External"/><Relationship Id="rId1662" Type="http://schemas.openxmlformats.org/officeDocument/2006/relationships/hyperlink" Target="https://www.google.com/url?q=http://codeforces.com/contest/215/problem/D&amp;sa=D&amp;ust=1605639552535000&amp;usg=AFQjCNGfKh8KGfSTbKyRjQ9GwxXehIAP0A" TargetMode="External"/><Relationship Id="rId2506" Type="http://schemas.openxmlformats.org/officeDocument/2006/relationships/hyperlink" Target="https://www.google.com/url?q=https://www.codechef.com/problems/TAPAIR&amp;sa=D&amp;ust=1605639553036000&amp;usg=AFQjCNGKrz-bLagORpJOFBxKR5AvyUrSFA" TargetMode="External"/><Relationship Id="rId1108" Type="http://schemas.openxmlformats.org/officeDocument/2006/relationships/hyperlink" Target="https://www.google.com/url?q=https://codeforces.com/contest/6/problem/D&amp;sa=D&amp;ust=1605639552186000&amp;usg=AFQjCNGSHVF0jNcIT5oTOvGhMQ6hkTvz6g" TargetMode="External"/><Relationship Id="rId1315" Type="http://schemas.openxmlformats.org/officeDocument/2006/relationships/hyperlink" Target="https://www.google.com/url?q=https://github.com/khaledsliti/CompetitiveProgramming/blob/master/Codeforces/CF100212-GYM-E.cpp&amp;sa=D&amp;ust=1605639552323000&amp;usg=AFQjCNHCJvsciLNu1tUcyLPFSTz3zc5xQQ" TargetMode="External"/><Relationship Id="rId2713" Type="http://schemas.openxmlformats.org/officeDocument/2006/relationships/hyperlink" Target="https://www.google.com/url?q=https://github.com/HeartBlue/CompetitiveProgramming/blob/master/Codeforces/CF100570-GYM-D%2520TROY%2520Query.cpp&amp;sa=D&amp;ust=1605639553153000&amp;usg=AFQjCNEdUr7oHrOUddnvERKsjP1N_BD87g" TargetMode="External"/><Relationship Id="rId2920" Type="http://schemas.openxmlformats.org/officeDocument/2006/relationships/hyperlink" Target="https://www.google.com/url?q=http://codeforces.com/problemset/problem/237/E&amp;sa=D&amp;ust=1605639553277000&amp;usg=AFQjCNElq9vSY1zSK21JmMtZR88q4Ey_Kg" TargetMode="External"/><Relationship Id="rId1522" Type="http://schemas.openxmlformats.org/officeDocument/2006/relationships/hyperlink" Target="https://www.google.com/url?q=http://codeforces.com/contest/436/problem/E&amp;sa=D&amp;ust=1605639552460000&amp;usg=AFQjCNFt4l7sINajRZOaMNOvASQUcTkTwg" TargetMode="External"/><Relationship Id="rId21" Type="http://schemas.openxmlformats.org/officeDocument/2006/relationships/hyperlink" Target="https://www.google.com/url?q=https://www.codechef.com/problems/ELPHANT&amp;sa=D&amp;ust=1605639551571000&amp;usg=AFQjCNHgF0_iHuXnkh-KHWpZByIAvwhY5Q" TargetMode="External"/><Relationship Id="rId2089" Type="http://schemas.openxmlformats.org/officeDocument/2006/relationships/hyperlink" Target="https://www.google.com/url?q=http://codeforces.com/contest/248/problem/C&amp;sa=D&amp;ust=1605639552797000&amp;usg=AFQjCNHeOA8tRFiQwMIS19bjch99yT7KLg" TargetMode="External"/><Relationship Id="rId3487" Type="http://schemas.openxmlformats.org/officeDocument/2006/relationships/hyperlink" Target="https://www.google.com/url?q=https://uva.onlinejudge.org/index.php?option%3Donlinejudge%26Itemid%3D8%26page%3Dshow_problem%26problem%3D1080&amp;sa=D&amp;ust=1605639553609000&amp;usg=AFQjCNHqUcRk3LwfmVLmMR6SU-dd15kMvw" TargetMode="External"/><Relationship Id="rId3694" Type="http://schemas.openxmlformats.org/officeDocument/2006/relationships/hyperlink" Target="https://www.google.com/url?q=https://github.com/Huvok/CompetitiveProgramming/blob/master/Topcoder/SRM735-D1-500.cpp&amp;sa=D&amp;ust=1605639553794000&amp;usg=AFQjCNHbV-N0NsmSy784lV8rkRDMCBPNYg" TargetMode="External"/><Relationship Id="rId2296" Type="http://schemas.openxmlformats.org/officeDocument/2006/relationships/hyperlink" Target="https://www.google.com/url?q=http://codeforces.com/contest/986/problem/C&amp;sa=D&amp;ust=1605639552927000&amp;usg=AFQjCNF3Be4n1-hlzKQLQIUdb0KrF3S6cg" TargetMode="External"/><Relationship Id="rId3347" Type="http://schemas.openxmlformats.org/officeDocument/2006/relationships/hyperlink" Target="https://www.google.com/url?q=https://uva.onlinejudge.org/index.php?option%3Donlinejudge%26page%3Dshow_problem%26problem%3D305&amp;sa=D&amp;ust=1605639553516000&amp;usg=AFQjCNF9BmwxU-Fqxsgg30Tu6g6eQKwvag" TargetMode="External"/><Relationship Id="rId3554" Type="http://schemas.openxmlformats.org/officeDocument/2006/relationships/hyperlink" Target="https://www.google.com/url?q=https://github.com/mostafa-saad/MyCompetitiveProgramming/blob/master/TopCoder/SRM306-D1-1000.txt&amp;sa=D&amp;ust=1605639553691000&amp;usg=AFQjCNGMW99amEydKQM19UJlEFoifd58cw" TargetMode="External"/><Relationship Id="rId3761" Type="http://schemas.openxmlformats.org/officeDocument/2006/relationships/hyperlink" Target="https://www.google.com/url?q=https://github.com/ilyesG/Competitive-Programming/blob/master/UVA/UVA%25201401.cpp&amp;sa=D&amp;ust=1605639553836000&amp;usg=AFQjCNGwxHjVUccLSSMSXTMiyj1HDvXYEw" TargetMode="External"/><Relationship Id="rId268" Type="http://schemas.openxmlformats.org/officeDocument/2006/relationships/hyperlink" Target="https://www.google.com/url?q=https://uva.onlinejudge.org/index.php?option%3Dcom_onlinejudge%26Itemid%3D8%26page%3Dshow_problem%26problem%3D37&amp;sa=D&amp;ust=1605639551740000&amp;usg=AFQjCNFvJPYCffG61X0W7fj5lYCAwywsCw" TargetMode="External"/><Relationship Id="rId475" Type="http://schemas.openxmlformats.org/officeDocument/2006/relationships/hyperlink" Target="https://www.google.com/url?q=http://codeforces.com/contest/812/problem/C&amp;sa=D&amp;ust=1605639551875000&amp;usg=AFQjCNG6krO-wqHtnKZ_kGrKBAyoRins0w" TargetMode="External"/><Relationship Id="rId682" Type="http://schemas.openxmlformats.org/officeDocument/2006/relationships/hyperlink" Target="https://www.google.com/url?q=http://codeforces.com/contest/739/problem/C&amp;sa=D&amp;ust=1605639551956000&amp;usg=AFQjCNEeENn6OT2vi5vjncwAUMfoEfx30Q" TargetMode="External"/><Relationship Id="rId2156" Type="http://schemas.openxmlformats.org/officeDocument/2006/relationships/hyperlink" Target="https://www.google.com/url?q=https://github.com/AbdelrahmanRamadan/competitive-programming/blob/master/UVA/11665%2520-%2520Chinese%2520Ink.cpp&amp;sa=D&amp;ust=1605639552842000&amp;usg=AFQjCNEp7LSVXqGCixEknO-c8i5OVceXlg" TargetMode="External"/><Relationship Id="rId2363" Type="http://schemas.openxmlformats.org/officeDocument/2006/relationships/hyperlink" Target="https://www.google.com/url?q=http://codeforces.com/contest/1003/problem/E&amp;sa=D&amp;ust=1605639552952000&amp;usg=AFQjCNHM3V2Zb6ysp-Swf0Q9lEg3fqEg8g" TargetMode="External"/><Relationship Id="rId2570" Type="http://schemas.openxmlformats.org/officeDocument/2006/relationships/hyperlink" Target="https://www.google.com/url?q=https://github.com/mostafa-saad/MyCompetitiveProgramming/blob/master/SPOJ/SPOJ-HOLI.txt&amp;sa=D&amp;ust=1605639553071000&amp;usg=AFQjCNGnrUur0MdqFZMQt-D_wizeSCnjkw" TargetMode="External"/><Relationship Id="rId3207" Type="http://schemas.openxmlformats.org/officeDocument/2006/relationships/hyperlink" Target="https://www.google.com/url?q=http://roprogrammer.blogspot.com/2010/01/uva-problem-128-software-crc.html&amp;sa=D&amp;ust=1605639553430000&amp;usg=AFQjCNFBR4cPZT05e3vnAkxPIQ9sprAcqQ" TargetMode="External"/><Relationship Id="rId3414" Type="http://schemas.openxmlformats.org/officeDocument/2006/relationships/hyperlink" Target="https://www.google.com/url?q=https://github.com/MedoN11/CompetitiveProgramming/blob/master/CodeForces/GYM/CF10149-GYM-D.cpp&amp;sa=D&amp;ust=1605639553560000&amp;usg=AFQjCNFOz-_sMrL3xk6bYhmFcap7_5rsWA" TargetMode="External"/><Relationship Id="rId3621" Type="http://schemas.openxmlformats.org/officeDocument/2006/relationships/hyperlink" Target="https://www.google.com/url?q=http://codeforces.com/gym/100187/problem/B&amp;sa=D&amp;ust=1605639553745000&amp;usg=AFQjCNFFl0Ox9WHT6RfwsRB8K7fUANy3Cw" TargetMode="External"/><Relationship Id="rId128" Type="http://schemas.openxmlformats.org/officeDocument/2006/relationships/hyperlink" Target="https://www.google.com/url?q=http://codeforces.com/contest/375/problem/B&amp;sa=D&amp;ust=1605639551629000&amp;usg=AFQjCNHTnP3Rh5Zpm-c_3SBcXUqO8KTjnQ" TargetMode="External"/><Relationship Id="rId335" Type="http://schemas.openxmlformats.org/officeDocument/2006/relationships/hyperlink" Target="https://www.google.com/url?q=https://github.com/SaraElkadi/competitive-programming-/blob/master/LiveArchive/3634.cpp&amp;sa=D&amp;ust=1605639551773000&amp;usg=AFQjCNGyf_RwHu0CSphishBxzoj7SSHO-Q" TargetMode="External"/><Relationship Id="rId542" Type="http://schemas.openxmlformats.org/officeDocument/2006/relationships/hyperlink" Target="https://www.google.com/url?q=http://codeforces.com/problemset/gymProblem/101064/H&amp;sa=D&amp;ust=1605639551905000&amp;usg=AFQjCNHY-9wV0T41x7zE_NlNkqZyhPP5xA" TargetMode="External"/><Relationship Id="rId1172" Type="http://schemas.openxmlformats.org/officeDocument/2006/relationships/hyperlink" Target="https://www.google.com/url?q=http://codeforces.com/contest/456/problem/C&amp;sa=D&amp;ust=1605639552225000&amp;usg=AFQjCNEA484TEI-IUlYHhqdhmmhSXBJZ-A" TargetMode="External"/><Relationship Id="rId2016" Type="http://schemas.openxmlformats.org/officeDocument/2006/relationships/hyperlink" Target="https://www.google.com/url?q=http://codeforces.com/contest/136/problem/D&amp;sa=D&amp;ust=1605639552742000&amp;usg=AFQjCNG3any83xbBEX55buQcBgGHs2sfxw" TargetMode="External"/><Relationship Id="rId2223" Type="http://schemas.openxmlformats.org/officeDocument/2006/relationships/hyperlink" Target="https://www.google.com/url?q=https://github.com/mostafa-saad/MyCompetitiveProgramming/blob/master/SPOJ/SPOJ_WILD.txt&amp;sa=D&amp;ust=1605639552882000&amp;usg=AFQjCNHiNhQAVUWtONHv0uI-ZcBAKnClRQ" TargetMode="External"/><Relationship Id="rId2430" Type="http://schemas.openxmlformats.org/officeDocument/2006/relationships/hyperlink" Target="https://www.google.com/url?q=http://codeforces.com/contest/359/problem/E&amp;sa=D&amp;ust=1605639552985000&amp;usg=AFQjCNGhptTGTGymmHzgHTW_RikjJSLDPQ" TargetMode="External"/><Relationship Id="rId402" Type="http://schemas.openxmlformats.org/officeDocument/2006/relationships/hyperlink" Target="https://www.google.com/url?q=http://codeforces.com/contest/875/problem/E&amp;sa=D&amp;ust=1605639551844000&amp;usg=AFQjCNGq1-ow9T9Qy4vv4fg7VyFPZEo9ig" TargetMode="External"/><Relationship Id="rId1032" Type="http://schemas.openxmlformats.org/officeDocument/2006/relationships/hyperlink" Target="https://www.google.com/url?q=https://codeforces.com/contest/1169/problem/E&amp;sa=D&amp;ust=1605639552141000&amp;usg=AFQjCNHff1gTWXifHshID_hmjyo7LgfGNw" TargetMode="External"/><Relationship Id="rId4188" Type="http://schemas.openxmlformats.org/officeDocument/2006/relationships/hyperlink" Target="https://www.google.com/url?q=https://github.com/tmwilliamlin168/CompetitiveProgramming/blob/master/TopCoder/SRM515-D2-1000.java&amp;sa=D&amp;ust=1605639554236000&amp;usg=AFQjCNFENEhbUWOr9EfFJujEQTUsTfi8BA" TargetMode="External"/><Relationship Id="rId4395" Type="http://schemas.openxmlformats.org/officeDocument/2006/relationships/hyperlink" Target="https://www.google.com/url?q=https://github.com/aviroop123/CompetitiveProgramming/blob/master/UVA/UVA%252011174.cpp&amp;sa=D&amp;ust=1605639554325000&amp;usg=AFQjCNFwDVLjfeZb1_aftzrTIMuXH6U9wg" TargetMode="External"/><Relationship Id="rId1989" Type="http://schemas.openxmlformats.org/officeDocument/2006/relationships/hyperlink" Target="https://www.google.com/url?q=https://github.com/AbdelrahmanRamadan/competitive-programming/blob/master/HackerRank/xrange-and-pizza.cpp&amp;sa=D&amp;ust=1605639552727000&amp;usg=AFQjCNEXqvpx8Ze9y8SFGYySKoRCQJ95PA" TargetMode="External"/><Relationship Id="rId4048" Type="http://schemas.openxmlformats.org/officeDocument/2006/relationships/hyperlink" Target="https://www.google.com/url?q=https://github.com/mostafa-saad/MyCompetitiveProgramming/blob/master/Codeforces/CF101982-GYM-I.txt&amp;sa=D&amp;ust=1605639554149000&amp;usg=AFQjCNFyqB0XMAI0tkIqSwT0fWhxo67-qA" TargetMode="External"/><Relationship Id="rId4255" Type="http://schemas.openxmlformats.org/officeDocument/2006/relationships/hyperlink" Target="https://www.google.com/url?q=https://codeforces.com/contest/1137/problem/E&amp;sa=D&amp;ust=1605639554267000&amp;usg=AFQjCNH_TgUqwAwvhTBmU9zWwzH3HDvnxw" TargetMode="External"/><Relationship Id="rId1849" Type="http://schemas.openxmlformats.org/officeDocument/2006/relationships/hyperlink" Target="https://www.google.com/url?q=https://github.com/mostafa-saad/MyCompetitiveProgramming/blob/master/Codeforces/CF101908-GYM-B.txt&amp;sa=D&amp;ust=1605639552640000&amp;usg=AFQjCNGiSXmb5Y24-pmEzTMGK7oYwIVgWg" TargetMode="External"/><Relationship Id="rId3064" Type="http://schemas.openxmlformats.org/officeDocument/2006/relationships/hyperlink" Target="https://www.google.com/url?q=http://codeforces.com/contest/379/problem/F&amp;sa=D&amp;ust=1605639553356000&amp;usg=AFQjCNHrK_OHo7zfd2e948ygbXfWCxu_vA" TargetMode="External"/><Relationship Id="rId192" Type="http://schemas.openxmlformats.org/officeDocument/2006/relationships/hyperlink" Target="https://www.google.com/url?q=http://codeforces.com/contest/552/problem/E&amp;sa=D&amp;ust=1605639551672000&amp;usg=AFQjCNHJgFNqfBSSfJsLZwwF-PvAFR5AqA" TargetMode="External"/><Relationship Id="rId1709" Type="http://schemas.openxmlformats.org/officeDocument/2006/relationships/hyperlink" Target="https://www.google.com/url?q=http://codeforces.com/contest/266/problem/C&amp;sa=D&amp;ust=1605639552564000&amp;usg=AFQjCNHmnmyHzihDhdSzWxSnTLzkrMGDdw" TargetMode="External"/><Relationship Id="rId1916" Type="http://schemas.openxmlformats.org/officeDocument/2006/relationships/hyperlink" Target="https://www.google.com/url?q=https://morris821028.github.io/2014/06/24/oj/uva/uva-11178/&amp;sa=D&amp;ust=1605639552688000&amp;usg=AFQjCNETSEqRVDZcbj1DQd0__sMYx-SCLQ" TargetMode="External"/><Relationship Id="rId3271" Type="http://schemas.openxmlformats.org/officeDocument/2006/relationships/hyperlink" Target="https://www.google.com/url?q=http://codeforces.com/contest/588/problem/B&amp;sa=D&amp;ust=1605639553464000&amp;usg=AFQjCNE1PqakWOjgq9Ge--C3RO6FzmbgGg" TargetMode="External"/><Relationship Id="rId4115" Type="http://schemas.openxmlformats.org/officeDocument/2006/relationships/hyperlink" Target="https://www.google.com/url?q=https://icpcarchive.ecs.baylor.edu/index.php?option%3Dcom_onlinejudge%26Itemid%3D8%26page%3Dshow_problem%26problem%3D936&amp;sa=D&amp;ust=1605639554186000&amp;usg=AFQjCNFSrz9ucsFsquOXhB8TBrJcsb4BHQ" TargetMode="External"/><Relationship Id="rId4322" Type="http://schemas.openxmlformats.org/officeDocument/2006/relationships/hyperlink" Target="https://www.google.com/url?q=https://github.com/mostafa-saad/MyCompetitiveProgramming/blob/master/CodeChef/CODECHEF-CHEFAOR.txt&amp;sa=D&amp;ust=1605639554293000&amp;usg=AFQjCNESLNqPJk9LyqciHcLJzvSMZlBBlg" TargetMode="External"/><Relationship Id="rId2080" Type="http://schemas.openxmlformats.org/officeDocument/2006/relationships/hyperlink" Target="https://www.google.com/url?q=http://codeforces.com/gym/101606/problem/L&amp;sa=D&amp;ust=1605639552791000&amp;usg=AFQjCNFFesL0kWGc_uI5tyAH_qfjvPLBKw" TargetMode="External"/><Relationship Id="rId3131" Type="http://schemas.openxmlformats.org/officeDocument/2006/relationships/hyperlink" Target="https://www.google.com/url?q=http://codeforces.com/contest/337/problem/E&amp;sa=D&amp;ust=1605639553396000&amp;usg=AFQjCNHlRUDfH0HZTiXg5YupXbVpVAZ9qw" TargetMode="External"/><Relationship Id="rId2897" Type="http://schemas.openxmlformats.org/officeDocument/2006/relationships/hyperlink" Target="https://www.google.com/url?q=https://uva.onlinejudge.org/index.php?option%3Dcom_onlinejudge%26Itemid%3D8%26page%3Dshow_problem%26problem%3D195&amp;sa=D&amp;ust=1605639553262000&amp;usg=AFQjCNHmwrahE4hzFKLMaMfxwwcdNnH4tg" TargetMode="External"/><Relationship Id="rId3948" Type="http://schemas.openxmlformats.org/officeDocument/2006/relationships/hyperlink" Target="https://www.google.com/url?q=http://codeforces.com/contest/463/problem/C&amp;sa=D&amp;ust=1605639553942000&amp;usg=AFQjCNHK4X92GML_DBPqKwtRNVexmGCx_w" TargetMode="External"/><Relationship Id="rId869" Type="http://schemas.openxmlformats.org/officeDocument/2006/relationships/hyperlink" Target="https://www.google.com/url?q=https://github.com/MeGaCrazy/CompetitiveProgramming/blob/c86a8f9935be057efbf0aa87b464b0740bcb41a4/UVA/UVA_1428.cpp&amp;sa=D&amp;ust=1605639552050000&amp;usg=AFQjCNFkbzvOI4yxybqwmehHCIaLjcKk4A" TargetMode="External"/><Relationship Id="rId1499" Type="http://schemas.openxmlformats.org/officeDocument/2006/relationships/hyperlink" Target="https://www.google.com/url?q=http://codeforces.com/contest/518/problem/D&amp;sa=D&amp;ust=1605639552443000&amp;usg=AFQjCNGwXDIwTFGv1d1TdHuA4uYNY-VzvA" TargetMode="External"/><Relationship Id="rId729" Type="http://schemas.openxmlformats.org/officeDocument/2006/relationships/hyperlink" Target="https://www.google.com/url?q=https://www.codechef.com/problems/MATCH2&amp;sa=D&amp;ust=1605639551978000&amp;usg=AFQjCNHBxBbs9reh_4ON763Hia9OQ4GB6w" TargetMode="External"/><Relationship Id="rId1359" Type="http://schemas.openxmlformats.org/officeDocument/2006/relationships/hyperlink" Target="https://www.google.com/url?q=http://codeforces.com/contest/841/problem/E&amp;sa=D&amp;ust=1605639552352000&amp;usg=AFQjCNEjLMq1nolE2qFoGKBPOb_dhQ8vKw" TargetMode="External"/><Relationship Id="rId2757" Type="http://schemas.openxmlformats.org/officeDocument/2006/relationships/hyperlink" Target="https://www.google.com/url?q=https://github.com/abdullaAshraf/Problem-Solving/blob/master/UVA/10987.cpp&amp;sa=D&amp;ust=1605639553181000&amp;usg=AFQjCNGWhUh5FTGXFM7WyaOY6IYy705fLQ" TargetMode="External"/><Relationship Id="rId2964" Type="http://schemas.openxmlformats.org/officeDocument/2006/relationships/hyperlink" Target="https://www.google.com/url?q=https://github.com/ilyesG/Competitive-Programming/blob/master/UVA/UVA%25201395.cpp&amp;sa=D&amp;ust=1605639553298000&amp;usg=AFQjCNEC-Wr4zFPhz4rCSNuqgBq2MP1AaQ" TargetMode="External"/><Relationship Id="rId3808" Type="http://schemas.openxmlformats.org/officeDocument/2006/relationships/hyperlink" Target="https://www.google.com/url?q=https://problemsolvingnotes.wordpress.com/2012/02/06/live-archive-5064-serial-numbers/&amp;sa=D&amp;ust=1605639553869000&amp;usg=AFQjCNEFHqjd8NNG1ZwaD2NenuNQdQZl6Q" TargetMode="External"/><Relationship Id="rId936" Type="http://schemas.openxmlformats.org/officeDocument/2006/relationships/hyperlink" Target="https://www.google.com/url?q=https://www.facebook.com/hackercup/problem/359971574540051/&amp;sa=D&amp;ust=1605639552090000&amp;usg=AFQjCNECGejatsNycMPC83BODjDJJ0Mjeg" TargetMode="External"/><Relationship Id="rId1219" Type="http://schemas.openxmlformats.org/officeDocument/2006/relationships/hyperlink" Target="https://www.google.com/url?q=https://www.hackerrank.com/challenges/palindromes&amp;sa=D&amp;ust=1605639552262000&amp;usg=AFQjCNGS-o2oSU1LjsfvqNA-_5pX368OEw" TargetMode="External"/><Relationship Id="rId1566" Type="http://schemas.openxmlformats.org/officeDocument/2006/relationships/hyperlink" Target="https://www.google.com/url?q=https://agc025.contest.atcoder.jp/tasks/agc025_c&amp;sa=D&amp;ust=1605639552482000&amp;usg=AFQjCNFM-UEzvIhGBuMZyE6pMprMVEgEVw" TargetMode="External"/><Relationship Id="rId1773" Type="http://schemas.openxmlformats.org/officeDocument/2006/relationships/hyperlink" Target="https://www.google.com/url?q=https://www.topcoder.com/tc?module%3DStatic%26d1%3Dmatch_editorials%26d2%3Dsrm338&amp;sa=D&amp;ust=1605639552600000&amp;usg=AFQjCNHntF3QoIsrSLVBi8bzNUV3uk952w" TargetMode="External"/><Relationship Id="rId1980" Type="http://schemas.openxmlformats.org/officeDocument/2006/relationships/hyperlink" Target="https://www.google.com/url?q=http://www.spoj.com/problems/PIR/&amp;sa=D&amp;ust=1605639552721000&amp;usg=AFQjCNF9ElDTxKY4W3rymJ6QbJmJhsCCSQ" TargetMode="External"/><Relationship Id="rId2617" Type="http://schemas.openxmlformats.org/officeDocument/2006/relationships/hyperlink" Target="https://www.google.com/url?q=http://codeforces.com/contest/553/problem/D&amp;sa=D&amp;ust=1605639553103000&amp;usg=AFQjCNHWCN4Aic7bTQxfTsZqXcGwG8jF0g" TargetMode="External"/><Relationship Id="rId2824" Type="http://schemas.openxmlformats.org/officeDocument/2006/relationships/hyperlink" Target="https://www.google.com/url?q=https://github.com/TheRealImaginary/CompetitiveProgramming/blob/master/ZOJ/ZOJ_2760_HowManyShortestPath.java&amp;sa=D&amp;ust=1605639553222000&amp;usg=AFQjCNFAi_DogEMbZYS_jA7HDC_2Yx6yCQ" TargetMode="External"/><Relationship Id="rId65" Type="http://schemas.openxmlformats.org/officeDocument/2006/relationships/hyperlink" Target="https://www.google.com/url?q=http://codeforces.com/gym/101149/problem/M?locale%3Den&amp;sa=D&amp;ust=1605639551592000&amp;usg=AFQjCNEwsfrNlWj-gnJelGE1yzkH5pShDA" TargetMode="External"/><Relationship Id="rId1426" Type="http://schemas.openxmlformats.org/officeDocument/2006/relationships/hyperlink" Target="https://www.google.com/url?q=http://codeforces.com/contest/464/problem/D&amp;sa=D&amp;ust=1605639552401000&amp;usg=AFQjCNFbqzIcwjnrtxwau0YGuUw1iLSuPw" TargetMode="External"/><Relationship Id="rId1633" Type="http://schemas.openxmlformats.org/officeDocument/2006/relationships/hyperlink" Target="https://www.google.com/url?q=https://codeforces.com/contest/1175/problem/D&amp;sa=D&amp;ust=1605639552520000&amp;usg=AFQjCNGdAT0hwLUVARrMXytxDCkY1GKmmw" TargetMode="External"/><Relationship Id="rId1840" Type="http://schemas.openxmlformats.org/officeDocument/2006/relationships/hyperlink" Target="https://www.google.com/url?q=https://www.codechef.com/problems/TUZGMBR&amp;sa=D&amp;ust=1605639552636000&amp;usg=AFQjCNH4-XAQ2hoc_vSfoSpcBEYNL4M98A" TargetMode="External"/><Relationship Id="rId1700" Type="http://schemas.openxmlformats.org/officeDocument/2006/relationships/hyperlink" Target="https://www.google.com/url?q=http://codeforces.com/contest/898/problem/D&amp;sa=D&amp;ust=1605639552559000&amp;usg=AFQjCNHwrxgGnFxegNm1LN7fdfiCWwXSHQ" TargetMode="External"/><Relationship Id="rId3598" Type="http://schemas.openxmlformats.org/officeDocument/2006/relationships/hyperlink" Target="https://www.google.com/url?q=http://codeforces.com/contest/668/problem/C&amp;sa=D&amp;ust=1605639553730000&amp;usg=AFQjCNGVvFbjCpRKX4CkBce07WvScrWkSg" TargetMode="External"/><Relationship Id="rId3458" Type="http://schemas.openxmlformats.org/officeDocument/2006/relationships/hyperlink" Target="https://www.google.com/url?q=https://www.codechef.com/problems/B3&amp;sa=D&amp;ust=1605639553593000&amp;usg=AFQjCNFXJysjGJ5Dn7dg9b1nVkOZlshEHw" TargetMode="External"/><Relationship Id="rId3665" Type="http://schemas.openxmlformats.org/officeDocument/2006/relationships/hyperlink" Target="https://www.google.com/url?q=https://github.com/aviroop123/CompetitiveProgramming/blob/master/SPOJ/SPOJ%2520DPEQN.cpp&amp;sa=D&amp;ust=1605639553779000&amp;usg=AFQjCNHJw-IgyAJzbPgVbrjZB5ZYFVrTqA" TargetMode="External"/><Relationship Id="rId3872" Type="http://schemas.openxmlformats.org/officeDocument/2006/relationships/hyperlink" Target="https://www.google.com/url?q=http://codeforces.com/gym/101864/attachments/download/7365/2018-bacs-contest-replay-en.pdf&amp;sa=D&amp;ust=1605639553904000&amp;usg=AFQjCNGTMRt--O57A9EoNL_8UmXP02JkGg" TargetMode="External"/><Relationship Id="rId379" Type="http://schemas.openxmlformats.org/officeDocument/2006/relationships/hyperlink" Target="https://www.google.com/url?q=https://uva.onlinejudge.org/index.php?option%3Dcom_onlinejudge%26Itemid%3D8%26page%3Dshow_problem%26problem%3D1285&amp;sa=D&amp;ust=1605639551817000&amp;usg=AFQjCNGP_YrtLCg8XDo-kJznrl3Xjn7F0w" TargetMode="External"/><Relationship Id="rId586" Type="http://schemas.openxmlformats.org/officeDocument/2006/relationships/hyperlink" Target="https://www.google.com/url?q=http://codeforces.com/contest/445/problem/E&amp;sa=D&amp;ust=1605639551921000&amp;usg=AFQjCNHpcL3tLQ2bkWcbKkfMLULAz7N03Q" TargetMode="External"/><Relationship Id="rId793" Type="http://schemas.openxmlformats.org/officeDocument/2006/relationships/hyperlink" Target="https://www.google.com/url?q=https://github.com/aabdelzaher/Competitive-Programming/blob/master/PKU/PKU1823.java&amp;sa=D&amp;ust=1605639552010000&amp;usg=AFQjCNFSeLVA78OBySbt_Z32_MzFjdMyyw" TargetMode="External"/><Relationship Id="rId2267" Type="http://schemas.openxmlformats.org/officeDocument/2006/relationships/hyperlink" Target="https://www.google.com/url?q=http://codeforces.com/contest/297/problem/D&amp;sa=D&amp;ust=1605639552911000&amp;usg=AFQjCNGFPAyZkH6g7C-RMBQ1wb6N34-vXg" TargetMode="External"/><Relationship Id="rId2474" Type="http://schemas.openxmlformats.org/officeDocument/2006/relationships/hyperlink" Target="https://www.google.com/url?q=http://www.spoj.com/problems/TOE2/&amp;sa=D&amp;ust=1605639553012000&amp;usg=AFQjCNHemCLqL6MD9YMk5GkVUgP7I91yJw" TargetMode="External"/><Relationship Id="rId2681" Type="http://schemas.openxmlformats.org/officeDocument/2006/relationships/hyperlink" Target="https://www.google.com/url?q=http://codeforces.com/contest/260/problem/D&amp;sa=D&amp;ust=1605639553138000&amp;usg=AFQjCNEEaNnhR4ceb3PPXNBrSHr9OiWhzQ" TargetMode="External"/><Relationship Id="rId3318" Type="http://schemas.openxmlformats.org/officeDocument/2006/relationships/hyperlink" Target="https://www.google.com/url?q=https://atcoder.jp/contests/agc038/tasks/agc038_c&amp;sa=D&amp;ust=1605639553497000&amp;usg=AFQjCNE9cElZsNpI8X7a73tGWpCg4Jev0Q" TargetMode="External"/><Relationship Id="rId3525" Type="http://schemas.openxmlformats.org/officeDocument/2006/relationships/hyperlink" Target="https://www.google.com/url?q=https://icpcarchive.ecs.baylor.edu/index.php?option%3Dcom_onlinejudge%26Itemid%3D8%26category%3D683%26page%3Dshow_problem%26problem%3D5245&amp;sa=D&amp;ust=1605639553639000&amp;usg=AFQjCNFjmW8phK2HIlvOFtEMRavtaKE9jw" TargetMode="External"/><Relationship Id="rId239" Type="http://schemas.openxmlformats.org/officeDocument/2006/relationships/hyperlink" Target="https://www.google.com/url?q=https://codeforces.com/contest/55/problem/B&amp;sa=D&amp;ust=1605639551705000&amp;usg=AFQjCNGyNZBu78zke0u7l4WnYIbSZQD8tg" TargetMode="External"/><Relationship Id="rId446" Type="http://schemas.openxmlformats.org/officeDocument/2006/relationships/hyperlink" Target="https://www.google.com/url?q=https://atcoder.jp/contests/abc149/tasks/abc149_e&amp;sa=D&amp;ust=1605639551862000&amp;usg=AFQjCNEiSJXoJ9ato3pJF7HYiFCzhWDMIQ" TargetMode="External"/><Relationship Id="rId653" Type="http://schemas.openxmlformats.org/officeDocument/2006/relationships/hyperlink" Target="https://www.google.com/url?q=https://codeforces.com/contest/1114/problem/F&amp;sa=D&amp;ust=1605639551944000&amp;usg=AFQjCNGAChXjAE_dIphRPhuHzByQEV3Qfg" TargetMode="External"/><Relationship Id="rId1076" Type="http://schemas.openxmlformats.org/officeDocument/2006/relationships/hyperlink" Target="https://www.google.com/url?q=https://codeforces.com/contest/18/problem/E&amp;sa=D&amp;ust=1605639552164000&amp;usg=AFQjCNGYjr1a22cz5_jX12EJsOLhQDzIBA" TargetMode="External"/><Relationship Id="rId1283" Type="http://schemas.openxmlformats.org/officeDocument/2006/relationships/hyperlink" Target="https://www.google.com/url?q=http://codeforces.com/contest/667/problem/C&amp;sa=D&amp;ust=1605639552306000&amp;usg=AFQjCNFMD4RnhibM_Sn4kkyTBymZlq9uPg" TargetMode="External"/><Relationship Id="rId1490" Type="http://schemas.openxmlformats.org/officeDocument/2006/relationships/hyperlink" Target="https://www.google.com/url?q=https://github.com/racsosabe/CompetitiveProgramming/blob/master/SPOJ/LOOPEXP.cpp&amp;sa=D&amp;ust=1605639552438000&amp;usg=AFQjCNGAfgnCdy8H4lfKk_vDRYs3QL63zA" TargetMode="External"/><Relationship Id="rId2127" Type="http://schemas.openxmlformats.org/officeDocument/2006/relationships/hyperlink" Target="https://www.google.com/url?q=https://onlinejudge.org/index.php?option%3Dcom_onlinejudge%26Itemid%3D8%26category%3D866%26page%3Dshow_problem%26problem%3D4897&amp;sa=D&amp;ust=1605639552820000&amp;usg=AFQjCNG-HOhVnV8SJyI_Ya1kCCaJ8ADL9g" TargetMode="External"/><Relationship Id="rId2334" Type="http://schemas.openxmlformats.org/officeDocument/2006/relationships/hyperlink" Target="https://www.google.com/url?q=http://codeforces.com/contest/362/problem/D&amp;sa=D&amp;ust=1605639552940000&amp;usg=AFQjCNGZ8JZqIeu8Bpr978OTNmv4-fwRXw" TargetMode="External"/><Relationship Id="rId3732" Type="http://schemas.openxmlformats.org/officeDocument/2006/relationships/hyperlink" Target="https://www.google.com/url?q=https://github.com/MedoN11/CompetitiveProgramming/blob/master/CodeForces/CF450-D2-D.cpp&amp;sa=D&amp;ust=1605639553816000&amp;usg=AFQjCNEMtSBqlvU030WJZN29qgkpG72KRA" TargetMode="External"/><Relationship Id="rId306" Type="http://schemas.openxmlformats.org/officeDocument/2006/relationships/hyperlink" Target="https://www.google.com/url?q=http://codeforces.com/contest/286/problem/B&amp;sa=D&amp;ust=1605639551760000&amp;usg=AFQjCNHd5izZ5VF7nRlQQzmceE1-93Vv2g" TargetMode="External"/><Relationship Id="rId860" Type="http://schemas.openxmlformats.org/officeDocument/2006/relationships/hyperlink" Target="https://www.google.com/url?q=https://github.com/shashank0107/CompetitiveProgramming/blob/master/Topcoder/SRM315-D2-1000.cpp&amp;sa=D&amp;ust=1605639552044000&amp;usg=AFQjCNEJjZJDqzL2CdG6nZCAGmKIgcccZQ" TargetMode="External"/><Relationship Id="rId1143" Type="http://schemas.openxmlformats.org/officeDocument/2006/relationships/hyperlink" Target="https://www.google.com/url?q=http://codeforces.com/contest/608/problem/C&amp;sa=D&amp;ust=1605639552203000&amp;usg=AFQjCNGG9G5wVdSm04JqrMazVK1VZy8SGw" TargetMode="External"/><Relationship Id="rId2541" Type="http://schemas.openxmlformats.org/officeDocument/2006/relationships/hyperlink" Target="https://www.google.com/url?q=http://codeforces.com/contest/701/problem/E&amp;sa=D&amp;ust=1605639553055000&amp;usg=AFQjCNG8kbnsy_3TZddfnMmm75wsrhK-ag" TargetMode="External"/><Relationship Id="rId4299" Type="http://schemas.openxmlformats.org/officeDocument/2006/relationships/hyperlink" Target="https://www.google.com/url?q=http://codeforces.com/contest/348/problem/C&amp;sa=D&amp;ust=1605639554284000&amp;usg=AFQjCNGplG1Aofy7hQchWzLvK9gmy40tGQ" TargetMode="External"/><Relationship Id="rId513" Type="http://schemas.openxmlformats.org/officeDocument/2006/relationships/hyperlink" Target="https://www.google.com/url?q=https://codeforces.com/contest/702/problem/D&amp;sa=D&amp;ust=1605639551892000&amp;usg=AFQjCNHuxrKNwgJnQZ9Mnd4Wm__G8MGNAw" TargetMode="External"/><Relationship Id="rId720" Type="http://schemas.openxmlformats.org/officeDocument/2006/relationships/hyperlink" Target="https://www.google.com/url?q=http://codeforces.com/contest/916/problem/D&amp;sa=D&amp;ust=1605639551974000&amp;usg=AFQjCNFRugSkZUBfhXNkU6nrlXqaxTABhw" TargetMode="External"/><Relationship Id="rId1350" Type="http://schemas.openxmlformats.org/officeDocument/2006/relationships/hyperlink" Target="https://www.google.com/url?q=https://agc009.contest.atcoder.jp/tasks/agc009_e&amp;sa=D&amp;ust=1605639552348000&amp;usg=AFQjCNFCYsg31FA_dPlIecIIz_BJ_XO6Yw" TargetMode="External"/><Relationship Id="rId2401" Type="http://schemas.openxmlformats.org/officeDocument/2006/relationships/hyperlink" Target="https://www.google.com/url?q=http://codeforces.com/gym/101498/problem/L&amp;sa=D&amp;ust=1605639552970000&amp;usg=AFQjCNEnGK6YjCZ1agCqfWWwuPGf80JB4A" TargetMode="External"/><Relationship Id="rId4159" Type="http://schemas.openxmlformats.org/officeDocument/2006/relationships/hyperlink" Target="https://www.google.com/url?q=https://uva.onlinejudge.org/index.php?option%3Donlinejudge%26page%3Dshow_problem%26problem%3D1421&amp;sa=D&amp;ust=1605639554211000&amp;usg=AFQjCNHE0iRZ3jYS5FO74wB3ZCDcIejEeA" TargetMode="External"/><Relationship Id="rId1003" Type="http://schemas.openxmlformats.org/officeDocument/2006/relationships/hyperlink" Target="https://www.google.com/url?q=http://community.topcoder.com/stat?c%3Dproblem_statement%26pm%3D6215&amp;sa=D&amp;ust=1605639552126000&amp;usg=AFQjCNFu9Uifee8zOOcr3wLyxOdOBgDoUQ" TargetMode="External"/><Relationship Id="rId1210" Type="http://schemas.openxmlformats.org/officeDocument/2006/relationships/hyperlink" Target="https://www.google.com/url?q=https://uva.onlinejudge.org/index.php?option%3Dcom_onlinejudge%26Itemid%3D8%26page%3Dshow_problem%26problem%3D503&amp;sa=D&amp;ust=1605639552254000&amp;usg=AFQjCNEXSBMDjdGvXUR4ttEUc4sNKP36QA" TargetMode="External"/><Relationship Id="rId4366" Type="http://schemas.openxmlformats.org/officeDocument/2006/relationships/hyperlink" Target="https://www.google.com/url?q=https://codingcompetitions.withgoogle.com/kickstart/round/0000000000050e02/000000000018fd5e&amp;sa=D&amp;ust=1605639554311000&amp;usg=AFQjCNEFgtTuBz2F0bX2uq2Ye4I6IYYQjg" TargetMode="External"/><Relationship Id="rId3175" Type="http://schemas.openxmlformats.org/officeDocument/2006/relationships/hyperlink" Target="https://www.google.com/url?q=https://codeforces.com/contest/1271/problem/E&amp;sa=D&amp;ust=1605639553416000&amp;usg=AFQjCNHzFJB_gAQU84G4esA9YR-Jv6ePmg" TargetMode="External"/><Relationship Id="rId3382" Type="http://schemas.openxmlformats.org/officeDocument/2006/relationships/hyperlink" Target="https://www.google.com/url?q=https://github.com/swapnil119/CompetitiveProgramming/blob/master/CompetitiveProgramming/Topcoder/SRM472-D1-500.cpp&amp;sa=D&amp;ust=1605639553542000&amp;usg=AFQjCNFHk2fEWRw89wHXYk_eiShCkdNL2w" TargetMode="External"/><Relationship Id="rId4019" Type="http://schemas.openxmlformats.org/officeDocument/2006/relationships/hyperlink" Target="https://www.google.com/url?q=https://www.codechef.com/COOK108A/problems/BDGFT&amp;sa=D&amp;ust=1605639554135000&amp;usg=AFQjCNF9E-HHJ5d8U9j3olCBqfI2UzCpww" TargetMode="External"/><Relationship Id="rId4226" Type="http://schemas.openxmlformats.org/officeDocument/2006/relationships/hyperlink" Target="https://www.google.com/url?q=http://www.lightoj.com/volume_showproblem.php?problem%3D1348&amp;sa=D&amp;ust=1605639554255000&amp;usg=AFQjCNGkPQ7s5qtN_t_PqU2sFn2kNFysgQ" TargetMode="External"/><Relationship Id="rId4433" Type="http://schemas.openxmlformats.org/officeDocument/2006/relationships/hyperlink" Target="https://www.google.com/url?q=http://codeforces.com/contest/286/problem/E&amp;sa=D&amp;ust=1605639554343000&amp;usg=AFQjCNGWMdlgzwFyk-Fixop1hBT4bTUSWA" TargetMode="External"/><Relationship Id="rId2191" Type="http://schemas.openxmlformats.org/officeDocument/2006/relationships/hyperlink" Target="https://www.google.com/url?q=https://github.com/MeGaCrazy/CompetitiveProgramming/blob/952b5006b2804265a3fbd2ac426f549b5ca7e3ed/LiveArchive/LIVEARCHIVE_4558.cpp&amp;sa=D&amp;ust=1605639552866000&amp;usg=AFQjCNESleYaU8kooRrd1QQY1DpbQvXjKQ" TargetMode="External"/><Relationship Id="rId3035" Type="http://schemas.openxmlformats.org/officeDocument/2006/relationships/hyperlink" Target="https://www.google.com/url?q=https://github.com/shanto86/Training/blob/master/LiveArchive/LIVEARCHIVE%25204218.cpp&amp;sa=D&amp;ust=1605639553343000&amp;usg=AFQjCNF--_NFNv_gFXEsSciD9HM_Ov0rtg" TargetMode="External"/><Relationship Id="rId3242" Type="http://schemas.openxmlformats.org/officeDocument/2006/relationships/hyperlink" Target="https://www.google.com/url?q=https://codeforces.com/contest/1093/problem/C&amp;sa=D&amp;ust=1605639553449000&amp;usg=AFQjCNE_eYZGCz3fi9xmPK_o39C_O5hGGg" TargetMode="External"/><Relationship Id="rId163" Type="http://schemas.openxmlformats.org/officeDocument/2006/relationships/hyperlink" Target="https://www.google.com/url?q=https://uva.onlinejudge.org/index.php?option%3Dcom_onlinejudge%26Itemid%3D8%26page%3Dshow_problem%26problem%3D163&amp;sa=D&amp;ust=1605639551650000&amp;usg=AFQjCNG1G95lxtko_wWgIxHnDRjZZMT80g" TargetMode="External"/><Relationship Id="rId370" Type="http://schemas.openxmlformats.org/officeDocument/2006/relationships/hyperlink" Target="https://www.google.com/url?q=http://codeforces.com/contest/47/problem/D&amp;sa=D&amp;ust=1605639551806000&amp;usg=AFQjCNFQEQrvw6T1dEmuLGyp5FBbm1_z0g" TargetMode="External"/><Relationship Id="rId2051" Type="http://schemas.openxmlformats.org/officeDocument/2006/relationships/hyperlink" Target="https://www.google.com/url?q=https://github.com/arvindr9/CompetitiveProgramming/blob/master/Hackerrank/HACKR%2520house-location.cpp&amp;sa=D&amp;ust=1605639552772000&amp;usg=AFQjCNGuEB4YfB1L_6-XsgTBbrMQKJbb4w" TargetMode="External"/><Relationship Id="rId3102" Type="http://schemas.openxmlformats.org/officeDocument/2006/relationships/hyperlink" Target="https://www.google.com/url?q=http://codeforces.com/contest/548/problem/C&amp;sa=D&amp;ust=1605639553376000&amp;usg=AFQjCNFkn7svao_DFyZhFhwt5J_do-ayaw" TargetMode="External"/><Relationship Id="rId230" Type="http://schemas.openxmlformats.org/officeDocument/2006/relationships/hyperlink" Target="https://www.google.com/url?q=http://codeforces.com/contest/71/problem/D&amp;sa=D&amp;ust=1605639551699000&amp;usg=AFQjCNE4kr1LSUoHoWeGAAp_9S3i0c2_Rw" TargetMode="External"/><Relationship Id="rId2868" Type="http://schemas.openxmlformats.org/officeDocument/2006/relationships/hyperlink" Target="https://www.google.com/url?q=https://codejam.withgoogle.com/2018/challenges/0000000000007706/dashboard/0000000000045875&amp;sa=D&amp;ust=1605639553246000&amp;usg=AFQjCNGVazJ1HaL9oIlVKN3gWuyi6CO9Kw" TargetMode="External"/><Relationship Id="rId3919" Type="http://schemas.openxmlformats.org/officeDocument/2006/relationships/hyperlink" Target="https://www.google.com/url?q=http://codeforces.com/contest/51/problem/D&amp;sa=D&amp;ust=1605639553928000&amp;usg=AFQjCNHm1GuV7WsbSxzuzcn8MJiDLeyzHQ" TargetMode="External"/><Relationship Id="rId4083" Type="http://schemas.openxmlformats.org/officeDocument/2006/relationships/hyperlink" Target="https://www.google.com/url?q=http://codeforces.com/contest/914/problem/C&amp;sa=D&amp;ust=1605639554167000&amp;usg=AFQjCNFoi5qP2Ng1tjHKlBMfdofS_7kt3g" TargetMode="External"/><Relationship Id="rId1677" Type="http://schemas.openxmlformats.org/officeDocument/2006/relationships/hyperlink" Target="https://www.google.com/url?q=https://github.com/AliOsm/CompetitiveProgramming/blob/master/UVA/13032%2520-%2520Marbles%2520in%2520Jars.cpp&amp;sa=D&amp;ust=1605639552545000&amp;usg=AFQjCNHIIN_Wc5DGyrPCV3Asg6o3Da14ag" TargetMode="External"/><Relationship Id="rId1884" Type="http://schemas.openxmlformats.org/officeDocument/2006/relationships/hyperlink" Target="https://www.google.com/url?q=https://www.hackerrank.com/challenges/n-letter&amp;sa=D&amp;ust=1605639552655000&amp;usg=AFQjCNGOgOjbbfIvvRvTq74mUvngzx1CVg" TargetMode="External"/><Relationship Id="rId2728" Type="http://schemas.openxmlformats.org/officeDocument/2006/relationships/hyperlink" Target="https://www.google.com/url?q=http://codeforces.com/problemset/problem/1012/E&amp;sa=D&amp;ust=1605639553163000&amp;usg=AFQjCNGqbzvGLrZro9oQSQchiZyimCcMHg" TargetMode="External"/><Relationship Id="rId2935" Type="http://schemas.openxmlformats.org/officeDocument/2006/relationships/hyperlink" Target="https://www.google.com/url?q=https://codeforces.com/contest/1051/problem/F&amp;sa=D&amp;ust=1605639553284000&amp;usg=AFQjCNHYbccR4pah7obeN_b_Vg8JVD0NWA" TargetMode="External"/><Relationship Id="rId4290" Type="http://schemas.openxmlformats.org/officeDocument/2006/relationships/hyperlink" Target="https://www.google.com/url?q=http://codeforces.com/contest/570/problem/D&amp;sa=D&amp;ust=1605639554280000&amp;usg=AFQjCNEbPIN0F0Mr-jbTYbTAeEicDphOBQ" TargetMode="External"/><Relationship Id="rId907" Type="http://schemas.openxmlformats.org/officeDocument/2006/relationships/hyperlink" Target="https://www.google.com/url?q=http://codeforces.com/contest/353/problem/E&amp;sa=D&amp;ust=1605639552075000&amp;usg=AFQjCNGasNx_y4lHRkHOoJCj8coEM5dFug" TargetMode="External"/><Relationship Id="rId1537" Type="http://schemas.openxmlformats.org/officeDocument/2006/relationships/hyperlink" Target="https://www.google.com/url?q=https://codeforces.com/problemset/problem/962/E&amp;sa=D&amp;ust=1605639552467000&amp;usg=AFQjCNE1LlbTUPJxsTIdMX9SKa8C1yx4HQ" TargetMode="External"/><Relationship Id="rId1744" Type="http://schemas.openxmlformats.org/officeDocument/2006/relationships/hyperlink" Target="https://www.google.com/url?q=http://codeforces.com/contest/401/problem/C&amp;sa=D&amp;ust=1605639552583000&amp;usg=AFQjCNH7dWLs3AbSil75lzHe1l98wh8GiQ" TargetMode="External"/><Relationship Id="rId1951" Type="http://schemas.openxmlformats.org/officeDocument/2006/relationships/hyperlink" Target="https://www.google.com/url?q=http://codeforces.com/contest/1030/problem/D&amp;sa=D&amp;ust=1605639552708000&amp;usg=AFQjCNGw7qtZvmWZSoDg28WIpW65MjvPlA" TargetMode="External"/><Relationship Id="rId4150" Type="http://schemas.openxmlformats.org/officeDocument/2006/relationships/hyperlink" Target="https://www.google.com/url?q=https://github.com/mostafa-saad/MyCompetitiveProgramming/blob/master/UVA/UVA_11765.txt&amp;sa=D&amp;ust=1605639554207000&amp;usg=AFQjCNH3LgijdZ-XLj2tGuZuKqDUT1QI3Q" TargetMode="External"/><Relationship Id="rId36" Type="http://schemas.openxmlformats.org/officeDocument/2006/relationships/hyperlink" Target="https://www.google.com/url?q=https://github.com/mostafa-saad/MyCompetitiveProgramming/blob/master/Kattis/kattis-hanoi18.grabagraph.txt&amp;sa=D&amp;ust=1605639551577000&amp;usg=AFQjCNHNhWy6hUuRw3y84XQ_Ih1-Vq2Pfw" TargetMode="External"/><Relationship Id="rId1604" Type="http://schemas.openxmlformats.org/officeDocument/2006/relationships/hyperlink" Target="https://www.google.com/url?q=http://codeforces.com/contest/496/problem/D&amp;sa=D&amp;ust=1605639552504000&amp;usg=AFQjCNGiH96-tgSldlO3aP6pyjf9fj7QGQ" TargetMode="External"/><Relationship Id="rId4010" Type="http://schemas.openxmlformats.org/officeDocument/2006/relationships/hyperlink" Target="https://www.google.com/url?q=http://codeforces.com/contest/190/problem/D&amp;sa=D&amp;ust=1605639554131000&amp;usg=AFQjCNEtsP1p15NMX9M8wX_8_fM3Z1aKfg" TargetMode="External"/><Relationship Id="rId1811" Type="http://schemas.openxmlformats.org/officeDocument/2006/relationships/hyperlink" Target="https://www.google.com/url?q=http://codeforces.com/contest/78/problem/C&amp;sa=D&amp;ust=1605639552618000&amp;usg=AFQjCNHzdYyEd12KOuwj4hW_X3dzABnaNA" TargetMode="External"/><Relationship Id="rId3569" Type="http://schemas.openxmlformats.org/officeDocument/2006/relationships/hyperlink" Target="https://www.google.com/url?q=https://codeforces.com/contest/691/problem/E&amp;sa=D&amp;ust=1605639553706000&amp;usg=AFQjCNFxiwTS_voeet30BQ7iAp7DwmhqyA" TargetMode="External"/><Relationship Id="rId697" Type="http://schemas.openxmlformats.org/officeDocument/2006/relationships/hyperlink" Target="https://www.google.com/url?q=https://codeforces.com/contest/1099/problem/F&amp;sa=D&amp;ust=1605639551963000&amp;usg=AFQjCNFIyn1aaalMdocKbXR54o3X2YhZoA" TargetMode="External"/><Relationship Id="rId2378" Type="http://schemas.openxmlformats.org/officeDocument/2006/relationships/hyperlink" Target="https://www.google.com/url?q=https://www.facebook.com/hackercup/problem/988017871357549/&amp;sa=D&amp;ust=1605639552957000&amp;usg=AFQjCNG7hUedfYYewZEoWTyz_B78DafbGA" TargetMode="External"/><Relationship Id="rId3429" Type="http://schemas.openxmlformats.org/officeDocument/2006/relationships/hyperlink" Target="https://www.google.com/url?q=https://github.com/thackerhelik/UVA/blob/master/10460.py&amp;sa=D&amp;ust=1605639553569000&amp;usg=AFQjCNHGz_s7rTcrkYGmhGcEmJuU57pTUw" TargetMode="External"/><Relationship Id="rId3776" Type="http://schemas.openxmlformats.org/officeDocument/2006/relationships/hyperlink" Target="https://www.google.com/url?q=https://codeforces.com/contest/1045/problem/B&amp;sa=D&amp;ust=1605639553845000&amp;usg=AFQjCNHlqe4CRP-Zf3jQ96uPd3dc3xlVmA" TargetMode="External"/><Relationship Id="rId3983" Type="http://schemas.openxmlformats.org/officeDocument/2006/relationships/hyperlink" Target="https://www.google.com/url?q=https://codeforces.com/contest/1252/problem/E&amp;sa=D&amp;ust=1605639553965000&amp;usg=AFQjCNGERJQesfusgVpOyY0Qh0ALxRoOqA" TargetMode="External"/><Relationship Id="rId1187" Type="http://schemas.openxmlformats.org/officeDocument/2006/relationships/hyperlink" Target="https://www.google.com/url?q=https://codeforces.com/contest/1057/problem/C&amp;sa=D&amp;ust=1605639552232000&amp;usg=AFQjCNEHoDLX0Exr04ijIWmBroMedqLIYg" TargetMode="External"/><Relationship Id="rId2585" Type="http://schemas.openxmlformats.org/officeDocument/2006/relationships/hyperlink" Target="https://www.google.com/url?q=http://codeforces.com/contest/194/problem/C&amp;sa=D&amp;ust=1605639553078000&amp;usg=AFQjCNFPbL0e68_iKnZlxJZVBWPa1kTkow" TargetMode="External"/><Relationship Id="rId2792" Type="http://schemas.openxmlformats.org/officeDocument/2006/relationships/hyperlink" Target="https://www.google.com/url?q=https://github.com/swapnil119/CompetitiveProgramming/blob/master/CompetitiveProgramming/Codeforces/CF101873-GYM-F.cpp&amp;sa=D&amp;ust=1605639553207000&amp;usg=AFQjCNGS2SgJJyXblfiNpGMqpMBhw_r-3w" TargetMode="External"/><Relationship Id="rId3636" Type="http://schemas.openxmlformats.org/officeDocument/2006/relationships/hyperlink" Target="https://www.google.com/url?q=https://github.com/AliOsm/CompetitiveProgramming/blob/8f0ba8d2fea1322e1563b4b4e6f35807e9a9e73c/SPOJ/BALLSUM%2520-%2520Ball%2520sum.cpp&amp;sa=D&amp;ust=1605639553752000&amp;usg=AFQjCNEbSw9GgB20sRvWbEZXnyYmXo0S5w" TargetMode="External"/><Relationship Id="rId3843" Type="http://schemas.openxmlformats.org/officeDocument/2006/relationships/hyperlink" Target="https://www.google.com/url?q=http://web.stanford.edu/class/cs97si/suffix-array.pdf&amp;sa=D&amp;ust=1605639553890000&amp;usg=AFQjCNEX8y80Ww-zyV12JpSuU4FHLn35rQ" TargetMode="External"/><Relationship Id="rId557" Type="http://schemas.openxmlformats.org/officeDocument/2006/relationships/hyperlink" Target="https://www.google.com/url?q=https://codeforces.com/contest/1237/problem/D&amp;sa=D&amp;ust=1605639551910000&amp;usg=AFQjCNFVpMJgHOh1hLLOpSfhkPRrJQONaQ" TargetMode="External"/><Relationship Id="rId764" Type="http://schemas.openxmlformats.org/officeDocument/2006/relationships/hyperlink" Target="https://www.google.com/url?q=http://www.spoj.com/problems/GSS1/&amp;sa=D&amp;ust=1605639551995000&amp;usg=AFQjCNE2xEX9n_6b1LK52g6pL8alUlE22g" TargetMode="External"/><Relationship Id="rId971" Type="http://schemas.openxmlformats.org/officeDocument/2006/relationships/hyperlink" Target="https://www.google.com/url?q=https://www.codechef.com/problems/COINDENO&amp;sa=D&amp;ust=1605639552111000&amp;usg=AFQjCNGE8KrhjjGcmGFU8P3r0JfQIiaJCg" TargetMode="External"/><Relationship Id="rId1394" Type="http://schemas.openxmlformats.org/officeDocument/2006/relationships/hyperlink" Target="https://www.google.com/url?q=http://codeforces.com/problemset/gymProblem/100531/K&amp;sa=D&amp;ust=1605639552375000&amp;usg=AFQjCNHtubq5218x6Q7i_MrD9OYbLRWllA" TargetMode="External"/><Relationship Id="rId2238" Type="http://schemas.openxmlformats.org/officeDocument/2006/relationships/hyperlink" Target="https://www.google.com/url?q=https://github.com/mostafa-saad/MyCompetitiveProgramming/blob/master/SPOJ/SPOJ_CEPC08B.txt&amp;sa=D&amp;ust=1605639552891000&amp;usg=AFQjCNGiJJL_UwVB7gdmCEc2tRME05k60Q" TargetMode="External"/><Relationship Id="rId2445" Type="http://schemas.openxmlformats.org/officeDocument/2006/relationships/hyperlink" Target="https://www.google.com/url?q=https://www.hackerearth.com/practice/algorithms/graphs/breadth-first-search/practice-problems/algorithm/pasha-jumps-on-a-permutation-june-easy-19-9e608b68/&amp;sa=D&amp;ust=1605639552993000&amp;usg=AFQjCNEXG7ofNB78K1mviWnv7aLs_31jOg" TargetMode="External"/><Relationship Id="rId2652" Type="http://schemas.openxmlformats.org/officeDocument/2006/relationships/hyperlink" Target="https://www.google.com/url?q=https://github.com/magdy-hasan/competitive-programming/blob/master/uva-/uva%252011813%2520-%2520Shopping.cpp&amp;sa=D&amp;ust=1605639553122000&amp;usg=AFQjCNF24eUwfO5IQNeX6ESFI7fS8dPnpQ" TargetMode="External"/><Relationship Id="rId3703" Type="http://schemas.openxmlformats.org/officeDocument/2006/relationships/hyperlink" Target="https://www.google.com/url?q=https://www.hackerrank.com/challenges/choose-and-calculate&amp;sa=D&amp;ust=1605639553797000&amp;usg=AFQjCNGqI8e7SJY0-5AE7XQrQ02ZiOWILQ" TargetMode="External"/><Relationship Id="rId3910" Type="http://schemas.openxmlformats.org/officeDocument/2006/relationships/hyperlink" Target="https://www.google.com/url?q=https://github.com/andmej/competitive_programming/blob/master/ICPC%2520Live%2520Archive/2945%2520-%2520Help%2520R2-D2/2945.cpp&amp;sa=D&amp;ust=1605639553924000&amp;usg=AFQjCNGMPYrsH5lTNFArzr-spkiKBY5FMA" TargetMode="External"/><Relationship Id="rId417" Type="http://schemas.openxmlformats.org/officeDocument/2006/relationships/hyperlink" Target="https://www.google.com/url?q=https://github.com/mostafa-saad/MyCompetitiveProgramming/blob/master/SPOJ/SPOJ_PATULJCI.txt&amp;sa=D&amp;ust=1605639551850000&amp;usg=AFQjCNGZQ6xIvzGRLWSLdxysQpqriDIhHA" TargetMode="External"/><Relationship Id="rId624" Type="http://schemas.openxmlformats.org/officeDocument/2006/relationships/hyperlink" Target="https://www.google.com/url?q=http://codeforces.com/contest/258/problem/E&amp;sa=D&amp;ust=1605639551934000&amp;usg=AFQjCNF-M3smmJJXOwNHlNzTxzbLrJv58g" TargetMode="External"/><Relationship Id="rId831" Type="http://schemas.openxmlformats.org/officeDocument/2006/relationships/hyperlink" Target="https://www.google.com/url?q=https://www.quora.com/How-can-I-solve-a-KPMATRIX-problem-on-SPOJ&amp;sa=D&amp;ust=1605639552030000&amp;usg=AFQjCNEQTUtyO59oSV4H4xwrkwlO4aienw" TargetMode="External"/><Relationship Id="rId1047" Type="http://schemas.openxmlformats.org/officeDocument/2006/relationships/hyperlink" Target="https://www.google.com/url?q=https://codeforces.com/contest/1078/problem/B&amp;sa=D&amp;ust=1605639552147000&amp;usg=AFQjCNGaJUYe546_NeqAyq0hCKCo0A-h8Q" TargetMode="External"/><Relationship Id="rId1254" Type="http://schemas.openxmlformats.org/officeDocument/2006/relationships/hyperlink" Target="https://www.google.com/url?q=https://www.facebook.com/hackercup/problem/180494849326631/&amp;sa=D&amp;ust=1605639552292000&amp;usg=AFQjCNExaJuehTS4FvF3cnjkAp1LJDmVdA" TargetMode="External"/><Relationship Id="rId1461" Type="http://schemas.openxmlformats.org/officeDocument/2006/relationships/hyperlink" Target="https://www.google.com/url?q=http://codeforces.com/contest/168/problem/D&amp;sa=D&amp;ust=1605639552422000&amp;usg=AFQjCNH_s-NeGlZO6KJeQbpSm1QFP7sSow" TargetMode="External"/><Relationship Id="rId2305" Type="http://schemas.openxmlformats.org/officeDocument/2006/relationships/hyperlink" Target="https://www.google.com/url?q=https://github.com/mostafa-saad/MyCompetitiveProgramming/blob/master/Codeforces/CF101939-GYM-K.txt&amp;sa=D&amp;ust=1605639552931000&amp;usg=AFQjCNEvPKZC8INsRGOeWoaHcC6AZBVq-g" TargetMode="External"/><Relationship Id="rId2512" Type="http://schemas.openxmlformats.org/officeDocument/2006/relationships/hyperlink" Target="https://www.google.com/url?q=http://codeforces.com/contest/19/problem/E&amp;sa=D&amp;ust=1605639553039000&amp;usg=AFQjCNHPyKPWyagadIVWJtPWNMniWcSlTg" TargetMode="External"/><Relationship Id="rId1114" Type="http://schemas.openxmlformats.org/officeDocument/2006/relationships/hyperlink" Target="https://www.google.com/url?q=http://codeforces.com/problemset/problem/494/B&amp;sa=D&amp;ust=1605639552190000&amp;usg=AFQjCNHmPt6AM9ZniMjb2Cm8PQvfq_5k-Q" TargetMode="External"/><Relationship Id="rId1321" Type="http://schemas.openxmlformats.org/officeDocument/2006/relationships/hyperlink" Target="https://www.google.com/url?q=http://codeforces.com/contest/472/problem/G&amp;sa=D&amp;ust=1605639552327000&amp;usg=AFQjCNHWTNcBSX69LI0w8M2cw8cu49XLBg" TargetMode="External"/><Relationship Id="rId3079" Type="http://schemas.openxmlformats.org/officeDocument/2006/relationships/hyperlink" Target="https://www.google.com/url?q=http://codeforces.com/contest/519/problem/E&amp;sa=D&amp;ust=1605639553362000&amp;usg=AFQjCNFiYmcl7pxkyCgD1iempzYK_-rhBQ" TargetMode="External"/><Relationship Id="rId3286" Type="http://schemas.openxmlformats.org/officeDocument/2006/relationships/hyperlink" Target="https://www.google.com/url?q=https://uva.onlinejudge.org/index.php?option%3Dcom_onlinejudge%26Itemid%3D8%26page%3Dshow_problem%26problem%3D1820&amp;sa=D&amp;ust=1605639553474000&amp;usg=AFQjCNEvF6dx1PSCAwjgruGOqR-PvoWfmw" TargetMode="External"/><Relationship Id="rId3493" Type="http://schemas.openxmlformats.org/officeDocument/2006/relationships/hyperlink" Target="https://www.google.com/url?q=https://uva.onlinejudge.org/index.php?option%3Dcom_onlinejudge%26Itemid%3D8%26page%3Dshow_problem%26problem%3D318&amp;sa=D&amp;ust=1605639553615000&amp;usg=AFQjCNHxCDcsHua2gWnvDKo8cB9JJp5_rA" TargetMode="External"/><Relationship Id="rId4337" Type="http://schemas.openxmlformats.org/officeDocument/2006/relationships/hyperlink" Target="https://www.google.com/url?q=https://www.hackerrank.com/contests/monthly/challenges/alien-languages/problem&amp;sa=D&amp;ust=1605639554299000&amp;usg=AFQjCNEfwTwqinXEw0C8YgjdlhV88mUIZg" TargetMode="External"/><Relationship Id="rId2095" Type="http://schemas.openxmlformats.org/officeDocument/2006/relationships/hyperlink" Target="https://www.google.com/url?q=https://github.com/AbdelrahmanRamadan/competitive-programming/blob/master/Topcoder/SRM373%2520RectangleCrossings.cpp&amp;sa=D&amp;ust=1605639552801000&amp;usg=AFQjCNEUdnBcnV2Lajvp45DjVXETYbB5Qw" TargetMode="External"/><Relationship Id="rId3146" Type="http://schemas.openxmlformats.org/officeDocument/2006/relationships/hyperlink" Target="https://www.google.com/url?q=https://codeforces.com/contest/997/problem/B&amp;sa=D&amp;ust=1605639553402000&amp;usg=AFQjCNEBaSOPh42f3ZAe8JQOdy0cEm65VA" TargetMode="External"/><Relationship Id="rId3353" Type="http://schemas.openxmlformats.org/officeDocument/2006/relationships/hyperlink" Target="https://www.google.com/url?q=http://codeforces.com/contest/151/problem/D&amp;sa=D&amp;ust=1605639553520000&amp;usg=AFQjCNE1UUVqQfUW8ngLt_P7T0RoDKDTCw" TargetMode="External"/><Relationship Id="rId274" Type="http://schemas.openxmlformats.org/officeDocument/2006/relationships/hyperlink" Target="https://www.google.com/url?q=https://codeforces.com/problemset/problem/1032/G&amp;sa=D&amp;ust=1605639551746000&amp;usg=AFQjCNE9RB84gJEhYeJDchtdJR5YiZdf2A" TargetMode="External"/><Relationship Id="rId481" Type="http://schemas.openxmlformats.org/officeDocument/2006/relationships/hyperlink" Target="https://www.google.com/url?q=http://www.spoj.com/problems/ICPCS/&amp;sa=D&amp;ust=1605639551878000&amp;usg=AFQjCNHUnib8HbYL4YyjRptHHpSKxGCLtQ" TargetMode="External"/><Relationship Id="rId2162" Type="http://schemas.openxmlformats.org/officeDocument/2006/relationships/hyperlink" Target="https://www.google.com/url?q=https://morris821028.github.io/2014/11/15/oj/uva/uva-10117/&amp;sa=D&amp;ust=1605639552846000&amp;usg=AFQjCNGrkKPMkD53SCn87QWYqcyRa5A4Kg" TargetMode="External"/><Relationship Id="rId3006" Type="http://schemas.openxmlformats.org/officeDocument/2006/relationships/hyperlink" Target="https://www.google.com/url?q=http://lightoj.com/volume_showproblem.php?problem%3D1407&amp;sa=D&amp;ust=1605639553323000&amp;usg=AFQjCNF1k9zJHwS_u5qLC1vkMtJ7susHQQ" TargetMode="External"/><Relationship Id="rId3560" Type="http://schemas.openxmlformats.org/officeDocument/2006/relationships/hyperlink" Target="https://www.google.com/url?q=https://github.com/mostafa-saad/MyCompetitiveProgramming/blob/master/LiveArchive/LIVEARCHIVE_4332.txt&amp;sa=D&amp;ust=1605639553694000&amp;usg=AFQjCNEdpv6_SmqPmcU7cwJZM-4B9g8S0Q" TargetMode="External"/><Relationship Id="rId4404" Type="http://schemas.openxmlformats.org/officeDocument/2006/relationships/hyperlink" Target="https://www.google.com/url?q=https://github.com/OmarHashim/Competitive-Programming/blob/master/CodeForces/CF101889-GYM-G.cpp&amp;sa=D&amp;ust=1605639554331000&amp;usg=AFQjCNHOBhLJOioGi9m8orHUBI6uah6CXg" TargetMode="External"/><Relationship Id="rId134" Type="http://schemas.openxmlformats.org/officeDocument/2006/relationships/hyperlink" Target="https://www.google.com/url?q=https://github.com/mostafa-saad/MyCompetitiveProgramming/blob/master/SPOJ/SPOJ_TWINSNOW.txt&amp;sa=D&amp;ust=1605639551633000&amp;usg=AFQjCNGAMcC3IQBpyL7pQroVET3Gc70ypg" TargetMode="External"/><Relationship Id="rId3213" Type="http://schemas.openxmlformats.org/officeDocument/2006/relationships/hyperlink" Target="https://www.google.com/url?q=http://codeforces.com/problemset/problem/955/C&amp;sa=D&amp;ust=1605639553432000&amp;usg=AFQjCNGnwehgQ7AigN7pFVT2bI11wbO-Xw" TargetMode="External"/><Relationship Id="rId3420" Type="http://schemas.openxmlformats.org/officeDocument/2006/relationships/hyperlink" Target="https://www.google.com/url?q=https://atcoder.jp/contests/abc150/tasks/abc150_e&amp;sa=D&amp;ust=1605639553564000&amp;usg=AFQjCNG_b4ViIgM7lswiMyEQlYxgOkZRCA" TargetMode="External"/><Relationship Id="rId341" Type="http://schemas.openxmlformats.org/officeDocument/2006/relationships/hyperlink" Target="https://www.google.com/url?q=https://codeforces.com/contest/284/problem/C&amp;sa=D&amp;ust=1605639551777000&amp;usg=AFQjCNHfhLouxsvu_jBpt4PtY6eH1N2Dog" TargetMode="External"/><Relationship Id="rId2022" Type="http://schemas.openxmlformats.org/officeDocument/2006/relationships/hyperlink" Target="https://www.google.com/url?q=https://github.com/osamahatem/CompetitiveProgramming/blob/master/Timus/1020.%2520Rope.cpp&amp;sa=D&amp;ust=1605639552747000&amp;usg=AFQjCNFaKKRzzMlgMNQFd54kY8WXKDnHIw" TargetMode="External"/><Relationship Id="rId2979" Type="http://schemas.openxmlformats.org/officeDocument/2006/relationships/hyperlink" Target="https://www.google.com/url?q=http://codeforces.com/contest/403/problem/C&amp;sa=D&amp;ust=1605639553308000&amp;usg=AFQjCNGIe8nAj08qzoPTCWdYsBlgC1jwHg" TargetMode="External"/><Relationship Id="rId201" Type="http://schemas.openxmlformats.org/officeDocument/2006/relationships/hyperlink" Target="https://www.google.com/url?q=http://codeforces.com/contest/105/problem/C&amp;sa=D&amp;ust=1605639551680000&amp;usg=AFQjCNE24dSDHYzysqSPovR8u3Vr4dzVBg" TargetMode="External"/><Relationship Id="rId1788" Type="http://schemas.openxmlformats.org/officeDocument/2006/relationships/hyperlink" Target="https://www.google.com/url?q=http://codeforces.com/contest/549/problem/C&amp;sa=D&amp;ust=1605639552607000&amp;usg=AFQjCNHzSfHw7ozasS3wpxzjLrgk3BwCuA" TargetMode="External"/><Relationship Id="rId1995" Type="http://schemas.openxmlformats.org/officeDocument/2006/relationships/hyperlink" Target="https://www.google.com/url?q=http://codeforces.com/contest/409/problem/B&amp;sa=D&amp;ust=1605639552730000&amp;usg=AFQjCNE6y5ZtEGZSNL-dpfj-renYQ3JcYw" TargetMode="External"/><Relationship Id="rId2839" Type="http://schemas.openxmlformats.org/officeDocument/2006/relationships/hyperlink" Target="https://www.google.com/url?q=http://codeforces.com/gym/101845/problem/F&amp;sa=D&amp;ust=1605639553231000&amp;usg=AFQjCNGcL8-QLjcKdFJZbqx7F5Jb2KV16A" TargetMode="External"/><Relationship Id="rId4194" Type="http://schemas.openxmlformats.org/officeDocument/2006/relationships/hyperlink" Target="https://www.google.com/url?q=http://codeforces.com/contest/443/submission/27060632&amp;sa=D&amp;ust=1605639554239000&amp;usg=AFQjCNEhqjqecaKPUftU4Sqz5jIqo7YSRA" TargetMode="External"/><Relationship Id="rId1648" Type="http://schemas.openxmlformats.org/officeDocument/2006/relationships/hyperlink" Target="https://www.google.com/url?q=http://codeforces.com/contest/1038/problem/D&amp;sa=D&amp;ust=1605639552528000&amp;usg=AFQjCNGQiJU-YLu_hMXDbJ7EDKJn7PDtuA" TargetMode="External"/><Relationship Id="rId4054" Type="http://schemas.openxmlformats.org/officeDocument/2006/relationships/hyperlink" Target="https://www.google.com/url?q=https://github.com/mostafa-saad/MyCompetitiveProgramming/blob/master/HACKERRANK/HACKER-sprint5-mining.txt&amp;sa=D&amp;ust=1605639554152000&amp;usg=AFQjCNGkE-FInC_gtVMcEu7vU5pr4-0zog" TargetMode="External"/><Relationship Id="rId4261" Type="http://schemas.openxmlformats.org/officeDocument/2006/relationships/hyperlink" Target="https://www.google.com/url?q=http://codeforces.com/problemset/problem/932/F&amp;sa=D&amp;ust=1605639554269000&amp;usg=AFQjCNEYyuHaFuvSQafNXpuD2Yzm2az0iA" TargetMode="External"/><Relationship Id="rId1508" Type="http://schemas.openxmlformats.org/officeDocument/2006/relationships/hyperlink" Target="https://www.google.com/url?q=https://github.com/MichaelMounir12/CompetitiveProgramming/blob/eb1a3bc5b6e5be70605a78b1769b4ce6df81bf89/UVA/UVA_1239.cpp&amp;sa=D&amp;ust=1605639552451000&amp;usg=AFQjCNEU6MJ9lsLjXSpEsOXcAMtpF2evaQ" TargetMode="External"/><Relationship Id="rId1855" Type="http://schemas.openxmlformats.org/officeDocument/2006/relationships/hyperlink" Target="https://www.google.com/url?q=https://blog.csdn.net/y1196645376/article/details/52150885&amp;sa=D&amp;ust=1605639552642000&amp;usg=AFQjCNGFHt0y8rKmUiewzEM5klKiW-_cqQ" TargetMode="External"/><Relationship Id="rId2906" Type="http://schemas.openxmlformats.org/officeDocument/2006/relationships/hyperlink" Target="https://www.google.com/url?q=http://codeforces.com/blog/entry/51600&amp;sa=D&amp;ust=1605639553268000&amp;usg=AFQjCNGtpGvJyq3-kLlgzKX34GiEE_v71g" TargetMode="External"/><Relationship Id="rId3070" Type="http://schemas.openxmlformats.org/officeDocument/2006/relationships/hyperlink" Target="https://www.google.com/url?q=http://codeforces.com/gym/100091/problem/D&amp;sa=D&amp;ust=1605639553358000&amp;usg=AFQjCNGxSv7jhPVakaM9EgwMm3MwQiKjYg" TargetMode="External"/><Relationship Id="rId4121" Type="http://schemas.openxmlformats.org/officeDocument/2006/relationships/hyperlink" Target="https://www.google.com/url?q=https://agc027.contest.atcoder.jp/tasks/agc027_c&amp;sa=D&amp;ust=1605639554189000&amp;usg=AFQjCNHnDTp6aZkU6v_jNAOuJuBs9j3oJA" TargetMode="External"/><Relationship Id="rId1715" Type="http://schemas.openxmlformats.org/officeDocument/2006/relationships/hyperlink" Target="https://www.google.com/url?q=https://github.com/mostafa-saad/MyCompetitiveProgramming/blob/master/UVA/UVA_12124.txt&amp;sa=D&amp;ust=1605639552568000&amp;usg=AFQjCNE6ZfYYx0P6VKM-rb8XdJX6nxzf-Q" TargetMode="External"/><Relationship Id="rId1922" Type="http://schemas.openxmlformats.org/officeDocument/2006/relationships/hyperlink" Target="https://www.google.com/url?q=https://www.hackerearth.com/problem/algorithm/flying-square-4a157cad/&amp;sa=D&amp;ust=1605639552691000&amp;usg=AFQjCNGvBZxWLQBHLf95zlJcwL7AD7hwOg" TargetMode="External"/><Relationship Id="rId3887" Type="http://schemas.openxmlformats.org/officeDocument/2006/relationships/hyperlink" Target="https://www.google.com/url?q=http://acm.hdu.edu.cn/showproblem.php?pid%3D4638&amp;sa=D&amp;ust=1605639553913000&amp;usg=AFQjCNGtXVvdEgjFegP1VyuaOmGhbefxcQ" TargetMode="External"/><Relationship Id="rId2489" Type="http://schemas.openxmlformats.org/officeDocument/2006/relationships/hyperlink" Target="https://www.google.com/url?q=http://codeforces.com/contest/456/problem/E&amp;sa=D&amp;ust=1605639553026000&amp;usg=AFQjCNFFxUCHvwfDFl0QutGkcKi5DDOW-Q" TargetMode="External"/><Relationship Id="rId2696" Type="http://schemas.openxmlformats.org/officeDocument/2006/relationships/hyperlink" Target="https://www.google.com/url?q=https://github.com/farmerboy95/CompetitiveProgramming/blob/master/Codeforces/CF1242-D1-B.cpp&amp;sa=D&amp;ust=1605639553146000&amp;usg=AFQjCNGDCVQZU3e6wKidcuMKo0XlEZCeqg" TargetMode="External"/><Relationship Id="rId3747" Type="http://schemas.openxmlformats.org/officeDocument/2006/relationships/hyperlink" Target="https://www.google.com/url?q=https://github.com/racsosabe/CompetitiveProgramming/blob/master/PKU/3764.cpp&amp;sa=D&amp;ust=1605639553829000&amp;usg=AFQjCNHVjpNziZ0ozQf4W1EqzuOE11IzoQ" TargetMode="External"/><Relationship Id="rId3954" Type="http://schemas.openxmlformats.org/officeDocument/2006/relationships/hyperlink" Target="https://www.google.com/url?q=http://codeforces.com/contest/507/problem/C&amp;sa=D&amp;ust=1605639553945000&amp;usg=AFQjCNEDLk0-GDhB45YoGbP7iSc4yK6VDw" TargetMode="External"/><Relationship Id="rId668" Type="http://schemas.openxmlformats.org/officeDocument/2006/relationships/hyperlink" Target="https://www.google.com/url?q=https://github.com/mostafa-saad/MyCompetitiveProgramming/blob/master/SPOJ/SPOJ_FREQUENT.txt&amp;sa=D&amp;ust=1605639551949000&amp;usg=AFQjCNH57EIgUkjU5tB03HJ8n9H9KDP48g" TargetMode="External"/><Relationship Id="rId875" Type="http://schemas.openxmlformats.org/officeDocument/2006/relationships/hyperlink" Target="https://www.google.com/url?q=http://codeforces.com/contest/102/problem/D&amp;sa=D&amp;ust=1605639552054000&amp;usg=AFQjCNG9NAwDrUBaSu6fpMZupjnHmmRfUg" TargetMode="External"/><Relationship Id="rId1298" Type="http://schemas.openxmlformats.org/officeDocument/2006/relationships/hyperlink" Target="https://www.google.com/url?q=https://codeforces.com/contest/743/problem/E&amp;sa=D&amp;ust=1605639552316000&amp;usg=AFQjCNHDVEQibrhdpTG0UOcCjyXD38Zo7g" TargetMode="External"/><Relationship Id="rId2349" Type="http://schemas.openxmlformats.org/officeDocument/2006/relationships/hyperlink" Target="https://www.google.com/url?q=https://beta.atcoder.jp/contests/arc103/tasks/arc103_c&amp;sa=D&amp;ust=1605639552947000&amp;usg=AFQjCNGSdYi0KxLEE1Lnu6nVHHQhcmJV1A" TargetMode="External"/><Relationship Id="rId2556" Type="http://schemas.openxmlformats.org/officeDocument/2006/relationships/hyperlink" Target="https://www.google.com/url?q=https://github.com/osamahatem/CompetitiveProgramming/blob/master/Codeforces/100517L.%2520Least%2520Common%2520Ancestor.cpp&amp;sa=D&amp;ust=1605639553062000&amp;usg=AFQjCNGnBzRppp0b1SOUqyRPkLfnw8RTog" TargetMode="External"/><Relationship Id="rId2763" Type="http://schemas.openxmlformats.org/officeDocument/2006/relationships/hyperlink" Target="https://www.google.com/url?q=https://github.com/OmarMekkawy/Problems-Solved-Codes/blob/master/CodeForces/189D.cpp&amp;sa=D&amp;ust=1605639553185000&amp;usg=AFQjCNGVBO5rOeHGQZZ3XaKUhQe8ZRBzUw" TargetMode="External"/><Relationship Id="rId2970" Type="http://schemas.openxmlformats.org/officeDocument/2006/relationships/hyperlink" Target="https://www.google.com/url?q=https://ideone.com/lXrzWF&amp;sa=D&amp;ust=1605639553301000&amp;usg=AFQjCNEaRgYqhsmt-UZ5cA4bxi0WBY0APA" TargetMode="External"/><Relationship Id="rId3607" Type="http://schemas.openxmlformats.org/officeDocument/2006/relationships/hyperlink" Target="https://www.google.com/url?q=https://github.com/aboodJAD/CompetitiveProgramming/blob/master/UVA/UVA%2520557.cpp&amp;sa=D&amp;ust=1605639553738000&amp;usg=AFQjCNFe2ntCDSaHtAR97kVzWBvUvsO2Lw" TargetMode="External"/><Relationship Id="rId3814" Type="http://schemas.openxmlformats.org/officeDocument/2006/relationships/hyperlink" Target="https://www.google.com/url?q=https://github.com/OmarHashim/Competitive-Programming/blob/master/CodeForces/CF101889-GYM-M.cpp&amp;sa=D&amp;ust=1605639553873000&amp;usg=AFQjCNEeXWwZTmSE8F2_NnSS8fktP37ghw" TargetMode="External"/><Relationship Id="rId528" Type="http://schemas.openxmlformats.org/officeDocument/2006/relationships/hyperlink" Target="https://www.google.com/url?q=http://codeforces.com/contest/327/problem/E&amp;sa=D&amp;ust=1605639551898000&amp;usg=AFQjCNGrKvCdyHx-Qsu7djZZQD5uwTTVOA" TargetMode="External"/><Relationship Id="rId735" Type="http://schemas.openxmlformats.org/officeDocument/2006/relationships/hyperlink" Target="https://www.google.com/url?q=https://codeforces.com/gym/101807/problem/J&amp;sa=D&amp;ust=1605639551980000&amp;usg=AFQjCNFnnQbMOnP5yD-MhFk-L6KjL6mbjg" TargetMode="External"/><Relationship Id="rId942" Type="http://schemas.openxmlformats.org/officeDocument/2006/relationships/hyperlink" Target="https://www.google.com/url?q=http://codeforces.com/contest/655/problem/E&amp;sa=D&amp;ust=1605639552093000&amp;usg=AFQjCNEu5VIqfRCEyEjRoAXoG3ld6wSaoQ" TargetMode="External"/><Relationship Id="rId1158" Type="http://schemas.openxmlformats.org/officeDocument/2006/relationships/hyperlink" Target="https://www.google.com/url?q=http://codeforces.com/contest/417/problem/D&amp;sa=D&amp;ust=1605639552216000&amp;usg=AFQjCNFYfq-13fI70GrVaPbaaAQvZk1dIQ" TargetMode="External"/><Relationship Id="rId1365" Type="http://schemas.openxmlformats.org/officeDocument/2006/relationships/hyperlink" Target="https://www.google.com/url?q=https://agc013.contest.atcoder.jp/tasks/agc013_d&amp;sa=D&amp;ust=1605639552355000&amp;usg=AFQjCNFr9OME9r-YuL-LPrKJklDd-PfntA" TargetMode="External"/><Relationship Id="rId1572" Type="http://schemas.openxmlformats.org/officeDocument/2006/relationships/hyperlink" Target="https://www.google.com/url?q=https://github.com/farmerboy95/CompetitiveProgramming/blob/master/AtCoder/AtCoder140-ABC-F.cpp&amp;sa=D&amp;ust=1605639552484000&amp;usg=AFQjCNHwAnDzl-frhn9m4l5gWXwjcFA0dg" TargetMode="External"/><Relationship Id="rId2209" Type="http://schemas.openxmlformats.org/officeDocument/2006/relationships/hyperlink" Target="https://www.google.com/url?q=https://github.com/mostafa-saad/MyCompetitiveProgramming/blob/master/UVA/UVA_10043.txt&amp;sa=D&amp;ust=1605639552878000&amp;usg=AFQjCNEgH3bgN04i45UyNinpO0SqhbANLg" TargetMode="External"/><Relationship Id="rId2416" Type="http://schemas.openxmlformats.org/officeDocument/2006/relationships/hyperlink" Target="https://www.google.com/url?q=https://github.com/tmwilliamlin168/CompetitiveProgramming/blob/master/CodeForces/CF789-D2-E.java&amp;sa=D&amp;ust=1605639552978000&amp;usg=AFQjCNFosmLP2ZuaUmrHwGoqCioBC8ZqWw" TargetMode="External"/><Relationship Id="rId2623" Type="http://schemas.openxmlformats.org/officeDocument/2006/relationships/hyperlink" Target="https://www.google.com/url?q=https://github.com/mostafa-saad/MyCompetitiveProgramming/blob/master/UVA/UVA_10740.txt&amp;sa=D&amp;ust=1605639553107000&amp;usg=AFQjCNGFDpTMVyvqRnIClfHDC1j44CwfKQ" TargetMode="External"/><Relationship Id="rId1018" Type="http://schemas.openxmlformats.org/officeDocument/2006/relationships/hyperlink" Target="https://www.google.com/url?q=http://codeforces.com/contest/133/problem/E&amp;sa=D&amp;ust=1605639552134000&amp;usg=AFQjCNHp6OqVpaawgfqem7kkq0L0g_7LBQ" TargetMode="External"/><Relationship Id="rId1225" Type="http://schemas.openxmlformats.org/officeDocument/2006/relationships/hyperlink" Target="https://www.google.com/url?q=https://github.com/mostafa-saad/MyCompetitiveProgramming/blob/master/Codeforces/CF102190-GYM-B.txt&amp;sa=D&amp;ust=1605639552266000&amp;usg=AFQjCNHda_vgsSLbvVR0mkw0HbNm_xPBFw" TargetMode="External"/><Relationship Id="rId1432" Type="http://schemas.openxmlformats.org/officeDocument/2006/relationships/hyperlink" Target="https://www.google.com/url?q=http://codeforces.com/contest/499/problem/D&amp;sa=D&amp;ust=1605639552405000&amp;usg=AFQjCNHDDMXIVrGroBSsN9_aKt4v1CRfbg" TargetMode="External"/><Relationship Id="rId2830" Type="http://schemas.openxmlformats.org/officeDocument/2006/relationships/hyperlink" Target="https://www.google.com/url?q=https://github.com/BRAINOOOO/CompetitiveProgramming/blob/d60a5d1364a8f6aba3cd785c1e5d7825bf3818bc/UVA/UVA%2520563.Cpp&amp;sa=D&amp;ust=1605639553226000&amp;usg=AFQjCNHPATuHcEu81valcMMFozLXj2339w" TargetMode="External"/><Relationship Id="rId71" Type="http://schemas.openxmlformats.org/officeDocument/2006/relationships/hyperlink" Target="https://www.google.com/url?q=http://arc079.contest.atcoder.jp/tasks/arc079_c&amp;sa=D&amp;ust=1605639551594000&amp;usg=AFQjCNGiD7g9WjR8bUy4O_UmlmE67f3-Yw" TargetMode="External"/><Relationship Id="rId802" Type="http://schemas.openxmlformats.org/officeDocument/2006/relationships/hyperlink" Target="https://www.google.com/url?q=http://codeforces.com/contest/295/problem/A&amp;sa=D&amp;ust=1605639552015000&amp;usg=AFQjCNGhE9HMfDTB_pWCMHGS-3apL1odLw" TargetMode="External"/><Relationship Id="rId3397" Type="http://schemas.openxmlformats.org/officeDocument/2006/relationships/hyperlink" Target="https://www.google.com/url?q=https://www.hackerearth.com/challenge/competitive/may-easy-18/algorithm/influential-groups-f5b40db9/&amp;sa=D&amp;ust=1605639553551000&amp;usg=AFQjCNHddsxs4BClC060x0H9hN_PlePl5w" TargetMode="External"/><Relationship Id="rId4448" Type="http://schemas.openxmlformats.org/officeDocument/2006/relationships/hyperlink" Target="https://www.google.com/url?q=https://www.spoj.com/problems/POLYMUL/&amp;sa=D&amp;ust=1605639554348000&amp;usg=AFQjCNHMYYeKJzxllS__pF8h-wySMITUXg" TargetMode="External"/><Relationship Id="rId178" Type="http://schemas.openxmlformats.org/officeDocument/2006/relationships/hyperlink" Target="https://www.google.com/url?q=https://codeforces.com/contest/457/problem/C&amp;sa=D&amp;ust=1605639551664000&amp;usg=AFQjCNEcTBG138xIYEE9WmNHw4Iyb8GwBw" TargetMode="External"/><Relationship Id="rId3257" Type="http://schemas.openxmlformats.org/officeDocument/2006/relationships/hyperlink" Target="https://www.google.com/url?q=https://codeforces.com/contest/1059/problem/C&amp;sa=D&amp;ust=1605639553459000&amp;usg=AFQjCNGTNKqVyCgqHX1Fmwj3fSysyI-DtA" TargetMode="External"/><Relationship Id="rId3464" Type="http://schemas.openxmlformats.org/officeDocument/2006/relationships/hyperlink" Target="https://www.google.com/url?q=http://codeforces.com/gym/101856&amp;sa=D&amp;ust=1605639553595000&amp;usg=AFQjCNH6BkAuuOZMR9-1tTOsBZkmmwHeFg" TargetMode="External"/><Relationship Id="rId3671" Type="http://schemas.openxmlformats.org/officeDocument/2006/relationships/hyperlink" Target="https://www.google.com/url?q=https://github.com/sggutier/CompetitiveProgramming/blob/master/Codeforces/CF100506-GYM-C.cpp&amp;sa=D&amp;ust=1605639553781000&amp;usg=AFQjCNGwPKB6txe2Dzz8w4Xmc_8Oneymog" TargetMode="External"/><Relationship Id="rId4308" Type="http://schemas.openxmlformats.org/officeDocument/2006/relationships/hyperlink" Target="https://www.google.com/url?q=https://github.com/tmwilliamlin168/CompetitiveProgramming/blob/master/CodeChef/DOCSDEL.cpp&amp;sa=D&amp;ust=1605639554288000&amp;usg=AFQjCNGiU7_jl9nVmpzkZq1ahPWSbInefw" TargetMode="External"/><Relationship Id="rId385" Type="http://schemas.openxmlformats.org/officeDocument/2006/relationships/hyperlink" Target="https://www.google.com/url?q=https://www.codechef.com/problems/ANKINTER&amp;sa=D&amp;ust=1605639551822000&amp;usg=AFQjCNE3Hdhq8TXCNpsJS45A9E7ktpzdcg" TargetMode="External"/><Relationship Id="rId592" Type="http://schemas.openxmlformats.org/officeDocument/2006/relationships/hyperlink" Target="https://www.google.com/url?q=http://codeforces.com/contest/722/problem/F&amp;sa=D&amp;ust=1605639551923000&amp;usg=AFQjCNHEJRHY347WztnSZs_FwHw2OE1HKA" TargetMode="External"/><Relationship Id="rId2066" Type="http://schemas.openxmlformats.org/officeDocument/2006/relationships/hyperlink" Target="https://www.google.com/url?q=http://codeforces.com/contest/84/problem/C&amp;sa=D&amp;ust=1605639552780000&amp;usg=AFQjCNGoJf_QvyMutqhOY97q1R7GkqtZgA" TargetMode="External"/><Relationship Id="rId2273" Type="http://schemas.openxmlformats.org/officeDocument/2006/relationships/hyperlink" Target="https://www.google.com/url?q=http://codeforces.com/gym/101669/problem/L&amp;sa=D&amp;ust=1605639552914000&amp;usg=AFQjCNHP8DBp_l0vvEmPvwp5JQQJ7IS6iQ" TargetMode="External"/><Relationship Id="rId2480" Type="http://schemas.openxmlformats.org/officeDocument/2006/relationships/hyperlink" Target="https://www.google.com/url?q=http://codeforces.com/contest/199/problem/D&amp;sa=D&amp;ust=1605639553019000&amp;usg=AFQjCNHCK1HR2_SKcKKzpZJW86aCh19YRg" TargetMode="External"/><Relationship Id="rId3117" Type="http://schemas.openxmlformats.org/officeDocument/2006/relationships/hyperlink" Target="https://www.google.com/url?q=https://github.com/miguelAlessandro/CompetitiveProgramming/blob/master/UVA/12407.cpp&amp;sa=D&amp;ust=1605639553385000&amp;usg=AFQjCNES1NgKsIPCn_FNmr3VoDfpCzglUg" TargetMode="External"/><Relationship Id="rId3324" Type="http://schemas.openxmlformats.org/officeDocument/2006/relationships/hyperlink" Target="https://www.google.com/url?q=https://github.com/Andres-Unt/problem_solving/blob/master/TopCoder/SRM179-D1-500.cpp&amp;sa=D&amp;ust=1605639553502000&amp;usg=AFQjCNFSbNe7IfLUaPm7Zbzu6x8o21TSGA" TargetMode="External"/><Relationship Id="rId3531" Type="http://schemas.openxmlformats.org/officeDocument/2006/relationships/hyperlink" Target="https://www.google.com/url?q=https://uva.onlinejudge.org/index.php?option%3Dcom_onlinejudge%26Itemid%3D8%26page%3Dshow_problem%26problem%3D439&amp;sa=D&amp;ust=1605639553650000&amp;usg=AFQjCNEhvBMQzzusvP4yR_urWZCttyduTg" TargetMode="External"/><Relationship Id="rId245" Type="http://schemas.openxmlformats.org/officeDocument/2006/relationships/hyperlink" Target="https://www.google.com/url?q=http://codeforces.com/contest/672/problem/C&amp;sa=D&amp;ust=1605639551711000&amp;usg=AFQjCNFeiMY4C_7Af42zzXc0OSZCMNOwdw" TargetMode="External"/><Relationship Id="rId452" Type="http://schemas.openxmlformats.org/officeDocument/2006/relationships/hyperlink" Target="https://www.google.com/url?q=http://codeforces.com/contest/985/problem/D&amp;sa=D&amp;ust=1605639551864000&amp;usg=AFQjCNET0uY2OhvTk_8D6OY5UX-V1niebA" TargetMode="External"/><Relationship Id="rId1082" Type="http://schemas.openxmlformats.org/officeDocument/2006/relationships/hyperlink" Target="https://www.google.com/url?q=https://codeforces.com/contest/1271/problem/D&amp;sa=D&amp;ust=1605639552169000&amp;usg=AFQjCNHFvyXztJQ_-Y6A6Y5KlLrKjtrPyQ" TargetMode="External"/><Relationship Id="rId2133" Type="http://schemas.openxmlformats.org/officeDocument/2006/relationships/hyperlink" Target="https://www.google.com/url?q=http://codeforces.com/contest/278/problem/D&amp;sa=D&amp;ust=1605639552827000&amp;usg=AFQjCNHUmWjb8MFp0PPWR2Mf4vyY85gHdA" TargetMode="External"/><Relationship Id="rId2340" Type="http://schemas.openxmlformats.org/officeDocument/2006/relationships/hyperlink" Target="https://www.google.com/url?q=http://codeforces.com/contest/542/problem/C&amp;sa=D&amp;ust=1605639552943000&amp;usg=AFQjCNF_9yZG_OXof9FjYgnsKN-VdzEBDw" TargetMode="External"/><Relationship Id="rId105" Type="http://schemas.openxmlformats.org/officeDocument/2006/relationships/hyperlink" Target="https://www.google.com/url?q=http://codeforces.com/problemset/problem/56/C&amp;sa=D&amp;ust=1605639551615000&amp;usg=AFQjCNEwJYPobmrinc8MAzGLTs3dAYXMvw" TargetMode="External"/><Relationship Id="rId312" Type="http://schemas.openxmlformats.org/officeDocument/2006/relationships/hyperlink" Target="https://www.google.com/url?q=https://github.com/mostafa-saad/MyCompetitiveProgramming/blob/master/Codeforces/CF219-D2-E.txt&amp;sa=D&amp;ust=1605639551762000&amp;usg=AFQjCNEbtmieeqwr1GJgNfJwkhnITntkjg" TargetMode="External"/><Relationship Id="rId2200" Type="http://schemas.openxmlformats.org/officeDocument/2006/relationships/hyperlink" Target="https://www.google.com/url?q=http://acm.tju.edu.cn/toj/showp1011.html&amp;sa=D&amp;ust=1605639552871000&amp;usg=AFQjCNHATpA3XzIZ-4LrskzB_nVRCxV4iA" TargetMode="External"/><Relationship Id="rId4098" Type="http://schemas.openxmlformats.org/officeDocument/2006/relationships/hyperlink" Target="https://www.google.com/url?q=https://github.com/ryuzmukhametov/CompetitiveProgramming/blob/master/Topcoder/SRM449-D2-1000.cpp&amp;sa=D&amp;ust=1605639554174000&amp;usg=AFQjCNE0XBRXzNOlBS_njeI3Ykeqqad1GA" TargetMode="External"/><Relationship Id="rId1899" Type="http://schemas.openxmlformats.org/officeDocument/2006/relationships/hyperlink" Target="https://www.google.com/url?q=http://codeforces.com/gym/100015/problem/E&amp;sa=D&amp;ust=1605639552670000&amp;usg=AFQjCNE6ewHLd5tcypsg9u6G4niq2Ca9lA" TargetMode="External"/><Relationship Id="rId4165" Type="http://schemas.openxmlformats.org/officeDocument/2006/relationships/hyperlink" Target="https://www.google.com/url?q=https://github.com/mostafa-saad/MyCompetitiveProgramming/blob/master/TopCoder/SRM526.5-D1-500.txt&amp;sa=D&amp;ust=1605639554215000&amp;usg=AFQjCNGFZ9eOIkoNWtaCTybwI58vXaq-Hw" TargetMode="External"/><Relationship Id="rId4372" Type="http://schemas.openxmlformats.org/officeDocument/2006/relationships/hyperlink" Target="https://www.google.com/url?q=https://codeforces.com/contest/995/problem/F&amp;sa=D&amp;ust=1605639554313000&amp;usg=AFQjCNGRqBpaKW0uS4nmfZ5Hr0GyaHIHow" TargetMode="External"/><Relationship Id="rId1759" Type="http://schemas.openxmlformats.org/officeDocument/2006/relationships/hyperlink" Target="https://www.google.com/url?q=http://codeforces.com/contest/637/problem/B&amp;sa=D&amp;ust=1605639552590000&amp;usg=AFQjCNHYpufT4ZyYcJbIU3Bac9AXKaA0gg" TargetMode="External"/><Relationship Id="rId1966" Type="http://schemas.openxmlformats.org/officeDocument/2006/relationships/hyperlink" Target="https://www.google.com/url?q=https://github.com/morris821028/UVa/blob/master/volume013/1342%2520-%2520That%2520Nice%2520Euler%2520Circuit.cpp&amp;sa=D&amp;ust=1605639552715000&amp;usg=AFQjCNGORSmQdSrPp8sZCDD8H0UZ1MTJeA" TargetMode="External"/><Relationship Id="rId3181" Type="http://schemas.openxmlformats.org/officeDocument/2006/relationships/hyperlink" Target="https://www.google.com/url?q=https://www.codechef.com/problems/GCDSUM&amp;sa=D&amp;ust=1605639553419000&amp;usg=AFQjCNESp7RX4ftUx_MTu68ZVFdyVjcAsA" TargetMode="External"/><Relationship Id="rId4025" Type="http://schemas.openxmlformats.org/officeDocument/2006/relationships/hyperlink" Target="https://www.google.com/url?q=https://codeforces.com/contest/703/problem/E&amp;sa=D&amp;ust=1605639554139000&amp;usg=AFQjCNGoqGzMCwzQwclPSHgV5F_aEHyE-A" TargetMode="External"/><Relationship Id="rId1619" Type="http://schemas.openxmlformats.org/officeDocument/2006/relationships/hyperlink" Target="https://www.google.com/url?q=http://codeforces.com/contest/670/problem/F&amp;sa=D&amp;ust=1605639552512000&amp;usg=AFQjCNFMMxuRYQIDYNDk5V9yOyxsOj0zKA" TargetMode="External"/><Relationship Id="rId1826" Type="http://schemas.openxmlformats.org/officeDocument/2006/relationships/hyperlink" Target="https://www.google.com/url?q=https://github.com/ahmedcpbl/CompetitiveProgramming/blob/master/PKU/1704.cpp&amp;sa=D&amp;ust=1605639552628000&amp;usg=AFQjCNFPgr5ld6RCZ94CpXtta6b5ruaMOw" TargetMode="External"/><Relationship Id="rId4232" Type="http://schemas.openxmlformats.org/officeDocument/2006/relationships/hyperlink" Target="https://www.google.com/url?q=https://github.com/tmwilliamlin168/CompetitiveProgramming/blob/master/CodeForces/0833D.cpp&amp;sa=D&amp;ust=1605639554257000&amp;usg=AFQjCNFTR_Kh22Oc0Wr3pfft9aJQLevj2Q" TargetMode="External"/><Relationship Id="rId3041" Type="http://schemas.openxmlformats.org/officeDocument/2006/relationships/hyperlink" Target="https://www.google.com/url?q=https://www.codechef.com/problems/LONCYC&amp;sa=D&amp;ust=1605639553345000&amp;usg=AFQjCNGYDGKomIPCmWg19IJc2bQTdps8Aw" TargetMode="External"/><Relationship Id="rId3998" Type="http://schemas.openxmlformats.org/officeDocument/2006/relationships/hyperlink" Target="https://www.google.com/url?q=https://github.com/nathalieFouad/CompetitiveProgramming/blob/master/SPOJ/SPOJ%2520KOIREP/.cpp&amp;sa=D&amp;ust=1605639554125000&amp;usg=AFQjCNE3ap9Ncsa-5MrfpNjz8Lo0xlje1A" TargetMode="External"/><Relationship Id="rId3858" Type="http://schemas.openxmlformats.org/officeDocument/2006/relationships/hyperlink" Target="https://www.google.com/url?q=http://codeforces.com/contest/533/problem/E&amp;sa=D&amp;ust=1605639553895000&amp;usg=AFQjCNEyNXfkI7MQHK-DQqVLL3jqTsQX-Q" TargetMode="External"/><Relationship Id="rId779" Type="http://schemas.openxmlformats.org/officeDocument/2006/relationships/hyperlink" Target="https://www.google.com/url?q=https://github.com/TheRealImaginary/CompetitiveProgramming/blob/master/PKU/PKU_2019_Cornfields.java&amp;sa=D&amp;ust=1605639552002000&amp;usg=AFQjCNG2JyAH61pHSqEtU6GKe_BgodmVKg" TargetMode="External"/><Relationship Id="rId986" Type="http://schemas.openxmlformats.org/officeDocument/2006/relationships/hyperlink" Target="https://www.google.com/url?q=https://github.com/MetalBall887/Competitive-Programming/blob/master/TopCoder/SRM418-D1-500.cpp&amp;sa=D&amp;ust=1605639552119000&amp;usg=AFQjCNHMqcsc_RyTtDsyA8YF7jMARVNVIQ" TargetMode="External"/><Relationship Id="rId2667" Type="http://schemas.openxmlformats.org/officeDocument/2006/relationships/hyperlink" Target="https://www.google.com/url?q=http://codeforces.com/contest/687/problem/D&amp;sa=D&amp;ust=1605639553131000&amp;usg=AFQjCNF5WsakynLOip1fFDd1thunaHqrfA" TargetMode="External"/><Relationship Id="rId3718" Type="http://schemas.openxmlformats.org/officeDocument/2006/relationships/hyperlink" Target="https://www.google.com/url?q=https://www.hackerrank.com/challenges/hyperrectangle-gcd/problem&amp;sa=D&amp;ust=1605639553808000&amp;usg=AFQjCNGvHYN237HUh_g93HUuK9bMUZ1EeQ" TargetMode="External"/><Relationship Id="rId639" Type="http://schemas.openxmlformats.org/officeDocument/2006/relationships/hyperlink" Target="https://www.google.com/url?q=http://codeforces.com/contest/381/problem/E&amp;sa=D&amp;ust=1605639551938000&amp;usg=AFQjCNF8gjpjwU6IkdrNMV1v2MwVMo2zHg" TargetMode="External"/><Relationship Id="rId1269" Type="http://schemas.openxmlformats.org/officeDocument/2006/relationships/hyperlink" Target="https://www.google.com/url?q=https://github.com/nya-nya-meow/CompetitiveProgramming/blob/master/CSAcademy/CSA40-D.cpp&amp;sa=D&amp;ust=1605639552299000&amp;usg=AFQjCNHnFg_capU7qVynIpB1CgOhKa9lsw" TargetMode="External"/><Relationship Id="rId1476" Type="http://schemas.openxmlformats.org/officeDocument/2006/relationships/hyperlink" Target="https://www.google.com/url?q=https://github.com/MetalBall887/Competitive-Programming/blob/master/CodeForces/CF101808-gym-D.cpp&amp;sa=D&amp;ust=1605639552430000&amp;usg=AFQjCNGGSukruH_plgRy6hDp4MXLX8dS7g" TargetMode="External"/><Relationship Id="rId2874" Type="http://schemas.openxmlformats.org/officeDocument/2006/relationships/hyperlink" Target="https://www.google.com/url?q=https://codeforces.com/contest/1152/problem/D&amp;sa=D&amp;ust=1605639553249000&amp;usg=AFQjCNGUj4_1LH6R7UP6J_2nqremkJNo-g" TargetMode="External"/><Relationship Id="rId3925" Type="http://schemas.openxmlformats.org/officeDocument/2006/relationships/hyperlink" Target="https://www.google.com/url?q=http://codeforces.com/contest/133/problem/D&amp;sa=D&amp;ust=1605639553931000&amp;usg=AFQjCNFPh8pDlWSJUd3kYw_xzhqFStKuRQ" TargetMode="External"/><Relationship Id="rId846" Type="http://schemas.openxmlformats.org/officeDocument/2006/relationships/hyperlink" Target="https://www.google.com/url?q=http://codeforces.com/contest/827/problem/C&amp;sa=D&amp;ust=1605639552038000&amp;usg=AFQjCNHXk47iakuJht7FoJLi3ZproYlmJw" TargetMode="External"/><Relationship Id="rId1129" Type="http://schemas.openxmlformats.org/officeDocument/2006/relationships/hyperlink" Target="https://www.google.com/url?q=http://codeforces.com/contest/265/problem/D&amp;sa=D&amp;ust=1605639552196000&amp;usg=AFQjCNEdICx_5IdDZ0gkWTMAofAhBjicyg" TargetMode="External"/><Relationship Id="rId1683" Type="http://schemas.openxmlformats.org/officeDocument/2006/relationships/hyperlink" Target="https://www.google.com/url?q=http://codeforces.com/contest/529/problem/B&amp;sa=D&amp;ust=1605639552551000&amp;usg=AFQjCNGwfpElKm2mboygx6KfHTiBMqIiWw" TargetMode="External"/><Relationship Id="rId1890" Type="http://schemas.openxmlformats.org/officeDocument/2006/relationships/hyperlink" Target="https://www.google.com/url?q=http://codeforces.com/contest/82/problem/E&amp;sa=D&amp;ust=1605639552660000&amp;usg=AFQjCNGeNk03x9tI6ztz2HctcM5U466rRA" TargetMode="External"/><Relationship Id="rId2527" Type="http://schemas.openxmlformats.org/officeDocument/2006/relationships/hyperlink" Target="https://www.google.com/url?q=https://github.com/tmwilliamlin168/CompetitiveProgramming/blob/master/AtCoder/079-ARC-F.java&amp;sa=D&amp;ust=1605639553047000&amp;usg=AFQjCNHxV42sR8xLhEdRml6R3IX-qVd_5Q" TargetMode="External"/><Relationship Id="rId2734" Type="http://schemas.openxmlformats.org/officeDocument/2006/relationships/hyperlink" Target="https://www.google.com/url?q=https://github.com/quangloc99/CompetitiveProgramming/blob/master/Codeforces/CF102001-Gym-C.cpp&amp;sa=D&amp;ust=1605639553165000&amp;usg=AFQjCNF1y8mKOgk08_bbKdhCzMZlTaa68A" TargetMode="External"/><Relationship Id="rId2941" Type="http://schemas.openxmlformats.org/officeDocument/2006/relationships/hyperlink" Target="https://www.google.com/url?q=http://codeforces.com/contest/141/problem/E&amp;sa=D&amp;ust=1605639553287000&amp;usg=AFQjCNHtjRmOAkfBs6Foilz5ZmAP-tD3hA" TargetMode="External"/><Relationship Id="rId706" Type="http://schemas.openxmlformats.org/officeDocument/2006/relationships/hyperlink" Target="https://www.google.com/url?q=https://codeforces.com/contest/1180/problem/E&amp;sa=D&amp;ust=1605639551967000&amp;usg=AFQjCNG0ZiW-kSWQxobMiDJ03yUW1YKJEQ" TargetMode="External"/><Relationship Id="rId913" Type="http://schemas.openxmlformats.org/officeDocument/2006/relationships/hyperlink" Target="https://www.google.com/url?q=http://agc033.contest.atcoder.jp/tasks/agc033_d&amp;sa=D&amp;ust=1605639552078000&amp;usg=AFQjCNFTWtDIm6XoGVi0SvlS8bXE0ynUOA" TargetMode="External"/><Relationship Id="rId1336" Type="http://schemas.openxmlformats.org/officeDocument/2006/relationships/hyperlink" Target="https://www.google.com/url?q=https://github.com/SaraElkadi/competitive-programming-/blob/master/UVA/10264.cpp&amp;sa=D&amp;ust=1605639552338000&amp;usg=AFQjCNHU_v4agVe-2Xrm4gL7Sch95cuMng" TargetMode="External"/><Relationship Id="rId1543" Type="http://schemas.openxmlformats.org/officeDocument/2006/relationships/hyperlink" Target="https://www.google.com/url?q=http://codeforces.com/contest/1013/problem/D&amp;sa=D&amp;ust=1605639552471000&amp;usg=AFQjCNEFPIyEdIm4WvGtPXschi3c15WNCw" TargetMode="External"/><Relationship Id="rId1750" Type="http://schemas.openxmlformats.org/officeDocument/2006/relationships/hyperlink" Target="https://www.google.com/url?q=http://codeforces.com/contest/432/problem/C&amp;sa=D&amp;ust=1605639552587000&amp;usg=AFQjCNGEpazYvziu9XoIMWWN4P2GrMUNzw" TargetMode="External"/><Relationship Id="rId2801" Type="http://schemas.openxmlformats.org/officeDocument/2006/relationships/hyperlink" Target="https://www.google.com/url?q=https://github.com/swapnil119/CompetitiveProgramming/blob/master/CompetitiveProgramming/Codeforces/CF101908-GYM-G.cpp&amp;sa=D&amp;ust=1605639553210000&amp;usg=AFQjCNFQxe1S2Xjsjv3SC2Y1146co4UHZA" TargetMode="External"/><Relationship Id="rId42" Type="http://schemas.openxmlformats.org/officeDocument/2006/relationships/hyperlink" Target="https://www.google.com/url?q=https://codingcompetitions.withgoogle.com/codejam/round/0000000000051705/00000000000881de&amp;sa=D&amp;ust=1605639551580000&amp;usg=AFQjCNGVMUKEgMFdp2fBsyFn2hKZvKmRAw" TargetMode="External"/><Relationship Id="rId1403" Type="http://schemas.openxmlformats.org/officeDocument/2006/relationships/hyperlink" Target="https://www.google.com/url?q=https://www.hackerrank.com/challenges/lexicographic-steps&amp;sa=D&amp;ust=1605639552385000&amp;usg=AFQjCNFAE60z2TuGR_gJ3BMDKQT9tNxJGQ" TargetMode="External"/><Relationship Id="rId1610" Type="http://schemas.openxmlformats.org/officeDocument/2006/relationships/hyperlink" Target="https://www.google.com/url?q=http://codeforces.com/contest/76/problem/B&amp;sa=D&amp;ust=1605639552506000&amp;usg=AFQjCNEnE6nadB3PewtG58E-3rokS9B0ww" TargetMode="External"/><Relationship Id="rId3368" Type="http://schemas.openxmlformats.org/officeDocument/2006/relationships/hyperlink" Target="https://www.google.com/url?q=http://codeforces.com/contest/76/problem/E&amp;sa=D&amp;ust=1605639553531000&amp;usg=AFQjCNEk2aIaysFg1SR-lA4pnnJHoucx2A" TargetMode="External"/><Relationship Id="rId3575" Type="http://schemas.openxmlformats.org/officeDocument/2006/relationships/hyperlink" Target="https://www.google.com/url?q=https://github.com/t3nsor/SPOJ/blob/master/rabbit1.cpp&amp;sa=D&amp;ust=1605639553710000&amp;usg=AFQjCNGGkQlDZLHGnre1ztzjcRrhCJNoKA" TargetMode="External"/><Relationship Id="rId3782" Type="http://schemas.openxmlformats.org/officeDocument/2006/relationships/hyperlink" Target="https://www.google.com/url?q=https://www.facebook.com/hackercup/problem/1153996538071503/&amp;sa=D&amp;ust=1605639553849000&amp;usg=AFQjCNG4DU86O4oPMnsAhWfdUVeT7GS_fQ" TargetMode="External"/><Relationship Id="rId4419" Type="http://schemas.openxmlformats.org/officeDocument/2006/relationships/hyperlink" Target="https://www.google.com/url?q=http://codeforces.com/contest/743/problem/D&amp;sa=D&amp;ust=1605639554338000&amp;usg=AFQjCNGjIuXSqKxEe8_2HNcUMkVdVFdR2A" TargetMode="External"/><Relationship Id="rId289" Type="http://schemas.openxmlformats.org/officeDocument/2006/relationships/hyperlink" Target="https://www.google.com/url?q=http://codeforces.com/contest/707/problem/E&amp;sa=D&amp;ust=1605639551752000&amp;usg=AFQjCNExDqoy-6mu2RyNtxAaENoUhAFeXw" TargetMode="External"/><Relationship Id="rId496" Type="http://schemas.openxmlformats.org/officeDocument/2006/relationships/hyperlink" Target="https://www.google.com/url?q=https://www.topcoder.com/tc?module%3DStatic%26d1%3Dmatch_editorials%26d2%3Dtccc05_online_rd_2&amp;sa=D&amp;ust=1605639551885000&amp;usg=AFQjCNF09nBLneIQ4Rd89PorqOLKTJDzLw" TargetMode="External"/><Relationship Id="rId2177" Type="http://schemas.openxmlformats.org/officeDocument/2006/relationships/hyperlink" Target="https://www.google.com/url?q=https://github.com/mostafa-saad/MyCompetitiveProgramming/blob/master/Codeforces/CF682-D2-E.txt&amp;sa=D&amp;ust=1605639552855000&amp;usg=AFQjCNHsszxdR9qllLV55oq7hh9prBqXEw" TargetMode="External"/><Relationship Id="rId2384" Type="http://schemas.openxmlformats.org/officeDocument/2006/relationships/hyperlink" Target="https://www.google.com/url?q=http://codeforces.com/contest/61/problem/D&amp;sa=D&amp;ust=1605639552961000&amp;usg=AFQjCNFrh02gUAz-5QH_mmCnvgkbw8ONRw" TargetMode="External"/><Relationship Id="rId2591" Type="http://schemas.openxmlformats.org/officeDocument/2006/relationships/hyperlink" Target="https://www.google.com/url?q=http://codeforces.com/contest/742/problem/D&amp;sa=D&amp;ust=1605639553082000&amp;usg=AFQjCNEwCMxSQ9TtRprQqPq-z57uvojO6Q" TargetMode="External"/><Relationship Id="rId3228" Type="http://schemas.openxmlformats.org/officeDocument/2006/relationships/hyperlink" Target="https://www.google.com/url?q=https://github.com/morris821028/UVa/blob/master/volume005/545%2520-%2520Heads.cpp&amp;sa=D&amp;ust=1605639553440000&amp;usg=AFQjCNFOfOtpN304qf2VgLIphktA5g4xkw" TargetMode="External"/><Relationship Id="rId3435" Type="http://schemas.openxmlformats.org/officeDocument/2006/relationships/hyperlink" Target="https://www.google.com/url?q=https://www.hackerrank.com/challenges/super-humble-matrix&amp;sa=D&amp;ust=1605639553574000&amp;usg=AFQjCNF0ep15tsUS86dWA8MIrnGGkF9ECg" TargetMode="External"/><Relationship Id="rId3642" Type="http://schemas.openxmlformats.org/officeDocument/2006/relationships/hyperlink" Target="https://www.google.com/url?q=https://agc003.contest.atcoder.jp/tasks/agc003_d&amp;sa=D&amp;ust=1605639553759000&amp;usg=AFQjCNHlz-KSdzCG3f-oQHPZuUm-Pxl9Ag" TargetMode="External"/><Relationship Id="rId149" Type="http://schemas.openxmlformats.org/officeDocument/2006/relationships/hyperlink" Target="https://www.google.com/url?q=https://github.com/Huvok/CompetitiveProgramming/blob/master/Codeforces/CF976-D2-C.cpp&amp;sa=D&amp;ust=1605639551641000&amp;usg=AFQjCNHpEbtn8HftX2mnGtb235tIeCD0Xw" TargetMode="External"/><Relationship Id="rId356" Type="http://schemas.openxmlformats.org/officeDocument/2006/relationships/hyperlink" Target="https://www.google.com/url?q=http://codeforces.com/contest/357/problem/C&amp;sa=D&amp;ust=1605639551794000&amp;usg=AFQjCNF51OvYprFWB6xyWYvJ_9rjm92o9A" TargetMode="External"/><Relationship Id="rId563" Type="http://schemas.openxmlformats.org/officeDocument/2006/relationships/hyperlink" Target="https://www.google.com/url?q=https://github.com/SpeedOfMagic/CompetitiveProgramming/blob/master/CodeforcesGym/CF100093-GYM-E.cpp&amp;sa=D&amp;ust=1605639551912000&amp;usg=AFQjCNFT-aBpuv8MPHhGztxGlIek9ynS7w" TargetMode="External"/><Relationship Id="rId770" Type="http://schemas.openxmlformats.org/officeDocument/2006/relationships/hyperlink" Target="https://www.google.com/url?q=https://github.com/mostafa-saad/MyCompetitiveProgramming/blob/master/PKU/PKU_2374.txt&amp;sa=D&amp;ust=1605639551997000&amp;usg=AFQjCNFGYWCS_AvM2Tletu9w-hcTkWDqBA" TargetMode="External"/><Relationship Id="rId1193" Type="http://schemas.openxmlformats.org/officeDocument/2006/relationships/hyperlink" Target="https://www.google.com/url?q=https://uva.onlinejudge.org/index.php?option%3Dcom_onlinejudge%26Itemid%3D8%26page%3Dshow_problem%26problem%3D1680&amp;sa=D&amp;ust=1605639552238000&amp;usg=AFQjCNFrzAG0W53_D__7Dft0WK-S6xjI-w" TargetMode="External"/><Relationship Id="rId2037" Type="http://schemas.openxmlformats.org/officeDocument/2006/relationships/hyperlink" Target="https://www.google.com/url?q=http://codeforces.com/contest/593/problem/B&amp;sa=D&amp;ust=1605639552760000&amp;usg=AFQjCNGd6IybymDzNMGAvX_KjUDoHgQmTg" TargetMode="External"/><Relationship Id="rId2244" Type="http://schemas.openxmlformats.org/officeDocument/2006/relationships/hyperlink" Target="https://www.google.com/url?q=http://codeforces.com/problemset/problem/845/C&amp;sa=D&amp;ust=1605639552894000&amp;usg=AFQjCNHax-pXs7RWMbxkB6CFmLnE9u7Q7A" TargetMode="External"/><Relationship Id="rId2451" Type="http://schemas.openxmlformats.org/officeDocument/2006/relationships/hyperlink" Target="https://www.google.com/url?q=http://codeforces.com/problemset/problem/786/A&amp;sa=D&amp;ust=1605639552995000&amp;usg=AFQjCNEdvNIaulF7K9A7K2Y4_7Wg4rWmpw" TargetMode="External"/><Relationship Id="rId216" Type="http://schemas.openxmlformats.org/officeDocument/2006/relationships/hyperlink" Target="https://www.google.com/url?q=http://codeforces.com/contest/863/problem/D&amp;sa=D&amp;ust=1605639551688000&amp;usg=AFQjCNHhWJ4TQUs9amyt24pW0vzHh2csng" TargetMode="External"/><Relationship Id="rId423" Type="http://schemas.openxmlformats.org/officeDocument/2006/relationships/hyperlink" Target="https://www.google.com/url?q=http://codeforces.com/contest/727/problem/F&amp;sa=D&amp;ust=1605639551852000&amp;usg=AFQjCNHkbej0rQfmEGVAAaDy0sp_xqhTig" TargetMode="External"/><Relationship Id="rId1053" Type="http://schemas.openxmlformats.org/officeDocument/2006/relationships/hyperlink" Target="https://www.google.com/url?q=https://icpcarchive.ecs.baylor.edu/index.php?option%3Dcom_onlinejudge%26Itemid%3D8%26category%3D592%26page%3Dshow_problem%26problem%3D4773&amp;sa=D&amp;ust=1605639552150000&amp;usg=AFQjCNG-HrxPRV8cb0FOO7HN2KKRzgYLOA" TargetMode="External"/><Relationship Id="rId1260" Type="http://schemas.openxmlformats.org/officeDocument/2006/relationships/hyperlink" Target="https://www.google.com/url?q=http://codeforces.com/gym/101606/problem/E&amp;sa=D&amp;ust=1605639552296000&amp;usg=AFQjCNHz1uWXzAFMxrruBlXFd6-yF7lLUg" TargetMode="External"/><Relationship Id="rId2104" Type="http://schemas.openxmlformats.org/officeDocument/2006/relationships/hyperlink" Target="https://www.google.com/url?q=https://github.com/jebouin/CompetitiveProgramming/blob/master/UVA/UVA%252010961.cpp&amp;sa=D&amp;ust=1605639552807000&amp;usg=AFQjCNFzz_ak9DCMCNvwPI-ECQvixfLRaw" TargetMode="External"/><Relationship Id="rId3502" Type="http://schemas.openxmlformats.org/officeDocument/2006/relationships/hyperlink" Target="https://www.google.com/url?q=http://codeforces.com/contest/451/problem/E&amp;sa=D&amp;ust=1605639553628000&amp;usg=AFQjCNHHXt2f_HOXwcbKodKda0qgjVljEQ" TargetMode="External"/><Relationship Id="rId630" Type="http://schemas.openxmlformats.org/officeDocument/2006/relationships/hyperlink" Target="https://www.google.com/url?q=http://codeforces.com/contest/981/problem/G&amp;sa=D&amp;ust=1605639551936000&amp;usg=AFQjCNFCj-VhW4Xo12R6OZ45aOstIk_BGA" TargetMode="External"/><Relationship Id="rId2311" Type="http://schemas.openxmlformats.org/officeDocument/2006/relationships/hyperlink" Target="https://www.google.com/url?q=https://github.com/magdy-hasan/competitive-programming/blob/a3da17cbe2abde9b9eb7d3adef7b8326c9eb2ddf/atcoder/AtCoder099-ARC-C.cpp&amp;sa=D&amp;ust=1605639552933000&amp;usg=AFQjCNHUHE_fYSpKZ0fiic8sVOu0wPqh8A" TargetMode="External"/><Relationship Id="rId4069" Type="http://schemas.openxmlformats.org/officeDocument/2006/relationships/hyperlink" Target="https://www.google.com/url?q=https://github.com/LeTrongDat/CompetitiveProgramming/blob/master/Codeforces/CF100324GYM-A.cpp&amp;sa=D&amp;ust=1605639554159000&amp;usg=AFQjCNG20YCF2FhCJdjlq86veuAjJ8GnyQ" TargetMode="External"/><Relationship Id="rId1120" Type="http://schemas.openxmlformats.org/officeDocument/2006/relationships/hyperlink" Target="https://www.google.com/url?q=https://github.com/MedoN11/CompetitiveProgramming/blob/master/CodeForces/CF450-D2-E.cpp&amp;sa=D&amp;ust=1605639552192000&amp;usg=AFQjCNHKBUwrEXQEh7bofHoPlcQXAYXmMg" TargetMode="External"/><Relationship Id="rId4276" Type="http://schemas.openxmlformats.org/officeDocument/2006/relationships/hyperlink" Target="https://www.google.com/url?q=https://github.com/nikolapesic2802/Programming-Practice/blob/master/Cats%2520Transport/main.cpp&amp;sa=D&amp;ust=1605639554275000&amp;usg=AFQjCNEzZrXrYNJ2ec9lVxC2ef0U-EWU4g" TargetMode="External"/><Relationship Id="rId1937" Type="http://schemas.openxmlformats.org/officeDocument/2006/relationships/hyperlink" Target="https://www.google.com/url?q=https://github.com/mostafa-saad/MyCompetitiveProgramming/blob/master/UVA/UVA_11579.txt&amp;sa=D&amp;ust=1605639552703000&amp;usg=AFQjCNEudqmRMhV5A5f4lmGsYxUy0P3BuQ" TargetMode="External"/><Relationship Id="rId3085" Type="http://schemas.openxmlformats.org/officeDocument/2006/relationships/hyperlink" Target="https://www.google.com/url?q=https://github.com/AymanSalah96/CompetitiveProgramming/blob/master/KATTIS/tourists.cpp&amp;sa=D&amp;ust=1605639553364000&amp;usg=AFQjCNHXQW6YFuFclrFl6ugQrw0takDwYQ" TargetMode="External"/><Relationship Id="rId3292" Type="http://schemas.openxmlformats.org/officeDocument/2006/relationships/hyperlink" Target="https://www.google.com/url?q=https://uva.onlinejudge.org/index.php?option%3Donlinejudge%26page%3Dshow_problem%26problem%3D1410&amp;sa=D&amp;ust=1605639553476000&amp;usg=AFQjCNH63HtdAJZcf5ZsHUqNr_GWGv8zJg" TargetMode="External"/><Relationship Id="rId4136" Type="http://schemas.openxmlformats.org/officeDocument/2006/relationships/hyperlink" Target="https://www.google.com/url?q=https://github.com/AliOsm/CompetitiveProgramming/blob/master/ACM%2520ICPC%2520Live%2520Archive/6195%2520-%2520The%2520Dueling%2520Philosophers%2520Problem.cpp&amp;sa=D&amp;ust=1605639554199000&amp;usg=AFQjCNGdXcPeo0UtERefUhF23WYY1LlXsQ" TargetMode="External"/><Relationship Id="rId4343" Type="http://schemas.openxmlformats.org/officeDocument/2006/relationships/hyperlink" Target="https://www.google.com/url?q=https://www.codechef.com/problems/TIMETRAV&amp;sa=D&amp;ust=1605639554301000&amp;usg=AFQjCNGDWJDUKfYN60YtIMOuUGIoUhCEIw" TargetMode="External"/><Relationship Id="rId3152" Type="http://schemas.openxmlformats.org/officeDocument/2006/relationships/hyperlink" Target="https://www.google.com/url?q=http://codeforces.com/contest/994/problem/E&amp;sa=D&amp;ust=1605639553406000&amp;usg=AFQjCNE2kX2IcSvfiAPRKirFEZCX9hbsuQ" TargetMode="External"/><Relationship Id="rId4203" Type="http://schemas.openxmlformats.org/officeDocument/2006/relationships/hyperlink" Target="https://www.google.com/url?q=http://codeforces.com/contest/348/problem/E&amp;sa=D&amp;ust=1605639554243000&amp;usg=AFQjCNE3Id2KJu00pGrCHTK6m-TLx6QZ7g" TargetMode="External"/><Relationship Id="rId4410" Type="http://schemas.openxmlformats.org/officeDocument/2006/relationships/hyperlink" Target="https://www.google.com/url?q=https://github.com/mostafa-saad/MyCompetitiveProgramming/blob/master/UVA/UVA_1218.txt&amp;sa=D&amp;ust=1605639554334000&amp;usg=AFQjCNFKxcNOWqsA6xJYrzpwK_UI245rfA" TargetMode="External"/><Relationship Id="rId280" Type="http://schemas.openxmlformats.org/officeDocument/2006/relationships/hyperlink" Target="https://www.google.com/url?q=http://codeforces.com/contest/15/problem/D&amp;sa=D&amp;ust=1605639551749000&amp;usg=AFQjCNF_HZH3FjqCHijShqclP6QiKCB1ZA" TargetMode="External"/><Relationship Id="rId3012" Type="http://schemas.openxmlformats.org/officeDocument/2006/relationships/hyperlink" Target="https://www.google.com/url?q=https://github.com/HeartBlue/CompetitiveProgramming/blob/master/LIVEARCHIVE/LIVEARCHIVE%25206067%2520Bit%2520Magic.cpp&amp;sa=D&amp;ust=1605639553326000&amp;usg=AFQjCNHURmZR7QQdkPkmVCEwIrSyRepKvQ" TargetMode="External"/><Relationship Id="rId140" Type="http://schemas.openxmlformats.org/officeDocument/2006/relationships/hyperlink" Target="https://www.google.com/url?q=http://codeforces.com/problemset/problem/869/B&amp;sa=D&amp;ust=1605639551636000&amp;usg=AFQjCNHtWacIx6qieuDQ9cbUVB_NvQtpTQ" TargetMode="External"/><Relationship Id="rId3969" Type="http://schemas.openxmlformats.org/officeDocument/2006/relationships/hyperlink" Target="https://www.google.com/url?q=http://codeforces.com/contest/495/problem/C&amp;sa=D&amp;ust=1605639553953000&amp;usg=AFQjCNE1r_50x52c2LDt6Rt_S7HTju0NaA" TargetMode="External"/><Relationship Id="rId6" Type="http://schemas.openxmlformats.org/officeDocument/2006/relationships/hyperlink" Target="https://www.google.com/url?q=https://csacademy.com/contest/round-47/task/max-snake/&amp;sa=D&amp;ust=1605639551565000&amp;usg=AFQjCNGEficfv4bxvxLnz489Q16-JVRpyA" TargetMode="External"/><Relationship Id="rId2778" Type="http://schemas.openxmlformats.org/officeDocument/2006/relationships/hyperlink" Target="https://www.google.com/url?q=https://github.com/abdullaAshraf/Problem-Solving/blob/master/UVA/523.cpp&amp;sa=D&amp;ust=1605639553194000&amp;usg=AFQjCNGdNgDXrt0ITYqs4m09wUXfuABgfA" TargetMode="External"/><Relationship Id="rId2985" Type="http://schemas.openxmlformats.org/officeDocument/2006/relationships/hyperlink" Target="https://www.google.com/url?q=https://github.com/abdullaAshraf/Problem-Solving/blob/master/UVA/12167.cpp&amp;sa=D&amp;ust=1605639553312000&amp;usg=AFQjCNH33Zdm4GObIXpTyFVM0BSyrApsqw" TargetMode="External"/><Relationship Id="rId3829" Type="http://schemas.openxmlformats.org/officeDocument/2006/relationships/hyperlink" Target="https://www.google.com/url?q=http://codeforces.com/contest/873/problem/F&amp;sa=D&amp;ust=1605639553882000&amp;usg=AFQjCNGvg70MqoxXWPhyzLpqwhc5BvHIcg" TargetMode="External"/><Relationship Id="rId957" Type="http://schemas.openxmlformats.org/officeDocument/2006/relationships/hyperlink" Target="https://www.google.com/url?q=https://codeforces.com/contest/1178/problem/F2&amp;sa=D&amp;ust=1605639552104000&amp;usg=AFQjCNGk4Yv0oDUknbCXwn7UrkoIHy24kg" TargetMode="External"/><Relationship Id="rId1587" Type="http://schemas.openxmlformats.org/officeDocument/2006/relationships/hyperlink" Target="https://www.google.com/url?q=http://codeforces.com/gym/100956/attachments&amp;sa=D&amp;ust=1605639552495000&amp;usg=AFQjCNEGCk-6aVGuDfCcFtQ0c-ySEjLNuA" TargetMode="External"/><Relationship Id="rId1794" Type="http://schemas.openxmlformats.org/officeDocument/2006/relationships/hyperlink" Target="https://www.google.com/url?q=https://www.codechef.com/COOK105B/problems/RANDGAME&amp;sa=D&amp;ust=1605639552610000&amp;usg=AFQjCNHRYpZLGmLqx44I-nforNtz8hUrWA" TargetMode="External"/><Relationship Id="rId2638" Type="http://schemas.openxmlformats.org/officeDocument/2006/relationships/hyperlink" Target="https://www.google.com/url?q=http://arc064.contest.atcoder.jp/tasks/arc064_c&amp;sa=D&amp;ust=1605639553116000&amp;usg=AFQjCNFzbL6R2q4XRKE5ijrXK8sVngTJEg" TargetMode="External"/><Relationship Id="rId2845" Type="http://schemas.openxmlformats.org/officeDocument/2006/relationships/hyperlink" Target="https://www.google.com/url?q=http://www.spoj.com/problems/POTHOLE/&amp;sa=D&amp;ust=1605639553233000&amp;usg=AFQjCNEKI2lC_PlaQAnKVIslow64Vd2gNQ" TargetMode="External"/><Relationship Id="rId86" Type="http://schemas.openxmlformats.org/officeDocument/2006/relationships/hyperlink" Target="https://www.google.com/url?q=http://codeforces.com/contest/23/problem/C&amp;sa=D&amp;ust=1605639551603000&amp;usg=AFQjCNEd924DZIxSPB_YfeAkg0WNv_Ab0Q" TargetMode="External"/><Relationship Id="rId817" Type="http://schemas.openxmlformats.org/officeDocument/2006/relationships/hyperlink" Target="https://www.google.com/url?q=http://codeforces.com/contest/516/problem/D&amp;sa=D&amp;ust=1605639552024000&amp;usg=AFQjCNEao5TSAzDxixv0qxDxlf1eJ1SBgg" TargetMode="External"/><Relationship Id="rId1447" Type="http://schemas.openxmlformats.org/officeDocument/2006/relationships/hyperlink" Target="https://www.google.com/url?q=http://codeforces.com/contest/678/problem/E&amp;sa=D&amp;ust=1605639552414000&amp;usg=AFQjCNHqIuQ6mdPBhd3h3KRNt9PIopZCqw" TargetMode="External"/><Relationship Id="rId1654" Type="http://schemas.openxmlformats.org/officeDocument/2006/relationships/hyperlink" Target="https://www.google.com/url?q=http://codeforces.com/contest/954/problem/E&amp;sa=D&amp;ust=1605639552532000&amp;usg=AFQjCNEvg3vR0h_0GpT6e5ZBlKq5nv6H0w" TargetMode="External"/><Relationship Id="rId1861" Type="http://schemas.openxmlformats.org/officeDocument/2006/relationships/hyperlink" Target="https://www.google.com/url?q=http://codeforces.com/contest/604/problem/E&amp;sa=D&amp;ust=1605639552644000&amp;usg=AFQjCNHyoesq-eqYNSWfP5tXWBob9K2Duw" TargetMode="External"/><Relationship Id="rId2705" Type="http://schemas.openxmlformats.org/officeDocument/2006/relationships/hyperlink" Target="https://www.google.com/url?q=http://codeforces.com/contest/766/problem/D&amp;sa=D&amp;ust=1605639553149000&amp;usg=AFQjCNH1p-wWP_N984ww-kz9qQoHrJe_hA" TargetMode="External"/><Relationship Id="rId2912" Type="http://schemas.openxmlformats.org/officeDocument/2006/relationships/hyperlink" Target="https://www.google.com/url?q=https://www.codechef.com/LTIME70B/problems/TREF&amp;sa=D&amp;ust=1605639553270000&amp;usg=AFQjCNHNAtDkA5yM3RuENGVD3Ea6nKK6Fw" TargetMode="External"/><Relationship Id="rId4060" Type="http://schemas.openxmlformats.org/officeDocument/2006/relationships/hyperlink" Target="https://www.google.com/url?q=https://github.com/timpostuvan/CompetitiveProgramming/blob/master/TopCoder/SRM431-D1-500.cpp&amp;sa=D&amp;ust=1605639554155000&amp;usg=AFQjCNHgSznjHh-R6H_BxqMtcxmbVB-QmQ" TargetMode="External"/><Relationship Id="rId1307" Type="http://schemas.openxmlformats.org/officeDocument/2006/relationships/hyperlink" Target="https://www.google.com/url?q=https://github.com/goswami-rahul/competitive-coding/blob/master/CompetitiveProgramming/codeforces/CF907-D2-E.cpp&amp;sa=D&amp;ust=1605639552319000&amp;usg=AFQjCNFkbImeEy6NRPS6imiTxR4XsiF9rw" TargetMode="External"/><Relationship Id="rId1514" Type="http://schemas.openxmlformats.org/officeDocument/2006/relationships/hyperlink" Target="https://www.google.com/url?q=http://codeforces.com/problemset/problem/1054/G&amp;sa=D&amp;ust=1605639552456000&amp;usg=AFQjCNFpKYEjgi9AkOzykwACegQ8VHeSqw" TargetMode="External"/><Relationship Id="rId1721" Type="http://schemas.openxmlformats.org/officeDocument/2006/relationships/hyperlink" Target="https://www.google.com/url?q=http://codeforces.com/contest/534/problem/D&amp;sa=D&amp;ust=1605639552572000&amp;usg=AFQjCNHQ42lnv41nTTEoD_Kh-plBZH1dfA" TargetMode="External"/><Relationship Id="rId13" Type="http://schemas.openxmlformats.org/officeDocument/2006/relationships/hyperlink" Target="https://www.google.com/url?q=https://agc006.contest.atcoder.jp/tasks/agc006_e&amp;sa=D&amp;ust=1605639551568000&amp;usg=AFQjCNH9xl9GAHbD7o9XdywywAAAJKQGdg" TargetMode="External"/><Relationship Id="rId3479" Type="http://schemas.openxmlformats.org/officeDocument/2006/relationships/hyperlink" Target="https://www.google.com/url?q=https://github.com/mostafa-saad/MyCompetitiveProgramming/blob/master/UVA/UVA_12154.txt&amp;sa=D&amp;ust=1605639553604000&amp;usg=AFQjCNGaJckUtPI5xwO0FKp9yEGPI7fplw" TargetMode="External"/><Relationship Id="rId3686" Type="http://schemas.openxmlformats.org/officeDocument/2006/relationships/hyperlink" Target="https://www.google.com/url?q=http://codeforces.com/contest/711/problem/E&amp;sa=D&amp;ust=1605639553791000&amp;usg=AFQjCNFph9byuivK5E85nE1-EiBSZxoe6Q" TargetMode="External"/><Relationship Id="rId2288" Type="http://schemas.openxmlformats.org/officeDocument/2006/relationships/hyperlink" Target="https://www.google.com/url?q=https://codeforces.com/contest/1113/problem/E&amp;sa=D&amp;ust=1605639552922000&amp;usg=AFQjCNE5QoHA22xeUe1NA47pQ0e6RWxMoA" TargetMode="External"/><Relationship Id="rId2495" Type="http://schemas.openxmlformats.org/officeDocument/2006/relationships/hyperlink" Target="https://www.google.com/url?q=https://github.com/abdullaAshraf/Problem-Solving/blob/master/UVA/12379.cpp&amp;sa=D&amp;ust=1605639553029000&amp;usg=AFQjCNHWVzStCW5T88udNjdsmEXPoGoGeQ" TargetMode="External"/><Relationship Id="rId3339" Type="http://schemas.openxmlformats.org/officeDocument/2006/relationships/hyperlink" Target="https://www.google.com/url?q=https://uva.onlinejudge.org/index.php?option%3Donlinejudge%26page%3Dshow_problem%26problem%3D1833&amp;sa=D&amp;ust=1605639553512000&amp;usg=AFQjCNEU4f_Xg2Lii5rBRxisjZA_yj-xEg" TargetMode="External"/><Relationship Id="rId3893" Type="http://schemas.openxmlformats.org/officeDocument/2006/relationships/hyperlink" Target="https://www.google.com/url?q=https://codeforces.com/contest/940/problem/F&amp;sa=D&amp;ust=1605639553916000&amp;usg=AFQjCNHYw-4bu_uox4r-F6W56a5swkwztg" TargetMode="External"/><Relationship Id="rId467" Type="http://schemas.openxmlformats.org/officeDocument/2006/relationships/hyperlink" Target="https://www.google.com/url?q=http://codeforces.com/contest/732/problem/D&amp;sa=D&amp;ust=1605639551871000&amp;usg=AFQjCNEG9AiWWHjpwIynuQm-lxjaWpjLuw" TargetMode="External"/><Relationship Id="rId1097" Type="http://schemas.openxmlformats.org/officeDocument/2006/relationships/hyperlink" Target="https://www.google.com/url?q=https://www.codechef.com/COOK105B/problems/DINCPATH&amp;sa=D&amp;ust=1605639552174000&amp;usg=AFQjCNHeQb-t9LWygLnL_ScXDvNQZH_qxA" TargetMode="External"/><Relationship Id="rId2148" Type="http://schemas.openxmlformats.org/officeDocument/2006/relationships/hyperlink" Target="https://www.google.com/url?q=https://github.com/MeGaCrazy/CompetitiveProgramming/blob/ff934b5231a55818d401805db5e0caa0720a1fa4/Codeforces/CF801-D2-D.cpp&amp;sa=D&amp;ust=1605639552836000&amp;usg=AFQjCNHs3FGFkds4cUO1YID0wrSI5R_w4w" TargetMode="External"/><Relationship Id="rId3546" Type="http://schemas.openxmlformats.org/officeDocument/2006/relationships/hyperlink" Target="https://www.google.com/url?q=https://www.hackerrank.com/challenges/towers&amp;sa=D&amp;ust=1605639553683000&amp;usg=AFQjCNGthML23j65V1mPac270vQZSGO2sQ" TargetMode="External"/><Relationship Id="rId3753" Type="http://schemas.openxmlformats.org/officeDocument/2006/relationships/hyperlink" Target="https://www.google.com/url?q=https://github.com/HosamEissa/Competitive-programming-/blob/master/ACM-ICPC%2520Live%2520Archive/4682.cpp&amp;sa=D&amp;ust=1605639553831000&amp;usg=AFQjCNE3aN-9hCM-Eh2RrJQmiWNz5gV_Eg" TargetMode="External"/><Relationship Id="rId3960" Type="http://schemas.openxmlformats.org/officeDocument/2006/relationships/hyperlink" Target="https://www.google.com/url?q=https://codeforces.com/contest/1282/problem/C&amp;sa=D&amp;ust=1605639553949000&amp;usg=AFQjCNEMGYL2jIq5Z4PdW6HlK6VzW_4jgA" TargetMode="External"/><Relationship Id="rId674" Type="http://schemas.openxmlformats.org/officeDocument/2006/relationships/hyperlink" Target="https://www.google.com/url?q=http://codeforces.com/problemset/problem/813/E&amp;sa=D&amp;ust=1605639551952000&amp;usg=AFQjCNHbbJXH7eqTMHtvTZTXVxNow1Ws2g" TargetMode="External"/><Relationship Id="rId881" Type="http://schemas.openxmlformats.org/officeDocument/2006/relationships/hyperlink" Target="https://www.google.com/url?q=https://github.com/mostafa-saad/MyCompetitiveProgramming/blob/master/TopCoder/SRM234-D1-1000.txt&amp;sa=D&amp;ust=1605639552059000&amp;usg=AFQjCNG50Qj80TOz8rX-KweqBoVids-xRA" TargetMode="External"/><Relationship Id="rId2355" Type="http://schemas.openxmlformats.org/officeDocument/2006/relationships/hyperlink" Target="https://www.google.com/url?q=https://github.com/mostafa-saad/MyCompetitiveProgramming/blob/master/LiveArchive/LiveArchive_7616.txt&amp;sa=D&amp;ust=1605639552948000&amp;usg=AFQjCNHJyLhjOhWVfBoer7o5MsQuW8W7lQ" TargetMode="External"/><Relationship Id="rId2562" Type="http://schemas.openxmlformats.org/officeDocument/2006/relationships/hyperlink" Target="https://www.google.com/url?q=http://codeforces.com/contest/197/problem/D&amp;sa=D&amp;ust=1605639553066000&amp;usg=AFQjCNFFvC_EgZArvznS8dmmhOTfVXYGPg" TargetMode="External"/><Relationship Id="rId3406" Type="http://schemas.openxmlformats.org/officeDocument/2006/relationships/hyperlink" Target="https://www.google.com/url?q=https://codeforces.com/problemset/problem/893/E&amp;sa=D&amp;ust=1605639553556000&amp;usg=AFQjCNFfWDi3obxPytIjoMc2OB6249zLSA" TargetMode="External"/><Relationship Id="rId3613" Type="http://schemas.openxmlformats.org/officeDocument/2006/relationships/hyperlink" Target="https://www.google.com/url?q=http://codeforces.com/contest/80/problem/D&amp;sa=D&amp;ust=1605639553741000&amp;usg=AFQjCNFDjrfp6QVmiraDohhO3qVGbYxH7A" TargetMode="External"/><Relationship Id="rId3820" Type="http://schemas.openxmlformats.org/officeDocument/2006/relationships/hyperlink" Target="https://www.google.com/url?q=http://codeforces.com/contest/802/problem/I&amp;sa=D&amp;ust=1605639553878000&amp;usg=AFQjCNHwsRyDntSGV_wF8oSKYOPDv2FK-Q" TargetMode="External"/><Relationship Id="rId327" Type="http://schemas.openxmlformats.org/officeDocument/2006/relationships/hyperlink" Target="https://www.google.com/url?q=http://codeforces.com/contest/5/problem/C&amp;sa=D&amp;ust=1605639551770000&amp;usg=AFQjCNEU78zAiJMv9PrBuXlDCR0Ca20wcQ" TargetMode="External"/><Relationship Id="rId534" Type="http://schemas.openxmlformats.org/officeDocument/2006/relationships/hyperlink" Target="https://www.google.com/url?q=http://codeforces.com/contest/1006/problem/F&amp;sa=D&amp;ust=1605639551901000&amp;usg=AFQjCNFLDkE471N43ONbCvfz9RIT9iiJww" TargetMode="External"/><Relationship Id="rId741" Type="http://schemas.openxmlformats.org/officeDocument/2006/relationships/hyperlink" Target="https://www.google.com/url?q=https://github.com/YazanZebak/CompetitiveProgramming/blob/master/Codeforces/CF101807-GYM-J.cpp&amp;sa=D&amp;ust=1605639551983000&amp;usg=AFQjCNH1qVrW2uPjUbRjefSlEiXZjidWvQ" TargetMode="External"/><Relationship Id="rId1164" Type="http://schemas.openxmlformats.org/officeDocument/2006/relationships/hyperlink" Target="https://www.google.com/url?q=https://github.com/MedoN11/CompetitiveProgramming/blob/master/CodeForces/CF842-D2-C.cpp&amp;sa=D&amp;ust=1605639552221000&amp;usg=AFQjCNF_MCKYSIJcvuqpoQdszSGeAO5kRg" TargetMode="External"/><Relationship Id="rId1371" Type="http://schemas.openxmlformats.org/officeDocument/2006/relationships/hyperlink" Target="https://www.google.com/url?q=https://github.com/Huvok/CompetitiveProgramming/blob/master/Codeforces/CF37-D12-D.cpp&amp;sa=D&amp;ust=1605639552358000&amp;usg=AFQjCNE0I9vrMm_SyPOQLzZvjGvKvTZuag" TargetMode="External"/><Relationship Id="rId2008" Type="http://schemas.openxmlformats.org/officeDocument/2006/relationships/hyperlink" Target="https://www.google.com/url?q=http://ideone.com/Bkg7WI&amp;sa=D&amp;ust=1605639552739000&amp;usg=AFQjCNFOXP_3WCJ1snSlJar_jqphxeMagA" TargetMode="External"/><Relationship Id="rId2215" Type="http://schemas.openxmlformats.org/officeDocument/2006/relationships/hyperlink" Target="https://www.google.com/url?q=https://gist.github.com/mejito/2166667&amp;sa=D&amp;ust=1605639552879000&amp;usg=AFQjCNHHkjcoF1QJ0gCp-479FXhIYZV2Hg" TargetMode="External"/><Relationship Id="rId2422" Type="http://schemas.openxmlformats.org/officeDocument/2006/relationships/hyperlink" Target="https://www.google.com/url?q=http://codeforces.com/contest/651/problem/E&amp;sa=D&amp;ust=1605639552980000&amp;usg=AFQjCNEheS8sbvZ_p5boSeyP5TDZY4SgvQ" TargetMode="External"/><Relationship Id="rId601" Type="http://schemas.openxmlformats.org/officeDocument/2006/relationships/hyperlink" Target="https://www.google.com/url?q=http://acm.hdu.edu.cn/showproblem.php?pid%3D5306&amp;sa=D&amp;ust=1605639551927000&amp;usg=AFQjCNE-RSXuqRsVRsWQOM08Mdhm-EwH_g" TargetMode="External"/><Relationship Id="rId1024" Type="http://schemas.openxmlformats.org/officeDocument/2006/relationships/hyperlink" Target="https://www.google.com/url?q=https://github.com/mostafa-saad/MyCompetitiveProgramming/blob/master/Timus/TIMUS_1223.txt&amp;sa=D&amp;ust=1605639552137000&amp;usg=AFQjCNEmopHw05ieyHdyjQxS1TC6haDx8g" TargetMode="External"/><Relationship Id="rId1231" Type="http://schemas.openxmlformats.org/officeDocument/2006/relationships/hyperlink" Target="https://www.google.com/url?q=http://community.topcoder.com/stat?c%3Dproblem_statement%26pm%3D11504%26rd%3D14569&amp;sa=D&amp;ust=1605639552271000&amp;usg=AFQjCNFyqUqDlTIvguhmHDARzSciNNhCsg" TargetMode="External"/><Relationship Id="rId4387" Type="http://schemas.openxmlformats.org/officeDocument/2006/relationships/hyperlink" Target="https://www.google.com/url?q=https://www.codechef.com/FEB19A/problems/XDCOMP&amp;sa=D&amp;ust=1605639554320000&amp;usg=AFQjCNFt3s56y2oaBv5-eCyQb1R73qc_fw" TargetMode="External"/><Relationship Id="rId3196" Type="http://schemas.openxmlformats.org/officeDocument/2006/relationships/hyperlink" Target="https://www.google.com/url?q=http://codeforces.com/contest/451/problem/D&amp;sa=D&amp;ust=1605639553425000&amp;usg=AFQjCNHsnUMV00ZATDBqI5gzH2e3gitJNQ" TargetMode="External"/><Relationship Id="rId4247" Type="http://schemas.openxmlformats.org/officeDocument/2006/relationships/hyperlink" Target="https://www.google.com/url?q=https://codeforces.com/gym/101856/attachments&amp;sa=D&amp;ust=1605639554263000&amp;usg=AFQjCNFnnFOiW-QRsHP123OMuH9aJM1TKg" TargetMode="External"/><Relationship Id="rId4454" Type="http://schemas.openxmlformats.org/officeDocument/2006/relationships/hyperlink" Target="https://www.google.com/url?q=https://github.com/BoleynSu/CompetitiveProgramming/blob/master/archives/problemset/acm.timus.ru/1099.cpp&amp;sa=D&amp;ust=1605639554352000&amp;usg=AFQjCNHPyeLTOD-Nwz3pfNtnHFAayAHraA" TargetMode="External"/><Relationship Id="rId3056" Type="http://schemas.openxmlformats.org/officeDocument/2006/relationships/hyperlink" Target="https://www.google.com/url?q=https://codeforces.com/gym/101908/problem/L&amp;sa=D&amp;ust=1605639553354000&amp;usg=AFQjCNFi_QyadlgdQqjfTeKPghwkIA7HXw" TargetMode="External"/><Relationship Id="rId3263" Type="http://schemas.openxmlformats.org/officeDocument/2006/relationships/hyperlink" Target="https://www.google.com/url?q=http://codeforces.com/contest/577/problem/C&amp;sa=D&amp;ust=1605639553461000&amp;usg=AFQjCNHwdnuiW8VqzZ4uWpCRCVjfQW0DRA" TargetMode="External"/><Relationship Id="rId3470" Type="http://schemas.openxmlformats.org/officeDocument/2006/relationships/hyperlink" Target="https://www.google.com/url?q=http://www.spoj.com/problems/PROOT/&amp;sa=D&amp;ust=1605639553598000&amp;usg=AFQjCNFcGFH5hM6FeE8DldvUXPAgoMNgWQ" TargetMode="External"/><Relationship Id="rId4107" Type="http://schemas.openxmlformats.org/officeDocument/2006/relationships/hyperlink" Target="https://www.google.com/url?q=https://uva.onlinejudge.org/index.php?option%3Donlinejudge%26page%3Dshow_problem%26problem%3D725&amp;sa=D&amp;ust=1605639554180000&amp;usg=AFQjCNGmlUNpeJX9ngZ50zMb-_DJpUDtgw" TargetMode="External"/><Relationship Id="rId4314" Type="http://schemas.openxmlformats.org/officeDocument/2006/relationships/hyperlink" Target="https://www.google.com/url?q=http://codeforces.com/contest/551/problem/E&amp;sa=D&amp;ust=1605639554290000&amp;usg=AFQjCNHLWuTT9KdQ2Chvl7UM68n916jJIg" TargetMode="External"/><Relationship Id="rId184" Type="http://schemas.openxmlformats.org/officeDocument/2006/relationships/hyperlink" Target="https://www.google.com/url?q=http://codeforces.com/contest/868/problem/D&amp;sa=D&amp;ust=1605639551666000&amp;usg=AFQjCNHn6v3urMpFCNycK2Szw50rWhX7Ow" TargetMode="External"/><Relationship Id="rId391" Type="http://schemas.openxmlformats.org/officeDocument/2006/relationships/hyperlink" Target="https://www.google.com/url?q=http://codeforces.com/contest/121/problem/D&amp;sa=D&amp;ust=1605639551838000&amp;usg=AFQjCNE76Uxbfq-1V2R72IefxFq8IuGPKw" TargetMode="External"/><Relationship Id="rId1908" Type="http://schemas.openxmlformats.org/officeDocument/2006/relationships/hyperlink" Target="https://www.google.com/url?q=https://github.com/LeTrongDat/CompetitiveProgramming/blob/master/Codeforces/CF667-D2-E.cpp&amp;sa=D&amp;ust=1605639552676000&amp;usg=AFQjCNGnW8r1LLdUNnizzGcpCbtXveyb5A" TargetMode="External"/><Relationship Id="rId2072" Type="http://schemas.openxmlformats.org/officeDocument/2006/relationships/hyperlink" Target="https://www.google.com/url?q=https://uva.onlinejudge.org/index.php?option%3Donlinejudge%26page%3Dshow_problem%26problem%3D292&amp;sa=D&amp;ust=1605639552784000&amp;usg=AFQjCNG71_hBMPzNfWsBYlIj9xx9KjP-pA" TargetMode="External"/><Relationship Id="rId3123" Type="http://schemas.openxmlformats.org/officeDocument/2006/relationships/hyperlink" Target="https://www.google.com/url?q=http://codeforces.com/contest/40/problem/C&amp;sa=D&amp;ust=1605639553388000&amp;usg=AFQjCNE-mABOTfnYziB77cLdPmoyEHzpXA" TargetMode="External"/><Relationship Id="rId251" Type="http://schemas.openxmlformats.org/officeDocument/2006/relationships/hyperlink" Target="https://www.google.com/url?q=http://codeforces.com/contest/686/problem/C&amp;sa=D&amp;ust=1605639551714000&amp;usg=AFQjCNHGksL-ug-rk0se-xyxT30AmmUqaQ" TargetMode="External"/><Relationship Id="rId3330" Type="http://schemas.openxmlformats.org/officeDocument/2006/relationships/hyperlink" Target="https://www.google.com/url?q=https://morris821028.github.io/2014/09/15/oj/uva/uva-12792/&amp;sa=D&amp;ust=1605639553505000&amp;usg=AFQjCNFUSHvGRIIf9bvn5msaxMh_kosuyw" TargetMode="External"/><Relationship Id="rId2889" Type="http://schemas.openxmlformats.org/officeDocument/2006/relationships/hyperlink" Target="https://www.google.com/url?q=https://github.com/Coder-Boy1/SPOJ/blob/master/SPOJ%2520STEAD&amp;sa=D&amp;ust=1605639553258000&amp;usg=AFQjCNGJ2KerHhW7ni6BfRTlSBgQBIZ3AA" TargetMode="External"/><Relationship Id="rId111" Type="http://schemas.openxmlformats.org/officeDocument/2006/relationships/hyperlink" Target="https://www.google.com/url?q=https://atcoder.jp/contests/agc006/tasks/agc006_b&amp;sa=D&amp;ust=1605639551617000&amp;usg=AFQjCNFQvj9E4TNJSnsDuJVkifPFEzy6ZQ" TargetMode="External"/><Relationship Id="rId1698" Type="http://schemas.openxmlformats.org/officeDocument/2006/relationships/hyperlink" Target="https://www.google.com/url?q=http://codeforces.com/contest/721/problem/D&amp;sa=D&amp;ust=1605639552558000&amp;usg=AFQjCNEk56rzsx1WxV4vBcr8nUxo3lZOZA" TargetMode="External"/><Relationship Id="rId2749" Type="http://schemas.openxmlformats.org/officeDocument/2006/relationships/hyperlink" Target="https://www.google.com/url?q=https://github.com/shashank0107/CompetitiveProgramming/blob/master/UVA/10129.cpp&amp;sa=D&amp;ust=1605639553174000&amp;usg=AFQjCNE_Ge7BATwX8xxECOEtJLJVZHA53Q" TargetMode="External"/><Relationship Id="rId2956" Type="http://schemas.openxmlformats.org/officeDocument/2006/relationships/hyperlink" Target="https://www.google.com/url?q=https://codeforces.com/contest/1095/problem/F&amp;sa=D&amp;ust=1605639553293000&amp;usg=AFQjCNFMCQ_8WM6gev7f4ZhNFM2sl3hD5A" TargetMode="External"/><Relationship Id="rId928" Type="http://schemas.openxmlformats.org/officeDocument/2006/relationships/hyperlink" Target="https://www.google.com/url?q=http://codeforces.com/contest/1055/problem/E&amp;sa=D&amp;ust=1605639552086000&amp;usg=AFQjCNGwXJ-_XniFGvowvhrzS0jc8dpG9g" TargetMode="External"/><Relationship Id="rId1558" Type="http://schemas.openxmlformats.org/officeDocument/2006/relationships/hyperlink" Target="https://www.google.com/url?q=http://codeforces.com/contest/946/problem/E&amp;sa=D&amp;ust=1605639552480000&amp;usg=AFQjCNEAsFHXtfzBN8kVrilkoXoi3nvJSA" TargetMode="External"/><Relationship Id="rId1765" Type="http://schemas.openxmlformats.org/officeDocument/2006/relationships/hyperlink" Target="https://www.google.com/url?q=http://codeforces.com/contest/363/problem/C&amp;sa=D&amp;ust=1605639552595000&amp;usg=AFQjCNEkpyOU-6Fz-YknO4zbVD8HGeGeyA" TargetMode="External"/><Relationship Id="rId2609" Type="http://schemas.openxmlformats.org/officeDocument/2006/relationships/hyperlink" Target="https://www.google.com/url?q=http://codeforces.com/contest/913/problem/E&amp;sa=D&amp;ust=1605639553099000&amp;usg=AFQjCNFu3r4iFZ1yL6nxUhFCvTI4Cy_wmg" TargetMode="External"/><Relationship Id="rId4171" Type="http://schemas.openxmlformats.org/officeDocument/2006/relationships/hyperlink" Target="https://www.google.com/url?q=http://codeforces.com/contest/138/problem/C&amp;sa=D&amp;ust=1605639554218000&amp;usg=AFQjCNEIlSAJepJ6HrVdJYkz4arSNNgwsw" TargetMode="External"/><Relationship Id="rId57" Type="http://schemas.openxmlformats.org/officeDocument/2006/relationships/hyperlink" Target="https://www.google.com/url?q=http://codeforces.com/contest/898/problem/F&amp;sa=D&amp;ust=1605639551585000&amp;usg=AFQjCNEleREHykmRmvj_ifn5WUn_9jT3jw" TargetMode="External"/><Relationship Id="rId1418" Type="http://schemas.openxmlformats.org/officeDocument/2006/relationships/hyperlink" Target="https://www.google.com/url?q=https://github.com/SaraElkadi/competitive-programming-/blob/master/UVA/10536.cpp&amp;sa=D&amp;ust=1605639552394000&amp;usg=AFQjCNHMPCAnkK4R5aHRJsAv6exGu_mH8Q" TargetMode="External"/><Relationship Id="rId1972" Type="http://schemas.openxmlformats.org/officeDocument/2006/relationships/hyperlink" Target="https://www.google.com/url?q=https://github.com/tanmoy13/CompetitveProgramming/blob/master/Online-Judge-Solutions/CodeForces/CF101726-GYM-F.cpp&amp;sa=D&amp;ust=1605639552717000&amp;usg=AFQjCNGiDlIZvS7N-XU8eLAflBuUWrwF0Q" TargetMode="External"/><Relationship Id="rId2816" Type="http://schemas.openxmlformats.org/officeDocument/2006/relationships/hyperlink" Target="https://www.google.com/url?q=https://github.com/mostafa-saad/MyCompetitiveProgramming/blob/master/PKU/PKU_3308.txt&amp;sa=D&amp;ust=1605639553218000&amp;usg=AFQjCNGCSLXXpIlle1ob4C2ijKhTrgE5rQ" TargetMode="External"/><Relationship Id="rId4031" Type="http://schemas.openxmlformats.org/officeDocument/2006/relationships/hyperlink" Target="https://www.google.com/url?q=https://uva.onlinejudge.org/index.php?option%3Donlinejudge%26page%3Dshow_problem%26problem%3D2399&amp;sa=D&amp;ust=1605639554143000&amp;usg=AFQjCNH2mz_k8cEefMw-tTwZ7IrTzk8TOw" TargetMode="External"/><Relationship Id="rId1625" Type="http://schemas.openxmlformats.org/officeDocument/2006/relationships/hyperlink" Target="https://www.google.com/url?q=https://github.com/Ownography/CP/blob/master/SPOJ%2520ROADTRIP&amp;sa=D&amp;ust=1605639552516000&amp;usg=AFQjCNFtqITKooG7lfbekcbWdEN2v6rwcQ" TargetMode="External"/><Relationship Id="rId1832" Type="http://schemas.openxmlformats.org/officeDocument/2006/relationships/hyperlink" Target="https://www.google.com/url?q=https://github.com/taow-com-prog/problemsolving/blob/master/CodeForces/CF102394-G.cpp&amp;sa=D&amp;ust=1605639552632000&amp;usg=AFQjCNEhoE1dSIkhGYDWU84uakzUwPSZNQ" TargetMode="External"/><Relationship Id="rId3797" Type="http://schemas.openxmlformats.org/officeDocument/2006/relationships/hyperlink" Target="https://www.google.com/url?q=https://www.codechef.com/problems/TASHIFT&amp;sa=D&amp;ust=1605639553859000&amp;usg=AFQjCNEJLIF40l5aZYPrb4jIDLkzeC8ePQ" TargetMode="External"/><Relationship Id="rId2399" Type="http://schemas.openxmlformats.org/officeDocument/2006/relationships/hyperlink" Target="https://www.google.com/url?q=http://www.spoj.pl/problems/SPRING/&amp;sa=D&amp;ust=1605639552968000&amp;usg=AFQjCNGo_n0oUt8HNX2jrl2-idCEJVoR6w" TargetMode="External"/><Relationship Id="rId3657" Type="http://schemas.openxmlformats.org/officeDocument/2006/relationships/hyperlink" Target="https://www.google.com/url?q=https://uva.onlinejudge.org/index.php?option%3Donlinejudge%26page%3Dshow_problem%26problem%3D1335&amp;sa=D&amp;ust=1605639553771000&amp;usg=AFQjCNHt-9RfIA-UGSIqW7cu8Wq8sohoDQ" TargetMode="External"/><Relationship Id="rId3864" Type="http://schemas.openxmlformats.org/officeDocument/2006/relationships/hyperlink" Target="https://www.google.com/url?q=https://codeforces.com/problemset/problem/1172/E&amp;sa=D&amp;ust=1605639553898000&amp;usg=AFQjCNGnrRaJS5kZ-yxCR-De0XrqfyADjw" TargetMode="External"/><Relationship Id="rId578" Type="http://schemas.openxmlformats.org/officeDocument/2006/relationships/hyperlink" Target="https://www.google.com/url?q=http://codeforces.com/contest/283/problem/E&amp;sa=D&amp;ust=1605639551918000&amp;usg=AFQjCNEIFk8ndjY1Wy5Ld1Zy6ch4tbRrYQ" TargetMode="External"/><Relationship Id="rId785" Type="http://schemas.openxmlformats.org/officeDocument/2006/relationships/hyperlink" Target="https://www.google.com/url?q=http://codeforces.com/gym/100739/problem/A&amp;sa=D&amp;ust=1605639552005000&amp;usg=AFQjCNHgqoX2DVO-oilakX1_22U5YXI9vg" TargetMode="External"/><Relationship Id="rId992" Type="http://schemas.openxmlformats.org/officeDocument/2006/relationships/hyperlink" Target="https://www.google.com/url?q=https://atcoder.jp/contests/caddi2018/tasks/caddi2018_d&amp;sa=D&amp;ust=1605639552121000&amp;usg=AFQjCNHjQItOICIFYyQcDSLH217AdqpBaQ" TargetMode="External"/><Relationship Id="rId2259" Type="http://schemas.openxmlformats.org/officeDocument/2006/relationships/hyperlink" Target="https://www.google.com/url?q=http://codeforces.com/contest/641/problem/G&amp;sa=D&amp;ust=1605639552908000&amp;usg=AFQjCNHPd_eEAYHjoDNhf7JWkGYp8Sj4zA" TargetMode="External"/><Relationship Id="rId2466" Type="http://schemas.openxmlformats.org/officeDocument/2006/relationships/hyperlink" Target="https://www.google.com/url?q=http://codeforces.com/contest/230/problem/D&amp;sa=D&amp;ust=1605639553005000&amp;usg=AFQjCNE017kdydeXVDdRKNJTst4NePk4Eg" TargetMode="External"/><Relationship Id="rId2673" Type="http://schemas.openxmlformats.org/officeDocument/2006/relationships/hyperlink" Target="https://www.google.com/url?q=http://codeforces.com/contest/1074/problem/D&amp;sa=D&amp;ust=1605639553134000&amp;usg=AFQjCNHm8uGtbhXs4BLB_j61dMMcymoSRw" TargetMode="External"/><Relationship Id="rId2880" Type="http://schemas.openxmlformats.org/officeDocument/2006/relationships/hyperlink" Target="https://www.google.com/url?q=http://codeforces.com/contest/166/problem/D&amp;sa=D&amp;ust=1605639553253000&amp;usg=AFQjCNFrh4vjX02Of_4HBNk8E21YaWkXfA" TargetMode="External"/><Relationship Id="rId3517" Type="http://schemas.openxmlformats.org/officeDocument/2006/relationships/hyperlink" Target="https://www.google.com/url?q=https://github.com/Huvok/CompetitiveProgramming/blob/master/Hackerrank/HACKR%2520mehta-and-the-typical-supermarket.cpp&amp;sa=D&amp;ust=1605639553635000&amp;usg=AFQjCNG2e2B-gkD0eWNPlJdNMzV65xdZtA" TargetMode="External"/><Relationship Id="rId3724" Type="http://schemas.openxmlformats.org/officeDocument/2006/relationships/hyperlink" Target="https://www.google.com/url?q=https://www.quora.com/How-do-I-solve-the-SPOJ-question-GCDEX2-GCD-extremely-hard&amp;sa=D&amp;ust=1605639553813000&amp;usg=AFQjCNGljSw-OrtrYTCVuN3oe32-4UK1_w" TargetMode="External"/><Relationship Id="rId3931" Type="http://schemas.openxmlformats.org/officeDocument/2006/relationships/hyperlink" Target="https://www.google.com/url?q=http://codeforces.com/contest/677/problem/E&amp;sa=D&amp;ust=1605639553935000&amp;usg=AFQjCNECNcRNBQlnu2xGH2_Sug98BM_WsA" TargetMode="External"/><Relationship Id="rId438" Type="http://schemas.openxmlformats.org/officeDocument/2006/relationships/hyperlink" Target="https://www.google.com/url?q=http://codeforces.com/contest/739/problem/B&amp;sa=D&amp;ust=1605639551859000&amp;usg=AFQjCNH0VJ_fe6d_5mbn1w0-MRCtzEx3Wg" TargetMode="External"/><Relationship Id="rId645" Type="http://schemas.openxmlformats.org/officeDocument/2006/relationships/hyperlink" Target="https://www.google.com/url?q=http://codeforces.com/contest/787/problem/D&amp;sa=D&amp;ust=1605639551941000&amp;usg=AFQjCNH4hbYcRB2BeRvLpNHa-KGANO8Hsw" TargetMode="External"/><Relationship Id="rId852" Type="http://schemas.openxmlformats.org/officeDocument/2006/relationships/hyperlink" Target="https://www.google.com/url?q=http://codeforces.com/contest/629/problem/D&amp;sa=D&amp;ust=1605639552041000&amp;usg=AFQjCNHev-xSqBR8qbNrL0at4yhyalzopA" TargetMode="External"/><Relationship Id="rId1068" Type="http://schemas.openxmlformats.org/officeDocument/2006/relationships/hyperlink" Target="https://www.google.com/url?q=http://codeforces.com/contest/313/problem/D&amp;sa=D&amp;ust=1605639552160000&amp;usg=AFQjCNEHbsgm8CfhyfaDN9MMawUdx0n4GA" TargetMode="External"/><Relationship Id="rId1275" Type="http://schemas.openxmlformats.org/officeDocument/2006/relationships/hyperlink" Target="https://www.google.com/url?q=https://github.com/mostafa-saad/MyCompetitiveProgramming/blob/master/Codeforces/CF710-D12-E.txt&amp;sa=D&amp;ust=1605639552302000&amp;usg=AFQjCNH1yeuvSNOT9HqUJUDwvF8phnhwqQ" TargetMode="External"/><Relationship Id="rId1482" Type="http://schemas.openxmlformats.org/officeDocument/2006/relationships/hyperlink" Target="https://www.google.com/url?q=http://codeforces.com/contest/697/problem/D&amp;sa=D&amp;ust=1605639552434000&amp;usg=AFQjCNF-gTFuSRN1O8FnDP2RpnXYulN4vA" TargetMode="External"/><Relationship Id="rId2119" Type="http://schemas.openxmlformats.org/officeDocument/2006/relationships/hyperlink" Target="https://www.google.com/url?q=http://codeforces.com/contest/617/problem/D&amp;sa=D&amp;ust=1605639552813000&amp;usg=AFQjCNEoQV-jMI8sTSun_GvJOc9YAvHzJQ" TargetMode="External"/><Relationship Id="rId2326" Type="http://schemas.openxmlformats.org/officeDocument/2006/relationships/hyperlink" Target="https://www.google.com/url?q=https://codeforces.com/blog/entry/68138&amp;sa=D&amp;ust=1605639552938000&amp;usg=AFQjCNH57APgBVLF6ctvJU_l-rEfcGR86A" TargetMode="External"/><Relationship Id="rId2533" Type="http://schemas.openxmlformats.org/officeDocument/2006/relationships/hyperlink" Target="https://www.google.com/url?q=https://codeforces.com/contest/1174/problem/F&amp;sa=D&amp;ust=1605639553050000&amp;usg=AFQjCNE9gHq2V5dkOmYwrCM4Fw-aoCGJIQ" TargetMode="External"/><Relationship Id="rId2740" Type="http://schemas.openxmlformats.org/officeDocument/2006/relationships/hyperlink" Target="https://www.google.com/url?q=http://codeforces.com/problemset/problem/789/D&amp;sa=D&amp;ust=1605639553169000&amp;usg=AFQjCNEDCK3dIYhbW-h3poHv5kDocmPfkA" TargetMode="External"/><Relationship Id="rId505" Type="http://schemas.openxmlformats.org/officeDocument/2006/relationships/hyperlink" Target="https://www.google.com/url?q=https://github.com/arvindr9/CompetitiveProgramming/blob/master/CodeForces/CF101102-GYM-I.cpp&amp;sa=D&amp;ust=1605639551888000&amp;usg=AFQjCNEuE4mtY2_YVD2WJN0zy_wFrBE6rQ" TargetMode="External"/><Relationship Id="rId712" Type="http://schemas.openxmlformats.org/officeDocument/2006/relationships/hyperlink" Target="https://www.google.com/url?q=https://www.urionlinejudge.com.br/repository/UOJ_1511_en.html&amp;sa=D&amp;ust=1605639551970000&amp;usg=AFQjCNGBckFzd7gBUXZCNVoMl-IyGToZTQ" TargetMode="External"/><Relationship Id="rId1135" Type="http://schemas.openxmlformats.org/officeDocument/2006/relationships/hyperlink" Target="https://www.google.com/url?q=https://codeforces.com/contest/1140/problem/D&amp;sa=D&amp;ust=1605639552200000&amp;usg=AFQjCNF5jKu7lyl655Q_-Ac7sFCuoq9weg" TargetMode="External"/><Relationship Id="rId1342" Type="http://schemas.openxmlformats.org/officeDocument/2006/relationships/hyperlink" Target="https://www.google.com/url?q=https://github.com/MohamedNabil97/CompetitiveProgramming/tree/master/SPOJ/TRSTAGE.cpp&amp;sa=D&amp;ust=1605639552342000&amp;usg=AFQjCNHPrUoB8aPcJy_ZCUZplIGUgElyhA" TargetMode="External"/><Relationship Id="rId1202" Type="http://schemas.openxmlformats.org/officeDocument/2006/relationships/hyperlink" Target="https://www.google.com/url?q=https://github.com/Ownography/CP/blob/master/SPOJ%2520UOFTAB&amp;sa=D&amp;ust=1605639552246000&amp;usg=AFQjCNGb05LdHMmFT7L3t6wv14jVa633Pw" TargetMode="External"/><Relationship Id="rId2600" Type="http://schemas.openxmlformats.org/officeDocument/2006/relationships/hyperlink" Target="https://www.google.com/url?q=http://codeforces.com/contest/699/problem/D&amp;sa=D&amp;ust=1605639553088000&amp;usg=AFQjCNFB11-7OxK1SGpWMluKa36g-u8JcQ" TargetMode="External"/><Relationship Id="rId4358" Type="http://schemas.openxmlformats.org/officeDocument/2006/relationships/hyperlink" Target="https://www.google.com/url?q=https://www.codechef.com/COOK107A/problems/SUBSETS&amp;sa=D&amp;ust=1605639554308000&amp;usg=AFQjCNHIGfgQdeQw2uR5H4PLpitURzXq2w" TargetMode="External"/><Relationship Id="rId3167" Type="http://schemas.openxmlformats.org/officeDocument/2006/relationships/hyperlink" Target="https://www.google.com/url?q=https://github.com/MedoN11/CompetitiveProgramming/blob/master/CodeForces/CF101615-GYM-C.cpp&amp;sa=D&amp;ust=1605639553413000&amp;usg=AFQjCNGDoNclfLA7cNRehma_Gwlz_6y7fg" TargetMode="External"/><Relationship Id="rId295" Type="http://schemas.openxmlformats.org/officeDocument/2006/relationships/hyperlink" Target="https://www.google.com/url?q=https://github.com/magdy-hasan/competitive-programming/blob/8cbf7891ccb20207e90ca25c5841661c0727afa0/CSA/CSA%2520Smallest%2520Subsets.cpp&amp;sa=D&amp;ust=1605639551754000&amp;usg=AFQjCNH1Mii5i8DK-nxFv1omzgpZJbrPTg" TargetMode="External"/><Relationship Id="rId3374" Type="http://schemas.openxmlformats.org/officeDocument/2006/relationships/hyperlink" Target="https://www.google.com/url?q=https://github.com/MohamedNabil97/CompetitiveProgramming/tree/master/UVA/12392.cpp&amp;sa=D&amp;ust=1605639553537000&amp;usg=AFQjCNF0vfU881fPxSizRbmBVzVdb4nzGg" TargetMode="External"/><Relationship Id="rId3581" Type="http://schemas.openxmlformats.org/officeDocument/2006/relationships/hyperlink" Target="https://www.google.com/url?q=https://codeforces.com/contest/938/problem/G&amp;sa=D&amp;ust=1605639553715000&amp;usg=AFQjCNH25r4iOLK7oes_SVNjtKxDgBwNQQ" TargetMode="External"/><Relationship Id="rId4218" Type="http://schemas.openxmlformats.org/officeDocument/2006/relationships/hyperlink" Target="https://www.google.com/url?q=http://www.codechef.com/problems/QTREE&amp;sa=D&amp;ust=1605639554250000&amp;usg=AFQjCNHRURlHDd2uouT4Lrp8tqxyUgbCQg" TargetMode="External"/><Relationship Id="rId4425" Type="http://schemas.openxmlformats.org/officeDocument/2006/relationships/hyperlink" Target="https://www.google.com/url?q=http://codeforces.com/contest/444/problem/D&amp;sa=D&amp;ust=1605639554339000&amp;usg=AFQjCNFoEvBajYF2qckFouAArzCnIML5ew" TargetMode="External"/><Relationship Id="rId2183" Type="http://schemas.openxmlformats.org/officeDocument/2006/relationships/hyperlink" Target="https://www.google.com/url?q=https://www.codechef.com/problems/ADADET&amp;sa=D&amp;ust=1605639552860000&amp;usg=AFQjCNE4QiQbRnm2M1SHPP-livS6QqAEbQ" TargetMode="External"/><Relationship Id="rId2390" Type="http://schemas.openxmlformats.org/officeDocument/2006/relationships/hyperlink" Target="https://www.google.com/url?q=https://github.com/TheRealImaginary/CompetitiveProgramming/blob/master/UVA/UVA_656_OptimalPrograms.java&amp;sa=D&amp;ust=1605639552963000&amp;usg=AFQjCNFm1wBY3fHZoydtx_AATrE3duJYxw" TargetMode="External"/><Relationship Id="rId3027" Type="http://schemas.openxmlformats.org/officeDocument/2006/relationships/hyperlink" Target="https://www.google.com/url?q=https://github.com/miguelAlessandro/CompetitiveProgramming/blob/master/spoj/BUGLIFE.cpp&amp;sa=D&amp;ust=1605639553334000&amp;usg=AFQjCNGPUQEWcPymuiy0ibMNspCyIMQeOg" TargetMode="External"/><Relationship Id="rId3234" Type="http://schemas.openxmlformats.org/officeDocument/2006/relationships/hyperlink" Target="https://www.google.com/url?q=https://csacademy.com/contest/round-63/task/find-remainder/&amp;sa=D&amp;ust=1605639553443000&amp;usg=AFQjCNFPqeqkfgmdAbBxJ0zSVVg5OmbOPA" TargetMode="External"/><Relationship Id="rId3441" Type="http://schemas.openxmlformats.org/officeDocument/2006/relationships/hyperlink" Target="https://www.google.com/url?q=https://www.hackerrank.com/challenges/number-list&amp;sa=D&amp;ust=1605639553578000&amp;usg=AFQjCNH7mz0xYwcm3ZVLav4gidi3_rpMgw" TargetMode="External"/><Relationship Id="rId155" Type="http://schemas.openxmlformats.org/officeDocument/2006/relationships/hyperlink" Target="https://www.google.com/url?q=http://codeforces.com/problemset/problem/869/A&amp;sa=D&amp;ust=1605639551644000&amp;usg=AFQjCNGDnU4Sfd1fvO_494lAYR1OJFx0kQ" TargetMode="External"/><Relationship Id="rId362" Type="http://schemas.openxmlformats.org/officeDocument/2006/relationships/hyperlink" Target="https://www.google.com/url?q=https://blog.csdn.net/accelerator_/article/details/22990113&amp;sa=D&amp;ust=1605639551799000&amp;usg=AFQjCNEQZEBy7wATW_6LAd9SYpaUN6zBbA" TargetMode="External"/><Relationship Id="rId2043" Type="http://schemas.openxmlformats.org/officeDocument/2006/relationships/hyperlink" Target="https://www.google.com/url?q=https://github.com/osamahatem/CompetitiveProgramming/blob/master/Codeforces/2C.%2520Commentator%2520problem.cpp&amp;sa=D&amp;ust=1605639552768000&amp;usg=AFQjCNE61iyV4OkakFkONKyaxZXDW0JLtg" TargetMode="External"/><Relationship Id="rId2250" Type="http://schemas.openxmlformats.org/officeDocument/2006/relationships/hyperlink" Target="https://www.google.com/url?q=http://codeforces.com/contest/203/problem/D&amp;sa=D&amp;ust=1605639552902000&amp;usg=AFQjCNGBcPZDUMmky2n_NyodEEVrVE5xAA" TargetMode="External"/><Relationship Id="rId3301" Type="http://schemas.openxmlformats.org/officeDocument/2006/relationships/hyperlink" Target="https://www.google.com/url?q=http://codeforces.com/contest/194/problem/D&amp;sa=D&amp;ust=1605639553482000&amp;usg=AFQjCNFky7DfMGemogBWq7Z0YWOaSQKH9g" TargetMode="External"/><Relationship Id="rId222" Type="http://schemas.openxmlformats.org/officeDocument/2006/relationships/hyperlink" Target="https://www.google.com/url?q=http://codeforces.com/contest/550/problem/C&amp;sa=D&amp;ust=1605639551690000&amp;usg=AFQjCNHxAQBMzqZ7TOrYFfsXx_7eLQ3MqQ" TargetMode="External"/><Relationship Id="rId2110" Type="http://schemas.openxmlformats.org/officeDocument/2006/relationships/hyperlink" Target="https://www.google.com/url?q=https://uva.onlinejudge.org/index.php?option%3Dcom_onlinejudge%26Itemid%3D8%26page%3Dshow_problem%26problem%3D206&amp;sa=D&amp;ust=1605639552810000&amp;usg=AFQjCNG854gThNcZzPBTejx1AZSDM6nvdg" TargetMode="External"/><Relationship Id="rId4075" Type="http://schemas.openxmlformats.org/officeDocument/2006/relationships/hyperlink" Target="https://www.google.com/url?q=https://ideone.com/hleZmr&amp;sa=D&amp;ust=1605639554162000&amp;usg=AFQjCNFx4NJv2iYD8lZtUgabuT9zcFn-KQ" TargetMode="External"/><Relationship Id="rId4282" Type="http://schemas.openxmlformats.org/officeDocument/2006/relationships/hyperlink" Target="https://www.google.com/url?q=https://github.com/nikolapesic2802/Programming-Practice/blob/master/The%2520Fair%2520Nut%2520and%2520rectangless/main.cpp&amp;sa=D&amp;ust=1605639554278000&amp;usg=AFQjCNEyseV1HxAHfFdDXAuhLxJLFdkCFA" TargetMode="External"/><Relationship Id="rId1669" Type="http://schemas.openxmlformats.org/officeDocument/2006/relationships/hyperlink" Target="https://www.google.com/url?q=http://codeforces.com/contest/131/problem/E&amp;sa=D&amp;ust=1605639552540000&amp;usg=AFQjCNE1_DyMq_4XmXLsFOmRvd3LO5Psig" TargetMode="External"/><Relationship Id="rId1876" Type="http://schemas.openxmlformats.org/officeDocument/2006/relationships/hyperlink" Target="https://www.google.com/url?q=http://codeforces.com/contest/768/problem/E&amp;sa=D&amp;ust=1605639552651000&amp;usg=AFQjCNHMWYgxaW-27IPFoGwKdPxXl4BaXQ" TargetMode="External"/><Relationship Id="rId2927" Type="http://schemas.openxmlformats.org/officeDocument/2006/relationships/hyperlink" Target="https://www.google.com/url?q=https://github.com/taow-com-prog/problemsolving/blob/master/Kattis/kattis%2520blazingnewtrails.cpp&amp;sa=D&amp;ust=1605639553281000&amp;usg=AFQjCNHvv8Tbj9QHf-RFpXQEDDNW2ldQTA" TargetMode="External"/><Relationship Id="rId3091" Type="http://schemas.openxmlformats.org/officeDocument/2006/relationships/hyperlink" Target="https://www.google.com/url?q=https://www.hackerearth.com/problem/algorithm/meetup-point-61916d93/&amp;sa=D&amp;ust=1605639553366000&amp;usg=AFQjCNFHFJRGOPFS7y_3DuUrw2uTi2Hhig" TargetMode="External"/><Relationship Id="rId4142" Type="http://schemas.openxmlformats.org/officeDocument/2006/relationships/hyperlink" Target="https://www.google.com/url?q=http://codeforces.com/contest/132/problem/E&amp;sa=D&amp;ust=1605639554203000&amp;usg=AFQjCNHG8VatrQJ13n44uNxZ_vYoW052hw" TargetMode="External"/><Relationship Id="rId1529" Type="http://schemas.openxmlformats.org/officeDocument/2006/relationships/hyperlink" Target="https://www.google.com/url?q=https://atcoder.jp/contests/agc043/tasks/agc043_d&amp;sa=D&amp;ust=1605639552462000&amp;usg=AFQjCNGdvK-rBB9DSCfP5Jk65DD8t7RENw" TargetMode="External"/><Relationship Id="rId1736" Type="http://schemas.openxmlformats.org/officeDocument/2006/relationships/hyperlink" Target="https://www.google.com/url?q=http://codeforces.com/contest/240/problem/D&amp;sa=D&amp;ust=1605639552578000&amp;usg=AFQjCNF06VmvErHxiLgp26zEDmtp_P31bA" TargetMode="External"/><Relationship Id="rId1943" Type="http://schemas.openxmlformats.org/officeDocument/2006/relationships/hyperlink" Target="https://www.google.com/url?q=https://www.codechef.com/FEB19A/problems/MANRECT&amp;sa=D&amp;ust=1605639552705000&amp;usg=AFQjCNG8JDVwgX2xbF4eCQj__xHWE45JFg" TargetMode="External"/><Relationship Id="rId28" Type="http://schemas.openxmlformats.org/officeDocument/2006/relationships/hyperlink" Target="https://www.google.com/url?q=http://codeforces.com/contest/936/problem/C&amp;sa=D&amp;ust=1605639551574000&amp;usg=AFQjCNEXVPeQkK_qk8T0MB1_1oZ6d7OK1w" TargetMode="External"/><Relationship Id="rId1803" Type="http://schemas.openxmlformats.org/officeDocument/2006/relationships/hyperlink" Target="https://www.google.com/url?q=http://codeforces.com/problemset/gymProblem/100090/H&amp;sa=D&amp;ust=1605639552616000&amp;usg=AFQjCNHzZCtraSKGETue5zy7atBcKXNMOg" TargetMode="External"/><Relationship Id="rId4002" Type="http://schemas.openxmlformats.org/officeDocument/2006/relationships/hyperlink" Target="https://www.google.com/url?q=https://github.com/nya-nya-meow/CompetitiveProgramming/blob/master/CodeForces/CF1043-D12-D.cpp&amp;sa=D&amp;ust=1605639554127000&amp;usg=AFQjCNEPEpLQUXFUkAHGzHtB2a3rV1rAQg" TargetMode="External"/><Relationship Id="rId3768" Type="http://schemas.openxmlformats.org/officeDocument/2006/relationships/hyperlink" Target="https://www.google.com/url?q=https://uva.onlinejudge.org/index.php?option%3Dcom_onlinejudge%26Itemid%3D8%26page%3Dshow_problem%26problem%3D4331&amp;sa=D&amp;ust=1605639553841000&amp;usg=AFQjCNEGgEb4BkdHd3MnurXowSTCs7aAZw" TargetMode="External"/><Relationship Id="rId3975" Type="http://schemas.openxmlformats.org/officeDocument/2006/relationships/hyperlink" Target="https://www.google.com/url?q=http://codeforces.com/contest/462/problem/C&amp;sa=D&amp;ust=1605639553957000&amp;usg=AFQjCNEJchbB-53I4FvHGM_5ygvgUKkWiQ" TargetMode="External"/><Relationship Id="rId689" Type="http://schemas.openxmlformats.org/officeDocument/2006/relationships/hyperlink" Target="https://www.google.com/url?q=http://codeforces.com/contest/145/problem/E&amp;sa=D&amp;ust=1605639551959000&amp;usg=AFQjCNHgfSIthZWo5YfYUkxdIZnlR2E5OA" TargetMode="External"/><Relationship Id="rId896" Type="http://schemas.openxmlformats.org/officeDocument/2006/relationships/hyperlink" Target="https://www.google.com/url?q=https://www.hackerrank.com/contests/codeagon/challenges/quadruple-counting/problem&amp;sa=D&amp;ust=1605639552067000&amp;usg=AFQjCNGra1LilQo1iRDn4sKepY7-j5eFiQ" TargetMode="External"/><Relationship Id="rId2577" Type="http://schemas.openxmlformats.org/officeDocument/2006/relationships/hyperlink" Target="https://www.google.com/url?q=http://codeforces.com/problemset/gymProblem/101064/G&amp;sa=D&amp;ust=1605639553075000&amp;usg=AFQjCNHjSrdXBV6hBl8BeIYbvnSSwso0Xw" TargetMode="External"/><Relationship Id="rId2784" Type="http://schemas.openxmlformats.org/officeDocument/2006/relationships/hyperlink" Target="https://www.google.com/url?q=https://github.com/ahmedcpbl/CompetitiveProgramming/blob/master/UVA/1233.cpp&amp;sa=D&amp;ust=1605639553199000&amp;usg=AFQjCNENZmgKqfzeVvVI7TydC8cuwE0Eug" TargetMode="External"/><Relationship Id="rId3628" Type="http://schemas.openxmlformats.org/officeDocument/2006/relationships/hyperlink" Target="https://www.google.com/url?q=https://github.com/SpeedOfMagic/CompetitiveProgramming/blob/master/CodeforcesGym/CF101864-GYM-A.cpp&amp;sa=D&amp;ust=1605639553748000&amp;usg=AFQjCNH3EwpqBUPa7v68V-DGTLovFYFMRA" TargetMode="External"/><Relationship Id="rId549" Type="http://schemas.openxmlformats.org/officeDocument/2006/relationships/hyperlink" Target="https://www.google.com/url?q=https://github.com/Huvok/CompetitiveProgramming/blob/master/Codeforces/CF1062-D2-E.cpp&amp;sa=D&amp;ust=1605639551908000&amp;usg=AFQjCNEgodzMhWb2dLCxEW9hJ21ZwiKjEw" TargetMode="External"/><Relationship Id="rId756" Type="http://schemas.openxmlformats.org/officeDocument/2006/relationships/hyperlink" Target="https://www.google.com/url?q=http://codeforces.com/contest/67/problem/D&amp;sa=D&amp;ust=1605639551991000&amp;usg=AFQjCNHur6aJcOrkgYdA6LueMpYSTo0TAg" TargetMode="External"/><Relationship Id="rId1179" Type="http://schemas.openxmlformats.org/officeDocument/2006/relationships/hyperlink" Target="https://www.google.com/url?q=https://www.codechef.com/problems/TACNTSTR&amp;sa=D&amp;ust=1605639552228000&amp;usg=AFQjCNFTVSJdlyr7THGAf97W4EEgm2jtdQ" TargetMode="External"/><Relationship Id="rId1386" Type="http://schemas.openxmlformats.org/officeDocument/2006/relationships/hyperlink" Target="https://www.google.com/url?q=http://codeforces.com/contest/233/problem/D&amp;sa=D&amp;ust=1605639552367000&amp;usg=AFQjCNF0T4Ylvxicthr1zN8g0dkPs1ZmoA" TargetMode="External"/><Relationship Id="rId1593" Type="http://schemas.openxmlformats.org/officeDocument/2006/relationships/hyperlink" Target="https://www.google.com/url?q=https://github.com/WaleedAbdelhakim/Competitive-Programming/blob/master/TopCoder/SRM392-D1-1000.cpp&amp;sa=D&amp;ust=1605639552499000&amp;usg=AFQjCNFGITEDb4_XBwKCd4Cibf43VBB5_w" TargetMode="External"/><Relationship Id="rId2437" Type="http://schemas.openxmlformats.org/officeDocument/2006/relationships/hyperlink" Target="https://www.google.com/url?q=http://codeforces.com/contest/1005/problem/F&amp;sa=D&amp;ust=1605639552988000&amp;usg=AFQjCNHNUQLh5_Iylo5kGq2XoXhTYJJfaw" TargetMode="External"/><Relationship Id="rId2991" Type="http://schemas.openxmlformats.org/officeDocument/2006/relationships/hyperlink" Target="https://www.google.com/url?q=http://www.spoj.com/problems/TOUR/&amp;sa=D&amp;ust=1605639553315000&amp;usg=AFQjCNEdsfnHdrwiEmm9TbwPDWnZ_tSi5A" TargetMode="External"/><Relationship Id="rId3835" Type="http://schemas.openxmlformats.org/officeDocument/2006/relationships/hyperlink" Target="https://www.google.com/url?q=http://codeforces.com/contest/123/problem/D&amp;sa=D&amp;ust=1605639553886000&amp;usg=AFQjCNHGwCLrs7G9aRTdXjs2NgGON743lA" TargetMode="External"/><Relationship Id="rId409" Type="http://schemas.openxmlformats.org/officeDocument/2006/relationships/hyperlink" Target="https://www.google.com/url?q=https://codeforces.com/contest/989/problem/D&amp;sa=D&amp;ust=1605639551846000&amp;usg=AFQjCNFElpzCW19OJhmsDbaD6RCkkZPnwg" TargetMode="External"/><Relationship Id="rId963" Type="http://schemas.openxmlformats.org/officeDocument/2006/relationships/hyperlink" Target="https://www.google.com/url?q=http://codeforces.com/problemset/gymProblem/101522/J&amp;sa=D&amp;ust=1605639552108000&amp;usg=AFQjCNEzn8I3WpMLViquVBLXwNBVuOidnw" TargetMode="External"/><Relationship Id="rId1039" Type="http://schemas.openxmlformats.org/officeDocument/2006/relationships/hyperlink" Target="https://www.google.com/url?q=https://www.codechef.com/problems/ABDTOLL&amp;sa=D&amp;ust=1605639552144000&amp;usg=AFQjCNFu3hyIj1YzuCvB9-9NHKv4_DysVQ" TargetMode="External"/><Relationship Id="rId1246" Type="http://schemas.openxmlformats.org/officeDocument/2006/relationships/hyperlink" Target="https://www.google.com/url?q=https://github.com/aviroop123/CompetitiveProgramming/blob/master/TopCoder/SRM358-D1-500.cpp&amp;sa=D&amp;ust=1605639552284000&amp;usg=AFQjCNGWx7BdR1Glw8--fR3IVxkEyH2mug" TargetMode="External"/><Relationship Id="rId2644" Type="http://schemas.openxmlformats.org/officeDocument/2006/relationships/hyperlink" Target="https://www.google.com/url?q=https://uva.onlinejudge.org/index.php?option%3Donlinejudge%26page%3Dshow_problem%26problem%3D1742&amp;sa=D&amp;ust=1605639553118000&amp;usg=AFQjCNF8LRbyjtpDwTEf7wIzjS4lpP62yA" TargetMode="External"/><Relationship Id="rId2851" Type="http://schemas.openxmlformats.org/officeDocument/2006/relationships/hyperlink" Target="https://www.google.com/url?q=https://github.com/swapnil119/CompetitiveProgramming/blob/master/CompetitiveProgramming/Codeforces/CF101666-GYM-E.cpp&amp;sa=D&amp;ust=1605639553237000&amp;usg=AFQjCNFBv6H9eb8QmpBnuA4WAYtWw7NmxQ" TargetMode="External"/><Relationship Id="rId3902" Type="http://schemas.openxmlformats.org/officeDocument/2006/relationships/hyperlink" Target="https://www.google.com/url?q=http://codeforces.com/contest/375/problem/D&amp;sa=D&amp;ust=1605639553919000&amp;usg=AFQjCNEonGPQLfyaRtTJ5IbQ7Hg8S9q5pA" TargetMode="External"/><Relationship Id="rId92" Type="http://schemas.openxmlformats.org/officeDocument/2006/relationships/hyperlink" Target="https://www.google.com/url?q=http://codeforces.com/contest/41/problem/E&amp;sa=D&amp;ust=1605639551606000&amp;usg=AFQjCNE-sc9NNh_7mpvdXVw3ZCxuG2vgKA" TargetMode="External"/><Relationship Id="rId616" Type="http://schemas.openxmlformats.org/officeDocument/2006/relationships/hyperlink" Target="https://www.google.com/url?q=http://codeforces.com/contest/256/problem/E&amp;sa=D&amp;ust=1605639551931000&amp;usg=AFQjCNEPxoGdkn9XEacjwAD50tzOmGytTA" TargetMode="External"/><Relationship Id="rId823" Type="http://schemas.openxmlformats.org/officeDocument/2006/relationships/hyperlink" Target="https://www.google.com/url?q=https://www.codechef.com/problems/URBANDEV&amp;sa=D&amp;ust=1605639552026000&amp;usg=AFQjCNGlzcFt00VxtojxNObsZvdoYTSpnw" TargetMode="External"/><Relationship Id="rId1453" Type="http://schemas.openxmlformats.org/officeDocument/2006/relationships/hyperlink" Target="https://www.google.com/url?q=http://poj.org/problem?id%3D2151&amp;sa=D&amp;ust=1605639552417000&amp;usg=AFQjCNFRKSRU80i9qilzFlRjEMePzQFRmg" TargetMode="External"/><Relationship Id="rId1660" Type="http://schemas.openxmlformats.org/officeDocument/2006/relationships/hyperlink" Target="https://www.google.com/url?q=http://codeforces.com/gym/101492/problem/E&amp;sa=D&amp;ust=1605639552534000&amp;usg=AFQjCNEIyTEXSKOFBdzz_aytwOUxwft1jg" TargetMode="External"/><Relationship Id="rId2504" Type="http://schemas.openxmlformats.org/officeDocument/2006/relationships/hyperlink" Target="https://www.google.com/url?q=http://codeforces.com/contest/406/problem/C&amp;sa=D&amp;ust=1605639553035000&amp;usg=AFQjCNHo4qQPTwAhnjqV6OwMFhnCTYusvg" TargetMode="External"/><Relationship Id="rId2711" Type="http://schemas.openxmlformats.org/officeDocument/2006/relationships/hyperlink" Target="https://www.google.com/url?q=https://ideone.com/q7qCpK&amp;sa=D&amp;ust=1605639553152000&amp;usg=AFQjCNEwwGFfRtnh05HpPmVE4Xm--A9sgw" TargetMode="External"/><Relationship Id="rId1106" Type="http://schemas.openxmlformats.org/officeDocument/2006/relationships/hyperlink" Target="https://www.google.com/url?q=http://codeforces.com/contest/202/problem/D&amp;sa=D&amp;ust=1605639552184000&amp;usg=AFQjCNG-oAeBYXaRh7XCP0lYUg7eR1sZPA" TargetMode="External"/><Relationship Id="rId1313" Type="http://schemas.openxmlformats.org/officeDocument/2006/relationships/hyperlink" Target="https://www.google.com/url?q=http://codeforces.com/contest/1234/problem/F&amp;sa=D&amp;ust=1605639552322000&amp;usg=AFQjCNHWs6B0xLnrqVJn60Aswn7kzr4oTQ" TargetMode="External"/><Relationship Id="rId1520" Type="http://schemas.openxmlformats.org/officeDocument/2006/relationships/hyperlink" Target="https://www.google.com/url?q=http://codeforces.com/contest/725/problem/E&amp;sa=D&amp;ust=1605639552459000&amp;usg=AFQjCNHMCp4aLHIWzOyfWrb1a74qYseASQ" TargetMode="External"/><Relationship Id="rId3278" Type="http://schemas.openxmlformats.org/officeDocument/2006/relationships/hyperlink" Target="https://www.google.com/url?q=http://codeforces.com/contest/1076/problem/C&amp;sa=D&amp;ust=1605639553469000&amp;usg=AFQjCNHvDLQMyr0OaQcn287qjd1Utc7lkA" TargetMode="External"/><Relationship Id="rId3485" Type="http://schemas.openxmlformats.org/officeDocument/2006/relationships/hyperlink" Target="https://www.google.com/url?q=https://codeforces.com/contest/1061/problem/C&amp;sa=D&amp;ust=1605639553607000&amp;usg=AFQjCNH7YMLMOnAaJgAO2V9CusxnfcJVPg" TargetMode="External"/><Relationship Id="rId3692" Type="http://schemas.openxmlformats.org/officeDocument/2006/relationships/hyperlink" Target="https://www.google.com/url?q=http://codeforces.com/contest/785/submission/25532936&amp;sa=D&amp;ust=1605639553793000&amp;usg=AFQjCNFS1RXeqmiJhO2-O7edUdXuLF8lDg" TargetMode="External"/><Relationship Id="rId4329" Type="http://schemas.openxmlformats.org/officeDocument/2006/relationships/hyperlink" Target="https://www.google.com/url?q=https://github.com/Triplem5ds/Competitve-Programming/blob/master/Codeforces/CF367-D1-E.cc&amp;sa=D&amp;ust=1605639554295000&amp;usg=AFQjCNEjMBwJ1kiSnkrd2B33ejUy1WDzkw" TargetMode="External"/><Relationship Id="rId199" Type="http://schemas.openxmlformats.org/officeDocument/2006/relationships/hyperlink" Target="https://www.google.com/url?q=http://codeforces.com/contest/42/problem/C&amp;sa=D&amp;ust=1605639551678000&amp;usg=AFQjCNG0-bbawd_OuCfvDrYoPPVVQouXtA" TargetMode="External"/><Relationship Id="rId2087" Type="http://schemas.openxmlformats.org/officeDocument/2006/relationships/hyperlink" Target="https://www.google.com/url?q=https://github.com/Huvok/CompetitiveProgramming/blob/master/Topcoder/SRM244-D1-500.cpp&amp;sa=D&amp;ust=1605639552797000&amp;usg=AFQjCNFmQzeVsIR8kSZ2AhACD1NRfSafgw" TargetMode="External"/><Relationship Id="rId2294" Type="http://schemas.openxmlformats.org/officeDocument/2006/relationships/hyperlink" Target="https://www.google.com/url?q=https://github.com/stefdasca/CompetitiveProgramming/blob/master/CodeChef/cyclecol.cpp&amp;sa=D&amp;ust=1605639552926000&amp;usg=AFQjCNGM6bxhXqBkrJ09QljdU1R3bl2X-w" TargetMode="External"/><Relationship Id="rId3138" Type="http://schemas.openxmlformats.org/officeDocument/2006/relationships/hyperlink" Target="https://www.google.com/url?q=https://atcoder.jp/contests/abc147/tasks/abc147_f&amp;sa=D&amp;ust=1605639553400000&amp;usg=AFQjCNEZgnCMHs1DaFf9AtX_b6FenHaBxg" TargetMode="External"/><Relationship Id="rId3345" Type="http://schemas.openxmlformats.org/officeDocument/2006/relationships/hyperlink" Target="https://www.google.com/url?q=https://ideone.com/TwEO76&amp;sa=D&amp;ust=1605639553515000&amp;usg=AFQjCNE9vNZN5RgaYqclcIryiSCRqfmh3w" TargetMode="External"/><Relationship Id="rId3552" Type="http://schemas.openxmlformats.org/officeDocument/2006/relationships/hyperlink" Target="https://www.google.com/url?q=http://codeforces.com/contest/147/problem/B&amp;sa=D&amp;ust=1605639553691000&amp;usg=AFQjCNFeuG6Fs8DJrM34o53hjQdiNEdSLA" TargetMode="External"/><Relationship Id="rId266" Type="http://schemas.openxmlformats.org/officeDocument/2006/relationships/hyperlink" Target="https://www.google.com/url?q=https://agc002.contest.atcoder.jp/tasks/agc002_b&amp;sa=D&amp;ust=1605639551735000&amp;usg=AFQjCNHL6_dDALGbNTrkuak4kHpuawgJkQ" TargetMode="External"/><Relationship Id="rId473" Type="http://schemas.openxmlformats.org/officeDocument/2006/relationships/hyperlink" Target="https://www.google.com/url?q=http://codeforces.com/contest/567/problem/D&amp;sa=D&amp;ust=1605639551874000&amp;usg=AFQjCNHx7cMuInzFxUDeHB55utbvF6Fouw" TargetMode="External"/><Relationship Id="rId680" Type="http://schemas.openxmlformats.org/officeDocument/2006/relationships/hyperlink" Target="https://www.google.com/url?q=https://codeforces.com/contest/1093/submission/47602077&amp;sa=D&amp;ust=1605639551955000&amp;usg=AFQjCNEdJfxtoUG9w2SlAKl7trly3DXj6Q" TargetMode="External"/><Relationship Id="rId2154" Type="http://schemas.openxmlformats.org/officeDocument/2006/relationships/hyperlink" Target="https://www.google.com/url?q=https://github.com/mostafa-saad/MyCompetitiveProgramming/blob/master/ZOJ/ZOJ_2157.txt&amp;sa=D&amp;ust=1605639552840000&amp;usg=AFQjCNG5WutXzstfGpsPTHv2eurgld0tKQ" TargetMode="External"/><Relationship Id="rId2361" Type="http://schemas.openxmlformats.org/officeDocument/2006/relationships/hyperlink" Target="https://www.google.com/url?q=http://codeforces.com/contest/557/problem/D&amp;sa=D&amp;ust=1605639552950000&amp;usg=AFQjCNF1oqWeyXnyR6lLsVUcMVpMw_wdXg" TargetMode="External"/><Relationship Id="rId3205" Type="http://schemas.openxmlformats.org/officeDocument/2006/relationships/hyperlink" Target="https://www.google.com/url?q=https://codeforces.com/contest/1185/problem/D&amp;sa=D&amp;ust=1605639553429000&amp;usg=AFQjCNHtTRITzLC6z5b6XJk8uBBxF6C2lw" TargetMode="External"/><Relationship Id="rId3412" Type="http://schemas.openxmlformats.org/officeDocument/2006/relationships/hyperlink" Target="https://www.google.com/url?q=https://atcoder.jp/contests/abc154/tasks/abc154_f&amp;sa=D&amp;ust=1605639553559000&amp;usg=AFQjCNHq1MYu0ekO59p_hUgNMJN6JoVnUg" TargetMode="External"/><Relationship Id="rId126" Type="http://schemas.openxmlformats.org/officeDocument/2006/relationships/hyperlink" Target="https://www.google.com/url?q=http://codeforces.com/contest/59/problem/C&amp;sa=D&amp;ust=1605639551627000&amp;usg=AFQjCNGkVd2B-CCModBPYQkx1FOFCw18Cg" TargetMode="External"/><Relationship Id="rId333" Type="http://schemas.openxmlformats.org/officeDocument/2006/relationships/hyperlink" Target="https://www.google.com/url?q=https://github.com/mostafa-saad/MyCompetitiveProgramming/blob/master/UVA/UVA_501.txt&amp;sa=D&amp;ust=1605639551773000&amp;usg=AFQjCNHzsjbsGDOa5JHzybHOmMDQyy8YWA" TargetMode="External"/><Relationship Id="rId540" Type="http://schemas.openxmlformats.org/officeDocument/2006/relationships/hyperlink" Target="https://www.google.com/url?q=https://agc026.contest.atcoder.jp/tasks/agc026_c&amp;sa=D&amp;ust=1605639551904000&amp;usg=AFQjCNHijm93h6yDTSc1RpnWHAT2Z20mhg" TargetMode="External"/><Relationship Id="rId1170" Type="http://schemas.openxmlformats.org/officeDocument/2006/relationships/hyperlink" Target="https://www.google.com/url?q=http://codeforces.com/contest/358/problem/D&amp;sa=D&amp;ust=1605639552224000&amp;usg=AFQjCNFC_tuLhpqlTi3vSDJeH9fP82fqAw" TargetMode="External"/><Relationship Id="rId2014" Type="http://schemas.openxmlformats.org/officeDocument/2006/relationships/hyperlink" Target="https://www.google.com/url?q=https://uva.onlinejudge.org/index.php?option%3Donlinejudge%26page%3Dshow_problem%26problem%3D401&amp;sa=D&amp;ust=1605639552741000&amp;usg=AFQjCNGeWVETiwadey2J4sMkVAZzpz1FKQ" TargetMode="External"/><Relationship Id="rId2221" Type="http://schemas.openxmlformats.org/officeDocument/2006/relationships/hyperlink" Target="https://www.google.com/url?q=https://csacademy.com/contest/round-67/task/falling-balls/&amp;sa=D&amp;ust=1605639552881000&amp;usg=AFQjCNFL-67mx5QtZKVfq3KErimdh0zjqw" TargetMode="External"/><Relationship Id="rId1030" Type="http://schemas.openxmlformats.org/officeDocument/2006/relationships/hyperlink" Target="https://www.google.com/url?q=http://codeforces.com/contest/1121/problem/F&amp;sa=D&amp;ust=1605639552139000&amp;usg=AFQjCNHhwXFvTBX08lcZ_aOSy1MdUDINYA" TargetMode="External"/><Relationship Id="rId4186" Type="http://schemas.openxmlformats.org/officeDocument/2006/relationships/hyperlink" Target="https://www.google.com/url?q=http://codeforces.com/contest/500/problem/D&amp;sa=D&amp;ust=1605639554235000&amp;usg=AFQjCNEpQDlpxnx4_Zz3tUk8FcWBkzWdsg" TargetMode="External"/><Relationship Id="rId400" Type="http://schemas.openxmlformats.org/officeDocument/2006/relationships/hyperlink" Target="https://www.google.com/url?q=http://codeforces.com/contest/163/problem/B&amp;sa=D&amp;ust=1605639551842000&amp;usg=AFQjCNGhechwBY35g1wywR6ZnGnGoyieKw" TargetMode="External"/><Relationship Id="rId1987" Type="http://schemas.openxmlformats.org/officeDocument/2006/relationships/hyperlink" Target="https://www.google.com/url?q=http://codeforces.com/contest/560/problem/C&amp;sa=D&amp;ust=1605639552726000&amp;usg=AFQjCNHeIuYUKNlqXQSv3cWG-DXml4Ai9A" TargetMode="External"/><Relationship Id="rId4393" Type="http://schemas.openxmlformats.org/officeDocument/2006/relationships/hyperlink" Target="https://www.google.com/url?q=http://codeforces.com/contest/802/problem/K&amp;sa=D&amp;ust=1605639554324000&amp;usg=AFQjCNGgv8FMoWMUWP2OWfuX2csy81xFYQ" TargetMode="External"/><Relationship Id="rId1847" Type="http://schemas.openxmlformats.org/officeDocument/2006/relationships/hyperlink" Target="https://www.google.com/url?q=https://atcoder.jp/contests/agc043/tasks/agc043_c&amp;sa=D&amp;ust=1605639552639000&amp;usg=AFQjCNHVfKb6QUuv6LTGx1ufFbhTeKQj_w" TargetMode="External"/><Relationship Id="rId4046" Type="http://schemas.openxmlformats.org/officeDocument/2006/relationships/hyperlink" Target="https://www.google.com/url?q=https://github.com/ryuzmukhametov/CompetitiveProgramming/blob/master/Codeforces/CF673-D12-E.cpp&amp;sa=D&amp;ust=1605639554148000&amp;usg=AFQjCNEC6tRf8jfdzZqmSisAP7iybICdkQ" TargetMode="External"/><Relationship Id="rId4253" Type="http://schemas.openxmlformats.org/officeDocument/2006/relationships/hyperlink" Target="https://www.google.com/url?q=https://www.codechef.com/problems/JUMP&amp;sa=D&amp;ust=1605639554265000&amp;usg=AFQjCNGSdtIOXWOrLExq474_AIj5-e6_1A" TargetMode="External"/><Relationship Id="rId1707" Type="http://schemas.openxmlformats.org/officeDocument/2006/relationships/hyperlink" Target="https://www.google.com/url?q=http://codeforces.com/contest/387/problem/C&amp;sa=D&amp;ust=1605639552564000&amp;usg=AFQjCNFpUrZrZPA_Q0IbqGbjvgBcLpA_KQ" TargetMode="External"/><Relationship Id="rId3062" Type="http://schemas.openxmlformats.org/officeDocument/2006/relationships/hyperlink" Target="https://www.google.com/url?q=http://codeforces.com/contest/466/problem/E&amp;sa=D&amp;ust=1605639553355000&amp;usg=AFQjCNFeg4Q8k2Nmrt72AHvyACVRwVYilA" TargetMode="External"/><Relationship Id="rId4113" Type="http://schemas.openxmlformats.org/officeDocument/2006/relationships/hyperlink" Target="https://www.google.com/url?q=https://github.com/aabdelzaher/Competitive-Programming/blob/master/UVa/UVa10707.java&amp;sa=D&amp;ust=1605639554185000&amp;usg=AFQjCNH5RRtMVvVvgkFLQPThMFvbItWJCw" TargetMode="External"/><Relationship Id="rId4320" Type="http://schemas.openxmlformats.org/officeDocument/2006/relationships/hyperlink" Target="https://www.google.com/url?q=https://codeforces.com/contest/1279/problem/F&amp;sa=D&amp;ust=1605639554292000&amp;usg=AFQjCNFyoKdVGKd6Q8KONUKjonVZ_2zdag" TargetMode="External"/><Relationship Id="rId190" Type="http://schemas.openxmlformats.org/officeDocument/2006/relationships/hyperlink" Target="https://www.google.com/url?q=http://codeforces.com/contest/250/problem/E&amp;sa=D&amp;ust=1605639551670000&amp;usg=AFQjCNFnaB134xtZrADODs6RdfKAeMx_zQ" TargetMode="External"/><Relationship Id="rId1914" Type="http://schemas.openxmlformats.org/officeDocument/2006/relationships/hyperlink" Target="https://www.google.com/url?q=https://github.com/mostafa-saad/MyCompetitiveProgramming/blob/master/UVA/UVA_1333.txt&amp;sa=D&amp;ust=1605639552687000&amp;usg=AFQjCNHCdRhD5wbFNeYvnvfI3YoCuHLaNw" TargetMode="External"/><Relationship Id="rId3879" Type="http://schemas.openxmlformats.org/officeDocument/2006/relationships/hyperlink" Target="https://www.google.com/url?q=https://codeforces.com/blog/entry/13204&amp;sa=D&amp;ust=1605639553908000&amp;usg=AFQjCNGwzPJx9DKmZL3O0hEC-feoXNj8OQ" TargetMode="External"/><Relationship Id="rId2688" Type="http://schemas.openxmlformats.org/officeDocument/2006/relationships/hyperlink" Target="https://www.google.com/url?q=https://github.com/YazanZebak/CompetitiveProgramming/blob/master/Codeforces/CF102299-GYM-G.cpp&amp;sa=D&amp;ust=1605639553140000&amp;usg=AFQjCNFWPLbPLYYtqOkmslZH-ydJO7FCVw" TargetMode="External"/><Relationship Id="rId2895" Type="http://schemas.openxmlformats.org/officeDocument/2006/relationships/hyperlink" Target="https://www.google.com/url?q=http://ideone.com/bXUDTg&amp;sa=D&amp;ust=1605639553260000&amp;usg=AFQjCNFBQCg5WRfaLT5nLzej_1y_dxxsDQ" TargetMode="External"/><Relationship Id="rId3739" Type="http://schemas.openxmlformats.org/officeDocument/2006/relationships/hyperlink" Target="https://www.google.com/url?q=http://codeforces.com/contest/557/problem/E&amp;sa=D&amp;ust=1605639553824000&amp;usg=AFQjCNEXVoQ3IejibqiosFZCgqUC5sQAtg" TargetMode="External"/><Relationship Id="rId3946" Type="http://schemas.openxmlformats.org/officeDocument/2006/relationships/hyperlink" Target="https://www.google.com/url?q=http://codeforces.com/contest/405/problem/C&amp;sa=D&amp;ust=1605639553941000&amp;usg=AFQjCNG9v8js92Raw1Xemug1muEl3Eljow" TargetMode="External"/><Relationship Id="rId867" Type="http://schemas.openxmlformats.org/officeDocument/2006/relationships/hyperlink" Target="https://www.google.com/url?q=http://codeforces.com/contest/597/problem/C&amp;sa=D&amp;ust=1605639552049000&amp;usg=AFQjCNF5RISe058DzOJ4eKmvPaDAJZr8uw" TargetMode="External"/><Relationship Id="rId1497" Type="http://schemas.openxmlformats.org/officeDocument/2006/relationships/hyperlink" Target="https://www.google.com/url?q=https://community.topcoder.com/stat?c%3Dproblem_statement%26pm%3D10988&amp;sa=D&amp;ust=1605639552442000&amp;usg=AFQjCNEkuNVOmKyRVOESgmuFssVQJqluJg" TargetMode="External"/><Relationship Id="rId2548" Type="http://schemas.openxmlformats.org/officeDocument/2006/relationships/hyperlink" Target="https://www.google.com/url?q=http://codeforces.com/contest/604/problem/D&amp;sa=D&amp;ust=1605639553059000&amp;usg=AFQjCNHuNhELv1iA5_PmYkECwyJGnRcIFA" TargetMode="External"/><Relationship Id="rId2755" Type="http://schemas.openxmlformats.org/officeDocument/2006/relationships/hyperlink" Target="https://www.google.com/url?q=https://github.com/mostafa-saad/MyCompetitiveProgramming/blob/master/UVA/UVA_125.txt&amp;sa=D&amp;ust=1605639553180000&amp;usg=AFQjCNEsVaj9Ygh6DDxyEmEB6GGUmkw0_Q" TargetMode="External"/><Relationship Id="rId2962" Type="http://schemas.openxmlformats.org/officeDocument/2006/relationships/hyperlink" Target="https://www.google.com/url?q=https://github.com/MohamedNabil97/CompetitiveProgramming/tree/master/UVA/1234.cpp&amp;sa=D&amp;ust=1605639553297000&amp;usg=AFQjCNGooITgTCay79ac9PTYuIzGkmJ_YQ" TargetMode="External"/><Relationship Id="rId3806" Type="http://schemas.openxmlformats.org/officeDocument/2006/relationships/hyperlink" Target="https://www.google.com/url?q=https://github.com/HosamEissa/Competitive-programming-/blob/master/Codeforces/CF101064-GYM-E.cpp&amp;sa=D&amp;ust=1605639553867000&amp;usg=AFQjCNGr2Ve7OgZZHkjby1ccbncEwJHk9A" TargetMode="External"/><Relationship Id="rId727" Type="http://schemas.openxmlformats.org/officeDocument/2006/relationships/hyperlink" Target="https://www.google.com/url?q=https://codeforces.com/contest/1156/problem/D&amp;sa=D&amp;ust=1605639551977000&amp;usg=AFQjCNEs5vMMh-CbDH6oRw2hEtlyXxddEw" TargetMode="External"/><Relationship Id="rId934" Type="http://schemas.openxmlformats.org/officeDocument/2006/relationships/hyperlink" Target="https://www.google.com/url?q=https://github.com/shanto86/Training/blob/master/TopCoder/SRM315-D1-1000.cpp&amp;sa=D&amp;ust=1605639552089000&amp;usg=AFQjCNEzZLSFAnU9HGtiYdGFpq5bljwC3w" TargetMode="External"/><Relationship Id="rId1357" Type="http://schemas.openxmlformats.org/officeDocument/2006/relationships/hyperlink" Target="https://www.google.com/url?q=https://agc001.contest.atcoder.jp/tasks/agc001_e&amp;sa=D&amp;ust=1605639552351000&amp;usg=AFQjCNE9gKmbTAKwGWDe2Ev6JdbP11SvPQ" TargetMode="External"/><Relationship Id="rId1564" Type="http://schemas.openxmlformats.org/officeDocument/2006/relationships/hyperlink" Target="https://www.google.com/url?q=https://github.com/aboodJAD/CompetitiveProgramming/blob/master/TopCoder/SRM378-D2-1000.cpp&amp;sa=D&amp;ust=1605639552481000&amp;usg=AFQjCNGRbi0YQoVrTe8F-sgw4bq8WUaYgg" TargetMode="External"/><Relationship Id="rId1771" Type="http://schemas.openxmlformats.org/officeDocument/2006/relationships/hyperlink" Target="https://www.google.com/url?q=https://agc002.contest.atcoder.jp/tasks/agc002_e&amp;sa=D&amp;ust=1605639552599000&amp;usg=AFQjCNE_OmILHzEIBRv5eSy8lrNxNxnO_g" TargetMode="External"/><Relationship Id="rId2408" Type="http://schemas.openxmlformats.org/officeDocument/2006/relationships/hyperlink" Target="https://www.google.com/url?q=http://codeforces.com/contest/591/problem/E&amp;sa=D&amp;ust=1605639552973000&amp;usg=AFQjCNEVPAwPau_aP2zir2Cs2TyUYpcC2w" TargetMode="External"/><Relationship Id="rId2615" Type="http://schemas.openxmlformats.org/officeDocument/2006/relationships/hyperlink" Target="https://www.google.com/url?q=https://github.com/mostafa-saad/MyCompetitiveProgramming/blob/master/UVA/UVA_11883.txt&amp;sa=D&amp;ust=1605639553102000&amp;usg=AFQjCNHCEUVncm3To7JZLN3-u7Q8kTX6KQ" TargetMode="External"/><Relationship Id="rId2822" Type="http://schemas.openxmlformats.org/officeDocument/2006/relationships/hyperlink" Target="https://www.google.com/url?q=https://github.com/MohamedNabil97/CompetitiveProgramming/blob/master/TopCoder/SRM589-D1-500.cpp&amp;sa=D&amp;ust=1605639553222000&amp;usg=AFQjCNEKbMnFYl1_jc7kJOOzafmjoCmeOA" TargetMode="External"/><Relationship Id="rId63" Type="http://schemas.openxmlformats.org/officeDocument/2006/relationships/hyperlink" Target="https://www.google.com/url?q=https://codeforces.com/contest/1282/problem/D&amp;sa=D&amp;ust=1605639551591000&amp;usg=AFQjCNGzlyLpv4PVowPqXYyXELiNHG_ddg" TargetMode="External"/><Relationship Id="rId1217" Type="http://schemas.openxmlformats.org/officeDocument/2006/relationships/hyperlink" Target="https://www.google.com/url?q=https://uva.onlinejudge.org/index.php?option%3Dcom_onlinejudge%26Itemid%3D8%26page%3Dshow_problem%26problem%3D4159&amp;sa=D&amp;ust=1605639552261000&amp;usg=AFQjCNFCHbvJu16ua31Lmt003sasTuClNg" TargetMode="External"/><Relationship Id="rId1424" Type="http://schemas.openxmlformats.org/officeDocument/2006/relationships/hyperlink" Target="https://www.google.com/url?q=http://codeforces.com/contest/249/problem/C&amp;sa=D&amp;ust=1605639552400000&amp;usg=AFQjCNEfDw0FZEoH0c6Rxld2Kt34TugGkA" TargetMode="External"/><Relationship Id="rId1631" Type="http://schemas.openxmlformats.org/officeDocument/2006/relationships/hyperlink" Target="https://www.google.com/url?q=http://codeforces.com/contest/94/problem/D&amp;sa=D&amp;ust=1605639552519000&amp;usg=AFQjCNEpYn7d0jfelDQ7zilCZLtYWpDN-w" TargetMode="External"/><Relationship Id="rId3389" Type="http://schemas.openxmlformats.org/officeDocument/2006/relationships/hyperlink" Target="https://www.google.com/url?q=http://codeforces.com/contest/653/problem/G&amp;sa=D&amp;ust=1605639553547000&amp;usg=AFQjCNFUN2Fd0J5NFTT6z8b3xe9khBe5Yw" TargetMode="External"/><Relationship Id="rId3596" Type="http://schemas.openxmlformats.org/officeDocument/2006/relationships/hyperlink" Target="https://www.google.com/url?q=http://codeforces.com/contest/101/problem/D&amp;sa=D&amp;ust=1605639553729000&amp;usg=AFQjCNHEtv6vHd4wz92VxIJhbIkLhDKwmA" TargetMode="External"/><Relationship Id="rId2198" Type="http://schemas.openxmlformats.org/officeDocument/2006/relationships/hyperlink" Target="https://www.google.com/url?q=https://github.com/ZeyadKhattab/Competitive-Programming/blob/master/UVA/UVA%252010088.java&amp;sa=D&amp;ust=1605639552870000&amp;usg=AFQjCNH-KTZ7o5N5sekat8XDKi_S5suP-g" TargetMode="External"/><Relationship Id="rId3249" Type="http://schemas.openxmlformats.org/officeDocument/2006/relationships/hyperlink" Target="https://www.google.com/url?q=https://codingcompetitions.withgoogle.com/codejam/round/0000000000051635/0000000000104f1a&amp;sa=D&amp;ust=1605639553453000&amp;usg=AFQjCNEC92TJjwLPiyFdpTwr4gNL_sePEg" TargetMode="External"/><Relationship Id="rId3456" Type="http://schemas.openxmlformats.org/officeDocument/2006/relationships/hyperlink" Target="https://www.google.com/url?q=http://codeforces.com/contest/1071/problem/D&amp;sa=D&amp;ust=1605639553591000&amp;usg=AFQjCNF4xaCcaDVR4xk3Sjg45DnbekYH5Q" TargetMode="External"/><Relationship Id="rId377" Type="http://schemas.openxmlformats.org/officeDocument/2006/relationships/hyperlink" Target="https://www.google.com/url?q=https://uva.onlinejudge.org/index.php?option%3Dcom_onlinejudge%26Itemid%3D8%26page%3Dshow_problem%26problem%3D129&amp;sa=D&amp;ust=1605639551813000&amp;usg=AFQjCNHFX-fR-iidc5Ehj4uqoSSWqa-hOQ" TargetMode="External"/><Relationship Id="rId584" Type="http://schemas.openxmlformats.org/officeDocument/2006/relationships/hyperlink" Target="https://www.google.com/url?q=http://codeforces.com/contest/679/problem/E&amp;sa=D&amp;ust=1605639551920000&amp;usg=AFQjCNGE7wwkPDKnx8k7cVnHGjRu3vvrHg" TargetMode="External"/><Relationship Id="rId2058" Type="http://schemas.openxmlformats.org/officeDocument/2006/relationships/hyperlink" Target="https://www.google.com/url?q=http://www.spoj.com/problems/ALIENS/&amp;sa=D&amp;ust=1605639552776000&amp;usg=AFQjCNExT8tkcrMoL2CcJnTlXX2vsiLs6Q" TargetMode="External"/><Relationship Id="rId2265" Type="http://schemas.openxmlformats.org/officeDocument/2006/relationships/hyperlink" Target="https://www.google.com/url?q=https://github.com/mostafa-saad/MyCompetitiveProgramming/blob/master/SPOJ/SPOJ_QTREE4.txt&amp;sa=D&amp;ust=1605639552911000&amp;usg=AFQjCNETAeP0dK4YomEaF3deQLDlNzTN-w" TargetMode="External"/><Relationship Id="rId3109" Type="http://schemas.openxmlformats.org/officeDocument/2006/relationships/hyperlink" Target="https://www.google.com/url?q=https://ipsc.ksp.sk/2003/practice/problems/t.html&amp;sa=D&amp;ust=1605639553380000&amp;usg=AFQjCNFO6x-nI0_nLh9L7BOQQo6tQnBV5Q" TargetMode="External"/><Relationship Id="rId3663" Type="http://schemas.openxmlformats.org/officeDocument/2006/relationships/hyperlink" Target="https://www.google.com/url?q=https://github.com/AMR-KELEG/Competitive-Programming/blob/master/Codeforces/100812L.cpp&amp;sa=D&amp;ust=1605639553776000&amp;usg=AFQjCNG8h5udD0bbLKTZRhDHgLfXTTgqRA" TargetMode="External"/><Relationship Id="rId3870" Type="http://schemas.openxmlformats.org/officeDocument/2006/relationships/hyperlink" Target="https://www.google.com/url?q=http://codeforces.com/contest/38/problem/G&amp;sa=D&amp;ust=1605639553903000&amp;usg=AFQjCNF0j0qhXoAaz7F8v0VMNrkZx6OSQw" TargetMode="External"/><Relationship Id="rId237" Type="http://schemas.openxmlformats.org/officeDocument/2006/relationships/hyperlink" Target="https://www.google.com/url?q=https://github.com/AhmedRamadanAbdElghany/CompetitiveProgramming/blob/master/UVA/565%2520-%2520Pizza%2520Anyone.cpp&amp;sa=D&amp;ust=1605639551703000&amp;usg=AFQjCNHdu_4s1_srcmAVlsRAkdyR3MacSQ" TargetMode="External"/><Relationship Id="rId791" Type="http://schemas.openxmlformats.org/officeDocument/2006/relationships/hyperlink" Target="https://www.google.com/url?q=https://github.com/3agwa/CompetitiveProgramming/blob/master/CodeForces/CFGYM-101992-M.cpp&amp;sa=D&amp;ust=1605639552009000&amp;usg=AFQjCNHW8ccJvBp9KswR-Wsd3Q2PdmaY9w" TargetMode="External"/><Relationship Id="rId1074" Type="http://schemas.openxmlformats.org/officeDocument/2006/relationships/hyperlink" Target="https://www.google.com/url?q=https://github.com/osamahatem/CompetitiveProgramming/blob/master/Codeforces/149D.%2520Coloring%2520Brackets.cpp&amp;sa=D&amp;ust=1605639552163000&amp;usg=AFQjCNHOgc5YA0Zp65n9lk2u5ddz4GSlBw" TargetMode="External"/><Relationship Id="rId2472" Type="http://schemas.openxmlformats.org/officeDocument/2006/relationships/hyperlink" Target="https://www.google.com/url?q=http://codeforces.com/contest/35/problem/C&amp;sa=D&amp;ust=1605639553010000&amp;usg=AFQjCNEKscItBIG4TMHuW2O-qysD37UcPA" TargetMode="External"/><Relationship Id="rId3316" Type="http://schemas.openxmlformats.org/officeDocument/2006/relationships/hyperlink" Target="https://www.google.com/url?q=http://codeforces.com/contest/509/problem/D&amp;sa=D&amp;ust=1605639553496000&amp;usg=AFQjCNHSFeMoJonmy11HPH-eF5lt_BKW0w" TargetMode="External"/><Relationship Id="rId3523" Type="http://schemas.openxmlformats.org/officeDocument/2006/relationships/hyperlink" Target="https://www.google.com/url?q=https://github.com/ilyesG/Competitive-Programming/blob/master/UVA/UVA%252010325.cpp&amp;sa=D&amp;ust=1605639553637000&amp;usg=AFQjCNEhmNLGwwuEVq_DUR5ZUsjBnp_z-Q" TargetMode="External"/><Relationship Id="rId3730" Type="http://schemas.openxmlformats.org/officeDocument/2006/relationships/hyperlink" Target="https://www.google.com/url?q=https://codeforces.com/contest/803/problem/F&amp;sa=D&amp;ust=1605639553816000&amp;usg=AFQjCNHTXvcOqEAcu4Kntvt-G74ehlG9wA" TargetMode="External"/><Relationship Id="rId444" Type="http://schemas.openxmlformats.org/officeDocument/2006/relationships/hyperlink" Target="https://www.google.com/url?q=https://www.codechef.com/IOITC181/problems/CIRCINTE&amp;sa=D&amp;ust=1605639551861000&amp;usg=AFQjCNG5eXGcuHPwPaYHNUq3e0y7Mb9yWw" TargetMode="External"/><Relationship Id="rId651" Type="http://schemas.openxmlformats.org/officeDocument/2006/relationships/hyperlink" Target="https://www.google.com/url?q=http://codeforces.com/contest/893/problem/F&amp;sa=D&amp;ust=1605639551943000&amp;usg=AFQjCNFkFtxklSCShQFVmLu52G4Y8zTkTA" TargetMode="External"/><Relationship Id="rId1281" Type="http://schemas.openxmlformats.org/officeDocument/2006/relationships/hyperlink" Target="https://www.google.com/url?q=http://codeforces.com/contest/478/problem/D&amp;sa=D&amp;ust=1605639552305000&amp;usg=AFQjCNHhkJX3XUoV9n7l-B2r6MjM2N6y5w" TargetMode="External"/><Relationship Id="rId2125" Type="http://schemas.openxmlformats.org/officeDocument/2006/relationships/hyperlink" Target="https://www.google.com/url?q=https://www.hackerrank.com/challenges/polygons&amp;sa=D&amp;ust=1605639552818000&amp;usg=AFQjCNFlOH7ZFwIwIHO0uzGsVilYQJlWUA" TargetMode="External"/><Relationship Id="rId2332" Type="http://schemas.openxmlformats.org/officeDocument/2006/relationships/hyperlink" Target="https://www.google.com/url?q=http://codeforces.com/problemset/problem/155/E&amp;sa=D&amp;ust=1605639552939000&amp;usg=AFQjCNHj2o3MoSg95jKvTyBFrKOQx8lbqQ" TargetMode="External"/><Relationship Id="rId304" Type="http://schemas.openxmlformats.org/officeDocument/2006/relationships/hyperlink" Target="https://www.google.com/url?q=http://codeforces.com/contest/754/problem/D&amp;sa=D&amp;ust=1605639551759000&amp;usg=AFQjCNEIcMnBFhititeGtXa4euIgqti07g" TargetMode="External"/><Relationship Id="rId511" Type="http://schemas.openxmlformats.org/officeDocument/2006/relationships/hyperlink" Target="https://www.google.com/url?q=https://codeforces.com/contest/1244/problem/E&amp;sa=D&amp;ust=1605639551890000&amp;usg=AFQjCNGFOF7YXaBGNGkq0Ld1ieCcbfpCwA" TargetMode="External"/><Relationship Id="rId1141" Type="http://schemas.openxmlformats.org/officeDocument/2006/relationships/hyperlink" Target="https://www.google.com/url?q=http://codeforces.com/contest/506/problem/A&amp;sa=D&amp;ust=1605639552202000&amp;usg=AFQjCNFq2ja3GwmFOJCgNgIjpYRjL48srA" TargetMode="External"/><Relationship Id="rId4297" Type="http://schemas.openxmlformats.org/officeDocument/2006/relationships/hyperlink" Target="https://www.google.com/url?q=https://github.com/tmwilliamlin168/CompetitiveProgramming/blob/master/CodeForces/1182F.cpp&amp;sa=D&amp;ust=1605639554283000&amp;usg=AFQjCNHRLyW7vQUAHUo4OjUfGJgwWtYhMg" TargetMode="External"/><Relationship Id="rId1001" Type="http://schemas.openxmlformats.org/officeDocument/2006/relationships/hyperlink" Target="https://www.google.com/url?q=https://www.codechef.com/problems/DANYANUM&amp;sa=D&amp;ust=1605639552125000&amp;usg=AFQjCNE0AyS9VZxskBH5rhzHE0S_j5pETw" TargetMode="External"/><Relationship Id="rId4157" Type="http://schemas.openxmlformats.org/officeDocument/2006/relationships/hyperlink" Target="https://www.google.com/url?q=https://uva.onlinejudge.org/index.php?option%3Donlinejudge%26page%3Dshow_problem%26problem%3D2501&amp;sa=D&amp;ust=1605639554211000&amp;usg=AFQjCNG_Yr8X7m619k3saZyzaTg_leTtDw" TargetMode="External"/><Relationship Id="rId4364" Type="http://schemas.openxmlformats.org/officeDocument/2006/relationships/hyperlink" Target="https://www.google.com/url?q=http://codeforces.com/contest/383/problem/E&amp;sa=D&amp;ust=1605639554310000&amp;usg=AFQjCNEtPD_AuuNba2hyBkpbOhBhRkoTkQ" TargetMode="External"/><Relationship Id="rId1958" Type="http://schemas.openxmlformats.org/officeDocument/2006/relationships/hyperlink" Target="https://www.google.com/url?q=https://vjudge.net/contest/310021?fbclid%3DIwAR1wDO-Fi2MaSKE96aGmv0AiVDlix3dVvk7LHHIDhjrUlaAftMiGFHZPot8%23problem/I&amp;sa=D&amp;ust=1605639552711000&amp;usg=AFQjCNEfMolxu7b_GbJJ6HQNYxFG-nZh2Q" TargetMode="External"/><Relationship Id="rId3173" Type="http://schemas.openxmlformats.org/officeDocument/2006/relationships/hyperlink" Target="https://www.google.com/url?q=http://codeforces.com/contest/1080/problem/D&amp;sa=D&amp;ust=1605639553415000&amp;usg=AFQjCNEqV_1kWG2b2bk6HERUGaGt5gYLtw" TargetMode="External"/><Relationship Id="rId3380" Type="http://schemas.openxmlformats.org/officeDocument/2006/relationships/hyperlink" Target="https://www.google.com/url?q=https://www.hackerrank.com/challenges/value-of-all-permutations&amp;sa=D&amp;ust=1605639553541000&amp;usg=AFQjCNHCbCEvtEKXO0fach96Sw9gAcACUw" TargetMode="External"/><Relationship Id="rId4017" Type="http://schemas.openxmlformats.org/officeDocument/2006/relationships/hyperlink" Target="https://www.google.com/url?q=http://codeforces.com/contest/767/problem/D&amp;sa=D&amp;ust=1605639554134000&amp;usg=AFQjCNEhjq18xUV7tDwAUbhvZw3V8SHj3A" TargetMode="External"/><Relationship Id="rId4224" Type="http://schemas.openxmlformats.org/officeDocument/2006/relationships/hyperlink" Target="https://www.google.com/url?q=https://github.com/WaleedAbdelhakim/Competitive-Programming/blob/master/SPOJ/QTREE3.cpp&amp;sa=D&amp;ust=1605639554254000&amp;usg=AFQjCNGb2KMYmwfIDEWORzfpSSyNbxZYSQ" TargetMode="External"/><Relationship Id="rId4431" Type="http://schemas.openxmlformats.org/officeDocument/2006/relationships/hyperlink" Target="https://www.google.com/url?q=https://github.com/mostafa-saad/MyCompetitiveProgramming/blob/master/CodeChef/CODECHEF-SERSUM.txt&amp;sa=D&amp;ust=1605639554342000&amp;usg=AFQjCNHhimPSw5LiByQFlG2shStEV7xHnw" TargetMode="External"/><Relationship Id="rId1818" Type="http://schemas.openxmlformats.org/officeDocument/2006/relationships/hyperlink" Target="https://www.google.com/url?q=https://ipsc.ksp.sk/2010/real/problems/k.html&amp;sa=D&amp;ust=1605639552623000&amp;usg=AFQjCNHThavGO9smvIxaVxJt3ojztGTAGQ" TargetMode="External"/><Relationship Id="rId3033" Type="http://schemas.openxmlformats.org/officeDocument/2006/relationships/hyperlink" Target="https://www.google.com/url?q=http://codeforces.com/contest/555/problem/E&amp;sa=D&amp;ust=1605639553341000&amp;usg=AFQjCNF5QUiPjoVh3gRwuzdhwgJ6M85RdA" TargetMode="External"/><Relationship Id="rId3240" Type="http://schemas.openxmlformats.org/officeDocument/2006/relationships/hyperlink" Target="https://www.google.com/url?q=http://codeforces.com/contest/195/problem/D&amp;sa=D&amp;ust=1605639553448000&amp;usg=AFQjCNF2lyX3dXd5McDXeugROmq_00e39A" TargetMode="External"/><Relationship Id="rId161" Type="http://schemas.openxmlformats.org/officeDocument/2006/relationships/hyperlink" Target="https://www.google.com/url?q=https://atcoder.jp/contests/abc134/tasks/abc134_d&amp;sa=D&amp;ust=1605639551647000&amp;usg=AFQjCNFbBBHslpFXBDz16r2BzU7tLaLI7g" TargetMode="External"/><Relationship Id="rId2799" Type="http://schemas.openxmlformats.org/officeDocument/2006/relationships/hyperlink" Target="https://www.google.com/url?q=https://github.com/OmarHashim/Competitive-Programming/blob/master/CodeForces/CF101656-GYM-K.cpp&amp;sa=D&amp;ust=1605639553209000&amp;usg=AFQjCNEeyioh0YAmJPJmsyGTMR4GFfkS7Q" TargetMode="External"/><Relationship Id="rId3100" Type="http://schemas.openxmlformats.org/officeDocument/2006/relationships/hyperlink" Target="https://www.google.com/url?q=https://agc003.contest.atcoder.jp/tasks/agc003_f&amp;sa=D&amp;ust=1605639553375000&amp;usg=AFQjCNHlx_40_IyhTUA492PySoNLcd9ReQ" TargetMode="External"/><Relationship Id="rId978" Type="http://schemas.openxmlformats.org/officeDocument/2006/relationships/hyperlink" Target="https://www.google.com/url?q=https://codeforces.com/contest/1264/problem/D1&amp;sa=D&amp;ust=1605639552114000&amp;usg=AFQjCNHD7S-jRvc6R1dFGxflm-ukFOgtXA" TargetMode="External"/><Relationship Id="rId2659" Type="http://schemas.openxmlformats.org/officeDocument/2006/relationships/hyperlink" Target="https://www.google.com/url?q=http://codeforces.com/contest/46/problem/F&amp;sa=D&amp;ust=1605639553128000&amp;usg=AFQjCNFamKcdmgEY2-nRikGoZjlQ20t8Cw" TargetMode="External"/><Relationship Id="rId2866" Type="http://schemas.openxmlformats.org/officeDocument/2006/relationships/hyperlink" Target="https://www.google.com/url?q=https://codeforces.com/contest/1139/problem/E&amp;sa=D&amp;ust=1605639553244000&amp;usg=AFQjCNF6Ahr3AK83BMSZwP5CPwEijytiNw" TargetMode="External"/><Relationship Id="rId3917" Type="http://schemas.openxmlformats.org/officeDocument/2006/relationships/hyperlink" Target="https://www.google.com/url?q=http://codeforces.com/contest/127/problem/E&amp;sa=D&amp;ust=1605639553927000&amp;usg=AFQjCNHmHlRrxsWUM2UBzjOfsE0ftNsfkQ" TargetMode="External"/><Relationship Id="rId838" Type="http://schemas.openxmlformats.org/officeDocument/2006/relationships/hyperlink" Target="https://www.google.com/url?q=http://codeforces.com/problemset/gymProblem/100812/F&amp;sa=D&amp;ust=1605639552033000&amp;usg=AFQjCNEJp8sHSwgnd9kc_2HvQWUvOJm2Jw" TargetMode="External"/><Relationship Id="rId1468" Type="http://schemas.openxmlformats.org/officeDocument/2006/relationships/hyperlink" Target="https://www.google.com/url?q=https://github.com/3agwa/CompetitiveProgramming/blob/master/UVA/UVA%252012457&amp;sa=D&amp;ust=1605639552425000&amp;usg=AFQjCNGbg9D4qGC_l3O6P4XXR7VXgmXU3A" TargetMode="External"/><Relationship Id="rId1675" Type="http://schemas.openxmlformats.org/officeDocument/2006/relationships/hyperlink" Target="https://www.google.com/url?q=http://codeforces.com/contest/1062/problem/C&amp;sa=D&amp;ust=1605639552544000&amp;usg=AFQjCNFn1CgtC97LnP8CnvP1Uj9QbgD5-g" TargetMode="External"/><Relationship Id="rId1882" Type="http://schemas.openxmlformats.org/officeDocument/2006/relationships/hyperlink" Target="https://www.google.com/url?q=http://codeforces.com/contest/98/problem/C&amp;sa=D&amp;ust=1605639552654000&amp;usg=AFQjCNHavTtoznfJQGTQZ9IbKLS_tUsXHg" TargetMode="External"/><Relationship Id="rId2519" Type="http://schemas.openxmlformats.org/officeDocument/2006/relationships/hyperlink" Target="https://www.google.com/url?q=http://codeforces.com/contest/85/problem/C&amp;sa=D&amp;ust=1605639553042000&amp;usg=AFQjCNFkt2Dbctppa30EglZxJSVC29qFQQ" TargetMode="External"/><Relationship Id="rId2726" Type="http://schemas.openxmlformats.org/officeDocument/2006/relationships/hyperlink" Target="https://www.google.com/url?q=http://codeforces.com/contest/547/problem/D&amp;sa=D&amp;ust=1605639553162000&amp;usg=AFQjCNES5ktjDQDvnnS5MdoOOhb9JQnKHQ" TargetMode="External"/><Relationship Id="rId4081" Type="http://schemas.openxmlformats.org/officeDocument/2006/relationships/hyperlink" Target="https://www.google.com/url?q=https://github.com/adarshkr532/CompetitiveProgramming/blob/master/SPOJ/KOPC12H.cpp&amp;sa=D&amp;ust=1605639554165000&amp;usg=AFQjCNHV6EXqt0ji_k-PSJNpAoupTWVJdg" TargetMode="External"/><Relationship Id="rId1328" Type="http://schemas.openxmlformats.org/officeDocument/2006/relationships/hyperlink" Target="https://www.google.com/url?q=https://github.com/OmarHashim/Competitive-Programming/blob/master/CodeForces/CF100155-GYM-F.cpp&amp;sa=D&amp;ust=1605639552329000&amp;usg=AFQjCNEYGSMwIbXMB2oUAW-3bTb4C2Hf3Q" TargetMode="External"/><Relationship Id="rId1535" Type="http://schemas.openxmlformats.org/officeDocument/2006/relationships/hyperlink" Target="https://www.google.com/url?q=https://atcoder.jp/contests/agc028/tasks/agc028_c&amp;sa=D&amp;ust=1605639552466000&amp;usg=AFQjCNGWXHIJ3944kiz8J-xzGj9bd6kXJA" TargetMode="External"/><Relationship Id="rId2933" Type="http://schemas.openxmlformats.org/officeDocument/2006/relationships/hyperlink" Target="https://www.google.com/url?q=https://github.com/LeTrongDat/CompetitiveProgramming/blob/master/Codeforces/CF951-D1-D.cpp&amp;sa=D&amp;ust=1605639553283000&amp;usg=AFQjCNF5DZGDTY6ZXEeWP6VEkH0esTQ7kw" TargetMode="External"/><Relationship Id="rId905" Type="http://schemas.openxmlformats.org/officeDocument/2006/relationships/hyperlink" Target="https://www.google.com/url?q=http://codeforces.com/contest/526/problem/E&amp;sa=D&amp;ust=1605639552074000&amp;usg=AFQjCNEp2atG_PXx000LI-NOzXHtMNEvAA" TargetMode="External"/><Relationship Id="rId1742" Type="http://schemas.openxmlformats.org/officeDocument/2006/relationships/hyperlink" Target="https://www.google.com/url?q=http://codeforces.com/contest/909/problem/E&amp;sa=D&amp;ust=1605639552582000&amp;usg=AFQjCNHx1Odwkb6_SBqvkh_Ybk7EQ_aE5g" TargetMode="External"/><Relationship Id="rId34" Type="http://schemas.openxmlformats.org/officeDocument/2006/relationships/hyperlink" Target="https://www.google.com/url?q=https://github.com/guskal01/CompetitiveProgramming/blob/master/CodeForces/CF102154-GYM-C.cpp&amp;sa=D&amp;ust=1605639551575000&amp;usg=AFQjCNEpshW2NLHjkd_-9waBTJv1DqfgdQ" TargetMode="External"/><Relationship Id="rId1602" Type="http://schemas.openxmlformats.org/officeDocument/2006/relationships/hyperlink" Target="https://www.google.com/url?q=http://codeforces.com/contest/447/problem/D&amp;sa=D&amp;ust=1605639552503000&amp;usg=AFQjCNF79dyCuAVMcCoIV8G7axVwKswcbA" TargetMode="External"/><Relationship Id="rId3567" Type="http://schemas.openxmlformats.org/officeDocument/2006/relationships/hyperlink" Target="https://www.google.com/url?q=https://github.com/adarshkr532/CompetitiveProgramming/blob/master/SPOJ/JZPCIR.cpp&amp;sa=D&amp;ust=1605639553705000&amp;usg=AFQjCNGxWMH-yc23c-2R75FGVnX7mjwvOQ" TargetMode="External"/><Relationship Id="rId3774" Type="http://schemas.openxmlformats.org/officeDocument/2006/relationships/hyperlink" Target="https://www.google.com/url?q=http://codeforces.com/contest/526/problem/D&amp;sa=D&amp;ust=1605639553844000&amp;usg=AFQjCNG2q_C3M9Z2u__bgHZu484m3EkKOg" TargetMode="External"/><Relationship Id="rId3981" Type="http://schemas.openxmlformats.org/officeDocument/2006/relationships/hyperlink" Target="https://www.google.com/url?q=https://github.com/MeGaCrazy/CompetitiveProgramming/blob/9ebf16b4239c8f58c694f2ae22c8f07d1fa70864/Timus/TIMUS_1054.cpp&amp;sa=D&amp;ust=1605639553961000&amp;usg=AFQjCNF2HjfYc53YyzaSWnAAKd_khInPHg" TargetMode="External"/><Relationship Id="rId488" Type="http://schemas.openxmlformats.org/officeDocument/2006/relationships/hyperlink" Target="https://www.google.com/url?q=http://codeforces.com/contest/975/problem/C&amp;sa=D&amp;ust=1605639551881000&amp;usg=AFQjCNEyTfUvOdpunx494wut38aCD_kR8Q" TargetMode="External"/><Relationship Id="rId695" Type="http://schemas.openxmlformats.org/officeDocument/2006/relationships/hyperlink" Target="https://www.google.com/url?q=https://github.com/goswami-rahul/competitive-coding/blob/master/CompetitiveProgramming/codeforces/CF1108-D3-E2.cpp&amp;sa=D&amp;ust=1605639551962000&amp;usg=AFQjCNE-I906f1eIFD6K2J2zs5tcwmxnOA" TargetMode="External"/><Relationship Id="rId2169" Type="http://schemas.openxmlformats.org/officeDocument/2006/relationships/hyperlink" Target="https://www.google.com/url?q=http://codeforces.com/gym/101982&amp;sa=D&amp;ust=1605639552850000&amp;usg=AFQjCNFXpD-R8BCcb8WDmLdJ_vRQZrzJgA" TargetMode="External"/><Relationship Id="rId2376" Type="http://schemas.openxmlformats.org/officeDocument/2006/relationships/hyperlink" Target="https://www.google.com/url?q=http://codeforces.com/contest/430/problem/C&amp;sa=D&amp;ust=1605639552956000&amp;usg=AFQjCNF9Tlk-NY1FfpaTmB_Ihys_fwm2RQ" TargetMode="External"/><Relationship Id="rId2583" Type="http://schemas.openxmlformats.org/officeDocument/2006/relationships/hyperlink" Target="https://www.google.com/url?q=http://codeforces.com/contest/939/problem/D&amp;sa=D&amp;ust=1605639553078000&amp;usg=AFQjCNEiyYrrnlI_0acZ8Js2oV1xIjGdHg" TargetMode="External"/><Relationship Id="rId2790" Type="http://schemas.openxmlformats.org/officeDocument/2006/relationships/hyperlink" Target="https://www.google.com/url?q=https://www.codechef.com/problems/PARADE&amp;sa=D&amp;ust=1605639553205000&amp;usg=AFQjCNGtYGIz1TRoqjAnUGEDyEY0Itkn-w" TargetMode="External"/><Relationship Id="rId3427" Type="http://schemas.openxmlformats.org/officeDocument/2006/relationships/hyperlink" Target="https://www.google.com/url?q=https://atcoder.jp/contests/abc156/tasks/abc156_e&amp;sa=D&amp;ust=1605639553568000&amp;usg=AFQjCNEZzu-sPBvEKIaB8N-iCrPi1VI3Qw" TargetMode="External"/><Relationship Id="rId3634" Type="http://schemas.openxmlformats.org/officeDocument/2006/relationships/hyperlink" Target="https://www.google.com/url?q=https://www.hackerrank.com/challenges/sherlock-and-probability&amp;sa=D&amp;ust=1605639553751000&amp;usg=AFQjCNFIaAfp616qpfFJ2-ctJDD2xMnAJg" TargetMode="External"/><Relationship Id="rId3841" Type="http://schemas.openxmlformats.org/officeDocument/2006/relationships/hyperlink" Target="https://www.google.com/url?q=https://github.com/HosamEissa/Competitive-programming-/blob/master/Spoj/SUBLEX.cpp&amp;sa=D&amp;ust=1605639553889000&amp;usg=AFQjCNHSH67Dt4gPKDfEkPvAXrHMKyv08A" TargetMode="External"/><Relationship Id="rId348" Type="http://schemas.openxmlformats.org/officeDocument/2006/relationships/hyperlink" Target="https://www.google.com/url?q=http://codeforces.com/contest/92/problem/D&amp;sa=D&amp;ust=1605639551790000&amp;usg=AFQjCNGmxzO-97GZXyXMUg-VleQH-lZmBg" TargetMode="External"/><Relationship Id="rId555" Type="http://schemas.openxmlformats.org/officeDocument/2006/relationships/hyperlink" Target="https://www.google.com/url?q=http://codeforces.com/contest/359/problem/D&amp;sa=D&amp;ust=1605639551910000&amp;usg=AFQjCNGB_1qE76HmANEcT7OhemmcN34VrQ" TargetMode="External"/><Relationship Id="rId762" Type="http://schemas.openxmlformats.org/officeDocument/2006/relationships/hyperlink" Target="https://www.google.com/url?q=http://www.spoj.com/problems/BRCKTS&amp;sa=D&amp;ust=1605639551994000&amp;usg=AFQjCNHmR6jIvAX9bftFClJe_1WQ63QeWw" TargetMode="External"/><Relationship Id="rId1185" Type="http://schemas.openxmlformats.org/officeDocument/2006/relationships/hyperlink" Target="https://www.google.com/url?q=https://github.com/SpeedOfMagic/CompetitiveProgramming/blob/master/MAUC/18-short-trade-transaction.cpp&amp;sa=D&amp;ust=1605639552231000&amp;usg=AFQjCNFSAGjcC58PN3kBmmVHNyCFXqKkPQ" TargetMode="External"/><Relationship Id="rId1392" Type="http://schemas.openxmlformats.org/officeDocument/2006/relationships/hyperlink" Target="https://www.google.com/url?q=http://codeforces.com/contest/888/problem/D&amp;sa=D&amp;ust=1605639552373000&amp;usg=AFQjCNENTRB8xm0j16O0E_YpSFQ6JIHB5Q" TargetMode="External"/><Relationship Id="rId2029" Type="http://schemas.openxmlformats.org/officeDocument/2006/relationships/hyperlink" Target="https://www.google.com/url?q=https://www.hackerrank.com/challenges/baby-step-giant-step&amp;sa=D&amp;ust=1605639552752000&amp;usg=AFQjCNHEA9TJSjb0O721ctVAl70Hmjmuzw" TargetMode="External"/><Relationship Id="rId2236" Type="http://schemas.openxmlformats.org/officeDocument/2006/relationships/hyperlink" Target="https://www.google.com/url?q=https://github.com/mostafa-saad/MyCompetitiveProgramming/blob/master/SPOJ/SPOJ_RIGHTTRI.txt&amp;sa=D&amp;ust=1605639552890000&amp;usg=AFQjCNHseZ83QCSsWAkN4cj5hU3x8rsG7Q" TargetMode="External"/><Relationship Id="rId2443" Type="http://schemas.openxmlformats.org/officeDocument/2006/relationships/hyperlink" Target="https://www.google.com/url?q=https://github.com/AbdelrahmanRamadan/competitive-programming/blob/master/Topcoder/SRM368%2520Jumping%2520Board.cpp&amp;sa=D&amp;ust=1605639552992000&amp;usg=AFQjCNH-nTbvwisUnAet0S3aUFRDzH3FGA" TargetMode="External"/><Relationship Id="rId2650" Type="http://schemas.openxmlformats.org/officeDocument/2006/relationships/hyperlink" Target="https://www.google.com/url?q=https://www.hackerrank.com/challenges/synchronous-shopping&amp;sa=D&amp;ust=1605639553120000&amp;usg=AFQjCNEdDIhbR9pT1pmlRYW1w7N_EH4QAQ" TargetMode="External"/><Relationship Id="rId3701" Type="http://schemas.openxmlformats.org/officeDocument/2006/relationships/hyperlink" Target="https://www.google.com/url?q=http://codeforces.com/contest/327/problem/C&amp;sa=D&amp;ust=1605639553797000&amp;usg=AFQjCNFfTWdqcKlX0_9qPrTDG4WjJvOO-Q" TargetMode="External"/><Relationship Id="rId208" Type="http://schemas.openxmlformats.org/officeDocument/2006/relationships/hyperlink" Target="https://www.google.com/url?q=https://github.com/thackerhelik/UVA/blob/master/12261.cpp&amp;sa=D&amp;ust=1605639551683000&amp;usg=AFQjCNGCh110EJV2TwZLSEwDuANP5Dl8ZQ" TargetMode="External"/><Relationship Id="rId415" Type="http://schemas.openxmlformats.org/officeDocument/2006/relationships/hyperlink" Target="https://www.google.com/url?q=http://codeforces.com/problemset/problem/1033/E&amp;sa=D&amp;ust=1605639551849000&amp;usg=AFQjCNF08_isX_qcpqVUztfVuOPqQwL4PQ" TargetMode="External"/><Relationship Id="rId622" Type="http://schemas.openxmlformats.org/officeDocument/2006/relationships/hyperlink" Target="https://www.google.com/url?q=https://arc067.contest.atcoder.jp/tasks/arc067_d&amp;sa=D&amp;ust=1605639551934000&amp;usg=AFQjCNH0x6ae6w8Z4YnNCL5BLDDcU7_5YA" TargetMode="External"/><Relationship Id="rId1045" Type="http://schemas.openxmlformats.org/officeDocument/2006/relationships/hyperlink" Target="https://www.google.com/url?q=https://github.com/WaleedAbdelhakim/Competitive-Programming/blob/master/CodeForces/CF252112-GYM-F.cpp&amp;sa=D&amp;ust=1605639552146000&amp;usg=AFQjCNGrAFK1ZGoY5CcfLFc-MHFQUXAYRw" TargetMode="External"/><Relationship Id="rId1252" Type="http://schemas.openxmlformats.org/officeDocument/2006/relationships/hyperlink" Target="https://www.google.com/url?q=https://github.com/sggutier/CompetitiveProgramming/blob/master/LiveArchive/3930.cpp&amp;sa=D&amp;ust=1605639552289000&amp;usg=AFQjCNHGX1DG17F44xDBm08O6aV_Rfp0wQ" TargetMode="External"/><Relationship Id="rId2303" Type="http://schemas.openxmlformats.org/officeDocument/2006/relationships/hyperlink" Target="https://www.google.com/url?q=https://github.com/aviroop123/CompetitiveProgramming/blob/master/CodeForces/CF997-D1-A.cpp&amp;sa=D&amp;ust=1605639552931000&amp;usg=AFQjCNHZFXPcpSHZxSEEK3x_Y_E01ac87w" TargetMode="External"/><Relationship Id="rId2510" Type="http://schemas.openxmlformats.org/officeDocument/2006/relationships/hyperlink" Target="https://www.google.com/url?q=http://agc018.contest.atcoder.jp/tasks/agc018_d&amp;sa=D&amp;ust=1605639553038000&amp;usg=AFQjCNECD7Hk4qesQHGxHIqKPYmXnCmTGg" TargetMode="External"/><Relationship Id="rId1112" Type="http://schemas.openxmlformats.org/officeDocument/2006/relationships/hyperlink" Target="https://www.google.com/url?q=https://www.codechef.com/MAY18B/problems/CHSIGN&amp;sa=D&amp;ust=1605639552189000&amp;usg=AFQjCNHxY0ye8yXAowKbpjcZm5LnKci_Xg" TargetMode="External"/><Relationship Id="rId4268" Type="http://schemas.openxmlformats.org/officeDocument/2006/relationships/hyperlink" Target="https://www.google.com/url?q=http://codeforces.com/problemset/problem/631/E&amp;sa=D&amp;ust=1605639554272000&amp;usg=AFQjCNEyMx-PolwKSQKyqg2IjiIO5XZjew" TargetMode="External"/><Relationship Id="rId3077" Type="http://schemas.openxmlformats.org/officeDocument/2006/relationships/hyperlink" Target="https://www.google.com/url?q=http://codeforces.com/gym/101808/problem/K&amp;sa=D&amp;ust=1605639553361000&amp;usg=AFQjCNE4ryDXMWVLzkOcF0QKW0xwfqpGRg" TargetMode="External"/><Relationship Id="rId3284" Type="http://schemas.openxmlformats.org/officeDocument/2006/relationships/hyperlink" Target="https://www.google.com/url?q=http://codeforces.com/contest/86/problem/A&amp;sa=D&amp;ust=1605639553472000&amp;usg=AFQjCNETx4aT_KqDEqnEubv7K6QrgdzBPA" TargetMode="External"/><Relationship Id="rId4128" Type="http://schemas.openxmlformats.org/officeDocument/2006/relationships/hyperlink" Target="https://www.google.com/url?q=https://github.com/mostafa-saad/MyCompetitiveProgramming/blob/master/UVA/UVA_12645.txt&amp;sa=D&amp;ust=1605639554195000&amp;usg=AFQjCNHQphvwmEWjSwLDrgKFjx1XwbcnQQ" TargetMode="External"/><Relationship Id="rId1929" Type="http://schemas.openxmlformats.org/officeDocument/2006/relationships/hyperlink" Target="https://www.google.com/url?q=https://github.com/mostafa-saad/MyCompetitiveProgramming/blob/master/UVA/UVA_1331.txt&amp;sa=D&amp;ust=1605639552696000&amp;usg=AFQjCNGSzImPddwMQUiRCxIDuw8yQzTU1Q" TargetMode="External"/><Relationship Id="rId2093" Type="http://schemas.openxmlformats.org/officeDocument/2006/relationships/hyperlink" Target="https://www.google.com/url?q=http://codeforces.com/problemset/problem/961/D&amp;sa=D&amp;ust=1605639552799000&amp;usg=AFQjCNG2oEv1R7Wa6RRJRi4eUrBVD1a1fA" TargetMode="External"/><Relationship Id="rId3491" Type="http://schemas.openxmlformats.org/officeDocument/2006/relationships/hyperlink" Target="https://www.google.com/url?q=https://uva.onlinejudge.org/index.php?option%3Dcom_onlinejudge%26Itemid%3D8%26page%3Dshow_problem%26problem%3D1640&amp;sa=D&amp;ust=1605639553614000&amp;usg=AFQjCNFFmMFT-BIVeEnvHyx-x1zRYRebpA" TargetMode="External"/><Relationship Id="rId4335" Type="http://schemas.openxmlformats.org/officeDocument/2006/relationships/hyperlink" Target="https://www.google.com/url?q=http://codeforces.com/blog/entry/46693&amp;sa=D&amp;ust=1605639554298000&amp;usg=AFQjCNHKo7s91J4s3rcloBN0yLPcvFoQ7Q" TargetMode="External"/><Relationship Id="rId3144" Type="http://schemas.openxmlformats.org/officeDocument/2006/relationships/hyperlink" Target="https://www.google.com/url?q=https://codeforces.com/contest/1130/problem/E&amp;sa=D&amp;ust=1605639553402000&amp;usg=AFQjCNHTln0e5wbXh-MBriukdXsBxKDIeg" TargetMode="External"/><Relationship Id="rId3351" Type="http://schemas.openxmlformats.org/officeDocument/2006/relationships/hyperlink" Target="https://www.google.com/url?q=https://uva.onlinejudge.org/index.php?option%3Donlinejudge%26page%3Dshow_problem%26problem%3D2096&amp;sa=D&amp;ust=1605639553518000&amp;usg=AFQjCNFM7Tt5lYG9jU5knMLqrTKd1LHObw" TargetMode="External"/><Relationship Id="rId4402" Type="http://schemas.openxmlformats.org/officeDocument/2006/relationships/hyperlink" Target="https://www.google.com/url?q=https://codeforces.com/contest/1241/problem/E&amp;sa=D&amp;ust=1605639554330000&amp;usg=AFQjCNHppfSbhwL5_29OKA7Ekq0Dy9qHeA" TargetMode="External"/><Relationship Id="rId272" Type="http://schemas.openxmlformats.org/officeDocument/2006/relationships/hyperlink" Target="https://www.google.com/url?q=http://codeforces.com/problemset/problem/1034/D&amp;sa=D&amp;ust=1605639551745000&amp;usg=AFQjCNHA7htVZQXQSORQ6_nQ-Qf6aFm_6A" TargetMode="External"/><Relationship Id="rId2160" Type="http://schemas.openxmlformats.org/officeDocument/2006/relationships/hyperlink" Target="https://www.google.com/url?q=https://github.com/quangloc99/CompetitiveProgramming/blob/master/POJ/1279.cpp&amp;sa=D&amp;ust=1605639552845000&amp;usg=AFQjCNGxYI8tVVYctDv7O9_RcAtFI6PQyA" TargetMode="External"/><Relationship Id="rId3004" Type="http://schemas.openxmlformats.org/officeDocument/2006/relationships/hyperlink" Target="https://www.google.com/url?q=http://lightoj.com/volume_showproblem.php?problem%3D1251&amp;sa=D&amp;ust=1605639553323000&amp;usg=AFQjCNFR0i9q_om8YUa00edE6JmgErIVdw" TargetMode="External"/><Relationship Id="rId3211" Type="http://schemas.openxmlformats.org/officeDocument/2006/relationships/hyperlink" Target="https://www.google.com/url?q=https://github.com/farmerboy95/CompetitiveProgramming/blob/master/AtCoder/AtCoder140-ABC-E.cpp&amp;sa=D&amp;ust=1605639553431000&amp;usg=AFQjCNFqHgNUvCpR_ZDgc3hb3gdyf4G_2A" TargetMode="External"/><Relationship Id="rId132" Type="http://schemas.openxmlformats.org/officeDocument/2006/relationships/hyperlink" Target="https://www.google.com/url?q=http://codeforces.com/contest/122/problem/D&amp;sa=D&amp;ust=1605639551632000&amp;usg=AFQjCNE4s-QUJasiNnCiS28t40mh749lDw" TargetMode="External"/><Relationship Id="rId2020" Type="http://schemas.openxmlformats.org/officeDocument/2006/relationships/hyperlink" Target="https://www.google.com/url?q=http://codeforces.com/contest/498/problem/A&amp;sa=D&amp;ust=1605639552745000&amp;usg=AFQjCNFV11ePRdPX8nNW7KnZTr1AYX_mKA" TargetMode="External"/><Relationship Id="rId1579" Type="http://schemas.openxmlformats.org/officeDocument/2006/relationships/hyperlink" Target="https://www.google.com/url?q=http://codeforces.com/contest/518/problem/E&amp;sa=D&amp;ust=1605639552489000&amp;usg=AFQjCNFa3BA4a4_ws7TBkLCoCQsrmM1Ayw" TargetMode="External"/><Relationship Id="rId2977" Type="http://schemas.openxmlformats.org/officeDocument/2006/relationships/hyperlink" Target="https://www.google.com/url?q=https://codeforces.com/contest/1239/problem/D&amp;sa=D&amp;ust=1605639553306000&amp;usg=AFQjCNGEoKdIuyEN_AkYY4iYmCkSHJn89Q" TargetMode="External"/><Relationship Id="rId4192" Type="http://schemas.openxmlformats.org/officeDocument/2006/relationships/hyperlink" Target="https://www.google.com/url?q=http://codeforces.com/contest/621/problem/C&amp;sa=D&amp;ust=1605639554238000&amp;usg=AFQjCNEEoqS95s4V3H_4pYk35CEiphL3Zw" TargetMode="External"/><Relationship Id="rId949" Type="http://schemas.openxmlformats.org/officeDocument/2006/relationships/hyperlink" Target="https://www.google.com/url?q=http://codeforces.com/contest/685/problem/E&amp;sa=D&amp;ust=1605639552100000&amp;usg=AFQjCNEWq5ZpobZVucaRQyFu509coDAUyw" TargetMode="External"/><Relationship Id="rId1786" Type="http://schemas.openxmlformats.org/officeDocument/2006/relationships/hyperlink" Target="https://www.google.com/url?q=https://codeforces.com/gym/101808/problem/I&amp;sa=D&amp;ust=1605639552607000&amp;usg=AFQjCNH_DoAPFtOpZc34yJnu6SmeCHB_3A" TargetMode="External"/><Relationship Id="rId1993" Type="http://schemas.openxmlformats.org/officeDocument/2006/relationships/hyperlink" Target="https://www.google.com/url?q=http://codeforces.com/contest/275/problem/C&amp;sa=D&amp;ust=1605639552729000&amp;usg=AFQjCNFA-tYJG7kOrc80ie97r5I9K4lCfA" TargetMode="External"/><Relationship Id="rId2837" Type="http://schemas.openxmlformats.org/officeDocument/2006/relationships/hyperlink" Target="https://www.google.com/url?q=http://codeforces.com/contest/546/problem/E&amp;sa=D&amp;ust=1605639553229000&amp;usg=AFQjCNFKKHUwe926fIPpXmKiZwsa9SEAcg" TargetMode="External"/><Relationship Id="rId4052" Type="http://schemas.openxmlformats.org/officeDocument/2006/relationships/hyperlink" Target="https://www.google.com/url?q=https://github.com/stefdasca/CompetitiveProgramming/blob/master/Codeforces/Gym/CF101741-GYM-J.cpp&amp;sa=D&amp;ust=1605639554151000&amp;usg=AFQjCNGKgvw_5ywwgNumCmsJXB-jaMzuJg" TargetMode="External"/><Relationship Id="rId78" Type="http://schemas.openxmlformats.org/officeDocument/2006/relationships/hyperlink" Target="https://www.google.com/url?q=https://codeforces.com/contest/1230/problem/D&amp;sa=D&amp;ust=1605639551598000&amp;usg=AFQjCNHLklp9xp1ScHb5ZRnYzg0SP8XWzg" TargetMode="External"/><Relationship Id="rId809" Type="http://schemas.openxmlformats.org/officeDocument/2006/relationships/hyperlink" Target="https://www.google.com/url?q=http://codeforces.com/contest/85/problem/D&amp;sa=D&amp;ust=1605639552018000&amp;usg=AFQjCNF6VEVQte8mOQMo5DRqgkPwVoTHtQ" TargetMode="External"/><Relationship Id="rId1439" Type="http://schemas.openxmlformats.org/officeDocument/2006/relationships/hyperlink" Target="https://www.google.com/url?q=http://codeforces.com/contest/167/problem/D&amp;sa=D&amp;ust=1605639552410000&amp;usg=AFQjCNFhZwz2JJnirk17W5H3FoGGMQP8dQ" TargetMode="External"/><Relationship Id="rId1646" Type="http://schemas.openxmlformats.org/officeDocument/2006/relationships/hyperlink" Target="https://www.google.com/url?q=https://github.com/mostafa-saad/MyCompetitiveProgramming/blob/master/SGU/SGU_321.txt&amp;sa=D&amp;ust=1605639552526000&amp;usg=AFQjCNGsqMYmaj8p4aPkp2s7W67SocDHZQ" TargetMode="External"/><Relationship Id="rId1853" Type="http://schemas.openxmlformats.org/officeDocument/2006/relationships/hyperlink" Target="https://www.google.com/url?q=http://codeforces.com/contest/305/problem/E&amp;sa=D&amp;ust=1605639552641000&amp;usg=AFQjCNFaHc1v79WezNKr-zE1ckiKUa5Nbw" TargetMode="External"/><Relationship Id="rId2904" Type="http://schemas.openxmlformats.org/officeDocument/2006/relationships/hyperlink" Target="https://www.google.com/url?q=https://github.com/3agwa/CompetitiveProgramming/blob/master/SPOJ/SPOJ%2520MATCHING.cpp&amp;sa=D&amp;ust=1605639553266000&amp;usg=AFQjCNEtvfRqaecKPNewkaZugJDMNDfQFQ" TargetMode="External"/><Relationship Id="rId1506" Type="http://schemas.openxmlformats.org/officeDocument/2006/relationships/hyperlink" Target="https://www.google.com/url?q=https://uva.onlinejudge.org/index.php?option%3Dcom_onlinejudge%26Itemid%3D8%26page%3Dshow_problem%26problem%3D4108&amp;sa=D&amp;ust=1605639552449000&amp;usg=AFQjCNH4-RdoLgyvgo95y2lXBqLyJ0igZA" TargetMode="External"/><Relationship Id="rId1713" Type="http://schemas.openxmlformats.org/officeDocument/2006/relationships/hyperlink" Target="https://www.google.com/url?q=http://codeforces.com/contest/883/problem/K&amp;sa=D&amp;ust=1605639552566000&amp;usg=AFQjCNFV0495RNaJltoIGMF6R1tMz36_BQ" TargetMode="External"/><Relationship Id="rId1920" Type="http://schemas.openxmlformats.org/officeDocument/2006/relationships/hyperlink" Target="https://www.google.com/url?q=https://codeforces.com/contest/1270/problem/E&amp;sa=D&amp;ust=1605639552690000&amp;usg=AFQjCNGTyKPKSz26Ygnv1A5LIVy3wYOO6A" TargetMode="External"/><Relationship Id="rId3678" Type="http://schemas.openxmlformats.org/officeDocument/2006/relationships/hyperlink" Target="https://www.google.com/url?q=https://www.hackerrank.com/challenges/longest-increasing-subsequence-arrays&amp;sa=D&amp;ust=1605639553785000&amp;usg=AFQjCNFAK3cZPpa4rq6dMaRGPYsmK1-pBw" TargetMode="External"/><Relationship Id="rId3885" Type="http://schemas.openxmlformats.org/officeDocument/2006/relationships/hyperlink" Target="https://www.google.com/url?q=http://codeforces.com/problemset/problem/375/D&amp;sa=D&amp;ust=1605639553911000&amp;usg=AFQjCNEVHt5zxpf5y7xZEu7z70Pfs14PWA" TargetMode="External"/><Relationship Id="rId599" Type="http://schemas.openxmlformats.org/officeDocument/2006/relationships/hyperlink" Target="https://www.google.com/url?q=https://github.com/MetalBall887/Competitive-Programming/blob/master/CodeForces/CF811-D2-E.cpp&amp;sa=D&amp;ust=1605639551926000&amp;usg=AFQjCNGixuk6lxsf3qZ3gm6ZN7zdZB15fg" TargetMode="External"/><Relationship Id="rId2487" Type="http://schemas.openxmlformats.org/officeDocument/2006/relationships/hyperlink" Target="https://www.google.com/url?q=https://codeforces.com/contest/1182/problem/D&amp;sa=D&amp;ust=1605639553025000&amp;usg=AFQjCNEIhDYDCixwIoggf0G8DimcPfif_w" TargetMode="External"/><Relationship Id="rId2694" Type="http://schemas.openxmlformats.org/officeDocument/2006/relationships/hyperlink" Target="https://www.google.com/url?q=http://codeforces.com/contest/366/problem/D&amp;sa=D&amp;ust=1605639553145000&amp;usg=AFQjCNH9zvgj2cn3C3CIpVE6uW0LoOUm5w" TargetMode="External"/><Relationship Id="rId3538" Type="http://schemas.openxmlformats.org/officeDocument/2006/relationships/hyperlink" Target="https://www.google.com/url?q=http://codeforces.com/contest/200/problem/A&amp;sa=D&amp;ust=1605639553656000&amp;usg=AFQjCNHFXdhvUtOKIRJ-lH-AVDkJFXKbAg" TargetMode="External"/><Relationship Id="rId3745" Type="http://schemas.openxmlformats.org/officeDocument/2006/relationships/hyperlink" Target="https://www.google.com/url?q=http://codeforces.com/gym/100781/attachments&amp;sa=D&amp;ust=1605639553828000&amp;usg=AFQjCNFLf63sDTtJUEdBLG4b1xZwF88W2w" TargetMode="External"/><Relationship Id="rId459" Type="http://schemas.openxmlformats.org/officeDocument/2006/relationships/hyperlink" Target="https://www.google.com/url?q=http://codeforces.com/contest/725/problem/D&amp;sa=D&amp;ust=1605639551868000&amp;usg=AFQjCNEETK4iGaVcZsQ-ysBHe2UaYhYKFg" TargetMode="External"/><Relationship Id="rId666" Type="http://schemas.openxmlformats.org/officeDocument/2006/relationships/hyperlink" Target="https://www.google.com/url?q=https://csacademy.com/contest/round-78/task/strange-matrix/&amp;sa=D&amp;ust=1605639551948000&amp;usg=AFQjCNGSvt0vz70tuvXbR7GsJUYGvUYQtA" TargetMode="External"/><Relationship Id="rId873" Type="http://schemas.openxmlformats.org/officeDocument/2006/relationships/hyperlink" Target="https://www.google.com/url?q=https://github.com/MeGaCrazy/CompetitiveProgramming/blob/1804aa9c2f7169786363d83eeacd7a0a392653cb/SPOJ/SPOJ_ORDERSET.cpp&amp;sa=D&amp;ust=1605639552051000&amp;usg=AFQjCNHpSTHKnQikSZqJ5ot55wKzyvcEkA" TargetMode="External"/><Relationship Id="rId1089" Type="http://schemas.openxmlformats.org/officeDocument/2006/relationships/hyperlink" Target="https://www.google.com/url?q=https://codingcompetitions.withgoogle.com/kickstart/round/0000000000050edd/00000000001a286d&amp;sa=D&amp;ust=1605639552171000&amp;usg=AFQjCNEIxmmugvQauZXp2Y7LRLIjyz7bMQ" TargetMode="External"/><Relationship Id="rId1296" Type="http://schemas.openxmlformats.org/officeDocument/2006/relationships/hyperlink" Target="https://www.google.com/url?q=https://github.com/MedoN11/CompetitiveProgramming/blob/master/TopCoder/SRM549-D2-1000.java&amp;sa=D&amp;ust=1605639552315000&amp;usg=AFQjCNEslsBFU_MJSW23p6UWXBgRUNtwXA" TargetMode="External"/><Relationship Id="rId2347" Type="http://schemas.openxmlformats.org/officeDocument/2006/relationships/hyperlink" Target="https://www.google.com/url?q=http://codeforces.com/contest/275/problem/D&amp;sa=D&amp;ust=1605639552946000&amp;usg=AFQjCNHacLL-TMjPtY8NOgKimBGRCZDvpg" TargetMode="External"/><Relationship Id="rId2554" Type="http://schemas.openxmlformats.org/officeDocument/2006/relationships/hyperlink" Target="https://www.google.com/url?q=https://beta.atcoder.jp/contests/soundhound2018-summer-qual/tasks/soundhound2018_summer_qual_e&amp;sa=D&amp;ust=1605639553062000&amp;usg=AFQjCNElvOYCJtS4f9B3m_Z24iweKOjQ4A" TargetMode="External"/><Relationship Id="rId3952" Type="http://schemas.openxmlformats.org/officeDocument/2006/relationships/hyperlink" Target="https://www.google.com/url?q=http://codeforces.com/contest/581/problem/D&amp;sa=D&amp;ust=1605639553945000&amp;usg=AFQjCNHeGpmRLeUpv0aD4l7VoSxYR9SLvA" TargetMode="External"/><Relationship Id="rId319" Type="http://schemas.openxmlformats.org/officeDocument/2006/relationships/hyperlink" Target="https://www.google.com/url?q=https://uva.onlinejudge.org/index.php?option%3Dcom_onlinejudge%26Itemid%3D8%26page%3Dshow_problem%26problem%3D4395&amp;sa=D&amp;ust=1605639551765000&amp;usg=AFQjCNEvZsGI7m4n5hCPBS0y9wDeJ3OLBQ" TargetMode="External"/><Relationship Id="rId526" Type="http://schemas.openxmlformats.org/officeDocument/2006/relationships/hyperlink" Target="https://www.google.com/url?q=http://codeforces.com/problemset/problem/912/E&amp;sa=D&amp;ust=1605639551897000&amp;usg=AFQjCNEpIYKpU1kdwenTiGyRrGvjxu9bdg" TargetMode="External"/><Relationship Id="rId1156" Type="http://schemas.openxmlformats.org/officeDocument/2006/relationships/hyperlink" Target="https://www.google.com/url?q=http://codeforces.com/problemset/gymProblem/101411/H&amp;sa=D&amp;ust=1605639552215000&amp;usg=AFQjCNFAPYcadsN4c8Z4-TCY8Wuba3DORw" TargetMode="External"/><Relationship Id="rId1363" Type="http://schemas.openxmlformats.org/officeDocument/2006/relationships/hyperlink" Target="https://www.google.com/url?q=https://agc005.contest.atcoder.jp/tasks/agc005_d&amp;sa=D&amp;ust=1605639552355000&amp;usg=AFQjCNFtA8WZUytD72rkuybaHWWNfcBNQQ" TargetMode="External"/><Relationship Id="rId2207" Type="http://schemas.openxmlformats.org/officeDocument/2006/relationships/hyperlink" Target="https://www.google.com/url?q=http://codeforces.com/contest/685/problem/D&amp;sa=D&amp;ust=1605639552877000&amp;usg=AFQjCNFQKBdtifzbicdtJ9Ahz8_5h6CiIQ" TargetMode="External"/><Relationship Id="rId2761" Type="http://schemas.openxmlformats.org/officeDocument/2006/relationships/hyperlink" Target="https://www.google.com/url?q=https://codeforces.com/contest/1196/problem/F&amp;sa=D&amp;ust=1605639553184000&amp;usg=AFQjCNGhmD7BNNJFDWnWst1TaGwN9Lwhng" TargetMode="External"/><Relationship Id="rId3605" Type="http://schemas.openxmlformats.org/officeDocument/2006/relationships/hyperlink" Target="https://www.google.com/url?q=http://codeforces.com/contest/163/problem/C&amp;sa=D&amp;ust=1605639553736000&amp;usg=AFQjCNE3ML-tizIZuzyaL-O1d6SzRRzvRQ" TargetMode="External"/><Relationship Id="rId3812" Type="http://schemas.openxmlformats.org/officeDocument/2006/relationships/hyperlink" Target="https://www.google.com/url?q=http://codeforces.com/contest/653/problem/F&amp;sa=D&amp;ust=1605639553872000&amp;usg=AFQjCNFjBR77PNbhyPRNNQ_4SPpUDkjsQw" TargetMode="External"/><Relationship Id="rId733" Type="http://schemas.openxmlformats.org/officeDocument/2006/relationships/hyperlink" Target="https://www.google.com/url?q=https://github.com/MichaelMounir12/CompetitiveProgramming/blob/9c6e99fc3a2583209a313ddd617a07ac294024e9/SPOJ/SPOJ_SEGSQRSS.cpp&amp;sa=D&amp;ust=1605639551979000&amp;usg=AFQjCNFpxKXd7zCInbuN2_h1cSytKkyzxw" TargetMode="External"/><Relationship Id="rId940" Type="http://schemas.openxmlformats.org/officeDocument/2006/relationships/hyperlink" Target="https://www.google.com/url?q=http://codeforces.com/contest/356/problem/D&amp;sa=D&amp;ust=1605639552092000&amp;usg=AFQjCNHWdg_hcgpgz4-_5-xIHqTBZ0VunQ" TargetMode="External"/><Relationship Id="rId1016" Type="http://schemas.openxmlformats.org/officeDocument/2006/relationships/hyperlink" Target="https://www.google.com/url?q=http://codeforces.com/contest/569/problem/D&amp;sa=D&amp;ust=1605639552133000&amp;usg=AFQjCNEQFNU07YfhhsiaoHnyKVSWB5Jmzg" TargetMode="External"/><Relationship Id="rId1570" Type="http://schemas.openxmlformats.org/officeDocument/2006/relationships/hyperlink" Target="https://www.google.com/url?q=https://www.codechef.com/problems/GHMC&amp;sa=D&amp;ust=1605639552484000&amp;usg=AFQjCNHhTu2AqIaKYWhEYscPXku3SIpbIw" TargetMode="External"/><Relationship Id="rId2414" Type="http://schemas.openxmlformats.org/officeDocument/2006/relationships/hyperlink" Target="https://www.google.com/url?q=https://www.geeksforgeeks.org/0-1-bfs-shortest-path-binary-graph/&amp;sa=D&amp;ust=1605639552978000&amp;usg=AFQjCNE_d5R3NaSn3L5li_f-ST_qn_GUgw" TargetMode="External"/><Relationship Id="rId2621" Type="http://schemas.openxmlformats.org/officeDocument/2006/relationships/hyperlink" Target="https://www.google.com/url?q=http://codeforces.com/gym/101666&amp;sa=D&amp;ust=1605639553107000&amp;usg=AFQjCNGAI1QKaf2nV0t5B61G_M1kj1zXEw" TargetMode="External"/><Relationship Id="rId800" Type="http://schemas.openxmlformats.org/officeDocument/2006/relationships/hyperlink" Target="https://www.google.com/url?q=http://codeforces.com/contest/52/problem/C&amp;sa=D&amp;ust=1605639552013000&amp;usg=AFQjCNGhxoNoz1lDTJFMKJP9oEHi0SPGXA" TargetMode="External"/><Relationship Id="rId1223" Type="http://schemas.openxmlformats.org/officeDocument/2006/relationships/hyperlink" Target="https://www.google.com/url?q=https://community.topcoder.com/stat?c%3Dproblem_statement%26pm%3D8595&amp;sa=D&amp;ust=1605639552265000&amp;usg=AFQjCNGRFgAVxbaJfX6DKHtK4TqynG4yFQ" TargetMode="External"/><Relationship Id="rId1430" Type="http://schemas.openxmlformats.org/officeDocument/2006/relationships/hyperlink" Target="https://www.google.com/url?q=http://codeforces.com/contest/513/problem/G2&amp;sa=D&amp;ust=1605639552403000&amp;usg=AFQjCNGUUPoyTHgwprpqrcybqNzzgmTR7g" TargetMode="External"/><Relationship Id="rId4379" Type="http://schemas.openxmlformats.org/officeDocument/2006/relationships/hyperlink" Target="https://www.google.com/url?q=https://github.com/OmarHashim/Competitive-Programming/blob/master/CodeForces/CF816-D2-E.cpp&amp;sa=D&amp;ust=1605639554316000&amp;usg=AFQjCNEM3oAZCkEmFxNxRj8A-YG03en8CQ" TargetMode="External"/><Relationship Id="rId3188" Type="http://schemas.openxmlformats.org/officeDocument/2006/relationships/hyperlink" Target="https://www.google.com/url?q=http://codeforces.com/blog/entry/61675&amp;sa=D&amp;ust=1605639553421000&amp;usg=AFQjCNEJFkaYWg1n9oO5lhFrVeQJ6TAYUQ" TargetMode="External"/><Relationship Id="rId3395" Type="http://schemas.openxmlformats.org/officeDocument/2006/relationships/hyperlink" Target="https://www.google.com/url?q=http://codeforces.com/contest/834/problem/E&amp;sa=D&amp;ust=1605639553549000&amp;usg=AFQjCNGkc6MB9oK4F1AkMLraP6PTLiHanA" TargetMode="External"/><Relationship Id="rId4239" Type="http://schemas.openxmlformats.org/officeDocument/2006/relationships/hyperlink" Target="https://www.google.com/url?q=https://github.com/mostafa-saad/MyCompetitiveProgramming/blob/master/DCP/DCP_176.txt&amp;sa=D&amp;ust=1605639554260000&amp;usg=AFQjCNFOyNqhZ22QJX7rmVh_IPNSACOAvA" TargetMode="External"/><Relationship Id="rId4446" Type="http://schemas.openxmlformats.org/officeDocument/2006/relationships/hyperlink" Target="https://www.google.com/url?q=https://codeforces.com/contest/1218/problem/E&amp;sa=D&amp;ust=1605639554348000&amp;usg=AFQjCNG-uptF705cvACHBR51P6O_-MOUSA" TargetMode="External"/><Relationship Id="rId3048" Type="http://schemas.openxmlformats.org/officeDocument/2006/relationships/hyperlink" Target="https://www.google.com/url?q=https://codeforces.com/gym/101979/problem/H&amp;sa=D&amp;ust=1605639553348000&amp;usg=AFQjCNFbSBdbMsQ2ikMBhpqdmmB3nK17ng" TargetMode="External"/><Relationship Id="rId3255" Type="http://schemas.openxmlformats.org/officeDocument/2006/relationships/hyperlink" Target="https://www.google.com/url?q=https://codeforces.com/contest/1239/problem/A&amp;sa=D&amp;ust=1605639553458000&amp;usg=AFQjCNGcofsFAV29rUCH0AvnFIW9ZYfuQQ" TargetMode="External"/><Relationship Id="rId3462" Type="http://schemas.openxmlformats.org/officeDocument/2006/relationships/hyperlink" Target="https://www.google.com/url?q=http://codeforces.com/contest/980/problem/D&amp;sa=D&amp;ust=1605639553594000&amp;usg=AFQjCNFJJbfTcaErtU_ffiDphDFvmuYW7g" TargetMode="External"/><Relationship Id="rId4306" Type="http://schemas.openxmlformats.org/officeDocument/2006/relationships/hyperlink" Target="https://www.google.com/url?q=https://codeforces.com/contest/678/problem/F&amp;sa=D&amp;ust=1605639554287000&amp;usg=AFQjCNGU0jtcu5S3azzkDxyu0VLNEaSAsA" TargetMode="External"/><Relationship Id="rId176" Type="http://schemas.openxmlformats.org/officeDocument/2006/relationships/hyperlink" Target="https://www.google.com/url?q=https://github.com/mostafa-saad/MyCompetitiveProgramming/blob/master/UVA/UVA_1381.txt&amp;sa=D&amp;ust=1605639551663000&amp;usg=AFQjCNGENXjnjFFBejJDberABWjZ1GPiMA" TargetMode="External"/><Relationship Id="rId383" Type="http://schemas.openxmlformats.org/officeDocument/2006/relationships/hyperlink" Target="https://www.google.com/url?q=https://uva.onlinejudge.org/index.php?option%3Dcom_onlinejudge%26Itemid%3D8%26page%3Dshow_problem%26problem%3D999&amp;sa=D&amp;ust=1605639551822000&amp;usg=AFQjCNHDLkLHjepbJrf35cQKyEJccgHjUg" TargetMode="External"/><Relationship Id="rId590" Type="http://schemas.openxmlformats.org/officeDocument/2006/relationships/hyperlink" Target="https://www.google.com/url?q=https://www.codechef.com/problems/FNCS&amp;sa=D&amp;ust=1605639551922000&amp;usg=AFQjCNEPt29XELquAbHRbNGgkayKviiL2A" TargetMode="External"/><Relationship Id="rId2064" Type="http://schemas.openxmlformats.org/officeDocument/2006/relationships/hyperlink" Target="https://www.google.com/url?q=https://github.com/MohamedNabil97/CompetitiveProgramming/blob/master/UVA/12240.cpp&amp;sa=D&amp;ust=1605639552780000&amp;usg=AFQjCNFw_wqHB7HMZ-pWhFilDRPyE64mJw" TargetMode="External"/><Relationship Id="rId2271" Type="http://schemas.openxmlformats.org/officeDocument/2006/relationships/hyperlink" Target="https://www.google.com/url?q=https://agc008.contest.atcoder.jp/tasks/agc008_e&amp;sa=D&amp;ust=1605639552913000&amp;usg=AFQjCNEvASydCEUgQN2xAOSwlg3cUtVN7Q" TargetMode="External"/><Relationship Id="rId3115" Type="http://schemas.openxmlformats.org/officeDocument/2006/relationships/hyperlink" Target="https://www.google.com/url?q=https://codeforces.com/contest/518/problem/E&amp;sa=D&amp;ust=1605639553385000&amp;usg=AFQjCNEh-4PdSoQBfU_Y1tM7jHukrUEFmA" TargetMode="External"/><Relationship Id="rId3322" Type="http://schemas.openxmlformats.org/officeDocument/2006/relationships/hyperlink" Target="https://www.google.com/url?q=https://github.com/ryuzmukhametov/CompetitiveProgramming/blob/master/uva/UVA%252011761.cpp&amp;sa=D&amp;ust=1605639553500000&amp;usg=AFQjCNEbF3sHAIwpdXELdO3DWEJNB4YZ_g" TargetMode="External"/><Relationship Id="rId243" Type="http://schemas.openxmlformats.org/officeDocument/2006/relationships/hyperlink" Target="https://www.google.com/url?q=http://codeforces.com/contest/118/problem/C&amp;sa=D&amp;ust=1605639551710000&amp;usg=AFQjCNGdK1gFDp03mB4bOSxdMKA7SyU_hw" TargetMode="External"/><Relationship Id="rId450" Type="http://schemas.openxmlformats.org/officeDocument/2006/relationships/hyperlink" Target="https://www.google.com/url?q=https://csacademy.com/contest/archive/task/water-bottles/statement/&amp;sa=D&amp;ust=1605639551863000&amp;usg=AFQjCNFeoQuagLuf_czYnJHtlY5bGvFzdg" TargetMode="External"/><Relationship Id="rId1080" Type="http://schemas.openxmlformats.org/officeDocument/2006/relationships/hyperlink" Target="https://www.google.com/url?q=http://codeforces.com/contest/284/problem/D&amp;sa=D&amp;ust=1605639552167000&amp;usg=AFQjCNGFgkmnxoa35adFxKOHDxonNJr18w" TargetMode="External"/><Relationship Id="rId2131" Type="http://schemas.openxmlformats.org/officeDocument/2006/relationships/hyperlink" Target="https://www.google.com/url?q=https://www.codechef.com/problems/BALANPOL&amp;sa=D&amp;ust=1605639552823000&amp;usg=AFQjCNH1p9HJvnekwdNPdvtH_pS8ltGrAA" TargetMode="External"/><Relationship Id="rId103" Type="http://schemas.openxmlformats.org/officeDocument/2006/relationships/hyperlink" Target="https://www.google.com/url?q=https://codeforces.com/contest/1047/problem/D&amp;sa=D&amp;ust=1605639551614000&amp;usg=AFQjCNGITxMBgY6XyyFxvSVCG8V_n94KTg" TargetMode="External"/><Relationship Id="rId310" Type="http://schemas.openxmlformats.org/officeDocument/2006/relationships/hyperlink" Target="https://www.google.com/url?q=https://github.com/mostafa-saad/MyCompetitiveProgramming/blob/master/UVA/UVA_11234.txt&amp;sa=D&amp;ust=1605639551762000&amp;usg=AFQjCNG8QAUwAHgw-Dt456cNQzZhes1ggQ" TargetMode="External"/><Relationship Id="rId4096" Type="http://schemas.openxmlformats.org/officeDocument/2006/relationships/hyperlink" Target="https://www.google.com/url?q=http://acm.hdu.edu.cn/showproblem.php?pid%3D4285&amp;sa=D&amp;ust=1605639554173000&amp;usg=AFQjCNGYejxKPxOcDyzVMcjLg__hF0CoPA" TargetMode="External"/><Relationship Id="rId1897" Type="http://schemas.openxmlformats.org/officeDocument/2006/relationships/hyperlink" Target="https://www.google.com/url?q=https://onlinejudge.org/index.php?option%3Donlinejudge%26page%3Dshow_problem%26problem%3D5136&amp;sa=D&amp;ust=1605639552667000&amp;usg=AFQjCNHjEf8UND4rcB4AL7K8ycxw49ANMQ" TargetMode="External"/><Relationship Id="rId2948" Type="http://schemas.openxmlformats.org/officeDocument/2006/relationships/hyperlink" Target="https://www.google.com/url?q=https://www.hackerrank.com/contests/june-world-codesprint/challenges/johnland&amp;sa=D&amp;ust=1605639553290000&amp;usg=AFQjCNFWy0txtcsJBOUJiwYchMQBp7Nmpg" TargetMode="External"/><Relationship Id="rId1757" Type="http://schemas.openxmlformats.org/officeDocument/2006/relationships/hyperlink" Target="https://www.google.com/url?q=https://codeforces.com/contest/1102/problem/E&amp;sa=D&amp;ust=1605639552590000&amp;usg=AFQjCNHxCbag59Ovs1VP0rE400LLOy8yTQ" TargetMode="External"/><Relationship Id="rId1964" Type="http://schemas.openxmlformats.org/officeDocument/2006/relationships/hyperlink" Target="https://www.google.com/url?q=https://github.com/racsosabe/CompetitiveProgramming/blob/master/CodeForces/CF1016-D2-E.cpp&amp;sa=D&amp;ust=1605639552714000&amp;usg=AFQjCNFfEgweKYSCJHio98OwNP5dELnb8w" TargetMode="External"/><Relationship Id="rId2808" Type="http://schemas.openxmlformats.org/officeDocument/2006/relationships/hyperlink" Target="https://www.google.com/url?q=https://github.com/MohamedNabil97/CompetitiveProgramming/tree/master/CodeForces/CF101201-GYM-G.cpp&amp;sa=D&amp;ust=1605639553214000&amp;usg=AFQjCNG3xqxvnSTypGcDpM3HJgdJ3KCkhQ" TargetMode="External"/><Relationship Id="rId4163" Type="http://schemas.openxmlformats.org/officeDocument/2006/relationships/hyperlink" Target="https://www.google.com/url?q=https://www.hackerrank.com/challenges/random&amp;sa=D&amp;ust=1605639554213000&amp;usg=AFQjCNFfGwvBmkZHu1aIvNNZLkTnEsVisQ" TargetMode="External"/><Relationship Id="rId4370" Type="http://schemas.openxmlformats.org/officeDocument/2006/relationships/hyperlink" Target="https://www.google.com/url?q=https://www.codechef.com/problems/TSUBSTR&amp;sa=D&amp;ust=1605639554312000&amp;usg=AFQjCNFdDTSrnhz5PmFmPzYSaeDDqBy6mA" TargetMode="External"/><Relationship Id="rId49" Type="http://schemas.openxmlformats.org/officeDocument/2006/relationships/hyperlink" Target="https://www.google.com/url?q=http://codeforces.com/contest/109/problem/D&amp;sa=D&amp;ust=1605639551582000&amp;usg=AFQjCNG4qrOAqAxVQtimgETSLjISVms0Iw" TargetMode="External"/><Relationship Id="rId1617" Type="http://schemas.openxmlformats.org/officeDocument/2006/relationships/hyperlink" Target="https://www.google.com/url?q=https://agc003.contest.atcoder.jp/tasks/agc003_b&amp;sa=D&amp;ust=1605639552511000&amp;usg=AFQjCNEbRhQi1VktjCqzXpP5vQZ1deTNBQ" TargetMode="External"/><Relationship Id="rId1824" Type="http://schemas.openxmlformats.org/officeDocument/2006/relationships/hyperlink" Target="https://www.google.com/url?q=https://github.com/Youssef-Abdel-Meguid/CompetitiveProgramming/blob/master/Topcoder/SRM396-D1-1000.cpp?fbclid%3DIwAR0ggSPkrogLh1kS7cdvOn5z5f0eut0qqhV-NkpByMHezdlRTI94eAKiIc4&amp;sa=D&amp;ust=1605639552626000&amp;usg=AFQjCNF5lzDecQIFklUjqdTPrK-Gj0QrQg" TargetMode="External"/><Relationship Id="rId4023" Type="http://schemas.openxmlformats.org/officeDocument/2006/relationships/hyperlink" Target="https://www.google.com/url?q=http://www.spoj.com/problems/ALIEN/&amp;sa=D&amp;ust=1605639554137000&amp;usg=AFQjCNHSZgD351835xrpScKGp3U9AGk-xA" TargetMode="External"/><Relationship Id="rId4230" Type="http://schemas.openxmlformats.org/officeDocument/2006/relationships/hyperlink" Target="https://www.google.com/url?q=https://codeforces.com/contest/1205/problem/D&amp;sa=D&amp;ust=1605639554257000&amp;usg=AFQjCNEN7GHl0poK810Jf5c-VZ1otp29CA" TargetMode="External"/><Relationship Id="rId3789" Type="http://schemas.openxmlformats.org/officeDocument/2006/relationships/hyperlink" Target="https://www.google.com/url?q=http://codeforces.com/contest/535/problem/D&amp;sa=D&amp;ust=1605639553853000&amp;usg=AFQjCNEXtv3GcnWhyJoEcMLESDqlJ1MLyA" TargetMode="External"/><Relationship Id="rId2598" Type="http://schemas.openxmlformats.org/officeDocument/2006/relationships/hyperlink" Target="https://www.google.com/url?q=http://codeforces.com/contest/979/problem/C&amp;sa=D&amp;ust=1605639553085000&amp;usg=AFQjCNEheXu14pRjcYBTrVcOn1IfTHAk8g" TargetMode="External"/><Relationship Id="rId3996" Type="http://schemas.openxmlformats.org/officeDocument/2006/relationships/hyperlink" Target="https://www.google.com/url?q=https://leetcode.com/problems/shortest-subarray-with-sum-at-least-k&amp;sa=D&amp;ust=1605639554125000&amp;usg=AFQjCNGKUI5KvbdD9dW2iYGZVBwkK7cWeA" TargetMode="External"/><Relationship Id="rId3649" Type="http://schemas.openxmlformats.org/officeDocument/2006/relationships/hyperlink" Target="https://www.google.com/url?q=http://codeforces.com/contest/155/problem/D&amp;sa=D&amp;ust=1605639553763000&amp;usg=AFQjCNGJgSl6KKPE0rpFnKhJ5sOeJRq0bQ" TargetMode="External"/><Relationship Id="rId3856" Type="http://schemas.openxmlformats.org/officeDocument/2006/relationships/hyperlink" Target="https://www.google.com/url?q=http://codeforces.com/gym/101741/problem/K&amp;sa=D&amp;ust=1605639553894000&amp;usg=AFQjCNFbPIsftO4K4sTVT-cyT1hlAtFQSg" TargetMode="External"/><Relationship Id="rId777" Type="http://schemas.openxmlformats.org/officeDocument/2006/relationships/hyperlink" Target="https://www.google.com/url?q=https://codeforces.com/problemset/problem/61/E&amp;sa=D&amp;ust=1605639552002000&amp;usg=AFQjCNHO4HjT1gowXhEu135vsuIBy-uXXw" TargetMode="External"/><Relationship Id="rId984" Type="http://schemas.openxmlformats.org/officeDocument/2006/relationships/hyperlink" Target="https://www.google.com/url?q=https://codeforces.com/contest/1043/problem/F&amp;sa=D&amp;ust=1605639552117000&amp;usg=AFQjCNH8dNWFFB9EAJwK-CFvm2ICRMjRjg" TargetMode="External"/><Relationship Id="rId2458" Type="http://schemas.openxmlformats.org/officeDocument/2006/relationships/hyperlink" Target="https://www.google.com/url?q=http://codeforces.com/contest/242/problem/C&amp;sa=D&amp;ust=1605639553001000&amp;usg=AFQjCNF-lGZeGqlMdLbToazIN81IOPH9Ug" TargetMode="External"/><Relationship Id="rId2665" Type="http://schemas.openxmlformats.org/officeDocument/2006/relationships/hyperlink" Target="https://www.google.com/url?q=https://github.com/nya-nya-meow/CompetitiveProgramming/blob/master/CodeForces/CF101194-GYM-G%2520-%2520Pandaria.cpp&amp;sa=D&amp;ust=1605639553130000&amp;usg=AFQjCNEYn1W9jok92HhD_FS7-yrQXuCRuw" TargetMode="External"/><Relationship Id="rId2872" Type="http://schemas.openxmlformats.org/officeDocument/2006/relationships/hyperlink" Target="https://www.google.com/url?q=https://www.spoj.com/problems/ADABLOOM/&amp;sa=D&amp;ust=1605639553248000&amp;usg=AFQjCNEZtXYqbXsAIFUK8w0L7_pHlLSNtg" TargetMode="External"/><Relationship Id="rId3509" Type="http://schemas.openxmlformats.org/officeDocument/2006/relationships/hyperlink" Target="https://www.google.com/url?q=https://codeforces.com/gym/101992/problem/D&amp;sa=D&amp;ust=1605639553632000&amp;usg=AFQjCNF2njymEjXGZmZzMQS2IbT098e9gQ" TargetMode="External"/><Relationship Id="rId3716" Type="http://schemas.openxmlformats.org/officeDocument/2006/relationships/hyperlink" Target="https://www.google.com/url?q=http://codeforces.com/gym/100975/standings/friends/true&amp;sa=D&amp;ust=1605639553806000&amp;usg=AFQjCNGaHHEQ8gskdDIUCHT7_HLx92pIIg" TargetMode="External"/><Relationship Id="rId3923" Type="http://schemas.openxmlformats.org/officeDocument/2006/relationships/hyperlink" Target="https://www.google.com/url?q=https://codeforces.com/contest/731/problem/D&amp;sa=D&amp;ust=1605639553930000&amp;usg=AFQjCNGkua-RHrqdvSxHVAaDaJzfd3Vykw" TargetMode="External"/><Relationship Id="rId637" Type="http://schemas.openxmlformats.org/officeDocument/2006/relationships/hyperlink" Target="https://www.google.com/url?q=http://codeforces.com/problemset/gymProblem/100812/E&amp;sa=D&amp;ust=1605639551938000&amp;usg=AFQjCNHl6BipMlfBOS-3phX6vMPrLeFhwA" TargetMode="External"/><Relationship Id="rId844" Type="http://schemas.openxmlformats.org/officeDocument/2006/relationships/hyperlink" Target="https://www.google.com/url?q=http://codeforces.com/problemset/problem/899/F&amp;sa=D&amp;ust=1605639552037000&amp;usg=AFQjCNHQPp4QPc7QGdTUDLzl8sie2EAnAA" TargetMode="External"/><Relationship Id="rId1267" Type="http://schemas.openxmlformats.org/officeDocument/2006/relationships/hyperlink" Target="https://www.google.com/url?q=https://www.codechef.com/problems/AMBALLS&amp;sa=D&amp;ust=1605639552298000&amp;usg=AFQjCNHxG5bMM3suDdCWaZhRRfSFmX_jPQ" TargetMode="External"/><Relationship Id="rId1474" Type="http://schemas.openxmlformats.org/officeDocument/2006/relationships/hyperlink" Target="https://www.google.com/url?q=http://codeforces.com/contest/258/problem/D&amp;sa=D&amp;ust=1605639552428000&amp;usg=AFQjCNGXrFlHOzJvfjsFaMBgm-Zs7pgSKg" TargetMode="External"/><Relationship Id="rId1681" Type="http://schemas.openxmlformats.org/officeDocument/2006/relationships/hyperlink" Target="https://www.google.com/url?q=http://codeforces.com/contest/779/problem/C&amp;sa=D&amp;ust=1605639552548000&amp;usg=AFQjCNFCJ2JeIWZJiatuWPfyto1Ay7q43Q" TargetMode="External"/><Relationship Id="rId2318" Type="http://schemas.openxmlformats.org/officeDocument/2006/relationships/hyperlink" Target="https://www.google.com/url?q=https://www.codechef.com/IOITC182/problems/CHANGNUM&amp;sa=D&amp;ust=1605639552935000&amp;usg=AFQjCNGvC0680lhx0TG4kwHb7nTT3FsLEA" TargetMode="External"/><Relationship Id="rId2525" Type="http://schemas.openxmlformats.org/officeDocument/2006/relationships/hyperlink" Target="https://www.google.com/url?q=https://github.com/stefdasca/CompetitiveProgramming/blob/master/Codeforces/Gym/CF101806-GYM-X.cpp&amp;sa=D&amp;ust=1605639553046000&amp;usg=AFQjCNG0GWsGh6_ykRJfDf76qNXrZ1jmSg" TargetMode="External"/><Relationship Id="rId2732" Type="http://schemas.openxmlformats.org/officeDocument/2006/relationships/hyperlink" Target="https://www.google.com/url?q=http://codeforces.com/contest/358/problem/E&amp;sa=D&amp;ust=1605639553164000&amp;usg=AFQjCNEsPo9hinKnTVyhm8V8Iw_uOrOPhA" TargetMode="External"/><Relationship Id="rId704" Type="http://schemas.openxmlformats.org/officeDocument/2006/relationships/hyperlink" Target="https://www.google.com/url?q=https://open.kattis.com/problems/whiteboard&amp;sa=D&amp;ust=1605639551967000&amp;usg=AFQjCNEKn1mWGBalH0Pug5sVhAqqegckFg" TargetMode="External"/><Relationship Id="rId911" Type="http://schemas.openxmlformats.org/officeDocument/2006/relationships/hyperlink" Target="https://www.google.com/url?q=http://algorithms-live.blogspot.com/2017/02/episode-9-solution-bags.html&amp;sa=D&amp;ust=1605639552077000&amp;usg=AFQjCNFwCit1wcNUP8l6O3j5odmGr4o4WA" TargetMode="External"/><Relationship Id="rId1127" Type="http://schemas.openxmlformats.org/officeDocument/2006/relationships/hyperlink" Target="https://www.google.com/url?q=https://atcoder.jp/contests/abc132/tasks/abc132_f&amp;sa=D&amp;ust=1605639552195000&amp;usg=AFQjCNEM7CdRfWErZDcvwXuWxVX7rqFakg" TargetMode="External"/><Relationship Id="rId1334" Type="http://schemas.openxmlformats.org/officeDocument/2006/relationships/hyperlink" Target="https://www.google.com/url?q=https://github.com/AmrMaghraby/Competitve-Programming/blob/master/UVA/UVA%252010944.cpp&amp;sa=D&amp;ust=1605639552335000&amp;usg=AFQjCNEOHlCG8bjn0c6Sa4_jSDwZbGWlfw" TargetMode="External"/><Relationship Id="rId1541" Type="http://schemas.openxmlformats.org/officeDocument/2006/relationships/hyperlink" Target="https://www.google.com/url?q=https://www.codechef.com/problems/STICKS2/&amp;sa=D&amp;ust=1605639552470000&amp;usg=AFQjCNFFMG9usuaK72TDvMVPaPG4ibfSdg" TargetMode="External"/><Relationship Id="rId40" Type="http://schemas.openxmlformats.org/officeDocument/2006/relationships/hyperlink" Target="https://www.google.com/url?q=https://codeforces.com/contest/1068/problem/F&amp;sa=D&amp;ust=1605639551579000&amp;usg=AFQjCNE4keiapTeMAOAvU1s31GHLdtrXNg" TargetMode="External"/><Relationship Id="rId1401" Type="http://schemas.openxmlformats.org/officeDocument/2006/relationships/hyperlink" Target="https://www.google.com/url?q=http://codeforces.com/contest/431/problem/C&amp;sa=D&amp;ust=1605639552382000&amp;usg=AFQjCNEaDGT-EF8BZwl3jw6u32o8XmNmQg" TargetMode="External"/><Relationship Id="rId3299" Type="http://schemas.openxmlformats.org/officeDocument/2006/relationships/hyperlink" Target="https://www.google.com/url?q=https://github.com/ahmedcpbl/CompetitiveProgramming/blob/master/UVA/153.cpp&amp;sa=D&amp;ust=1605639553481000&amp;usg=AFQjCNGczagPOdGO30-tm3GN3NPA82Vhjg" TargetMode="External"/><Relationship Id="rId3159" Type="http://schemas.openxmlformats.org/officeDocument/2006/relationships/hyperlink" Target="https://www.google.com/url?q=http://codeforces.com/contest/919/problem/E&amp;sa=D&amp;ust=1605639553409000&amp;usg=AFQjCNFnHsXMN8Z8-oUMQavsFFuDz8ocSg" TargetMode="External"/><Relationship Id="rId3366" Type="http://schemas.openxmlformats.org/officeDocument/2006/relationships/hyperlink" Target="https://www.google.com/url?q=https://www.youtube.com/watch?v%3DKS9POnQMfmY&amp;sa=D&amp;ust=1605639553530000&amp;usg=AFQjCNFF2jSoVudZF4WiclW5tvv9wzBKnA" TargetMode="External"/><Relationship Id="rId3573" Type="http://schemas.openxmlformats.org/officeDocument/2006/relationships/hyperlink" Target="https://www.google.com/url?q=https://uva.onlinejudge.org/index.php?option%3Donlinejudge%26page%3Dshow_problem%26problem%3D1170&amp;sa=D&amp;ust=1605639553709000&amp;usg=AFQjCNFOWN_MJwabEA9QUYa7bL8cV_JZJg" TargetMode="External"/><Relationship Id="rId4417" Type="http://schemas.openxmlformats.org/officeDocument/2006/relationships/hyperlink" Target="https://www.google.com/url?q=http://codeforces.com/contest/161/problem/D&amp;sa=D&amp;ust=1605639554337000&amp;usg=AFQjCNFTKv9S8LWitjmLbJo1LdtHbtJp-Q" TargetMode="External"/><Relationship Id="rId287" Type="http://schemas.openxmlformats.org/officeDocument/2006/relationships/hyperlink" Target="https://www.google.com/url?q=https://codeforces.com/gym/100488/problem/L&amp;sa=D&amp;ust=1605639551751000&amp;usg=AFQjCNGLg2H-5WxM9w8Sr7FWArw4olI-JQ" TargetMode="External"/><Relationship Id="rId494" Type="http://schemas.openxmlformats.org/officeDocument/2006/relationships/hyperlink" Target="https://www.google.com/url?q=https://github.com/mostafa-saad/MyCompetitiveProgramming/blob/master/UVA/UVA_11243.txt&amp;sa=D&amp;ust=1605639551884000&amp;usg=AFQjCNGXBxbfhiANDe87-wPO0pxNFGAhRA" TargetMode="External"/><Relationship Id="rId2175" Type="http://schemas.openxmlformats.org/officeDocument/2006/relationships/hyperlink" Target="https://www.google.com/url?q=https://github.com/farmerboy95/CompetitiveProgramming/blob/master/Codeforces/CF70-D12-D.cpp&amp;sa=D&amp;ust=1605639552854000&amp;usg=AFQjCNGUxysJTz5H2GGcC2GfxyNfNdu5zw" TargetMode="External"/><Relationship Id="rId2382" Type="http://schemas.openxmlformats.org/officeDocument/2006/relationships/hyperlink" Target="https://www.google.com/url?q=http://codeforces.com/contest/902/problem/C&amp;sa=D&amp;ust=1605639552959000&amp;usg=AFQjCNFBo0CLTVhnZRLFtjKfgLMiBEnqrg" TargetMode="External"/><Relationship Id="rId3019" Type="http://schemas.openxmlformats.org/officeDocument/2006/relationships/hyperlink" Target="https://www.google.com/url?q=https://github.com/HeartBlue/CompetitiveProgramming/blob/master/PKU/PKU%25203207%2520Ikki%27s%2520Story%2520IV%2520-%2520Panda%27s%2520Trick.cpp&amp;sa=D&amp;ust=1605639553331000&amp;usg=AFQjCNE5m3Azn3gQPy90QsgdrXd_rcCBdg" TargetMode="External"/><Relationship Id="rId3226" Type="http://schemas.openxmlformats.org/officeDocument/2006/relationships/hyperlink" Target="https://www.google.com/url?q=https://uva.onlinejudge.org/index.php?option%3Dcom_onlinejudge%26Itemid%3D8%26page%3Dshow_problem%26problem%3D62&amp;sa=D&amp;ust=1605639553440000&amp;usg=AFQjCNFxMhyRl3FOAhkAXCY_4ToAhso8dQ" TargetMode="External"/><Relationship Id="rId3780" Type="http://schemas.openxmlformats.org/officeDocument/2006/relationships/hyperlink" Target="https://www.google.com/url?q=http://codeforces.com/contest/536/problem/B&amp;sa=D&amp;ust=1605639553848000&amp;usg=AFQjCNEf1pTOxahO19_2B94Y7Qt0CT4Peg" TargetMode="External"/><Relationship Id="rId147" Type="http://schemas.openxmlformats.org/officeDocument/2006/relationships/hyperlink" Target="https://www.google.com/url?q=https://discuss.codechef.com/questions/25065/spoj-problem-minimum-permutation&amp;sa=D&amp;ust=1605639551641000&amp;usg=AFQjCNHQnSOTUj1SJMej-vOgVNKzWg51Tg" TargetMode="External"/><Relationship Id="rId354" Type="http://schemas.openxmlformats.org/officeDocument/2006/relationships/hyperlink" Target="https://www.google.com/url?q=http://codeforces.com/contest/276/problem/C&amp;sa=D&amp;ust=1605639551792000&amp;usg=AFQjCNHBjX4PLtmRdJ9FUBGS3j_EZJ9i6Q" TargetMode="External"/><Relationship Id="rId1191" Type="http://schemas.openxmlformats.org/officeDocument/2006/relationships/hyperlink" Target="https://www.google.com/url?q=http://codeforces.com/contest/221/problem/D&amp;sa=D&amp;ust=1605639552235000&amp;usg=AFQjCNFt1WqzyW3H9pce9NT_rwkgaN63YQ" TargetMode="External"/><Relationship Id="rId2035" Type="http://schemas.openxmlformats.org/officeDocument/2006/relationships/hyperlink" Target="https://www.google.com/url?q=https://github.com/MichaelMounir12/CompetitiveProgramming/blob/master/Contests/SuperVision-Contest-33139/ZOJ_1496.cpp&amp;sa=D&amp;ust=1605639552759000&amp;usg=AFQjCNHPgLtcxHhoCNn3nu6jFdTMdv60Aw" TargetMode="External"/><Relationship Id="rId3433" Type="http://schemas.openxmlformats.org/officeDocument/2006/relationships/hyperlink" Target="https://www.google.com/url?q=https://github.com/osamahatem/CompetitiveProgramming/blob/master/UVA/11525%2520-%2520Permutation.cpp&amp;sa=D&amp;ust=1605639553572000&amp;usg=AFQjCNHrPYQfrGCicNfZ-4jZqzErPL5M7w" TargetMode="External"/><Relationship Id="rId3640" Type="http://schemas.openxmlformats.org/officeDocument/2006/relationships/hyperlink" Target="https://www.google.com/url?q=https://github.com/sggutier/CompetitiveProgramming/blob/master/UVa/10236.cpp&amp;sa=D&amp;ust=1605639553757000&amp;usg=AFQjCNH9phu0ldm1C-l98wzKfH_XBEHBbg" TargetMode="External"/><Relationship Id="rId561" Type="http://schemas.openxmlformats.org/officeDocument/2006/relationships/hyperlink" Target="https://www.google.com/url?q=https://github.com/mostafa-saad/MyCompetitiveProgramming/blob/master/SPOJ/SPOJ_HISTOGRA.txt&amp;sa=D&amp;ust=1605639551911000&amp;usg=AFQjCNGafXgYmZ56IeMBIxzMen4s-pGVWg" TargetMode="External"/><Relationship Id="rId2242" Type="http://schemas.openxmlformats.org/officeDocument/2006/relationships/hyperlink" Target="https://www.google.com/url?q=https://www.hackerrank.com/contests/hourrank-26/challenges/cloudy-day/problem&amp;sa=D&amp;ust=1605639552892000&amp;usg=AFQjCNHXKQxNGVFrxtd4avVMaGXLCFO2_A" TargetMode="External"/><Relationship Id="rId3500" Type="http://schemas.openxmlformats.org/officeDocument/2006/relationships/hyperlink" Target="https://www.google.com/url?q=https://www.hackerrank.com/challenges/cyclicquadruples&amp;sa=D&amp;ust=1605639553627000&amp;usg=AFQjCNGRLvZgumln99bTbpd5IXSljvDOkw" TargetMode="External"/><Relationship Id="rId214" Type="http://schemas.openxmlformats.org/officeDocument/2006/relationships/hyperlink" Target="https://www.google.com/url?q=http://codeforces.com/contest/146/problem/D&amp;sa=D&amp;ust=1605639551687000&amp;usg=AFQjCNEWGPFP0jhoGdYs5x4je-6NTjf1Gg" TargetMode="External"/><Relationship Id="rId421" Type="http://schemas.openxmlformats.org/officeDocument/2006/relationships/hyperlink" Target="https://www.google.com/url?q=http://codeforces.com/contest/847/problem/E&amp;sa=D&amp;ust=1605639551851000&amp;usg=AFQjCNFjCK0WXHwdYagKXYNKwVd08XG_bQ" TargetMode="External"/><Relationship Id="rId1051" Type="http://schemas.openxmlformats.org/officeDocument/2006/relationships/hyperlink" Target="https://www.google.com/url?q=https://codeforces.com/contest/372/problem/C&amp;sa=D&amp;ust=1605639552149000&amp;usg=AFQjCNGza02JqBpWtCJVAw1U4iLU34xs3Q" TargetMode="External"/><Relationship Id="rId2102" Type="http://schemas.openxmlformats.org/officeDocument/2006/relationships/hyperlink" Target="https://www.google.com/url?q=https://uva.onlinejudge.org/index.php?option%3Donlinejudge%26page%3Dshow_problem%26problem%3D1731&amp;sa=D&amp;ust=1605639552805000&amp;usg=AFQjCNH8tjc6cneFfMl4ZCI2wVwosZcDVw" TargetMode="External"/><Relationship Id="rId1868" Type="http://schemas.openxmlformats.org/officeDocument/2006/relationships/hyperlink" Target="https://www.google.com/url?q=https://www.codechef.com/COOK102B/problems/ADAPWNS&amp;sa=D&amp;ust=1605639552647000&amp;usg=AFQjCNH5MMVOyRaEr2aXJttpQf8JFZqF2A" TargetMode="External"/><Relationship Id="rId4067" Type="http://schemas.openxmlformats.org/officeDocument/2006/relationships/hyperlink" Target="https://www.google.com/url?q=https://codeforces.com/contest/1073/problem/E&amp;sa=D&amp;ust=1605639554158000&amp;usg=AFQjCNHupTDgk_2EoRK5HnUc-m_nd0es_Q" TargetMode="External"/><Relationship Id="rId4274" Type="http://schemas.openxmlformats.org/officeDocument/2006/relationships/hyperlink" Target="https://www.google.com/url?q=https://github.com/quangloc99/CompetitiveProgramming/blob/master/CODECHEF/CYCLRACE.cpp&amp;sa=D&amp;ust=1605639554274000&amp;usg=AFQjCNHfGbFg2GDXruANkBrf-x6_IEdhyQ" TargetMode="External"/><Relationship Id="rId2919" Type="http://schemas.openxmlformats.org/officeDocument/2006/relationships/hyperlink" Target="https://www.google.com/url?q=https://apps.topcoder.com/forums/;jsessionid%3DEDD17CB539B3717B0D70ED5488A0CAD4?module%3DThread%26threadID%3D514536%26start%3D0%26mc%3D24%23572589&amp;sa=D&amp;ust=1605639553275000&amp;usg=AFQjCNFr_EUB4K8N4AoKL9jaHGS68-pB3A" TargetMode="External"/><Relationship Id="rId3083" Type="http://schemas.openxmlformats.org/officeDocument/2006/relationships/hyperlink" Target="https://www.google.com/url?q=https://github.com/SpeedOfMagic/CompetitiveProgramming/blob/master/SPOJ/DISQUERY.cpp&amp;sa=D&amp;ust=1605639553364000&amp;usg=AFQjCNHoGh5frBlrF4I4jNUXZXqCBFqvHg" TargetMode="External"/><Relationship Id="rId3290" Type="http://schemas.openxmlformats.org/officeDocument/2006/relationships/hyperlink" Target="https://www.google.com/url?q=https://raw.githubusercontent.com/NadaAlaa/CompetitiveProgramming/master/LiveArchive/2557.cpp&amp;sa=D&amp;ust=1605639553476000&amp;usg=AFQjCNEYWPNy9jWAh9KB8oR7jufOdDDIIQ" TargetMode="External"/><Relationship Id="rId4134" Type="http://schemas.openxmlformats.org/officeDocument/2006/relationships/hyperlink" Target="https://www.google.com/url?q=http://codeforces.com/contest/501/problem/C&amp;sa=D&amp;ust=1605639554198000&amp;usg=AFQjCNHKK0n1YcwHhTE3vQkELvVZxuTJfg" TargetMode="External"/><Relationship Id="rId4341" Type="http://schemas.openxmlformats.org/officeDocument/2006/relationships/hyperlink" Target="https://www.google.com/url?q=http://codeforces.com/contest/119/problem/D&amp;sa=D&amp;ust=1605639554301000&amp;usg=AFQjCNHlj15ZQkaasy_acVjhlsC53dh55A" TargetMode="External"/><Relationship Id="rId1728" Type="http://schemas.openxmlformats.org/officeDocument/2006/relationships/hyperlink" Target="https://www.google.com/url?q=https://cses.fi/problemset/task/1090/&amp;sa=D&amp;ust=1605639552575000&amp;usg=AFQjCNFzf945K3ZmEZHLDaO7EyFz_Q53WA" TargetMode="External"/><Relationship Id="rId1935" Type="http://schemas.openxmlformats.org/officeDocument/2006/relationships/hyperlink" Target="https://www.google.com/url?q=https://ideone.com/Y9T8GY&amp;sa=D&amp;ust=1605639552702000&amp;usg=AFQjCNHz12YRZ1jE6yhh8UZox1GbdQEGdg" TargetMode="External"/><Relationship Id="rId3150" Type="http://schemas.openxmlformats.org/officeDocument/2006/relationships/hyperlink" Target="https://www.google.com/url?q=https://codeforces.com/contest/1104/problem/D&amp;sa=D&amp;ust=1605639553406000&amp;usg=AFQjCNEysI6dVs5nT9eKfM5eiCtB6XQhWg" TargetMode="External"/><Relationship Id="rId4201" Type="http://schemas.openxmlformats.org/officeDocument/2006/relationships/hyperlink" Target="https://www.google.com/url?q=https://www.youtube.com/watch?v%3Dj__Kredt7vY&amp;sa=D&amp;ust=1605639554242000&amp;usg=AFQjCNEOrMw-WT6HdIXY6wnpHz6jkt_j4Q" TargetMode="External"/><Relationship Id="rId3010" Type="http://schemas.openxmlformats.org/officeDocument/2006/relationships/hyperlink" Target="https://www.google.com/url?q=https://github.com/mostafa-saad/MyCompetitiveProgramming/blob/master/UVA/UVA_11294.txt&amp;sa=D&amp;ust=1605639553325000&amp;usg=AFQjCNGMGavVpAHwmlf4HXK9FFxCH1kFwA" TargetMode="External"/><Relationship Id="rId3967" Type="http://schemas.openxmlformats.org/officeDocument/2006/relationships/hyperlink" Target="https://www.google.com/url?q=http://codeforces.com/contest/239/problem/C&amp;sa=D&amp;ust=1605639553952000&amp;usg=AFQjCNH9mRk1lY3HZ8INY3jyduLKcghnhw" TargetMode="External"/><Relationship Id="rId4" Type="http://schemas.openxmlformats.org/officeDocument/2006/relationships/hyperlink" Target="https://www.google.com/url?q=https://codeforces.com/contest/1097/problem/E&amp;sa=D&amp;ust=1605639551564000&amp;usg=AFQjCNE0iadbltPAgwOeO4hlKmgQ5RXcTA" TargetMode="External"/><Relationship Id="rId888" Type="http://schemas.openxmlformats.org/officeDocument/2006/relationships/hyperlink" Target="https://www.google.com/url?q=https://github.com/mostafa-saad/MyCompetitiveProgramming/blob/master/Codeforces/CF797-D12-F.txt&amp;sa=D&amp;ust=1605639552064000&amp;usg=AFQjCNHXWznj0PCQRThBUumsugzWwHmLJA" TargetMode="External"/><Relationship Id="rId2569" Type="http://schemas.openxmlformats.org/officeDocument/2006/relationships/hyperlink" Target="https://www.google.com/url?q=http://codeforces.com/contest/1006/problem/E&amp;sa=D&amp;ust=1605639553070000&amp;usg=AFQjCNGVpVEPRsUTfdTRKBNtIkYDfsLL5g" TargetMode="External"/><Relationship Id="rId2776" Type="http://schemas.openxmlformats.org/officeDocument/2006/relationships/hyperlink" Target="https://www.google.com/url?q=http://codeforces.com/contest/602/problem/C&amp;sa=D&amp;ust=1605639553194000&amp;usg=AFQjCNHGVx-LjB9qbqaADSSoDmoFtTvjAA" TargetMode="External"/><Relationship Id="rId2983" Type="http://schemas.openxmlformats.org/officeDocument/2006/relationships/hyperlink" Target="https://www.google.com/url?q=https://atcoder.jp/contests/abc142/tasks/abc142_f&amp;sa=D&amp;ust=1605639553311000&amp;usg=AFQjCNF5HlGaSe6H_3ZADNqoH161Y2juyA" TargetMode="External"/><Relationship Id="rId3827" Type="http://schemas.openxmlformats.org/officeDocument/2006/relationships/hyperlink" Target="https://www.google.com/url?q=http://codeforces.com/problemset/problem/1073/G&amp;sa=D&amp;ust=1605639553882000&amp;usg=AFQjCNHs4hsx8KF46edJrCPpmW-OfxAVdQ" TargetMode="External"/><Relationship Id="rId748" Type="http://schemas.openxmlformats.org/officeDocument/2006/relationships/hyperlink" Target="https://www.google.com/url?q=http://codeforces.com/contest/920/problem/F&amp;sa=D&amp;ust=1605639551987000&amp;usg=AFQjCNHiFq_rf-gACcfPgX42tu2FE6SAtA" TargetMode="External"/><Relationship Id="rId955" Type="http://schemas.openxmlformats.org/officeDocument/2006/relationships/hyperlink" Target="https://www.google.com/url?q=https://github.com/MedoN11/CompetitiveProgramming/blob/master/CodeForces/CF101490-GYM-H.cpp&amp;sa=D&amp;ust=1605639552103000&amp;usg=AFQjCNGpNL7vlWqzm2xpmQQkMJtd5kCK-A" TargetMode="External"/><Relationship Id="rId1378" Type="http://schemas.openxmlformats.org/officeDocument/2006/relationships/hyperlink" Target="https://www.google.com/url?q=https://www.codechef.com/problems/SEAEQ&amp;sa=D&amp;ust=1605639552361000&amp;usg=AFQjCNHeKW7aRhg9fGB-wBXS4xsOmuf33A" TargetMode="External"/><Relationship Id="rId1585" Type="http://schemas.openxmlformats.org/officeDocument/2006/relationships/hyperlink" Target="https://www.google.com/url?q=https://www.codechef.com/problems/XTGR&amp;sa=D&amp;ust=1605639552494000&amp;usg=AFQjCNHiYdDde598ywBWmcc0HAqCX4LI9g" TargetMode="External"/><Relationship Id="rId1792" Type="http://schemas.openxmlformats.org/officeDocument/2006/relationships/hyperlink" Target="https://www.google.com/url?q=https://github.com/AliOsm/CompetitiveProgramming/blob/master/Timus/1051.%2520Simple%2520Game%2520on%2520a%2520Grid.cpp&amp;sa=D&amp;ust=1605639552609000&amp;usg=AFQjCNFuYEq7YlJSvTVvwcshQjsWeHU92Q" TargetMode="External"/><Relationship Id="rId2429" Type="http://schemas.openxmlformats.org/officeDocument/2006/relationships/hyperlink" Target="https://www.google.com/url?q=http://codeforces.com/contest/269/problem/C&amp;sa=D&amp;ust=1605639552983000&amp;usg=AFQjCNFTdORke73ZEcwOyN7iXzP6AZYAUw" TargetMode="External"/><Relationship Id="rId2636" Type="http://schemas.openxmlformats.org/officeDocument/2006/relationships/hyperlink" Target="https://www.google.com/url?q=http://codeforces.com/problemset/problem/938/D&amp;sa=D&amp;ust=1605639553115000&amp;usg=AFQjCNHWcGy4Ad-_R7S0epWm0GuFcBwWYQ" TargetMode="External"/><Relationship Id="rId2843" Type="http://schemas.openxmlformats.org/officeDocument/2006/relationships/hyperlink" Target="https://www.google.com/url?q=https://uva.onlinejudge.org/index.php?option%3Donlinejudge%26page%3Dshow_problem%26problem%3D1271&amp;sa=D&amp;ust=1605639553233000&amp;usg=AFQjCNEBVViJKCwNcxhYlKTShBM1Thpfww" TargetMode="External"/><Relationship Id="rId84" Type="http://schemas.openxmlformats.org/officeDocument/2006/relationships/hyperlink" Target="https://www.google.com/url?q=http://codeforces.com/contest/868/problem/C&amp;sa=D&amp;ust=1605639551602000&amp;usg=AFQjCNGNieaxqV3RDICZBGZctRDR70v4XQ" TargetMode="External"/><Relationship Id="rId608" Type="http://schemas.openxmlformats.org/officeDocument/2006/relationships/hyperlink" Target="https://www.google.com/url?q=http://codeforces.com/contest/498/problem/D&amp;sa=D&amp;ust=1605639551929000&amp;usg=AFQjCNGXxJc-avoiykG_AjEGJtPe7kAacA" TargetMode="External"/><Relationship Id="rId815" Type="http://schemas.openxmlformats.org/officeDocument/2006/relationships/hyperlink" Target="https://www.google.com/url?q=https://github.com/tmwilliamlin168/CompetitiveProgramming/blob/master/CSAcademy/84-F.cpp&amp;sa=D&amp;ust=1605639552022000&amp;usg=AFQjCNG_-DEAnhQ0lJ8ejZSCyY1hIOkuxA" TargetMode="External"/><Relationship Id="rId1238" Type="http://schemas.openxmlformats.org/officeDocument/2006/relationships/hyperlink" Target="https://www.google.com/url?q=http://lightoj.com/volume_showproblem.php?problem%3D1126&amp;sa=D&amp;ust=1605639552274000&amp;usg=AFQjCNEQhjY69M2iQOPEvzIfAgGshpUnxw" TargetMode="External"/><Relationship Id="rId1445" Type="http://schemas.openxmlformats.org/officeDocument/2006/relationships/hyperlink" Target="https://www.google.com/url?q=https://github.com/3agwa/CompetitiveProgramming/blob/master/UVA/UVA%252010169&amp;sa=D&amp;ust=1605639552413000&amp;usg=AFQjCNHO0JhF7Bxdh36y70jWdY0apAKEgA" TargetMode="External"/><Relationship Id="rId1652" Type="http://schemas.openxmlformats.org/officeDocument/2006/relationships/hyperlink" Target="https://www.google.com/url?q=https://github.com/MedoN11/CompetitiveProgramming/blob/master/CodeForces/CF239-D2-D.java&amp;sa=D&amp;ust=1605639552530000&amp;usg=AFQjCNHq6yL8h-I5_waTh9cmdrQBeB9VQg" TargetMode="External"/><Relationship Id="rId1305" Type="http://schemas.openxmlformats.org/officeDocument/2006/relationships/hyperlink" Target="https://www.google.com/url?q=https://www.hackerrank.com/contests/hack-the-interview-u-s-2/challenges/charity&amp;sa=D&amp;ust=1605639552319000&amp;usg=AFQjCNE55HRa4geb_29aDNSpd3IsnA9X5A" TargetMode="External"/><Relationship Id="rId2703" Type="http://schemas.openxmlformats.org/officeDocument/2006/relationships/hyperlink" Target="https://www.google.com/url?q=http://codeforces.com/contest/437/problem/D&amp;sa=D&amp;ust=1605639553149000&amp;usg=AFQjCNHmIJ3pvsdBsDyrk-gRXuMZaTr_ug" TargetMode="External"/><Relationship Id="rId2910" Type="http://schemas.openxmlformats.org/officeDocument/2006/relationships/hyperlink" Target="https://www.google.com/url?q=https://codeforces.com/contest/1107/problem/F&amp;sa=D&amp;ust=1605639553270000&amp;usg=AFQjCNE5qOMQ8fqiy1a_nR_esziWCHwsZA" TargetMode="External"/><Relationship Id="rId1512" Type="http://schemas.openxmlformats.org/officeDocument/2006/relationships/hyperlink" Target="https://www.google.com/url?q=https://uva.onlinejudge.org/index.php?option%3Dcom_onlinejudge%26Itemid%3D8%26page%3Dshow_problem%26problem%3D2853&amp;sa=D&amp;ust=1605639552453000&amp;usg=AFQjCNHkzgDHP0wxSVB72NZMJN0P6EUg2A" TargetMode="External"/><Relationship Id="rId11" Type="http://schemas.openxmlformats.org/officeDocument/2006/relationships/hyperlink" Target="https://www.google.com/url?q=http://codeforces.com/problemset/problem/1063/E&amp;sa=D&amp;ust=1605639551567000&amp;usg=AFQjCNExjjew2IRK3Lbffr2NUfX4BO2tVA" TargetMode="External"/><Relationship Id="rId398" Type="http://schemas.openxmlformats.org/officeDocument/2006/relationships/hyperlink" Target="https://www.google.com/url?q=http://codeforces.com/contest/981/problem/F&amp;sa=D&amp;ust=1605639551841000&amp;usg=AFQjCNG0dFR6ELS_wxRrL1KwHDXQPC2eHg" TargetMode="External"/><Relationship Id="rId2079" Type="http://schemas.openxmlformats.org/officeDocument/2006/relationships/hyperlink" Target="https://www.google.com/url?q=http://codeforces.com/contest/249/problem/A&amp;sa=D&amp;ust=1605639552788000&amp;usg=AFQjCNGTC4i5uR40Yj2O8bcNDWiZ4Q3qOg" TargetMode="External"/><Relationship Id="rId3477" Type="http://schemas.openxmlformats.org/officeDocument/2006/relationships/hyperlink" Target="https://www.google.com/url?q=http://codeforces.com/contest/851/problem/D&amp;sa=D&amp;ust=1605639553602000&amp;usg=AFQjCNFasmzDBX5IIuynIROlJT39ttuO1w" TargetMode="External"/><Relationship Id="rId3684" Type="http://schemas.openxmlformats.org/officeDocument/2006/relationships/hyperlink" Target="https://www.google.com/url?q=https://github.com/mostafa-saad/MyCompetitiveProgramming/blob/master/SPOJ/SPOJ_POWPOW.txt&amp;sa=D&amp;ust=1605639553788000&amp;usg=AFQjCNHiHDr8_dYhNr48WOk2qtuSLAQHtg" TargetMode="External"/><Relationship Id="rId3891" Type="http://schemas.openxmlformats.org/officeDocument/2006/relationships/hyperlink" Target="https://www.google.com/url?q=https://www.codechef.com/problems/CLOSEFAR&amp;sa=D&amp;ust=1605639553915000&amp;usg=AFQjCNGPHLp_sR5noEoDGRYb3eMDrCTgBQ" TargetMode="External"/><Relationship Id="rId2286" Type="http://schemas.openxmlformats.org/officeDocument/2006/relationships/hyperlink" Target="https://www.google.com/url?q=http://codeforces.com/contest/748/problem/F&amp;sa=D&amp;ust=1605639552921000&amp;usg=AFQjCNHBCPAFkKpKn4oBqgJt42m-GWwhuw" TargetMode="External"/><Relationship Id="rId2493" Type="http://schemas.openxmlformats.org/officeDocument/2006/relationships/hyperlink" Target="https://www.google.com/url?q=https://github.com/VAMPIER000001/CompetitiveProgramming/blob/master/UVA/V-104/UVA%252010459.Cpp&amp;sa=D&amp;ust=1605639553028000&amp;usg=AFQjCNEIgjHilWdWZ_0UxcR-K6C3k-yhSA" TargetMode="External"/><Relationship Id="rId3337" Type="http://schemas.openxmlformats.org/officeDocument/2006/relationships/hyperlink" Target="https://www.google.com/url?q=https://codeforces.com/contest/1091/problem/C&amp;sa=D&amp;ust=1605639553511000&amp;usg=AFQjCNHHSvRKKOvHcfRhiEIXj-OdlgM7Lg" TargetMode="External"/><Relationship Id="rId3544" Type="http://schemas.openxmlformats.org/officeDocument/2006/relationships/hyperlink" Target="https://www.google.com/url?q=https://uva.onlinejudge.org/index.php?option%3Dcom_onlinejudge%26Itemid%3D8%26page%3Dshow_problem%26problem%3D407&amp;sa=D&amp;ust=1605639553682000&amp;usg=AFQjCNHPoW5XSPYn3aIXQ8ec1cXA5YdSHw" TargetMode="External"/><Relationship Id="rId3751" Type="http://schemas.openxmlformats.org/officeDocument/2006/relationships/hyperlink" Target="https://www.google.com/url?q=https://codeforces.com/contest/665/problem/E&amp;sa=D&amp;ust=1605639553830000&amp;usg=AFQjCNGIDFL3w7hB90WKLvq2fnNLK_EsQw" TargetMode="External"/><Relationship Id="rId258" Type="http://schemas.openxmlformats.org/officeDocument/2006/relationships/hyperlink" Target="https://www.google.com/url?q=https://github.com/thackerhelik/Codeforces/blob/master/CF161-D12-C.cpp&amp;sa=D&amp;ust=1605639551727000&amp;usg=AFQjCNEzXq3EL-bS6RoHUO3B7LfHlCA7Iw" TargetMode="External"/><Relationship Id="rId465" Type="http://schemas.openxmlformats.org/officeDocument/2006/relationships/hyperlink" Target="https://www.google.com/url?q=http://www.spoj.com/problems/DICTSUB/&amp;sa=D&amp;ust=1605639551871000&amp;usg=AFQjCNHFl0VGZrSLxNrTaWMwdV5Wx-D_ig" TargetMode="External"/><Relationship Id="rId672" Type="http://schemas.openxmlformats.org/officeDocument/2006/relationships/hyperlink" Target="https://www.google.com/url?q=https://github.com/goswami-rahul/competitive-coding/blob/master/CompetitiveProgramming/poj/PKU-2991.cpp&amp;sa=D&amp;ust=1605639551951000&amp;usg=AFQjCNEM5fwAfGikrw53U6Wr9b5yeN8bjw" TargetMode="External"/><Relationship Id="rId1095" Type="http://schemas.openxmlformats.org/officeDocument/2006/relationships/hyperlink" Target="https://www.google.com/url?q=https://codeforces.com/contest/1077/problem/F2&amp;sa=D&amp;ust=1605639552173000&amp;usg=AFQjCNFUItNKRSg72KRVgAkpOA1OHaueDA" TargetMode="External"/><Relationship Id="rId2146" Type="http://schemas.openxmlformats.org/officeDocument/2006/relationships/hyperlink" Target="https://www.google.com/url?q=http://codeforces.com/contest/340/problem/B&amp;sa=D&amp;ust=1605639552835000&amp;usg=AFQjCNEHHPgF68ErQ59id1azK9koghzjeA" TargetMode="External"/><Relationship Id="rId2353" Type="http://schemas.openxmlformats.org/officeDocument/2006/relationships/hyperlink" Target="https://www.google.com/url?q=http://codeforces.com/contest/1041/problem/E&amp;sa=D&amp;ust=1605639552948000&amp;usg=AFQjCNEOwBVhIp_sf7zGlWPR69KsIX7Izg" TargetMode="External"/><Relationship Id="rId2560" Type="http://schemas.openxmlformats.org/officeDocument/2006/relationships/hyperlink" Target="https://www.google.com/url?q=https://uva.onlinejudge.org/index.php?option%3Dcom_onlinejudge%26Itemid%3D8%26page%3Dshow_problem%26problem%3D648&amp;sa=D&amp;ust=1605639553065000&amp;usg=AFQjCNFjd197Qw6j6YnksKe6rTH0gm1H4Q" TargetMode="External"/><Relationship Id="rId3404" Type="http://schemas.openxmlformats.org/officeDocument/2006/relationships/hyperlink" Target="https://www.google.com/url?q=https://github.com/LeTrongDat/CompetitiveProgramming/blob/master/Codeforces/CF691-D2-F.cpp&amp;sa=D&amp;ust=1605639553555000&amp;usg=AFQjCNEb2AYZVx9zjSx83UaoiRblo7viNA" TargetMode="External"/><Relationship Id="rId3611" Type="http://schemas.openxmlformats.org/officeDocument/2006/relationships/hyperlink" Target="https://www.google.com/url?q=http://codeforces.com/contest/513/problem/C&amp;sa=D&amp;ust=1605639553740000&amp;usg=AFQjCNF3p6Lq30ODNeOqqp2KH_LhlcAN7w" TargetMode="External"/><Relationship Id="rId118" Type="http://schemas.openxmlformats.org/officeDocument/2006/relationships/hyperlink" Target="https://www.google.com/url?q=https://agc005.contest.atcoder.jp/tasks/agc005_a&amp;sa=D&amp;ust=1605639551622000&amp;usg=AFQjCNH5kkTYLzaYdI31iZkasuXF_ZV0Lg" TargetMode="External"/><Relationship Id="rId325" Type="http://schemas.openxmlformats.org/officeDocument/2006/relationships/hyperlink" Target="https://www.google.com/url?q=http://www.spoj.com/problems/WEIRDFN/&amp;sa=D&amp;ust=1605639551769000&amp;usg=AFQjCNG809j1dI3LOQzQd3niaYzRqVLr5A" TargetMode="External"/><Relationship Id="rId532" Type="http://schemas.openxmlformats.org/officeDocument/2006/relationships/hyperlink" Target="https://www.google.com/url?q=https://csacademy.com/contest/round-60/task/card-groups/&amp;sa=D&amp;ust=1605639551900000&amp;usg=AFQjCNGlA7RYAwPoqhvJG14MlJFb58lBaQ" TargetMode="External"/><Relationship Id="rId1162" Type="http://schemas.openxmlformats.org/officeDocument/2006/relationships/hyperlink" Target="https://www.google.com/url?q=https://codeforces.com/contest/245/problem/H&amp;sa=D&amp;ust=1605639552219000&amp;usg=AFQjCNHsgQenMfDFEcEhawhY1D80_lhn7g" TargetMode="External"/><Relationship Id="rId2006" Type="http://schemas.openxmlformats.org/officeDocument/2006/relationships/hyperlink" Target="https://www.google.com/url?q=https://github.com/MichaelMounir12/CompetitiveProgramming/blob/master/Contests/SuperVision-Contest-33139/ZOJ_3194.cpp&amp;sa=D&amp;ust=1605639552738000&amp;usg=AFQjCNFhfFBNw8QW7W9S91T-fBM_oYQR4Q" TargetMode="External"/><Relationship Id="rId2213" Type="http://schemas.openxmlformats.org/officeDocument/2006/relationships/hyperlink" Target="https://www.google.com/url?q=https://github.com/mostafa-saad/MyCompetitiveProgramming/blob/master/UVA/UVA_303.txt&amp;sa=D&amp;ust=1605639552879000&amp;usg=AFQjCNGMmjgCqjfouhssaVwYuck859vvlA" TargetMode="External"/><Relationship Id="rId2420" Type="http://schemas.openxmlformats.org/officeDocument/2006/relationships/hyperlink" Target="https://www.google.com/url?q=https://onlinejudge.org/index.php?option%3Donlinejudge%26page%3Dshow_problem%26problem%3D1689&amp;sa=D&amp;ust=1605639552979000&amp;usg=AFQjCNEvagzjtBpWaHHzZkS19jvqHgDWSA" TargetMode="External"/><Relationship Id="rId1022" Type="http://schemas.openxmlformats.org/officeDocument/2006/relationships/hyperlink" Target="https://www.google.com/url?q=http://codeforces.com/contest/505/problem/D&amp;sa=D&amp;ust=1605639552136000&amp;usg=AFQjCNHE88NnTf82OJlxwiMVZd6rCJnqXA" TargetMode="External"/><Relationship Id="rId4178" Type="http://schemas.openxmlformats.org/officeDocument/2006/relationships/hyperlink" Target="https://www.google.com/url?q=https://github.com/3agwa/CompetitiveProgramming/blob/master/CodeForces/CF268-D2-E.cpp&amp;sa=D&amp;ust=1605639554221000&amp;usg=AFQjCNFRNz8OpE9rbqlO3YyANcoxsHTGNw" TargetMode="External"/><Relationship Id="rId4385" Type="http://schemas.openxmlformats.org/officeDocument/2006/relationships/hyperlink" Target="https://www.google.com/url?q=https://www.quora.com/How-do-I-solve-SPOJ-Two-Paths-problem&amp;sa=D&amp;ust=1605639554320000&amp;usg=AFQjCNHhpKTXX26zeSg3cMwpa6gaPEmCDA" TargetMode="External"/><Relationship Id="rId1979" Type="http://schemas.openxmlformats.org/officeDocument/2006/relationships/hyperlink" Target="https://www.google.com/url?q=http://codeforces.com/contest/707/problem/C&amp;sa=D&amp;ust=1605639552721000&amp;usg=AFQjCNEWQI4Te9Q0sEe5tczAkAbpgGGDaA" TargetMode="External"/><Relationship Id="rId3194" Type="http://schemas.openxmlformats.org/officeDocument/2006/relationships/hyperlink" Target="https://www.google.com/url?q=http://codeforces.com/contest/633/problem/A&amp;sa=D&amp;ust=1605639553424000&amp;usg=AFQjCNGDHkQyqUHFZRx1uaMqx9zzsKcIVw" TargetMode="External"/><Relationship Id="rId4038" Type="http://schemas.openxmlformats.org/officeDocument/2006/relationships/hyperlink" Target="https://www.google.com/url?q=https://github.com/MeGaCrazy/CompetitiveProgramming/blob/master/Contests/SuperVision-Contest-33432/5/UVA_10665.cpp&amp;sa=D&amp;ust=1605639554146000&amp;usg=AFQjCNHjpWUSThGxNPgDURxXe2ygSS1ZSA" TargetMode="External"/><Relationship Id="rId4245" Type="http://schemas.openxmlformats.org/officeDocument/2006/relationships/hyperlink" Target="https://www.google.com/url?q=http://codeforces.com/contest/715/problem/C&amp;sa=D&amp;ust=1605639554262000&amp;usg=AFQjCNHiASIkRdWTMRaBT0rroF8MVaN5Nw" TargetMode="External"/><Relationship Id="rId1839" Type="http://schemas.openxmlformats.org/officeDocument/2006/relationships/hyperlink" Target="https://www.google.com/url?q=https://www.codechef.com/problems/CHEFBRO&amp;sa=D&amp;ust=1605639552635000&amp;usg=AFQjCNHKivG2dbGexjizw4hIgqKFo8qtRQ" TargetMode="External"/><Relationship Id="rId3054" Type="http://schemas.openxmlformats.org/officeDocument/2006/relationships/hyperlink" Target="https://www.google.com/url?q=http://codeforces.com/contest/406/problem/D&amp;sa=D&amp;ust=1605639553353000&amp;usg=AFQjCNFUw51rJit98xLXp-pMaEPK_YV64g" TargetMode="External"/><Relationship Id="rId4452" Type="http://schemas.openxmlformats.org/officeDocument/2006/relationships/hyperlink" Target="https://www.google.com/url?q=https://github.com/taow-com-prog/problemsolving/blob/master/general_matching/UOJ%2520171.cpp&amp;sa=D&amp;ust=1605639554351000&amp;usg=AFQjCNFAoeSMcwDQ0Ajy-sNMahEx7t5yHw" TargetMode="External"/><Relationship Id="rId182" Type="http://schemas.openxmlformats.org/officeDocument/2006/relationships/hyperlink" Target="https://www.google.com/url?q=https://github.com/tmwilliamlin168/CompetitiveProgramming/blob/master/CodeForces/0365E.cpp&amp;sa=D&amp;ust=1605639551665000&amp;usg=AFQjCNED3-zXbQx1TjTSGM1iAy1LzZWWOA" TargetMode="External"/><Relationship Id="rId1906" Type="http://schemas.openxmlformats.org/officeDocument/2006/relationships/hyperlink" Target="https://www.google.com/url?q=https://github.com/mostafa-saad/MyCompetitiveProgramming/blob/master/SPOJ/SPOJ_EQBOX.txt&amp;sa=D&amp;ust=1605639552676000&amp;usg=AFQjCNGb-R8KQoVJKzkAltppvg-KRFPpZw" TargetMode="External"/><Relationship Id="rId3261" Type="http://schemas.openxmlformats.org/officeDocument/2006/relationships/hyperlink" Target="https://www.google.com/url?q=https://uva.onlinejudge.org/index.php?option%3Dcom_onlinejudge%26Itemid%3D8%26page%3Dshow_problem%26problem%3D1647&amp;sa=D&amp;ust=1605639553460000&amp;usg=AFQjCNGEsjL_ZzIDA64FQqvuwvQJ6zrCIg" TargetMode="External"/><Relationship Id="rId4105" Type="http://schemas.openxmlformats.org/officeDocument/2006/relationships/hyperlink" Target="https://www.google.com/url?q=https://github.com/arvindr9/CompetitiveProgramming/blob/master/Kattis/Kattis%2520coast.cpp&amp;sa=D&amp;ust=1605639554179000&amp;usg=AFQjCNGuU9bQrHEnM62chDejMSoT1WeCBw" TargetMode="External"/><Relationship Id="rId4312" Type="http://schemas.openxmlformats.org/officeDocument/2006/relationships/hyperlink" Target="https://www.google.com/url?q=https://www.hackerrank.com/contests/world-codesprint-13/challenges/competitive-teams&amp;sa=D&amp;ust=1605639554289000&amp;usg=AFQjCNF_BEH_ZrEVD6479Fy4EZ-GQs0GDw" TargetMode="External"/><Relationship Id="rId2070" Type="http://schemas.openxmlformats.org/officeDocument/2006/relationships/hyperlink" Target="https://www.google.com/url?q=https://uva.onlinejudge.org/index.php?option%3Donlinejudge%26page%3Dshow_problem%26problem%3D1242&amp;sa=D&amp;ust=1605639552783000&amp;usg=AFQjCNGe0nE3nKG7_G6ghG_fDhxJQav35A" TargetMode="External"/><Relationship Id="rId3121" Type="http://schemas.openxmlformats.org/officeDocument/2006/relationships/hyperlink" Target="https://www.google.com/url?q=https://codeforces.com/contest/1101/problem/G&amp;sa=D&amp;ust=1605639553387000&amp;usg=AFQjCNGFxQBCJhBSo588XW7LtxsOk69dfg" TargetMode="External"/><Relationship Id="rId999" Type="http://schemas.openxmlformats.org/officeDocument/2006/relationships/hyperlink" Target="https://www.google.com/url?q=http://codeforces.com/contest/71/problem/E&amp;sa=D&amp;ust=1605639552124000&amp;usg=AFQjCNE0nKIwbGp_MIJfhk2Kclx6x6RslA" TargetMode="External"/><Relationship Id="rId2887" Type="http://schemas.openxmlformats.org/officeDocument/2006/relationships/hyperlink" Target="https://www.google.com/url?q=http://codeforces.com/gym/101047/problem/H&amp;sa=D&amp;ust=1605639553257000&amp;usg=AFQjCNFtGjaLCpbxaPWzvTwqH2M22KJ7Rw" TargetMode="External"/><Relationship Id="rId859" Type="http://schemas.openxmlformats.org/officeDocument/2006/relationships/hyperlink" Target="https://www.google.com/url?q=http://codeforces.com/contest/191/problem/E&amp;sa=D&amp;ust=1605639552043000&amp;usg=AFQjCNF-AzF5A-hzvRVJ-kaJ62HqLdMhBw" TargetMode="External"/><Relationship Id="rId1489" Type="http://schemas.openxmlformats.org/officeDocument/2006/relationships/hyperlink" Target="https://www.google.com/url?q=https://codeforces.com/contest/1245/problem/E&amp;sa=D&amp;ust=1605639552437000&amp;usg=AFQjCNFdjj8KQXviAXRxRAb_OJ3WLRspdQ" TargetMode="External"/><Relationship Id="rId1696" Type="http://schemas.openxmlformats.org/officeDocument/2006/relationships/hyperlink" Target="https://www.google.com/url?q=http://codeforces.com/contest/508/problem/C&amp;sa=D&amp;ust=1605639552557000&amp;usg=AFQjCNFvp0i4YCllxrt1f0Rg-FyjiqImAA" TargetMode="External"/><Relationship Id="rId3938" Type="http://schemas.openxmlformats.org/officeDocument/2006/relationships/hyperlink" Target="https://www.google.com/url?q=http://codeforces.com/contest/719/problem/C&amp;sa=D&amp;ust=1605639553938000&amp;usg=AFQjCNFqfgE_O22SCLQJaMXZ56giiu1Utw" TargetMode="External"/><Relationship Id="rId1349" Type="http://schemas.openxmlformats.org/officeDocument/2006/relationships/hyperlink" Target="https://www.google.com/url?q=https://codeforces.com/problemset/problem/1034/C&amp;sa=D&amp;ust=1605639552346000&amp;usg=AFQjCNGB-yna1RmvtXYuNuW4FrBwFzN6kw" TargetMode="External"/><Relationship Id="rId2747" Type="http://schemas.openxmlformats.org/officeDocument/2006/relationships/hyperlink" Target="https://www.google.com/url?q=http://codeforces.com/contest/508/problem/D&amp;sa=D&amp;ust=1605639553172000&amp;usg=AFQjCNEMfHPRAkMCyPFbJqe-50TRqxqxCw" TargetMode="External"/><Relationship Id="rId2954" Type="http://schemas.openxmlformats.org/officeDocument/2006/relationships/hyperlink" Target="https://www.google.com/url?q=https://codeforces.com/gym/101286/problem/E&amp;sa=D&amp;ust=1605639553292000&amp;usg=AFQjCNFOsgtbuNz-l8Z15B8hPhCnGVz8Og" TargetMode="External"/><Relationship Id="rId719" Type="http://schemas.openxmlformats.org/officeDocument/2006/relationships/hyperlink" Target="https://www.google.com/url?q=http://codeforces.com/gym/101086/problem/C&amp;sa=D&amp;ust=1605639551973000&amp;usg=AFQjCNHegOjNefl4VzrJJgK8MpqhwGsw9w" TargetMode="External"/><Relationship Id="rId926" Type="http://schemas.openxmlformats.org/officeDocument/2006/relationships/hyperlink" Target="https://www.google.com/url?q=https://codeforces.com/contest/913/problem/F&amp;sa=D&amp;ust=1605639552085000&amp;usg=AFQjCNFaZsIUux4uOZl1cPzzNhYX6ONnuA" TargetMode="External"/><Relationship Id="rId1556" Type="http://schemas.openxmlformats.org/officeDocument/2006/relationships/hyperlink" Target="https://www.google.com/url?q=http://codeforces.com/contest/467/problem/E&amp;sa=D&amp;ust=1605639552479000&amp;usg=AFQjCNHq63NtufGNXaBpU7nJ11QN6uEU_w" TargetMode="External"/><Relationship Id="rId1763" Type="http://schemas.openxmlformats.org/officeDocument/2006/relationships/hyperlink" Target="https://www.google.com/url?q=http://codeforces.com/contest/265/problem/C&amp;sa=D&amp;ust=1605639552595000&amp;usg=AFQjCNEE8mUPHh2UW3k_0kR8X-3mAYVxjw" TargetMode="External"/><Relationship Id="rId1970" Type="http://schemas.openxmlformats.org/officeDocument/2006/relationships/hyperlink" Target="https://www.google.com/url?q=https://github.com/mostafa-saad/MyCompetitiveProgramming/blob/master/UVA/UVA_1643.txt&amp;sa=D&amp;ust=1605639552716000&amp;usg=AFQjCNHsTm2Ii7kbtOA_R8-f8ELtYoob-A" TargetMode="External"/><Relationship Id="rId2607" Type="http://schemas.openxmlformats.org/officeDocument/2006/relationships/hyperlink" Target="https://www.google.com/url?q=http://codeforces.com/contest/827/problem/F&amp;sa=D&amp;ust=1605639553097000&amp;usg=AFQjCNGua4A9KQLaGK1pshe1d7EA020ymA" TargetMode="External"/><Relationship Id="rId2814" Type="http://schemas.openxmlformats.org/officeDocument/2006/relationships/hyperlink" Target="https://www.google.com/url?q=https://github.com/goswami-rahul/competitive-coding/blob/master/CompetitiveProgramming/codechef/GNUM.cpp&amp;sa=D&amp;ust=1605639553218000&amp;usg=AFQjCNHLSqbcpXyTnXavQhjdHAqdRnzSXA" TargetMode="External"/><Relationship Id="rId55" Type="http://schemas.openxmlformats.org/officeDocument/2006/relationships/hyperlink" Target="https://www.google.com/url?q=https://github.com/yazanKabbany/CompetitiveProgramming/blob/master/UVA/UVA%25201406.cpp&amp;sa=D&amp;ust=1605639551585000&amp;usg=AFQjCNFiGy9_SFqpurx1u1WZMOd9PqNdXA" TargetMode="External"/><Relationship Id="rId1209" Type="http://schemas.openxmlformats.org/officeDocument/2006/relationships/hyperlink" Target="https://www.google.com/url?q=https://github.com/Maverick10/Competitive-Programming/blob/master/Solutions/UVa/UVa%2520-%25201231.cpp&amp;sa=D&amp;ust=1605639552253000&amp;usg=AFQjCNHNat13M2dPICDMckVUvTVVepqSSg" TargetMode="External"/><Relationship Id="rId1416" Type="http://schemas.openxmlformats.org/officeDocument/2006/relationships/hyperlink" Target="https://www.google.com/url?q=https://uva.onlinejudge.org/index.php?option%3Dcom_onlinejudge%26Itemid%3D8%26page%3Dshow_problem%26problem%3D1519&amp;sa=D&amp;ust=1605639552393000&amp;usg=AFQjCNExWj5BwQBZeaWI7Gg6N7GYeg-w6A" TargetMode="External"/><Relationship Id="rId1623" Type="http://schemas.openxmlformats.org/officeDocument/2006/relationships/hyperlink" Target="https://www.google.com/url?q=http://codeforces.com/contest/922/problem/D&amp;sa=D&amp;ust=1605639552515000&amp;usg=AFQjCNF4QY_OzVFF2kYqTQwDTWY9Nq9ULA" TargetMode="External"/><Relationship Id="rId1830" Type="http://schemas.openxmlformats.org/officeDocument/2006/relationships/hyperlink" Target="https://www.google.com/url?q=https://www.quora.com/what-is-the-intuition-behind-this-spoj-com-problem-hubullu&amp;sa=D&amp;ust=1605639552631000&amp;usg=AFQjCNEnjdSY56JxT-tAXl01grcfvVzmRA" TargetMode="External"/><Relationship Id="rId3588" Type="http://schemas.openxmlformats.org/officeDocument/2006/relationships/hyperlink" Target="https://www.google.com/url?q=https://www.codechef.com/MARCH19A/problems/TREASURE&amp;sa=D&amp;ust=1605639553721000&amp;usg=AFQjCNHXa3elzuHXa03aBEA-QBaBxxecDw" TargetMode="External"/><Relationship Id="rId3795" Type="http://schemas.openxmlformats.org/officeDocument/2006/relationships/hyperlink" Target="https://www.google.com/url?q=http://web.stanford.edu/class/cs97si/suffix-array.pdf&amp;sa=D&amp;ust=1605639553857000&amp;usg=AFQjCNEYLO0lKKILoA1aainDf4iPS-svQw" TargetMode="External"/><Relationship Id="rId2397" Type="http://schemas.openxmlformats.org/officeDocument/2006/relationships/hyperlink" Target="https://www.google.com/url?q=https://github.com/taow-com-prog/problemsolving/blob/master/CodeForces/CF102394-A.cpp&amp;sa=D&amp;ust=1605639552966000&amp;usg=AFQjCNGBoEAQpDXiOyAKG4BLk1RektCpVA" TargetMode="External"/><Relationship Id="rId3448" Type="http://schemas.openxmlformats.org/officeDocument/2006/relationships/hyperlink" Target="https://www.google.com/url?q=https://community.topcoder.com/stat?c%3Dproblem_statement%26pm%3D6742&amp;sa=D&amp;ust=1605639553582000&amp;usg=AFQjCNFESFSp-fsFL_VX1ghSkg1l55F2XA" TargetMode="External"/><Relationship Id="rId3655" Type="http://schemas.openxmlformats.org/officeDocument/2006/relationships/hyperlink" Target="https://www.google.com/url?q=http://codeforces.com/contest/584/problem/D&amp;sa=D&amp;ust=1605639553766000&amp;usg=AFQjCNFGtre_xz0eHbVeb8ziA3rQlh9SCQ" TargetMode="External"/><Relationship Id="rId3862" Type="http://schemas.openxmlformats.org/officeDocument/2006/relationships/hyperlink" Target="https://www.google.com/url?q=http://codeforces.com/contest/1003/problem/F&amp;sa=D&amp;ust=1605639553896000&amp;usg=AFQjCNFuK3XAlP6qsnMKFPBzugoD7Hyxpg" TargetMode="External"/><Relationship Id="rId369" Type="http://schemas.openxmlformats.org/officeDocument/2006/relationships/hyperlink" Target="https://www.google.com/url?q=https://github.com/AhmedElsisy/CompetitiveProgramming/blob/master/UVA/12639.cpp&amp;sa=D&amp;ust=1605639551806000&amp;usg=AFQjCNHEwm6AX9u0ukOliHgrQ2QFjynnrg" TargetMode="External"/><Relationship Id="rId576" Type="http://schemas.openxmlformats.org/officeDocument/2006/relationships/hyperlink" Target="https://www.google.com/url?q=http://codeforces.com/contest/260/problem/E&amp;sa=D&amp;ust=1605639551918000&amp;usg=AFQjCNEtUdwQzA2O2Ff3VG16CO3YsvRjJA" TargetMode="External"/><Relationship Id="rId783" Type="http://schemas.openxmlformats.org/officeDocument/2006/relationships/hyperlink" Target="https://www.google.com/url?q=https://github.com/hosamk92/CompetitiveProgramming/blob/master/UVA/UVA%252011402.cpp&amp;sa=D&amp;ust=1605639552004000&amp;usg=AFQjCNEzGl9xxlfqZ7gmcXrdY_AhQ_IdgA" TargetMode="External"/><Relationship Id="rId990" Type="http://schemas.openxmlformats.org/officeDocument/2006/relationships/hyperlink" Target="https://www.google.com/url?q=https://github.com/farmerboy95/CompetitiveProgramming/blob/master/Codeforces/CF1253-D2-E.cpp&amp;sa=D&amp;ust=1605639552120000&amp;usg=AFQjCNFBPScSHPWgl1GYA2tzNp0DwQ1wGg" TargetMode="External"/><Relationship Id="rId2257" Type="http://schemas.openxmlformats.org/officeDocument/2006/relationships/hyperlink" Target="https://www.google.com/url?q=https://agc001.contest.atcoder.jp/tasks/agc001_f&amp;sa=D&amp;ust=1605639552907000&amp;usg=AFQjCNGieEGgy3RyWUf6V4oqDBYGRop5Ew" TargetMode="External"/><Relationship Id="rId2464" Type="http://schemas.openxmlformats.org/officeDocument/2006/relationships/hyperlink" Target="https://www.google.com/url?q=http://www.spoj.com/problems/CATM/&amp;sa=D&amp;ust=1605639553005000&amp;usg=AFQjCNF_eQDJgPfzb04kw-7IEJg-P_gy8Q" TargetMode="External"/><Relationship Id="rId2671" Type="http://schemas.openxmlformats.org/officeDocument/2006/relationships/hyperlink" Target="https://www.google.com/url?q=https://agc012.contest.atcoder.jp/tasks/agc012_d&amp;sa=D&amp;ust=1605639553134000&amp;usg=AFQjCNFpy-KSNqyJdy795JAdoHvuZ8gnFg" TargetMode="External"/><Relationship Id="rId3308" Type="http://schemas.openxmlformats.org/officeDocument/2006/relationships/hyperlink" Target="https://www.google.com/url?q=http://www.voidcn.com/article/p-qcwodmzg-bha.html&amp;sa=D&amp;ust=1605639553486000&amp;usg=AFQjCNE8c5kO61F6VVynplITM6vJILC2FQ" TargetMode="External"/><Relationship Id="rId3515" Type="http://schemas.openxmlformats.org/officeDocument/2006/relationships/hyperlink" Target="https://www.google.com/url?q=https://www.hackerrank.com/contests/university-codesprint-5/challenges/cube-loving-numbers&amp;sa=D&amp;ust=1605639553634000&amp;usg=AFQjCNEpMCz-XZsh__TmF6vO1CKBb1tn9A" TargetMode="External"/><Relationship Id="rId229" Type="http://schemas.openxmlformats.org/officeDocument/2006/relationships/hyperlink" Target="https://www.google.com/url?q=https://github.com/ilyesG/Competitive-Programming/blob/master/CodeForces/CF63-D2-C.cpp&amp;sa=D&amp;ust=1605639551698000&amp;usg=AFQjCNH1dEBGzRKnAKRhulY9Qi9Es_jHjQ" TargetMode="External"/><Relationship Id="rId436" Type="http://schemas.openxmlformats.org/officeDocument/2006/relationships/hyperlink" Target="https://www.google.com/url?q=https://github.com/mostafa-saad/MyCompetitiveProgramming/blob/master/SPOJ/SPOJ_ABA12E.txt&amp;sa=D&amp;ust=1605639551858000&amp;usg=AFQjCNFAkxgHhN8hrXcZXnATLtGLHi4IiA" TargetMode="External"/><Relationship Id="rId643" Type="http://schemas.openxmlformats.org/officeDocument/2006/relationships/hyperlink" Target="https://www.google.com/url?q=http://codeforces.com/gym/101492/problem/C&amp;sa=D&amp;ust=1605639551941000&amp;usg=AFQjCNFbw5thX4-_XJEXpUy90tZZ5FyTNA" TargetMode="External"/><Relationship Id="rId1066" Type="http://schemas.openxmlformats.org/officeDocument/2006/relationships/hyperlink" Target="https://www.google.com/url?q=https://github.com/goswami-rahul/competitive-coding/blob/master/CompetitiveProgramming/zoj/2349.cpp&amp;sa=D&amp;ust=1605639552159000&amp;usg=AFQjCNENDXlF9WH-Rb1kEhthVsHAEruFEA" TargetMode="External"/><Relationship Id="rId1273" Type="http://schemas.openxmlformats.org/officeDocument/2006/relationships/hyperlink" Target="https://www.google.com/url?q=https://github.com/tmwilliamlin168/CompetitiveProgramming/blob/master/CodeForces/CF813-D12-D.cpp&amp;sa=D&amp;ust=1605639552301000&amp;usg=AFQjCNG-x8G8IOoiywJhkUg_uHmxEDMI4A" TargetMode="External"/><Relationship Id="rId1480" Type="http://schemas.openxmlformats.org/officeDocument/2006/relationships/hyperlink" Target="https://www.google.com/url?q=https://codeforces.com/contest/1278/problem/F&amp;sa=D&amp;ust=1605639552431000&amp;usg=AFQjCNHMRTm-52YEweFGfY7sAnVu_F0iTw" TargetMode="External"/><Relationship Id="rId2117" Type="http://schemas.openxmlformats.org/officeDocument/2006/relationships/hyperlink" Target="https://www.google.com/url?q=https://github.com/yazanKabbany/CompetitiveProgramming/blob/master/ZOJ/1560.cpp&amp;sa=D&amp;ust=1605639552812000&amp;usg=AFQjCNEqiZr9VhgTw94Src3q_7slhau3ww" TargetMode="External"/><Relationship Id="rId2324" Type="http://schemas.openxmlformats.org/officeDocument/2006/relationships/hyperlink" Target="https://www.google.com/url?q=http://codeforces.com/contest/794/problem/D&amp;sa=D&amp;ust=1605639552937000&amp;usg=AFQjCNEmv6EVesMtbuKrljlaNK01ZOl9Kw" TargetMode="External"/><Relationship Id="rId3722" Type="http://schemas.openxmlformats.org/officeDocument/2006/relationships/hyperlink" Target="https://www.google.com/url?q=http://codeforces.com/contest/1009/problem/D&amp;sa=D&amp;ust=1605639553811000&amp;usg=AFQjCNHh-pVIpJ7jD1vUp-zMNo-N8xhcVQ" TargetMode="External"/><Relationship Id="rId850" Type="http://schemas.openxmlformats.org/officeDocument/2006/relationships/hyperlink" Target="https://www.google.com/url?q=https://morris821028.github.io/2014/06/12/oj/uva/uva-11031/&amp;sa=D&amp;ust=1605639552040000&amp;usg=AFQjCNHEAQftRsYsJlR9sxbsmp4VIN6glA" TargetMode="External"/><Relationship Id="rId1133" Type="http://schemas.openxmlformats.org/officeDocument/2006/relationships/hyperlink" Target="https://www.google.com/url?q=http://codeforces.com/contest/366/problem/C&amp;sa=D&amp;ust=1605639552198000&amp;usg=AFQjCNGugVFwgyzpmylpBwj9GtSEFH0SYA" TargetMode="External"/><Relationship Id="rId2531" Type="http://schemas.openxmlformats.org/officeDocument/2006/relationships/hyperlink" Target="https://www.google.com/url?q=http://codeforces.com/contest/659/problem/F&amp;sa=D&amp;ust=1605639553049000&amp;usg=AFQjCNGgyt61gV6cVA1ikYOB81DKkNrzVQ" TargetMode="External"/><Relationship Id="rId4289" Type="http://schemas.openxmlformats.org/officeDocument/2006/relationships/hyperlink" Target="https://www.google.com/url?q=http://codeforces.com/contest/246/problem/E&amp;sa=D&amp;ust=1605639554280000&amp;usg=AFQjCNE7iCbXm_SJUv_AgGkHDPXKsg7ktQ" TargetMode="External"/><Relationship Id="rId503" Type="http://schemas.openxmlformats.org/officeDocument/2006/relationships/hyperlink" Target="https://www.google.com/url?q=https://ideone.com/YtttCj&amp;sa=D&amp;ust=1605639551888000&amp;usg=AFQjCNEq0Vp_k0WadMg9-MJkKVQrnsYx9g" TargetMode="External"/><Relationship Id="rId710" Type="http://schemas.openxmlformats.org/officeDocument/2006/relationships/hyperlink" Target="https://www.google.com/url?q=https://www.codechef.com/problems/BESTSUM&amp;sa=D&amp;ust=1605639551969000&amp;usg=AFQjCNGV82GoTubPEnJgdG0BMaZ0Q2b28g" TargetMode="External"/><Relationship Id="rId1340" Type="http://schemas.openxmlformats.org/officeDocument/2006/relationships/hyperlink" Target="https://www.google.com/url?q=http://www.spoj.com/problems/ASSIGN/&amp;sa=D&amp;ust=1605639552341000&amp;usg=AFQjCNFXLO8Z4X1tG4QH4OA7ADSk5lcFrg" TargetMode="External"/><Relationship Id="rId3098" Type="http://schemas.openxmlformats.org/officeDocument/2006/relationships/hyperlink" Target="https://www.google.com/url?q=https://github.com/mostafa-saad/MyCompetitiveProgramming/blob/master/UVA/UVA_870.txt&amp;sa=D&amp;ust=1605639553374000&amp;usg=AFQjCNGXhRvYW6sQAhR_WJCgNmenEFdx_A" TargetMode="External"/><Relationship Id="rId1200" Type="http://schemas.openxmlformats.org/officeDocument/2006/relationships/hyperlink" Target="https://www.google.com/url?q=http://codeforces.com/contest/463/problem/D&amp;sa=D&amp;ust=1605639552244000&amp;usg=AFQjCNEYuf3i6OVJ_6iei6eMl3vmoSlOXg" TargetMode="External"/><Relationship Id="rId4149" Type="http://schemas.openxmlformats.org/officeDocument/2006/relationships/hyperlink" Target="https://www.google.com/url?q=https://codeforces.com/contest/808/problem/F&amp;sa=D&amp;ust=1605639554206000&amp;usg=AFQjCNFmXL6U7eHrpqvb_uGv4v_IUWNZ9A" TargetMode="External"/><Relationship Id="rId4356" Type="http://schemas.openxmlformats.org/officeDocument/2006/relationships/hyperlink" Target="https://www.google.com/url?q=https://github.com/fiv2001/CompetitiveProgramming/blob/master/Codeforces/CF1208-D12-F.cpp&amp;sa=D&amp;ust=1605639554307000&amp;usg=AFQjCNH5PEXQ4CWMVbGL1hr10ymej6JVdg" TargetMode="External"/><Relationship Id="rId3165" Type="http://schemas.openxmlformats.org/officeDocument/2006/relationships/hyperlink" Target="https://www.google.com/url?q=https://brilliant.org/wiki/arithmetic-mean-geometric-mean/&amp;sa=D&amp;ust=1605639553412000&amp;usg=AFQjCNEe3uOPehxaig8DiJMiiYlla0ghCQ" TargetMode="External"/><Relationship Id="rId3372" Type="http://schemas.openxmlformats.org/officeDocument/2006/relationships/hyperlink" Target="https://www.google.com/url?q=https://github.com/TheRealImaginary/CompetitiveProgramming/blob/master/UVA/UVA_655_Scrabble.java&amp;sa=D&amp;ust=1605639553534000&amp;usg=AFQjCNGxo6sRofyKGmOt-CE8iRkEJdUUuA" TargetMode="External"/><Relationship Id="rId4009" Type="http://schemas.openxmlformats.org/officeDocument/2006/relationships/hyperlink" Target="https://www.google.com/url?q=https://github.com/MohamedNabil97/CompetitiveProgramming/blob/master/CodeForces/CF368-D2-D.cpp&amp;sa=D&amp;ust=1605639554131000&amp;usg=AFQjCNGs5NkPgrfU7z4PPMN1swjtR9jV1g" TargetMode="External"/><Relationship Id="rId4216" Type="http://schemas.openxmlformats.org/officeDocument/2006/relationships/hyperlink" Target="https://www.google.com/url?q=https://codeforces.com/contest/828/problem/F&amp;sa=D&amp;ust=1605639554249000&amp;usg=AFQjCNGRigft9kwaxhcPnGT3hNJ52dfELQ" TargetMode="External"/><Relationship Id="rId4423" Type="http://schemas.openxmlformats.org/officeDocument/2006/relationships/hyperlink" Target="https://www.google.com/url?q=https://codeforces.com/contest/1087/problem/E&amp;sa=D&amp;ust=1605639554339000&amp;usg=AFQjCNFE35yYDD72hqSnjqyyaGEES-EfRQ" TargetMode="External"/><Relationship Id="rId293" Type="http://schemas.openxmlformats.org/officeDocument/2006/relationships/hyperlink" Target="https://www.google.com/url?q=https://github.com/mostafa-saad/MyCompetitiveProgramming/blob/master/UVA/UVA_11997.txt&amp;sa=D&amp;ust=1605639551753000&amp;usg=AFQjCNGgEWNsq7gyowUVlrlni22PkNkagA" TargetMode="External"/><Relationship Id="rId2181" Type="http://schemas.openxmlformats.org/officeDocument/2006/relationships/hyperlink" Target="https://www.google.com/url?q=https://codeforces.com/contest/1143/problem/F&amp;sa=D&amp;ust=1605639552858000&amp;usg=AFQjCNFTTk180gmAK_NhaJ9fGzokkcgnPQ" TargetMode="External"/><Relationship Id="rId3025" Type="http://schemas.openxmlformats.org/officeDocument/2006/relationships/hyperlink" Target="https://www.google.com/url?q=http://codeforces.com/contest/228/problem/E&amp;sa=D&amp;ust=1605639553334000&amp;usg=AFQjCNFSc0aQvq-4KCbC9oky9YTG4NKU0w" TargetMode="External"/><Relationship Id="rId3232" Type="http://schemas.openxmlformats.org/officeDocument/2006/relationships/hyperlink" Target="https://www.google.com/url?q=https://github.com/ryuzmukhametov/CompetitiveProgramming/blob/master/uva/UVA%252010442.cpp&amp;sa=D&amp;ust=1605639553442000&amp;usg=AFQjCNFFo5RhoHwRjMsvQT5qmLHEDpGLtg" TargetMode="External"/><Relationship Id="rId153" Type="http://schemas.openxmlformats.org/officeDocument/2006/relationships/hyperlink" Target="https://www.google.com/url?q=http://codeforces.com/contest/21/problem/C&amp;sa=D&amp;ust=1605639551643000&amp;usg=AFQjCNE1xMhkbML2JtURANnxf7fqNgATzw" TargetMode="External"/><Relationship Id="rId360" Type="http://schemas.openxmlformats.org/officeDocument/2006/relationships/hyperlink" Target="https://www.google.com/url?q=https://github.com/ryuzmukhametov/CompetitiveProgramming/blob/master/Topcoder/SRM449-D2-1000.cpp&amp;sa=D&amp;ust=1605639551797000&amp;usg=AFQjCNEFaLy5Ty-hfsuO8VRuUOhB11SfnQ" TargetMode="External"/><Relationship Id="rId2041" Type="http://schemas.openxmlformats.org/officeDocument/2006/relationships/hyperlink" Target="https://www.google.com/url?q=https://github.com/mostafa-saad/MyCompetitiveProgramming/blob/master/ZOJ/ZOJ_2318.txt&amp;sa=D&amp;ust=1605639552764000&amp;usg=AFQjCNEEU_KLLbmcAI5uciEaN4_31cZWrg" TargetMode="External"/><Relationship Id="rId220" Type="http://schemas.openxmlformats.org/officeDocument/2006/relationships/hyperlink" Target="https://www.google.com/url?q=http://codeforces.com/contest/332/problem/E&amp;sa=D&amp;ust=1605639551689000&amp;usg=AFQjCNEwrrLMsV7ZPzCxpp52rWd8339yjg" TargetMode="External"/><Relationship Id="rId2998" Type="http://schemas.openxmlformats.org/officeDocument/2006/relationships/hyperlink" Target="https://www.google.com/url?q=https://github.com/morris821028/UVa/blob/master/volume002/247%2520-%2520Calling%2520Circles.cpp&amp;sa=D&amp;ust=1605639553319000&amp;usg=AFQjCNE4jzeuw69s4FzgIzUGvpvS1YZq3A" TargetMode="External"/><Relationship Id="rId2858" Type="http://schemas.openxmlformats.org/officeDocument/2006/relationships/hyperlink" Target="https://www.google.com/url?q=https://www.codechef.com/problems/KPERFMAT&amp;sa=D&amp;ust=1605639553241000&amp;usg=AFQjCNGCUtDUVs7QxQkZQsfluNsocamxyA" TargetMode="External"/><Relationship Id="rId3909" Type="http://schemas.openxmlformats.org/officeDocument/2006/relationships/hyperlink" Target="https://www.google.com/url?q=https://github.com/mostafa-saad/MyCompetitiveProgramming/blob/master/SPOJ/SPOJ_RACETIME.txt&amp;sa=D&amp;ust=1605639553923000&amp;usg=AFQjCNGQZi5WlCbvWbgjp3sROxbFjwpOfw" TargetMode="External"/><Relationship Id="rId4073" Type="http://schemas.openxmlformats.org/officeDocument/2006/relationships/hyperlink" Target="https://www.google.com/url?q=https://github.com/mostafa-saad/MyCompetitiveProgramming/blob/master/UVA/UVA_11361.txt&amp;sa=D&amp;ust=1605639554160000&amp;usg=AFQjCNG8V5fTdYD5EBmwemJa5kU2mD9r_w" TargetMode="External"/><Relationship Id="rId99" Type="http://schemas.openxmlformats.org/officeDocument/2006/relationships/hyperlink" Target="https://www.google.com/url?q=http://codeforces.com/contest/63/problem/D&amp;sa=D&amp;ust=1605639551611000&amp;usg=AFQjCNFpXaQZBHIdcmi-2pbQ9aNef-scfg" TargetMode="External"/><Relationship Id="rId1667" Type="http://schemas.openxmlformats.org/officeDocument/2006/relationships/hyperlink" Target="https://www.google.com/url?q=https://csacademy.com/contest/round-34/task/minimize-max-diff/&amp;sa=D&amp;ust=1605639552539000&amp;usg=AFQjCNHFG_x9HV8XDY0mgdvsLANldc8-TQ" TargetMode="External"/><Relationship Id="rId1874" Type="http://schemas.openxmlformats.org/officeDocument/2006/relationships/hyperlink" Target="https://www.google.com/url?q=https://www.codechef.com/problems/PSHTBRTH&amp;sa=D&amp;ust=1605639552650000&amp;usg=AFQjCNGPi0L_sUk4qI5LZ6BHayv1gUKsow" TargetMode="External"/><Relationship Id="rId2718" Type="http://schemas.openxmlformats.org/officeDocument/2006/relationships/hyperlink" Target="https://www.google.com/url?q=https://uva.onlinejudge.org/index.php?option%3Donlinejudge%26page%3Dshow_problem%26problem%3D1119&amp;sa=D&amp;ust=1605639553155000&amp;usg=AFQjCNEh_OBK92j5e65e87kbHVJpHo5W-g" TargetMode="External"/><Relationship Id="rId2925" Type="http://schemas.openxmlformats.org/officeDocument/2006/relationships/hyperlink" Target="https://www.google.com/url?q=https://github.com/tmwilliamlin168/CompetitiveProgramming/blob/master/CSAcademy/82-E.java&amp;sa=D&amp;ust=1605639553280000&amp;usg=AFQjCNFq_G4BzjMPN0j1zVsO1cStqt2LQQ" TargetMode="External"/><Relationship Id="rId4280" Type="http://schemas.openxmlformats.org/officeDocument/2006/relationships/hyperlink" Target="https://www.google.com/url?q=https://codeforces.com/contest/319/submission/52469803&amp;sa=D&amp;ust=1605639554277000&amp;usg=AFQjCNG_yBcuuh9AA64byhiGD3GxYzJlKQ" TargetMode="External"/><Relationship Id="rId1527" Type="http://schemas.openxmlformats.org/officeDocument/2006/relationships/hyperlink" Target="https://www.google.com/url?q=http://codeforces.com/contest/713/problem/C&amp;sa=D&amp;ust=1605639552462000&amp;usg=AFQjCNGNFGYn1Hluz0z4lsIAl0qPw7ONDA" TargetMode="External"/><Relationship Id="rId1734" Type="http://schemas.openxmlformats.org/officeDocument/2006/relationships/hyperlink" Target="https://www.google.com/url?q=https://codeforces.com/contest/1180/problem/D&amp;sa=D&amp;ust=1605639552577000&amp;usg=AFQjCNGn2am6KivA0ShykRCSClEdzUD_Rg" TargetMode="External"/><Relationship Id="rId1941" Type="http://schemas.openxmlformats.org/officeDocument/2006/relationships/hyperlink" Target="https://www.google.com/url?q=https://codeforces.com/contest/1064/problem/E&amp;sa=D&amp;ust=1605639552704000&amp;usg=AFQjCNEKC5sT3vEfOUaTw6UTsbA1hmoQFQ" TargetMode="External"/><Relationship Id="rId4140" Type="http://schemas.openxmlformats.org/officeDocument/2006/relationships/hyperlink" Target="https://www.google.com/url?q=https://github.com/BRAINOOO/CompetitiveProgramming/blob/1519e5f21442182e46b6cdec30b7f4a90fc74063/Spoj/SPOJ%2520DEPEND.Cpp&amp;sa=D&amp;ust=1605639554201000&amp;usg=AFQjCNH4tzd66iHBsB0jxP1L2Es_UAJJbg" TargetMode="External"/><Relationship Id="rId26" Type="http://schemas.openxmlformats.org/officeDocument/2006/relationships/hyperlink" Target="https://www.google.com/url?q=https://www.hackerrank.com/challenges/meeting-point&amp;sa=D&amp;ust=1605639551573000&amp;usg=AFQjCNGNcu2BeZZT4ofZYpWf_aII2a4CVQ" TargetMode="External"/><Relationship Id="rId3699" Type="http://schemas.openxmlformats.org/officeDocument/2006/relationships/hyperlink" Target="https://www.google.com/url?q=http://codeforces.com/contest/689/problem/E&amp;sa=D&amp;ust=1605639553796000&amp;usg=AFQjCNHpsbN3bOqzh4CFzZz_5FQT2mrNJw" TargetMode="External"/><Relationship Id="rId4000" Type="http://schemas.openxmlformats.org/officeDocument/2006/relationships/hyperlink" Target="https://www.google.com/url?q=https://ideone.com/SZdJ79&amp;sa=D&amp;ust=1605639554126000&amp;usg=AFQjCNEsOeJqTz2Anekh_Hi5Z-gZ6QsNrw" TargetMode="External"/><Relationship Id="rId1801" Type="http://schemas.openxmlformats.org/officeDocument/2006/relationships/hyperlink" Target="https://www.google.com/url?q=https://onlinejudge.org/index.php?option%3Donlinejudge%26page%3Dshow_problem%26problem%3D4796&amp;sa=D&amp;ust=1605639552613000&amp;usg=AFQjCNHw2Ab3boVN_pF8k5FAIOiQYwqwNA" TargetMode="External"/><Relationship Id="rId3559" Type="http://schemas.openxmlformats.org/officeDocument/2006/relationships/hyperlink" Target="https://www.google.com/url?q=http://ideone.com/OcvCo2&amp;sa=D&amp;ust=1605639553694000&amp;usg=AFQjCNHeN9tr_eKlLO-ktK5NpE4wNTaWEQ" TargetMode="External"/><Relationship Id="rId687" Type="http://schemas.openxmlformats.org/officeDocument/2006/relationships/hyperlink" Target="https://www.google.com/url?q=https://vjudge.net/contest/309391?fbclid%3DIwAR03s2ptSalIu-W-SphQRe9TKA9c5iD8CEHbuacq6BwfAygDc_nn2_SdtiE%23problem/D&amp;sa=D&amp;ust=1605639551958000&amp;usg=AFQjCNFZmgz3oX_XYSvqzRa5-EbogHjFFw" TargetMode="External"/><Relationship Id="rId2368" Type="http://schemas.openxmlformats.org/officeDocument/2006/relationships/hyperlink" Target="https://www.google.com/url?q=https://codeforces.com/contest/1060/problem/D&amp;sa=D&amp;ust=1605639552954000&amp;usg=AFQjCNF4WXz2yOBJG-vnwLFgap2ZHEsSkw" TargetMode="External"/><Relationship Id="rId3766" Type="http://schemas.openxmlformats.org/officeDocument/2006/relationships/hyperlink" Target="https://www.google.com/url?q=http://codeforces.com/contest/37/problem/C&amp;sa=D&amp;ust=1605639553840000&amp;usg=AFQjCNHdHoLveZ58wJU5-HrEl6g8WuaMlg" TargetMode="External"/><Relationship Id="rId3973" Type="http://schemas.openxmlformats.org/officeDocument/2006/relationships/hyperlink" Target="https://www.google.com/url?q=http://codeforces.com/contest/66/problem/A&amp;sa=D&amp;ust=1605639553956000&amp;usg=AFQjCNEiQ2lfxnKcXFfw9pkK_GM-EjAsjg" TargetMode="External"/><Relationship Id="rId894" Type="http://schemas.openxmlformats.org/officeDocument/2006/relationships/hyperlink" Target="https://www.google.com/url?q=http://www.voidcn.com/article/p-ryedcrjb-bko.html&amp;sa=D&amp;ust=1605639552067000&amp;usg=AFQjCNFvhepVgB_Tef3cFSBfR7pEoq_3aw" TargetMode="External"/><Relationship Id="rId1177" Type="http://schemas.openxmlformats.org/officeDocument/2006/relationships/hyperlink" Target="https://www.google.com/url?q=https://uva.onlinejudge.org/index.php?option%3Donlinejudge%26page%3Dshow_problem%26problem%3D548&amp;sa=D&amp;ust=1605639552227000&amp;usg=AFQjCNF49rnGADHrmUx-LuLNi63d_i3G_w" TargetMode="External"/><Relationship Id="rId2575" Type="http://schemas.openxmlformats.org/officeDocument/2006/relationships/hyperlink" Target="https://www.google.com/url?q=http://codeforces.com/contest/861/problem/F&amp;sa=D&amp;ust=1605639553073000&amp;usg=AFQjCNGdj0WnhGA-orBXee8mLD8AGngLZA" TargetMode="External"/><Relationship Id="rId2782" Type="http://schemas.openxmlformats.org/officeDocument/2006/relationships/hyperlink" Target="https://www.google.com/url?q=https://www.facebook.com/hackercup/problem/862237970786911/&amp;sa=D&amp;ust=1605639553196000&amp;usg=AFQjCNFTCHKiX_FEDNmLyJ2SF9YJFWRjBg" TargetMode="External"/><Relationship Id="rId3419" Type="http://schemas.openxmlformats.org/officeDocument/2006/relationships/hyperlink" Target="https://www.google.com/url?q=http://codeforces.com/contest/294/problem/C&amp;sa=D&amp;ust=1605639553564000&amp;usg=AFQjCNGD-7IlTaf425nvKLh8ttBH8NUEBw" TargetMode="External"/><Relationship Id="rId3626" Type="http://schemas.openxmlformats.org/officeDocument/2006/relationships/hyperlink" Target="https://www.google.com/url?q=https://github.com/AhmedElsisy/CompetitiveProgramming/blob/master/UVA/UVA%25201239.cpp&amp;sa=D&amp;ust=1605639553747000&amp;usg=AFQjCNHhRlSdaCE6Jx5qFJ9o11f5GAuZWw" TargetMode="External"/><Relationship Id="rId3833" Type="http://schemas.openxmlformats.org/officeDocument/2006/relationships/hyperlink" Target="https://www.google.com/url?q=https://blog.csdn.net/ccsu_cat/article/details/80573161&amp;sa=D&amp;ust=1605639553886000&amp;usg=AFQjCNGBg9lVNFFJzJIVfHJko-ysfUKAaw" TargetMode="External"/><Relationship Id="rId547" Type="http://schemas.openxmlformats.org/officeDocument/2006/relationships/hyperlink" Target="https://www.google.com/url?q=http://codeforces.com/contest/515/problem/E&amp;sa=D&amp;ust=1605639551907000&amp;usg=AFQjCNFa8CSNi9ZsPTmAMTbjzK_dcnnvBg" TargetMode="External"/><Relationship Id="rId754" Type="http://schemas.openxmlformats.org/officeDocument/2006/relationships/hyperlink" Target="https://www.google.com/url?q=http://codeforces.com/contest/474/problem/E&amp;sa=D&amp;ust=1605639551990000&amp;usg=AFQjCNH3tsPfCDUntHXbL1PNO8nLqmKMQg" TargetMode="External"/><Relationship Id="rId961" Type="http://schemas.openxmlformats.org/officeDocument/2006/relationships/hyperlink" Target="https://www.google.com/url?q=http://agc019.contest.atcoder.jp/tasks/agc019_d&amp;sa=D&amp;ust=1605639552107000&amp;usg=AFQjCNFKYfgszcpD2o2tyglZTZD-eADVmw" TargetMode="External"/><Relationship Id="rId1384" Type="http://schemas.openxmlformats.org/officeDocument/2006/relationships/hyperlink" Target="https://www.google.com/url?q=https://ideone.com/N44vRX&amp;sa=D&amp;ust=1605639552366000&amp;usg=AFQjCNFBvDkK1cj6KbAWKF9YcoNV5NPbHg" TargetMode="External"/><Relationship Id="rId1591" Type="http://schemas.openxmlformats.org/officeDocument/2006/relationships/hyperlink" Target="https://www.google.com/url?q=http://codeforces.com/contest/981/problem/D&amp;sa=D&amp;ust=1605639552497000&amp;usg=AFQjCNFlKtD1rh9s1ckB85sBw8HI95lH2g" TargetMode="External"/><Relationship Id="rId2228" Type="http://schemas.openxmlformats.org/officeDocument/2006/relationships/hyperlink" Target="https://www.google.com/url?q=http://codeforces.com/gym/101147/problem/I&amp;sa=D&amp;ust=1605639552885000&amp;usg=AFQjCNFW9uqoOdSo54c9XcBs2F2w_9J-cQ" TargetMode="External"/><Relationship Id="rId2435" Type="http://schemas.openxmlformats.org/officeDocument/2006/relationships/hyperlink" Target="https://www.google.com/url?q=http://codeforces.com/contest/59/problem/E&amp;sa=D&amp;ust=1605639552987000&amp;usg=AFQjCNENBK8w-Od44njRcaKL0fOLXlSCfw" TargetMode="External"/><Relationship Id="rId2642" Type="http://schemas.openxmlformats.org/officeDocument/2006/relationships/hyperlink" Target="https://www.google.com/url?q=https://github.com/mostafa-saad/MyCompetitiveProgramming/blob/master/SPOJ/SPOJ_ROADS.txt&amp;sa=D&amp;ust=1605639553117000&amp;usg=AFQjCNEvz-V0AryHJllsO5JmQzoeZ2Mwuw" TargetMode="External"/><Relationship Id="rId3900" Type="http://schemas.openxmlformats.org/officeDocument/2006/relationships/hyperlink" Target="https://www.google.com/url?q=http://www.spoj.com/problems/ZQUERY/&amp;sa=D&amp;ust=1605639553918000&amp;usg=AFQjCNGTR_uDBcrapNuRof8BFzJ3krTaeA" TargetMode="External"/><Relationship Id="rId90" Type="http://schemas.openxmlformats.org/officeDocument/2006/relationships/hyperlink" Target="https://www.google.com/url?q=https://codeforces.com/contest/1204/problem/D2&amp;sa=D&amp;ust=1605639551605000&amp;usg=AFQjCNGQAbdz2zv5dXr6Eetkd-WdxZjnVA" TargetMode="External"/><Relationship Id="rId407" Type="http://schemas.openxmlformats.org/officeDocument/2006/relationships/hyperlink" Target="https://www.google.com/url?q=https://github.com/tmwilliamlin168/CompetitiveProgramming/blob/master/CodeForces/CF0993-D1-D.cpp&amp;sa=D&amp;ust=1605639551845000&amp;usg=AFQjCNGJvPXAxZItIkPqMf_7AYY6-EGkuA" TargetMode="External"/><Relationship Id="rId614" Type="http://schemas.openxmlformats.org/officeDocument/2006/relationships/hyperlink" Target="https://www.google.com/url?q=http://codeforces.com/contest/633/problem/G&amp;sa=D&amp;ust=1605639551930000&amp;usg=AFQjCNERl61J2sAfNM30r5ggRNK8_-xYsQ" TargetMode="External"/><Relationship Id="rId821" Type="http://schemas.openxmlformats.org/officeDocument/2006/relationships/hyperlink" Target="https://www.google.com/url?q=http://codeforces.com/contest/504/problem/B&amp;sa=D&amp;ust=1605639552026000&amp;usg=AFQjCNGBWr3sTLLeg_SKvIjWsOOMz9HLkw" TargetMode="External"/><Relationship Id="rId1037" Type="http://schemas.openxmlformats.org/officeDocument/2006/relationships/hyperlink" Target="https://www.google.com/url?q=http://codeforces.com/contest/611/problem/D&amp;sa=D&amp;ust=1605639552143000&amp;usg=AFQjCNFEH7WEj6nvrGoFMhRDrCDbCgcsyw" TargetMode="External"/><Relationship Id="rId1244" Type="http://schemas.openxmlformats.org/officeDocument/2006/relationships/hyperlink" Target="https://www.google.com/url?q=https://github.com/mostafa-saad/MyCompetitiveProgramming/blob/master/SPOJ/SPOJ_FISHES.txt&amp;sa=D&amp;ust=1605639552280000&amp;usg=AFQjCNEz7sLmFSFBo6RtJl2EUJ2ce46iMw" TargetMode="External"/><Relationship Id="rId1451" Type="http://schemas.openxmlformats.org/officeDocument/2006/relationships/hyperlink" Target="https://www.google.com/url?q=https://github.com/mostafa-saad/MyCompetitiveProgramming/blob/master/UVA/UVA_10218.txt&amp;sa=D&amp;ust=1605639552416000&amp;usg=AFQjCNFJTo-5M8iuW0VuVQezEpMRivcVdA" TargetMode="External"/><Relationship Id="rId2502" Type="http://schemas.openxmlformats.org/officeDocument/2006/relationships/hyperlink" Target="https://www.google.com/url?q=https://codeforces.com/contest/858/problem/F&amp;sa=D&amp;ust=1605639553034000&amp;usg=AFQjCNEDyuNyWZ_c6DnGdQbRn_GAT2_9gg" TargetMode="External"/><Relationship Id="rId1104" Type="http://schemas.openxmlformats.org/officeDocument/2006/relationships/hyperlink" Target="https://www.google.com/url?q=http://codeforces.com/contest/404/problem/D&amp;sa=D&amp;ust=1605639552183000&amp;usg=AFQjCNFYgqQVpHTIRrMmZcw8DGZF-mE_sg" TargetMode="External"/><Relationship Id="rId1311" Type="http://schemas.openxmlformats.org/officeDocument/2006/relationships/hyperlink" Target="https://www.google.com/url?q=http://codeforces.com/problemset/problem/453/B&amp;sa=D&amp;ust=1605639552321000&amp;usg=AFQjCNGzy7Sd_U5KMK1uHXLG0B2OpKVe9w" TargetMode="External"/><Relationship Id="rId3069" Type="http://schemas.openxmlformats.org/officeDocument/2006/relationships/hyperlink" Target="https://www.google.com/url?q=https://codeforces.com/contest/838/submission/46930329&amp;sa=D&amp;ust=1605639553358000&amp;usg=AFQjCNFG_VTcuoNeHWmMnV84iYlwSLUvNQ" TargetMode="External"/><Relationship Id="rId3276" Type="http://schemas.openxmlformats.org/officeDocument/2006/relationships/hyperlink" Target="https://www.google.com/url?q=http://codeforces.com/contest/304/problem/C&amp;sa=D&amp;ust=1605639553466000&amp;usg=AFQjCNEG0R5PLwEssAmAc7g-lcGSrBgaPg" TargetMode="External"/><Relationship Id="rId3483" Type="http://schemas.openxmlformats.org/officeDocument/2006/relationships/hyperlink" Target="https://www.google.com/url?q=http://codeforces.com/contest/1047/problem/C&amp;sa=D&amp;ust=1605639553606000&amp;usg=AFQjCNGvATkqNvGtW1tliN5ldDYGs-23aw" TargetMode="External"/><Relationship Id="rId3690" Type="http://schemas.openxmlformats.org/officeDocument/2006/relationships/hyperlink" Target="https://www.google.com/url?q=http://codeforces.com/gym/100155/problem/J&amp;sa=D&amp;ust=1605639553793000&amp;usg=AFQjCNEbA8snAP8Egm3C1BOAVYzRpHVSfg" TargetMode="External"/><Relationship Id="rId4327" Type="http://schemas.openxmlformats.org/officeDocument/2006/relationships/hyperlink" Target="https://www.google.com/url?q=http://codeforces.com/contest/626/problem/F&amp;sa=D&amp;ust=1605639554295000&amp;usg=AFQjCNHCQgSx_fyb9yIX_XYAHrtC7HqKNQ" TargetMode="External"/><Relationship Id="rId197" Type="http://schemas.openxmlformats.org/officeDocument/2006/relationships/hyperlink" Target="https://www.google.com/url?q=http://codeforces.com/contest/68/problem/C&amp;sa=D&amp;ust=1605639551678000&amp;usg=AFQjCNF0BNKRm590rpMt6z6v1clm_slG4g" TargetMode="External"/><Relationship Id="rId2085" Type="http://schemas.openxmlformats.org/officeDocument/2006/relationships/hyperlink" Target="https://www.google.com/url?q=https://ideone.com/TTCl3U&amp;sa=D&amp;ust=1605639552796000&amp;usg=AFQjCNFNFJqJbtoPcK0pJXNTjmc99WEGEg" TargetMode="External"/><Relationship Id="rId2292" Type="http://schemas.openxmlformats.org/officeDocument/2006/relationships/hyperlink" Target="https://www.google.com/url?q=https://codeforces.com/contest/1209/problem/F&amp;sa=D&amp;ust=1605639552925000&amp;usg=AFQjCNHMKrvU-RGPkhjt_dxLTRxW25Zk4A" TargetMode="External"/><Relationship Id="rId3136" Type="http://schemas.openxmlformats.org/officeDocument/2006/relationships/hyperlink" Target="https://www.google.com/url?q=https://codeforces.com/contest/1119/problem/E&amp;sa=D&amp;ust=1605639553398000&amp;usg=AFQjCNGtDSCdVPRPnYT0XkFuwEkIsmufyg" TargetMode="External"/><Relationship Id="rId3343" Type="http://schemas.openxmlformats.org/officeDocument/2006/relationships/hyperlink" Target="https://www.google.com/url?q=https://uva.onlinejudge.org/index.php?option%3Donlinejudge%26page%3Dshow_problem%26problem%3D1658&amp;sa=D&amp;ust=1605639553514000&amp;usg=AFQjCNGLJ3cLgXewJ9AP0O9yZmTlV18Oyw" TargetMode="External"/><Relationship Id="rId264" Type="http://schemas.openxmlformats.org/officeDocument/2006/relationships/hyperlink" Target="https://www.google.com/url?q=https://github.com/AbdelrahmanRamadan/competitive-programming/blob/master/Codeforces/CF101201-GYM-J.cpp&amp;sa=D&amp;ust=1605639551733000&amp;usg=AFQjCNFgie31eCXa9YX148nV5dZ6nff8Ig" TargetMode="External"/><Relationship Id="rId471" Type="http://schemas.openxmlformats.org/officeDocument/2006/relationships/hyperlink" Target="https://www.google.com/url?q=http://www.spoj.com/problems/BOOKS1/&amp;sa=D&amp;ust=1605639551873000&amp;usg=AFQjCNGnu5dkupNq8j2COfNL0lhxuJ8X7Q" TargetMode="External"/><Relationship Id="rId2152" Type="http://schemas.openxmlformats.org/officeDocument/2006/relationships/hyperlink" Target="https://www.google.com/url?q=https://github.com/mostafa-saad/MyCompetitiveProgramming/blob/master/LiveArchive/LiveArchive_5108.txt&amp;sa=D&amp;ust=1605639552838000&amp;usg=AFQjCNHkLm5ioFDEHKi_XIOheXf0KOTBmg" TargetMode="External"/><Relationship Id="rId3550" Type="http://schemas.openxmlformats.org/officeDocument/2006/relationships/hyperlink" Target="https://www.google.com/url?q=http://codeforces.com/contest/576/problem/D&amp;sa=D&amp;ust=1605639553689000&amp;usg=AFQjCNGXxyj3-_aqaIV_tTNXKqLd4U--UQ" TargetMode="External"/><Relationship Id="rId124" Type="http://schemas.openxmlformats.org/officeDocument/2006/relationships/hyperlink" Target="https://www.google.com/url?q=https://github.com/arvindr9/CompetitiveProgramming/blob/master/UVA/UVA%25201726.cpp&amp;sa=D&amp;ust=1605639551626000&amp;usg=AFQjCNHJMo-_C6XJk876q2dkbDvpxJc7aw" TargetMode="External"/><Relationship Id="rId3203" Type="http://schemas.openxmlformats.org/officeDocument/2006/relationships/hyperlink" Target="https://www.google.com/url?q=http://codeforces.com/problemset/problem/1016/D&amp;sa=D&amp;ust=1605639553428000&amp;usg=AFQjCNHWB_oS56pyh9HwoJ2T1OfBI7iE0g" TargetMode="External"/><Relationship Id="rId3410" Type="http://schemas.openxmlformats.org/officeDocument/2006/relationships/hyperlink" Target="https://www.google.com/url?q=https://agc028.contest.atcoder.jp/tasks/agc028_b&amp;sa=D&amp;ust=1605639553558000&amp;usg=AFQjCNEEnqQPf1Z8OUdMybK53erxcQ4MXQ" TargetMode="External"/><Relationship Id="rId331" Type="http://schemas.openxmlformats.org/officeDocument/2006/relationships/hyperlink" Target="https://www.google.com/url?q=http://codeforces.com/contest/45/problem/C&amp;sa=D&amp;ust=1605639551772000&amp;usg=AFQjCNHCF-D8RHRuP0A8O8jGQT57T3HqKg" TargetMode="External"/><Relationship Id="rId2012" Type="http://schemas.openxmlformats.org/officeDocument/2006/relationships/hyperlink" Target="https://www.google.com/url?q=http://codeforces.com/contest/474/problem/C&amp;sa=D&amp;ust=1605639552740000&amp;usg=AFQjCNHAyaVwQz1c-1ooX0VKxKoCVzkjPQ" TargetMode="External"/><Relationship Id="rId2969" Type="http://schemas.openxmlformats.org/officeDocument/2006/relationships/hyperlink" Target="https://www.google.com/url?q=https://github.com/ilyesG/Competitive-Programming/blob/master/UVA/UVA%252010600.cpp&amp;sa=D&amp;ust=1605639553300000&amp;usg=AFQjCNHeTFZi9F37p1r0sXCpQcC0pxIw2Q" TargetMode="External"/><Relationship Id="rId1778" Type="http://schemas.openxmlformats.org/officeDocument/2006/relationships/hyperlink" Target="https://www.google.com/url?q=https://agc010.contest.atcoder.jp/tasks/agc010_d&amp;sa=D&amp;ust=1605639552602000&amp;usg=AFQjCNGI6qFTxJuhRk6rTpZuqjHRhCyl1Q" TargetMode="External"/><Relationship Id="rId1985" Type="http://schemas.openxmlformats.org/officeDocument/2006/relationships/hyperlink" Target="https://www.google.com/url?q=https://github.com/MohamedNabil97/CompetitiveProgramming/blob/master/CodeForces/CF618-D12-C.cpp&amp;sa=D&amp;ust=1605639552725000&amp;usg=AFQjCNH-ICO25GHbfDKqn4DM1KVo8_eShg" TargetMode="External"/><Relationship Id="rId2829" Type="http://schemas.openxmlformats.org/officeDocument/2006/relationships/hyperlink" Target="https://www.google.com/url?q=https://uva.onlinejudge.org/index.php?option%3Dcom_onlinejudge%26Itemid%3D8%26page%3Dshow_problem%26problem%3D504&amp;sa=D&amp;ust=1605639553226000&amp;usg=AFQjCNHBhQOuTxOhFtTLFuHXzFNP4WyulQ" TargetMode="External"/><Relationship Id="rId4184" Type="http://schemas.openxmlformats.org/officeDocument/2006/relationships/hyperlink" Target="https://www.google.com/url?q=http://codeforces.com/problemset/gymProblem/101411/K&amp;sa=D&amp;ust=1605639554232000&amp;usg=AFQjCNE85XzwY8IdDollwqfS4kYyz8hluA" TargetMode="External"/><Relationship Id="rId4391" Type="http://schemas.openxmlformats.org/officeDocument/2006/relationships/hyperlink" Target="https://www.google.com/url?q=http://codeforces.com/contest/1060/problem/E&amp;sa=D&amp;ust=1605639554323000&amp;usg=AFQjCNH6SDztu2XFIAZfeW9q9dfKocxunQ" TargetMode="External"/><Relationship Id="rId1638" Type="http://schemas.openxmlformats.org/officeDocument/2006/relationships/hyperlink" Target="https://www.google.com/url?q=http://codeforces.com/contest/737/problem/C&amp;sa=D&amp;ust=1605639552522000&amp;usg=AFQjCNGCtaWVKWP53rdQZQgS44DU6GUSyA" TargetMode="External"/><Relationship Id="rId4044" Type="http://schemas.openxmlformats.org/officeDocument/2006/relationships/hyperlink" Target="https://www.google.com/url?q=http://codeforces.com/contest/868/problem/F&amp;sa=D&amp;ust=1605639554148000&amp;usg=AFQjCNGMPRdcTorBTHvuYgvmFN8B9AENZA" TargetMode="External"/><Relationship Id="rId4251" Type="http://schemas.openxmlformats.org/officeDocument/2006/relationships/hyperlink" Target="https://www.google.com/url?q=https://contest.felk.cvut.cz/15prg/solved/CTU_OPEN_2015_SOLUTIONS.pdf&amp;sa=D&amp;ust=1605639554264000&amp;usg=AFQjCNFsdH2L9SJtj5hyxwNbL9uWvtGJPQ" TargetMode="External"/><Relationship Id="rId1845" Type="http://schemas.openxmlformats.org/officeDocument/2006/relationships/hyperlink" Target="https://www.google.com/url?q=https://github.com/racsosabe/CompetitiveProgramming/blob/master/AtCoder/AtCoder087-ARC-C.cpp&amp;sa=D&amp;ust=1605639552637000&amp;usg=AFQjCNFtFZewJCxBQig6xs8ljHZmsWcsKA" TargetMode="External"/><Relationship Id="rId3060" Type="http://schemas.openxmlformats.org/officeDocument/2006/relationships/hyperlink" Target="https://www.google.com/url?q=https://github.com/BRAINOOOO/CompetitiveProgramming/blob/93e631948a1e52814850f1bc86f20c5ab9ed2fa2/CF/CF101142-gym-G&amp;sa=D&amp;ust=1605639553355000&amp;usg=AFQjCNG79rxIBHzmVi4VmVm5yo9Tu3PSUQ" TargetMode="External"/><Relationship Id="rId4111" Type="http://schemas.openxmlformats.org/officeDocument/2006/relationships/hyperlink" Target="https://www.google.com/url?q=https://uva.onlinejudge.org/index.php?option%3Donlinejudge%26page%3Dshow_problem%26problem%3D288&amp;sa=D&amp;ust=1605639554184000&amp;usg=AFQjCNG1w54m7w7UvcqT7tfhWVEyIQZzlg" TargetMode="External"/><Relationship Id="rId1705" Type="http://schemas.openxmlformats.org/officeDocument/2006/relationships/hyperlink" Target="https://www.google.com/url?q=http://codeforces.com/contest/371/problem/D&amp;sa=D&amp;ust=1605639552563000&amp;usg=AFQjCNHLNALCZifj_dTdD1vd9gEmQQYKlA" TargetMode="External"/><Relationship Id="rId1912" Type="http://schemas.openxmlformats.org/officeDocument/2006/relationships/hyperlink" Target="https://www.google.com/url?q=https://www.cnblogs.com/lienus/p/4330618.html&amp;sa=D&amp;ust=1605639552684000&amp;usg=AFQjCNE-grO1QQ7kUXtuT2ReV-Wzl5YOfg" TargetMode="External"/><Relationship Id="rId3877" Type="http://schemas.openxmlformats.org/officeDocument/2006/relationships/hyperlink" Target="https://www.google.com/url?q=https://github.com/Szawinis/CompetitiveProgramming/blob/master/SPOJ/GSS6.cpp&amp;sa=D&amp;ust=1605639553906000&amp;usg=AFQjCNHawrPnuSlt8gL0w4PVKJ4yJ8KOkw" TargetMode="External"/><Relationship Id="rId798" Type="http://schemas.openxmlformats.org/officeDocument/2006/relationships/hyperlink" Target="https://www.google.com/url?q=http://www.spoj.com/problems/LITE/&amp;sa=D&amp;ust=1605639552012000&amp;usg=AFQjCNFa4KnKJWVgLfMIy2-O4FbwnwOEmQ" TargetMode="External"/><Relationship Id="rId2479" Type="http://schemas.openxmlformats.org/officeDocument/2006/relationships/hyperlink" Target="https://www.google.com/url?q=https://github.com/A7medgamal/SPOJ__-DCEPC706---Meeting-For-Party/blob/master/main.cpp&amp;sa=D&amp;ust=1605639553018000&amp;usg=AFQjCNE0NnAUIbCvNadth0RLITlvkLWS2Q" TargetMode="External"/><Relationship Id="rId2686" Type="http://schemas.openxmlformats.org/officeDocument/2006/relationships/hyperlink" Target="https://www.google.com/url?q=https://github.com/swapnil119/CompetitiveProgramming/blob/master/CompetitiveProgramming/Codeforces/CF101669-GYM-D.cpp&amp;sa=D&amp;ust=1605639553140000&amp;usg=AFQjCNG9D9UESP8bRXN01RsDdWKu56qyYQ" TargetMode="External"/><Relationship Id="rId2893" Type="http://schemas.openxmlformats.org/officeDocument/2006/relationships/hyperlink" Target="https://www.google.com/url?q=https://uva.onlinejudge.org/index.php?option%3Donlinejudge%26page%3Dshow_problem%26problem%3D694&amp;sa=D&amp;ust=1605639553260000&amp;usg=AFQjCNH0DFBzmfSHRq7NCzPNtBRi-13xIA" TargetMode="External"/><Relationship Id="rId3737" Type="http://schemas.openxmlformats.org/officeDocument/2006/relationships/hyperlink" Target="https://www.google.com/url?q=https://github.com/mostafa-saad/MyCompetitiveProgramming/blob/master/LiveArchive/LiveArchive_5792.txt&amp;sa=D&amp;ust=1605639553823000&amp;usg=AFQjCNEHBeae7_l_Aqx8EkHa5j16uvLVRw" TargetMode="External"/><Relationship Id="rId3944" Type="http://schemas.openxmlformats.org/officeDocument/2006/relationships/hyperlink" Target="https://www.google.com/url?q=http://codeforces.com/contest/1043/problem/D&amp;sa=D&amp;ust=1605639553940000&amp;usg=AFQjCNGkbagb7uRl3Cn4QAeIvUJkB_3V6A" TargetMode="External"/><Relationship Id="rId658" Type="http://schemas.openxmlformats.org/officeDocument/2006/relationships/hyperlink" Target="https://www.google.com/url?q=https://www.codechef.com/problems/SLIS&amp;sa=D&amp;ust=1605639551945000&amp;usg=AFQjCNHywqXeqkOd7i82HZ-2ETPcLZvmCg" TargetMode="External"/><Relationship Id="rId865" Type="http://schemas.openxmlformats.org/officeDocument/2006/relationships/hyperlink" Target="https://www.google.com/url?q=https://github.com/mostafa-saad/MyCompetitiveProgramming/blob/master/UVA/UVA_12697.txt&amp;sa=D&amp;ust=1605639552048000&amp;usg=AFQjCNEVh-clOcgEpaSI-ZyXjQfB2fbeWg" TargetMode="External"/><Relationship Id="rId1288" Type="http://schemas.openxmlformats.org/officeDocument/2006/relationships/hyperlink" Target="https://www.google.com/url?q=https://agc012.contest.atcoder.jp/tasks/agc012_e&amp;sa=D&amp;ust=1605639552309000&amp;usg=AFQjCNH_fJhcY1HVwed7MLrHCCRQGgq5Dg" TargetMode="External"/><Relationship Id="rId1495" Type="http://schemas.openxmlformats.org/officeDocument/2006/relationships/hyperlink" Target="https://www.google.com/url?q=https://ideone.com/kc7LDA&amp;sa=D&amp;ust=1605639552440000&amp;usg=AFQjCNFGpbuaociyf6FU_IVtis6iMkWU8Q" TargetMode="External"/><Relationship Id="rId2339" Type="http://schemas.openxmlformats.org/officeDocument/2006/relationships/hyperlink" Target="https://www.google.com/url?q=https://github.com/magdy-hasan/competitive-programming/blob/00b274d42ecd0bd42d9fb3b3a10532e5dadcc7c7/uva-/uva%252011202%2520-%2520The%2520least%2520possible%2520effort.cpp&amp;sa=D&amp;ust=1605639552943000&amp;usg=AFQjCNHNjhlka_fQwQLxDVk1PRQGf4zuSg" TargetMode="External"/><Relationship Id="rId2546" Type="http://schemas.openxmlformats.org/officeDocument/2006/relationships/hyperlink" Target="https://www.google.com/url?q=http://codeforces.com/contest/117/problem/C&amp;sa=D&amp;ust=1605639553058000&amp;usg=AFQjCNFvE5AAQaJfgAx1iZlOOyhfemk6Iw" TargetMode="External"/><Relationship Id="rId2753" Type="http://schemas.openxmlformats.org/officeDocument/2006/relationships/hyperlink" Target="https://www.google.com/url?q=https://github.com/abdullaAshraf/Problem-Solving/blob/master/UVA/104.cpp&amp;sa=D&amp;ust=1605639553180000&amp;usg=AFQjCNFvfNYP2LhOlLZe30wHSDR75QdMlQ" TargetMode="External"/><Relationship Id="rId2960" Type="http://schemas.openxmlformats.org/officeDocument/2006/relationships/hyperlink" Target="https://www.google.com/url?q=https://codeforces.com/contest/1081/problem/D&amp;sa=D&amp;ust=1605639553297000&amp;usg=AFQjCNGIZgjTLdIFELjVxqB0YGHaZrotsQ" TargetMode="External"/><Relationship Id="rId3804" Type="http://schemas.openxmlformats.org/officeDocument/2006/relationships/hyperlink" Target="https://www.google.com/url?q=https://github.com/nya-nya-meow/CompetitiveProgramming/blob/master/Kattis/insidersidentity.cpp&amp;sa=D&amp;ust=1605639553866000&amp;usg=AFQjCNHkMwokG9X2AGLQgURbNNKxmy8FOA" TargetMode="External"/><Relationship Id="rId518" Type="http://schemas.openxmlformats.org/officeDocument/2006/relationships/hyperlink" Target="https://www.google.com/url?q=https://github.com/DrSchwad/CompetitiveProgramming/blob/master/TopCoder/SRM388-D1-1000.cpp&amp;sa=D&amp;ust=1605639551895000&amp;usg=AFQjCNF9YNl9ASoS6ITtCODCzANvuDLcPQ" TargetMode="External"/><Relationship Id="rId725" Type="http://schemas.openxmlformats.org/officeDocument/2006/relationships/hyperlink" Target="https://www.google.com/url?q=https://github.com/mostafa-saad/MyCompetitiveProgramming/blob/master/Codeforces/CF669-D2-E.txt&amp;sa=D&amp;ust=1605639551976000&amp;usg=AFQjCNE6H8yXo92undaTEzIlkwOJVlKgJA" TargetMode="External"/><Relationship Id="rId932" Type="http://schemas.openxmlformats.org/officeDocument/2006/relationships/hyperlink" Target="https://www.google.com/url?q=https://codeforces.com/contest/1056/problem/F&amp;sa=D&amp;ust=1605639552088000&amp;usg=AFQjCNH9Re-ks6W4rDWpNxted7CUZR78bQ" TargetMode="External"/><Relationship Id="rId1148" Type="http://schemas.openxmlformats.org/officeDocument/2006/relationships/hyperlink" Target="https://www.google.com/url?q=http://codeforces.com/contest/407/problem/B&amp;sa=D&amp;ust=1605639552207000&amp;usg=AFQjCNE5Ykma7SkJTbQKqgfUcnEaf4qkPQ" TargetMode="External"/><Relationship Id="rId1355" Type="http://schemas.openxmlformats.org/officeDocument/2006/relationships/hyperlink" Target="https://www.google.com/url?q=http://codeforces.com/contest/747/problem/F&amp;sa=D&amp;ust=1605639552350000&amp;usg=AFQjCNGFzWaPTg96GA6XU_yBqr5nAa7udQ" TargetMode="External"/><Relationship Id="rId1562" Type="http://schemas.openxmlformats.org/officeDocument/2006/relationships/hyperlink" Target="https://www.google.com/url?q=https://github.com/osamahatem/CompetitiveProgramming/blob/master/Codeforces/908F.%2520New%2520Year%2520and%2520Rainbow%2520Roads.cpp&amp;sa=D&amp;ust=1605639552481000&amp;usg=AFQjCNFp0eobrIkBnI-a7Lgr9sflTdHiDQ" TargetMode="External"/><Relationship Id="rId2406" Type="http://schemas.openxmlformats.org/officeDocument/2006/relationships/hyperlink" Target="https://www.google.com/url?q=https://www.codechef.com/problems/AVGSHORT&amp;sa=D&amp;ust=1605639552971000&amp;usg=AFQjCNH_cvmBEplnn0_15GvSye0xMfdoPQ" TargetMode="External"/><Relationship Id="rId2613" Type="http://schemas.openxmlformats.org/officeDocument/2006/relationships/hyperlink" Target="https://www.google.com/url?q=http://codeforces.com/contest/141/problem/D&amp;sa=D&amp;ust=1605639553101000&amp;usg=AFQjCNF3OCCu8BnoMqh0TaJ1stRyBkTcVA" TargetMode="External"/><Relationship Id="rId1008" Type="http://schemas.openxmlformats.org/officeDocument/2006/relationships/hyperlink" Target="https://www.google.com/url?q=https://codeforces.com/contest/1237/problem/E&amp;sa=D&amp;ust=1605639552129000&amp;usg=AFQjCNFWPJABvlko4yJqKFXTLHLcnSGH1w" TargetMode="External"/><Relationship Id="rId1215" Type="http://schemas.openxmlformats.org/officeDocument/2006/relationships/hyperlink" Target="https://www.google.com/url?q=https://codeforces.com/contest/506/problem/E&amp;sa=D&amp;ust=1605639552260000&amp;usg=AFQjCNEx9baJY-J9FlZk4r5Ka2F6BSxe-A" TargetMode="External"/><Relationship Id="rId1422" Type="http://schemas.openxmlformats.org/officeDocument/2006/relationships/hyperlink" Target="https://www.google.com/url?q=https://github.com/MeGaCrazy/CompetitiveProgramming/blob/fb2f21b7a3300927d3790593246856405b038276/UVA/UVA_12469.cpp&amp;sa=D&amp;ust=1605639552398000&amp;usg=AFQjCNFVUYw3sRtRwB25lNY15YT5CGxyOw" TargetMode="External"/><Relationship Id="rId2820" Type="http://schemas.openxmlformats.org/officeDocument/2006/relationships/hyperlink" Target="https://www.google.com/url?q=https://www.spoj.com/problems/AMR12A/&amp;sa=D&amp;ust=1605639553221000&amp;usg=AFQjCNHpvw4iFW3yK0fNPX19G8upucT2iQ" TargetMode="External"/><Relationship Id="rId61" Type="http://schemas.openxmlformats.org/officeDocument/2006/relationships/hyperlink" Target="https://www.google.com/url?q=http://codeforces.com/gym/101806/problem/T&amp;sa=D&amp;ust=1605639551590000&amp;usg=AFQjCNEDDIGyBTCriJxgpZ-PcBygBAO-gw" TargetMode="External"/><Relationship Id="rId3387" Type="http://schemas.openxmlformats.org/officeDocument/2006/relationships/hyperlink" Target="https://www.google.com/url?q=https://codeforces.com/problemset/problem/1261/F&amp;sa=D&amp;ust=1605639553546000&amp;usg=AFQjCNHWI97iEhYnZAmVtlgkVI3Vi3iiww" TargetMode="External"/><Relationship Id="rId2196" Type="http://schemas.openxmlformats.org/officeDocument/2006/relationships/hyperlink" Target="https://www.google.com/url?q=https://searchcode.com/file/96026932/USACO/Chapter%25203/3.4.3%2520-%2520fence9.cpp&amp;sa=D&amp;ust=1605639552869000&amp;usg=AFQjCNFDSvsg6DrWPcsz_aTEvGXTeqUyZg" TargetMode="External"/><Relationship Id="rId3594" Type="http://schemas.openxmlformats.org/officeDocument/2006/relationships/hyperlink" Target="https://www.google.com/url?q=https://codeforces.com/contest/1155/problem/E&amp;sa=D&amp;ust=1605639553724000&amp;usg=AFQjCNEQDz2apyEPwHgZ36R1m3xaL4NC7A" TargetMode="External"/><Relationship Id="rId4438" Type="http://schemas.openxmlformats.org/officeDocument/2006/relationships/hyperlink" Target="https://www.google.com/url?q=http://codeforces.com/contest/528/problem/D&amp;sa=D&amp;ust=1605639554345000&amp;usg=AFQjCNE4jOoosgWa6n6y4RmXK24JrrOXFg" TargetMode="External"/><Relationship Id="rId168" Type="http://schemas.openxmlformats.org/officeDocument/2006/relationships/hyperlink" Target="https://www.google.com/url?q=https://github.com/marioyc/Online-Judge-Solutions/blob/master/Timus%2520Online%2520Judge/1100%2520-%2520Final%2520Standings.cpp&amp;sa=D&amp;ust=1605639551652000&amp;usg=AFQjCNHphMUPLRg57YxJ4BEdERxMU8M_dQ" TargetMode="External"/><Relationship Id="rId3247" Type="http://schemas.openxmlformats.org/officeDocument/2006/relationships/hyperlink" Target="https://www.google.com/url?q=http://codeforces.com/contest/936/problem/A&amp;sa=D&amp;ust=1605639553452000&amp;usg=AFQjCNHIPM0GIyymVw6LFtx0vGa0GiGdaA" TargetMode="External"/><Relationship Id="rId3454" Type="http://schemas.openxmlformats.org/officeDocument/2006/relationships/hyperlink" Target="https://www.google.com/url?q=http://codeforces.com/contest/986/problem/B&amp;sa=D&amp;ust=1605639553588000&amp;usg=AFQjCNHYAwktRgFs0giCA3uygm7d5PunFQ" TargetMode="External"/><Relationship Id="rId3661" Type="http://schemas.openxmlformats.org/officeDocument/2006/relationships/hyperlink" Target="https://www.google.com/url?q=https://github.com/ryuzmukhametov/CompetitiveProgramming/blob/master/hackr/solve-equations.cpp&amp;sa=D&amp;ust=1605639553775000&amp;usg=AFQjCNEROKPLGSwJvmv09afYsylvj9x3Rw" TargetMode="External"/><Relationship Id="rId375" Type="http://schemas.openxmlformats.org/officeDocument/2006/relationships/hyperlink" Target="https://www.google.com/url?q=https://community.topcoder.com/stat?c%3Dproblem_statement%26pm%3D1599&amp;sa=D&amp;ust=1605639551811000&amp;usg=AFQjCNGrM1hqilxaqf_KuKigu5znoGXdJQ" TargetMode="External"/><Relationship Id="rId582" Type="http://schemas.openxmlformats.org/officeDocument/2006/relationships/hyperlink" Target="https://www.google.com/url?q=http://codeforces.com/contest/763/problem/E&amp;sa=D&amp;ust=1605639551920000&amp;usg=AFQjCNH_3ZP6-eNRME7Jdq01u2pb56-bDA" TargetMode="External"/><Relationship Id="rId2056" Type="http://schemas.openxmlformats.org/officeDocument/2006/relationships/hyperlink" Target="https://www.google.com/url?q=https://codeforces.com/gym/102021/attachments&amp;sa=D&amp;ust=1605639552775000&amp;usg=AFQjCNH1tS9TVD1ndIgg13Zsre8z56jitg" TargetMode="External"/><Relationship Id="rId2263" Type="http://schemas.openxmlformats.org/officeDocument/2006/relationships/hyperlink" Target="https://www.google.com/url?q=http://codeforces.com/blog/entry/62832&amp;sa=D&amp;ust=1605639552909000&amp;usg=AFQjCNGMEZoTB1urOGhShDMAfRr4tY4SfA" TargetMode="External"/><Relationship Id="rId2470" Type="http://schemas.openxmlformats.org/officeDocument/2006/relationships/hyperlink" Target="https://www.google.com/url?q=https://arc005.contest.atcoder.jp/tasks/arc005_3&amp;sa=D&amp;ust=1605639553009000&amp;usg=AFQjCNFL62vGHDZ86WcrQUqrwz0tz1xc4w" TargetMode="External"/><Relationship Id="rId3107" Type="http://schemas.openxmlformats.org/officeDocument/2006/relationships/hyperlink" Target="https://www.google.com/url?q=http://codeforces.com/problemset/problem/1030/G&amp;sa=D&amp;ust=1605639553378000&amp;usg=AFQjCNG-WwJkl74WwyYb0lVkfHmwSoOyUg" TargetMode="External"/><Relationship Id="rId3314" Type="http://schemas.openxmlformats.org/officeDocument/2006/relationships/hyperlink" Target="https://www.google.com/url?q=http://codeforces.com/contest/586/problem/E&amp;sa=D&amp;ust=1605639553494000&amp;usg=AFQjCNFsyyP8TzcRE5Mip3yVs_fASAIG9Q" TargetMode="External"/><Relationship Id="rId3521" Type="http://schemas.openxmlformats.org/officeDocument/2006/relationships/hyperlink" Target="https://www.google.com/url?q=http://www.spoj.com/problems/NGM2/&amp;sa=D&amp;ust=1605639553637000&amp;usg=AFQjCNHLjciOuKj8T8co6RVtEuvIwnf-gg" TargetMode="External"/><Relationship Id="rId235" Type="http://schemas.openxmlformats.org/officeDocument/2006/relationships/hyperlink" Target="https://www.google.com/url?q=https://ideone.com/ODyk54&amp;sa=D&amp;ust=1605639551702000&amp;usg=AFQjCNG6tT28eb0NC4wZslrLIKZIRjatDw" TargetMode="External"/><Relationship Id="rId442" Type="http://schemas.openxmlformats.org/officeDocument/2006/relationships/hyperlink" Target="https://www.google.com/url?q=https://github.com/mostafa-saad/MyCompetitiveProgramming/blob/master/UVA/UVA_1555.txt&amp;sa=D&amp;ust=1605639551861000&amp;usg=AFQjCNGmwdl9OuWNlu-vBm1qIv4zf2NdmQ" TargetMode="External"/><Relationship Id="rId1072" Type="http://schemas.openxmlformats.org/officeDocument/2006/relationships/hyperlink" Target="https://www.google.com/url?q=http://codeforces.com/contest/1013/problem/E&amp;sa=D&amp;ust=1605639552162000&amp;usg=AFQjCNFWAGvxVNtKhTA7aShII5Vgezrc8A" TargetMode="External"/><Relationship Id="rId2123" Type="http://schemas.openxmlformats.org/officeDocument/2006/relationships/hyperlink" Target="https://www.google.com/url?q=https://github.com/hosamk92/CompetitiveProgramming/blob/master/UVA/UVA%252011343.cpp&amp;sa=D&amp;ust=1605639552814000&amp;usg=AFQjCNEWIOEOtI7XfH4294mZ_pbKQTw_Tg" TargetMode="External"/><Relationship Id="rId2330" Type="http://schemas.openxmlformats.org/officeDocument/2006/relationships/hyperlink" Target="https://www.google.com/url?q=http://codeforces.com/contest/402/problem/E&amp;sa=D&amp;ust=1605639552939000&amp;usg=AFQjCNHsC8SqRG0raPLl9RPEqCxts4Zl0Q" TargetMode="External"/><Relationship Id="rId302" Type="http://schemas.openxmlformats.org/officeDocument/2006/relationships/hyperlink" Target="https://www.google.com/url?q=http://codeforces.com/contest/894/problem/D&amp;sa=D&amp;ust=1605639551758000&amp;usg=AFQjCNGOR6b-v_KLfpZj7hQMLZeobFI2SA" TargetMode="External"/><Relationship Id="rId4088" Type="http://schemas.openxmlformats.org/officeDocument/2006/relationships/hyperlink" Target="https://www.google.com/url?q=http://codeforces.com/contest/440/problem/D&amp;sa=D&amp;ust=1605639554168000&amp;usg=AFQjCNGjIWyPSNH79mJN4mvcFUoqlqsM6w" TargetMode="External"/><Relationship Id="rId4295" Type="http://schemas.openxmlformats.org/officeDocument/2006/relationships/hyperlink" Target="https://www.google.com/url?q=https://www.codechef.com/problems/PRINDRAG&amp;sa=D&amp;ust=1605639554282000&amp;usg=AFQjCNFQjyppVnRe3OppI8dqL1BD4xHZLw" TargetMode="External"/><Relationship Id="rId1889" Type="http://schemas.openxmlformats.org/officeDocument/2006/relationships/hyperlink" Target="https://www.google.com/url?q=http://codeforces.com/contest/67/problem/E&amp;sa=D&amp;ust=1605639552660000&amp;usg=AFQjCNHrcK5Rqgs8xtTV1nXMNFEEbIKX4Q" TargetMode="External"/><Relationship Id="rId4155" Type="http://schemas.openxmlformats.org/officeDocument/2006/relationships/hyperlink" Target="https://www.google.com/url?q=https://github.com/mostafa-saad/MyCompetitiveProgramming/blob/master/ZOJ/ZOJ_2587.txt&amp;sa=D&amp;ust=1605639554209000&amp;usg=AFQjCNFzlQil2AdYWLOYEyI6BpdvySQQCQ" TargetMode="External"/><Relationship Id="rId4362" Type="http://schemas.openxmlformats.org/officeDocument/2006/relationships/hyperlink" Target="https://www.google.com/url?q=https://github.com/veljko02/CompetitiveProgramming/blob/master/HackerEarth/uchicha_brothers.cpp&amp;sa=D&amp;ust=1605639554309000&amp;usg=AFQjCNGuiFulX2bKth07aCo03kgYU8ntVw" TargetMode="External"/><Relationship Id="rId1749" Type="http://schemas.openxmlformats.org/officeDocument/2006/relationships/hyperlink" Target="https://www.google.com/url?q=http://codeforces.com/contest/137/problem/C&amp;sa=D&amp;ust=1605639552586000&amp;usg=AFQjCNFo4hMPDy_uyzyo9CWJ9mycRE9Krw" TargetMode="External"/><Relationship Id="rId1956" Type="http://schemas.openxmlformats.org/officeDocument/2006/relationships/hyperlink" Target="https://www.google.com/url?q=https://github.com/mostafa-saad/MyCompetitiveProgramming/blob/master/Codeforces/CF101064-GYM-A.txt&amp;sa=D&amp;ust=1605639552710000&amp;usg=AFQjCNGJnXIJ2WjRZ6NrVJO4yd2X4ZiOTA" TargetMode="External"/><Relationship Id="rId3171" Type="http://schemas.openxmlformats.org/officeDocument/2006/relationships/hyperlink" Target="https://www.google.com/url?q=https://github.com/BRAINOOOO/CompetitiveProgramming/blob/0577cb43f4a000eca9870ccc375c95381224aed1/CF/CF352-D2-D&amp;sa=D&amp;ust=1605639553415000&amp;usg=AFQjCNGWJmzB4FWP8VjLNATq4L_PaTjr_Q" TargetMode="External"/><Relationship Id="rId4015" Type="http://schemas.openxmlformats.org/officeDocument/2006/relationships/hyperlink" Target="https://www.google.com/url?q=http://codeforces.com/contest/155/problem/C&amp;sa=D&amp;ust=1605639554133000&amp;usg=AFQjCNFFfhTx3QDIulVjBIosHGrBp9q6IA" TargetMode="External"/><Relationship Id="rId1609" Type="http://schemas.openxmlformats.org/officeDocument/2006/relationships/hyperlink" Target="https://www.google.com/url?q=https://codeforces.com/contest/1082/problem/E&amp;sa=D&amp;ust=1605639552506000&amp;usg=AFQjCNFpFnK7cYfKynjBEl1f_0lgolIjcg" TargetMode="External"/><Relationship Id="rId1816" Type="http://schemas.openxmlformats.org/officeDocument/2006/relationships/hyperlink" Target="https://www.google.com/url?q=https://www.codechef.com/problems/NUMGAME2&amp;sa=D&amp;ust=1605639552621000&amp;usg=AFQjCNGXcV90_IVgkMqmFsKhzne_68OATg" TargetMode="External"/><Relationship Id="rId4222" Type="http://schemas.openxmlformats.org/officeDocument/2006/relationships/hyperlink" Target="https://www.google.com/url?q=http://codeforces.com/contest/343/problem/D&amp;sa=D&amp;ust=1605639554253000&amp;usg=AFQjCNHzmWxFwTASJHPA_a_C01Q7Xa2veA" TargetMode="External"/><Relationship Id="rId3031" Type="http://schemas.openxmlformats.org/officeDocument/2006/relationships/hyperlink" Target="https://www.google.com/url?q=https://github.com/mostafa-saad/MyCompetitiveProgramming/blob/master/SPOJ/SPOJ_ONBRIDGE.txt&amp;sa=D&amp;ust=1605639553340000&amp;usg=AFQjCNE0UUVLJiDaRGDqIYZ4hlQXiurP3Q" TargetMode="External"/><Relationship Id="rId3988" Type="http://schemas.openxmlformats.org/officeDocument/2006/relationships/hyperlink" Target="https://www.google.com/url?q=https://codeforces.com/contest/1195/problem/E&amp;sa=D&amp;ust=1605639554121000&amp;usg=AFQjCNEav0mkp1j9M7TYax3SxyNhX6pH2w" TargetMode="External"/><Relationship Id="rId2797" Type="http://schemas.openxmlformats.org/officeDocument/2006/relationships/hyperlink" Target="https://www.google.com/url?q=http://codeforces.com/contest/513/problem/F2&amp;sa=D&amp;ust=1605639553208000&amp;usg=AFQjCNEpbaP4gNk2xIpNjEdtMID5f_Plww" TargetMode="External"/><Relationship Id="rId3848" Type="http://schemas.openxmlformats.org/officeDocument/2006/relationships/hyperlink" Target="https://www.google.com/url?q=http://codeforces.com/contest/7/problem/D&amp;sa=D&amp;ust=1605639553891000&amp;usg=AFQjCNEkQHrQxS9QDAbjfNquf2PoYubskA" TargetMode="External"/><Relationship Id="rId769" Type="http://schemas.openxmlformats.org/officeDocument/2006/relationships/hyperlink" Target="https://www.google.com/url?q=http://poj.org/problem?id%3D2374&amp;sa=D&amp;ust=1605639551997000&amp;usg=AFQjCNHSZqyTtL8l5Q1oYLiNJJQGvybPGA" TargetMode="External"/><Relationship Id="rId976" Type="http://schemas.openxmlformats.org/officeDocument/2006/relationships/hyperlink" Target="https://www.google.com/url?q=https://github.com/mostafa-saad/MyCompetitiveProgramming/blob/master/Timus/TIMUS_1223.txt&amp;sa=D&amp;ust=1605639552113000&amp;usg=AFQjCNHt6AC66VBN8kxFgd770yLJiBC6cA" TargetMode="External"/><Relationship Id="rId1399" Type="http://schemas.openxmlformats.org/officeDocument/2006/relationships/hyperlink" Target="https://www.google.com/url?q=https://www.hackerrank.com/contests/101hack52/challenges/construct-the-array&amp;sa=D&amp;ust=1605639552380000&amp;usg=AFQjCNGNHWH7VNpAiYMSxi3uZwdq_rYcOA" TargetMode="External"/><Relationship Id="rId2657" Type="http://schemas.openxmlformats.org/officeDocument/2006/relationships/hyperlink" Target="https://www.google.com/url?q=http://codeforces.com/contest/444/problem/E&amp;sa=D&amp;ust=1605639553127000&amp;usg=AFQjCNHbsGEszVZ3ls0cSGM-D4L4-MFJ5A" TargetMode="External"/><Relationship Id="rId629" Type="http://schemas.openxmlformats.org/officeDocument/2006/relationships/hyperlink" Target="https://www.google.com/url?q=https://github.com/tmwilliamlin168/CompetitiveProgramming/blob/master/CodeForces/CF1042-D2-F.cpp&amp;sa=D&amp;ust=1605639551936000&amp;usg=AFQjCNGEExC1qNTlK1w_7qqgHMly_O5p7g" TargetMode="External"/><Relationship Id="rId1259" Type="http://schemas.openxmlformats.org/officeDocument/2006/relationships/hyperlink" Target="https://www.google.com/url?q=https://github.com/nya-nya-meow/CompetitiveProgramming/blob/master/CodeForces/CF840-D1-C.cpp&amp;sa=D&amp;ust=1605639552296000&amp;usg=AFQjCNGrcRmmpEYbR9cDih5yYJ84zq3gmA" TargetMode="External"/><Relationship Id="rId1466" Type="http://schemas.openxmlformats.org/officeDocument/2006/relationships/hyperlink" Target="https://www.google.com/url?q=https://github.com/mostafa-saad/MyCompetitiveProgramming/blob/master/UVA/UVA_12024.txt&amp;sa=D&amp;ust=1605639552424000&amp;usg=AFQjCNGK7-Fl-R9KtQ3fGLD7_uBG7ltkPQ" TargetMode="External"/><Relationship Id="rId2864" Type="http://schemas.openxmlformats.org/officeDocument/2006/relationships/hyperlink" Target="https://www.google.com/url?q=https://github.com/quangloc99/CompetitiveProgramming/blob/master/Topcoder/SRM527-D1-500.cpp&amp;sa=D&amp;ust=1605639553243000&amp;usg=AFQjCNGT72Bd71kJGK9NnnyxkkfAaNThBA" TargetMode="External"/><Relationship Id="rId3708" Type="http://schemas.openxmlformats.org/officeDocument/2006/relationships/hyperlink" Target="https://www.google.com/url?q=https://www.codechef.com/problems/CNTDSETS&amp;sa=D&amp;ust=1605639553801000&amp;usg=AFQjCNH3w_d0_qCt4ODQp1s49Q-UmdC9tg" TargetMode="External"/><Relationship Id="rId3915" Type="http://schemas.openxmlformats.org/officeDocument/2006/relationships/hyperlink" Target="https://www.google.com/url?q=http://codeforces.com/contest/513/problem/D2&amp;sa=D&amp;ust=1605639553926000&amp;usg=AFQjCNHaDzlKoVWk4OJSelPC4vkVWxBsTg" TargetMode="External"/><Relationship Id="rId836" Type="http://schemas.openxmlformats.org/officeDocument/2006/relationships/hyperlink" Target="https://www.google.com/url?q=http://codeforces.com/contest/301/problem/D&amp;sa=D&amp;ust=1605639552032000&amp;usg=AFQjCNE1C1aTY2daZFHHcecwA6iJfRuAIQ" TargetMode="External"/><Relationship Id="rId1119" Type="http://schemas.openxmlformats.org/officeDocument/2006/relationships/hyperlink" Target="https://www.google.com/url?q=http://codeforces.com/problemset/problem/900/E&amp;sa=D&amp;ust=1605639552192000&amp;usg=AFQjCNHYkv7KBBMQ2sXkGL9GyPjy-DkFmQ" TargetMode="External"/><Relationship Id="rId1673" Type="http://schemas.openxmlformats.org/officeDocument/2006/relationships/hyperlink" Target="https://www.google.com/url?q=http://codeforces.com/contest/358/problem/C&amp;sa=D&amp;ust=1605639552543000&amp;usg=AFQjCNE8k8LHh6Hvu3Uk9Wi9xtcE6NXXWw" TargetMode="External"/><Relationship Id="rId1880" Type="http://schemas.openxmlformats.org/officeDocument/2006/relationships/hyperlink" Target="https://www.google.com/url?q=http://codeforces.com/contest/282/problem/D&amp;sa=D&amp;ust=1605639552653000&amp;usg=AFQjCNFO4WhlCjC0FCEZiorGWM_j0KwmBw" TargetMode="External"/><Relationship Id="rId2517" Type="http://schemas.openxmlformats.org/officeDocument/2006/relationships/hyperlink" Target="https://www.google.com/url?q=https://github.com/tmwilliamlin168/CompetitiveProgramming/blob/master/CodeChef/EXACTWAL.cpp&amp;sa=D&amp;ust=1605639553041000&amp;usg=AFQjCNFhgEA5oXcDXupxFN9soBBZMH3MNg" TargetMode="External"/><Relationship Id="rId2724" Type="http://schemas.openxmlformats.org/officeDocument/2006/relationships/hyperlink" Target="https://www.google.com/url?q=https://discuss.codechef.com/questions/50257/spoj-question-iitkwpci-wrong-answer&amp;sa=D&amp;ust=1605639553161000&amp;usg=AFQjCNF913tmBkj2nXNbJ2UEbbTKDFZi7A" TargetMode="External"/><Relationship Id="rId2931" Type="http://schemas.openxmlformats.org/officeDocument/2006/relationships/hyperlink" Target="https://www.google.com/url?q=https://codeforces.com/contest/892/submission/47343108&amp;sa=D&amp;ust=1605639553282000&amp;usg=AFQjCNGjMGP4-7fe0Uyx8D85vbmhxMIHtA" TargetMode="External"/><Relationship Id="rId903" Type="http://schemas.openxmlformats.org/officeDocument/2006/relationships/hyperlink" Target="https://www.google.com/url?q=http://codeforces.com/contest/228/problem/C&amp;sa=D&amp;ust=1605639552073000&amp;usg=AFQjCNEFU22VZH-CVs42Bzmw0OlKJ6Ej1w" TargetMode="External"/><Relationship Id="rId1326" Type="http://schemas.openxmlformats.org/officeDocument/2006/relationships/hyperlink" Target="https://www.google.com/url?q=https://github.com/ilyesG/Competitive-Programming/blob/master/LiveArchive/LIVEARCHIVE%25203995.cpp&amp;sa=D&amp;ust=1605639552329000&amp;usg=AFQjCNGVeLLpHmXu4LnwXpuK8TDhSgIGwA" TargetMode="External"/><Relationship Id="rId1533" Type="http://schemas.openxmlformats.org/officeDocument/2006/relationships/hyperlink" Target="https://www.google.com/url?q=https://beta.atcoder.jp/contests/arc103/tasks/arc103_b&amp;sa=D&amp;ust=1605639552464000&amp;usg=AFQjCNHK4gwPcU3wukuMdmI5xXLOlFTPrw" TargetMode="External"/><Relationship Id="rId1740" Type="http://schemas.openxmlformats.org/officeDocument/2006/relationships/hyperlink" Target="https://www.google.com/url?q=http://codeforces.com/contest/980/problem/C&amp;sa=D&amp;ust=1605639552580000&amp;usg=AFQjCNG7QO5hVsxAvJytRMEjK7YwHKToSg" TargetMode="External"/><Relationship Id="rId32" Type="http://schemas.openxmlformats.org/officeDocument/2006/relationships/hyperlink" Target="https://www.google.com/url?q=https://codeforces.com/contest/1100/problem/D&amp;sa=D&amp;ust=1605639551575000&amp;usg=AFQjCNGQbVetM22tDaYu6jTQB8AhBL6zPQ" TargetMode="External"/><Relationship Id="rId1600" Type="http://schemas.openxmlformats.org/officeDocument/2006/relationships/hyperlink" Target="https://www.google.com/url?q=http://codeforces.com/contest/104/problem/D&amp;sa=D&amp;ust=1605639552502000&amp;usg=AFQjCNHP3KGoyVf9joex3TaWLK3H4f_-Vg" TargetMode="External"/><Relationship Id="rId3498" Type="http://schemas.openxmlformats.org/officeDocument/2006/relationships/hyperlink" Target="https://www.google.com/url?q=http://codeforces.com/contest/1037/problem/F&amp;sa=D&amp;ust=1605639553626000&amp;usg=AFQjCNFrcIUNFUkYrsMawCwtPb6XAmMpUg" TargetMode="External"/><Relationship Id="rId3358" Type="http://schemas.openxmlformats.org/officeDocument/2006/relationships/hyperlink" Target="https://www.google.com/url?q=https://morris821028.github.io/2014/05/31/oj/uva/uva-11260/&amp;sa=D&amp;ust=1605639553526000&amp;usg=AFQjCNFiANGXHuoV6hi-A_W5u6opUmN8AQ" TargetMode="External"/><Relationship Id="rId3565" Type="http://schemas.openxmlformats.org/officeDocument/2006/relationships/hyperlink" Target="https://www.google.com/url?q=https://codeforces.com/contest/1117/problem/E&amp;sa=D&amp;ust=1605639553704000&amp;usg=AFQjCNE7gGujzfXymbqdOJnR8nuXnWnhqg" TargetMode="External"/><Relationship Id="rId3772" Type="http://schemas.openxmlformats.org/officeDocument/2006/relationships/hyperlink" Target="https://www.google.com/url?q=http://www.spoj.com/problems/PHONELST/&amp;sa=D&amp;ust=1605639553843000&amp;usg=AFQjCNGW9xtp4j1oxUDgRwY6NfrywhXi3w" TargetMode="External"/><Relationship Id="rId4409" Type="http://schemas.openxmlformats.org/officeDocument/2006/relationships/hyperlink" Target="https://www.google.com/url?q=http://codeforces.com/contest/337/submission/38413425&amp;sa=D&amp;ust=1605639554333000&amp;usg=AFQjCNGjh88dmcXLnTAV8tDkUtpa1XlGxw" TargetMode="External"/><Relationship Id="rId279" Type="http://schemas.openxmlformats.org/officeDocument/2006/relationships/hyperlink" Target="https://www.google.com/url?q=http://codeforces.com/contest/876/problem/F&amp;sa=D&amp;ust=1605639551748000&amp;usg=AFQjCNH0ilyOybjcifuZO4RRiDAfjyhTRw" TargetMode="External"/><Relationship Id="rId486" Type="http://schemas.openxmlformats.org/officeDocument/2006/relationships/hyperlink" Target="https://www.google.com/url?q=https://uva.onlinejudge.org/index.php?option%3Dcom_onlinejudge%26Itemid%3D8%26page%3Dshow_problem%26problem%3D1018&amp;sa=D&amp;ust=1605639551880000&amp;usg=AFQjCNFe-YlEEy26UlgONT6_XJ5-F6ozZA" TargetMode="External"/><Relationship Id="rId693" Type="http://schemas.openxmlformats.org/officeDocument/2006/relationships/hyperlink" Target="https://www.google.com/url?q=https://github.com/tanmoy13/CompetitveProgramming/blob/master/Online-Judge-Solutions/CodeChef/CODECHEF%2520MBOARD.cpp&amp;sa=D&amp;ust=1605639551961000&amp;usg=AFQjCNHdMRucm_AI0aXWUBLjtXdUHK2xTQ" TargetMode="External"/><Relationship Id="rId2167" Type="http://schemas.openxmlformats.org/officeDocument/2006/relationships/hyperlink" Target="https://www.google.com/url?q=https://www.hackerrank.com/challenges/elastic-rope&amp;sa=D&amp;ust=1605639552849000&amp;usg=AFQjCNH-2NelmZD7oG7KeLxSr5qs_kfbqQ" TargetMode="External"/><Relationship Id="rId2374" Type="http://schemas.openxmlformats.org/officeDocument/2006/relationships/hyperlink" Target="https://www.google.com/url?q=https://codeforces.com/contest/1296/problem/F&amp;sa=D&amp;ust=1605639552956000&amp;usg=AFQjCNGluv-N8ko7bJzRZO1nQpMpxboDHg" TargetMode="External"/><Relationship Id="rId2581" Type="http://schemas.openxmlformats.org/officeDocument/2006/relationships/hyperlink" Target="https://www.google.com/url?q=http://codeforces.com/gym/101484/problem/F&amp;sa=D&amp;ust=1605639553077000&amp;usg=AFQjCNEarn4q3IE_U_HAc8A70HQ0IsiWGQ" TargetMode="External"/><Relationship Id="rId3218" Type="http://schemas.openxmlformats.org/officeDocument/2006/relationships/hyperlink" Target="https://www.google.com/url?q=https://beta.atcoder.jp/contests/agc028/tasks/agc028_a&amp;sa=D&amp;ust=1605639553435000&amp;usg=AFQjCNEZZ4lhQuIoGKtLlwytsuWi3HCBbQ" TargetMode="External"/><Relationship Id="rId3425" Type="http://schemas.openxmlformats.org/officeDocument/2006/relationships/hyperlink" Target="https://www.google.com/url?q=http://codeforces.com/contest/459/problem/C&amp;sa=D&amp;ust=1605639553567000&amp;usg=AFQjCNE5OI7tXx-2hH3ssUsTDAisZrYDVQ" TargetMode="External"/><Relationship Id="rId3632" Type="http://schemas.openxmlformats.org/officeDocument/2006/relationships/hyperlink" Target="https://www.google.com/url?q=https://github.com/3agwa/CompetitiveProgramming/blob/master/UVA/UVA%252010056.cpp&amp;sa=D&amp;ust=1605639553751000&amp;usg=AFQjCNGsmPAfPPbe7oLqqpYGzXIJJRIYNw" TargetMode="External"/><Relationship Id="rId139" Type="http://schemas.openxmlformats.org/officeDocument/2006/relationships/hyperlink" Target="https://www.google.com/url?q=http://codeforces.com/contest/822/problem/C&amp;sa=D&amp;ust=1605639551636000&amp;usg=AFQjCNFH02VRSadDXODkFygUTZMurikBWg" TargetMode="External"/><Relationship Id="rId346" Type="http://schemas.openxmlformats.org/officeDocument/2006/relationships/hyperlink" Target="https://www.google.com/url?q=https://github.com/goswami-rahul/competitive-coding/blob/master/CompetitiveProgramming/livearchive/8078.cpp&amp;sa=D&amp;ust=1605639551789000&amp;usg=AFQjCNGnMeYX-pQPnOmVfUdznDDmE6WmtA" TargetMode="External"/><Relationship Id="rId553" Type="http://schemas.openxmlformats.org/officeDocument/2006/relationships/hyperlink" Target="https://www.google.com/url?q=http://poj.org/problem?id%3D3145&amp;sa=D&amp;ust=1605639551909000&amp;usg=AFQjCNH4p_Nfk9ocIF8Heyl_zxuRlknn0A" TargetMode="External"/><Relationship Id="rId760" Type="http://schemas.openxmlformats.org/officeDocument/2006/relationships/hyperlink" Target="https://www.google.com/url?q=http://codeforces.com/contest/877/problem/E&amp;sa=D&amp;ust=1605639551993000&amp;usg=AFQjCNHZsaPishoaBGBaTj7HZyp0bjhYSw" TargetMode="External"/><Relationship Id="rId1183" Type="http://schemas.openxmlformats.org/officeDocument/2006/relationships/hyperlink" Target="https://www.google.com/url?q=http://codeforces.com/contest/4/problem/D&amp;sa=D&amp;ust=1605639552230000&amp;usg=AFQjCNEBC4xNQlIxjsyQupGbzX94Q-MVgQ" TargetMode="External"/><Relationship Id="rId1390" Type="http://schemas.openxmlformats.org/officeDocument/2006/relationships/hyperlink" Target="https://www.google.com/url?q=http://codeforces.com/contest/489/problem/F&amp;sa=D&amp;ust=1605639552369000&amp;usg=AFQjCNHj3hjm_ziPAe0yzbDF3zgP-Jfa-A" TargetMode="External"/><Relationship Id="rId2027" Type="http://schemas.openxmlformats.org/officeDocument/2006/relationships/hyperlink" Target="https://www.google.com/url?q=https://github.com/osamahatem/CompetitiveProgramming/blob/master/Codeforces/908C.%2520New%2520Year%2520and%2520Curling.cpp&amp;sa=D&amp;ust=1605639552750000&amp;usg=AFQjCNHMIDtrhQDxsJ6EZXVQHYeDJNGGuA" TargetMode="External"/><Relationship Id="rId2234" Type="http://schemas.openxmlformats.org/officeDocument/2006/relationships/hyperlink" Target="https://www.google.com/url?q=http://codeforces.com/gym/100622/problem/C&amp;sa=D&amp;ust=1605639552888000&amp;usg=AFQjCNFv_9AqE7RRfYsBiypJWAtP0iDHZQ" TargetMode="External"/><Relationship Id="rId2441" Type="http://schemas.openxmlformats.org/officeDocument/2006/relationships/hyperlink" Target="https://www.google.com/url?q=https://github.com/goswami-rahul/competitive-coding/blob/master/CompetitiveProgramming/UVA/12544.cpp&amp;sa=D&amp;ust=1605639552989000&amp;usg=AFQjCNGR_lP7Tvmkj56xVM2cH8hQstuaIQ" TargetMode="External"/><Relationship Id="rId206" Type="http://schemas.openxmlformats.org/officeDocument/2006/relationships/hyperlink" Target="https://www.google.com/url?q=http://codeforces.com/contest/799/problem/D&amp;sa=D&amp;ust=1605639551682000&amp;usg=AFQjCNGGcgRLxyotn_8IL_aXPeb8iKQcyg" TargetMode="External"/><Relationship Id="rId413" Type="http://schemas.openxmlformats.org/officeDocument/2006/relationships/hyperlink" Target="https://www.google.com/url?q=https://github.com/nya-nya-meow/CompetitiveProgramming/blob/d9223c8ed33dda8127462c847fcfa517172fa997/Kattis/hanoi18.dividedoughnut.cpp&amp;sa=D&amp;ust=1605639551849000&amp;usg=AFQjCNE4P17Abh0Kh5gpgpQ0jTmJSe_0jQ" TargetMode="External"/><Relationship Id="rId1043" Type="http://schemas.openxmlformats.org/officeDocument/2006/relationships/hyperlink" Target="https://www.google.com/url?q=https://github.com/DrSchwad/CompetitiveProgramming/blob/master/UVA/UVA%252013014.cpp&amp;sa=D&amp;ust=1605639552146000&amp;usg=AFQjCNGnuiZ1zaVaev1UTyTQXKK6vrtehg" TargetMode="External"/><Relationship Id="rId4199" Type="http://schemas.openxmlformats.org/officeDocument/2006/relationships/hyperlink" Target="https://www.google.com/url?q=https://csacademy.com/contest/round-43/task/diesel-train/&amp;sa=D&amp;ust=1605639554241000&amp;usg=AFQjCNHa_PqgD8xlFRyx7iCshhZp4s4EZg" TargetMode="External"/><Relationship Id="rId620" Type="http://schemas.openxmlformats.org/officeDocument/2006/relationships/hyperlink" Target="https://www.google.com/url?q=http://codeforces.com/contest/516/problem/C&amp;sa=D&amp;ust=1605639551933000&amp;usg=AFQjCNHsvpfkaQ1Yd3m8UVjJBNoQMLIIhA" TargetMode="External"/><Relationship Id="rId1250" Type="http://schemas.openxmlformats.org/officeDocument/2006/relationships/hyperlink" Target="https://www.google.com/url?q=http://codeforces.com/contest/600/problem/E&amp;sa=D&amp;ust=1605639552288000&amp;usg=AFQjCNEFdh1u2SkK77JOmZXBlYFEWBO1xA" TargetMode="External"/><Relationship Id="rId2301" Type="http://schemas.openxmlformats.org/officeDocument/2006/relationships/hyperlink" Target="https://www.google.com/url?q=http://codeforces.com/contest/538/problem/E&amp;sa=D&amp;ust=1605639552930000&amp;usg=AFQjCNE_JBxd1zJO0SBfAinbSXlidaNG0Q" TargetMode="External"/><Relationship Id="rId4059" Type="http://schemas.openxmlformats.org/officeDocument/2006/relationships/hyperlink" Target="https://www.google.com/url?q=http://codeforces.com/contest/331/problem/C3&amp;sa=D&amp;ust=1605639554154000&amp;usg=AFQjCNHmm-FA2MtQUOLr9r97HaBXiMzSGw" TargetMode="External"/><Relationship Id="rId1110" Type="http://schemas.openxmlformats.org/officeDocument/2006/relationships/hyperlink" Target="https://www.google.com/url?q=http://codeforces.com/contest/459/problem/E&amp;sa=D&amp;ust=1605639552188000&amp;usg=AFQjCNGIWj8abmUr6LnIXYfQ4rMmKvmdlg" TargetMode="External"/><Relationship Id="rId4266" Type="http://schemas.openxmlformats.org/officeDocument/2006/relationships/hyperlink" Target="https://www.google.com/url?q=https://github.com/SpeedOfMagic/CompetitiveProgramming/blob/master/UC/5-sword-profit.cpp&amp;sa=D&amp;ust=1605639554271000&amp;usg=AFQjCNEkZVLzNc12gXzvXjiLnF8iNg6x8g" TargetMode="External"/><Relationship Id="rId1927" Type="http://schemas.openxmlformats.org/officeDocument/2006/relationships/hyperlink" Target="https://www.google.com/url?q=https://codeforces.com/contest/1074/problem/C&amp;sa=D&amp;ust=1605639552694000&amp;usg=AFQjCNHuOEom-XpEKytQ9rQskf6reSch6g" TargetMode="External"/><Relationship Id="rId3075" Type="http://schemas.openxmlformats.org/officeDocument/2006/relationships/hyperlink" Target="https://www.google.com/url?q=https://codeforces.com/gym/102215/problem/D&amp;sa=D&amp;ust=1605639553360000&amp;usg=AFQjCNGFnZwf_j2REbl0Ov56_aa5mEZX_w" TargetMode="External"/><Relationship Id="rId3282" Type="http://schemas.openxmlformats.org/officeDocument/2006/relationships/hyperlink" Target="https://www.google.com/url?q=https://www.codechef.com/problems/MULTHREE&amp;sa=D&amp;ust=1605639553471000&amp;usg=AFQjCNFlAFO3tokMoUbxKQG3vW1jgDRDWA" TargetMode="External"/><Relationship Id="rId4126" Type="http://schemas.openxmlformats.org/officeDocument/2006/relationships/hyperlink" Target="https://www.google.com/url?q=http://codeforces.com/contest/681/problem/D&amp;sa=D&amp;ust=1605639554192000&amp;usg=AFQjCNGJ6D5TApohd7nfflNelXAdb_mHeA" TargetMode="External"/><Relationship Id="rId4333" Type="http://schemas.openxmlformats.org/officeDocument/2006/relationships/hyperlink" Target="https://www.google.com/url?q=http://codeforces.com/blog/entry/49691&amp;sa=D&amp;ust=1605639554298000&amp;usg=AFQjCNEkUM25TTtw0qxnmJcjRVXE4S8vDA" TargetMode="External"/><Relationship Id="rId2091" Type="http://schemas.openxmlformats.org/officeDocument/2006/relationships/hyperlink" Target="https://www.google.com/url?q=https://codeforces.com/gym/100112/attachments&amp;sa=D&amp;ust=1605639552799000&amp;usg=AFQjCNEyCEWY1IztT0fGtuQ_pLNO18odmw" TargetMode="External"/><Relationship Id="rId3142" Type="http://schemas.openxmlformats.org/officeDocument/2006/relationships/hyperlink" Target="https://www.google.com/url?q=https://codingcompetitions.withgoogle.com/codejam/round/0000000000051706/0000000000122837&amp;sa=D&amp;ust=1605639553401000&amp;usg=AFQjCNEFCtJmByYa6_QkPYidzuPuaT4f0g" TargetMode="External"/><Relationship Id="rId4400" Type="http://schemas.openxmlformats.org/officeDocument/2006/relationships/hyperlink" Target="https://www.google.com/url?q=https://github.com/gs15120/CompetitveProgrammingDirectories/blob/master/Hackerrank/HACKR%2520sum-of-all-distances&amp;sa=D&amp;ust=1605639554327000&amp;usg=AFQjCNE9E4-yT4ozWWH1LvxB5nHqX9BxqQ" TargetMode="External"/><Relationship Id="rId270" Type="http://schemas.openxmlformats.org/officeDocument/2006/relationships/hyperlink" Target="https://www.google.com/url?q=http://xoptutorials.com/index.php/2017/01/01/timus1638/&amp;sa=D&amp;ust=1605639551742000&amp;usg=AFQjCNEncJvMnOzPYBIFkW79i5vtZolBQA" TargetMode="External"/><Relationship Id="rId3002" Type="http://schemas.openxmlformats.org/officeDocument/2006/relationships/hyperlink" Target="https://www.google.com/url?q=http://codeforces.com/contest/569/problem/E&amp;sa=D&amp;ust=1605639553321000&amp;usg=AFQjCNE76_6CNWG2kLkP_F0ZRRXaqzV6Vw" TargetMode="External"/><Relationship Id="rId130" Type="http://schemas.openxmlformats.org/officeDocument/2006/relationships/hyperlink" Target="https://www.google.com/url?q=http://codeforces.com/contest/1043/problem/C&amp;sa=D&amp;ust=1605639551631000&amp;usg=AFQjCNGY35KxFGYWqekqb2DAYVhVEipRKg" TargetMode="External"/><Relationship Id="rId3959" Type="http://schemas.openxmlformats.org/officeDocument/2006/relationships/hyperlink" Target="https://www.google.com/url?q=http://codeforces.com/contest/746/problem/C&amp;sa=D&amp;ust=1605639553948000&amp;usg=AFQjCNGldbywt5OMZkBfjskQ7WLG4x8d8A" TargetMode="External"/><Relationship Id="rId2768" Type="http://schemas.openxmlformats.org/officeDocument/2006/relationships/hyperlink" Target="https://www.google.com/url?q=https://github.com/ahmedcpbl/CompetitiveProgramming/blob/master/UVA/1198.cpp&amp;sa=D&amp;ust=1605639553188000&amp;usg=AFQjCNHevTb0LDwQBBG4-xlgodhUinKPmg" TargetMode="External"/><Relationship Id="rId2975" Type="http://schemas.openxmlformats.org/officeDocument/2006/relationships/hyperlink" Target="https://www.google.com/url?q=https://github.com/DrSchwad/CompetitiveProgramming/blob/master/UVA/UVA%252011390.cpp&amp;sa=D&amp;ust=1605639553306000&amp;usg=AFQjCNHnnrLlh-Xi9i5yTMDuRSkZYbwGWA" TargetMode="External"/><Relationship Id="rId3819" Type="http://schemas.openxmlformats.org/officeDocument/2006/relationships/hyperlink" Target="https://www.google.com/url?q=https://www.urionlinejudge.com.br/judge/en/problems/view/1530&amp;sa=D&amp;ust=1605639553878000&amp;usg=AFQjCNGcDWhHepAq4Bb3D2b_leQ70DKZMA" TargetMode="External"/><Relationship Id="rId947" Type="http://schemas.openxmlformats.org/officeDocument/2006/relationships/hyperlink" Target="https://www.google.com/url?q=https://www.codechef.com/problems/RIVER&amp;sa=D&amp;ust=1605639552098000&amp;usg=AFQjCNEArxEzNCaiRPANlyNiJ_0h_MvqwA" TargetMode="External"/><Relationship Id="rId1577" Type="http://schemas.openxmlformats.org/officeDocument/2006/relationships/hyperlink" Target="https://www.google.com/url?q=https://www.codechef.com/problems/CENTREE&amp;sa=D&amp;ust=1605639552488000&amp;usg=AFQjCNE-uYNJzewQc2gT2YCSeN8k82iopA" TargetMode="External"/><Relationship Id="rId1784" Type="http://schemas.openxmlformats.org/officeDocument/2006/relationships/hyperlink" Target="https://www.google.com/url?q=http://codeforces.com/contest/181/problem/E&amp;sa=D&amp;ust=1605639552606000&amp;usg=AFQjCNHCAScbE0ZFWEfqKHO7R2Sx-kQ-fQ" TargetMode="External"/><Relationship Id="rId1991" Type="http://schemas.openxmlformats.org/officeDocument/2006/relationships/hyperlink" Target="https://www.google.com/url?q=https://github.com/mostafa-saad/MyCompetitiveProgramming/blob/master/SPOJ/SPOJ_FACENEMY.txt&amp;sa=D&amp;ust=1605639552728000&amp;usg=AFQjCNFvpDDYbFvV2ln0LEWCPRkN1MRzsA" TargetMode="External"/><Relationship Id="rId2628" Type="http://schemas.openxmlformats.org/officeDocument/2006/relationships/hyperlink" Target="https://www.google.com/url?q=https://github.com/ilyesG/Competitive-Programming/blob/master/UVA/UVA%252012047.cpp&amp;sa=D&amp;ust=1605639553110000&amp;usg=AFQjCNGIPVUvUH7wP4HNwMRrsE0GAE9svw" TargetMode="External"/><Relationship Id="rId2835" Type="http://schemas.openxmlformats.org/officeDocument/2006/relationships/hyperlink" Target="https://www.google.com/url?q=https://uva.onlinejudge.org/index.php?option%3Dcom_onlinejudge%26Itemid%3D8%26page%3Dshow_problem%26problem%3D3277&amp;sa=D&amp;ust=1605639553228000&amp;usg=AFQjCNGQ5KkUHEcVzMVSZx2xsJvE3ApALw" TargetMode="External"/><Relationship Id="rId4190" Type="http://schemas.openxmlformats.org/officeDocument/2006/relationships/hyperlink" Target="https://www.google.com/url?q=https://github.com/YazanZebak/CompetitiveProgramming/blob/master/Codeforces/CF102020-GYM-E.cpp&amp;sa=D&amp;ust=1605639554237000&amp;usg=AFQjCNFZWg65EdisJUtxIy_VQS8FQEQwvw" TargetMode="External"/><Relationship Id="rId76" Type="http://schemas.openxmlformats.org/officeDocument/2006/relationships/hyperlink" Target="https://www.google.com/url?q=https://codeforces.com/contest/1296/problem/F&amp;sa=D&amp;ust=1605639551597000&amp;usg=AFQjCNFhXlRkG6so5-okNXB1k0QsgGEk4w" TargetMode="External"/><Relationship Id="rId807" Type="http://schemas.openxmlformats.org/officeDocument/2006/relationships/hyperlink" Target="https://www.google.com/url?q=http://codeforces.com/problemset/gymProblem/100812/E&amp;sa=D&amp;ust=1605639552017000&amp;usg=AFQjCNFKNqsrY1HfN0mip0VtmQr07azNSw" TargetMode="External"/><Relationship Id="rId1437" Type="http://schemas.openxmlformats.org/officeDocument/2006/relationships/hyperlink" Target="https://www.google.com/url?q=http://codeforces.com/contest/68/problem/D&amp;sa=D&amp;ust=1605639552409000&amp;usg=AFQjCNFT7LPBtJjdRO3HKKg5W_YXuNPAEA" TargetMode="External"/><Relationship Id="rId1644" Type="http://schemas.openxmlformats.org/officeDocument/2006/relationships/hyperlink" Target="https://www.google.com/url?q=https://github.com/Triplem5ds/Competitve-Programming/blob/master/atcoder/AtCoder002-AGC-C.cpp&amp;sa=D&amp;ust=1605639552525000&amp;usg=AFQjCNEOT2QHkhsl4Pk1TbCjp6_b_IQQAQ" TargetMode="External"/><Relationship Id="rId1851" Type="http://schemas.openxmlformats.org/officeDocument/2006/relationships/hyperlink" Target="https://www.google.com/url?q=https://github.com/mostafa-saad/MyCompetitiveProgramming/blob/master/CodeChef/CODECHEF-GHVSSI.txt&amp;sa=D&amp;ust=1605639552641000&amp;usg=AFQjCNFNsRCmUtfc5A9saE6Lrd95lYWhFQ" TargetMode="External"/><Relationship Id="rId2902" Type="http://schemas.openxmlformats.org/officeDocument/2006/relationships/hyperlink" Target="https://www.google.com/url?q=https://uva.onlinejudge.org/index.php?option%3Dcom_onlinejudge%26Itemid%3D8%26page%3Dshow_problem%26problem%3D1021&amp;sa=D&amp;ust=1605639553265000&amp;usg=AFQjCNHemupopoZx6U4nC_om0VQ_DM2ZAA" TargetMode="External"/><Relationship Id="rId4050" Type="http://schemas.openxmlformats.org/officeDocument/2006/relationships/hyperlink" Target="https://www.google.com/url?q=https://codeforces.com/blog/entry/61205&amp;sa=D&amp;ust=1605639554150000&amp;usg=AFQjCNFBlkNEe6mg2bTAe1MQiD9pEMBboA" TargetMode="External"/><Relationship Id="rId1504" Type="http://schemas.openxmlformats.org/officeDocument/2006/relationships/hyperlink" Target="https://www.google.com/url?q=https://uva.onlinejudge.org/index.php?option%3Dcom_onlinejudge%26Itemid%3D8%26page%3Dshow_problem%26problem%3D4501&amp;sa=D&amp;ust=1605639552448000&amp;usg=AFQjCNGDmeGOf5jeFvECFgFIFp_QrtHCLQ" TargetMode="External"/><Relationship Id="rId1711" Type="http://schemas.openxmlformats.org/officeDocument/2006/relationships/hyperlink" Target="https://www.google.com/url?q=http://codeforces.com/contest/747/problem/D&amp;sa=D&amp;ust=1605639552566000&amp;usg=AFQjCNFxUSsStpLDqgbHDSvaeWaFUmw2rQ" TargetMode="External"/><Relationship Id="rId3469" Type="http://schemas.openxmlformats.org/officeDocument/2006/relationships/hyperlink" Target="https://www.google.com/url?q=http://codeforces.com/contest/180/problem/B&amp;sa=D&amp;ust=1605639553597000&amp;usg=AFQjCNFzUPxklNHpKF5twQhAoN1F_thYDQ" TargetMode="External"/><Relationship Id="rId3676" Type="http://schemas.openxmlformats.org/officeDocument/2006/relationships/hyperlink" Target="https://www.google.com/url?q=https://www.hackerrank.com/challenges/ichigo-and-revenge&amp;sa=D&amp;ust=1605639553784000&amp;usg=AFQjCNFUNAWvCUaJXap0iepL300Q4ZXR_A" TargetMode="External"/><Relationship Id="rId597" Type="http://schemas.openxmlformats.org/officeDocument/2006/relationships/hyperlink" Target="https://www.google.com/url?q=http://codeforces.com/contest/903/problem/G&amp;sa=D&amp;ust=1605639551925000&amp;usg=AFQjCNFytjprnHBMAUg5sR3xP9-qZU3BIw" TargetMode="External"/><Relationship Id="rId2278" Type="http://schemas.openxmlformats.org/officeDocument/2006/relationships/hyperlink" Target="https://www.google.com/url?q=https://github.com/MedoN11/CompetitiveProgramming/blob/master/CodeForces/CFGYM-101726-A.cpp&amp;sa=D&amp;ust=1605639552915000&amp;usg=AFQjCNFPaqvf7tvsee_F_WJMs1HNNv5d_g" TargetMode="External"/><Relationship Id="rId2485" Type="http://schemas.openxmlformats.org/officeDocument/2006/relationships/hyperlink" Target="https://www.google.com/url?q=https://github.com/racsosabe/CompetitiveProgramming/blob/master/CodeForces/CF592-D2-D.cpp&amp;sa=D&amp;ust=1605639553025000&amp;usg=AFQjCNEuXpqC78TYBHhyJEym6xQlcuBRRg" TargetMode="External"/><Relationship Id="rId3329" Type="http://schemas.openxmlformats.org/officeDocument/2006/relationships/hyperlink" Target="https://www.google.com/url?q=http://codeforces.com/contest/1010/problem/C&amp;sa=D&amp;ust=1605639553504000&amp;usg=AFQjCNEy-OBsP4g5-l24-Jc_ACb49-EHmQ" TargetMode="External"/><Relationship Id="rId3883" Type="http://schemas.openxmlformats.org/officeDocument/2006/relationships/hyperlink" Target="https://www.google.com/url?q=https://www.spoj.com/problems/SDITSAVL/&amp;sa=D&amp;ust=1605639553910000&amp;usg=AFQjCNGyjmlbbYWi3EutUbaWpmZg8VdeEA" TargetMode="External"/><Relationship Id="rId457" Type="http://schemas.openxmlformats.org/officeDocument/2006/relationships/hyperlink" Target="https://www.google.com/url?q=http://codeforces.com/contest/616/problem/D&amp;sa=D&amp;ust=1605639551866000&amp;usg=AFQjCNEymf65Wh5By_aPHYSqMMp1QQjaRQ" TargetMode="External"/><Relationship Id="rId1087" Type="http://schemas.openxmlformats.org/officeDocument/2006/relationships/hyperlink" Target="https://www.google.com/url?q=https://uva.onlinejudge.org/index.php?option%3Dcom_onlinejudge%26Itemid%3D8%26page%3Dshow_problem%26problem%3D284&amp;sa=D&amp;ust=1605639552170000&amp;usg=AFQjCNF9iM8_a0cGDi8X8UU_OSJvt6Le-w" TargetMode="External"/><Relationship Id="rId1294" Type="http://schemas.openxmlformats.org/officeDocument/2006/relationships/hyperlink" Target="https://www.google.com/url?q=https://github.com/Ownography/CP/blob/master/UVA%25201323&amp;sa=D&amp;ust=1605639552313000&amp;usg=AFQjCNE4K9-VEcLApStNJWb9z2HMStsvwg" TargetMode="External"/><Relationship Id="rId2138" Type="http://schemas.openxmlformats.org/officeDocument/2006/relationships/hyperlink" Target="https://www.google.com/url?q=https://github.com/mostafa-saad/MyCompetitiveProgramming/blob/master/Codeforces/CF101142-GYM-I.txt&amp;sa=D&amp;ust=1605639552831000&amp;usg=AFQjCNEscYYgs6JO7McFwthpKIY6CiXXXQ" TargetMode="External"/><Relationship Id="rId2692" Type="http://schemas.openxmlformats.org/officeDocument/2006/relationships/hyperlink" Target="https://www.google.com/url?q=https://github.com/AMR-KELEG/Competitive-Programming/blob/master/ICPC-Archive/8028.cpp&amp;sa=D&amp;ust=1605639553143000&amp;usg=AFQjCNFBVaW-KZDeAk4IuU_dyHqBhgrKFw" TargetMode="External"/><Relationship Id="rId3536" Type="http://schemas.openxmlformats.org/officeDocument/2006/relationships/hyperlink" Target="https://www.google.com/url?q=https://uva.onlinejudge.org/index.php?option%3Dcom_onlinejudge%26Itemid%3D8%26page%3Dshow_problem%26problem%3D1724&amp;sa=D&amp;ust=1605639553655000&amp;usg=AFQjCNG4pMbFEfo-ylMXdAG9R8YpzmI48w" TargetMode="External"/><Relationship Id="rId3743" Type="http://schemas.openxmlformats.org/officeDocument/2006/relationships/hyperlink" Target="https://www.google.com/url?q=https://www.codechef.com/problems/SUBBXOR&amp;sa=D&amp;ust=1605639553826000&amp;usg=AFQjCNGIKDBGeInRCah_Hy4C-oINXnH8tw" TargetMode="External"/><Relationship Id="rId3950" Type="http://schemas.openxmlformats.org/officeDocument/2006/relationships/hyperlink" Target="https://www.google.com/url?q=http://codeforces.com/contest/143/problem/C&amp;sa=D&amp;ust=1605639553944000&amp;usg=AFQjCNE_abSd2pDbczWN1dZlV0XNTQIE7A" TargetMode="External"/><Relationship Id="rId664" Type="http://schemas.openxmlformats.org/officeDocument/2006/relationships/hyperlink" Target="https://www.google.com/url?q=http://codeforces.com/contest/83/problem/G&amp;sa=D&amp;ust=1605639551947000&amp;usg=AFQjCNGuyJ3uvQOGHWDYaI5fVOnSkJDgBA" TargetMode="External"/><Relationship Id="rId871" Type="http://schemas.openxmlformats.org/officeDocument/2006/relationships/hyperlink" Target="https://www.google.com/url?q=https://devskill.com/CodingProblems/ViewProblem/422&amp;sa=D&amp;ust=1605639552051000&amp;usg=AFQjCNEPANmLKEpKfPIStHzaI-bfHFFQ_w" TargetMode="External"/><Relationship Id="rId2345" Type="http://schemas.openxmlformats.org/officeDocument/2006/relationships/hyperlink" Target="https://www.google.com/url?q=https://github.com/mostafa-saad/MyCompetitiveProgramming/blob/master/Codeforces/CF101615-GYM-G.txt&amp;sa=D&amp;ust=1605639552945000&amp;usg=AFQjCNFbWWVYKKEntZA-PtmNsJmbcJdLGQ" TargetMode="External"/><Relationship Id="rId2552" Type="http://schemas.openxmlformats.org/officeDocument/2006/relationships/hyperlink" Target="https://www.google.com/url?q=http://codeforces.com/contest/653/problem/E&amp;sa=D&amp;ust=1605639553061000&amp;usg=AFQjCNHy4VY9Pf17okf3pNYY1KlYii1mGg" TargetMode="External"/><Relationship Id="rId3603" Type="http://schemas.openxmlformats.org/officeDocument/2006/relationships/hyperlink" Target="https://www.google.com/url?q=https://github.com/nya-nya-meow/CompetitiveProgramming/blob/54848346fa99124b64800ac7f8474f6b9b9d4970/TopCoder/SRM417-D2-1000%2520-%2520TripleJump.cpp&amp;sa=D&amp;ust=1605639553734000&amp;usg=AFQjCNEUhNOP2Gl6ygJ_9GxZbtRr08IeMA" TargetMode="External"/><Relationship Id="rId3810" Type="http://schemas.openxmlformats.org/officeDocument/2006/relationships/hyperlink" Target="https://www.google.com/url?q=https://github.com/HosamEissa/Competitive-programming-/blob/master/Spoj/SUB_PROB.cpp&amp;sa=D&amp;ust=1605639553871000&amp;usg=AFQjCNFmBn679Oo9b8hIm5rgcplp6tPzzg" TargetMode="External"/><Relationship Id="rId317" Type="http://schemas.openxmlformats.org/officeDocument/2006/relationships/hyperlink" Target="https://www.google.com/url?q=https://codeforces.com/contest/1236/problem/D&amp;sa=D&amp;ust=1605639551765000&amp;usg=AFQjCNH0BI6hBo1ufJtilMA26wMEL1kEcQ" TargetMode="External"/><Relationship Id="rId524" Type="http://schemas.openxmlformats.org/officeDocument/2006/relationships/hyperlink" Target="https://www.google.com/url?q=https://github.com/mostafa-saad/MyCompetitiveProgramming/blob/master/Codeforces/CF839-D2-E.txt&amp;sa=D&amp;ust=1605639551897000&amp;usg=AFQjCNEmE_kN99e1AIKoLRCTDVFbIY0_uQ" TargetMode="External"/><Relationship Id="rId731" Type="http://schemas.openxmlformats.org/officeDocument/2006/relationships/hyperlink" Target="https://www.google.com/url?q=https://github.com/mostafa-saad/MyCompetitiveProgramming/blob/master/SPOJ/SPOJ_IOPC1207.txt&amp;sa=D&amp;ust=1605639551979000&amp;usg=AFQjCNEH9-dSqbF18A4MlyMK0iW43MRoRw" TargetMode="External"/><Relationship Id="rId1154" Type="http://schemas.openxmlformats.org/officeDocument/2006/relationships/hyperlink" Target="https://www.google.com/url?q=https://www.codechef.com/problems/VOGOZO&amp;sa=D&amp;ust=1605639552214000&amp;usg=AFQjCNHbq5Nybbt2ETRNjzfg40HpEYF_Sg" TargetMode="External"/><Relationship Id="rId1361" Type="http://schemas.openxmlformats.org/officeDocument/2006/relationships/hyperlink" Target="https://www.google.com/url?q=https://github.com/tmwilliamlin168/CompetitiveProgramming/blob/master/Hackerrank/alien-languages.cpp&amp;sa=D&amp;ust=1605639552353000&amp;usg=AFQjCNHTo4ckfjIIXz4WG4ySI6QAIHiF7g" TargetMode="External"/><Relationship Id="rId2205" Type="http://schemas.openxmlformats.org/officeDocument/2006/relationships/hyperlink" Target="https://www.google.com/url?q=https://community.topcoder.com/stat?c%3Dproblem_statement%26pm%3D10796&amp;sa=D&amp;ust=1605639552876000&amp;usg=AFQjCNFwPg86QVJ4IyjiqCht2X9wZOsSAw" TargetMode="External"/><Relationship Id="rId2412" Type="http://schemas.openxmlformats.org/officeDocument/2006/relationships/hyperlink" Target="https://www.google.com/url?q=http://codeforces.com/contest/414/problem/D&amp;sa=D&amp;ust=1605639552977000&amp;usg=AFQjCNGMFiM9AVf6xcDSnOwa_PVstss65w" TargetMode="External"/><Relationship Id="rId1014" Type="http://schemas.openxmlformats.org/officeDocument/2006/relationships/hyperlink" Target="https://www.google.com/url?q=https://codeforces.com/contest/1178/problem/F1&amp;sa=D&amp;ust=1605639552132000&amp;usg=AFQjCNEOd2q1T7rTUR0QLwYJ8y99DCkQFA" TargetMode="External"/><Relationship Id="rId1221" Type="http://schemas.openxmlformats.org/officeDocument/2006/relationships/hyperlink" Target="https://www.google.com/url?q=https://code.google.com/codejam/contest/188266/dashboard%23s%3Dp2&amp;sa=D&amp;ust=1605639552264000&amp;usg=AFQjCNF22qfBulbF9O-Q8lgweMQJUntrhQ" TargetMode="External"/><Relationship Id="rId4377" Type="http://schemas.openxmlformats.org/officeDocument/2006/relationships/hyperlink" Target="https://www.google.com/url?q=https://codeforces.com/contest/1266/problem/F&amp;sa=D&amp;ust=1605639554315000&amp;usg=AFQjCNGs62n3h3zFhKGBrhA6dRoKlwvI-Q" TargetMode="External"/><Relationship Id="rId3186" Type="http://schemas.openxmlformats.org/officeDocument/2006/relationships/hyperlink" Target="https://www.google.com/url?q=https://github.com/AliOsm/CompetitiveProgramming/blob/master/TopCoder/SRM394-D2-1000.cpp&amp;sa=D&amp;ust=1605639553420000&amp;usg=AFQjCNG2nTQDh9WVIOUU6d3dSA9o5yad2Q" TargetMode="External"/><Relationship Id="rId3393" Type="http://schemas.openxmlformats.org/officeDocument/2006/relationships/hyperlink" Target="https://www.google.com/url?q=https://codeforces.com/contest/1109/problem/D&amp;sa=D&amp;ust=1605639553548000&amp;usg=AFQjCNHi-rXCj790BVXKhCMDLmEUuvnmKA" TargetMode="External"/><Relationship Id="rId4237" Type="http://schemas.openxmlformats.org/officeDocument/2006/relationships/hyperlink" Target="https://www.google.com/url?q=http://codeforces.com/contest/322/problem/E&amp;sa=D&amp;ust=1605639554259000&amp;usg=AFQjCNGWXBQ-aVhVCgHXP3za-sChyOf9Uw" TargetMode="External"/><Relationship Id="rId4444" Type="http://schemas.openxmlformats.org/officeDocument/2006/relationships/hyperlink" Target="https://www.google.com/url?q=http://codeforces.com/contest/993/submission/43802408&amp;sa=D&amp;ust=1605639554347000&amp;usg=AFQjCNFikUYm1hoc0EmT2TD5NMs_GH8hrA" TargetMode="External"/><Relationship Id="rId3046" Type="http://schemas.openxmlformats.org/officeDocument/2006/relationships/hyperlink" Target="https://www.google.com/url?q=http://codeforces.com/gym/100342/attachments&amp;sa=D&amp;ust=1605639553347000&amp;usg=AFQjCNHdzZ3jed5f3GhpYNEp-Qr3joIxtg" TargetMode="External"/><Relationship Id="rId3253" Type="http://schemas.openxmlformats.org/officeDocument/2006/relationships/hyperlink" Target="https://www.google.com/url?q=http://codeforces.com/contest/727/problem/C&amp;sa=D&amp;ust=1605639553457000&amp;usg=AFQjCNE2aoy2nYYG6NWx3WBn8yUeqwUKdw" TargetMode="External"/><Relationship Id="rId3460" Type="http://schemas.openxmlformats.org/officeDocument/2006/relationships/hyperlink" Target="https://www.google.com/url?q=https://www.codechef.com/problems/CHEFDIV&amp;sa=D&amp;ust=1605639553594000&amp;usg=AFQjCNG3Pmvh1h_tDxqalpUzmdLVrykysA" TargetMode="External"/><Relationship Id="rId4304" Type="http://schemas.openxmlformats.org/officeDocument/2006/relationships/hyperlink" Target="https://www.google.com/url?q=http://codeforces.com/contest/91/problem/E&amp;sa=D&amp;ust=1605639554286000&amp;usg=AFQjCNH3rU59xEvARanGCxFXZhrV86MJpg" TargetMode="External"/><Relationship Id="rId174" Type="http://schemas.openxmlformats.org/officeDocument/2006/relationships/hyperlink" Target="https://www.google.com/url?q=http://codeforces.com/contest/97/problem/A&amp;sa=D&amp;ust=1605639551659000&amp;usg=AFQjCNFTDe4U2xGSlyg_mfiycCDsQgIDCw" TargetMode="External"/><Relationship Id="rId381" Type="http://schemas.openxmlformats.org/officeDocument/2006/relationships/hyperlink" Target="https://www.google.com/url?q=https://github.com/mostafa-saad/MyCompetitiveProgramming/blob/master/UVA/622.cpp&amp;sa=D&amp;ust=1605639551821000&amp;usg=AFQjCNEHIj5oRcJJrPIrUjeln_xNXrG2EQ" TargetMode="External"/><Relationship Id="rId2062" Type="http://schemas.openxmlformats.org/officeDocument/2006/relationships/hyperlink" Target="https://www.google.com/url?q=http://codeforces.com/contest/140/problem/A&amp;sa=D&amp;ust=1605639552778000&amp;usg=AFQjCNFnYxB7zwoRVX-bzyDfMiXqcffm3Q" TargetMode="External"/><Relationship Id="rId3113" Type="http://schemas.openxmlformats.org/officeDocument/2006/relationships/hyperlink" Target="https://www.google.com/url?q=http://codeforces.com/problemset/problem/1063/D&amp;sa=D&amp;ust=1605639553384000&amp;usg=AFQjCNHgelsmzvADCOjym6IgOQpDEb7tpg" TargetMode="External"/><Relationship Id="rId241" Type="http://schemas.openxmlformats.org/officeDocument/2006/relationships/hyperlink" Target="https://www.google.com/url?q=https://codeforces.com/contest/1073/problem/D&amp;sa=D&amp;ust=1605639551706000&amp;usg=AFQjCNHO4bZa9BZiMwEJ2ksKaPIdEa-9vw" TargetMode="External"/><Relationship Id="rId3320" Type="http://schemas.openxmlformats.org/officeDocument/2006/relationships/hyperlink" Target="https://www.google.com/url?q=https://codeforces.com/contest/1230/problem/E&amp;sa=D&amp;ust=1605639553499000&amp;usg=AFQjCNFX67SsHXEnOQ3DBFL6vJGshkzP-w" TargetMode="External"/><Relationship Id="rId2879" Type="http://schemas.openxmlformats.org/officeDocument/2006/relationships/hyperlink" Target="https://www.google.com/url?q=https://csacademy.com/contest/round-66/task/flipping-matrix/&amp;sa=D&amp;ust=1605639553252000&amp;usg=AFQjCNEl6WVl1HsEQJz155eK8Is4NK8XRQ" TargetMode="External"/><Relationship Id="rId101" Type="http://schemas.openxmlformats.org/officeDocument/2006/relationships/hyperlink" Target="https://www.google.com/url?q=https://www.codechef.com/problems/FRCPRT&amp;sa=D&amp;ust=1605639551611000&amp;usg=AFQjCNEJS1f9Q-EKj9xn-qysN4FsJU2P1Q" TargetMode="External"/><Relationship Id="rId1688" Type="http://schemas.openxmlformats.org/officeDocument/2006/relationships/hyperlink" Target="https://www.google.com/url?q=http://codeforces.com/contest/519/problem/D&amp;sa=D&amp;ust=1605639552554000&amp;usg=AFQjCNHYPpD3CD67ARqv1g5vscH1FPSEaQ" TargetMode="External"/><Relationship Id="rId1895" Type="http://schemas.openxmlformats.org/officeDocument/2006/relationships/hyperlink" Target="https://www.google.com/url?q=http://codeforces.com/contest/62/problem/C&amp;sa=D&amp;ust=1605639552662000&amp;usg=AFQjCNE_fYd-4yTS54tQZgdxyxHISSzBAQ" TargetMode="External"/><Relationship Id="rId2739" Type="http://schemas.openxmlformats.org/officeDocument/2006/relationships/hyperlink" Target="https://www.google.com/url?q=https://github.com/Huvok/CompetitiveProgramming/blob/master/Topcoder/SRM298-D1-500.cpp&amp;sa=D&amp;ust=1605639553169000&amp;usg=AFQjCNHu6PPggjsFvW_RFyRA5LjSQ8rCLQ" TargetMode="External"/><Relationship Id="rId2946" Type="http://schemas.openxmlformats.org/officeDocument/2006/relationships/hyperlink" Target="https://www.google.com/url?q=http://codeforces.com/gym/100283/problem/B&amp;sa=D&amp;ust=1605639553290000&amp;usg=AFQjCNHtLS1PTEUoFwQvqGxTvrHRrRotPw" TargetMode="External"/><Relationship Id="rId4094" Type="http://schemas.openxmlformats.org/officeDocument/2006/relationships/hyperlink" Target="https://www.google.com/url?q=https://code.google.com/codejam/contest/32008/dashboard%23s%3Dp3&amp;sa=D&amp;ust=1605639554171000&amp;usg=AFQjCNHd5ZM2D5xyrkugs4TvwGqn-d6qNA" TargetMode="External"/><Relationship Id="rId918" Type="http://schemas.openxmlformats.org/officeDocument/2006/relationships/hyperlink" Target="https://www.google.com/url?q=http://agc036.contest.atcoder.jp/tasks/agc036_d&amp;sa=D&amp;ust=1605639552080000&amp;usg=AFQjCNFMkwBqDv32W3GSlljbTZ0e97wLrQ" TargetMode="External"/><Relationship Id="rId1548" Type="http://schemas.openxmlformats.org/officeDocument/2006/relationships/hyperlink" Target="https://www.google.com/url?q=https://atcoder.jp/contests/abc143/tasks/abc143_f&amp;sa=D&amp;ust=1605639552473000&amp;usg=AFQjCNEOHnuAqOBBn_dIJi40clYLONHyNw" TargetMode="External"/><Relationship Id="rId1755" Type="http://schemas.openxmlformats.org/officeDocument/2006/relationships/hyperlink" Target="https://www.google.com/url?q=http://www.spoj.com/problems/CHOCOLA/&amp;sa=D&amp;ust=1605639552589000&amp;usg=AFQjCNFh_9yHjCAGx0897muN094EhSsn0Q" TargetMode="External"/><Relationship Id="rId4161" Type="http://schemas.openxmlformats.org/officeDocument/2006/relationships/hyperlink" Target="https://www.google.com/url?q=https://www.hackerrank.com/challenges/mathematical-expectation&amp;sa=D&amp;ust=1605639554212000&amp;usg=AFQjCNHmW3pBTyvRxaq2v9MOu3AYmFAqzg" TargetMode="External"/><Relationship Id="rId1408" Type="http://schemas.openxmlformats.org/officeDocument/2006/relationships/hyperlink" Target="https://www.google.com/url?q=http://codeforces.com/contest/48/problem/E&amp;sa=D&amp;ust=1605639552388000&amp;usg=AFQjCNEwKLehMisE5vSH4ANHTOuWpVsu6A" TargetMode="External"/><Relationship Id="rId1962" Type="http://schemas.openxmlformats.org/officeDocument/2006/relationships/hyperlink" Target="https://www.google.com/url?q=https://github.com/mostafa-saad/MyCompetitiveProgramming/blob/master/Codeforces/CF101864-GYM-L.txt&amp;sa=D&amp;ust=1605639552713000&amp;usg=AFQjCNFp2o3fbXiSG5FznFvWFMMpuzP9DQ" TargetMode="External"/><Relationship Id="rId2806" Type="http://schemas.openxmlformats.org/officeDocument/2006/relationships/hyperlink" Target="https://www.google.com/url?q=https://ideone.com/3UsZip&amp;sa=D&amp;ust=1605639553213000&amp;usg=AFQjCNGpuGpCQ3-Uazq3O9VobqzvfpNvbQ" TargetMode="External"/><Relationship Id="rId4021" Type="http://schemas.openxmlformats.org/officeDocument/2006/relationships/hyperlink" Target="https://www.google.com/url?q=https://codeforces.com/gym/101609/problem/E&amp;sa=D&amp;ust=1605639554136000&amp;usg=AFQjCNHVcnJVLkP8uiM08h2MCRur5PYXmQ" TargetMode="External"/><Relationship Id="rId47" Type="http://schemas.openxmlformats.org/officeDocument/2006/relationships/hyperlink" Target="https://www.google.com/url?q=https://beta.atcoder.jp/contests/arc092/tasks/arc092_b&amp;sa=D&amp;ust=1605639551582000&amp;usg=AFQjCNF4iZxc-KX5--ifu_nPkUUpyFyukA" TargetMode="External"/><Relationship Id="rId1615" Type="http://schemas.openxmlformats.org/officeDocument/2006/relationships/hyperlink" Target="https://www.google.com/url?q=http://codeforces.com/contest/515/problem/D&amp;sa=D&amp;ust=1605639552509000&amp;usg=AFQjCNG54aRx5Emq7TCDYNQSYZSCQGGzbg" TargetMode="External"/><Relationship Id="rId1822" Type="http://schemas.openxmlformats.org/officeDocument/2006/relationships/hyperlink" Target="https://www.google.com/url?q=https://github.com/MetalBall887/Competitive-Programming/blob/master/TopCoder/SRM309-D1-1000.cpp&amp;sa=D&amp;ust=1605639552625000&amp;usg=AFQjCNEVHxdJ-m2hu2jF1i4I0mD0l72GOw" TargetMode="External"/><Relationship Id="rId3787" Type="http://schemas.openxmlformats.org/officeDocument/2006/relationships/hyperlink" Target="https://www.google.com/url?q=http://codeforces.com/contest/631/problem/D&amp;sa=D&amp;ust=1605639553852000&amp;usg=AFQjCNHIV6DA-hRpJgvULuFBQgdZuIiwtQ" TargetMode="External"/><Relationship Id="rId3994" Type="http://schemas.openxmlformats.org/officeDocument/2006/relationships/hyperlink" Target="https://www.google.com/url?q=http://codeforces.com/contest/746/problem/F&amp;sa=D&amp;ust=1605639554124000&amp;usg=AFQjCNF71SoCXSQiIVgf4RU3fAeBcIFkHg" TargetMode="External"/><Relationship Id="rId2389" Type="http://schemas.openxmlformats.org/officeDocument/2006/relationships/hyperlink" Target="https://www.google.com/url?q=https://csacademy.com/contest/round-41/task/bfs-dfs/statement/&amp;sa=D&amp;ust=1605639552963000&amp;usg=AFQjCNEYFK9viLFPRR7irsxtEE2UQdHsKQ" TargetMode="External"/><Relationship Id="rId2596" Type="http://schemas.openxmlformats.org/officeDocument/2006/relationships/hyperlink" Target="https://www.google.com/url?q=http://codeforces.com/contest/216/problem/B&amp;sa=D&amp;ust=1605639553085000&amp;usg=AFQjCNGVT_tgkkIxXb3VcpIt-qkPVbAxgg" TargetMode="External"/><Relationship Id="rId3647" Type="http://schemas.openxmlformats.org/officeDocument/2006/relationships/hyperlink" Target="https://www.google.com/url?q=http://codeforces.com/contest/569/problem/C&amp;sa=D&amp;ust=1605639553762000&amp;usg=AFQjCNEBEgXD1ZxMsxvgmk1T62LQwAGJdA" TargetMode="External"/><Relationship Id="rId3854" Type="http://schemas.openxmlformats.org/officeDocument/2006/relationships/hyperlink" Target="https://www.google.com/url?q=https://github.com/tmwilliamlin168/CompetitiveProgramming/blob/master/CodeForces/CF0985-D12-F.cpp&amp;sa=D&amp;ust=1605639553893000&amp;usg=AFQjCNGb7zJjUUwLmAt_nx4Nj8rwiTFDlQ" TargetMode="External"/><Relationship Id="rId568" Type="http://schemas.openxmlformats.org/officeDocument/2006/relationships/hyperlink" Target="https://www.google.com/url?q=http://codeforces.com/contest/447/problem/E&amp;sa=D&amp;ust=1605639551914000&amp;usg=AFQjCNFFrOar5yxG9KpdbbHKsy6qSiSGpg" TargetMode="External"/><Relationship Id="rId775" Type="http://schemas.openxmlformats.org/officeDocument/2006/relationships/hyperlink" Target="https://www.google.com/url?q=https://github.com/ajfabian/Competitive-Programming/blob/master/SPOJ/GOODE/a.cpp&amp;sa=D&amp;ust=1605639552001000&amp;usg=AFQjCNEv2d5BMi7rSpq8M9erSu8gZGCBkg" TargetMode="External"/><Relationship Id="rId982" Type="http://schemas.openxmlformats.org/officeDocument/2006/relationships/hyperlink" Target="https://www.google.com/url?q=http://codeforces.com/contest/1051/problem/E&amp;sa=D&amp;ust=1605639552116000&amp;usg=AFQjCNFunMmgJrD3vC7xp34zl8foXjWj5Q" TargetMode="External"/><Relationship Id="rId1198" Type="http://schemas.openxmlformats.org/officeDocument/2006/relationships/hyperlink" Target="https://www.google.com/url?q=http://codeforces.com/contest/489/problem/C&amp;sa=D&amp;ust=1605639552242000&amp;usg=AFQjCNF12NEGK0tXl3gpHySoT27kk-yVfQ" TargetMode="External"/><Relationship Id="rId2249" Type="http://schemas.openxmlformats.org/officeDocument/2006/relationships/hyperlink" Target="https://www.google.com/url?q=https://github.com/AbdelrahmanRamadan/competitive-programming/blob/master/UVA/11232-Cylinder.cpp&amp;sa=D&amp;ust=1605639552901000&amp;usg=AFQjCNEbrq28rFlpJRaONClyM-vo7bRzKQ" TargetMode="External"/><Relationship Id="rId2456" Type="http://schemas.openxmlformats.org/officeDocument/2006/relationships/hyperlink" Target="https://www.google.com/url?q=http://www.spoj.com/problems/ANARC08A/&amp;sa=D&amp;ust=1605639553000000&amp;usg=AFQjCNGdVKXrFNwuipG_Gwfp-cooikslOA" TargetMode="External"/><Relationship Id="rId2663" Type="http://schemas.openxmlformats.org/officeDocument/2006/relationships/hyperlink" Target="https://www.google.com/url?q=http://codeforces.com/contest/87/problem/D&amp;sa=D&amp;ust=1605639553129000&amp;usg=AFQjCNFgzf1za-CJaAU2ka7N7LaM_dls_A" TargetMode="External"/><Relationship Id="rId2870" Type="http://schemas.openxmlformats.org/officeDocument/2006/relationships/hyperlink" Target="https://www.google.com/url?q=https://www.spoj.com/problems/ADAPATH/&amp;sa=D&amp;ust=1605639553247000&amp;usg=AFQjCNGIBWdfJX67UzBaDmmEAnfPc56rSA" TargetMode="External"/><Relationship Id="rId3507" Type="http://schemas.openxmlformats.org/officeDocument/2006/relationships/hyperlink" Target="https://www.google.com/url?q=http://codeforces.com/contest/1008/problem/D&amp;sa=D&amp;ust=1605639553631000&amp;usg=AFQjCNGHCum9jmN5vsVN1PNeUDSTU37xoA" TargetMode="External"/><Relationship Id="rId3714" Type="http://schemas.openxmlformats.org/officeDocument/2006/relationships/hyperlink" Target="https://www.google.com/url?q=https://github.com/omaryasser/Competitive-Programming/blob/master/UVA%2520Solutions/11440%2520-%2520Help%2520Tomisu.cpp&amp;sa=D&amp;ust=1605639553805000&amp;usg=AFQjCNEIHpFSAjFohVDolmKuGUZjR3FN0g" TargetMode="External"/><Relationship Id="rId3921" Type="http://schemas.openxmlformats.org/officeDocument/2006/relationships/hyperlink" Target="https://www.google.com/url?q=http://codeforces.com/contest/218/problem/D&amp;sa=D&amp;ust=1605639553929000&amp;usg=AFQjCNGHApJfClTpQ6CQsidds-wK-KT5kg" TargetMode="External"/><Relationship Id="rId428" Type="http://schemas.openxmlformats.org/officeDocument/2006/relationships/hyperlink" Target="https://www.google.com/url?q=http://codeforces.com/contest/429/problem/D&amp;sa=D&amp;ust=1605639551853000&amp;usg=AFQjCNHF-qkNhIeh-ytMjoHvV-wJfDqrXw" TargetMode="External"/><Relationship Id="rId635" Type="http://schemas.openxmlformats.org/officeDocument/2006/relationships/hyperlink" Target="https://www.google.com/url?q=http://codeforces.com/contest/115/problem/E&amp;sa=D&amp;ust=1605639551937000&amp;usg=AFQjCNHiyZW08EheBfjReFT0s8o4N5J6kA" TargetMode="External"/><Relationship Id="rId842" Type="http://schemas.openxmlformats.org/officeDocument/2006/relationships/hyperlink" Target="https://www.google.com/url?q=http://codeforces.com/contest/538/problem/F&amp;sa=D&amp;ust=1605639552036000&amp;usg=AFQjCNFgleZi5slqtAddK371nfbUL6V_-g" TargetMode="External"/><Relationship Id="rId1058" Type="http://schemas.openxmlformats.org/officeDocument/2006/relationships/hyperlink" Target="https://www.google.com/url?q=http://codeforces.com/contest/590/problem/D&amp;sa=D&amp;ust=1605639552153000&amp;usg=AFQjCNETyK1_96pIR7inuc6ETSn6XvTVVw" TargetMode="External"/><Relationship Id="rId1265" Type="http://schemas.openxmlformats.org/officeDocument/2006/relationships/hyperlink" Target="https://www.google.com/url?q=http://codeforces.com/gym/101490/attachments/download/5853/2016-benelux-algorithm-programming-contest-bapc-16-en.pdf&amp;sa=D&amp;ust=1605639552298000&amp;usg=AFQjCNHmVMDYAhoUB5hzWQgoJeis4t-qYQ" TargetMode="External"/><Relationship Id="rId1472" Type="http://schemas.openxmlformats.org/officeDocument/2006/relationships/hyperlink" Target="https://www.google.com/url?q=http://codeforces.com/contest/138/problem/D&amp;sa=D&amp;ust=1605639552427000&amp;usg=AFQjCNHBqi9f3F80_WvvFLmUCFTPJkXECA" TargetMode="External"/><Relationship Id="rId2109" Type="http://schemas.openxmlformats.org/officeDocument/2006/relationships/hyperlink" Target="https://www.google.com/url?q=https://uva.onlinejudge.org/index.php?option%3Donlinejudge%26page%3Dshow_problem%26problem%3D1204&amp;sa=D&amp;ust=1605639552809000&amp;usg=AFQjCNGZYNjb7aleR-USrt7l0RKXUr9_sw" TargetMode="External"/><Relationship Id="rId2316" Type="http://schemas.openxmlformats.org/officeDocument/2006/relationships/hyperlink" Target="https://www.google.com/url?q=https://codeforces.com/contest/1243/problem/E&amp;sa=D&amp;ust=1605639552934000&amp;usg=AFQjCNG2OL9VDi0SzbvC86Ld5grWeiliUw" TargetMode="External"/><Relationship Id="rId2523" Type="http://schemas.openxmlformats.org/officeDocument/2006/relationships/hyperlink" Target="https://www.google.com/url?q=https://atcoder.jp/contests/abc155/tasks/abc155_f&amp;sa=D&amp;ust=1605639553044000&amp;usg=AFQjCNFPF0OS9S3K38pnYxP7zLBEotAqNw" TargetMode="External"/><Relationship Id="rId2730" Type="http://schemas.openxmlformats.org/officeDocument/2006/relationships/hyperlink" Target="https://www.google.com/url?q=http://codeforces.com/gym/101650&amp;sa=D&amp;ust=1605639553164000&amp;usg=AFQjCNE8fdQCLV29y45jNEjBFoCYuN64zQ" TargetMode="External"/><Relationship Id="rId702" Type="http://schemas.openxmlformats.org/officeDocument/2006/relationships/hyperlink" Target="https://www.google.com/url?q=http://codeforces.com/contest/160/problem/E&amp;sa=D&amp;ust=1605639551965000&amp;usg=AFQjCNHrpuC1TbYjCxIX78XuHFMnMDQvSQ" TargetMode="External"/><Relationship Id="rId1125" Type="http://schemas.openxmlformats.org/officeDocument/2006/relationships/hyperlink" Target="https://www.google.com/url?q=https://github.com/AliOsm/CompetitiveProgramming/blob/master/UVA/10534%2520-%2520Wavio%2520Sequence.cpp&amp;sa=D&amp;ust=1605639552194000&amp;usg=AFQjCNHMxfEWpT6OnMX9IvcYOHCuNvoWdQ" TargetMode="External"/><Relationship Id="rId1332" Type="http://schemas.openxmlformats.org/officeDocument/2006/relationships/hyperlink" Target="https://www.google.com/url?q=http://codeforces.com/gym/101055/problem/E&amp;sa=D&amp;ust=1605639552331000&amp;usg=AFQjCNEXzdHscQFXlM9ZKJOFQWmByqo1lw" TargetMode="External"/><Relationship Id="rId3297" Type="http://schemas.openxmlformats.org/officeDocument/2006/relationships/hyperlink" Target="https://www.google.com/url?q=https://github.com/dasannagariraja/CompetitiveProgramming/blob/master/SPOJ/SPOJ%2520MIB.cpp&amp;sa=D&amp;ust=1605639553480000&amp;usg=AFQjCNHBNni_s9LNCG-hyrfym-3xb4jnVw" TargetMode="External"/><Relationship Id="rId4348" Type="http://schemas.openxmlformats.org/officeDocument/2006/relationships/hyperlink" Target="https://www.google.com/url?q=https://github.com/swapnil119/CompetitiveProgramming/blob/master/CompetitiveProgramming/Codeforces/CF101666-GYM-G.cpp&amp;sa=D&amp;ust=1605639554303000&amp;usg=AFQjCNF4P2wR0PJqD8S8vBBF-uxSf4HM6w" TargetMode="External"/><Relationship Id="rId3157" Type="http://schemas.openxmlformats.org/officeDocument/2006/relationships/hyperlink" Target="https://www.google.com/url?q=https://codingcompetitions.withgoogle.com/codejam/round/0000000000051706/000000000012295c&amp;sa=D&amp;ust=1605639553408000&amp;usg=AFQjCNFBJbuAoz-eLIN53e_sx_YHEAMnnA" TargetMode="External"/><Relationship Id="rId285" Type="http://schemas.openxmlformats.org/officeDocument/2006/relationships/hyperlink" Target="https://www.google.com/url?q=http://codeforces.com/contest/313/problem/E&amp;sa=D&amp;ust=1605639551751000&amp;usg=AFQjCNGIAAar-83PDf-G0avyPEj3G8vyew" TargetMode="External"/><Relationship Id="rId3364" Type="http://schemas.openxmlformats.org/officeDocument/2006/relationships/hyperlink" Target="https://www.google.com/url?q=https://github.com/mostafa-saad/MyCompetitiveProgramming/blob/master/UVA/UVA_1730.txt&amp;sa=D&amp;ust=1605639553529000&amp;usg=AFQjCNGRNYeqjLU1AGQTSN94a21cPs3JbQ" TargetMode="External"/><Relationship Id="rId3571" Type="http://schemas.openxmlformats.org/officeDocument/2006/relationships/hyperlink" Target="https://www.google.com/url?q=https://github.com/mostafa-saad/MyCompetitiveProgramming/blob/master/SPOJ/SPOJ_SUMSUMS.txt&amp;sa=D&amp;ust=1605639553708000&amp;usg=AFQjCNFPXut8jXSffx27m2mQ9EE9VIMZIw" TargetMode="External"/><Relationship Id="rId4208" Type="http://schemas.openxmlformats.org/officeDocument/2006/relationships/hyperlink" Target="https://www.google.com/url?q=https://ipsc.ksp.sk/2009/real/problems/l.html&amp;sa=D&amp;ust=1605639554244000&amp;usg=AFQjCNFrTKQTsdmXpRe4ddqMPlXzIpp_vg" TargetMode="External"/><Relationship Id="rId4415" Type="http://schemas.openxmlformats.org/officeDocument/2006/relationships/hyperlink" Target="https://www.google.com/url?q=http://codeforces.com/contest/814/problem/D&amp;sa=D&amp;ust=1605639554336000&amp;usg=AFQjCNGlvh9RkeL0_Oo_zJu3N78wpQOmow" TargetMode="External"/><Relationship Id="rId492" Type="http://schemas.openxmlformats.org/officeDocument/2006/relationships/hyperlink" Target="https://www.google.com/url?q=https://community.topcoder.com/stat?c%3Dproblem_statement%26pm%3D7848&amp;sa=D&amp;ust=1605639551883000&amp;usg=AFQjCNGKNoSM5q6GKh8H5QGSDncH7boB0g" TargetMode="External"/><Relationship Id="rId2173" Type="http://schemas.openxmlformats.org/officeDocument/2006/relationships/hyperlink" Target="https://www.google.com/url?q=https://morris821028.github.io/2014/08/29/oj/uva/uva-12307/&amp;sa=D&amp;ust=1605639552853000&amp;usg=AFQjCNGCL9VXxDMTljgjPzI2oacHvtvbeg" TargetMode="External"/><Relationship Id="rId2380" Type="http://schemas.openxmlformats.org/officeDocument/2006/relationships/hyperlink" Target="https://www.google.com/url?q=https://codeforces.com/contest/1277/problem/E&amp;sa=D&amp;ust=1605639552958000&amp;usg=AFQjCNFz_sdPJE1G57X1KCffFdbfB6Pwzw" TargetMode="External"/><Relationship Id="rId3017" Type="http://schemas.openxmlformats.org/officeDocument/2006/relationships/hyperlink" Target="https://www.google.com/url?q=https://github.com/HeartBlue/CompetitiveProgramming/blob/master/LIVEARCHIVE/LIVEARCHIVE%25205010%2520Go%2520Deeper.cpp&amp;sa=D&amp;ust=1605639553330000&amp;usg=AFQjCNFi0PD5PSAEGNl9mdn8bAB8VaJSvA" TargetMode="External"/><Relationship Id="rId3224" Type="http://schemas.openxmlformats.org/officeDocument/2006/relationships/hyperlink" Target="https://www.google.com/url?q=http://codeforces.com/contest/957/problem/C&amp;sa=D&amp;ust=1605639553438000&amp;usg=AFQjCNG18kyC_bigUadCOoxGehXhd8Q3Ig" TargetMode="External"/><Relationship Id="rId3431" Type="http://schemas.openxmlformats.org/officeDocument/2006/relationships/hyperlink" Target="https://www.google.com/url?q=https://www.hackerrank.com/contests/hourrank-25/challenges/maximum-palindromes&amp;sa=D&amp;ust=1605639553570000&amp;usg=AFQjCNGMsScttDcU8V2o4KAkuVlbsofi8w" TargetMode="External"/><Relationship Id="rId145" Type="http://schemas.openxmlformats.org/officeDocument/2006/relationships/hyperlink" Target="https://www.google.com/url?q=https://agc002.contest.atcoder.jp/tasks/agc002_a&amp;sa=D&amp;ust=1605639551640000&amp;usg=AFQjCNFQV0m32Q71ZZ3kJtEADROTH_fXGA" TargetMode="External"/><Relationship Id="rId352" Type="http://schemas.openxmlformats.org/officeDocument/2006/relationships/hyperlink" Target="https://www.google.com/url?q=https://csacademy.com/contest/round-82/task/city-break/&amp;sa=D&amp;ust=1605639551791000&amp;usg=AFQjCNFkMpWY4yOVdskRzJOG4Z6maZ9MVw" TargetMode="External"/><Relationship Id="rId2033" Type="http://schemas.openxmlformats.org/officeDocument/2006/relationships/hyperlink" Target="https://www.google.com/url?q=https://www.hackerrank.com/challenges/polar-angles&amp;sa=D&amp;ust=1605639552755000&amp;usg=AFQjCNEM66VMZPu5K-7OgVSy5eskFY-LRQ" TargetMode="External"/><Relationship Id="rId2240" Type="http://schemas.openxmlformats.org/officeDocument/2006/relationships/hyperlink" Target="https://www.google.com/url?q=https://github.com/mostafa-saad/MyCompetitiveProgramming/blob/master/SPOJ/SPOJ_NKMARS.txt&amp;sa=D&amp;ust=1605639552892000&amp;usg=AFQjCNFN2Cu2HVjnaWdsplPs8WyUUoy9tg" TargetMode="External"/><Relationship Id="rId212" Type="http://schemas.openxmlformats.org/officeDocument/2006/relationships/hyperlink" Target="https://www.google.com/url?q=https://codeforces.com/contest/1169/problem/D&amp;sa=D&amp;ust=1605639551686000&amp;usg=AFQjCNG6xNd6Cf4XsrCUErjvs-d_FCNgRQ" TargetMode="External"/><Relationship Id="rId1799" Type="http://schemas.openxmlformats.org/officeDocument/2006/relationships/hyperlink" Target="https://www.google.com/url?q=https://codeforces.com/contest/1191/problem/D&amp;sa=D&amp;ust=1605639552613000&amp;usg=AFQjCNFLG5VQ77LghgjjjIEuYeUUdpELGw" TargetMode="External"/><Relationship Id="rId2100" Type="http://schemas.openxmlformats.org/officeDocument/2006/relationships/hyperlink" Target="https://www.google.com/url?q=https://uva.onlinejudge.org/index.php?option%3Dcom_onlinejudge%26Itemid%3D8%26page%3Dshow_problem%26problem%3D774&amp;sa=D&amp;ust=1605639552804000&amp;usg=AFQjCNGRn-OFZptN4czDGUa-dpBwVaFTXg" TargetMode="External"/><Relationship Id="rId4065" Type="http://schemas.openxmlformats.org/officeDocument/2006/relationships/hyperlink" Target="https://www.google.com/url?q=http://codeforces.com/contest/855/problem/E&amp;sa=D&amp;ust=1605639554157000&amp;usg=AFQjCNG26S6zr1JMNcD2VQKxsCrhy38QEg" TargetMode="External"/><Relationship Id="rId4272" Type="http://schemas.openxmlformats.org/officeDocument/2006/relationships/hyperlink" Target="https://www.google.com/url?q=https://github.com/tmwilliamlin168/CompetitiveProgramming/blob/master/HackerRank/mining.cpp&amp;sa=D&amp;ust=1605639554274000&amp;usg=AFQjCNFkuTrfdoaUAVUYPsfNmt7gjtJcSA" TargetMode="External"/><Relationship Id="rId1659" Type="http://schemas.openxmlformats.org/officeDocument/2006/relationships/hyperlink" Target="https://www.google.com/url?q=https://github.com/goswami-rahul/competitive-coding/blob/master/CompetitiveProgramming/codeforces/CF10149-GYM-F.cpp&amp;sa=D&amp;ust=1605639552534000&amp;usg=AFQjCNGovA5s03KBBc7QOEpuOmrCJ0JkGw" TargetMode="External"/><Relationship Id="rId1866" Type="http://schemas.openxmlformats.org/officeDocument/2006/relationships/hyperlink" Target="https://www.google.com/url?q=https://github.com/MetalBall887/Competitive-Programming/blob/master/CodeForces/CF102058-GYM-F.cpp&amp;sa=D&amp;ust=1605639552646000&amp;usg=AFQjCNFbU-spOlvypKbKdsxNcrkn2ckLLw" TargetMode="External"/><Relationship Id="rId2917" Type="http://schemas.openxmlformats.org/officeDocument/2006/relationships/hyperlink" Target="https://www.google.com/url?q=https://www.hackerrank.com/contests/w38/challenges/cargo-delivery/&amp;sa=D&amp;ust=1605639553273000&amp;usg=AFQjCNH7UAVvJxpziWGNn4h4VTDyj6Fr-A" TargetMode="External"/><Relationship Id="rId3081" Type="http://schemas.openxmlformats.org/officeDocument/2006/relationships/hyperlink" Target="https://www.google.com/url?q=https://github.com/ajfabian/Competitive-Programming/blob/master/SPOJ/HACKERS/a.cpp&amp;sa=D&amp;ust=1605639553363000&amp;usg=AFQjCNEfCynDnkE7NZjqmZwZn0dAgNlU9A" TargetMode="External"/><Relationship Id="rId4132" Type="http://schemas.openxmlformats.org/officeDocument/2006/relationships/hyperlink" Target="https://www.google.com/url?q=https://github.com/VAMPIER000001/CompetitiveProgramming/blob/master/UVA/V-110/UVA%252011060.Cpp&amp;sa=D&amp;ust=1605639554197000&amp;usg=AFQjCNHGpuwf27t1STB-rw1VyUS7tQfuog" TargetMode="External"/><Relationship Id="rId1519" Type="http://schemas.openxmlformats.org/officeDocument/2006/relationships/hyperlink" Target="https://www.google.com/url?q=http://codeforces.com/contest/42/problem/D&amp;sa=D&amp;ust=1605639552458000&amp;usg=AFQjCNGeT5LhdVuawYPDv6ToFyUQ1BtkyQ" TargetMode="External"/><Relationship Id="rId1726" Type="http://schemas.openxmlformats.org/officeDocument/2006/relationships/hyperlink" Target="https://www.google.com/url?q=https://cses.fi/problemset/task/1084/&amp;sa=D&amp;ust=1605639552575000&amp;usg=AFQjCNGkplNuc3zeKRApeUbunNQfegZmxg" TargetMode="External"/><Relationship Id="rId1933" Type="http://schemas.openxmlformats.org/officeDocument/2006/relationships/hyperlink" Target="https://www.google.com/url?q=http://codeforces.com/contest/346/problem/D&amp;sa=D&amp;ust=1605639552698000&amp;usg=AFQjCNE0rFxqaARqDC6j6mUhRYjtGZlBGA" TargetMode="External"/><Relationship Id="rId18" Type="http://schemas.openxmlformats.org/officeDocument/2006/relationships/hyperlink" Target="https://www.google.com/url?q=https://codeforces.com/contest/128/problem/D&amp;sa=D&amp;ust=1605639551569000&amp;usg=AFQjCNFS1kYgx6MqRsqofP5yk-8dlz5d3w" TargetMode="External"/><Relationship Id="rId3898" Type="http://schemas.openxmlformats.org/officeDocument/2006/relationships/hyperlink" Target="https://www.google.com/url?q=http://codeforces.com/contest/741/problem/D&amp;sa=D&amp;ust=1605639553917000&amp;usg=AFQjCNHafVHeOqrhq9ycRFI7Rf38XvfVqg" TargetMode="External"/><Relationship Id="rId3758" Type="http://schemas.openxmlformats.org/officeDocument/2006/relationships/hyperlink" Target="https://www.google.com/url?q=http://codeforces.com/contest/842/problem/D&amp;sa=D&amp;ust=1605639553835000&amp;usg=AFQjCNFfCP67s63w4dUdQEqWAO_qnEKKbQ" TargetMode="External"/><Relationship Id="rId3965" Type="http://schemas.openxmlformats.org/officeDocument/2006/relationships/hyperlink" Target="https://www.google.com/url?q=https://uva.onlinejudge.org/index.php?option%3Donlinejudge%26page%3Dshow_problem%26problem%3D63&amp;sa=D&amp;ust=1605639553951000&amp;usg=AFQjCNELM8IiH-UgIbaTVISntX0LJIXdjA" TargetMode="External"/><Relationship Id="rId679" Type="http://schemas.openxmlformats.org/officeDocument/2006/relationships/hyperlink" Target="https://www.google.com/url?q=https://codeforces.com/contest/1093/problem/G&amp;sa=D&amp;ust=1605639551954000&amp;usg=AFQjCNGDxn1f40OhHvydojNJu9YXC0Fedg" TargetMode="External"/><Relationship Id="rId886" Type="http://schemas.openxmlformats.org/officeDocument/2006/relationships/hyperlink" Target="https://www.google.com/url?q=http://codeforces.com/contest/261/problem/E&amp;sa=D&amp;ust=1605639552063000&amp;usg=AFQjCNE4OZtpmaWf5DgXT58K1uYVG2M7vA" TargetMode="External"/><Relationship Id="rId2567" Type="http://schemas.openxmlformats.org/officeDocument/2006/relationships/hyperlink" Target="https://www.google.com/url?q=https://github.com/aboodJAD/CompetitiveProgramming/blob/master/SPOJ/SPOJ%2520LEGO.cpp&amp;sa=D&amp;ust=1605639553069000&amp;usg=AFQjCNHsJ_gKplhiNaHMMHhMqALahp2pUA" TargetMode="External"/><Relationship Id="rId2774" Type="http://schemas.openxmlformats.org/officeDocument/2006/relationships/hyperlink" Target="https://www.google.com/url?q=https://github.com/Coder-Boy1/CodeForces/blob/master/100341-GYM-J&amp;sa=D&amp;ust=1605639553193000&amp;usg=AFQjCNH1eqKyxUMD4sBtSD7MG1CoVUpBOg" TargetMode="External"/><Relationship Id="rId3618" Type="http://schemas.openxmlformats.org/officeDocument/2006/relationships/hyperlink" Target="https://www.google.com/url?q=https://github.com/mostafa-saad/MyCompetitiveProgramming/blob/master/UVA/UVA_11346.txt&amp;sa=D&amp;ust=1605639553743000&amp;usg=AFQjCNGuB0jp6bEH7hwstBxlNEM6ZkYP5w" TargetMode="External"/><Relationship Id="rId2" Type="http://schemas.openxmlformats.org/officeDocument/2006/relationships/hyperlink" Target="https://www.google.com/url?q=https://hanoi18.kattis.com/problems/hanoi18.bipartitebattle&amp;sa=D&amp;ust=1605639551563000&amp;usg=AFQjCNHw5djqIRd3y4P75ezHbXLM-ZZGEQ" TargetMode="External"/><Relationship Id="rId539" Type="http://schemas.openxmlformats.org/officeDocument/2006/relationships/hyperlink" Target="https://www.google.com/url?q=http://codeforces.com/contest/525/problem/E&amp;sa=D&amp;ust=1605639551904000&amp;usg=AFQjCNElP9N5Darykoe0lmBzoxCQphpL-Q" TargetMode="External"/><Relationship Id="rId746" Type="http://schemas.openxmlformats.org/officeDocument/2006/relationships/hyperlink" Target="https://www.google.com/url?q=http://codeforces.com/contest/620/problem/E&amp;sa=D&amp;ust=1605639551986000&amp;usg=AFQjCNEXrbQfYNhzVSBCM9HxPlwOgjWXFA" TargetMode="External"/><Relationship Id="rId1169" Type="http://schemas.openxmlformats.org/officeDocument/2006/relationships/hyperlink" Target="https://www.google.com/url?q=http://codeforces.com/contest/430/problem/D&amp;sa=D&amp;ust=1605639552223000&amp;usg=AFQjCNGZhrkIv7Jqbokt0ZUgiHxRzEqICg" TargetMode="External"/><Relationship Id="rId1376" Type="http://schemas.openxmlformats.org/officeDocument/2006/relationships/hyperlink" Target="https://www.google.com/url?q=http://codeforces.com/contest/129/problem/E&amp;sa=D&amp;ust=1605639552361000&amp;usg=AFQjCNFB_R1-4MUhGmlgDc5hDykqxjdEcA" TargetMode="External"/><Relationship Id="rId1583" Type="http://schemas.openxmlformats.org/officeDocument/2006/relationships/hyperlink" Target="https://www.google.com/url?q=http://codeforces.com/contest/86/problem/B&amp;sa=D&amp;ust=1605639552492000&amp;usg=AFQjCNHBgaEQoYBcMeloJIPC5npSxUnvHQ" TargetMode="External"/><Relationship Id="rId2427" Type="http://schemas.openxmlformats.org/officeDocument/2006/relationships/hyperlink" Target="https://www.google.com/url?q=https://codeforces.com/contest/1262/problem/E&amp;sa=D&amp;ust=1605639552982000&amp;usg=AFQjCNHIccon-jaBiYzYA_ojDz3IOnZJGw" TargetMode="External"/><Relationship Id="rId2981" Type="http://schemas.openxmlformats.org/officeDocument/2006/relationships/hyperlink" Target="https://www.google.com/url?q=https://code.google.com/codejam/contest/dashboard?c%3D4304486%23s%3Dp2&amp;sa=D&amp;ust=1605639553310000&amp;usg=AFQjCNHE7P5LYnySvc00mWM6bUoqdwe9SA" TargetMode="External"/><Relationship Id="rId3825" Type="http://schemas.openxmlformats.org/officeDocument/2006/relationships/hyperlink" Target="https://www.google.com/url?q=https://github.com/WaleedAbdelhakim/Competitive-Programming/blob/master/CodeForces/CF102028-GYM-H.cpp&amp;sa=D&amp;ust=1605639553881000&amp;usg=AFQjCNF7qctN49S8yAnzGj9JU6IDyEc8fA" TargetMode="External"/><Relationship Id="rId953" Type="http://schemas.openxmlformats.org/officeDocument/2006/relationships/hyperlink" Target="https://www.google.com/url?q=http://codeforces.com/contest/283/problem/D&amp;sa=D&amp;ust=1605639552102000&amp;usg=AFQjCNF0E9ri_hxt1zfebn2BUa4Rt8_FuQ" TargetMode="External"/><Relationship Id="rId1029" Type="http://schemas.openxmlformats.org/officeDocument/2006/relationships/hyperlink" Target="https://www.google.com/url?q=https://codeforces.com/contest/1175/problem/E&amp;sa=D&amp;ust=1605639552139000&amp;usg=AFQjCNGX68dtrWybbi2GOkiIjBp1mOZb_Q" TargetMode="External"/><Relationship Id="rId1236" Type="http://schemas.openxmlformats.org/officeDocument/2006/relationships/hyperlink" Target="https://www.google.com/url?q=https://codeforces.com/contest/1140/problem/E&amp;sa=D&amp;ust=1605639552273000&amp;usg=AFQjCNGWUIwuaxIQG5ToyniSvoaHBEre4g" TargetMode="External"/><Relationship Id="rId1790" Type="http://schemas.openxmlformats.org/officeDocument/2006/relationships/hyperlink" Target="https://www.google.com/url?q=http://codeforces.com/contest/279/problem/E&amp;sa=D&amp;ust=1605639552608000&amp;usg=AFQjCNGyB7Hj8rWsVUxBd11rJBHKFRjJOA" TargetMode="External"/><Relationship Id="rId2634" Type="http://schemas.openxmlformats.org/officeDocument/2006/relationships/hyperlink" Target="https://www.google.com/url?q=https://www.youtube.com/watch?v%3DMR5APvYis-o%26feature%3Dyoutu.be&amp;sa=D&amp;ust=1605639553115000&amp;usg=AFQjCNGJeyrNX_zms5EvgbGleHWTGrR0BQ" TargetMode="External"/><Relationship Id="rId2841" Type="http://schemas.openxmlformats.org/officeDocument/2006/relationships/hyperlink" Target="https://www.google.com/url?q=https://uva.onlinejudge.org/index.php?option%3Dcom_onlinejudge%26Itemid%3D8%26page%3Dshow_problem%26problem%3D1033&amp;sa=D&amp;ust=1605639553232000&amp;usg=AFQjCNHoAltMLWO8zaGMbma1c1WcForQYA" TargetMode="External"/><Relationship Id="rId82" Type="http://schemas.openxmlformats.org/officeDocument/2006/relationships/hyperlink" Target="https://www.google.com/url?q=https://github.com/YazanZebak/CompetitiveProgramming/blob/master/Codeforces/CF101807-GYM-F.cpp&amp;sa=D&amp;ust=1605639551601000&amp;usg=AFQjCNEEThWJy2vLC4705nJ7NnpWsdiAMA" TargetMode="External"/><Relationship Id="rId606" Type="http://schemas.openxmlformats.org/officeDocument/2006/relationships/hyperlink" Target="https://www.google.com/url?q=https://www.hackerrank.com/contests/worldcup/challenges/two-arrays-1&amp;sa=D&amp;ust=1605639551928000&amp;usg=AFQjCNGLZuzeifSYmK6dSpLX6IJnI5ZdlA" TargetMode="External"/><Relationship Id="rId813" Type="http://schemas.openxmlformats.org/officeDocument/2006/relationships/hyperlink" Target="https://www.google.com/url?q=https://uva.onlinejudge.org/index.php?option%3Dcom_onlinejudge%26Itemid%3D8%26page%3Dshow_problem%26problem%3D3977&amp;sa=D&amp;ust=1605639552020000&amp;usg=AFQjCNFU1UY6LpLQjzPRsa7--psP3iMB4Q" TargetMode="External"/><Relationship Id="rId1443" Type="http://schemas.openxmlformats.org/officeDocument/2006/relationships/hyperlink" Target="https://www.google.com/url?q=http://codeforces.com/contest/28/problem/C&amp;sa=D&amp;ust=1605639552413000&amp;usg=AFQjCNFxI_9z6GLVnTMXe2KJLff1tqVREw" TargetMode="External"/><Relationship Id="rId1650" Type="http://schemas.openxmlformats.org/officeDocument/2006/relationships/hyperlink" Target="https://www.google.com/url?q=https://www.facebook.com/hackercup/problem/2448144345414246/&amp;sa=D&amp;ust=1605639552529000&amp;usg=AFQjCNHYSZLi4G6NeH_xZSymlxQyzTZ3Lw" TargetMode="External"/><Relationship Id="rId2701" Type="http://schemas.openxmlformats.org/officeDocument/2006/relationships/hyperlink" Target="https://www.google.com/url?q=https://github.com/AliOsm/CompetitiveProgramming/blob/master/CodeForces%2520Gyms/ACM%2520International%2520Collegiate%2520Programming%2520Contest%252C%2520Tishreen%2520Collegiate%2520Programming%2520Contest%2520(2017)/J.%2520The%2520Volcano%2520Eruption.cpp&amp;sa=D&amp;ust=1605639553148000&amp;usg=AFQjCNHfmF1dZJ2suOxqJKO-Z3DA3ME5fw" TargetMode="External"/><Relationship Id="rId1303" Type="http://schemas.openxmlformats.org/officeDocument/2006/relationships/hyperlink" Target="https://www.google.com/url?q=https://github.com/jebouin/CompetitiveProgramming/blob/master/TopCoder/SRM356-D1-500.cpp&amp;sa=D&amp;ust=1605639552318000&amp;usg=AFQjCNF3pQZ1N-Qxgu90o3C1gO5h7hE7dw" TargetMode="External"/><Relationship Id="rId1510" Type="http://schemas.openxmlformats.org/officeDocument/2006/relationships/hyperlink" Target="https://www.google.com/url?q=https://github.com/AhmedRamadanAbdElghany/CompetitiveProgramming/blob/master/Spoj/GCJ1C09C.cpp&amp;sa=D&amp;ust=1605639552452000&amp;usg=AFQjCNHcnePYovEkxvAH8CwSHzDggVAMkQ" TargetMode="External"/><Relationship Id="rId3268" Type="http://schemas.openxmlformats.org/officeDocument/2006/relationships/hyperlink" Target="https://www.google.com/url?q=http://codeforces.com/contest/182/problem/D&amp;sa=D&amp;ust=1605639553463000&amp;usg=AFQjCNHkTV-KRa72FDQP1B0-FiaCVzM7CA" TargetMode="External"/><Relationship Id="rId3475" Type="http://schemas.openxmlformats.org/officeDocument/2006/relationships/hyperlink" Target="https://www.google.com/url?q=https://github.com/Huvok/CompetitiveProgramming/blob/master/Codeforces/CF1029-D3-F.cpp&amp;sa=D&amp;ust=1605639553602000&amp;usg=AFQjCNGT0QjKdhz0oaq69ikiYE70ah-z3g" TargetMode="External"/><Relationship Id="rId3682" Type="http://schemas.openxmlformats.org/officeDocument/2006/relationships/hyperlink" Target="https://www.google.com/url?q=https://www.codechef.com/problems/C3&amp;sa=D&amp;ust=1605639553787000&amp;usg=AFQjCNHakIGD2yDIqEXtB6frEHaxlzlILw" TargetMode="External"/><Relationship Id="rId4319" Type="http://schemas.openxmlformats.org/officeDocument/2006/relationships/hyperlink" Target="https://www.google.com/url?q=https://pastebin.com/Hfz9Aq4e&amp;sa=D&amp;ust=1605639554292000&amp;usg=AFQjCNGtoZ1qb7KYcP1W_BRPVMU5bVQLgQ" TargetMode="External"/><Relationship Id="rId189" Type="http://schemas.openxmlformats.org/officeDocument/2006/relationships/hyperlink" Target="https://www.google.com/url?q=http://codeforces.com/contest/366/problem/E&amp;sa=D&amp;ust=1605639551670000&amp;usg=AFQjCNHaNLbIEq1a9WqDgBOFOm8ND6O4zg" TargetMode="External"/><Relationship Id="rId396" Type="http://schemas.openxmlformats.org/officeDocument/2006/relationships/hyperlink" Target="https://www.google.com/url?q=https://agc006.contest.atcoder.jp/tasks/agc006_d&amp;sa=D&amp;ust=1605639551840000&amp;usg=AFQjCNEAsQaNARPRkjmyYpmWRWheRcXE-A" TargetMode="External"/><Relationship Id="rId2077" Type="http://schemas.openxmlformats.org/officeDocument/2006/relationships/hyperlink" Target="https://www.google.com/url?q=https://uva.onlinejudge.org/index.php?option%3Donlinejudge%26page%3Dshow_problem%26problem%3D4601&amp;sa=D&amp;ust=1605639552786000&amp;usg=AFQjCNFbnNMenlDvZcw8B1eEbxxazpfBjQ" TargetMode="External"/><Relationship Id="rId2284" Type="http://schemas.openxmlformats.org/officeDocument/2006/relationships/hyperlink" Target="https://www.google.com/url?q=https://codingcompetitions.withgoogle.com/codejam/round/0000000000007706/00000000000459f4&amp;sa=D&amp;ust=1605639552920000&amp;usg=AFQjCNHvBtLJEN2yuOy-iFTwsmU4ds-I_A" TargetMode="External"/><Relationship Id="rId2491" Type="http://schemas.openxmlformats.org/officeDocument/2006/relationships/hyperlink" Target="https://www.google.com/url?q=https://github.com/Triplem5ds/Competitve-Programming/blob/master/atcoder/AtCoder001-AGC-C.cpp&amp;sa=D&amp;ust=1605639553027000&amp;usg=AFQjCNGZPXZ-Reggua3hgDGQkXYswGBPYg" TargetMode="External"/><Relationship Id="rId3128" Type="http://schemas.openxmlformats.org/officeDocument/2006/relationships/hyperlink" Target="https://www.google.com/url?q=https://github.com/WaleedAbdelhakim/Competitive-Programming/blob/master/CodeForces/CF102028-GYM-J.cpp&amp;sa=D&amp;ust=1605639553394000&amp;usg=AFQjCNF53ulzh3rkLV1CMijujVmQSUUgow" TargetMode="External"/><Relationship Id="rId3335" Type="http://schemas.openxmlformats.org/officeDocument/2006/relationships/hyperlink" Target="https://www.google.com/url?q=http://codeforces.com/contest/236/problem/C&amp;sa=D&amp;ust=1605639553508000&amp;usg=AFQjCNEcD6zvmJinvUIleOcEchFAnBFfVw" TargetMode="External"/><Relationship Id="rId3542" Type="http://schemas.openxmlformats.org/officeDocument/2006/relationships/hyperlink" Target="https://www.google.com/url?q=http://www.spoj.com/problems/DCEPC12E&amp;sa=D&amp;ust=1605639553681000&amp;usg=AFQjCNH_FRg6feDRo38cHWGzeOWK-8CXSA" TargetMode="External"/><Relationship Id="rId256" Type="http://schemas.openxmlformats.org/officeDocument/2006/relationships/hyperlink" Target="https://www.google.com/url?q=https://agc011.contest.atcoder.jp/submissions/1157868&amp;sa=D&amp;ust=1605639551726000&amp;usg=AFQjCNENt1ZPD2cZuMrNhNbUrchGxcDUOw" TargetMode="External"/><Relationship Id="rId463" Type="http://schemas.openxmlformats.org/officeDocument/2006/relationships/hyperlink" Target="https://www.google.com/url?q=https://codeforces.com/contest/1138/problem/C&amp;sa=D&amp;ust=1605639551870000&amp;usg=AFQjCNHtG8U2wljoamCWgR6-xjH3qOxtKA" TargetMode="External"/><Relationship Id="rId670" Type="http://schemas.openxmlformats.org/officeDocument/2006/relationships/hyperlink" Target="https://www.google.com/url?q=https://github.com/FranciscoThiesen/CompetitiveProgramming/blob/master/CSAcademy/CSA41-E.cpp&amp;sa=D&amp;ust=1605639551950000&amp;usg=AFQjCNG3tnsBI1LyuzJxrgdhZsnpBYgdfA" TargetMode="External"/><Relationship Id="rId1093" Type="http://schemas.openxmlformats.org/officeDocument/2006/relationships/hyperlink" Target="https://www.google.com/url?q=https://codeforces.com/contest/1114/problem/D&amp;sa=D&amp;ust=1605639552173000&amp;usg=AFQjCNHtgZKld-lFJ97OqJjGmpv3guOi_w" TargetMode="External"/><Relationship Id="rId2144" Type="http://schemas.openxmlformats.org/officeDocument/2006/relationships/hyperlink" Target="https://www.google.com/url?q=https://github.com/mostafa-saad/MyCompetitiveProgramming/blob/master/UVA/UVA_137.txt&amp;sa=D&amp;ust=1605639552834000&amp;usg=AFQjCNGVE8re0pVHGB4U9Bejm6Boeo-SkA" TargetMode="External"/><Relationship Id="rId2351" Type="http://schemas.openxmlformats.org/officeDocument/2006/relationships/hyperlink" Target="https://www.google.com/url?q=https://codeforces.com/contest/1311/problem/E&amp;sa=D&amp;ust=1605639552947000&amp;usg=AFQjCNEzn6i8lYRRS6qZsVba3mjQ0gBckg" TargetMode="External"/><Relationship Id="rId3402" Type="http://schemas.openxmlformats.org/officeDocument/2006/relationships/hyperlink" Target="https://www.google.com/url?q=http://codeforces.com/contest/336/problem/D&amp;sa=D&amp;ust=1605639553553000&amp;usg=AFQjCNHHyq6jHlLHD-v4SzW7GZRZT5WXMQ" TargetMode="External"/><Relationship Id="rId116" Type="http://schemas.openxmlformats.org/officeDocument/2006/relationships/hyperlink" Target="https://www.google.com/url?q=http://codeforces.com/contest/1042/problem/C&amp;sa=D&amp;ust=1605639551621000&amp;usg=AFQjCNGySxV8NeZNQAIUE4_A2ti_b2fecg" TargetMode="External"/><Relationship Id="rId323" Type="http://schemas.openxmlformats.org/officeDocument/2006/relationships/hyperlink" Target="https://www.google.com/url?q=https://codeforces.com/contest/475/problem/D&amp;sa=D&amp;ust=1605639551768000&amp;usg=AFQjCNHALy9hLAKA1vi8LAAfofZk_WNyrw" TargetMode="External"/><Relationship Id="rId530" Type="http://schemas.openxmlformats.org/officeDocument/2006/relationships/hyperlink" Target="https://www.google.com/url?q=http://codeforces.com/contest/585/problem/D&amp;sa=D&amp;ust=1605639551899000&amp;usg=AFQjCNHMmcTAZyl98dJ2KUmnDdjpcctvAQ" TargetMode="External"/><Relationship Id="rId1160" Type="http://schemas.openxmlformats.org/officeDocument/2006/relationships/hyperlink" Target="https://www.google.com/url?q=https://csacademy.com/contest/round-61/task/strictly-increasing-array/&amp;sa=D&amp;ust=1605639552218000&amp;usg=AFQjCNEf9-ImSgQWynWMKM5xpyZ9P8S2iQ" TargetMode="External"/><Relationship Id="rId2004" Type="http://schemas.openxmlformats.org/officeDocument/2006/relationships/hyperlink" Target="https://www.google.com/url?q=https://github.com/mostafa-saad/MyCompetitiveProgramming/blob/master/Misc/GreatCircle.txt&amp;sa=D&amp;ust=1605639552737000&amp;usg=AFQjCNHJhznJw-yXKn-DoZgmnwVQNzaVUA" TargetMode="External"/><Relationship Id="rId2211" Type="http://schemas.openxmlformats.org/officeDocument/2006/relationships/hyperlink" Target="https://www.google.com/url?q=https://github.com/DrSchwad/CompetitiveProgramming/blob/master/UVA/UVA%252012226.cpp&amp;sa=D&amp;ust=1605639552878000&amp;usg=AFQjCNG3qiOqpOX9rCkS_GCClSUFiBYtSg" TargetMode="External"/><Relationship Id="rId4176" Type="http://schemas.openxmlformats.org/officeDocument/2006/relationships/hyperlink" Target="https://www.google.com/url?q=http://codeforces.com/contest/139/problem/E&amp;sa=D&amp;ust=1605639554220000&amp;usg=AFQjCNHYRydNm_Mhst_u825m3r8xzie_RA" TargetMode="External"/><Relationship Id="rId1020" Type="http://schemas.openxmlformats.org/officeDocument/2006/relationships/hyperlink" Target="https://www.google.com/url?q=http://codeforces.com/contest/124/problem/E&amp;sa=D&amp;ust=1605639552135000&amp;usg=AFQjCNE5ZEFEkLw9bFuCUANNkHJniDJkSg" TargetMode="External"/><Relationship Id="rId1977" Type="http://schemas.openxmlformats.org/officeDocument/2006/relationships/hyperlink" Target="https://www.google.com/url?q=https://www.hackerrank.com/challenges/a-circle-and-a-square&amp;sa=D&amp;ust=1605639552720000&amp;usg=AFQjCNEGhWgaCpy2S5TaAOv0cyDqqMxH6Q" TargetMode="External"/><Relationship Id="rId4383" Type="http://schemas.openxmlformats.org/officeDocument/2006/relationships/hyperlink" Target="https://www.google.com/url?q=https://icpcarchive.ecs.baylor.edu/index.php?option%3Dcom_onlinejudge%26Itemid%3D8%26category%3D683%26page%3Dshow_problem%26problem%3D5248&amp;sa=D&amp;ust=1605639554319000&amp;usg=AFQjCNGLR1uHIJkhGKrrKlUGPwkkMNhA6w" TargetMode="External"/><Relationship Id="rId1837" Type="http://schemas.openxmlformats.org/officeDocument/2006/relationships/hyperlink" Target="https://www.google.com/url?q=https://www.codechef.com/problems/ASTRGAME&amp;sa=D&amp;ust=1605639552635000&amp;usg=AFQjCNFUtlt0r5Fxwz9yb2dQqa1oyc5q1g" TargetMode="External"/><Relationship Id="rId3192" Type="http://schemas.openxmlformats.org/officeDocument/2006/relationships/hyperlink" Target="https://www.google.com/url?q=https://codingcompetitions.withgoogle.com/codejam/round/0000000000051705/000000000008830b&amp;sa=D&amp;ust=1605639553423000&amp;usg=AFQjCNGnEXtPDmLbgHa4-et52hmhbovmhA" TargetMode="External"/><Relationship Id="rId4036" Type="http://schemas.openxmlformats.org/officeDocument/2006/relationships/hyperlink" Target="https://www.google.com/url?q=https://github.com/MNT95/Competitive-Programming/blob/master/UVa/DP/10645%2520-%2520Menu.cpp&amp;sa=D&amp;ust=1605639554145000&amp;usg=AFQjCNF4RbueP8r_wlrVwLLy9R4LVpp7xQ" TargetMode="External"/><Relationship Id="rId4243" Type="http://schemas.openxmlformats.org/officeDocument/2006/relationships/hyperlink" Target="https://www.google.com/url?q=https://github.com/mostafa-saad/MyCompetitiveProgramming/blob/master/Codeforces/CF101174-GYM-F.txt&amp;sa=D&amp;ust=1605639554261000&amp;usg=AFQjCNHsXe9GJ2_FFsB1fjsiJbWFJT5CTQ" TargetMode="External"/><Relationship Id="rId4450" Type="http://schemas.openxmlformats.org/officeDocument/2006/relationships/hyperlink" Target="https://www.google.com/url?q=https://codeforces.com/contest/1089&amp;sa=D&amp;ust=1605639554349000&amp;usg=AFQjCNHsKdO2EJb-xufSSYnyx3JoHefhEg" TargetMode="External"/><Relationship Id="rId3052" Type="http://schemas.openxmlformats.org/officeDocument/2006/relationships/hyperlink" Target="https://www.google.com/url?q=http://codeforces.com/contest/418/problem/D&amp;sa=D&amp;ust=1605639553352000&amp;usg=AFQjCNGZD6a3T-rCxxExdEUUxA3h3O6rNA" TargetMode="External"/><Relationship Id="rId4103" Type="http://schemas.openxmlformats.org/officeDocument/2006/relationships/hyperlink" Target="https://www.google.com/url?q=http://codeforces.com/contest/723/problem/D&amp;sa=D&amp;ust=1605639554179000&amp;usg=AFQjCNHdQdoJKdKWsRlr5b18P1RrsW20-g" TargetMode="External"/><Relationship Id="rId4310" Type="http://schemas.openxmlformats.org/officeDocument/2006/relationships/hyperlink" Target="https://www.google.com/url?q=https://github.com/WaleedAbdelhakim/Competitive-Programming/blob/master/CodeForces/CF101470-GYM-F.cpp&amp;sa=D&amp;ust=1605639554288000&amp;usg=AFQjCNEacVdIfhhgZBrfI-lyZTCHdX3S-Q" TargetMode="External"/><Relationship Id="rId180" Type="http://schemas.openxmlformats.org/officeDocument/2006/relationships/hyperlink" Target="https://www.google.com/url?q=https://codeforces.com/contest/1041/problem/F&amp;sa=D&amp;ust=1605639551665000&amp;usg=AFQjCNFnMRnUDtCEIoj4RI0YDLbeehd-dA" TargetMode="External"/><Relationship Id="rId1904" Type="http://schemas.openxmlformats.org/officeDocument/2006/relationships/hyperlink" Target="https://www.google.com/url?q=https://github.com/DrSchwad/CompetitiveProgramming/blob/master/UVA/UVA%252011123.cpp&amp;sa=D&amp;ust=1605639552675000&amp;usg=AFQjCNFakXRaMlmcflLrec4qCX42PBUPwQ" TargetMode="External"/><Relationship Id="rId3869" Type="http://schemas.openxmlformats.org/officeDocument/2006/relationships/hyperlink" Target="https://www.google.com/url?q=https://www.codechef.com/problems/CARDSHUF&amp;sa=D&amp;ust=1605639553902000&amp;usg=AFQjCNGqtHfU8EFkHoTFZHPOab-DP8y1xw" TargetMode="External"/><Relationship Id="rId997" Type="http://schemas.openxmlformats.org/officeDocument/2006/relationships/hyperlink" Target="https://www.google.com/url?q=https://www.codechef.com/problems/KNICOV&amp;sa=D&amp;ust=1605639552123000&amp;usg=AFQjCNHH2gBWIBPyP4wDgdEwgrLnvOfcmQ" TargetMode="External"/><Relationship Id="rId2678" Type="http://schemas.openxmlformats.org/officeDocument/2006/relationships/hyperlink" Target="https://www.google.com/url?q=http://codeforces.com/contest/723/problem/F&amp;sa=D&amp;ust=1605639553136000&amp;usg=AFQjCNGgyjIZmjpGvqBhzGI93y1wAKgFdQ" TargetMode="External"/><Relationship Id="rId2885" Type="http://schemas.openxmlformats.org/officeDocument/2006/relationships/hyperlink" Target="https://www.google.com/url?q=https://uva.onlinejudge.org/index.php?option%3Dcom_onlinejudge%26Itemid%3D8%26page%3Dshow_problem%26problem%3D2100&amp;sa=D&amp;ust=1605639553256000&amp;usg=AFQjCNF_D0bub2_8GayJjcylKp90QcV-kQ" TargetMode="External"/><Relationship Id="rId3729" Type="http://schemas.openxmlformats.org/officeDocument/2006/relationships/hyperlink" Target="https://www.google.com/url?q=https://github.com/Huvok/CompetitiveProgramming/blob/master/SPOJ/SQFREE.cpp&amp;sa=D&amp;ust=1605639553815000&amp;usg=AFQjCNFeSveg-9MA4sdoISrI7RRpoZN5Aw" TargetMode="External"/><Relationship Id="rId3936" Type="http://schemas.openxmlformats.org/officeDocument/2006/relationships/hyperlink" Target="https://www.google.com/url?q=https://codeforces.com/contest/1099/problem/E&amp;sa=D&amp;ust=1605639553938000&amp;usg=AFQjCNFmj2d3fov6WPpw9saAuiQe_CSxVw" TargetMode="External"/><Relationship Id="rId857" Type="http://schemas.openxmlformats.org/officeDocument/2006/relationships/hyperlink" Target="https://www.google.com/url?q=https://github.com/tmwilliamlin168/CompetitiveProgramming/blob/master/CodeForces/CF374-D2-D.cpp&amp;sa=D&amp;ust=1605639552042000&amp;usg=AFQjCNGBTzj0RagbZPdLx9RlKjyTQo7luA" TargetMode="External"/><Relationship Id="rId1487" Type="http://schemas.openxmlformats.org/officeDocument/2006/relationships/hyperlink" Target="https://www.google.com/url?q=http://poj.org/problem?id%3D2096&amp;sa=D&amp;ust=1605639552437000&amp;usg=AFQjCNFdHkGvDaoEbk2JQgmKWPHZZTJG-A" TargetMode="External"/><Relationship Id="rId1694" Type="http://schemas.openxmlformats.org/officeDocument/2006/relationships/hyperlink" Target="https://www.google.com/url?q=http://codeforces.com/contest/234/problem/H&amp;sa=D&amp;ust=1605639552557000&amp;usg=AFQjCNFeUGdyDrBlH1cdcvZ0T-NUfhQOVw" TargetMode="External"/><Relationship Id="rId2538" Type="http://schemas.openxmlformats.org/officeDocument/2006/relationships/hyperlink" Target="https://www.google.com/url?q=https://github.com/ahmedsamir221/CompetitiveProgramming/blob/master/SPOJ/SPOJ%2520AMR10J.cpp&amp;sa=D&amp;ust=1605639553054000&amp;usg=AFQjCNF7zWThIqLGyaGqZDtOD_nU9NCyCw" TargetMode="External"/><Relationship Id="rId2745" Type="http://schemas.openxmlformats.org/officeDocument/2006/relationships/hyperlink" Target="https://www.google.com/url?q=http://codeforces.com/contest/21/problem/D&amp;sa=D&amp;ust=1605639553172000&amp;usg=AFQjCNFrk_zMjPjZE7-ALLwZu-Q6_3iWRA" TargetMode="External"/><Relationship Id="rId2952" Type="http://schemas.openxmlformats.org/officeDocument/2006/relationships/hyperlink" Target="https://www.google.com/url?q=https://codeforces.com/gym/102021/attachments&amp;sa=D&amp;ust=1605639553291000&amp;usg=AFQjCNEXGMr0DVyBprFDxDwbPu3u0pQH-Q" TargetMode="External"/><Relationship Id="rId717" Type="http://schemas.openxmlformats.org/officeDocument/2006/relationships/hyperlink" Target="https://www.google.com/url?q=http://codeforces.com/contest/777/problem/E&amp;sa=D&amp;ust=1605639551972000&amp;usg=AFQjCNH6b5tEnqGJd-1_DnPZQpltkxr3pQ" TargetMode="External"/><Relationship Id="rId924" Type="http://schemas.openxmlformats.org/officeDocument/2006/relationships/hyperlink" Target="https://www.google.com/url?q=http://codeforces.com/contest/150/problem/D&amp;sa=D&amp;ust=1605639552084000&amp;usg=AFQjCNF-mtibEHAjjRvGgoxYnYgGGtFp_A" TargetMode="External"/><Relationship Id="rId1347" Type="http://schemas.openxmlformats.org/officeDocument/2006/relationships/hyperlink" Target="https://www.google.com/url?q=https://agc002.contest.atcoder.jp/tasks/agc002_f&amp;sa=D&amp;ust=1605639552345000&amp;usg=AFQjCNHbGj1f8uwtapRNTT1Zt1pQmAbWJA" TargetMode="External"/><Relationship Id="rId1554" Type="http://schemas.openxmlformats.org/officeDocument/2006/relationships/hyperlink" Target="https://www.google.com/url?q=http://codeforces.com/contest/980/problem/E&amp;sa=D&amp;ust=1605639552478000&amp;usg=AFQjCNEoHIWdV7Z9Rs1xvBZ5F6fh1wXAyw" TargetMode="External"/><Relationship Id="rId1761" Type="http://schemas.openxmlformats.org/officeDocument/2006/relationships/hyperlink" Target="https://www.google.com/url?q=http://codeforces.com/contest/847/problem/K&amp;sa=D&amp;ust=1605639552591000&amp;usg=AFQjCNFvvVEk1V7vG101lH9XA5mv_NUNug" TargetMode="External"/><Relationship Id="rId2605" Type="http://schemas.openxmlformats.org/officeDocument/2006/relationships/hyperlink" Target="https://www.google.com/url?q=https://apps.topcoder.com/forums/?module%3DThread%26threadID%3D662332%26start%3D0%26mc%3D17&amp;sa=D&amp;ust=1605639553095000&amp;usg=AFQjCNEYWERVgbDyaH2SzciBlATsn8vULw" TargetMode="External"/><Relationship Id="rId2812" Type="http://schemas.openxmlformats.org/officeDocument/2006/relationships/hyperlink" Target="https://www.google.com/url?q=https://onlinejudge.org/index.php?option%3Dcom_onlinejudge%26Itemid%3D8%26page%3Dshow_problem%26problem%3D4122&amp;sa=D&amp;ust=1605639553217000&amp;usg=AFQjCNH7hHNFwBXU2h-_zf2t3jN6Kg5EoQ" TargetMode="External"/><Relationship Id="rId53" Type="http://schemas.openxmlformats.org/officeDocument/2006/relationships/hyperlink" Target="https://www.google.com/url?q=http://codeforces.com/contest/124/problem/D&amp;sa=D&amp;ust=1605639551584000&amp;usg=AFQjCNFbyDM5e7XzPVLGCCkEozK9ETdo6Q" TargetMode="External"/><Relationship Id="rId1207" Type="http://schemas.openxmlformats.org/officeDocument/2006/relationships/hyperlink" Target="https://www.google.com/url?q=https://github.com/MonaAhmed810/CompetitiveProgramming/blob/master/SPOJ/DCOWS.cpp&amp;sa=D&amp;ust=1605639552251000&amp;usg=AFQjCNEIVO6bTolkSbxOt4UacUwhA43a0g" TargetMode="External"/><Relationship Id="rId1414" Type="http://schemas.openxmlformats.org/officeDocument/2006/relationships/hyperlink" Target="https://www.google.com/url?q=http://codeforces.com/contest/917/problem/B&amp;sa=D&amp;ust=1605639552392000&amp;usg=AFQjCNG_oF9Cn6dRXm4XvuRWQHOHAc0YYQ" TargetMode="External"/><Relationship Id="rId1621" Type="http://schemas.openxmlformats.org/officeDocument/2006/relationships/hyperlink" Target="https://www.google.com/url?q=http://codeforces.com/gym/101341/problem/E&amp;sa=D&amp;ust=1605639552514000&amp;usg=AFQjCNELHVgVJG-gq_OvvtW9BK9ki0hTTg" TargetMode="External"/><Relationship Id="rId3379" Type="http://schemas.openxmlformats.org/officeDocument/2006/relationships/hyperlink" Target="https://www.google.com/url?q=http://codeforces.com/contest/698/problem/F&amp;sa=D&amp;ust=1605639553541000&amp;usg=AFQjCNFsxnSOCo4hUPEAJSifzTWoFBORvA" TargetMode="External"/><Relationship Id="rId3586" Type="http://schemas.openxmlformats.org/officeDocument/2006/relationships/hyperlink" Target="https://www.google.com/url?q=http://codeforces.com/contest/504/problem/D&amp;sa=D&amp;ust=1605639553719000&amp;usg=AFQjCNEHrUwsqce37Xj2WrMchaRZB-a4yA" TargetMode="External"/><Relationship Id="rId3793" Type="http://schemas.openxmlformats.org/officeDocument/2006/relationships/hyperlink" Target="https://www.google.com/url?q=http://codeforces.com/contest/347/problem/D&amp;sa=D&amp;ust=1605639553856000&amp;usg=AFQjCNEGo9L_E2VvWAPEtF6HRm8_TsO-2w" TargetMode="External"/><Relationship Id="rId2188" Type="http://schemas.openxmlformats.org/officeDocument/2006/relationships/hyperlink" Target="https://www.google.com/url?q=http://codeforces.com/gym/101484/problem/E&amp;sa=D&amp;ust=1605639552862000&amp;usg=AFQjCNFVRLOVVgRvNcXVe_Dtj06F-nQ_0g" TargetMode="External"/><Relationship Id="rId2395" Type="http://schemas.openxmlformats.org/officeDocument/2006/relationships/hyperlink" Target="https://www.google.com/url?q=http://codeforces.com/contest/441/problem/C&amp;sa=D&amp;ust=1605639552966000&amp;usg=AFQjCNGL2ArdCUc8UznLrdQ94gdLS6xZJw" TargetMode="External"/><Relationship Id="rId3239" Type="http://schemas.openxmlformats.org/officeDocument/2006/relationships/hyperlink" Target="https://www.google.com/url?q=http://agc016.contest.atcoder.jp/tasks/agc016_b&amp;sa=D&amp;ust=1605639553447000&amp;usg=AFQjCNGuFfAAN5CReCUzZiqLqOuKa6t_ZA" TargetMode="External"/><Relationship Id="rId3446" Type="http://schemas.openxmlformats.org/officeDocument/2006/relationships/hyperlink" Target="https://www.google.com/url?q=https://codeforces.com/problemset/problem/1254/E&amp;sa=D&amp;ust=1605639553580000&amp;usg=AFQjCNGSIjm_bLY7f0s7YMIp8TBy1UwHMA" TargetMode="External"/><Relationship Id="rId367" Type="http://schemas.openxmlformats.org/officeDocument/2006/relationships/hyperlink" Target="https://www.google.com/url?q=https://github.com/engyebrahim/CompetitiveProgramming/blob/master/TJU/1533.cpp&amp;sa=D&amp;ust=1605639551805000&amp;usg=AFQjCNFlDbkjpbYRCo4saYr4_hibLgpFZg" TargetMode="External"/><Relationship Id="rId574" Type="http://schemas.openxmlformats.org/officeDocument/2006/relationships/hyperlink" Target="https://www.google.com/url?q=http://codeforces.com/problemset/gymProblem/101055/B&amp;sa=D&amp;ust=1605639551917000&amp;usg=AFQjCNFOt-Ef0g3U6KTlcynmcG4pOa-qRQ" TargetMode="External"/><Relationship Id="rId2048" Type="http://schemas.openxmlformats.org/officeDocument/2006/relationships/hyperlink" Target="https://www.google.com/url?q=https://github.com/shanto86/Training/blob/master/LiveArchive/LIVEARCHIVE%25203411.cpp&amp;sa=D&amp;ust=1605639552771000&amp;usg=AFQjCNFek0zJZktW4qRaBbLQ_V0fBM4y4w" TargetMode="External"/><Relationship Id="rId2255" Type="http://schemas.openxmlformats.org/officeDocument/2006/relationships/hyperlink" Target="https://www.google.com/url?q=https://github.com/osamahatem/CompetitiveProgramming/blob/master/Hackerrank/spheres.cpp&amp;sa=D&amp;ust=1605639552905000&amp;usg=AFQjCNG9yswo3vqVdFz8iMAXCzV92fwGag" TargetMode="External"/><Relationship Id="rId3653" Type="http://schemas.openxmlformats.org/officeDocument/2006/relationships/hyperlink" Target="https://www.google.com/url?q=https://uva.onlinejudge.org/index.php?option%3Donlinejudge%26page%3Dshow_problem%26problem%3D1109&amp;sa=D&amp;ust=1605639553765000&amp;usg=AFQjCNG8DohbxFbDDylYwa7hCzGLfDJUpg" TargetMode="External"/><Relationship Id="rId3860" Type="http://schemas.openxmlformats.org/officeDocument/2006/relationships/hyperlink" Target="https://www.google.com/url?q=http://codeforces.com/contest/19/problem/C&amp;sa=D&amp;ust=1605639553896000&amp;usg=AFQjCNHd4SUf6pS71FvxUcSTkqXp1gd0VA" TargetMode="External"/><Relationship Id="rId227" Type="http://schemas.openxmlformats.org/officeDocument/2006/relationships/hyperlink" Target="https://www.google.com/url?q=http://codeforces.com/contest/1036/problem/C&amp;sa=D&amp;ust=1605639551698000&amp;usg=AFQjCNFtnKxW1m46bCPj9_scaqhDK9xxHQ" TargetMode="External"/><Relationship Id="rId781" Type="http://schemas.openxmlformats.org/officeDocument/2006/relationships/hyperlink" Target="https://www.google.com/url?q=https://www.hackerrank.com/contests/101hack52/challenges/car-show&amp;sa=D&amp;ust=1605639552003000&amp;usg=AFQjCNGM11OguNlIBC5FPD5meqrm0G4Uyg" TargetMode="External"/><Relationship Id="rId2462" Type="http://schemas.openxmlformats.org/officeDocument/2006/relationships/hyperlink" Target="https://www.google.com/url?q=http://codeforces.com/contest/404/problem/C&amp;sa=D&amp;ust=1605639553003000&amp;usg=AFQjCNG3x6Cuh3sWgsaE2Vt1nmi4gbx0aA" TargetMode="External"/><Relationship Id="rId3306" Type="http://schemas.openxmlformats.org/officeDocument/2006/relationships/hyperlink" Target="https://www.google.com/url?q=https://github.com/Andres-Unt/problem_solving/blob/master/UVA/11582.cpp&amp;sa=D&amp;ust=1605639553485000&amp;usg=AFQjCNG0ycCpwMyXv0QVLrK_90srsTv50A" TargetMode="External"/><Relationship Id="rId3513" Type="http://schemas.openxmlformats.org/officeDocument/2006/relationships/hyperlink" Target="https://www.google.com/url?q=https://github.com/mostafa-saad/MyCompetitiveProgramming/blob/master/SPOJ/SPOJ_MSKYCODE.txt&amp;sa=D&amp;ust=1605639553633000&amp;usg=AFQjCNE8I6HLAgw_RDz8dUGfK4zQJJ_FkQ" TargetMode="External"/><Relationship Id="rId3720" Type="http://schemas.openxmlformats.org/officeDocument/2006/relationships/hyperlink" Target="https://www.google.com/url?q=https://github.com/SpeedOfMagic/CompetitiveProgramming/blob/master/CodeforcesGym/CF101778-GYM-C.cpp&amp;sa=D&amp;ust=1605639553809000&amp;usg=AFQjCNESSjI3967rDAvYZh7uGHG404nOYQ" TargetMode="External"/><Relationship Id="rId434" Type="http://schemas.openxmlformats.org/officeDocument/2006/relationships/hyperlink" Target="https://www.google.com/url?q=https://atcoder.jp/contests/abc056/tasks/arc070_b&amp;sa=D&amp;ust=1605639551857000&amp;usg=AFQjCNFk-pbEPJ3L_NpDM-0jxNnXSWkZLQ" TargetMode="External"/><Relationship Id="rId641" Type="http://schemas.openxmlformats.org/officeDocument/2006/relationships/hyperlink" Target="https://www.google.com/url?q=http://ideone.com/0GO5Qp&amp;sa=D&amp;ust=1605639551939000&amp;usg=AFQjCNEyMlOv8QH-GdM6CtDjxYcuHG86yw" TargetMode="External"/><Relationship Id="rId1064" Type="http://schemas.openxmlformats.org/officeDocument/2006/relationships/hyperlink" Target="https://www.google.com/url?q=http://codeforces.com/contest/157/problem/E&amp;sa=D&amp;ust=1605639552158000&amp;usg=AFQjCNH1E4nzuqpIv6zvppSPg99WslaSqw" TargetMode="External"/><Relationship Id="rId1271" Type="http://schemas.openxmlformats.org/officeDocument/2006/relationships/hyperlink" Target="https://www.google.com/url?q=https://codeforces.com/contest/940/problem/E&amp;sa=D&amp;ust=1605639552300000&amp;usg=AFQjCNGrxbjUXU0aAokpUK64fM6K-Qp8hQ" TargetMode="External"/><Relationship Id="rId2115" Type="http://schemas.openxmlformats.org/officeDocument/2006/relationships/hyperlink" Target="https://www.google.com/url?q=https://github.com/MeGaCrazy/CompetitiveProgramming/blob/6c8e6d79950bbe406f56e3b990159810fcca7431/UVA/UVA_273.cpp&amp;sa=D&amp;ust=1605639552811000&amp;usg=AFQjCNEZxFGkotpMLtgKGIa8bh9BAGsZfQ" TargetMode="External"/><Relationship Id="rId2322" Type="http://schemas.openxmlformats.org/officeDocument/2006/relationships/hyperlink" Target="https://www.google.com/url?q=http://codeforces.com/contest/708/problem/C&amp;sa=D&amp;ust=1605639552936000&amp;usg=AFQjCNErFLn2sJXariiFWqeijNGkt7TLsA" TargetMode="External"/><Relationship Id="rId501" Type="http://schemas.openxmlformats.org/officeDocument/2006/relationships/hyperlink" Target="https://www.google.com/url?q=https://onlinejudge.org/index.php?option%3Donlinejudge%26Itemid%3D8%26page%3Dshow_problem%26problem%3D2749&amp;sa=D&amp;ust=1605639551886000&amp;usg=AFQjCNE8DnZ7u_1C3RMxWEt9Ske47rGM-w" TargetMode="External"/><Relationship Id="rId1131" Type="http://schemas.openxmlformats.org/officeDocument/2006/relationships/hyperlink" Target="https://www.google.com/url?q=https://github.com/farmerboy95/CompetitiveProgramming/blob/master/AtCoder/AtCoder145-ABC-E.cpp&amp;sa=D&amp;ust=1605639552197000&amp;usg=AFQjCNGY8SWexSZdlslo489EYEh8yZiy_g" TargetMode="External"/><Relationship Id="rId4287" Type="http://schemas.openxmlformats.org/officeDocument/2006/relationships/hyperlink" Target="https://www.google.com/url?q=https://github.com/aviroop123/CompetitiveProgramming/blob/master/SGU/SGU%2520507.cpp&amp;sa=D&amp;ust=1605639554279000&amp;usg=AFQjCNFs0qfsI8UfBQLRRhnnbd_VIWSgPQ" TargetMode="External"/><Relationship Id="rId3096" Type="http://schemas.openxmlformats.org/officeDocument/2006/relationships/hyperlink" Target="https://www.google.com/url?q=https://github.com/aboodJAD/CompetitiveProgramming/blob/master/UVA/UVA%2520308.cpp&amp;sa=D&amp;ust=1605639553373000&amp;usg=AFQjCNFR4ZHm0ne2JsswSnxhF-lSHrwHpg" TargetMode="External"/><Relationship Id="rId4147" Type="http://schemas.openxmlformats.org/officeDocument/2006/relationships/hyperlink" Target="https://www.google.com/url?q=https://codeforces.com/contest/1146/problem/G&amp;sa=D&amp;ust=1605639554206000&amp;usg=AFQjCNHbDZjhfr0XkzvlUhoPEVQ0cEIp3Q" TargetMode="External"/><Relationship Id="rId4354" Type="http://schemas.openxmlformats.org/officeDocument/2006/relationships/hyperlink" Target="https://www.google.com/url?q=http://codeforces.com/contest/449/problem/D&amp;sa=D&amp;ust=1605639554305000&amp;usg=AFQjCNFW72hvmdngM0x4cupBDJ6lF3LQWg" TargetMode="External"/><Relationship Id="rId1948" Type="http://schemas.openxmlformats.org/officeDocument/2006/relationships/hyperlink" Target="https://www.google.com/url?q=http://codeforces.com/gym/101177/problem/D&amp;sa=D&amp;ust=1605639552706000&amp;usg=AFQjCNGKUUt006yoDIXOSY7JICcZmpgQkw" TargetMode="External"/><Relationship Id="rId3163" Type="http://schemas.openxmlformats.org/officeDocument/2006/relationships/hyperlink" Target="https://www.google.com/url?q=https://pastebin.com/4uSGv4sZ&amp;sa=D&amp;ust=1605639553411000&amp;usg=AFQjCNHw9c63u4DLIGhGIx7-JJHQlTd7ZQ" TargetMode="External"/><Relationship Id="rId3370" Type="http://schemas.openxmlformats.org/officeDocument/2006/relationships/hyperlink" Target="https://www.google.com/url?q=https://www.hackerrank.com/challenges/jim-and-the-challenge&amp;sa=D&amp;ust=1605639553532000&amp;usg=AFQjCNEKU5LPYDwmQtn8_NRFGcXAAiES1A" TargetMode="External"/><Relationship Id="rId4007" Type="http://schemas.openxmlformats.org/officeDocument/2006/relationships/hyperlink" Target="https://www.google.com/url?q=https://www.codechef.com/ACMIND18/problems/REDCGAME&amp;sa=D&amp;ust=1605639554130000&amp;usg=AFQjCNFLKIs-uyYzpV0tjRnxZ4v1c5y1lA" TargetMode="External"/><Relationship Id="rId4214" Type="http://schemas.openxmlformats.org/officeDocument/2006/relationships/hyperlink" Target="https://www.google.com/url?q=http://codeforces.com/contest/588/problem/E&amp;sa=D&amp;ust=1605639554249000&amp;usg=AFQjCNHewG-TxWCCiQyDJxEjyYZb_agtEQ" TargetMode="External"/><Relationship Id="rId4421" Type="http://schemas.openxmlformats.org/officeDocument/2006/relationships/hyperlink" Target="https://www.google.com/url?q=http://www.spoj.com/problems/PT07X/&amp;sa=D&amp;ust=1605639554338000&amp;usg=AFQjCNEIwkpU-Do5Yaiz1aeqFU2oEnyDGQ" TargetMode="External"/><Relationship Id="rId291" Type="http://schemas.openxmlformats.org/officeDocument/2006/relationships/hyperlink" Target="https://www.google.com/url?q=https://github.com/miguelAlessandro/CompetitiveProgramming/blob/master/codeforces/CF500-D12-E.cpp&amp;sa=D&amp;ust=1605639551752000&amp;usg=AFQjCNGaHP0hHedBChoXixmF7l1EhvcUbw" TargetMode="External"/><Relationship Id="rId1808" Type="http://schemas.openxmlformats.org/officeDocument/2006/relationships/hyperlink" Target="https://www.google.com/url?q=http://codeforces.com/problemset/gymProblem/101498/I&amp;sa=D&amp;ust=1605639552618000&amp;usg=AFQjCNGqPVF1coxQ--SXFsr1Z4TfZ3pmuQ" TargetMode="External"/><Relationship Id="rId3023" Type="http://schemas.openxmlformats.org/officeDocument/2006/relationships/hyperlink" Target="https://www.google.com/url?q=https://icpcarchive.ecs.baylor.edu/index.php?option%3Dcom_onlinejudge%26Itemid%3D8%26page%3Dshow_problem%26problem%3D2186&amp;sa=D&amp;ust=1605639553333000&amp;usg=AFQjCNE7KPejg94YfN9WJaALtSjUVq8tFw" TargetMode="External"/><Relationship Id="rId151" Type="http://schemas.openxmlformats.org/officeDocument/2006/relationships/hyperlink" Target="https://www.google.com/url?q=http://codeforces.com/problemset/problem/900/C&amp;sa=D&amp;ust=1605639551642000&amp;usg=AFQjCNHk1yxwSNseVQf5e60eYKVdXLQ78A" TargetMode="External"/><Relationship Id="rId3230" Type="http://schemas.openxmlformats.org/officeDocument/2006/relationships/hyperlink" Target="https://www.google.com/url?q=http://codeforces.com/contest/892/problem/D&amp;sa=D&amp;ust=1605639553441000&amp;usg=AFQjCNFuzq46VhKZBhSgHr_nD05XEiPerQ" TargetMode="External"/><Relationship Id="rId2789" Type="http://schemas.openxmlformats.org/officeDocument/2006/relationships/hyperlink" Target="https://www.google.com/url?q=http://codeforces.com/contest/704/problem/D&amp;sa=D&amp;ust=1605639553205000&amp;usg=AFQjCNEtnJYR3kKVDwSKPT21is8yKZ4l5g" TargetMode="External"/><Relationship Id="rId2996" Type="http://schemas.openxmlformats.org/officeDocument/2006/relationships/hyperlink" Target="https://www.google.com/url?q=https://github.com/ahmedsamir221/CompetitiveProgramming/blob/master/SPOJ/SPOJ%2520MOWS.cpp&amp;sa=D&amp;ust=1605639553317000&amp;usg=AFQjCNFWqeB3T9hy2iZtGZ5urtJ78QL3uQ" TargetMode="External"/><Relationship Id="rId968" Type="http://schemas.openxmlformats.org/officeDocument/2006/relationships/hyperlink" Target="https://www.google.com/url?q=http://agc032.contest.atcoder.jp/tasks/agc032_d&amp;sa=D&amp;ust=1605639552110000&amp;usg=AFQjCNH_C2Jy2mNp6pDuOLnxP9yWmN2grw" TargetMode="External"/><Relationship Id="rId1598" Type="http://schemas.openxmlformats.org/officeDocument/2006/relationships/hyperlink" Target="https://www.google.com/url?q=http://codeforces.com/contest/549/problem/B&amp;sa=D&amp;ust=1605639552501000&amp;usg=AFQjCNHMhg3TKERJW_8kUaOxuJkpwwJOJg" TargetMode="External"/><Relationship Id="rId2649" Type="http://schemas.openxmlformats.org/officeDocument/2006/relationships/hyperlink" Target="https://www.google.com/url?q=https://www.codechef.com/problems/CLIQUED&amp;sa=D&amp;ust=1605639553120000&amp;usg=AFQjCNGIpC5bhTUxMjxNVTU4oZ_L04Mz_w" TargetMode="External"/><Relationship Id="rId2856" Type="http://schemas.openxmlformats.org/officeDocument/2006/relationships/hyperlink" Target="https://www.google.com/url?q=http://codeforces.com/contest/512/problem/C&amp;sa=D&amp;ust=1605639553239000&amp;usg=AFQjCNHTrp_ZGlukeFnMqNZznSOt3Iosfg" TargetMode="External"/><Relationship Id="rId3907" Type="http://schemas.openxmlformats.org/officeDocument/2006/relationships/hyperlink" Target="https://www.google.com/url?q=http://codeforces.com/contest/220/problem/B&amp;sa=D&amp;ust=1605639553921000&amp;usg=AFQjCNG2JqSJWM3xWe1gfEwYAppNAIW3wg" TargetMode="External"/><Relationship Id="rId97" Type="http://schemas.openxmlformats.org/officeDocument/2006/relationships/hyperlink" Target="https://www.google.com/url?q=https://agc003.contest.atcoder.jp/tasks/agc003_a&amp;sa=D&amp;ust=1605639551610000&amp;usg=AFQjCNEC_qRBL9yAJCRb3ISykRN96CC5vA" TargetMode="External"/><Relationship Id="rId828" Type="http://schemas.openxmlformats.org/officeDocument/2006/relationships/hyperlink" Target="https://www.google.com/url?q=https://github.com/shashank0107/CompetitiveProgramming/blob/master/UVA/11423.cpp&amp;sa=D&amp;ust=1605639552029000&amp;usg=AFQjCNFQpa8v3o9HWs26QLPq6QSDdLEBIw" TargetMode="External"/><Relationship Id="rId1458" Type="http://schemas.openxmlformats.org/officeDocument/2006/relationships/hyperlink" Target="https://www.google.com/url?q=http://codeforces.com/contest/540/problem/D&amp;sa=D&amp;ust=1605639552419000&amp;usg=AFQjCNF1t9au_inErL2BAdYnNKDUJmZdrQ" TargetMode="External"/><Relationship Id="rId1665" Type="http://schemas.openxmlformats.org/officeDocument/2006/relationships/hyperlink" Target="https://www.google.com/url?q=http://codeforces.com/contest/950/problem/C&amp;sa=D&amp;ust=1605639552538000&amp;usg=AFQjCNFAHIlqhL1-xFx3cz9V9hWceUR8aw" TargetMode="External"/><Relationship Id="rId1872" Type="http://schemas.openxmlformats.org/officeDocument/2006/relationships/hyperlink" Target="https://www.google.com/url?q=https://onlinejudge.org/index.php?option%3Dcom_onlinejudge%26Itemid%3D8%26category%3D229%26page%3Dshow_problem%26problem%3D3078&amp;sa=D&amp;ust=1605639552649000&amp;usg=AFQjCNF_ffFfCw2b_d2P35tuim2VPpIq-Q" TargetMode="External"/><Relationship Id="rId2509" Type="http://schemas.openxmlformats.org/officeDocument/2006/relationships/hyperlink" Target="https://www.google.com/url?q=http://agc024.contest.atcoder.jp/tasks/agc024_d&amp;sa=D&amp;ust=1605639553037000&amp;usg=AFQjCNGLc_YT1sk4QF-8GZLtYc09a3FLxg" TargetMode="External"/><Relationship Id="rId2716" Type="http://schemas.openxmlformats.org/officeDocument/2006/relationships/hyperlink" Target="https://www.google.com/url?q=http://codeforces.com/contest/104/problem/C&amp;sa=D&amp;ust=1605639553154000&amp;usg=AFQjCNH92fQOGHN7q_pVZcgNE-WZVFvd6A" TargetMode="External"/><Relationship Id="rId4071" Type="http://schemas.openxmlformats.org/officeDocument/2006/relationships/hyperlink" Target="https://www.google.com/url?q=http://community.topcoder.com/stat?c%3Dproblem_statement%26pm%3D15142%26rd%3D17316&amp;sa=D&amp;ust=1605639554160000&amp;usg=AFQjCNGvGZQXEKEyZc9ZBUs9qrA_3fRn_w" TargetMode="External"/><Relationship Id="rId1318" Type="http://schemas.openxmlformats.org/officeDocument/2006/relationships/hyperlink" Target="https://www.google.com/url?q=http://codeforces.com/gym/101484/problem/E&amp;sa=D&amp;ust=1605639552325000&amp;usg=AFQjCNFZQ-z1vGOuqOByOrMAJNsYYYXfHw" TargetMode="External"/><Relationship Id="rId1525" Type="http://schemas.openxmlformats.org/officeDocument/2006/relationships/hyperlink" Target="https://www.google.com/url?q=https://github.com/farmerboy95/CompetitiveProgramming/blob/master/Codeforces/CF922-D2-F.cpp&amp;sa=D&amp;ust=1605639552461000&amp;usg=AFQjCNEGeN9KPEqwhyta7aMVi1_zWuOBnQ" TargetMode="External"/><Relationship Id="rId2923" Type="http://schemas.openxmlformats.org/officeDocument/2006/relationships/hyperlink" Target="https://www.google.com/url?q=https://codeforces.com/blog/entry/5531?%23comment-108144&amp;sa=D&amp;ust=1605639553279000&amp;usg=AFQjCNEUtxS3_vr9nIzyWLOKti5-u77aeA" TargetMode="External"/><Relationship Id="rId1732" Type="http://schemas.openxmlformats.org/officeDocument/2006/relationships/hyperlink" Target="https://www.google.com/url?q=http://codeforces.com/contest/103/problem/C&amp;sa=D&amp;ust=1605639552577000&amp;usg=AFQjCNHjGeVkXyMjwHeL_hHmDrIRPkn5Vg" TargetMode="External"/><Relationship Id="rId24" Type="http://schemas.openxmlformats.org/officeDocument/2006/relationships/hyperlink" Target="https://www.google.com/url?q=http://codeforces.com/contest/1071/problem/C&amp;sa=D&amp;ust=1605639551572000&amp;usg=AFQjCNFkjBnA9gLWEqkOWAoQtCPslYJizQ" TargetMode="External"/><Relationship Id="rId2299" Type="http://schemas.openxmlformats.org/officeDocument/2006/relationships/hyperlink" Target="https://www.google.com/url?q=https://github.com/aneesh2312/CompetitiveProgramming/blob/master/Timus/1040.cpp&amp;sa=D&amp;ust=1605639552929000&amp;usg=AFQjCNE6C8apmxhjckJqMAjrecA36_bgoA" TargetMode="External"/><Relationship Id="rId3697" Type="http://schemas.openxmlformats.org/officeDocument/2006/relationships/hyperlink" Target="https://www.google.com/url?q=https://github.com/MedoN11/CompetitiveProgramming/blob/master/SPOJ/KOPC12B.java&amp;sa=D&amp;ust=1605639553795000&amp;usg=AFQjCNECeUXjyycy1UvfV_m98qVoDynQRA" TargetMode="External"/><Relationship Id="rId3557" Type="http://schemas.openxmlformats.org/officeDocument/2006/relationships/hyperlink" Target="https://www.google.com/url?q=http://codeforces.com/contest/514/problem/E&amp;sa=D&amp;ust=1605639553693000&amp;usg=AFQjCNEWgwEcORvCJOg-yqXi1QwbISGp1Q" TargetMode="External"/><Relationship Id="rId3764" Type="http://schemas.openxmlformats.org/officeDocument/2006/relationships/hyperlink" Target="https://www.google.com/url?q=https://github.com/HosamEissa/Competitive-programming-/blob/master/Spoj/SUBXOR.cpp&amp;sa=D&amp;ust=1605639553839000&amp;usg=AFQjCNGMDgU5cVsTDnT07v62FZqxwMLOTA" TargetMode="External"/><Relationship Id="rId3971" Type="http://schemas.openxmlformats.org/officeDocument/2006/relationships/hyperlink" Target="https://www.google.com/url?q=http://codeforces.com/contest/268/problem/C&amp;sa=D&amp;ust=1605639553954000&amp;usg=AFQjCNEXUg4oqWRxJKZkT9LhsOledUQ5BQ" TargetMode="External"/><Relationship Id="rId478" Type="http://schemas.openxmlformats.org/officeDocument/2006/relationships/hyperlink" Target="https://www.google.com/url?q=http://codeforces.com/contest/651/problem/D&amp;sa=D&amp;ust=1605639551876000&amp;usg=AFQjCNG0M4BfyEGH_k24kXn1mSClyoc2XA" TargetMode="External"/><Relationship Id="rId685" Type="http://schemas.openxmlformats.org/officeDocument/2006/relationships/hyperlink" Target="https://www.google.com/url?q=https://github.com/hosamk92/CompetitiveProgramming/blob/master/Codeforces/CF101194-GYM-C.cpp&amp;sa=D&amp;ust=1605639551957000&amp;usg=AFQjCNHD1dmFE83vcm1-5uY2VCXZvEhlUQ" TargetMode="External"/><Relationship Id="rId892" Type="http://schemas.openxmlformats.org/officeDocument/2006/relationships/hyperlink" Target="https://www.google.com/url?q=https://www.codechef.com/problems/TREEBAL&amp;sa=D&amp;ust=1605639552066000&amp;usg=AFQjCNElKbMFzHAf5xftM56UVUrisFRkXQ" TargetMode="External"/><Relationship Id="rId2159" Type="http://schemas.openxmlformats.org/officeDocument/2006/relationships/hyperlink" Target="https://www.google.com/url?q=http://poj.org/problem?id%3D1279&amp;sa=D&amp;ust=1605639552845000&amp;usg=AFQjCNEXmvSWHRzJFG3xg80VgZB8YnAaxA" TargetMode="External"/><Relationship Id="rId2366" Type="http://schemas.openxmlformats.org/officeDocument/2006/relationships/hyperlink" Target="https://www.google.com/url?q=http://codeforces.com/contest/550/problem/D&amp;sa=D&amp;ust=1605639552953000&amp;usg=AFQjCNEsqGs5L2xf2LkU_dS-2LQ2tQ1kAQ" TargetMode="External"/><Relationship Id="rId2573" Type="http://schemas.openxmlformats.org/officeDocument/2006/relationships/hyperlink" Target="https://www.google.com/url?q=http://codeforces.com/contest/1075/problem/D&amp;sa=D&amp;ust=1605639553072000&amp;usg=AFQjCNGoLNr8hHTVXQirBFPMgsWxUQ4chA" TargetMode="External"/><Relationship Id="rId2780" Type="http://schemas.openxmlformats.org/officeDocument/2006/relationships/hyperlink" Target="https://www.google.com/url?q=https://uva.onlinejudge.org/index.php?option%3Donlinejudge%26page%3Dshow_problem%26problem%3D122&amp;sa=D&amp;ust=1605639553196000&amp;usg=AFQjCNH0Dj2-C47-XyyzcQlfovvuYrbVsw" TargetMode="External"/><Relationship Id="rId3417" Type="http://schemas.openxmlformats.org/officeDocument/2006/relationships/hyperlink" Target="https://www.google.com/url?q=https://www.codechef.com/NOV18B/problems/GMEDIAN&amp;sa=D&amp;ust=1605639553563000&amp;usg=AFQjCNG5Yome5rJ-IyKPIO4vONCqTSOinQ" TargetMode="External"/><Relationship Id="rId3624" Type="http://schemas.openxmlformats.org/officeDocument/2006/relationships/hyperlink" Target="https://www.google.com/url?q=http://codeforces.com/contest/626/problem/D&amp;sa=D&amp;ust=1605639553746000&amp;usg=AFQjCNGaLAF87rHzruoMI9PUboBEfEVc1g" TargetMode="External"/><Relationship Id="rId3831" Type="http://schemas.openxmlformats.org/officeDocument/2006/relationships/hyperlink" Target="https://www.google.com/url?q=http://codeforces.com/problemset/problem/822/E&amp;sa=D&amp;ust=1605639553884000&amp;usg=AFQjCNGHDknJh3f9LKhg79XmwEfhS7FC-Q" TargetMode="External"/><Relationship Id="rId338" Type="http://schemas.openxmlformats.org/officeDocument/2006/relationships/hyperlink" Target="https://www.google.com/url?q=https://github.com/AliOsm/CompetitiveProgramming/blob/master/UVA/12207%2520-%2520That%2520is%2520Your%2520Queue.cpp&amp;sa=D&amp;ust=1605639551775000&amp;usg=AFQjCNGFZTZr6OUqqme9wqufEVGs871lMQ" TargetMode="External"/><Relationship Id="rId545" Type="http://schemas.openxmlformats.org/officeDocument/2006/relationships/hyperlink" Target="https://www.google.com/url?q=http://codeforces.com/contest/713/problem/D&amp;sa=D&amp;ust=1605639551906000&amp;usg=AFQjCNF6oP59WJP7tRixIqgpj139_3wlqQ" TargetMode="External"/><Relationship Id="rId752" Type="http://schemas.openxmlformats.org/officeDocument/2006/relationships/hyperlink" Target="https://www.google.com/url?q=http://codeforces.com/contest/483/problem/D&amp;sa=D&amp;ust=1605639551989000&amp;usg=AFQjCNEGeXcRtGSCSK7wDm70qEPXwAIAmA" TargetMode="External"/><Relationship Id="rId1175" Type="http://schemas.openxmlformats.org/officeDocument/2006/relationships/hyperlink" Target="https://www.google.com/url?q=https://github.com/Maverick10/Competitive-Programming/blob/master/Solutions/World%2520Finals/2017%2520-%2520F.cpp&amp;sa=D&amp;ust=1605639552226000&amp;usg=AFQjCNFtdXnSHYGPGTZsLhDt3TF-FNTMwg" TargetMode="External"/><Relationship Id="rId1382" Type="http://schemas.openxmlformats.org/officeDocument/2006/relationships/hyperlink" Target="https://www.google.com/url?q=https://codeforces.com/contest/1279/problem/E&amp;sa=D&amp;ust=1605639552363000&amp;usg=AFQjCNHQ3Qu7y0ABek279kB3sKHxHl3W5g" TargetMode="External"/><Relationship Id="rId2019" Type="http://schemas.openxmlformats.org/officeDocument/2006/relationships/hyperlink" Target="https://www.google.com/url?q=http://codeforces.com/problemset/problem/135/B&amp;sa=D&amp;ust=1605639552744000&amp;usg=AFQjCNHcyKvl7Zj67NShTcE0rSrytxGHdw" TargetMode="External"/><Relationship Id="rId2226" Type="http://schemas.openxmlformats.org/officeDocument/2006/relationships/hyperlink" Target="https://www.google.com/url?q=https://algorithmist.com/wiki/LA_3525&amp;sa=D&amp;ust=1605639552884000&amp;usg=AFQjCNESF3-ilKomaz9FgrfOtayxus0IcQ" TargetMode="External"/><Relationship Id="rId2433" Type="http://schemas.openxmlformats.org/officeDocument/2006/relationships/hyperlink" Target="https://www.google.com/url?q=http://codeforces.com/contest/525/problem/D&amp;sa=D&amp;ust=1605639552986000&amp;usg=AFQjCNFjKqtXoD792VHBVkf9cwS9u3XuTg" TargetMode="External"/><Relationship Id="rId2640" Type="http://schemas.openxmlformats.org/officeDocument/2006/relationships/hyperlink" Target="https://www.google.com/url?q=https://github.com/VAMPIER000001/CompetitiveProgramming/blob/a5d714fa4de45e50f87306d421ec6c3c02026f76/Spoj/SPOJ%2520MELE3.Cpp&amp;sa=D&amp;ust=1605639553116000&amp;usg=AFQjCNFrEGrjwCg1i3sFloAwuQOP6rudKg" TargetMode="External"/><Relationship Id="rId405" Type="http://schemas.openxmlformats.org/officeDocument/2006/relationships/hyperlink" Target="https://www.google.com/url?q=http://codeforces.com/contest/489/problem/E&amp;sa=D&amp;ust=1605639551845000&amp;usg=AFQjCNHqVG7xS3vaO8vnoCK1KBxq9PArKA" TargetMode="External"/><Relationship Id="rId612" Type="http://schemas.openxmlformats.org/officeDocument/2006/relationships/hyperlink" Target="https://www.google.com/url?q=https://cmxrynp.github.io/2018/10/24/BZOJ-3064-Tyvj-1518-CPU%25E7%259B%2591%25E6%258E%25A7/&amp;sa=D&amp;ust=1605639551930000&amp;usg=AFQjCNEXNnGLgE9eKuRsX4jjdSdA9O1sWA" TargetMode="External"/><Relationship Id="rId1035" Type="http://schemas.openxmlformats.org/officeDocument/2006/relationships/hyperlink" Target="https://www.google.com/url?q=https://codeforces.com/contest/1174/problem/E&amp;sa=D&amp;ust=1605639552142000&amp;usg=AFQjCNGpVDtLbbauAMH_xscSZpwWEJ_mCw" TargetMode="External"/><Relationship Id="rId1242" Type="http://schemas.openxmlformats.org/officeDocument/2006/relationships/hyperlink" Target="https://www.google.com/url?q=https://github.com/sggutier/CompetitiveProgramming/blob/master/HackerRank/billboards.cpp&amp;sa=D&amp;ust=1605639552278000&amp;usg=AFQjCNGoTkEF7ZdRC0qmGGLwI28tfVNgvA" TargetMode="External"/><Relationship Id="rId2500" Type="http://schemas.openxmlformats.org/officeDocument/2006/relationships/hyperlink" Target="https://www.google.com/url?q=http://codeforces.com/contest/430/problem/E&amp;sa=D&amp;ust=1605639553033000&amp;usg=AFQjCNF6GA37V7-S5dlF7peygkhFvTeS8g" TargetMode="External"/><Relationship Id="rId4398" Type="http://schemas.openxmlformats.org/officeDocument/2006/relationships/hyperlink" Target="https://www.google.com/url?q=http://codeforces.com/contest/1088/problem/E&amp;sa=D&amp;ust=1605639554326000&amp;usg=AFQjCNGBNVVYIAZe_ZenjDR-ADLf72b4Yw" TargetMode="External"/><Relationship Id="rId1102" Type="http://schemas.openxmlformats.org/officeDocument/2006/relationships/hyperlink" Target="https://www.google.com/url?q=http://codeforces.com/contest/361/problem/D&amp;sa=D&amp;ust=1605639552181000&amp;usg=AFQjCNEnn3sOwEWy6-W5V4tbwiWYP_qdMA" TargetMode="External"/><Relationship Id="rId4258" Type="http://schemas.openxmlformats.org/officeDocument/2006/relationships/hyperlink" Target="https://www.google.com/url?q=https://codeforces.com/problemset/problem/1175/G&amp;sa=D&amp;ust=1605639554268000&amp;usg=AFQjCNEqpP7Q0B-UHw_48DpWH3njAp2gqw" TargetMode="External"/><Relationship Id="rId3067" Type="http://schemas.openxmlformats.org/officeDocument/2006/relationships/hyperlink" Target="https://www.google.com/url?q=http://codeforces.com/contest/231/problem/E&amp;sa=D&amp;ust=1605639553357000&amp;usg=AFQjCNH3Dl_5aGZSMgdIDYuNIoFUlG6Nqw" TargetMode="External"/><Relationship Id="rId3274" Type="http://schemas.openxmlformats.org/officeDocument/2006/relationships/hyperlink" Target="https://www.google.com/url?q=http://codeforces.com/contest/978/problem/E&amp;sa=D&amp;ust=1605639553466000&amp;usg=AFQjCNEt77r1__delULlYZQ8Uc_yJPibBQ" TargetMode="External"/><Relationship Id="rId4118" Type="http://schemas.openxmlformats.org/officeDocument/2006/relationships/hyperlink" Target="https://www.google.com/url?q=https://github.com/VAMPIER000001/CompetitiveProgramming/blob/6ffe2c80fe5aba2bf2d901503b96f1b90053462a/CF/CF560-D2-D(2).Cpp&amp;sa=D&amp;ust=1605639554187000&amp;usg=AFQjCNHmxfj4uE_gQH0B_b91peKN3Y_E8Q" TargetMode="External"/><Relationship Id="rId195" Type="http://schemas.openxmlformats.org/officeDocument/2006/relationships/hyperlink" Target="https://www.google.com/url?q=https://github.com/MohamedAhmed04/Competitive-programming/blob/master/Topcoder/Topcoder%2520SRM525-D1-525%2520Rumor.cpp&amp;sa=D&amp;ust=1605639551677000&amp;usg=AFQjCNG3DHJtZon2fBObZMomx31Nbq8-_A" TargetMode="External"/><Relationship Id="rId1919" Type="http://schemas.openxmlformats.org/officeDocument/2006/relationships/hyperlink" Target="https://www.google.com/url?q=http://agc016.contest.atcoder.jp/tasks/agc016_b&amp;sa=D&amp;ust=1605639552690000&amp;usg=AFQjCNHVHGD8jFYLa6i30W1NmjXK_fKKww" TargetMode="External"/><Relationship Id="rId3481" Type="http://schemas.openxmlformats.org/officeDocument/2006/relationships/hyperlink" Target="https://www.google.com/url?q=http://codeforces.com/blog/entry/22929&amp;sa=D&amp;ust=1605639553605000&amp;usg=AFQjCNGQRcRhCMnVn-b4xrddxm482uVTcQ" TargetMode="External"/><Relationship Id="rId4325" Type="http://schemas.openxmlformats.org/officeDocument/2006/relationships/hyperlink" Target="https://www.google.com/url?q=https://github.com/taow-com-prog/problemsolving/blob/master/UVA/UVA%252010304.cpp&amp;sa=D&amp;ust=1605639554294000&amp;usg=AFQjCNFo3iWiSjoIINKHK33rm2n0-3-gZw" TargetMode="External"/><Relationship Id="rId2083" Type="http://schemas.openxmlformats.org/officeDocument/2006/relationships/hyperlink" Target="https://www.google.com/url?q=https://github.com/mostafa-saad/MyCompetitiveProgramming/blob/master/TopCoder/SRM355-D1-500.txt&amp;sa=D&amp;ust=1605639552795000&amp;usg=AFQjCNG96OG0CuDRghbkp2qe33-mZDmbnw" TargetMode="External"/><Relationship Id="rId2290" Type="http://schemas.openxmlformats.org/officeDocument/2006/relationships/hyperlink" Target="https://www.google.com/url?q=http://agc016.contest.atcoder.jp/tasks/agc016_d&amp;sa=D&amp;ust=1605639552924000&amp;usg=AFQjCNEqsQQf_iSycXtORyp8odrc4yqQew" TargetMode="External"/><Relationship Id="rId3134" Type="http://schemas.openxmlformats.org/officeDocument/2006/relationships/hyperlink" Target="https://www.google.com/url?q=http://codeforces.com/gym/101741/problem/F&amp;sa=D&amp;ust=1605639553397000&amp;usg=AFQjCNGgHbUVaR4IJa3KVEd-F4hQWBsPgA" TargetMode="External"/><Relationship Id="rId3341" Type="http://schemas.openxmlformats.org/officeDocument/2006/relationships/hyperlink" Target="https://www.google.com/url?q=http://codeforces.com/contest/894/problem/C&amp;sa=D&amp;ust=1605639553513000&amp;usg=AFQjCNE4yi6ttUrZEqNsV_BVQyl-1N5MGw" TargetMode="External"/><Relationship Id="rId262" Type="http://schemas.openxmlformats.org/officeDocument/2006/relationships/hyperlink" Target="https://www.google.com/url?q=https://github.com/VAMPIER000001/CompetitiveProgramming/blob/34bb83d01a91fa9d1a32e02619ddb3ae58d6400b/CF/CF950-D2-D.Cpp&amp;sa=D&amp;ust=1605639551729000&amp;usg=AFQjCNETX5MKpFM7TklPX_CqrkUF9dA9xg" TargetMode="External"/><Relationship Id="rId2150" Type="http://schemas.openxmlformats.org/officeDocument/2006/relationships/hyperlink" Target="https://www.google.com/url?q=https://github.com/mostafa-saad/MyCompetitiveProgramming/blob/master/UVA/UVA_881.txt&amp;sa=D&amp;ust=1605639552837000&amp;usg=AFQjCNGI1xL_cd-NrGTscztOXp455XEibA" TargetMode="External"/><Relationship Id="rId3201" Type="http://schemas.openxmlformats.org/officeDocument/2006/relationships/hyperlink" Target="https://www.google.com/url?q=https://codeforces.com/contest/1244/problem/C&amp;sa=D&amp;ust=1605639553427000&amp;usg=AFQjCNFuIsXoy27qTaKAeKc2lSqnFKpjRQ" TargetMode="External"/><Relationship Id="rId122" Type="http://schemas.openxmlformats.org/officeDocument/2006/relationships/hyperlink" Target="https://www.google.com/url?q=http://codeforces.com/contest/493/problem/D&amp;sa=D&amp;ust=1605639551624000&amp;usg=AFQjCNGJXX4VdenkkQb7Duk4-BMGNZnjSQ" TargetMode="External"/><Relationship Id="rId2010" Type="http://schemas.openxmlformats.org/officeDocument/2006/relationships/hyperlink" Target="https://www.google.com/url?q=https://github.com/MeGaCrazy/CompetitiveProgramming/blob/c9bb3ba255fbab3d09d831a4736cc1521ed23e1d/UVA/UVA_143.cpp&amp;sa=D&amp;ust=1605639552740000&amp;usg=AFQjCNErGg40ZQFgncVSh4Cs42U7KppiBw" TargetMode="External"/><Relationship Id="rId1569" Type="http://schemas.openxmlformats.org/officeDocument/2006/relationships/hyperlink" Target="https://www.google.com/url?q=https://github.com/MedoN11/CompetitiveProgramming/blob/master/TopCoder/SRM345-D1-500.java&amp;sa=D&amp;ust=1605639552483000&amp;usg=AFQjCNGMuxXrN1LQfKnqge-F79XBr2WoGg" TargetMode="External"/><Relationship Id="rId2967" Type="http://schemas.openxmlformats.org/officeDocument/2006/relationships/hyperlink" Target="https://www.google.com/url?q=http://codeforces.com/contest/959/problem/E&amp;sa=D&amp;ust=1605639553300000&amp;usg=AFQjCNHK1iLzBNvtZCN7debCBLGTKN4z0g" TargetMode="External"/><Relationship Id="rId4182" Type="http://schemas.openxmlformats.org/officeDocument/2006/relationships/hyperlink" Target="https://www.google.com/url?q=https://github.com/SpeedOfMagic/CompetitiveProgramming/blob/master/Codeforces/CF1009-D12-E.cpp&amp;sa=D&amp;ust=1605639554222000&amp;usg=AFQjCNGwf9YfZ0Q-v6rFQqWX0-ohmEZKjA" TargetMode="External"/><Relationship Id="rId939" Type="http://schemas.openxmlformats.org/officeDocument/2006/relationships/hyperlink" Target="https://www.google.com/url?q=https://www.facebook.com/hackercup/problem/469838700128124/&amp;sa=D&amp;ust=1605639552091000&amp;usg=AFQjCNFDfOmCG8ZH0lbTllgfpi-Rj_A_Ew" TargetMode="External"/><Relationship Id="rId1776" Type="http://schemas.openxmlformats.org/officeDocument/2006/relationships/hyperlink" Target="https://www.google.com/url?q=https://github.com/Andres-Unt/problem_solving/blob/master/TopCoder/SRM423-D1-500.cpp&amp;sa=D&amp;ust=1605639552601000&amp;usg=AFQjCNEvfNsGXkxiTW1iBP4PCGbCblDWmQ" TargetMode="External"/><Relationship Id="rId1983" Type="http://schemas.openxmlformats.org/officeDocument/2006/relationships/hyperlink" Target="https://www.google.com/url?q=https://atcoder.jp/contests/abc151/tasks/abc151_f&amp;sa=D&amp;ust=1605639552724000&amp;usg=AFQjCNFO2ME-BUWlP3qW6DGnHqE9p2w7ng" TargetMode="External"/><Relationship Id="rId2827" Type="http://schemas.openxmlformats.org/officeDocument/2006/relationships/hyperlink" Target="https://www.google.com/url?q=http://www.spoj.com/problems/IM&amp;sa=D&amp;ust=1605639553224000&amp;usg=AFQjCNE5PkX1fFGfMJdFkqdi2wcvnlQSLA" TargetMode="External"/><Relationship Id="rId4042" Type="http://schemas.openxmlformats.org/officeDocument/2006/relationships/hyperlink" Target="https://www.google.com/url?q=https://github.com/mostafa-saad/MyCompetitiveProgramming/blob/master/LiveArchive/LIVEARCHIVE_7577.txt&amp;sa=D&amp;ust=1605639554147000&amp;usg=AFQjCNHcN3N5_Hr3R0ouqKG_YdRG0q3cfQ" TargetMode="External"/><Relationship Id="rId68" Type="http://schemas.openxmlformats.org/officeDocument/2006/relationships/hyperlink" Target="https://www.google.com/url?q=https://github.com/farmerboy95/CompetitiveProgramming/blob/master/Google%2520Kickstart/Kickstart%252019-RH-B.cpp&amp;sa=D&amp;ust=1605639551593000&amp;usg=AFQjCNHqQoyhZ_D5Xeja4HhaBI_2g-Tfkw" TargetMode="External"/><Relationship Id="rId1429" Type="http://schemas.openxmlformats.org/officeDocument/2006/relationships/hyperlink" Target="https://www.google.com/url?q=http://codeforces.com/contest/867/problem/D&amp;sa=D&amp;ust=1605639552403000&amp;usg=AFQjCNGS5Q0OK7WCaYmGHWh7S9lqiKVmgg" TargetMode="External"/><Relationship Id="rId1636" Type="http://schemas.openxmlformats.org/officeDocument/2006/relationships/hyperlink" Target="https://www.google.com/url?q=https://github.com/Huvok/CompetitiveProgramming/blob/master/Codeforces/CF101917-D12-D.cpp&amp;sa=D&amp;ust=1605639552521000&amp;usg=AFQjCNE-Px2C-DY0-YjjYQzDDAuybV8deg" TargetMode="External"/><Relationship Id="rId1843" Type="http://schemas.openxmlformats.org/officeDocument/2006/relationships/hyperlink" Target="https://www.google.com/url?q=https://github.com/tmwilliamlin168/CompetitiveProgramming/blob/master/CodeForces/CF1037-D12-G.cpp&amp;sa=D&amp;ust=1605639552637000&amp;usg=AFQjCNEsrMiqTWSnKmol4RT7aWWa6PwOyQ" TargetMode="External"/><Relationship Id="rId1703" Type="http://schemas.openxmlformats.org/officeDocument/2006/relationships/hyperlink" Target="https://www.google.com/url?q=http://codeforces.com/contest/148/problem/C&amp;sa=D&amp;ust=1605639552561000&amp;usg=AFQjCNHmnJ01QPgbI-yBpqPpspOhX2uvKg" TargetMode="External"/><Relationship Id="rId1910" Type="http://schemas.openxmlformats.org/officeDocument/2006/relationships/hyperlink" Target="https://www.google.com/url?q=https://github.com/shanto86/Training/blob/master/TopCoder/SRM433-D1-500.cpp&amp;sa=D&amp;ust=1605639552681000&amp;usg=AFQjCNG-SbCVNyXXFZdES7nSvhf8HG98uA" TargetMode="External"/><Relationship Id="rId3668" Type="http://schemas.openxmlformats.org/officeDocument/2006/relationships/hyperlink" Target="https://www.google.com/url?q=https://onlinejudge.org/index.php?option%3Dcom_onlinejudge%26Itemid%3D8%26page%3Dshow_problem%26problem%3D659&amp;sa=D&amp;ust=1605639553780000&amp;usg=AFQjCNGXeDQ2gZ1f76cefpa3kwnpNZxyQg" TargetMode="External"/><Relationship Id="rId3875" Type="http://schemas.openxmlformats.org/officeDocument/2006/relationships/hyperlink" Target="https://www.google.com/url?q=https://github.com/mostafa-saad/MyCompetitiveProgramming/blob/master/Kattis/kattis-hanoi18.lazylearner.txt&amp;sa=D&amp;ust=1605639553905000&amp;usg=AFQjCNGwTsLx-JGH1Bu5F9C5CIT4jz3rUg" TargetMode="External"/><Relationship Id="rId589" Type="http://schemas.openxmlformats.org/officeDocument/2006/relationships/hyperlink" Target="https://www.google.com/url?q=http://codeforces.com/contest/587/problem/E&amp;sa=D&amp;ust=1605639551922000&amp;usg=AFQjCNFlgHyKbErXmn-momHqI4vzq3pJmQ" TargetMode="External"/><Relationship Id="rId796" Type="http://schemas.openxmlformats.org/officeDocument/2006/relationships/hyperlink" Target="https://www.google.com/url?q=https://github.com/mostafa-saad/MyCompetitiveProgramming/blob/master/SPOJ/SPOJ_CITY2.txt&amp;sa=D&amp;ust=1605639552011000&amp;usg=AFQjCNGrYyEnObaH6bVg70W-F0Rsik3hMw" TargetMode="External"/><Relationship Id="rId2477" Type="http://schemas.openxmlformats.org/officeDocument/2006/relationships/hyperlink" Target="https://www.google.com/url?q=http://www.spoj.com/problems/CHMAZE/&amp;sa=D&amp;ust=1605639553017000&amp;usg=AFQjCNFr0EGKWIXxj49u3_ZGUxqriADKQQ" TargetMode="External"/><Relationship Id="rId2684" Type="http://schemas.openxmlformats.org/officeDocument/2006/relationships/hyperlink" Target="https://www.google.com/url?q=http://codeforces.com/contest/1040/problem/E&amp;sa=D&amp;ust=1605639553139000&amp;usg=AFQjCNEw5rSQWUZGBrd2CyUjIZXVVLM8Tw" TargetMode="External"/><Relationship Id="rId3528" Type="http://schemas.openxmlformats.org/officeDocument/2006/relationships/hyperlink" Target="https://www.google.com/url?q=https://github.com/pranavjangir/CompetitiveProgramming/blob/master/Timus/TIMUS%25201619.cpp&amp;sa=D&amp;ust=1605639553646000&amp;usg=AFQjCNGDqTghJ9vEDUswyDB4fWrIQ8Ld3w" TargetMode="External"/><Relationship Id="rId3735" Type="http://schemas.openxmlformats.org/officeDocument/2006/relationships/hyperlink" Target="https://www.google.com/url?q=https://www.codechef.com/problems/EST&amp;sa=D&amp;ust=1605639553821000&amp;usg=AFQjCNGGGVtpx9ghM-yrisaswMvnfkCdYw" TargetMode="External"/><Relationship Id="rId449" Type="http://schemas.openxmlformats.org/officeDocument/2006/relationships/hyperlink" Target="https://www.google.com/url?q=http://codeforces.com/contest/255/problem/D&amp;sa=D&amp;ust=1605639551863000&amp;usg=AFQjCNFIxLr09Z0QNhjjvRsKSk5EDgvLfA" TargetMode="External"/><Relationship Id="rId656" Type="http://schemas.openxmlformats.org/officeDocument/2006/relationships/hyperlink" Target="https://www.google.com/url?q=http://codeforces.com/contest/420/problem/D&amp;sa=D&amp;ust=1605639551944000&amp;usg=AFQjCNGAENSvtWlUW_nac8RYqoxBj8dxPw" TargetMode="External"/><Relationship Id="rId863" Type="http://schemas.openxmlformats.org/officeDocument/2006/relationships/hyperlink" Target="https://www.google.com/url?q=https://codeforces.com/contest/1285/problem/E&amp;sa=D&amp;ust=1605639552047000&amp;usg=AFQjCNFUMVffeGWbRkRrgjRBTpNmozJRfA" TargetMode="External"/><Relationship Id="rId1079" Type="http://schemas.openxmlformats.org/officeDocument/2006/relationships/hyperlink" Target="https://www.google.com/url?q=http://codeforces.com/contest/808/problem/E&amp;sa=D&amp;ust=1605639552167000&amp;usg=AFQjCNFMRceYd_O2nQQ4k-_eLsR5gJoOvg" TargetMode="External"/><Relationship Id="rId1286" Type="http://schemas.openxmlformats.org/officeDocument/2006/relationships/hyperlink" Target="https://www.google.com/url?q=http://codeforces.com/contest/662/problem/C&amp;sa=D&amp;ust=1605639552307000&amp;usg=AFQjCNF1o6nTUZBzosBwGRF_R1Hdlt018g" TargetMode="External"/><Relationship Id="rId1493" Type="http://schemas.openxmlformats.org/officeDocument/2006/relationships/hyperlink" Target="https://www.google.com/url?q=https://github.com/racsosabe/CompetitiveProgramming/blob/master/UVA/10288.cpp&amp;sa=D&amp;ust=1605639552440000&amp;usg=AFQjCNG3XrkDzXeixdZWZks2NzhWF5IZJQ" TargetMode="External"/><Relationship Id="rId2337" Type="http://schemas.openxmlformats.org/officeDocument/2006/relationships/hyperlink" Target="https://www.google.com/url?q=http://codeforces.com/gym/101490/attachments/download/5853/2016-benelux-algorithm-programming-contest-bapc-16-en.pdf&amp;sa=D&amp;ust=1605639552942000&amp;usg=AFQjCNHPuCrbQV4YvhS1B7BLSxI3UpHg2Q" TargetMode="External"/><Relationship Id="rId2544" Type="http://schemas.openxmlformats.org/officeDocument/2006/relationships/hyperlink" Target="https://www.google.com/url?q=http://codeforces.com/contest/707/problem/D&amp;sa=D&amp;ust=1605639553058000&amp;usg=AFQjCNGudvF28IlArm5eTEKiUvFitUxA4Q" TargetMode="External"/><Relationship Id="rId2891" Type="http://schemas.openxmlformats.org/officeDocument/2006/relationships/hyperlink" Target="https://www.google.com/url?q=https://github.com/tanmoy13/CompetitveProgramming/blob/master/Online-Judge-Solutions/UVA/670%2520-%2520The%2520dog%2520task.cpp&amp;sa=D&amp;ust=1605639553259000&amp;usg=AFQjCNF10vhrhogmnBRQyiOYJxKeg_iBQQ" TargetMode="External"/><Relationship Id="rId3942" Type="http://schemas.openxmlformats.org/officeDocument/2006/relationships/hyperlink" Target="https://www.google.com/url?q=https://github.com/SpeedOfMagic/CompetitiveProgramming/blob/master/CodeforcesGym/CF101187-GYM-F.cpp&amp;sa=D&amp;ust=1605639553939000&amp;usg=AFQjCNENDAQ-BWQoxplzRGd7tep1a0NcrA" TargetMode="External"/><Relationship Id="rId309" Type="http://schemas.openxmlformats.org/officeDocument/2006/relationships/hyperlink" Target="https://www.google.com/url?q=https://uva.onlinejudge.org/index.php?option%3Dcom_onlinejudge%26Itemid%3D8%26page%3Dshow_problem%26problem%3D2175&amp;sa=D&amp;ust=1605639551762000&amp;usg=AFQjCNGkZIChJfk7SqawgKXFhFwLL1iz3w" TargetMode="External"/><Relationship Id="rId516" Type="http://schemas.openxmlformats.org/officeDocument/2006/relationships/hyperlink" Target="https://www.google.com/url?q=http://codeforces.com/contest/439/problem/D&amp;sa=D&amp;ust=1605639551893000&amp;usg=AFQjCNEPp1AREEcVVcqaLX55fmmBdloUdA" TargetMode="External"/><Relationship Id="rId1146" Type="http://schemas.openxmlformats.org/officeDocument/2006/relationships/hyperlink" Target="https://www.google.com/url?q=https://codeforces.com/contest/1096/problem/D&amp;sa=D&amp;ust=1605639552206000&amp;usg=AFQjCNHFD3ZUjDCTq6ZPsVVhDWgytVj6qA" TargetMode="External"/><Relationship Id="rId2751" Type="http://schemas.openxmlformats.org/officeDocument/2006/relationships/hyperlink" Target="https://www.google.com/url?q=http://codeforces.com/contest/416/problem/E&amp;sa=D&amp;ust=1605639553177000&amp;usg=AFQjCNHgHHfUm_m7Z-732YnpCCwA3G220A" TargetMode="External"/><Relationship Id="rId3802" Type="http://schemas.openxmlformats.org/officeDocument/2006/relationships/hyperlink" Target="https://www.google.com/url?q=http://codeforces.com/contest/696/problem/D&amp;sa=D&amp;ust=1605639553865000&amp;usg=AFQjCNGcoawSpblYfgUroziQDhAj4tBL-A" TargetMode="External"/><Relationship Id="rId723" Type="http://schemas.openxmlformats.org/officeDocument/2006/relationships/hyperlink" Target="https://www.google.com/url?q=http://codeforces.com/contest/486/problem/E&amp;sa=D&amp;ust=1605639551975000&amp;usg=AFQjCNGss6Y3J8KJzDuoVwJexN7q7m66aQ" TargetMode="External"/><Relationship Id="rId930" Type="http://schemas.openxmlformats.org/officeDocument/2006/relationships/hyperlink" Target="https://www.google.com/url?q=https://atcoder.jp/contests/agc035/tasks/agc035_d&amp;sa=D&amp;ust=1605639552087000&amp;usg=AFQjCNFqRgwvvThvbfAPU4DPpG78Nhhcew" TargetMode="External"/><Relationship Id="rId1006" Type="http://schemas.openxmlformats.org/officeDocument/2006/relationships/hyperlink" Target="https://www.google.com/url?q=http://codeforces.com/contest/981/problem/E&amp;sa=D&amp;ust=1605639552128000&amp;usg=AFQjCNERHPeYhOKnAVLljcza_KG-49w_AQ" TargetMode="External"/><Relationship Id="rId1353" Type="http://schemas.openxmlformats.org/officeDocument/2006/relationships/hyperlink" Target="https://www.google.com/url?q=https://github.com/tmwilliamlin168/CompetitiveProgramming/blob/master/CodeChef/TBGRAPH.cpp&amp;sa=D&amp;ust=1605639552349000&amp;usg=AFQjCNEww3c15yq1_oi67NLYfmjvyjALMg" TargetMode="External"/><Relationship Id="rId1560" Type="http://schemas.openxmlformats.org/officeDocument/2006/relationships/hyperlink" Target="https://www.google.com/url?q=https://codeforces.com/contest/1054/problem/D&amp;sa=D&amp;ust=1605639552480000&amp;usg=AFQjCNFpesbUWxJctokKq_y888qV0nnNxw" TargetMode="External"/><Relationship Id="rId2404" Type="http://schemas.openxmlformats.org/officeDocument/2006/relationships/hyperlink" Target="https://www.google.com/url?q=https://github.com/goswami-rahul/competitive-coding/blob/master/CompetitiveProgramming/uva/11721.cpp&amp;sa=D&amp;ust=1605639552970000&amp;usg=AFQjCNEe9uiQgt9tM97kmzZL7scMJjwUCg" TargetMode="External"/><Relationship Id="rId2611" Type="http://schemas.openxmlformats.org/officeDocument/2006/relationships/hyperlink" Target="https://www.google.com/url?q=https://onlinejudge.org/index.php?option%3Donlinejudge%26Itemid%3D8%26page%3Dshow_problem%26problem%3D4659&amp;sa=D&amp;ust=1605639553100000&amp;usg=AFQjCNH6M4_Mj-bkXnqVdgabTlBNee-29w" TargetMode="External"/><Relationship Id="rId1213" Type="http://schemas.openxmlformats.org/officeDocument/2006/relationships/hyperlink" Target="https://www.google.com/url?q=http://www.spoj.com/problems/BYTESM2/&amp;sa=D&amp;ust=1605639552258000&amp;usg=AFQjCNHi74F_tIlpBm9QJN0q-Ojv2ubYKA" TargetMode="External"/><Relationship Id="rId1420" Type="http://schemas.openxmlformats.org/officeDocument/2006/relationships/hyperlink" Target="https://www.google.com/url?q=https://uva.onlinejudge.org/index.php?option%3Dcom_onlinejudge%26Itemid%3D8%26page%3Dshow_problem%26problem%3D1345&amp;sa=D&amp;ust=1605639552397000&amp;usg=AFQjCNH03IVjXhJVnSASIoUZtSlJyMkJcw" TargetMode="External"/><Relationship Id="rId4369" Type="http://schemas.openxmlformats.org/officeDocument/2006/relationships/hyperlink" Target="https://www.google.com/url?q=https://www.codechef.com/problems/SUBQUERY&amp;sa=D&amp;ust=1605639554312000&amp;usg=AFQjCNG2qjwPvNcJ1u75JhvaGUhFkk-_MQ" TargetMode="External"/><Relationship Id="rId3178" Type="http://schemas.openxmlformats.org/officeDocument/2006/relationships/hyperlink" Target="https://www.google.com/url?q=http://codeforces.com/problemset/problem/120/E&amp;sa=D&amp;ust=1605639553417000&amp;usg=AFQjCNHDZfTBsNSA-vAxubKlgCHCPTOSFA" TargetMode="External"/><Relationship Id="rId3385" Type="http://schemas.openxmlformats.org/officeDocument/2006/relationships/hyperlink" Target="https://www.google.com/url?q=https://arc102.contest.atcoder.jp/tasks/arc102_c&amp;sa=D&amp;ust=1605639553545000&amp;usg=AFQjCNEUU5IUGgQ9X-KlK8xNMaR9U-5tVQ" TargetMode="External"/><Relationship Id="rId3592" Type="http://schemas.openxmlformats.org/officeDocument/2006/relationships/hyperlink" Target="https://www.google.com/url?q=https://www.spoj.com/problems/XMAX/&amp;sa=D&amp;ust=1605639553723000&amp;usg=AFQjCNHV3MX5Am0XXSt_OXZycC8leWU_Cw" TargetMode="External"/><Relationship Id="rId4229" Type="http://schemas.openxmlformats.org/officeDocument/2006/relationships/hyperlink" Target="https://www.google.com/url?q=https://github.com/mostafa-saad/MyCompetitiveProgramming/blob/master/HACKERRANK/HACKR-neighborhood-queries.txt&amp;sa=D&amp;ust=1605639554256000&amp;usg=AFQjCNHiDYez8oLpLRrVKlO4q_qot_LOhw" TargetMode="External"/><Relationship Id="rId4436" Type="http://schemas.openxmlformats.org/officeDocument/2006/relationships/hyperlink" Target="https://www.google.com/url?q=https://www.codechef.com/INQU2018/problems/IMGOD&amp;sa=D&amp;ust=1605639554344000&amp;usg=AFQjCNG6J1drdm_Ds7OOI1KNjkMtvzNpJw" TargetMode="External"/><Relationship Id="rId2194" Type="http://schemas.openxmlformats.org/officeDocument/2006/relationships/hyperlink" Target="https://www.google.com/url?q=https://github.com/MeGaCrazy/CompetitiveProgramming/blob/c0be86b2a38768b19efa8a1665febb1b03a9edd6/UVA/UVA_10002.cpp&amp;sa=D&amp;ust=1605639552868000&amp;usg=AFQjCNFzF5YqVT5w_WJG2ZLXKgot9mvvFg" TargetMode="External"/><Relationship Id="rId3038" Type="http://schemas.openxmlformats.org/officeDocument/2006/relationships/hyperlink" Target="https://www.google.com/url?q=https://github.com/miguelAlessandro/CompetitiveProgramming/blob/master/UVA/12363.cpp&amp;sa=D&amp;ust=1605639553344000&amp;usg=AFQjCNHXSGd2d7MGPCeG--NUGXgD0ThEbw" TargetMode="External"/><Relationship Id="rId3245" Type="http://schemas.openxmlformats.org/officeDocument/2006/relationships/hyperlink" Target="https://www.google.com/url?q=http://codeforces.com/contest/334/problem/C&amp;sa=D&amp;ust=1605639553451000&amp;usg=AFQjCNFNPm6Lw9Uwk-GW0TQV6XEtbrTROQ" TargetMode="External"/><Relationship Id="rId3452" Type="http://schemas.openxmlformats.org/officeDocument/2006/relationships/hyperlink" Target="https://www.google.com/url?q=http://www.topcoder.com/tc?module%3DStatic%26d1%3Dmatch_editorials%26d2%3Dsrm280&amp;sa=D&amp;ust=1605639553586000&amp;usg=AFQjCNEswIy4BB7XL2IRP-SPYTahHixLRA" TargetMode="External"/><Relationship Id="rId166" Type="http://schemas.openxmlformats.org/officeDocument/2006/relationships/hyperlink" Target="https://www.google.com/url?q=https://csacademy.com/contest/round-27/task/huge-matrix/&amp;sa=D&amp;ust=1605639551651000&amp;usg=AFQjCNEJl98RNkd-sBrBTViDMZK63VG4_Q" TargetMode="External"/><Relationship Id="rId373" Type="http://schemas.openxmlformats.org/officeDocument/2006/relationships/hyperlink" Target="https://www.google.com/url?q=http://codeforces.com/gym/101191/problem/C&amp;sa=D&amp;ust=1605639551810000&amp;usg=AFQjCNHgDgT5gkNCapF9DDqUIUo3lvzV2g" TargetMode="External"/><Relationship Id="rId580" Type="http://schemas.openxmlformats.org/officeDocument/2006/relationships/hyperlink" Target="https://www.google.com/url?q=http://codeforces.com/contest/529/problem/C&amp;sa=D&amp;ust=1605639551919000&amp;usg=AFQjCNF8hUymaQhKJVdpzvAP1bi6X_s_Zw" TargetMode="External"/><Relationship Id="rId2054" Type="http://schemas.openxmlformats.org/officeDocument/2006/relationships/hyperlink" Target="https://www.google.com/url?q=https://uva.onlinejudge.org/index.php?option%3Donlinejudge%26page%3Dshow_problem%26problem%3D946&amp;sa=D&amp;ust=1605639552774000&amp;usg=AFQjCNHn-k4__eSqJkQJ_ARuDlsmIg6vbA" TargetMode="External"/><Relationship Id="rId2261" Type="http://schemas.openxmlformats.org/officeDocument/2006/relationships/hyperlink" Target="https://www.google.com/url?q=http://codeforces.com/contest/724/problem/G&amp;sa=D&amp;ust=1605639552909000&amp;usg=AFQjCNH1wLooDVOTC3I-ZiAwoBC17lYeDg" TargetMode="External"/><Relationship Id="rId3105" Type="http://schemas.openxmlformats.org/officeDocument/2006/relationships/hyperlink" Target="https://www.google.com/url?q=https://agc011.contest.atcoder.jp/tasks/agc011_e&amp;sa=D&amp;ust=1605639553378000&amp;usg=AFQjCNGc5XP0vPaZ3ooORu9ESWvqzRpCRw" TargetMode="External"/><Relationship Id="rId3312" Type="http://schemas.openxmlformats.org/officeDocument/2006/relationships/hyperlink" Target="https://www.google.com/url?q=https://agc004.contest.atcoder.jp/tasks/agc004_a&amp;sa=D&amp;ust=1605639553492000&amp;usg=AFQjCNGvnuQhYS8ut85UBjs_Wy4lAvsFAA" TargetMode="External"/><Relationship Id="rId233" Type="http://schemas.openxmlformats.org/officeDocument/2006/relationships/hyperlink" Target="https://www.google.com/url?q=http://codeforces.com/contest/192/problem/D&amp;sa=D&amp;ust=1605639551700000&amp;usg=AFQjCNGSp5zrA5g_EekCSzp96egouDIqUw" TargetMode="External"/><Relationship Id="rId440" Type="http://schemas.openxmlformats.org/officeDocument/2006/relationships/hyperlink" Target="https://www.google.com/url?q=http://codeforces.com/contest/817/problem/C&amp;sa=D&amp;ust=1605639551860000&amp;usg=AFQjCNH5C6N3E7QIh8PZCwrMEzJmvZ_7Kg" TargetMode="External"/><Relationship Id="rId1070" Type="http://schemas.openxmlformats.org/officeDocument/2006/relationships/hyperlink" Target="https://www.google.com/url?q=http://codeforces.com/contest/822/problem/D&amp;sa=D&amp;ust=1605639552161000&amp;usg=AFQjCNGzEKxDumT-l_XNyuLqRnoPq3YhQQ" TargetMode="External"/><Relationship Id="rId2121" Type="http://schemas.openxmlformats.org/officeDocument/2006/relationships/hyperlink" Target="https://www.google.com/url?q=https://github.com/ajahuang/UVa/blob/master/UVa%2520191%2520-%2520Intersection.cpp&amp;sa=D&amp;ust=1605639552814000&amp;usg=AFQjCNGINA9r5VETekENnDqOoHx9DHBtBg" TargetMode="External"/><Relationship Id="rId300" Type="http://schemas.openxmlformats.org/officeDocument/2006/relationships/hyperlink" Target="https://www.google.com/url?q=http://codeforces.com/contest/897/problem/E&amp;sa=D&amp;ust=1605639551757000&amp;usg=AFQjCNGI-3emh5WW6z2zHfWahfZyqykVKQ" TargetMode="External"/><Relationship Id="rId4086" Type="http://schemas.openxmlformats.org/officeDocument/2006/relationships/hyperlink" Target="https://www.google.com/url?q=http://codeforces.com/problemset/problem/815/C&amp;sa=D&amp;ust=1605639554168000&amp;usg=AFQjCNGlOZIlQogoXgE3ltxQ2ECgon6bsw" TargetMode="External"/><Relationship Id="rId1887" Type="http://schemas.openxmlformats.org/officeDocument/2006/relationships/hyperlink" Target="https://www.google.com/url?q=http://codeforces.com/contest/213/problem/D&amp;sa=D&amp;ust=1605639552658000&amp;usg=AFQjCNHXyqc4vO_Irpxu4lBZhVOg4jjHig" TargetMode="External"/><Relationship Id="rId2938" Type="http://schemas.openxmlformats.org/officeDocument/2006/relationships/hyperlink" Target="https://www.google.com/url?q=https://codeforces.com/contest/891/problem/C&amp;sa=D&amp;ust=1605639553285000&amp;usg=AFQjCNG-4Nj6EiHqiZ1eSrmyKh_4Iuya2A" TargetMode="External"/><Relationship Id="rId4293" Type="http://schemas.openxmlformats.org/officeDocument/2006/relationships/hyperlink" Target="https://www.google.com/url?q=https://codeforces.com/problemset/problem/1083/F&amp;sa=D&amp;ust=1605639554281000&amp;usg=AFQjCNEWeJaHs0mW4-5wPzUeC92prDTS4A" TargetMode="External"/><Relationship Id="rId1747" Type="http://schemas.openxmlformats.org/officeDocument/2006/relationships/hyperlink" Target="https://www.google.com/url?q=http://codeforces.com/contest/166/problem/C&amp;sa=D&amp;ust=1605639552585000&amp;usg=AFQjCNHCH2LwPj7BQLNjFldQJ9l9Ldb0CQ" TargetMode="External"/><Relationship Id="rId1954" Type="http://schemas.openxmlformats.org/officeDocument/2006/relationships/hyperlink" Target="https://www.google.com/url?q=https://github.com/osamahatem/CompetitiveProgramming/blob/master/SPOJ/BILLIARD.cpp&amp;sa=D&amp;ust=1605639552709000&amp;usg=AFQjCNGX8LMDAyvl5ZrvbnaDuG-gM47ZMQ" TargetMode="External"/><Relationship Id="rId4153" Type="http://schemas.openxmlformats.org/officeDocument/2006/relationships/hyperlink" Target="https://www.google.com/url?q=https://github.com/HeartBlue/CompetitiveProgramming/blob/master/LIVEARCHIVE/LIVEARCHIVE%25205099%2520Nubulsa%2520Expo.cpp&amp;sa=D&amp;ust=1605639554208000&amp;usg=AFQjCNGNf5FsuvRhz6k--Nq0_v6nC6x9Nw" TargetMode="External"/><Relationship Id="rId4360" Type="http://schemas.openxmlformats.org/officeDocument/2006/relationships/hyperlink" Target="https://www.google.com/url?q=https://atcoder.jp/contests/arc100/tasks/arc100_c&amp;sa=D&amp;ust=1605639554309000&amp;usg=AFQjCNEF5lGzWBZSrTwxmBO7E15uNr1wMA" TargetMode="External"/><Relationship Id="rId39" Type="http://schemas.openxmlformats.org/officeDocument/2006/relationships/hyperlink" Target="https://www.google.com/url?q=https://codeforces.com/contest/1159/problem/D&amp;sa=D&amp;ust=1605639551578000&amp;usg=AFQjCNGHU3pLg6akzY3JAn3gmv9cSbEdAA" TargetMode="External"/><Relationship Id="rId1607" Type="http://schemas.openxmlformats.org/officeDocument/2006/relationships/hyperlink" Target="https://www.google.com/url?q=https://codingcompetitions.withgoogle.com/codejam/round/0000000000007707/000000000004b7fe&amp;sa=D&amp;ust=1605639552505000&amp;usg=AFQjCNGynJp4mo6ZH69HOwQdAMjhUPoIow" TargetMode="External"/><Relationship Id="rId1814" Type="http://schemas.openxmlformats.org/officeDocument/2006/relationships/hyperlink" Target="https://www.google.com/url?q=http://codeforces.com/contest/914/problem/B&amp;sa=D&amp;ust=1605639552620000&amp;usg=AFQjCNHzsBv13wuOdTyNwVrVuNMnNBsrhQ" TargetMode="External"/><Relationship Id="rId4013" Type="http://schemas.openxmlformats.org/officeDocument/2006/relationships/hyperlink" Target="https://www.google.com/url?q=http://codeforces.com/problemset/problem/788/A&amp;sa=D&amp;ust=1605639554132000&amp;usg=AFQjCNFynICZ3JJ1jqcIrUp7TuFLL81kcg" TargetMode="External"/><Relationship Id="rId4220" Type="http://schemas.openxmlformats.org/officeDocument/2006/relationships/hyperlink" Target="https://www.google.com/url?q=http://www.codechef.com/problems/QUERY&amp;sa=D&amp;ust=1605639554251000&amp;usg=AFQjCNEtaoWbeu5flb5lc1RLhSJFH0qZ1g" TargetMode="External"/><Relationship Id="rId3779" Type="http://schemas.openxmlformats.org/officeDocument/2006/relationships/hyperlink" Target="https://www.google.com/url?q=https://github.com/sggutier/CompetitiveProgramming/blob/master/UVa/1282.cpp&amp;sa=D&amp;ust=1605639553847000&amp;usg=AFQjCNHI_HKPFF3LIS5owhSgNqdxCLU-uA" TargetMode="External"/><Relationship Id="rId2588" Type="http://schemas.openxmlformats.org/officeDocument/2006/relationships/hyperlink" Target="https://www.google.com/url?q=http://codeforces.com/contest/540/problem/C&amp;sa=D&amp;ust=1605639553080000&amp;usg=AFQjCNFaMGK2odXrOTAapnQj3HNRt_3K1w" TargetMode="External"/><Relationship Id="rId3986" Type="http://schemas.openxmlformats.org/officeDocument/2006/relationships/hyperlink" Target="https://www.google.com/url?q=http://codeforces.com/contest/309/problem/B&amp;sa=D&amp;ust=1605639553966000&amp;usg=AFQjCNG3S9UFnf3BzW5JDnLmjKCju6Lb4g" TargetMode="External"/><Relationship Id="rId1397" Type="http://schemas.openxmlformats.org/officeDocument/2006/relationships/hyperlink" Target="https://www.google.com/url?q=https://codeforces.com/contest/1084/problem/C&amp;sa=D&amp;ust=1605639552378000&amp;usg=AFQjCNFNExFj5ctjUAJJK7852wdxHYAImg" TargetMode="External"/><Relationship Id="rId2795" Type="http://schemas.openxmlformats.org/officeDocument/2006/relationships/hyperlink" Target="https://www.google.com/url?q=http://codeforces.com/contest/708/problem/D&amp;sa=D&amp;ust=1605639553208000&amp;usg=AFQjCNH_6krAP18syfWmT3Xm8LDWsog6Zw" TargetMode="External"/><Relationship Id="rId3639" Type="http://schemas.openxmlformats.org/officeDocument/2006/relationships/hyperlink" Target="https://www.google.com/url?q=https://github.com/mostafa-saad/MyCompetitiveProgramming/blob/master/SPOJ/SPOJ_EASYFACT.txt&amp;sa=D&amp;ust=1605639553756000&amp;usg=AFQjCNFIjnY1z1-2wTImCgXgObbSvZ3Dag" TargetMode="External"/><Relationship Id="rId3846" Type="http://schemas.openxmlformats.org/officeDocument/2006/relationships/hyperlink" Target="https://www.google.com/url?q=https://codeforces.com/contest/1080/problem/E&amp;sa=D&amp;ust=1605639553890000&amp;usg=AFQjCNEdCKVUd93kdQ-k-DHOVcY7XYMhLA" TargetMode="External"/><Relationship Id="rId767" Type="http://schemas.openxmlformats.org/officeDocument/2006/relationships/hyperlink" Target="https://www.google.com/url?q=https://uva.onlinejudge.org/index.php?option%3Dcom_onlinejudge%26Itemid%3D8%26page%3Dshow_problem%26problem%3D3720&amp;sa=D&amp;ust=1605639551996000&amp;usg=AFQjCNGdv_bdAjx8MVTNKLlRYt_o_CKyzw" TargetMode="External"/><Relationship Id="rId974" Type="http://schemas.openxmlformats.org/officeDocument/2006/relationships/hyperlink" Target="https://www.google.com/url?q=http://codeforces.com/contest/888/problem/F&amp;sa=D&amp;ust=1605639552112000&amp;usg=AFQjCNFkuJuyy4l6SQhaG6R_UlNPljr-8g" TargetMode="External"/><Relationship Id="rId2448" Type="http://schemas.openxmlformats.org/officeDocument/2006/relationships/hyperlink" Target="https://www.google.com/url?q=https://github.com/A7medgamal/CompetitiveProgramming/blob/master/SPOJ/SPOJ%2520A_W_S_N.cpp&amp;sa=D&amp;ust=1605639552994000&amp;usg=AFQjCNELW3jWgdK3DDftke-TuHcpf7XWCg" TargetMode="External"/><Relationship Id="rId2655" Type="http://schemas.openxmlformats.org/officeDocument/2006/relationships/hyperlink" Target="https://www.google.com/url?q=http://www.spoj.com/problems/SHOP/&amp;sa=D&amp;ust=1605639553124000&amp;usg=AFQjCNHuGmuKQszC3_WcWXTNYBoiFBkWnw" TargetMode="External"/><Relationship Id="rId2862" Type="http://schemas.openxmlformats.org/officeDocument/2006/relationships/hyperlink" Target="https://www.google.com/url?q=https://ideone.com/B7SwUL&amp;sa=D&amp;ust=1605639553242000&amp;usg=AFQjCNFLxkJN8rRTqRB4_psYsMmYLEYq_Q" TargetMode="External"/><Relationship Id="rId3706" Type="http://schemas.openxmlformats.org/officeDocument/2006/relationships/hyperlink" Target="https://www.google.com/url?q=https://www.hackerrank.com/challenges/game-of-throne-ii&amp;sa=D&amp;ust=1605639553800000&amp;usg=AFQjCNHCweqIuDi0gZQSXlXiwzjkzG8-jQ" TargetMode="External"/><Relationship Id="rId3913" Type="http://schemas.openxmlformats.org/officeDocument/2006/relationships/hyperlink" Target="https://www.google.com/url?q=http://mypaper.pchome.com.tw/zerojudge/post/1324765427&amp;sa=D&amp;ust=1605639553925000&amp;usg=AFQjCNFi13OXAG-oRg3TTxE3rAxE2_Xdpg" TargetMode="External"/><Relationship Id="rId627" Type="http://schemas.openxmlformats.org/officeDocument/2006/relationships/hyperlink" Target="https://www.google.com/url?q=https://github.com/Huvok/CompetitiveProgramming/blob/master/Codeforces/CF610-D2-E.cpp&amp;sa=D&amp;ust=1605639551935000&amp;usg=AFQjCNFWJe2S7-nm0UdQjMLUJjKjhirZkg" TargetMode="External"/><Relationship Id="rId834" Type="http://schemas.openxmlformats.org/officeDocument/2006/relationships/hyperlink" Target="https://www.google.com/url?q=https://github.com/mostafa-saad/MyCompetitiveProgramming/blob/master/Codeforces/CF5-D12-E.txt&amp;sa=D&amp;ust=1605639552031000&amp;usg=AFQjCNFW3o8ClztrHY3pAOfaXk1mN69edA" TargetMode="External"/><Relationship Id="rId1257" Type="http://schemas.openxmlformats.org/officeDocument/2006/relationships/hyperlink" Target="https://www.google.com/url?q=https://github.com/mostafa-saad/MyCompetitiveProgramming/blob/master/UVA/UVA_10940.txt&amp;sa=D&amp;ust=1605639552295000&amp;usg=AFQjCNFva-jB9Ed9a3Ks6AKvrENR_J3mVg" TargetMode="External"/><Relationship Id="rId1464" Type="http://schemas.openxmlformats.org/officeDocument/2006/relationships/hyperlink" Target="https://www.google.com/url?q=http://codeforces.com/contest/54/problem/C&amp;sa=D&amp;ust=1605639552423000&amp;usg=AFQjCNEA-9I1u6VrotFj9w3HlX1RzJq3-g" TargetMode="External"/><Relationship Id="rId1671" Type="http://schemas.openxmlformats.org/officeDocument/2006/relationships/hyperlink" Target="https://www.google.com/url?q=http://codeforces.com/contest/286/problem/C&amp;sa=D&amp;ust=1605639552541000&amp;usg=AFQjCNFvZTLHzIK9dgCf-qcByH0CnTbAHw" TargetMode="External"/><Relationship Id="rId2308" Type="http://schemas.openxmlformats.org/officeDocument/2006/relationships/hyperlink" Target="https://www.google.com/url?q=http://codeforces.com/contest/742/problem/E&amp;sa=D&amp;ust=1605639552932000&amp;usg=AFQjCNGhxfx5ksdYZtlUVRW_9-we_ksmxw" TargetMode="External"/><Relationship Id="rId2515" Type="http://schemas.openxmlformats.org/officeDocument/2006/relationships/hyperlink" Target="https://www.google.com/url?q=https://github.com/MetalBall887/Competitive-Programming/blob/master/AtCoder/AtCoder009-AGC-D.cpp&amp;sa=D&amp;ust=1605639553040000&amp;usg=AFQjCNHT0HogSnBge3gxg5EWYRRbXA9nUw" TargetMode="External"/><Relationship Id="rId2722" Type="http://schemas.openxmlformats.org/officeDocument/2006/relationships/hyperlink" Target="https://www.google.com/url?q=http://codeforces.com/contest/25/problem/D&amp;sa=D&amp;ust=1605639553159000&amp;usg=AFQjCNFPqaex3FWDU81Nbk0ipdNqZCI19w" TargetMode="External"/><Relationship Id="rId901" Type="http://schemas.openxmlformats.org/officeDocument/2006/relationships/hyperlink" Target="https://www.google.com/url?q=https://codeforces.com/contest/518/problem/F&amp;sa=D&amp;ust=1605639552072000&amp;usg=AFQjCNFzyEqIt2dwrTSyHKh4w-LZePMOsA" TargetMode="External"/><Relationship Id="rId1117" Type="http://schemas.openxmlformats.org/officeDocument/2006/relationships/hyperlink" Target="https://www.google.com/url?q=http://codeforces.com/contest/13/problem/C&amp;sa=D&amp;ust=1605639552191000&amp;usg=AFQjCNHobaQuxk1HmZ9muGaBkJqaf3CHZg" TargetMode="External"/><Relationship Id="rId1324" Type="http://schemas.openxmlformats.org/officeDocument/2006/relationships/hyperlink" Target="https://www.google.com/url?q=https://codeforces.com/gym/102219/problem/F&amp;sa=D&amp;ust=1605639552328000&amp;usg=AFQjCNGs_O8jyZayGU6mO3slUySnxPc5CA" TargetMode="External"/><Relationship Id="rId1531" Type="http://schemas.openxmlformats.org/officeDocument/2006/relationships/hyperlink" Target="https://www.google.com/url?q=http://codeforces.com/contest/203/problem/E&amp;sa=D&amp;ust=1605639552463000&amp;usg=AFQjCNHgg6bhvccMM-JbLYR4JgJK1j2etA" TargetMode="External"/><Relationship Id="rId30" Type="http://schemas.openxmlformats.org/officeDocument/2006/relationships/hyperlink" Target="https://www.google.com/url?q=https://hanoi18.kattis.com/problems/jurassicjungle&amp;sa=D&amp;ust=1605639551574000&amp;usg=AFQjCNECf5nYWbWdQepWZPZlyaAOleqhvg" TargetMode="External"/><Relationship Id="rId3289" Type="http://schemas.openxmlformats.org/officeDocument/2006/relationships/hyperlink" Target="https://www.google.com/url?q=http://codeforces.com/problemset/problem/900/B&amp;sa=D&amp;ust=1605639553475000&amp;usg=AFQjCNEKzd7XYfy1bLrayKRaDO4Q2RiaZQ" TargetMode="External"/><Relationship Id="rId3496" Type="http://schemas.openxmlformats.org/officeDocument/2006/relationships/hyperlink" Target="https://www.google.com/url?q=https://www.codechef.com/problems/SEALCM&amp;sa=D&amp;ust=1605639553617000&amp;usg=AFQjCNEzuN9t-CBX9H_TO29ZXmFFmevCog" TargetMode="External"/><Relationship Id="rId2098" Type="http://schemas.openxmlformats.org/officeDocument/2006/relationships/hyperlink" Target="https://www.google.com/url?q=https://uva.onlinejudge.org/index.php?option%3Donlinejudge%26page%3Dshow_problem%26problem%3D678&amp;sa=D&amp;ust=1605639552803000&amp;usg=AFQjCNGCFvkdqSNCwu1uzGc9ZHHREnYUOA" TargetMode="External"/><Relationship Id="rId3149" Type="http://schemas.openxmlformats.org/officeDocument/2006/relationships/hyperlink" Target="https://www.google.com/url?q=https://codeforces.com/contest/1183/problem/F&amp;sa=D&amp;ust=1605639553405000&amp;usg=AFQjCNE-58eSKJD5G3Armlb3tnsxD0P9Pw" TargetMode="External"/><Relationship Id="rId3356" Type="http://schemas.openxmlformats.org/officeDocument/2006/relationships/hyperlink" Target="https://www.google.com/url?q=https://uva.onlinejudge.org/index.php?option%3Donlinejudge%26page%3Dshow_problem%26problem%3D310&amp;sa=D&amp;ust=1605639553523000&amp;usg=AFQjCNEfY5wJy3fuylRYQAPAIUlriG1d9w" TargetMode="External"/><Relationship Id="rId3563" Type="http://schemas.openxmlformats.org/officeDocument/2006/relationships/hyperlink" Target="https://www.google.com/url?q=https://codeforces.com/problemset/problem/954/F&amp;sa=D&amp;ust=1605639553702000&amp;usg=AFQjCNGl0CziUoNaYNaljHI6m7P4_Fydew" TargetMode="External"/><Relationship Id="rId4407" Type="http://schemas.openxmlformats.org/officeDocument/2006/relationships/hyperlink" Target="https://www.google.com/url?q=https://codeforces.com/contest/1156/problem/E&amp;sa=D&amp;ust=1605639554333000&amp;usg=AFQjCNFVtaKoranZiPY1-Hk4VHSg92rDBg" TargetMode="External"/><Relationship Id="rId277" Type="http://schemas.openxmlformats.org/officeDocument/2006/relationships/hyperlink" Target="https://www.google.com/url?q=https://codeforces.com/blog/entry/47821&amp;sa=D&amp;ust=1605639551747000&amp;usg=AFQjCNHnhwDPsW_WCybDvikh8_UU1RmVvA" TargetMode="External"/><Relationship Id="rId484" Type="http://schemas.openxmlformats.org/officeDocument/2006/relationships/hyperlink" Target="https://www.google.com/url?q=https://codeforces.com/contest/1146/problem/C&amp;sa=D&amp;ust=1605639551879000&amp;usg=AFQjCNHdmD7Gn2ZQX21FIJYG9lZPLfDKWQ" TargetMode="External"/><Relationship Id="rId2165" Type="http://schemas.openxmlformats.org/officeDocument/2006/relationships/hyperlink" Target="https://www.google.com/url?q=https://github.com/OmarAhmedSaleh/competitive-programming/blob/master/TJU/1537.%2520%2520%2520This%2520Takes%2520the%2520Cake.cpp&amp;sa=D&amp;ust=1605639552847000&amp;usg=AFQjCNGh8rbg_3U9xsBRBpUHRKYDaZtefQ" TargetMode="External"/><Relationship Id="rId3009" Type="http://schemas.openxmlformats.org/officeDocument/2006/relationships/hyperlink" Target="https://www.google.com/url?q=https://codeforces.com/contest/1215/problem/F&amp;sa=D&amp;ust=1605639553324000&amp;usg=AFQjCNG9wR5JfTsXaImxBggyeBOAKOD5yw" TargetMode="External"/><Relationship Id="rId3216" Type="http://schemas.openxmlformats.org/officeDocument/2006/relationships/hyperlink" Target="https://www.google.com/url?q=http://codeforces.com/contest/322/problem/C&amp;sa=D&amp;ust=1605639553433000&amp;usg=AFQjCNHqFAoqix66T53ypvkkxq1s7E--2Q" TargetMode="External"/><Relationship Id="rId3770" Type="http://schemas.openxmlformats.org/officeDocument/2006/relationships/hyperlink" Target="https://www.google.com/url?q=https://github.com/HosamEissa/Competitive-programming-/blob/master/UVA/11488.cpp&amp;sa=D&amp;ust=1605639553842000&amp;usg=AFQjCNH82_S8IhOg8kgIEk3f7sdjZueKcQ" TargetMode="External"/><Relationship Id="rId137" Type="http://schemas.openxmlformats.org/officeDocument/2006/relationships/hyperlink" Target="https://www.google.com/url?q=http://codeforces.com/problemset/problem/296/C&amp;sa=D&amp;ust=1605639551634000&amp;usg=AFQjCNGe33pl_qxGYD117aBe5-BOJc0jyA" TargetMode="External"/><Relationship Id="rId344" Type="http://schemas.openxmlformats.org/officeDocument/2006/relationships/hyperlink" Target="https://www.google.com/url?q=http://codeforces.com/contest/697/problem/C&amp;sa=D&amp;ust=1605639551778000&amp;usg=AFQjCNENfrtuRfx16zvJmi2gRqP-a8UJlA" TargetMode="External"/><Relationship Id="rId691" Type="http://schemas.openxmlformats.org/officeDocument/2006/relationships/hyperlink" Target="https://www.google.com/url?q=https://codeforces.com/contest/397/problem/E&amp;sa=D&amp;ust=1605639551960000&amp;usg=AFQjCNHNhYF4fPmUHfB3e-GBfsz8aOTYGg" TargetMode="External"/><Relationship Id="rId2025" Type="http://schemas.openxmlformats.org/officeDocument/2006/relationships/hyperlink" Target="https://www.google.com/url?q=http://codeforces.com/contest/617/problem/C&amp;sa=D&amp;ust=1605639552749000&amp;usg=AFQjCNHBHbA1TQbKk9GO1B2SR-Tcr4YI3A" TargetMode="External"/><Relationship Id="rId2372" Type="http://schemas.openxmlformats.org/officeDocument/2006/relationships/hyperlink" Target="https://www.google.com/url?q=https://tenka1-2018.contest.atcoder.jp/tasks/tenka1_2018_d&amp;sa=D&amp;ust=1605639552955000&amp;usg=AFQjCNE-QosUhhwXSG0o4jFUSVbnSKx6HQ" TargetMode="External"/><Relationship Id="rId3423" Type="http://schemas.openxmlformats.org/officeDocument/2006/relationships/hyperlink" Target="https://www.google.com/url?q=https://atcoder.jp/contests/abc132/tasks/abc132_d&amp;sa=D&amp;ust=1605639553567000&amp;usg=AFQjCNEIBrhFC-N-AIrev_1dfKcuMR7A9A" TargetMode="External"/><Relationship Id="rId3630" Type="http://schemas.openxmlformats.org/officeDocument/2006/relationships/hyperlink" Target="https://www.google.com/url?q=https://github.com/MohamedNabil97/CompetitiveProgramming/blob/master/UVA/1181.cpp&amp;sa=D&amp;ust=1605639553750000&amp;usg=AFQjCNEe0P2lN7pYnGZQGNtrh6pgGd4uHg" TargetMode="External"/><Relationship Id="rId551" Type="http://schemas.openxmlformats.org/officeDocument/2006/relationships/hyperlink" Target="https://www.google.com/url?q=https://github.com/AbdallahNaguib/CompetitiveProgramming/blob/master/CF869-D2-E&amp;sa=D&amp;ust=1605639551908000&amp;usg=AFQjCNGoMKL5PpTBIqjjUtwjcIlbI-fMwQ" TargetMode="External"/><Relationship Id="rId1181" Type="http://schemas.openxmlformats.org/officeDocument/2006/relationships/hyperlink" Target="https://www.google.com/url?q=http://codeforces.com/contest/792/problem/C&amp;sa=D&amp;ust=1605639552229000&amp;usg=AFQjCNF2bYBOnhKWC2yBIONqj8YHwh9RGA" TargetMode="External"/><Relationship Id="rId2232" Type="http://schemas.openxmlformats.org/officeDocument/2006/relationships/hyperlink" Target="https://www.google.com/url?q=http://codeforces.com/contest/496/problem/E&amp;sa=D&amp;ust=1605639552887000&amp;usg=AFQjCNE3NOWLfad_1F6ntWH7CSK8xWRCBA" TargetMode="External"/><Relationship Id="rId204" Type="http://schemas.openxmlformats.org/officeDocument/2006/relationships/hyperlink" Target="https://www.google.com/url?q=http://codeforces.com/contest/621/problem/D&amp;sa=D&amp;ust=1605639551681000&amp;usg=AFQjCNFMXijZf0uTE_cN9jfckh7dCgvSFA" TargetMode="External"/><Relationship Id="rId411" Type="http://schemas.openxmlformats.org/officeDocument/2006/relationships/hyperlink" Target="https://www.google.com/url?q=https://github.com/mostafa-saad/MyCompetitiveProgramming/blob/master/AtCoder/AtCoder002-AGC-D.txt&amp;sa=D&amp;ust=1605639551847000&amp;usg=AFQjCNH8ukfPOsLVlKvqX4nYm2VlD9EnPg" TargetMode="External"/><Relationship Id="rId1041" Type="http://schemas.openxmlformats.org/officeDocument/2006/relationships/hyperlink" Target="https://www.google.com/url?q=https://github.com/mostafa-saad/MyCompetitiveProgramming/blob/master/LiveArchive/LIVEARCHIVE_6175.txt&amp;sa=D&amp;ust=1605639552145000&amp;usg=AFQjCNFxyAa2fhWNVl4zp2HGPh6gm-MATQ" TargetMode="External"/><Relationship Id="rId1998" Type="http://schemas.openxmlformats.org/officeDocument/2006/relationships/hyperlink" Target="https://www.google.com/url?q=http://codeforces.com/contest/257/problem/C&amp;sa=D&amp;ust=1605639552732000&amp;usg=AFQjCNFCJZBJPZC-lzQbYq1JWyt7bJ-u2g" TargetMode="External"/><Relationship Id="rId4197" Type="http://schemas.openxmlformats.org/officeDocument/2006/relationships/hyperlink" Target="https://www.google.com/url?q=https://uva.onlinejudge.org/index.php?option%3Dcom_onlinejudge%26Itemid%3D8%26page%3Dshow_problem%26problem%3D1718&amp;sa=D&amp;ust=1605639554241000&amp;usg=AFQjCNF-wzLExfbPn7pCQZzCrYlW86ZObw" TargetMode="External"/><Relationship Id="rId1858" Type="http://schemas.openxmlformats.org/officeDocument/2006/relationships/hyperlink" Target="https://www.google.com/url?q=https://codingcompetitions.withgoogle.com/codejam/round/00000000000516b9/0000000000134cdf&amp;sa=D&amp;ust=1605639552643000&amp;usg=AFQjCNHENmWZkvfnsRfrrM0Z7pfHWzb9DA" TargetMode="External"/><Relationship Id="rId4057" Type="http://schemas.openxmlformats.org/officeDocument/2006/relationships/hyperlink" Target="https://www.google.com/url?q=http://codeforces.com/contest/321/problem/E&amp;sa=D&amp;ust=1605639554153000&amp;usg=AFQjCNG1Uk9CygFR7silGTGh1Ur-v4R6TA" TargetMode="External"/><Relationship Id="rId4264" Type="http://schemas.openxmlformats.org/officeDocument/2006/relationships/hyperlink" Target="https://www.google.com/url?q=https://github.com/mostafa-saad/MyCompetitiveProgramming/blob/master/SPOJ/SPOJ_TRAKA.txt&amp;sa=D&amp;ust=1605639554271000&amp;usg=AFQjCNFlG2bL3xRXVnD--Zh_1nAkCantsw" TargetMode="External"/><Relationship Id="rId2909" Type="http://schemas.openxmlformats.org/officeDocument/2006/relationships/hyperlink" Target="https://www.google.com/url?q=http://codeforces.com/contest/316/problem/C2&amp;sa=D&amp;ust=1605639553269000&amp;usg=AFQjCNFoNGioN7REuHg2zLs-Y2SbA25R9A" TargetMode="External"/><Relationship Id="rId3073" Type="http://schemas.openxmlformats.org/officeDocument/2006/relationships/hyperlink" Target="https://www.google.com/url?q=https://github.com/BRAINOOOO/CompetitiveProgramming/blob/master/TIMUS/TIMUS%25201752&amp;sa=D&amp;ust=1605639553359000&amp;usg=AFQjCNHbCLxBNFikzmGx-CtDzUwoPdD4oQ" TargetMode="External"/><Relationship Id="rId3280" Type="http://schemas.openxmlformats.org/officeDocument/2006/relationships/hyperlink" Target="https://www.google.com/url?q=https://github.com/tmwilliamlin168/CompetitiveProgramming/blob/master/CodeChef/GCDMOD.cpp&amp;sa=D&amp;ust=1605639553470000&amp;usg=AFQjCNHXoxK01Tk_OLbCMfCe4y0kdrGbDw" TargetMode="External"/><Relationship Id="rId4124" Type="http://schemas.openxmlformats.org/officeDocument/2006/relationships/hyperlink" Target="https://www.google.com/url?q=https://github.com/BRAINOOOO/CompetitiveProgramming/blob/master/CF/CF812-D2-D&amp;sa=D&amp;ust=1605639554190000&amp;usg=AFQjCNE87c3Oqiz8NPYVpC5ble6Tvj9TXA" TargetMode="External"/><Relationship Id="rId4331" Type="http://schemas.openxmlformats.org/officeDocument/2006/relationships/hyperlink" Target="https://www.google.com/url?q=http://codeforces.com/contest/101/problem/E&amp;sa=D&amp;ust=1605639554297000&amp;usg=AFQjCNFTq8UD70u4hzEc9Fw3B8die2mmEQ" TargetMode="External"/><Relationship Id="rId1718" Type="http://schemas.openxmlformats.org/officeDocument/2006/relationships/hyperlink" Target="https://www.google.com/url?q=https://codeforces.com/contest/1151/problem/D&amp;sa=D&amp;ust=1605639552569000&amp;usg=AFQjCNFFzdcTBst0BmujjbwyBDJlmU7W-g" TargetMode="External"/><Relationship Id="rId1925" Type="http://schemas.openxmlformats.org/officeDocument/2006/relationships/hyperlink" Target="https://www.google.com/url?q=https://github.com/mostafa-saad/MyCompetitiveProgramming/blob/master/UVA/UVA_11648.txt&amp;sa=D&amp;ust=1605639552693000&amp;usg=AFQjCNFPyiGyLv-SE-L76zlNtq866D7egA" TargetMode="External"/><Relationship Id="rId3140" Type="http://schemas.openxmlformats.org/officeDocument/2006/relationships/hyperlink" Target="https://www.google.com/url?q=https://github.com/andriy-zhuk/CompetitiveProgramming/blob/master/Codeforces/CF602-D2-D.cpp&amp;sa=D&amp;ust=1605639553400000&amp;usg=AFQjCNG-UFu2Qk4Le6d-tfBvzPiov4EJsg" TargetMode="External"/><Relationship Id="rId2699" Type="http://schemas.openxmlformats.org/officeDocument/2006/relationships/hyperlink" Target="https://www.google.com/url?q=https://codeforces.com/contest/292/submission/51947683&amp;sa=D&amp;ust=1605639553147000&amp;usg=AFQjCNEz4-lO4049mlQCtGMfTxnEc_Pf2w" TargetMode="External"/><Relationship Id="rId3000" Type="http://schemas.openxmlformats.org/officeDocument/2006/relationships/hyperlink" Target="https://www.google.com/url?q=https://github.com/HeartBlue/CompetitiveProgramming/blob/master/Codeforces/CF538-D12-H%2520Summer%2520Dichotomy.cpp&amp;sa=D&amp;ust=1605639553320000&amp;usg=AFQjCNFJQhjdklBzSUZyv2xYPWaIb3HSIQ" TargetMode="External"/><Relationship Id="rId3957" Type="http://schemas.openxmlformats.org/officeDocument/2006/relationships/hyperlink" Target="https://www.google.com/url?q=http://codeforces.com/contest/168/problem/C&amp;sa=D&amp;ust=1605639553947000&amp;usg=AFQjCNHjEnw2v3KCnio_iS6kuPnNvB-PBg" TargetMode="External"/><Relationship Id="rId878" Type="http://schemas.openxmlformats.org/officeDocument/2006/relationships/hyperlink" Target="https://www.google.com/url?q=http://codeforces.com/contest/387/problem/E&amp;sa=D&amp;ust=1605639552056000&amp;usg=AFQjCNFyUAeBujaWIaq-GFp9clmfxxlIJA" TargetMode="External"/><Relationship Id="rId2559" Type="http://schemas.openxmlformats.org/officeDocument/2006/relationships/hyperlink" Target="https://www.google.com/url?q=http://codeforces.com/contest/859/problem/E&amp;sa=D&amp;ust=1605639553065000&amp;usg=AFQjCNEFtP9ECRpMnuVluZuHTz_frWjP4Q" TargetMode="External"/><Relationship Id="rId2766" Type="http://schemas.openxmlformats.org/officeDocument/2006/relationships/hyperlink" Target="https://www.google.com/url?q=http://codeforces.com/contest/400/problem/D&amp;sa=D&amp;ust=1605639553187000&amp;usg=AFQjCNGkm18-DWBjDM2WC_oABWomQ1Ktgw" TargetMode="External"/><Relationship Id="rId2973" Type="http://schemas.openxmlformats.org/officeDocument/2006/relationships/hyperlink" Target="https://www.google.com/url?q=https://uva.onlinejudge.org/index.php?option%3Dcom_onlinejudge%26Itemid%3D8%26page%3Dshow_problem%26problem%3D1088&amp;sa=D&amp;ust=1605639553304000&amp;usg=AFQjCNEIAyoO_PAuPvaOAA8uSJyhX2Carg" TargetMode="External"/><Relationship Id="rId3817" Type="http://schemas.openxmlformats.org/officeDocument/2006/relationships/hyperlink" Target="https://www.google.com/url?q=https://www.codechef.com/problems/DIFTRIP&amp;sa=D&amp;ust=1605639553875000&amp;usg=AFQjCNEz-3RF2nu02kct5T84CD6KHh6xWA" TargetMode="External"/><Relationship Id="rId738" Type="http://schemas.openxmlformats.org/officeDocument/2006/relationships/hyperlink" Target="https://www.google.com/url?q=https://github.com/abdullaAshraf/Problem-Solving/blob/master/SPOJ/GSS4.cpp&amp;sa=D&amp;ust=1605639551982000&amp;usg=AFQjCNEygyVZrSH8rO1NpD5iqF52chYjXg" TargetMode="External"/><Relationship Id="rId945" Type="http://schemas.openxmlformats.org/officeDocument/2006/relationships/hyperlink" Target="https://www.google.com/url?q=http://codeforces.com/contest/261/problem/D&amp;sa=D&amp;ust=1605639552097000&amp;usg=AFQjCNH_kudZqKD2Vt-JYfYJwjBZKgb9Hg" TargetMode="External"/><Relationship Id="rId1368" Type="http://schemas.openxmlformats.org/officeDocument/2006/relationships/hyperlink" Target="https://www.google.com/url?q=http://codeforces.com/problemset/gymProblem/101064/B&amp;sa=D&amp;ust=1605639552357000&amp;usg=AFQjCNGTy1xZUh_QXeGBxrNlJaTLOHTp4g" TargetMode="External"/><Relationship Id="rId1575" Type="http://schemas.openxmlformats.org/officeDocument/2006/relationships/hyperlink" Target="https://www.google.com/url?q=http://codeforces.com/contest/627/problem/C&amp;sa=D&amp;ust=1605639552486000&amp;usg=AFQjCNFu9yQoj96uW-l4aDSUUcjkK5utNg" TargetMode="External"/><Relationship Id="rId1782" Type="http://schemas.openxmlformats.org/officeDocument/2006/relationships/hyperlink" Target="https://www.google.com/url?q=http://codeforces.com/contest/919/problem/F&amp;sa=D&amp;ust=1605639552605000&amp;usg=AFQjCNFxS-KE8ghP-ZoJ7fOzANP4KQKzbg" TargetMode="External"/><Relationship Id="rId2419" Type="http://schemas.openxmlformats.org/officeDocument/2006/relationships/hyperlink" Target="https://www.google.com/url?q=http://codeforces.com/contest/369/problem/D&amp;sa=D&amp;ust=1605639552979000&amp;usg=AFQjCNEUXRSBbVSoQ2uhzLlXR6ebyGt0bg" TargetMode="External"/><Relationship Id="rId2626" Type="http://schemas.openxmlformats.org/officeDocument/2006/relationships/hyperlink" Target="https://www.google.com/url?q=https://github.com/mostafa-saad/MyCompetitiveProgramming/blob/master/Codeforces/CF100182-GYM-G.txt&amp;sa=D&amp;ust=1605639553109000&amp;usg=AFQjCNGrVOrn1kYNj3pec4qncdSQzOgK5A" TargetMode="External"/><Relationship Id="rId2833" Type="http://schemas.openxmlformats.org/officeDocument/2006/relationships/hyperlink" Target="https://www.google.com/url?q=http://acm.tju.edu.cn/toj/showp2823.html&amp;sa=D&amp;ust=1605639553228000&amp;usg=AFQjCNHo8O0Be6lJ2g48Hu_aaP_FtP2ztQ" TargetMode="External"/><Relationship Id="rId74" Type="http://schemas.openxmlformats.org/officeDocument/2006/relationships/hyperlink" Target="https://www.google.com/url?q=https://codeforces.com/blog/entry/21203&amp;sa=D&amp;ust=1605639551595000&amp;usg=AFQjCNGidERqeeR2tH_CKc2r6LgxSmpkTA" TargetMode="External"/><Relationship Id="rId805" Type="http://schemas.openxmlformats.org/officeDocument/2006/relationships/hyperlink" Target="https://www.google.com/url?q=http://www.spoj.com/problems/HORRIBLE&amp;sa=D&amp;ust=1605639552016000&amp;usg=AFQjCNFhU3LEavjirrgqds0bdBV6EGUYZg" TargetMode="External"/><Relationship Id="rId1228" Type="http://schemas.openxmlformats.org/officeDocument/2006/relationships/hyperlink" Target="https://www.google.com/url?q=https://github.com/MedoN11/CompetitiveProgramming/blob/master/TopCoder/SRM568-D2-1000.java&amp;sa=D&amp;ust=1605639552269000&amp;usg=AFQjCNGT7oBnrssxdZ_FYcc8dNnny8c32Q" TargetMode="External"/><Relationship Id="rId1435" Type="http://schemas.openxmlformats.org/officeDocument/2006/relationships/hyperlink" Target="https://www.google.com/url?q=https://github.com/osamahatem/CompetitiveProgramming/blob/master/Codeforces/908D.%2520New%2520Year%2520and%2520Arbitrary%2520Arrangement.cpp&amp;sa=D&amp;ust=1605639552407000&amp;usg=AFQjCNFS4gGbRy-KGvN6bM77iA8txsT4TA" TargetMode="External"/><Relationship Id="rId1642" Type="http://schemas.openxmlformats.org/officeDocument/2006/relationships/hyperlink" Target="https://www.google.com/url?q=http://codeforces.com/contest/1012/problem/A&amp;sa=D&amp;ust=1605639552525000&amp;usg=AFQjCNHhcpJn9TWzNQjUgTtVvrVv5K3sVg" TargetMode="External"/><Relationship Id="rId2900" Type="http://schemas.openxmlformats.org/officeDocument/2006/relationships/hyperlink" Target="https://www.google.com/url?q=https://github.com/andmej/live-archive/blob/master/2038%2520-%2520Strategic%2520game/2038.3.cpp&amp;sa=D&amp;ust=1605639553263000&amp;usg=AFQjCNE1BEbPDGCcjf1yGiWdqiAnvXCB2A" TargetMode="External"/><Relationship Id="rId1502" Type="http://schemas.openxmlformats.org/officeDocument/2006/relationships/hyperlink" Target="https://www.google.com/url?q=https://codeforces.com/contest/1107/problem/E&amp;sa=D&amp;ust=1605639552447000&amp;usg=AFQjCNHmDJrbfMN5b7f5NuO3wtJ7nAXJ7g" TargetMode="External"/><Relationship Id="rId388" Type="http://schemas.openxmlformats.org/officeDocument/2006/relationships/hyperlink" Target="https://www.google.com/url?q=http://codeforces.com/contest/244/problem/C&amp;sa=D&amp;ust=1605639551831000&amp;usg=AFQjCNHEuxfLKzEKIdy80fYYu_F7Wcgmvg" TargetMode="External"/><Relationship Id="rId2069" Type="http://schemas.openxmlformats.org/officeDocument/2006/relationships/hyperlink" Target="https://www.google.com/url?q=https://www.hackerrank.com/challenges/circle-city&amp;sa=D&amp;ust=1605639552783000&amp;usg=AFQjCNG9aIsf_GWUXySTfnJ96ElytK3_9Q" TargetMode="External"/><Relationship Id="rId3467" Type="http://schemas.openxmlformats.org/officeDocument/2006/relationships/hyperlink" Target="https://www.google.com/url?q=http://codeforces.com/contest/831/problem/F&amp;sa=D&amp;ust=1605639553596000&amp;usg=AFQjCNEfbvBkwAVfGJo6F3TFyaaqF3r-HA" TargetMode="External"/><Relationship Id="rId3674" Type="http://schemas.openxmlformats.org/officeDocument/2006/relationships/hyperlink" Target="https://www.google.com/url?q=https://www.hackerrank.com/challenges/alien-flowers&amp;sa=D&amp;ust=1605639553783000&amp;usg=AFQjCNGYTmthReKN6O05xvf-27CCDAENKw" TargetMode="External"/><Relationship Id="rId3881" Type="http://schemas.openxmlformats.org/officeDocument/2006/relationships/hyperlink" Target="https://www.google.com/url?q=https://github.com/mostafa-saad/MyCompetitiveProgramming/blob/master/SPOJ/SPOJ_ADAAPHID.txt&amp;sa=D&amp;ust=1605639553909000&amp;usg=AFQjCNFd5pYFRJT5SMxHGAJDFJSLR8Bj9w" TargetMode="External"/><Relationship Id="rId595" Type="http://schemas.openxmlformats.org/officeDocument/2006/relationships/hyperlink" Target="https://www.google.com/url?q=http://codeforces.com/contest/484/problem/E&amp;sa=D&amp;ust=1605639551924000&amp;usg=AFQjCNFO-H3mRNdVoS6_DHndXWWPurFqrQ" TargetMode="External"/><Relationship Id="rId2276" Type="http://schemas.openxmlformats.org/officeDocument/2006/relationships/hyperlink" Target="https://www.google.com/url?q=https://www.codechef.com/problems/GRAPHCNT&amp;sa=D&amp;ust=1605639552915000&amp;usg=AFQjCNH2rFvrxCTIHgTzv7ub247uOsGiTg" TargetMode="External"/><Relationship Id="rId2483" Type="http://schemas.openxmlformats.org/officeDocument/2006/relationships/hyperlink" Target="https://www.google.com/url?q=http://codeforces.com/contest/911/problem/F&amp;sa=D&amp;ust=1605639553023000&amp;usg=AFQjCNFtQpbxgLQ1xihLMpX3YKjgP8H0wQ" TargetMode="External"/><Relationship Id="rId2690" Type="http://schemas.openxmlformats.org/officeDocument/2006/relationships/hyperlink" Target="https://www.google.com/url?q=https://github.com/mostafa-saad/MyCompetitiveProgramming/blob/master/Timus/TIMUS_1682.txt&amp;sa=D&amp;ust=1605639553141000&amp;usg=AFQjCNGALby_Ohi3bTvoG-KqpG4j2zIibQ" TargetMode="External"/><Relationship Id="rId3327" Type="http://schemas.openxmlformats.org/officeDocument/2006/relationships/hyperlink" Target="https://www.google.com/url?q=https://beta.atcoder.jp/contests/agc026/tasks/agc026_b&amp;sa=D&amp;ust=1605639553504000&amp;usg=AFQjCNHm6Jp3Pxo8iyN7DgFRZ_X_yCuhOg" TargetMode="External"/><Relationship Id="rId3534" Type="http://schemas.openxmlformats.org/officeDocument/2006/relationships/hyperlink" Target="https://www.google.com/url?q=https://uva.onlinejudge.org/index.php?option%3Dcom_onlinejudge%26Itemid%3D8%26page%3Dshow_problem%26problem%3D1209&amp;sa=D&amp;ust=1605639553654000&amp;usg=AFQjCNEl_y-wHmFPalLjhBZ-mf9m-zQcwQ" TargetMode="External"/><Relationship Id="rId3741" Type="http://schemas.openxmlformats.org/officeDocument/2006/relationships/hyperlink" Target="https://www.google.com/url?q=https://github.com/mostafa-saad/MyCompetitiveProgramming/blob/master/SPOJ/SPOJ_PRHYME.txt&amp;sa=D&amp;ust=1605639553825000&amp;usg=AFQjCNEC6qwJTFiAaV3QP5ONFCrzEVAz5w" TargetMode="External"/><Relationship Id="rId248" Type="http://schemas.openxmlformats.org/officeDocument/2006/relationships/hyperlink" Target="https://www.google.com/url?q=http://codeforces.com/contest/200/problem/C&amp;sa=D&amp;ust=1605639551713000&amp;usg=AFQjCNEx-ZhVd62l-NnlApg19aNaRR7cGA" TargetMode="External"/><Relationship Id="rId455" Type="http://schemas.openxmlformats.org/officeDocument/2006/relationships/hyperlink" Target="https://www.google.com/url?q=http://codeforces.com/contest/83/problem/B&amp;sa=D&amp;ust=1605639551866000&amp;usg=AFQjCNGI0_z3Zj2p80NC9YyejliElkRTww" TargetMode="External"/><Relationship Id="rId662" Type="http://schemas.openxmlformats.org/officeDocument/2006/relationships/hyperlink" Target="https://www.google.com/url?q=https://github.com/tmwilliamlin168/CompetitiveProgramming/blob/master/CodeForces/CF150-D1-C.java&amp;sa=D&amp;ust=1605639551946000&amp;usg=AFQjCNFiM7AS9ISnMNLMPaUqHaq0zrS78A" TargetMode="External"/><Relationship Id="rId1085" Type="http://schemas.openxmlformats.org/officeDocument/2006/relationships/hyperlink" Target="https://www.google.com/url?q=https://codeforces.com/gym/102021/attachments&amp;sa=D&amp;ust=1605639552170000&amp;usg=AFQjCNFGOTaF-LzpxmaGNubF41Fdeydm7Q" TargetMode="External"/><Relationship Id="rId1292" Type="http://schemas.openxmlformats.org/officeDocument/2006/relationships/hyperlink" Target="https://www.google.com/url?q=https://community.topcoder.com/stat?c%3Dproblem_statement%26pm%3D14662&amp;sa=D&amp;ust=1605639552312000&amp;usg=AFQjCNEXo38psjLS9XUlTHRWqGPaQUjCKA" TargetMode="External"/><Relationship Id="rId2136" Type="http://schemas.openxmlformats.org/officeDocument/2006/relationships/hyperlink" Target="https://www.google.com/url?q=http://codeforces.com/contest/1074/problem/C&amp;sa=D&amp;ust=1605639552830000&amp;usg=AFQjCNF35r8Awm5pd8hr4fjpFiQdtxmnAg" TargetMode="External"/><Relationship Id="rId2343" Type="http://schemas.openxmlformats.org/officeDocument/2006/relationships/hyperlink" Target="https://www.google.com/url?q=http://codeforces.com/contest/332/problem/D&amp;sa=D&amp;ust=1605639552944000&amp;usg=AFQjCNF090HAA6mflQ2To1vNHdJgjVnWJw" TargetMode="External"/><Relationship Id="rId2550" Type="http://schemas.openxmlformats.org/officeDocument/2006/relationships/hyperlink" Target="https://www.google.com/url?q=http://codeforces.com/gym/101102/problem/K&amp;sa=D&amp;ust=1605639553060000&amp;usg=AFQjCNGJs9WCwUWALu3MzqwLnEBf5CFzcw" TargetMode="External"/><Relationship Id="rId3601" Type="http://schemas.openxmlformats.org/officeDocument/2006/relationships/hyperlink" Target="https://www.google.com/url?q=http://codeforces.com/contest/364/problem/D&amp;sa=D&amp;ust=1605639553732000&amp;usg=AFQjCNHIYjQ2PEPKcBhQ8iOM8uEWO88SDA" TargetMode="External"/><Relationship Id="rId108" Type="http://schemas.openxmlformats.org/officeDocument/2006/relationships/hyperlink" Target="https://www.google.com/url?q=http://agc019.contest.atcoder.jp/tasks/agc019_b&amp;sa=D&amp;ust=1605639551617000&amp;usg=AFQjCNHabOUvgJgoprXgIwzuGm-AKYG2bA" TargetMode="External"/><Relationship Id="rId315" Type="http://schemas.openxmlformats.org/officeDocument/2006/relationships/hyperlink" Target="https://www.google.com/url?q=http://codeforces.com/contest/224/problem/C&amp;sa=D&amp;ust=1605639551764000&amp;usg=AFQjCNEG9PcMl5z0ptOB-Vcmro1acsNlEA" TargetMode="External"/><Relationship Id="rId522" Type="http://schemas.openxmlformats.org/officeDocument/2006/relationships/hyperlink" Target="https://www.google.com/url?q=https://github.com/mostafa-saad/MyCompetitiveProgramming/blob/master/SPOJ/SPOJ_SUBSET.txt&amp;sa=D&amp;ust=1605639551896000&amp;usg=AFQjCNFi8CsqMmHN6HrjpQdFl5Fi3_Y1_A" TargetMode="External"/><Relationship Id="rId1152" Type="http://schemas.openxmlformats.org/officeDocument/2006/relationships/hyperlink" Target="https://www.google.com/url?q=http://codeforces.com/contest/991/problem/D&amp;sa=D&amp;ust=1605639552212000&amp;usg=AFQjCNGj1MF0BTVpnLKKsrccMLIMhRPrig" TargetMode="External"/><Relationship Id="rId2203" Type="http://schemas.openxmlformats.org/officeDocument/2006/relationships/hyperlink" Target="https://www.google.com/url?q=https://github.com/shanto86/Training/blob/master/UVA/UVA%25201308.cpp&amp;sa=D&amp;ust=1605639552873000&amp;usg=AFQjCNEmT2CNrPUFLTIXhh1c7YgJR40EmA" TargetMode="External"/><Relationship Id="rId2410" Type="http://schemas.openxmlformats.org/officeDocument/2006/relationships/hyperlink" Target="https://www.google.com/url?q=https://www.codechef.com/problems/BLOCKDRO&amp;sa=D&amp;ust=1605639552974000&amp;usg=AFQjCNG7zzXDssQeFpTbbrPtVZYeECGKAQ" TargetMode="External"/><Relationship Id="rId1012" Type="http://schemas.openxmlformats.org/officeDocument/2006/relationships/hyperlink" Target="https://www.google.com/url?q=https://codeforces.com/contest/1146/problem/F&amp;sa=D&amp;ust=1605639552131000&amp;usg=AFQjCNGDkqpW3NyN9IMmA-zWsRMoKbb3xg" TargetMode="External"/><Relationship Id="rId4168" Type="http://schemas.openxmlformats.org/officeDocument/2006/relationships/hyperlink" Target="https://www.google.com/url?q=https://codeforces.com/contest/1042/problem/E&amp;sa=D&amp;ust=1605639554216000&amp;usg=AFQjCNHkt-UnaFUoWL2WQ8A8QJYS6cyePA" TargetMode="External"/><Relationship Id="rId4375" Type="http://schemas.openxmlformats.org/officeDocument/2006/relationships/hyperlink" Target="https://www.google.com/url?q=http://codeforces.com/contest/23/problem/E&amp;sa=D&amp;ust=1605639554315000&amp;usg=AFQjCNFfs31CQNUUMUlYd4HGlk09sBWPFQ" TargetMode="External"/><Relationship Id="rId1969" Type="http://schemas.openxmlformats.org/officeDocument/2006/relationships/hyperlink" Target="https://www.google.com/url?q=https://github.com/mostafa-saad/MyCompetitiveProgramming/blob/master/UVA/UVA_10250.txt&amp;sa=D&amp;ust=1605639552716000&amp;usg=AFQjCNHH6I67y9zrG146hoU1zeOYqNyljg" TargetMode="External"/><Relationship Id="rId3184" Type="http://schemas.openxmlformats.org/officeDocument/2006/relationships/hyperlink" Target="https://www.google.com/url?q=http://codeforces.com/problemset/problem/798/C&amp;sa=D&amp;ust=1605639553419000&amp;usg=AFQjCNFV00Xp9Bpjd-8_Ec7wqpQx8rStyg" TargetMode="External"/><Relationship Id="rId4028" Type="http://schemas.openxmlformats.org/officeDocument/2006/relationships/hyperlink" Target="https://www.google.com/url?q=http://codeforces.com/gym/101589/problem/H&amp;sa=D&amp;ust=1605639554142000&amp;usg=AFQjCNH8F1AG6DkiStUZSaPj99dxWRehTA" TargetMode="External"/><Relationship Id="rId4235" Type="http://schemas.openxmlformats.org/officeDocument/2006/relationships/hyperlink" Target="https://www.google.com/url?q=https://www.codechef.com/problems/PRIMEDST&amp;sa=D&amp;ust=1605639554258000&amp;usg=AFQjCNG_CVnMLBKZyf9PvwEq-hLS-IZO_A" TargetMode="External"/><Relationship Id="rId1829" Type="http://schemas.openxmlformats.org/officeDocument/2006/relationships/hyperlink" Target="https://www.google.com/url?q=https://github.com/AmrMorsySuperVision/-CompetitiveProgramming/blob/master/SRM558-D2-1000.cpp&amp;sa=D&amp;ust=1605639552629000&amp;usg=AFQjCNEsq24j6LEO72MsBHXR8S38vvnFwA" TargetMode="External"/><Relationship Id="rId3391" Type="http://schemas.openxmlformats.org/officeDocument/2006/relationships/hyperlink" Target="https://www.google.com/url?q=https://codeforces.com/gym/102032/problem/E&amp;sa=D&amp;ust=1605639553547000&amp;usg=AFQjCNHdEGuzNhXf99QYKFXrxsZd64OSTQ" TargetMode="External"/><Relationship Id="rId4442" Type="http://schemas.openxmlformats.org/officeDocument/2006/relationships/hyperlink" Target="https://www.google.com/url?q=https://www.codechef.com/problems/DOTIT&amp;sa=D&amp;ust=1605639554346000&amp;usg=AFQjCNEkcNtUUiE6MR3T1EsXFPazbNmsBA" TargetMode="External"/><Relationship Id="rId3044" Type="http://schemas.openxmlformats.org/officeDocument/2006/relationships/hyperlink" Target="https://www.google.com/url?q=http://codeforces.com/contest/1000/problem/E&amp;sa=D&amp;ust=1605639553346000&amp;usg=AFQjCNHO3aFPdkTqBtMJdSB7DKKE9scIYA" TargetMode="External"/><Relationship Id="rId3251" Type="http://schemas.openxmlformats.org/officeDocument/2006/relationships/hyperlink" Target="https://www.google.com/url?q=http://codeforces.com/contest/716/problem/C&amp;sa=D&amp;ust=1605639553456000&amp;usg=AFQjCNGtDolBJTS2L1g5PVHwVVDo4YD7qQ" TargetMode="External"/><Relationship Id="rId4302" Type="http://schemas.openxmlformats.org/officeDocument/2006/relationships/hyperlink" Target="https://www.google.com/url?q=http://codeforces.com/contest/455/problem/D&amp;sa=D&amp;ust=1605639554285000&amp;usg=AFQjCNG4_M67iR5VRvF2jYyntADZ_73GfA" TargetMode="External"/><Relationship Id="rId172" Type="http://schemas.openxmlformats.org/officeDocument/2006/relationships/hyperlink" Target="https://www.google.com/url?q=https://www.codechef.com/problems/CULPRO&amp;sa=D&amp;ust=1605639551657000&amp;usg=AFQjCNFr-_BrTHw-U5VxdX0J3EvOvLrZ1g" TargetMode="External"/><Relationship Id="rId2060" Type="http://schemas.openxmlformats.org/officeDocument/2006/relationships/hyperlink" Target="https://www.google.com/url?q=https://github.com/ryuzmukhametov/CompetitiveProgramming/blob/master/uva/UVA%252010439.cpp&amp;sa=D&amp;ust=1605639552777000&amp;usg=AFQjCNEWzkAf00Dmj3jkg0G2nD8cDK3iFQ" TargetMode="External"/><Relationship Id="rId3111" Type="http://schemas.openxmlformats.org/officeDocument/2006/relationships/hyperlink" Target="https://www.google.com/url?q=https://codeforces.com/contest/1137/problem/D&amp;sa=D&amp;ust=1605639553381000&amp;usg=AFQjCNE9gmcmIhw6jNnsdejrcnBQOYsINQ" TargetMode="External"/><Relationship Id="rId989" Type="http://schemas.openxmlformats.org/officeDocument/2006/relationships/hyperlink" Target="https://www.google.com/url?q=https://codeforces.com/contest/1253/problem/E&amp;sa=D&amp;ust=1605639552120000&amp;usg=AFQjCNF5G72e3yAOJ8gi3Ffh4nFKynEnUg" TargetMode="External"/><Relationship Id="rId2877" Type="http://schemas.openxmlformats.org/officeDocument/2006/relationships/hyperlink" Target="https://www.google.com/url?q=http://codeforces.com/contest/498/problem/C&amp;sa=D&amp;ust=1605639553251000&amp;usg=AFQjCNHnOoAdCKIt5SCQOKLlIeGSWdKqbg" TargetMode="External"/><Relationship Id="rId849" Type="http://schemas.openxmlformats.org/officeDocument/2006/relationships/hyperlink" Target="https://www.google.com/url?q=https://onlinejudge.org/index.php?option%3Donlinejudge%26page%3Dshow_problem%26problem%3D1972&amp;sa=D&amp;ust=1605639552039000&amp;usg=AFQjCNH21GxQCpUvaVC5fpMxRUXCmgPUKQ" TargetMode="External"/><Relationship Id="rId1479" Type="http://schemas.openxmlformats.org/officeDocument/2006/relationships/hyperlink" Target="https://www.google.com/url?q=http://codeforces.com/contest/602/problem/E&amp;sa=D&amp;ust=1605639552431000&amp;usg=AFQjCNGIqVWcEfdeSlPEv6WbtAWRoh5YoA" TargetMode="External"/><Relationship Id="rId1686" Type="http://schemas.openxmlformats.org/officeDocument/2006/relationships/hyperlink" Target="https://www.google.com/url?q=https://github.com/thackerhelik/ZOJ/blob/master/1200.cpp&amp;sa=D&amp;ust=1605639552553000&amp;usg=AFQjCNH0pYeQrscFV0wmWqWqmBwCifBQrg" TargetMode="External"/><Relationship Id="rId3928" Type="http://schemas.openxmlformats.org/officeDocument/2006/relationships/hyperlink" Target="https://www.google.com/url?q=http://codeforces.com/contest/139/problem/D&amp;sa=D&amp;ust=1605639553934000&amp;usg=AFQjCNGElMyxc73USED2LKzkH7HpIaydxg" TargetMode="External"/><Relationship Id="rId4092" Type="http://schemas.openxmlformats.org/officeDocument/2006/relationships/hyperlink" Target="https://www.google.com/url?q=https://www.hackerrank.com/contests/world-codesprint-9/challenges/kingdom-division&amp;sa=D&amp;ust=1605639554170000&amp;usg=AFQjCNF8hhx7YxeWz7egPIHW0gFscRjJDw" TargetMode="External"/><Relationship Id="rId1339" Type="http://schemas.openxmlformats.org/officeDocument/2006/relationships/hyperlink" Target="https://www.google.com/url?q=https://uva.onlinejudge.org/index.php?option%3Dcom_onlinejudge%26Itemid%3D8%26page%3Dshow_problem%26problem%3D1592&amp;sa=D&amp;ust=1605639552340000&amp;usg=AFQjCNHxQlDfpbhqbS2pJvBffhrk77XpGA" TargetMode="External"/><Relationship Id="rId1893" Type="http://schemas.openxmlformats.org/officeDocument/2006/relationships/hyperlink" Target="https://www.google.com/url?q=http://codeforces.com/contest/55/problem/E&amp;sa=D&amp;ust=1605639552662000&amp;usg=AFQjCNH9eQKmWYivyUF4CXxPipKKtYTlOg" TargetMode="External"/><Relationship Id="rId2737" Type="http://schemas.openxmlformats.org/officeDocument/2006/relationships/hyperlink" Target="https://www.google.com/url?q=https://codeforces.com/contest/1038/problem/E&amp;sa=D&amp;ust=1605639553167000&amp;usg=AFQjCNFdliCZHjbJOecXNxZseEnab8zC4Q" TargetMode="External"/><Relationship Id="rId2944" Type="http://schemas.openxmlformats.org/officeDocument/2006/relationships/hyperlink" Target="https://www.google.com/url?q=http://codeforces.com/contest/76/problem/A&amp;sa=D&amp;ust=1605639553288000&amp;usg=AFQjCNGq8WSRLIZQFKCwfSXp3BxSACfA7w" TargetMode="External"/><Relationship Id="rId709" Type="http://schemas.openxmlformats.org/officeDocument/2006/relationships/hyperlink" Target="https://www.google.com/url?q=http://codeforces.com/contest/56/problem/E&amp;sa=D&amp;ust=1605639551969000&amp;usg=AFQjCNFCBIqKGphwJgXs0oPNV3cz8sL0XA" TargetMode="External"/><Relationship Id="rId916" Type="http://schemas.openxmlformats.org/officeDocument/2006/relationships/hyperlink" Target="https://www.google.com/url?q=https://codeforces.com/problemset/problem/1131/G&amp;sa=D&amp;ust=1605639552079000&amp;usg=AFQjCNHR5gJ8C6YZ5xsG-8XXe8GRtyVxlg" TargetMode="External"/><Relationship Id="rId1546" Type="http://schemas.openxmlformats.org/officeDocument/2006/relationships/hyperlink" Target="https://www.google.com/url?q=https://codeforces.com/contest/1059/problem/E&amp;sa=D&amp;ust=1605639552472000&amp;usg=AFQjCNEwjwUo5dyM3siBft54H9n6lLOIpA" TargetMode="External"/><Relationship Id="rId1753" Type="http://schemas.openxmlformats.org/officeDocument/2006/relationships/hyperlink" Target="https://www.google.com/url?q=http://codeforces.com/contest/416/problem/C&amp;sa=D&amp;ust=1605639552588000&amp;usg=AFQjCNGytSDxA_AQT__2CU7UiCyej54T-Q" TargetMode="External"/><Relationship Id="rId1960" Type="http://schemas.openxmlformats.org/officeDocument/2006/relationships/hyperlink" Target="https://www.google.com/url?q=http://codeforces.com/contest/552/problem/D&amp;sa=D&amp;ust=1605639552711000&amp;usg=AFQjCNHXgtbiYuUxSuqmthsuaGSF96NfVA" TargetMode="External"/><Relationship Id="rId2804" Type="http://schemas.openxmlformats.org/officeDocument/2006/relationships/hyperlink" Target="https://www.google.com/url?q=https://codeforces.com/contest/1082/problem/G&amp;sa=D&amp;ust=1605639553212000&amp;usg=AFQjCNHGwYLH182QPmV0PPnyRTT9UnC6uA" TargetMode="External"/><Relationship Id="rId45" Type="http://schemas.openxmlformats.org/officeDocument/2006/relationships/hyperlink" Target="https://www.google.com/url?q=https://github.com/guskal01/CompetitiveProgramming/blob/master/CodeForces/CF102147-GYM-D.cpp&amp;sa=D&amp;ust=1605639551581000&amp;usg=AFQjCNHGHoJBzLKUYgML64yIVHCu2BtxkQ" TargetMode="External"/><Relationship Id="rId1406" Type="http://schemas.openxmlformats.org/officeDocument/2006/relationships/hyperlink" Target="https://www.google.com/url?q=https://github.com/mostafa-saad/MyCompetitiveProgramming/blob/master/SPOJ/SPOJ_XOINC.txt&amp;sa=D&amp;ust=1605639552386000&amp;usg=AFQjCNFSb9KtUDJye0dJk6tO7nBM4RyfJw" TargetMode="External"/><Relationship Id="rId1613" Type="http://schemas.openxmlformats.org/officeDocument/2006/relationships/hyperlink" Target="https://www.google.com/url?q=https://codeforces.com/contest/159/problem/E&amp;sa=D&amp;ust=1605639552508000&amp;usg=AFQjCNHPfWe7GJdDNs0VB9S6PlSgiA-_8g" TargetMode="External"/><Relationship Id="rId1820" Type="http://schemas.openxmlformats.org/officeDocument/2006/relationships/hyperlink" Target="https://www.google.com/url?q=http://codeforces.com/blog/entry/50572?%26mobile%3Dtrue%23comment-348227&amp;sa=D&amp;ust=1605639552624000&amp;usg=AFQjCNFhuT3MFeXU78wQAl13Vf8pLWvg0Q" TargetMode="External"/><Relationship Id="rId3578" Type="http://schemas.openxmlformats.org/officeDocument/2006/relationships/hyperlink" Target="https://www.google.com/url?q=http://codeforces.com/problemset/problem/166/E&amp;sa=D&amp;ust=1605639553712000&amp;usg=AFQjCNHzSckiiyLgGuLfR3bQQVBb7Zf6oQ" TargetMode="External"/><Relationship Id="rId3785" Type="http://schemas.openxmlformats.org/officeDocument/2006/relationships/hyperlink" Target="https://www.google.com/url?q=https://codeforces.com/contest/1147/problem/B&amp;sa=D&amp;ust=1605639553851000&amp;usg=AFQjCNHCbY_r-GUiT7nyOCm10OVXbjHyXQ" TargetMode="External"/><Relationship Id="rId3992" Type="http://schemas.openxmlformats.org/officeDocument/2006/relationships/hyperlink" Target="https://www.google.com/url?q=https://github.com/abdullaAshraf/Problem-Solving/blob/master/CodeForces/CF224-D2-D.cpp&amp;sa=D&amp;ust=1605639554123000&amp;usg=AFQjCNFaJHyJZqGtdTj0Cw94Ka_CyGyWyQ" TargetMode="External"/><Relationship Id="rId499" Type="http://schemas.openxmlformats.org/officeDocument/2006/relationships/hyperlink" Target="https://www.google.com/url?q=https://csacademy.com/contest/round-84/task/growing-trees/&amp;sa=D&amp;ust=1605639551886000&amp;usg=AFQjCNEutYo1hqGgF7WzZHBdomUurMkKpw" TargetMode="External"/><Relationship Id="rId2387" Type="http://schemas.openxmlformats.org/officeDocument/2006/relationships/hyperlink" Target="https://www.google.com/url?q=http://codeforces.com/contest/246/problem/D&amp;sa=D&amp;ust=1605639552962000&amp;usg=AFQjCNF4VXQJ-MNLiJlxSb4ckTf3HTOpyg" TargetMode="External"/><Relationship Id="rId2594" Type="http://schemas.openxmlformats.org/officeDocument/2006/relationships/hyperlink" Target="https://www.google.com/url?q=http://codeforces.com/contest/580/problem/C&amp;sa=D&amp;ust=1605639553084000&amp;usg=AFQjCNHA71F3TSy-Fq9JF5zYvgkzXI_wOQ" TargetMode="External"/><Relationship Id="rId3438" Type="http://schemas.openxmlformats.org/officeDocument/2006/relationships/hyperlink" Target="https://www.google.com/url?q=http://codeforces.com/contest/131/problem/C&amp;sa=D&amp;ust=1605639553575000&amp;usg=AFQjCNE4q2G_E35JDOsz5xHH558DchwbHw" TargetMode="External"/><Relationship Id="rId3645" Type="http://schemas.openxmlformats.org/officeDocument/2006/relationships/hyperlink" Target="https://www.google.com/url?q=https://uva.onlinejudge.org/index.php?option%3Dcom_onlinejudge%26Itemid%3D8%26page%3Dshow_problem%26problem%3D1360&amp;sa=D&amp;ust=1605639553761000&amp;usg=AFQjCNFatZfQV-bO1RoFeUNf2t88ho6lyA" TargetMode="External"/><Relationship Id="rId3852" Type="http://schemas.openxmlformats.org/officeDocument/2006/relationships/hyperlink" Target="https://www.google.com/url?q=https://github.com/mostafa-saad/MyCompetitiveProgramming/blob/master/Codeforces/CF101864-GYM-J.txt&amp;sa=D&amp;ust=1605639553893000&amp;usg=AFQjCNEAs7sSgfK2ZR6T5kynboDoW9s0nA" TargetMode="External"/><Relationship Id="rId359" Type="http://schemas.openxmlformats.org/officeDocument/2006/relationships/hyperlink" Target="https://www.google.com/url?q=http://codeforces.com/contest/527/problem/C&amp;sa=D&amp;ust=1605639551796000&amp;usg=AFQjCNGep_ml1Ux9EZRM_gR-9MboMBrlDQ" TargetMode="External"/><Relationship Id="rId566" Type="http://schemas.openxmlformats.org/officeDocument/2006/relationships/hyperlink" Target="https://www.google.com/url?q=http://codeforces.com/contest/1037/problem/H&amp;sa=D&amp;ust=1605639551913000&amp;usg=AFQjCNEyVdSGl2faY_iHis6OI1bNAkhP8A" TargetMode="External"/><Relationship Id="rId773" Type="http://schemas.openxmlformats.org/officeDocument/2006/relationships/hyperlink" Target="https://www.google.com/url?q=https://github.com/AliOsm/CompetitiveProgramming/blob/master/SPOJ/ANDROUND%2520-%2520AND%2520Rounds.cpp&amp;sa=D&amp;ust=1605639552000000&amp;usg=AFQjCNFA4yhhDcRVMqrqkq2oqqTqoaHYbA" TargetMode="External"/><Relationship Id="rId1196" Type="http://schemas.openxmlformats.org/officeDocument/2006/relationships/hyperlink" Target="https://www.google.com/url?q=https://uva.onlinejudge.org/index.php?option%3Donlinejudge%26page%3Dshow_problem%26problem%3D1760&amp;sa=D&amp;ust=1605639552241000&amp;usg=AFQjCNElvPB_v1GRocIrlQi7VyFvN3P84Q" TargetMode="External"/><Relationship Id="rId2247" Type="http://schemas.openxmlformats.org/officeDocument/2006/relationships/hyperlink" Target="https://www.google.com/url?q=http://codeforces.com/contest/89/problem/D&amp;sa=D&amp;ust=1605639552897000&amp;usg=AFQjCNFBve-1FQO6yAeFOCWC2rK95mWuGA" TargetMode="External"/><Relationship Id="rId2454" Type="http://schemas.openxmlformats.org/officeDocument/2006/relationships/hyperlink" Target="https://www.google.com/url?q=http://codeforces.com/problemset/problem/667/D&amp;sa=D&amp;ust=1605639552998000&amp;usg=AFQjCNF6rOeVLAt-Q16dIrQvZbOtXoddoA" TargetMode="External"/><Relationship Id="rId3505" Type="http://schemas.openxmlformats.org/officeDocument/2006/relationships/hyperlink" Target="https://www.google.com/url?q=http://codeforces.com/contest/439/problem/E&amp;sa=D&amp;ust=1605639553630000&amp;usg=AFQjCNFKxpHixQwGzfi7ckZEpMkThoIvlQ" TargetMode="External"/><Relationship Id="rId219" Type="http://schemas.openxmlformats.org/officeDocument/2006/relationships/hyperlink" Target="https://www.google.com/url?q=http://codeforces.com/contest/252/problem/D&amp;sa=D&amp;ust=1605639551689000&amp;usg=AFQjCNHue1PJO7Rj-3nczL4cyzzC679BfA" TargetMode="External"/><Relationship Id="rId426" Type="http://schemas.openxmlformats.org/officeDocument/2006/relationships/hyperlink" Target="https://www.google.com/url?q=https://codeforces.com/contest/1153/problem/E&amp;sa=D&amp;ust=1605639551853000&amp;usg=AFQjCNFxi7o742SkdJwUqzL7MSu_9YILlw" TargetMode="External"/><Relationship Id="rId633" Type="http://schemas.openxmlformats.org/officeDocument/2006/relationships/hyperlink" Target="https://www.google.com/url?q=https://github.com/Cerberus97/CompetitiveProgrammingSolutions/blob/master/CodeForces/CF786-D1-C.cpp&amp;sa=D&amp;ust=1605639551937000&amp;usg=AFQjCNGlRNseF1oz9iOqi__qdTki8BZNaA" TargetMode="External"/><Relationship Id="rId980" Type="http://schemas.openxmlformats.org/officeDocument/2006/relationships/hyperlink" Target="https://www.google.com/url?q=https://www.hackerrank.com/contests/codeagon/challenges/number-of-ways-1&amp;sa=D&amp;ust=1605639552115000&amp;usg=AFQjCNHWpSotzcLxxf6nDRD2OjfTr9NXCw" TargetMode="External"/><Relationship Id="rId1056" Type="http://schemas.openxmlformats.org/officeDocument/2006/relationships/hyperlink" Target="https://www.google.com/url?q=http://codeforces.com/gym/101492/problem/L&amp;sa=D&amp;ust=1605639552151000&amp;usg=AFQjCNGMRNN9PIlg81CnRrQHV-UEp7wijw" TargetMode="External"/><Relationship Id="rId1263" Type="http://schemas.openxmlformats.org/officeDocument/2006/relationships/hyperlink" Target="https://www.google.com/url?q=https://github.com/mostafa-saad/MyCompetitiveProgramming/blob/master/Codeforces/CF100283-Gym-C.txt&amp;sa=D&amp;ust=1605639552297000&amp;usg=AFQjCNHhdeiHOzVOx9eF-cKqGt9vvwsODg" TargetMode="External"/><Relationship Id="rId2107" Type="http://schemas.openxmlformats.org/officeDocument/2006/relationships/hyperlink" Target="https://www.google.com/url?q=https://github.com/mostafa-saad/MyCompetitiveProgramming/blob/master/LiveArchive/LiveArchive_3381.txt&amp;sa=D&amp;ust=1605639552808000&amp;usg=AFQjCNEXvOgARmksUZTslp-g7IfLrCTI6A" TargetMode="External"/><Relationship Id="rId2314" Type="http://schemas.openxmlformats.org/officeDocument/2006/relationships/hyperlink" Target="https://www.google.com/url?q=http://codeforces.com/gym/101484/problem/H&amp;sa=D&amp;ust=1605639552933000&amp;usg=AFQjCNHEjzcwL1UbeSq6jLvtdfchLnkx6Q" TargetMode="External"/><Relationship Id="rId2661" Type="http://schemas.openxmlformats.org/officeDocument/2006/relationships/hyperlink" Target="https://www.google.com/url?q=https://codeforces.com/contest/1236/problem/E&amp;sa=D&amp;ust=1605639553129000&amp;usg=AFQjCNGvoHJj2w7llJnX7mcKfcrbTXbFHg" TargetMode="External"/><Relationship Id="rId3712" Type="http://schemas.openxmlformats.org/officeDocument/2006/relationships/hyperlink" Target="https://www.google.com/url?q=https://github.com/sggutier/CompetitiveProgramming/blob/master/SPOJ/MSE08H.cpp&amp;sa=D&amp;ust=1605639553804000&amp;usg=AFQjCNFzI6QpzoC_b7e4uML_z4vhA0R-AQ" TargetMode="External"/><Relationship Id="rId840" Type="http://schemas.openxmlformats.org/officeDocument/2006/relationships/hyperlink" Target="https://www.google.com/url?q=http://codeforces.com/contest/540/problem/E&amp;sa=D&amp;ust=1605639552034000&amp;usg=AFQjCNF87TAwE1_0N2QCcq1uR7KObPA1hA" TargetMode="External"/><Relationship Id="rId1470" Type="http://schemas.openxmlformats.org/officeDocument/2006/relationships/hyperlink" Target="https://www.google.com/url?q=https://www.hackerrank.com/challenges/colorful-polygon&amp;sa=D&amp;ust=1605639552426000&amp;usg=AFQjCNH16wntutriGkx0YfBMmIQ2d0CkHQ" TargetMode="External"/><Relationship Id="rId2521" Type="http://schemas.openxmlformats.org/officeDocument/2006/relationships/hyperlink" Target="https://www.google.com/url?q=http://codeforces.com/contest/506/problem/D&amp;sa=D&amp;ust=1605639553043000&amp;usg=AFQjCNFFHVxpdsvxOrolH5_cLNvc-kSRpg" TargetMode="External"/><Relationship Id="rId4279" Type="http://schemas.openxmlformats.org/officeDocument/2006/relationships/hyperlink" Target="https://www.google.com/url?q=http://codeforces.com/contest/319/problem/C&amp;sa=D&amp;ust=1605639554277000&amp;usg=AFQjCNGlxWBDSorQJts1gKCRj-ueWWpP5w" TargetMode="External"/><Relationship Id="rId700" Type="http://schemas.openxmlformats.org/officeDocument/2006/relationships/hyperlink" Target="https://www.google.com/url?q=https://www.codechef.com/FEB18/problems/CHANOQ&amp;sa=D&amp;ust=1605639551965000&amp;usg=AFQjCNHPU3ccwlQx8Rk6y7_vcDf988DJqw" TargetMode="External"/><Relationship Id="rId1123" Type="http://schemas.openxmlformats.org/officeDocument/2006/relationships/hyperlink" Target="https://www.google.com/url?q=https://github.com/AhmedElsisy/CompetitiveProgramming/blob/master/SPOJ/SPOJ%2520COLORSEG.cpp&amp;sa=D&amp;ust=1605639552194000&amp;usg=AFQjCNE3jrRb4zVZ9SXup-tFnOatqZI8Dw" TargetMode="External"/><Relationship Id="rId1330" Type="http://schemas.openxmlformats.org/officeDocument/2006/relationships/hyperlink" Target="https://www.google.com/url?q=https://github.com/aboodJAD/CompetitiveProgramming/blob/master/UVA/UVA%252011806.cpp&amp;sa=D&amp;ust=1605639552331000&amp;usg=AFQjCNGogu8MLQVHp67KtCjZjJAZYpi8IA" TargetMode="External"/><Relationship Id="rId3088" Type="http://schemas.openxmlformats.org/officeDocument/2006/relationships/hyperlink" Target="https://www.google.com/url?q=https://github.com/mostafa-saad/MyCompetitiveProgramming/blob/master/SPOJ/SPOJ_DRTREE.txt&amp;sa=D&amp;ust=1605639553365000&amp;usg=AFQjCNFr7DXMUHIGJy6zrdjUgcArPNL02w" TargetMode="External"/><Relationship Id="rId3295" Type="http://schemas.openxmlformats.org/officeDocument/2006/relationships/hyperlink" Target="https://www.google.com/url?q=http://codeforces.com/contest/272/problem/D&amp;sa=D&amp;ust=1605639553479000&amp;usg=AFQjCNHqDoIwQ3495IgkZJPXZAINMPSxAQ" TargetMode="External"/><Relationship Id="rId4139" Type="http://schemas.openxmlformats.org/officeDocument/2006/relationships/hyperlink" Target="https://www.google.com/url?q=https://github.com/VAMPIER000001/CompetitiveProgramming/blob/master/UVA/V-116/UVA%252011686.Cpp&amp;sa=D&amp;ust=1605639554201000&amp;usg=AFQjCNFm125ZdI1KyNZDsKcaV0emprElKg" TargetMode="External"/><Relationship Id="rId4346" Type="http://schemas.openxmlformats.org/officeDocument/2006/relationships/hyperlink" Target="https://www.google.com/url?q=https://codeforces.com/contest/800/problem/D&amp;sa=D&amp;ust=1605639554303000&amp;usg=AFQjCNHD8NvcpN5mAfzjyK1_x0A6wl5qMQ" TargetMode="External"/><Relationship Id="rId3155" Type="http://schemas.openxmlformats.org/officeDocument/2006/relationships/hyperlink" Target="https://www.google.com/url?q=https://github.com/tmwilliamlin168/CompetitiveProgramming/blob/master/HackerRank/balanced-sequence.cpp&amp;sa=D&amp;ust=1605639553407000&amp;usg=AFQjCNFv5aLvIdp5eOURQruKFfw7igQMQw" TargetMode="External"/><Relationship Id="rId3362" Type="http://schemas.openxmlformats.org/officeDocument/2006/relationships/hyperlink" Target="https://www.google.com/url?q=http://codeforces.com/contest/599/problem/D&amp;sa=D&amp;ust=1605639553528000&amp;usg=AFQjCNFePZ_8iB_jDd8xwGBg7c6oE18NLw" TargetMode="External"/><Relationship Id="rId4206" Type="http://schemas.openxmlformats.org/officeDocument/2006/relationships/hyperlink" Target="https://www.google.com/url?q=https://codeforces.com/contest/1017/problem/G&amp;sa=D&amp;ust=1605639554244000&amp;usg=AFQjCNH18mlOQLPu4ENV4LDdgYK8fPjIsw" TargetMode="External"/><Relationship Id="rId4413" Type="http://schemas.openxmlformats.org/officeDocument/2006/relationships/hyperlink" Target="https://www.google.com/url?q=https://github.com/aviroop123/CompetitiveProgramming/blob/master/CodeChef/CODECHEF%2520TREE02.cpp&amp;sa=D&amp;ust=1605639554335000&amp;usg=AFQjCNGmLkfIx_WSYCFz4fCwqOdqVgV8ng" TargetMode="External"/><Relationship Id="rId283" Type="http://schemas.openxmlformats.org/officeDocument/2006/relationships/hyperlink" Target="https://www.google.com/url?q=http://codeforces.com/contest/413/problem/E&amp;sa=D&amp;ust=1605639551750000&amp;usg=AFQjCNEfqqn0nC64ZRRYCYggiODaHDxY1g" TargetMode="External"/><Relationship Id="rId490" Type="http://schemas.openxmlformats.org/officeDocument/2006/relationships/hyperlink" Target="https://www.google.com/url?q=http://www.spoj.com/problems/AGGRCOW/&amp;sa=D&amp;ust=1605639551882000&amp;usg=AFQjCNHujaz7Iam4x1cQs4hbwxcp4tUn1Q" TargetMode="External"/><Relationship Id="rId2171" Type="http://schemas.openxmlformats.org/officeDocument/2006/relationships/hyperlink" Target="https://www.google.com/url?q=http://blog.csdn.net/fuxey/article/details/50410233&amp;sa=D&amp;ust=1605639552851000&amp;usg=AFQjCNEM1RAgrUpTo5pSir9u5Qd1vEccIw" TargetMode="External"/><Relationship Id="rId3015" Type="http://schemas.openxmlformats.org/officeDocument/2006/relationships/hyperlink" Target="https://www.google.com/url?q=https://www.codechef.com/COOK102A/problems/ADAMTR&amp;sa=D&amp;ust=1605639553328000&amp;usg=AFQjCNFI32GDSymh1TU0uarZjGTyFIt8TQ" TargetMode="External"/><Relationship Id="rId3222" Type="http://schemas.openxmlformats.org/officeDocument/2006/relationships/hyperlink" Target="https://www.google.com/url?q=http://codeforces.com/contest/676/problem/E&amp;sa=D&amp;ust=1605639553437000&amp;usg=AFQjCNEShWTu5HJJ5sr7pJuDYdBJjBxqYA" TargetMode="External"/><Relationship Id="rId143" Type="http://schemas.openxmlformats.org/officeDocument/2006/relationships/hyperlink" Target="https://www.google.com/url?q=http://codeforces.com/contest/677/problem/C&amp;sa=D&amp;ust=1605639551639000&amp;usg=AFQjCNEd0NsrK4JC9zkkeA44EFHf4sDa4Q" TargetMode="External"/><Relationship Id="rId350" Type="http://schemas.openxmlformats.org/officeDocument/2006/relationships/hyperlink" Target="https://www.google.com/url?q=https://uva.onlinejudge.org/index.php?option%3Dcom_onlinejudge%26Itemid%3D8%26page%3Dshow_problem%26problem%3D4467&amp;sa=D&amp;ust=1605639551791000&amp;usg=AFQjCNEfPn2YUujUvpavX3Nz5iQ5-INeqw" TargetMode="External"/><Relationship Id="rId2031" Type="http://schemas.openxmlformats.org/officeDocument/2006/relationships/hyperlink" Target="https://www.google.com/url?q=https://uva.onlinejudge.org/index.php?option%3Donlinejudge%26page%3Dshow_problem%26problem%3D1806&amp;sa=D&amp;ust=1605639552754000&amp;usg=AFQjCNHIwxILiETyeCrlC-AbQrUmw2x86Q" TargetMode="External"/><Relationship Id="rId9" Type="http://schemas.openxmlformats.org/officeDocument/2006/relationships/hyperlink" Target="https://www.google.com/url?q=https://codeforces.com/problemset/problem/1179/E&amp;sa=D&amp;ust=1605639551566000&amp;usg=AFQjCNG1p8k3qxua-e-0I3jIQ8Hr4fTuxA" TargetMode="External"/><Relationship Id="rId210" Type="http://schemas.openxmlformats.org/officeDocument/2006/relationships/hyperlink" Target="https://www.google.com/url?q=http://codeforces.com/contest/31/problem/D&amp;sa=D&amp;ust=1605639551685000&amp;usg=AFQjCNGgnhW6mf7umrSbIAUc1LAaVWx0ww" TargetMode="External"/><Relationship Id="rId2988" Type="http://schemas.openxmlformats.org/officeDocument/2006/relationships/hyperlink" Target="https://www.google.com/url?q=https://github.com/mostafa-saad/MyCompetitiveProgramming/blob/master/UVA/UVA_11504.txt&amp;sa=D&amp;ust=1605639553314000&amp;usg=AFQjCNEfXqyiilEvGxM1Dc3Kr6dk8DTGvQ" TargetMode="External"/><Relationship Id="rId1797" Type="http://schemas.openxmlformats.org/officeDocument/2006/relationships/hyperlink" Target="https://www.google.com/url?q=https://csacademy.com/contest/round-63/task/graph-game/&amp;sa=D&amp;ust=1605639552611000&amp;usg=AFQjCNEEuvQfrg5LPneB1CxaqReBYr_VAQ" TargetMode="External"/><Relationship Id="rId2848" Type="http://schemas.openxmlformats.org/officeDocument/2006/relationships/hyperlink" Target="https://www.google.com/url?q=https://www.codechef.com/problems/MATCH&amp;sa=D&amp;ust=1605639553236000&amp;usg=AFQjCNHaQ-TXHgvKjvpMSbPyE4B5ef_Rbg" TargetMode="External"/><Relationship Id="rId89" Type="http://schemas.openxmlformats.org/officeDocument/2006/relationships/hyperlink" Target="https://www.google.com/url?q=https://github.com/ajfabian/Competitive-Programming/blob/master/SPOJ/UCBINTC/a.cpp&amp;sa=D&amp;ust=1605639551604000&amp;usg=AFQjCNFeQfh3B0ag8edNljFlWnpjeMaZQQ" TargetMode="External"/><Relationship Id="rId1657" Type="http://schemas.openxmlformats.org/officeDocument/2006/relationships/hyperlink" Target="https://www.google.com/url?q=https://github.com/aviroop123/CompetitiveProgramming/blob/master/CodeForces/CF100883-GYM-C.cpp&amp;sa=D&amp;ust=1605639552533000&amp;usg=AFQjCNFmdiLJsgB4C1ew2h1Dr_mi8Z6sLQ" TargetMode="External"/><Relationship Id="rId1864" Type="http://schemas.openxmlformats.org/officeDocument/2006/relationships/hyperlink" Target="https://www.google.com/url?q=https://github.com/goswami-rahul/competitive-coding/blob/master/CompetitiveProgramming/timus/1540.cpp&amp;sa=D&amp;ust=1605639552645000&amp;usg=AFQjCNHn00ayBy9XdDsiKk5pUa67txcwdw" TargetMode="External"/><Relationship Id="rId2708" Type="http://schemas.openxmlformats.org/officeDocument/2006/relationships/hyperlink" Target="https://www.google.com/url?q=https://codeforces.com/contest/1245/problem/D&amp;sa=D&amp;ust=1605639553151000&amp;usg=AFQjCNGBmCyDo9-1XAcRgY8msCHnzJ_Mng" TargetMode="External"/><Relationship Id="rId2915" Type="http://schemas.openxmlformats.org/officeDocument/2006/relationships/hyperlink" Target="https://www.google.com/url?q=http://codeforces.com/contest/277/problem/E&amp;sa=D&amp;ust=1605639553272000&amp;usg=AFQjCNG2J3h6pYKAcCJH2lgbYo7djP5Aag" TargetMode="External"/><Relationship Id="rId4063" Type="http://schemas.openxmlformats.org/officeDocument/2006/relationships/hyperlink" Target="https://www.google.com/url?q=http://codeforces.com/contest/55/problem/D&amp;sa=D&amp;ust=1605639554156000&amp;usg=AFQjCNFp1tR_VGZ5y3H6DuA0MUqNtGAfeA" TargetMode="External"/><Relationship Id="rId4270" Type="http://schemas.openxmlformats.org/officeDocument/2006/relationships/hyperlink" Target="https://www.google.com/url?q=https://codeforces.com/contest/932/problem/F&amp;sa=D&amp;ust=1605639554273000&amp;usg=AFQjCNF7ECVNlkEGlAd5R0g1Pq4Wr9-Z6Q" TargetMode="External"/><Relationship Id="rId1517" Type="http://schemas.openxmlformats.org/officeDocument/2006/relationships/hyperlink" Target="https://www.google.com/url?q=https://www.hackerrank.com/contests/hourrank-30/challenges/diverse-strings/&amp;sa=D&amp;ust=1605639552457000&amp;usg=AFQjCNHpu_JL4L0Dmcyvq0WlRRnOmwo58A" TargetMode="External"/><Relationship Id="rId1724" Type="http://schemas.openxmlformats.org/officeDocument/2006/relationships/hyperlink" Target="https://www.google.com/url?q=http://codeforces.com/contest/567/problem/C&amp;sa=D&amp;ust=1605639552573000&amp;usg=AFQjCNGmBp4Q-fBZKGLdCRdHtt2jNx55VA" TargetMode="External"/><Relationship Id="rId4130" Type="http://schemas.openxmlformats.org/officeDocument/2006/relationships/hyperlink" Target="https://www.google.com/url?q=http://codeforces.com/contest/510/problem/C&amp;sa=D&amp;ust=1605639554196000&amp;usg=AFQjCNHMQ8PXwp0nNgc07zpEVNcFGfrkcA" TargetMode="External"/><Relationship Id="rId16" Type="http://schemas.openxmlformats.org/officeDocument/2006/relationships/hyperlink" Target="https://www.google.com/url?q=https://github.com/mostafa-saad/MyCompetitiveProgramming/blob/master/Codeforces/CF914-D12-F.txt&amp;sa=D&amp;ust=1605639551568000&amp;usg=AFQjCNH2xVmCqkkLyA0Y0Aupwm79-YbK6w" TargetMode="External"/><Relationship Id="rId1931" Type="http://schemas.openxmlformats.org/officeDocument/2006/relationships/hyperlink" Target="https://www.google.com/url?q=https://github.com/TheRealImaginary/CompetitiveProgramming/blob/master/UVA/UVA_11130_BilliardBounces.java&amp;sa=D&amp;ust=1605639552698000&amp;usg=AFQjCNGsXas92WWu3B9J3Z1R4AWElXfZBQ" TargetMode="External"/><Relationship Id="rId3689" Type="http://schemas.openxmlformats.org/officeDocument/2006/relationships/hyperlink" Target="https://www.google.com/url?q=http://codeforces.com/contest/696/problem/C&amp;sa=D&amp;ust=1605639553792000&amp;usg=AFQjCNEmOQhNKsff_ZqCGUlDWgCbJGvPYQ" TargetMode="External"/><Relationship Id="rId3896" Type="http://schemas.openxmlformats.org/officeDocument/2006/relationships/hyperlink" Target="https://www.google.com/url?q=http://codeforces.com/contest/1000/problem/F&amp;sa=D&amp;ust=1605639553917000&amp;usg=AFQjCNHunyQYgNNEGkSbszAlyL7NJ8BDjA" TargetMode="External"/><Relationship Id="rId2498" Type="http://schemas.openxmlformats.org/officeDocument/2006/relationships/hyperlink" Target="https://www.google.com/url?q=http://www.spoj.com/problems/PT07Z/&amp;sa=D&amp;ust=1605639553030000&amp;usg=AFQjCNEkXov_eHYLDQB28Nd4R4s2MfMVYA" TargetMode="External"/><Relationship Id="rId3549" Type="http://schemas.openxmlformats.org/officeDocument/2006/relationships/hyperlink" Target="https://www.google.com/url?q=http://codeforces.com/contest/60/problem/E&amp;sa=D&amp;ust=1605639553687000&amp;usg=AFQjCNFf8_WFq0Dk5zB3vsVyUer4gckdlQ" TargetMode="External"/><Relationship Id="rId677" Type="http://schemas.openxmlformats.org/officeDocument/2006/relationships/hyperlink" Target="https://www.google.com/url?q=http://codeforces.com/contest/121/problem/E&amp;sa=D&amp;ust=1605639551953000&amp;usg=AFQjCNFeuQbwRs28-VONBRVos4_MaQAp4Q" TargetMode="External"/><Relationship Id="rId2358" Type="http://schemas.openxmlformats.org/officeDocument/2006/relationships/hyperlink" Target="https://www.google.com/url?q=http://codeforces.com/contest/797/problem/D&amp;sa=D&amp;ust=1605639552949000&amp;usg=AFQjCNH-0b1Bn3GbcWh0AK81ynvIYCAYSA" TargetMode="External"/><Relationship Id="rId3756" Type="http://schemas.openxmlformats.org/officeDocument/2006/relationships/hyperlink" Target="https://www.google.com/url?q=http://codeforces.com/contest/282/problem/E&amp;sa=D&amp;ust=1605639553834000&amp;usg=AFQjCNEq1eitAhV69yjVeVvki_6wdaOMCg" TargetMode="External"/><Relationship Id="rId3963" Type="http://schemas.openxmlformats.org/officeDocument/2006/relationships/hyperlink" Target="https://www.google.com/url?q=https://codeforces.com/contest/1087/problem/C&amp;sa=D&amp;ust=1605639553950000&amp;usg=AFQjCNF4a23-dgQfXt82Ibk7Lt480MZAWA" TargetMode="External"/><Relationship Id="rId884" Type="http://schemas.openxmlformats.org/officeDocument/2006/relationships/hyperlink" Target="https://www.google.com/url?q=https://github.com/shashank0107/CompetitiveProgramming/blob/master/SPOJ/MATSUM.cpp&amp;sa=D&amp;ust=1605639552062000&amp;usg=AFQjCNFWDndxOuxyZuNTzZiapcvLnl268A" TargetMode="External"/><Relationship Id="rId2565" Type="http://schemas.openxmlformats.org/officeDocument/2006/relationships/hyperlink" Target="https://www.google.com/url?q=https://codeforces.com/contest/1187/problem/E&amp;sa=D&amp;ust=1605639553067000&amp;usg=AFQjCNFinUp0HXfTvTcSM5ugI_PMNgYKXQ" TargetMode="External"/><Relationship Id="rId2772" Type="http://schemas.openxmlformats.org/officeDocument/2006/relationships/hyperlink" Target="https://www.google.com/url?q=https://github.com/VAMPIER000001/CompetitiveProgramming/blob/master/UVA/V-108/UVA%252010816.Cpp&amp;sa=D&amp;ust=1605639553191000&amp;usg=AFQjCNF07TH0BwL5qEaEkcw2upLkQ-9h6w" TargetMode="External"/><Relationship Id="rId3409" Type="http://schemas.openxmlformats.org/officeDocument/2006/relationships/hyperlink" Target="https://www.google.com/url?q=https://codeforces.com/contest/690/submission/45341025&amp;sa=D&amp;ust=1605639553558000&amp;usg=AFQjCNE7LV3wcJOA4sV16zGJhONUNhKihQ" TargetMode="External"/><Relationship Id="rId3616" Type="http://schemas.openxmlformats.org/officeDocument/2006/relationships/hyperlink" Target="https://www.google.com/url?q=http://codeforces.com/contest/186/problem/D&amp;sa=D&amp;ust=1605639553742000&amp;usg=AFQjCNHW_zBxjWtMkA99ETYQMM1xI4XmLw" TargetMode="External"/><Relationship Id="rId3823" Type="http://schemas.openxmlformats.org/officeDocument/2006/relationships/hyperlink" Target="https://www.google.com/url?q=https://www.codechef.com/problems/TANDEM&amp;sa=D&amp;ust=1605639553880000&amp;usg=AFQjCNFfWn42lQreWZwXtqM2QhSV0Hf8XQ" TargetMode="External"/><Relationship Id="rId537" Type="http://schemas.openxmlformats.org/officeDocument/2006/relationships/hyperlink" Target="https://www.google.com/url?q=https://community.topcoder.com/stat?c%3Dproblem_statement%26pm%3D6742&amp;sa=D&amp;ust=1605639551903000&amp;usg=AFQjCNH4VD57KtNvSZ9hbeJbrt7vT77Kjw" TargetMode="External"/><Relationship Id="rId744" Type="http://schemas.openxmlformats.org/officeDocument/2006/relationships/hyperlink" Target="https://www.google.com/url?q=http://www.spoj.com/problems/ORDERS/&amp;sa=D&amp;ust=1605639551984000&amp;usg=AFQjCNFgpjMwJAijau0KGy3f9PujcpB2jA" TargetMode="External"/><Relationship Id="rId951" Type="http://schemas.openxmlformats.org/officeDocument/2006/relationships/hyperlink" Target="https://www.google.com/url?q=http://codeforces.com/contest/77/problem/D&amp;sa=D&amp;ust=1605639552102000&amp;usg=AFQjCNHRW8QOM_jwpjQJrGnK2YPsRJT4xw" TargetMode="External"/><Relationship Id="rId1167" Type="http://schemas.openxmlformats.org/officeDocument/2006/relationships/hyperlink" Target="https://www.google.com/url?q=https://www.facebook.com/hackercup/problem/1632703893518337/&amp;sa=D&amp;ust=1605639552223000&amp;usg=AFQjCNF3oVaXaY-5iimp2OWRJrmkc-tnDQ" TargetMode="External"/><Relationship Id="rId1374" Type="http://schemas.openxmlformats.org/officeDocument/2006/relationships/hyperlink" Target="https://www.google.com/url?q=https://codeforces.com/contest/1237/problem/F&amp;sa=D&amp;ust=1605639552360000&amp;usg=AFQjCNGHIk-W6vm__ZyGiAzvzxlCuG1wNw" TargetMode="External"/><Relationship Id="rId1581" Type="http://schemas.openxmlformats.org/officeDocument/2006/relationships/hyperlink" Target="https://www.google.com/url?q=http://codeforces.com/contest/748/problem/E&amp;sa=D&amp;ust=1605639552490000&amp;usg=AFQjCNEzHUJ4wew-XkfM_BB0OaQhle4HAA" TargetMode="External"/><Relationship Id="rId2218" Type="http://schemas.openxmlformats.org/officeDocument/2006/relationships/hyperlink" Target="https://www.google.com/url?q=https://github.com/mostafa-saad/MyCompetitiveProgramming/blob/master/UVA/UVA_1468.txt&amp;sa=D&amp;ust=1605639552880000&amp;usg=AFQjCNF6Bf3-pyYWqKNuoxw4QbMeR0yD4g" TargetMode="External"/><Relationship Id="rId2425" Type="http://schemas.openxmlformats.org/officeDocument/2006/relationships/hyperlink" Target="https://www.google.com/url?q=http://codeforces.com/contest/679/problem/C&amp;sa=D&amp;ust=1605639552982000&amp;usg=AFQjCNG8FlH1P0NdHSD5UfG9xGhfbtLD6w" TargetMode="External"/><Relationship Id="rId2632" Type="http://schemas.openxmlformats.org/officeDocument/2006/relationships/hyperlink" Target="https://www.google.com/url?q=http://codeforces.com/contest/450/problem/D&amp;sa=D&amp;ust=1605639553112000&amp;usg=AFQjCNFYvTrbNLkKrao5b8kJwB-zXstf3A" TargetMode="External"/><Relationship Id="rId80" Type="http://schemas.openxmlformats.org/officeDocument/2006/relationships/hyperlink" Target="https://www.google.com/url?q=https://github.com/mostafa-saad/MyCompetitiveProgramming/blob/master/SPOJ/SPOJ_PARSUMS.txt&amp;sa=D&amp;ust=1605639551599000&amp;usg=AFQjCNHlAr1aswGNAisEBcZQ_su6UTYSZA" TargetMode="External"/><Relationship Id="rId604" Type="http://schemas.openxmlformats.org/officeDocument/2006/relationships/hyperlink" Target="https://www.google.com/url?q=https://www.codechef.com/JAN19A/problems/MXDIST&amp;sa=D&amp;ust=1605639551927000&amp;usg=AFQjCNFNvkca-WN8KSIWSONTxC6msuNYlQ" TargetMode="External"/><Relationship Id="rId811" Type="http://schemas.openxmlformats.org/officeDocument/2006/relationships/hyperlink" Target="https://www.google.com/url?q=https://www.codechef.com/problems/FLIPCOIN&amp;sa=D&amp;ust=1605639552019000&amp;usg=AFQjCNH7GHkz26DS9-uUEiMts7nFlB08rg" TargetMode="External"/><Relationship Id="rId1027" Type="http://schemas.openxmlformats.org/officeDocument/2006/relationships/hyperlink" Target="https://www.google.com/url?q=https://github.com/farmerboy95/CompetitiveProgramming/blob/master/AtCoder/AtCoder145-ABC-F.cpp&amp;sa=D&amp;ust=1605639552138000&amp;usg=AFQjCNFKDVonMOkIcSa5Hl8cXucbVVEhUw" TargetMode="External"/><Relationship Id="rId1234" Type="http://schemas.openxmlformats.org/officeDocument/2006/relationships/hyperlink" Target="https://www.google.com/url?q=https://github.com/tmwilliamlin168/CompetitiveProgramming/blob/master/CodeForces/0351C.cpp&amp;sa=D&amp;ust=1605639552272000&amp;usg=AFQjCNEENbhkSYR4fyIikcpgpKIJmX8MTQ" TargetMode="External"/><Relationship Id="rId1441" Type="http://schemas.openxmlformats.org/officeDocument/2006/relationships/hyperlink" Target="https://www.google.com/url?q=https://uva.onlinejudge.org/index.php?option%3Dcom_onlinejudge%26Itemid%3D8%26page%3Dshow_problem%26problem%3D1962&amp;sa=D&amp;ust=1605639552412000&amp;usg=AFQjCNGsV-Rf03Yi5YS3CjGtEUs9LaNahQ" TargetMode="External"/><Relationship Id="rId1301" Type="http://schemas.openxmlformats.org/officeDocument/2006/relationships/hyperlink" Target="https://www.google.com/url?q=https://codeforces.com/contest/1209/problem/E2&amp;sa=D&amp;ust=1605639552317000&amp;usg=AFQjCNH-KH5lbMcvAWHB9dgJOYiVnTPktQ" TargetMode="External"/><Relationship Id="rId3199" Type="http://schemas.openxmlformats.org/officeDocument/2006/relationships/hyperlink" Target="https://www.google.com/url?q=https://www.codechef.com/DEC18A/problems/INTXOR&amp;sa=D&amp;ust=1605639553426000&amp;usg=AFQjCNEJNBu43ziyjD5P7qNK3z-mvZiYcw" TargetMode="External"/><Relationship Id="rId3059" Type="http://schemas.openxmlformats.org/officeDocument/2006/relationships/hyperlink" Target="https://www.google.com/url?q=http://codeforces.com/problemset/gymProblem/101142/G&amp;sa=D&amp;ust=1605639553355000&amp;usg=AFQjCNGxhpgi4tkdiwwOuCdWXo4zMqhpww" TargetMode="External"/><Relationship Id="rId3266" Type="http://schemas.openxmlformats.org/officeDocument/2006/relationships/hyperlink" Target="https://www.google.com/url?q=http://codeforces.com/gym/101864/problem/M&amp;sa=D&amp;ust=1605639553462000&amp;usg=AFQjCNHkuSvApzof9QWn9BSjn_moqEFzYg" TargetMode="External"/><Relationship Id="rId3473" Type="http://schemas.openxmlformats.org/officeDocument/2006/relationships/hyperlink" Target="https://www.google.com/url?q=http://codeforces.com/contest/837/problem/E&amp;sa=D&amp;ust=1605639553601000&amp;usg=AFQjCNF4uHhHzhGkH1Fhwv0iaaB3x3Nwng" TargetMode="External"/><Relationship Id="rId4317" Type="http://schemas.openxmlformats.org/officeDocument/2006/relationships/hyperlink" Target="https://www.google.com/url?q=https://codeforces.com/contest/1207/problem/F&amp;sa=D&amp;ust=1605639554291000&amp;usg=AFQjCNFNT8kBWYJfFJeJ43RR3e0Ne5NSSA" TargetMode="External"/><Relationship Id="rId187" Type="http://schemas.openxmlformats.org/officeDocument/2006/relationships/hyperlink" Target="https://www.google.com/url?q=http://codeforces.com/gym/100517/problem/D&amp;sa=D&amp;ust=1605639551669000&amp;usg=AFQjCNHI19dzZaRto0kdM1YywdGDQcD0xQ" TargetMode="External"/><Relationship Id="rId394" Type="http://schemas.openxmlformats.org/officeDocument/2006/relationships/hyperlink" Target="https://www.google.com/url?q=https://www.spoj.com/problems/METEORS/&amp;sa=D&amp;ust=1605639551839000&amp;usg=AFQjCNG41qQyKUKHcQc9-aNP_Onmj43KRg" TargetMode="External"/><Relationship Id="rId2075" Type="http://schemas.openxmlformats.org/officeDocument/2006/relationships/hyperlink" Target="https://www.google.com/url?q=https://www.hackerrank.com/challenges/sherlock-and-geometry&amp;sa=D&amp;ust=1605639552785000&amp;usg=AFQjCNG_QReVVOc3ILIjqDe9MbcXNNFmEA" TargetMode="External"/><Relationship Id="rId2282" Type="http://schemas.openxmlformats.org/officeDocument/2006/relationships/hyperlink" Target="https://www.google.com/url?q=https://codeforces.com/problemset/problem/1104/E&amp;sa=D&amp;ust=1605639552918000&amp;usg=AFQjCNFMGuPoytdr7BnwrE_yMf3Uh4VnMQ" TargetMode="External"/><Relationship Id="rId3126" Type="http://schemas.openxmlformats.org/officeDocument/2006/relationships/hyperlink" Target="https://www.google.com/url?q=https://apps.topcoder.com/forums//?module%3DThread%26threadID%3D743163%26start%3D0&amp;sa=D&amp;ust=1605639553393000&amp;usg=AFQjCNFT8KyXgYB2bZqCHzOe0agLuB1Asw" TargetMode="External"/><Relationship Id="rId3680" Type="http://schemas.openxmlformats.org/officeDocument/2006/relationships/hyperlink" Target="https://www.google.com/url?q=https://www.hackerrank.com/challenges/permutation-problem&amp;sa=D&amp;ust=1605639553786000&amp;usg=AFQjCNFXTZeiaIrT3PxevFb1EssY5weAOw" TargetMode="External"/><Relationship Id="rId254" Type="http://schemas.openxmlformats.org/officeDocument/2006/relationships/hyperlink" Target="https://www.google.com/url?q=http://codeforces.com/contest/402/problem/C&amp;sa=D&amp;ust=1605639551721000&amp;usg=AFQjCNH4vG5lVdFOAxLXehskdxQ6fO4Ejg" TargetMode="External"/><Relationship Id="rId1091" Type="http://schemas.openxmlformats.org/officeDocument/2006/relationships/hyperlink" Target="https://www.google.com/url?q=http://codeforces.com/problemset/problem/895/C&amp;sa=D&amp;ust=1605639552171000&amp;usg=AFQjCNHdAHTs6ix4w61qWempEePqfTeG2Q" TargetMode="External"/><Relationship Id="rId3333" Type="http://schemas.openxmlformats.org/officeDocument/2006/relationships/hyperlink" Target="https://www.google.com/url?q=https://codeforces.com/contest/1055/problem/C&amp;sa=D&amp;ust=1605639553507000&amp;usg=AFQjCNHUKxcdoDaPOZIsyu7Kh_kwcbBCKA" TargetMode="External"/><Relationship Id="rId3540" Type="http://schemas.openxmlformats.org/officeDocument/2006/relationships/hyperlink" Target="https://www.google.com/url?q=http://codeforces.com/contest/385/problem/E&amp;sa=D&amp;ust=1605639553657000&amp;usg=AFQjCNEhewLO8KWWsJ7pWE3AWDZzkEEFJQ" TargetMode="External"/><Relationship Id="rId114" Type="http://schemas.openxmlformats.org/officeDocument/2006/relationships/hyperlink" Target="https://www.google.com/url?q=https://codeforces.com/contest/1148/problem/C&amp;sa=D&amp;ust=1605639551619000&amp;usg=AFQjCNGc3z6q1TZ9qd-z0TrHEKET27tnTQ" TargetMode="External"/><Relationship Id="rId461" Type="http://schemas.openxmlformats.org/officeDocument/2006/relationships/hyperlink" Target="https://www.google.com/url?q=https://www.codechef.com/problems/BANDMATR&amp;sa=D&amp;ust=1605639551868000&amp;usg=AFQjCNHrF9FPt6ER5WCN2SVfR7g9AQmXOQ" TargetMode="External"/><Relationship Id="rId2142" Type="http://schemas.openxmlformats.org/officeDocument/2006/relationships/hyperlink" Target="https://www.google.com/url?q=https://github.com/LeTrongDat/CompetitiveProgramming/blob/master/Csacademy/CSA34-E.cpp&amp;sa=D&amp;ust=1605639552833000&amp;usg=AFQjCNGgAAAGrWGh-mvfPgT9hI0FnieMmw" TargetMode="External"/><Relationship Id="rId3400" Type="http://schemas.openxmlformats.org/officeDocument/2006/relationships/hyperlink" Target="https://www.google.com/url?q=http://codeforces.com/contest/1065/problem/E&amp;sa=D&amp;ust=1605639553552000&amp;usg=AFQjCNHDazqgClRgh93-0WBiHNLpk62yGA" TargetMode="External"/><Relationship Id="rId321" Type="http://schemas.openxmlformats.org/officeDocument/2006/relationships/hyperlink" Target="https://www.google.com/url?q=https://codeforces.com/contest/899/problem/E&amp;sa=D&amp;ust=1605639551766000&amp;usg=AFQjCNHa43alpVlGCarlXfHBGLwJwHKK_Q" TargetMode="External"/><Relationship Id="rId2002" Type="http://schemas.openxmlformats.org/officeDocument/2006/relationships/hyperlink" Target="https://www.google.com/url?q=http://codeforces.com/contest/590/problem/B&amp;sa=D&amp;ust=1605639552735000&amp;usg=AFQjCNF9TukchnEXpSiAvlYMrqZmpTnQAw" TargetMode="External"/><Relationship Id="rId2959" Type="http://schemas.openxmlformats.org/officeDocument/2006/relationships/hyperlink" Target="https://www.google.com/url?q=http://codeforces.com/contest/606/problem/D&amp;sa=D&amp;ust=1605639553295000&amp;usg=AFQjCNEyPViWNoAGHuRl_qagwOMig-1gFQ" TargetMode="External"/><Relationship Id="rId1768" Type="http://schemas.openxmlformats.org/officeDocument/2006/relationships/hyperlink" Target="https://www.google.com/url?q=http://codeforces.com/contest/203/problem/C&amp;sa=D&amp;ust=1605639552597000&amp;usg=AFQjCNHK-Ibby7APYD8gAfwTHFlF5DRzWA" TargetMode="External"/><Relationship Id="rId2819" Type="http://schemas.openxmlformats.org/officeDocument/2006/relationships/hyperlink" Target="https://www.google.com/url?q=http://codeforces.com/problemset/problem/546/E&amp;sa=D&amp;ust=1605639553220000&amp;usg=AFQjCNHRDdvwxrD6qcTnT_U71PNaAh21fQ" TargetMode="External"/><Relationship Id="rId4174" Type="http://schemas.openxmlformats.org/officeDocument/2006/relationships/hyperlink" Target="https://www.google.com/url?q=https://www.codechef.com/COOK108A/problems/EXPTPROD&amp;sa=D&amp;ust=1605639554220000&amp;usg=AFQjCNFrOEjGUcFDQhGgDZwvS1cS4dgIAQ" TargetMode="External"/><Relationship Id="rId4381" Type="http://schemas.openxmlformats.org/officeDocument/2006/relationships/hyperlink" Target="https://www.google.com/url?q=http://codeforces.com/contest/805/problem/F&amp;sa=D&amp;ust=1605639554318000&amp;usg=AFQjCNFT6F3sWu3M57p6Ejap_aeZeNZEVw" TargetMode="External"/><Relationship Id="rId1628" Type="http://schemas.openxmlformats.org/officeDocument/2006/relationships/hyperlink" Target="https://www.google.com/url?q=https://codeforces.com/gym/101917/problem/B&amp;sa=D&amp;ust=1605639552517000&amp;usg=AFQjCNH12mlWavLy0Ad18xHqJ2ZpXJScHQ" TargetMode="External"/><Relationship Id="rId1975" Type="http://schemas.openxmlformats.org/officeDocument/2006/relationships/hyperlink" Target="https://www.google.com/url?q=http://codeforces.com/contest/404/problem/B&amp;sa=D&amp;ust=1605639552718000&amp;usg=AFQjCNGgOihKSqo1DTnr9fvJk3D1xuPzdA" TargetMode="External"/><Relationship Id="rId3190" Type="http://schemas.openxmlformats.org/officeDocument/2006/relationships/hyperlink" Target="https://www.google.com/url?q=https://codeforces.com/contest/396/problem/A&amp;sa=D&amp;ust=1605639553422000&amp;usg=AFQjCNGACSh6lskfvf9eoUnl32i6cparsw" TargetMode="External"/><Relationship Id="rId4034" Type="http://schemas.openxmlformats.org/officeDocument/2006/relationships/hyperlink" Target="https://www.google.com/url?q=https://uva.onlinejudge.org/index.php?option%3Dcom_onlinejudge%26Itemid%3D8%26page%3Dshow_problem%26problem%3D52&amp;sa=D&amp;ust=1605639554144000&amp;usg=AFQjCNHbDZ-21SK6lBrW-89h8r_He-b4cQ" TargetMode="External"/><Relationship Id="rId4241" Type="http://schemas.openxmlformats.org/officeDocument/2006/relationships/hyperlink" Target="https://www.google.com/url?q=http://codeforces.com/contest/766/problem/E&amp;sa=D&amp;ust=1605639554261000&amp;usg=AFQjCNH2AVbCHlNDPKYSiu4H-4mwvfYslg" TargetMode="External"/><Relationship Id="rId1835" Type="http://schemas.openxmlformats.org/officeDocument/2006/relationships/hyperlink" Target="https://www.google.com/url?q=https://www.codechef.com/problems/GTH&amp;sa=D&amp;ust=1605639552633000&amp;usg=AFQjCNFvNe1IjTqRDh4oMJLCf0Dr_pzGOQ" TargetMode="External"/><Relationship Id="rId3050" Type="http://schemas.openxmlformats.org/officeDocument/2006/relationships/hyperlink" Target="https://www.google.com/url?q=https://www.codechef.com/problems/TRIPS&amp;sa=D&amp;ust=1605639553349000&amp;usg=AFQjCNFywIq-64HhihwL_bLiTEsQNu6Y7A" TargetMode="External"/><Relationship Id="rId4101" Type="http://schemas.openxmlformats.org/officeDocument/2006/relationships/hyperlink" Target="https://www.google.com/url?q=https://ideone.com/7yWKZY&amp;sa=D&amp;ust=1605639554176000&amp;usg=AFQjCNGCYlw2DMPtnUFjYC8bavXS9oNmVA" TargetMode="External"/><Relationship Id="rId1902" Type="http://schemas.openxmlformats.org/officeDocument/2006/relationships/hyperlink" Target="https://www.google.com/url?q=https://github.com/shanto86/Training/blob/master/Hackerrank/HACKR%2520isosceles-triangles.cpp&amp;sa=D&amp;ust=1605639552672000&amp;usg=AFQjCNHBielgcAeZpyJ_W8o-g8tYRTVzCA" TargetMode="External"/><Relationship Id="rId3867" Type="http://schemas.openxmlformats.org/officeDocument/2006/relationships/hyperlink" Target="https://www.google.com/url?q=https://codeforces.com/contest/1109/problem/C&amp;sa=D&amp;ust=1605639553899000&amp;usg=AFQjCNHs0BCEJb6smhBQGCKIU3KURgj0zA" TargetMode="External"/><Relationship Id="rId788" Type="http://schemas.openxmlformats.org/officeDocument/2006/relationships/hyperlink" Target="https://www.google.com/url?q=https://www.hackerearth.com/problem/algorithm/test-problem-13-1db9a7bd/&amp;sa=D&amp;ust=1605639552007000&amp;usg=AFQjCNFx3EqGm_8kiqu2G135qfbRrzBT4A" TargetMode="External"/><Relationship Id="rId995" Type="http://schemas.openxmlformats.org/officeDocument/2006/relationships/hyperlink" Target="https://www.google.com/url?q=http://codeforces.com/contest/480/problem/C&amp;sa=D&amp;ust=1605639552122000&amp;usg=AFQjCNGoOldIUB91xFymwk1ACdELcPNmEg" TargetMode="External"/><Relationship Id="rId2469" Type="http://schemas.openxmlformats.org/officeDocument/2006/relationships/hyperlink" Target="https://www.google.com/url?q=https://uva.onlinejudge.org/index.php?option%3Dcom_onlinejudge%26Itemid%3D8%26page%3Dshow_problem%26problem%3D512&amp;sa=D&amp;ust=1605639553009000&amp;usg=AFQjCNFTxUd11aFDiFEsPn4t2UULot6JXA" TargetMode="External"/><Relationship Id="rId2676" Type="http://schemas.openxmlformats.org/officeDocument/2006/relationships/hyperlink" Target="https://www.google.com/url?q=https://www.hackerrank.com/contests/world-codesprint-13/challenges/landslide&amp;sa=D&amp;ust=1605639553136000&amp;usg=AFQjCNHO70X6KNA-Bxnf0NNbj52-XX0q1g" TargetMode="External"/><Relationship Id="rId2883" Type="http://schemas.openxmlformats.org/officeDocument/2006/relationships/hyperlink" Target="https://www.google.com/url?q=https://github.com/mostafa-saad/MyCompetitiveProgramming/blob/master/UVA/UVA_10349.txt&amp;sa=D&amp;ust=1605639553254000&amp;usg=AFQjCNH5K-XPHF_NAfY4tassuzQDqCdiKw" TargetMode="External"/><Relationship Id="rId3727" Type="http://schemas.openxmlformats.org/officeDocument/2006/relationships/hyperlink" Target="https://www.google.com/url?q=https://www.codechef.com/problems/LCM&amp;sa=D&amp;ust=1605639553814000&amp;usg=AFQjCNG-W7wfPmH3VgvIUpC7K7CoFsYIEg" TargetMode="External"/><Relationship Id="rId3934" Type="http://schemas.openxmlformats.org/officeDocument/2006/relationships/hyperlink" Target="https://www.google.com/url?q=https://codeforces.com/contest/1090/problem/C&amp;sa=D&amp;ust=1605639553937000&amp;usg=AFQjCNFvfh-mTNE0MKZUWatJaRhJkWTKGQ" TargetMode="External"/><Relationship Id="rId648" Type="http://schemas.openxmlformats.org/officeDocument/2006/relationships/hyperlink" Target="https://www.google.com/url?q=https://codeforces.com/contest/911/problem/G&amp;sa=D&amp;ust=1605639551942000&amp;usg=AFQjCNHNUVNn98AwlEtOnmwn8EeoOQrt5Q" TargetMode="External"/><Relationship Id="rId855" Type="http://schemas.openxmlformats.org/officeDocument/2006/relationships/hyperlink" Target="https://www.google.com/url?q=http://codeforces.com/contest/431/problem/E&amp;sa=D&amp;ust=1605639552042000&amp;usg=AFQjCNEd4u28WEpKVodwHqfV4vSVVuWM_g" TargetMode="External"/><Relationship Id="rId1278" Type="http://schemas.openxmlformats.org/officeDocument/2006/relationships/hyperlink" Target="https://www.google.com/url?q=https://onlinejudge.org/index.php?option%3Donlinejudge%26Itemid%3D8%26page%3Dshow_problem%26problem%3D2233&amp;sa=D&amp;ust=1605639552304000&amp;usg=AFQjCNFL6MNaMoW_3ZoMgiAOEQ_nBW3VJw" TargetMode="External"/><Relationship Id="rId1485" Type="http://schemas.openxmlformats.org/officeDocument/2006/relationships/hyperlink" Target="https://www.google.com/url?q=https://atcoder.jp/contests/abc144/tasks/abc144_f&amp;sa=D&amp;ust=1605639552436000&amp;usg=AFQjCNFaHtGRvMOb-1mEFinJKjebuL-oOA" TargetMode="External"/><Relationship Id="rId1692" Type="http://schemas.openxmlformats.org/officeDocument/2006/relationships/hyperlink" Target="https://www.google.com/url?q=http://codeforces.com/contest/735/problem/C&amp;sa=D&amp;ust=1605639552556000&amp;usg=AFQjCNF_Ns5fhGM7Ha-j1oyfGgIqwqh4lg" TargetMode="External"/><Relationship Id="rId2329" Type="http://schemas.openxmlformats.org/officeDocument/2006/relationships/hyperlink" Target="https://www.google.com/url?q=http://codeforces.com/contest/746/problem/G&amp;sa=D&amp;ust=1605639552938000&amp;usg=AFQjCNEd2zuh419Vf_DtXl8x27v88idhHQ" TargetMode="External"/><Relationship Id="rId2536" Type="http://schemas.openxmlformats.org/officeDocument/2006/relationships/hyperlink" Target="https://www.google.com/url?q=http://codeforces.com/contest/441/problem/D&amp;sa=D&amp;ust=1605639553053000&amp;usg=AFQjCNFM2tDE4cYkllENOajcoN-3WYH3ig" TargetMode="External"/><Relationship Id="rId2743" Type="http://schemas.openxmlformats.org/officeDocument/2006/relationships/hyperlink" Target="https://www.google.com/url?q=http://codeforces.com/contest/1062/problem/D&amp;sa=D&amp;ust=1605639553171000&amp;usg=AFQjCNGCGZ3-ISD9c2OS-ryovIpLuS25Lg" TargetMode="External"/><Relationship Id="rId508" Type="http://schemas.openxmlformats.org/officeDocument/2006/relationships/hyperlink" Target="https://www.google.com/url?q=http://codeforces.com/contest/939/problem/E&amp;sa=D&amp;ust=1605639551889000&amp;usg=AFQjCNEJg7yBkjEbC7kcOuw48oMtoKoKPQ" TargetMode="External"/><Relationship Id="rId715" Type="http://schemas.openxmlformats.org/officeDocument/2006/relationships/hyperlink" Target="https://www.google.com/url?q=https://www.hackerrank.com/contests/world-codesprint-12/challenges/factorial-array&amp;sa=D&amp;ust=1605639551971000&amp;usg=AFQjCNFswKEtdYo6AfMsG97QBeyM7PQtyQ" TargetMode="External"/><Relationship Id="rId922" Type="http://schemas.openxmlformats.org/officeDocument/2006/relationships/hyperlink" Target="https://www.google.com/url?q=https://github.com/mostafa-saad/MyCompetitiveProgramming/blob/master/Codeforces/CF939-D2-F.txt&amp;sa=D&amp;ust=1605639552083000&amp;usg=AFQjCNGmnfiEjL7I5-YgwaWLj1Kt7vSElQ" TargetMode="External"/><Relationship Id="rId1138" Type="http://schemas.openxmlformats.org/officeDocument/2006/relationships/hyperlink" Target="https://www.google.com/url?q=http://codeforces.com/contest/721/problem/C&amp;sa=D&amp;ust=1605639552201000&amp;usg=AFQjCNHb6ITzSxpbNWjoTiADglf3fxpNHA" TargetMode="External"/><Relationship Id="rId1345" Type="http://schemas.openxmlformats.org/officeDocument/2006/relationships/hyperlink" Target="https://www.google.com/url?q=https://www.hackerrank.com/challenges/polita-sets&amp;sa=D&amp;ust=1605639552345000&amp;usg=AFQjCNG7hY6S6rp3pOE1YEKR0VVSI2FVzQ" TargetMode="External"/><Relationship Id="rId1552" Type="http://schemas.openxmlformats.org/officeDocument/2006/relationships/hyperlink" Target="https://www.google.com/url?q=http://codeforces.com/problemset/gymProblem/101498/G&amp;sa=D&amp;ust=1605639552475000&amp;usg=AFQjCNGVYL4aeNIgFXpiS_5uO2JFOW4Jcw" TargetMode="External"/><Relationship Id="rId2603" Type="http://schemas.openxmlformats.org/officeDocument/2006/relationships/hyperlink" Target="https://www.google.com/url?q=https://ideone.com/DiPcFo&amp;sa=D&amp;ust=1605639553093000&amp;usg=AFQjCNEtr1dZt6uXpoGyPVy-O6mtf-kdMg" TargetMode="External"/><Relationship Id="rId2950" Type="http://schemas.openxmlformats.org/officeDocument/2006/relationships/hyperlink" Target="https://www.google.com/url?q=https://codeforces.com/problemset/problem/1107/F&amp;sa=D&amp;ust=1605639553291000&amp;usg=AFQjCNFOZeD7kRWvOHECLD7aHnn_JeOIHg" TargetMode="External"/><Relationship Id="rId1205" Type="http://schemas.openxmlformats.org/officeDocument/2006/relationships/hyperlink" Target="https://www.google.com/url?q=https://uva.onlinejudge.org/index.php?option%3Dcom_onlinejudge%26Itemid%3D8%26page%3Dshow_problem%26problem%3D944&amp;sa=D&amp;ust=1605639552249000&amp;usg=AFQjCNFwBaXmQBdLjAaG_aBMbbkR4y9jtw" TargetMode="External"/><Relationship Id="rId2810" Type="http://schemas.openxmlformats.org/officeDocument/2006/relationships/hyperlink" Target="https://www.google.com/url?q=https://codeforces.com/contest/1252/problem/L&amp;sa=D&amp;ust=1605639553217000&amp;usg=AFQjCNETv165kuKsJLL4zVO1IJM7xJNnlg" TargetMode="External"/><Relationship Id="rId51" Type="http://schemas.openxmlformats.org/officeDocument/2006/relationships/hyperlink" Target="https://www.google.com/url?q=https://github.com/IbraheemTuffaha/Competitive-Programming/blob/master/Codeforces/2018-Nov-16/CF1004-D2-D.cpp&amp;sa=D&amp;ust=1605639551583000&amp;usg=AFQjCNFUNKxiyLROGG7F5W8i7qF0pYkmZg" TargetMode="External"/><Relationship Id="rId1412" Type="http://schemas.openxmlformats.org/officeDocument/2006/relationships/hyperlink" Target="https://www.google.com/url?q=http://codeforces.com/contest/731/problem/E&amp;sa=D&amp;ust=1605639552391000&amp;usg=AFQjCNFsQ_pPKfvMpVmMwbCDvB9OcmpQ9g" TargetMode="External"/><Relationship Id="rId3377" Type="http://schemas.openxmlformats.org/officeDocument/2006/relationships/hyperlink" Target="https://www.google.com/url?q=http://codeforces.com/contest/113/problem/E&amp;sa=D&amp;ust=1605639553540000&amp;usg=AFQjCNHMENqCvg7xinf2dOunjAHbjd49bw" TargetMode="External"/><Relationship Id="rId298" Type="http://schemas.openxmlformats.org/officeDocument/2006/relationships/hyperlink" Target="https://www.google.com/url?q=https://codeforces.com/contest/1269/problem/E&amp;sa=D&amp;ust=1605639551755000&amp;usg=AFQjCNH_hM0sPww4XV54ckMK3Lm1_rWLDw" TargetMode="External"/><Relationship Id="rId3584" Type="http://schemas.openxmlformats.org/officeDocument/2006/relationships/hyperlink" Target="https://www.google.com/url?q=https://codeforces.com/contest/959/problem/F&amp;sa=D&amp;ust=1605639553717000&amp;usg=AFQjCNFsc0hfJF23ewWCSEIwEdvby-dgkQ" TargetMode="External"/><Relationship Id="rId3791" Type="http://schemas.openxmlformats.org/officeDocument/2006/relationships/hyperlink" Target="https://www.google.com/url?q=http://codeforces.com/contest/471/problem/D&amp;sa=D&amp;ust=1605639553855000&amp;usg=AFQjCNFZEg2BJGpyaK5gyUFcDF_zw97-jQ" TargetMode="External"/><Relationship Id="rId4428" Type="http://schemas.openxmlformats.org/officeDocument/2006/relationships/hyperlink" Target="https://www.google.com/url?q=https://codeforces.com/problemset/problem/514/C&amp;sa=D&amp;ust=1605639554341000&amp;usg=AFQjCNGMFRl-33e2eOPkZ8rh9_yEFEARsg" TargetMode="External"/><Relationship Id="rId158" Type="http://schemas.openxmlformats.org/officeDocument/2006/relationships/hyperlink" Target="https://www.google.com/url?q=http://codeforces.com/contest/740/problem/C&amp;sa=D&amp;ust=1605639551646000&amp;usg=AFQjCNGKqh982HaSPgDbQJ9CttuMU-mkUg" TargetMode="External"/><Relationship Id="rId2186" Type="http://schemas.openxmlformats.org/officeDocument/2006/relationships/hyperlink" Target="https://www.google.com/url?q=https://github.com/MeGaCrazy/CompetitiveProgramming/blob/bec564a6ceb521c881f45109cf287c3ade0b7048/SPOJ/SPOJ_VMILI.cpp&amp;sa=D&amp;ust=1605639552861000&amp;usg=AFQjCNEp2fkngXYUF8kNdEk6wJ1adAD_uQ" TargetMode="External"/><Relationship Id="rId2393" Type="http://schemas.openxmlformats.org/officeDocument/2006/relationships/hyperlink" Target="https://www.google.com/url?q=https://uva.onlinejudge.org/index.php?option%3Donlinejudge%26page%3Dshow_problem%26problem%3D1393&amp;sa=D&amp;ust=1605639552965000&amp;usg=AFQjCNEhSG9mfaj6k4YaWhkbLHqS_gGneA" TargetMode="External"/><Relationship Id="rId3237" Type="http://schemas.openxmlformats.org/officeDocument/2006/relationships/hyperlink" Target="https://www.google.com/url?q=https://atcoder.jp/contests/abc134/tasks/abc134_f&amp;sa=D&amp;ust=1605639553445000&amp;usg=AFQjCNEbYOVaXIYQ2yi__Fb3Ll_kwdwTvA" TargetMode="External"/><Relationship Id="rId3444" Type="http://schemas.openxmlformats.org/officeDocument/2006/relationships/hyperlink" Target="https://www.google.com/url?q=https://www.hackerrank.com/challenges/picking-cards&amp;sa=D&amp;ust=1605639553579000&amp;usg=AFQjCNEbP15180VCsBCoTP2bAD1B_CllQg" TargetMode="External"/><Relationship Id="rId3651" Type="http://schemas.openxmlformats.org/officeDocument/2006/relationships/hyperlink" Target="https://www.google.com/url?q=https://github.com/abdullaAshraf/Problem-Solving/blob/master/UVA/10742.cpp&amp;sa=D&amp;ust=1605639553764000&amp;usg=AFQjCNGpFU9Jm9JyWklRMNMbHY246WTuIQ" TargetMode="External"/><Relationship Id="rId365" Type="http://schemas.openxmlformats.org/officeDocument/2006/relationships/hyperlink" Target="https://www.google.com/url?q=http://codeforces.com/contest/161/problem/E&amp;sa=D&amp;ust=1605639551802000&amp;usg=AFQjCNFJEjOgv55KfkduFwIGBfKwHpw0wA" TargetMode="External"/><Relationship Id="rId572" Type="http://schemas.openxmlformats.org/officeDocument/2006/relationships/hyperlink" Target="https://www.google.com/url?q=http://codeforces.com/contest/280/problem/D&amp;sa=D&amp;ust=1605639551915000&amp;usg=AFQjCNHhP-nKWQBWh1XAWGBlMOO4Q_aL-A" TargetMode="External"/><Relationship Id="rId2046" Type="http://schemas.openxmlformats.org/officeDocument/2006/relationships/hyperlink" Target="https://www.google.com/url?q=https://github.com/shanto86/Training/blob/master/CodeForces/CF100200-GYM-C.cpp&amp;sa=D&amp;ust=1605639552770000&amp;usg=AFQjCNFGJu949IqKHW8J5_FwajyA3k9f9A" TargetMode="External"/><Relationship Id="rId2253" Type="http://schemas.openxmlformats.org/officeDocument/2006/relationships/hyperlink" Target="https://www.google.com/url?q=https://github.com/AbdelrahmanRamadan/competitive-programming/blob/master/UVA/10297%2520-%2520Beavergnaw.cpp&amp;sa=D&amp;ust=1605639552904000&amp;usg=AFQjCNHtFgWMcvIW_sR2NDUr4f5E4j0mwQ" TargetMode="External"/><Relationship Id="rId2460" Type="http://schemas.openxmlformats.org/officeDocument/2006/relationships/hyperlink" Target="https://www.google.com/url?q=http://codeforces.com/contest/676/problem/D&amp;sa=D&amp;ust=1605639553002000&amp;usg=AFQjCNE2Ooax9k3-7V07IjzHZlQQBuZWOw" TargetMode="External"/><Relationship Id="rId3304" Type="http://schemas.openxmlformats.org/officeDocument/2006/relationships/hyperlink" Target="https://www.google.com/url?q=http://codeforces.com/problemset/problem/551/D&amp;sa=D&amp;ust=1605639553483000&amp;usg=AFQjCNF_l_iLRHXZeRPiqLXlgUTMGzN1wg" TargetMode="External"/><Relationship Id="rId3511" Type="http://schemas.openxmlformats.org/officeDocument/2006/relationships/hyperlink" Target="https://www.google.com/url?q=http://codeforces.com/contest/839/problem/D&amp;sa=D&amp;ust=1605639553633000&amp;usg=AFQjCNGSCqwV9mh5-AdjeEQqCE_336PARw" TargetMode="External"/><Relationship Id="rId225" Type="http://schemas.openxmlformats.org/officeDocument/2006/relationships/hyperlink" Target="https://www.google.com/url?q=http://codeforces.com/contest/426/problem/C&amp;sa=D&amp;ust=1605639551694000&amp;usg=AFQjCNEk6iB4KbSiD8954t7xMfNqb3iPiw" TargetMode="External"/><Relationship Id="rId432" Type="http://schemas.openxmlformats.org/officeDocument/2006/relationships/hyperlink" Target="https://www.google.com/url?q=http://codeforces.com/contest/378/problem/D&amp;sa=D&amp;ust=1605639551856000&amp;usg=AFQjCNFpWvIOjhnXrzDhwpEFY6ROQ0jz4Q" TargetMode="External"/><Relationship Id="rId1062" Type="http://schemas.openxmlformats.org/officeDocument/2006/relationships/hyperlink" Target="https://www.google.com/url?q=http://codeforces.com/contest/677/problem/D&amp;sa=D&amp;ust=1605639552156000&amp;usg=AFQjCNFhoYQo7nOHzUgOE0tk76ZZXhqOlg" TargetMode="External"/><Relationship Id="rId2113" Type="http://schemas.openxmlformats.org/officeDocument/2006/relationships/hyperlink" Target="https://www.google.com/url?q=https://github.com/osamahatem/CompetitiveProgramming/blob/master/UVA/11473%2520-%2520Campus%2520Roads.cpp&amp;sa=D&amp;ust=1605639552811000&amp;usg=AFQjCNHZS7xaAwff1wbHyY_aANNdE_JoEA" TargetMode="External"/><Relationship Id="rId2320" Type="http://schemas.openxmlformats.org/officeDocument/2006/relationships/hyperlink" Target="https://www.google.com/url?q=https://github.com/mostafa-saad/MyCompetitiveProgramming/blob/master/SPOJ/SPOJ_SPCE.txt&amp;sa=D&amp;ust=1605639552935000&amp;usg=AFQjCNGpWLGZaqI6k1p46DqjWdrtJlZAHw" TargetMode="External"/><Relationship Id="rId4078" Type="http://schemas.openxmlformats.org/officeDocument/2006/relationships/hyperlink" Target="https://www.google.com/url?q=http://codeforces.com/contest/160/problem/C&amp;sa=D&amp;ust=1605639554164000&amp;usg=AFQjCNHOvXdwwwBaLLIie0gbVOfh1VF1ww" TargetMode="External"/><Relationship Id="rId4285" Type="http://schemas.openxmlformats.org/officeDocument/2006/relationships/hyperlink" Target="https://www.google.com/url?q=http://codeforces.com/contest/1009/problem/F&amp;sa=D&amp;ust=1605639554279000&amp;usg=AFQjCNFn4JZU6fdgbPj2kum-iF5Bape8uQ" TargetMode="External"/><Relationship Id="rId1879" Type="http://schemas.openxmlformats.org/officeDocument/2006/relationships/hyperlink" Target="https://www.google.com/url?q=http://codeforces.com/gym/100379/&amp;sa=D&amp;ust=1605639552653000&amp;usg=AFQjCNGJTreNcJUjwQ5-u3BMUgVbxD-zXg" TargetMode="External"/><Relationship Id="rId3094" Type="http://schemas.openxmlformats.org/officeDocument/2006/relationships/hyperlink" Target="https://www.google.com/url?q=https://ideone.com/TXPngv&amp;sa=D&amp;ust=1605639553367000&amp;usg=AFQjCNH8ks6lL6C9mCPxxxyTgmm6sOUdag" TargetMode="External"/><Relationship Id="rId4145" Type="http://schemas.openxmlformats.org/officeDocument/2006/relationships/hyperlink" Target="https://www.google.com/url?q=http://codeforces.com/contest/724/problem/E&amp;sa=D&amp;ust=1605639554205000&amp;usg=AFQjCNG7bv93_3yqK9aF3B9Q8gRjNyQxmg" TargetMode="External"/><Relationship Id="rId1739" Type="http://schemas.openxmlformats.org/officeDocument/2006/relationships/hyperlink" Target="https://www.google.com/url?q=http://codeforces.com/contest/920/problem/C&amp;sa=D&amp;ust=1605639552579000&amp;usg=AFQjCNEJd570MA-WMuFeXmfVa5yHRyla4w" TargetMode="External"/><Relationship Id="rId1946" Type="http://schemas.openxmlformats.org/officeDocument/2006/relationships/hyperlink" Target="https://www.google.com/url?q=http://codeforces.com/gym/100531/problem/H&amp;sa=D&amp;ust=1605639552706000&amp;usg=AFQjCNGcYIY-Iq8ySQbriCPtO4-4uwWOKg" TargetMode="External"/><Relationship Id="rId4005" Type="http://schemas.openxmlformats.org/officeDocument/2006/relationships/hyperlink" Target="https://www.google.com/url?q=http://codeforces.com/contest/79/problem/C&amp;sa=D&amp;ust=1605639554128000&amp;usg=AFQjCNHVQ00kHGRmXBgfrUt2XG0bYwUXvQ" TargetMode="External"/><Relationship Id="rId4352" Type="http://schemas.openxmlformats.org/officeDocument/2006/relationships/hyperlink" Target="https://www.google.com/url?q=https://www.hackerrank.com/contests/countercode/challenges/subset&amp;sa=D&amp;ust=1605639554305000&amp;usg=AFQjCNGjS6z1VKw9sh0KowzcpBbbXsU8QQ" TargetMode="External"/><Relationship Id="rId1806" Type="http://schemas.openxmlformats.org/officeDocument/2006/relationships/hyperlink" Target="https://www.google.com/url?q=http://codeforces.com/contest/151/problem/C&amp;sa=D&amp;ust=1605639552617000&amp;usg=AFQjCNE5QG_DGnzNFEiWLDgnnQjDxaYk3A" TargetMode="External"/><Relationship Id="rId3161" Type="http://schemas.openxmlformats.org/officeDocument/2006/relationships/hyperlink" Target="https://www.google.com/url?q=http://codeforces.com/contest/509/problem/E&amp;sa=D&amp;ust=1605639553409000&amp;usg=AFQjCNEmjyKP44bSQjRZe7MT0sb1i7jhSQ" TargetMode="External"/><Relationship Id="rId4212" Type="http://schemas.openxmlformats.org/officeDocument/2006/relationships/hyperlink" Target="https://www.google.com/url?q=http://codeforces.com/contest/613/problem/D&amp;sa=D&amp;ust=1605639554248000&amp;usg=AFQjCNHnE2gznMOUJn9YnbgWAyyukk1w-A" TargetMode="External"/><Relationship Id="rId3021" Type="http://schemas.openxmlformats.org/officeDocument/2006/relationships/hyperlink" Target="https://www.google.com/url?q=https://github.com/HeartBlue/CompetitiveProgramming/blob/master/UVA/UVA%25201146%2520Now%2520or%2520later.cpp&amp;sa=D&amp;ust=1605639553332000&amp;usg=AFQjCNFurwFMR1CJDW11VuGzdMgedXsExw" TargetMode="External"/><Relationship Id="rId3978" Type="http://schemas.openxmlformats.org/officeDocument/2006/relationships/hyperlink" Target="https://www.google.com/url?q=http://codeforces.com/contest/1062/problem/A&amp;sa=D&amp;ust=1605639553959000&amp;usg=AFQjCNFLiKrTTIAozrobRNWHqp5pi7evDg" TargetMode="External"/><Relationship Id="rId899" Type="http://schemas.openxmlformats.org/officeDocument/2006/relationships/hyperlink" Target="https://www.google.com/url?q=https://codeforces.com/contest/1103/problem/D&amp;sa=D&amp;ust=1605639552070000&amp;usg=AFQjCNGHduNrqfEAwMSpx8XlqwciO2s3PA" TargetMode="External"/><Relationship Id="rId2787" Type="http://schemas.openxmlformats.org/officeDocument/2006/relationships/hyperlink" Target="https://www.google.com/url?q=https://www.codechef.com/problems/CAKE2AM&amp;sa=D&amp;ust=1605639553202000&amp;usg=AFQjCNG15uSUUAuMpfG9fZvRNlg7krGOtQ" TargetMode="External"/><Relationship Id="rId3838" Type="http://schemas.openxmlformats.org/officeDocument/2006/relationships/hyperlink" Target="https://www.google.com/url?q=https://github.com/HosamEissa/Competitive-programming-/blob/master/Spoj/LONGCS.cpp&amp;sa=D&amp;ust=1605639553888000&amp;usg=AFQjCNHz7bVLp5Qwzhxq-m9g8LiIc7AVJA" TargetMode="External"/><Relationship Id="rId759" Type="http://schemas.openxmlformats.org/officeDocument/2006/relationships/hyperlink" Target="https://www.google.com/url?q=https://github.com/goswami-rahul/competitive-coding/blob/master/CompetitiveProgramming/spoj/DCEPC11I.cpp&amp;sa=D&amp;ust=1605639551993000&amp;usg=AFQjCNGMDtl4_vyvm8nPXPq3EfSVrXOiZg" TargetMode="External"/><Relationship Id="rId966" Type="http://schemas.openxmlformats.org/officeDocument/2006/relationships/hyperlink" Target="https://www.google.com/url?q=http://codeforces.com/contest/296/problem/E&amp;sa=D&amp;ust=1605639552109000&amp;usg=AFQjCNHQkL-hzEzoeP853nMRK670xbGS3w" TargetMode="External"/><Relationship Id="rId1389" Type="http://schemas.openxmlformats.org/officeDocument/2006/relationships/hyperlink" Target="https://www.google.com/url?q=http://codeforces.com/contest/156/problem/C&amp;sa=D&amp;ust=1605639552369000&amp;usg=AFQjCNFxB54twDCalBlnyVxjErnRfXRzsg" TargetMode="External"/><Relationship Id="rId1596" Type="http://schemas.openxmlformats.org/officeDocument/2006/relationships/hyperlink" Target="https://www.google.com/url?q=https://agc008.contest.atcoder.jp/tasks/agc008_d&amp;sa=D&amp;ust=1605639552501000&amp;usg=AFQjCNFpmkev5uhKgTanrdDDagYWeARUqg" TargetMode="External"/><Relationship Id="rId2647" Type="http://schemas.openxmlformats.org/officeDocument/2006/relationships/hyperlink" Target="https://www.google.com/url?q=http://www.spoj.com/problems/GONDOR/&amp;sa=D&amp;ust=1605639553119000&amp;usg=AFQjCNEvzJkRx7r0WQJke_P-Nob3zkhDuQ" TargetMode="External"/><Relationship Id="rId2994" Type="http://schemas.openxmlformats.org/officeDocument/2006/relationships/hyperlink" Target="https://www.google.com/url?q=https://uva.onlinejudge.org/index.php?option%3Donlinejudge%26page%3Dshow_problem%26problem%3D1672&amp;sa=D&amp;ust=1605639553316000&amp;usg=AFQjCNETnMrFs9Fds3Pj1oq-jWK--3X62g" TargetMode="External"/><Relationship Id="rId619" Type="http://schemas.openxmlformats.org/officeDocument/2006/relationships/hyperlink" Target="https://www.google.com/url?q=http://codeforces.com/contest/266/problem/E&amp;sa=D&amp;ust=1605639551933000&amp;usg=AFQjCNErvSEGT-YsjvFJTDShwhIuRCCnPQ" TargetMode="External"/><Relationship Id="rId1249" Type="http://schemas.openxmlformats.org/officeDocument/2006/relationships/hyperlink" Target="https://www.google.com/url?q=https://github.com/shanto86/Training/blob/master/Codechef/CODECHEF%2520BUYING.cpp&amp;sa=D&amp;ust=1605639552287000&amp;usg=AFQjCNFycFY6ZftG0t158Z1xDhTdyl49qg" TargetMode="External"/><Relationship Id="rId2854" Type="http://schemas.openxmlformats.org/officeDocument/2006/relationships/hyperlink" Target="https://www.google.com/url?q=http://codeforces.com/contest/499/problem/E&amp;sa=D&amp;ust=1605639553239000&amp;usg=AFQjCNF5e7tZuvysX2WxXdZT3w2Q17eLag" TargetMode="External"/><Relationship Id="rId3905" Type="http://schemas.openxmlformats.org/officeDocument/2006/relationships/hyperlink" Target="https://www.google.com/url?q=http://codeforces.com/contest/617/problem/E&amp;sa=D&amp;ust=1605639553920000&amp;usg=AFQjCNETfNeNuPg1P3QDqWf8Tr8V3b-C6g" TargetMode="External"/><Relationship Id="rId95" Type="http://schemas.openxmlformats.org/officeDocument/2006/relationships/hyperlink" Target="https://www.google.com/url?q=http://codeforces.com/contest/344/problem/D&amp;sa=D&amp;ust=1605639551608000&amp;usg=AFQjCNGzltDpzWFFRTQn0FXCdXpj7yl8RQ" TargetMode="External"/><Relationship Id="rId826" Type="http://schemas.openxmlformats.org/officeDocument/2006/relationships/hyperlink" Target="https://www.google.com/url?q=http://codeforces.com/contest/228/problem/D&amp;sa=D&amp;ust=1605639552028000&amp;usg=AFQjCNG5KKZYNHG6zUP7tcZYxeNZj6bidQ" TargetMode="External"/><Relationship Id="rId1109" Type="http://schemas.openxmlformats.org/officeDocument/2006/relationships/hyperlink" Target="https://www.google.com/url?q=https://codeforces.com/gym/101979/problem/D&amp;sa=D&amp;ust=1605639552188000&amp;usg=AFQjCNHfSBAhT_g2UB8sc3aBc-3Uzu10EQ" TargetMode="External"/><Relationship Id="rId1456" Type="http://schemas.openxmlformats.org/officeDocument/2006/relationships/hyperlink" Target="https://www.google.com/url?q=https://uva.onlinejudge.org/index.php?option%3Donlinejudge%26page%3Dshow_problem%26problem%3D483&amp;sa=D&amp;ust=1605639552419000&amp;usg=AFQjCNF9dztVWJeNjaRIhYz7AY1aD3Q1hw" TargetMode="External"/><Relationship Id="rId1663" Type="http://schemas.openxmlformats.org/officeDocument/2006/relationships/hyperlink" Target="https://www.google.com/url?q=http://codeforces.com/contest/738/problem/E&amp;sa=D&amp;ust=1605639552537000&amp;usg=AFQjCNH8ht_egiMdqL2nSzHT-fx0W3ER5w" TargetMode="External"/><Relationship Id="rId1870" Type="http://schemas.openxmlformats.org/officeDocument/2006/relationships/hyperlink" Target="https://www.google.com/url?q=http://codeforces.com/contest/88/problem/E&amp;sa=D&amp;ust=1605639552648000&amp;usg=AFQjCNGcN4gQeGgdI29tChDGxBVkr2qFZQ" TargetMode="External"/><Relationship Id="rId2507" Type="http://schemas.openxmlformats.org/officeDocument/2006/relationships/hyperlink" Target="https://www.google.com/url?q=http://codeforces.com/contest/982/problem/F&amp;sa=D&amp;ust=1605639553036000&amp;usg=AFQjCNFGoNX-_sTabftunu-wggZLFjiWPg" TargetMode="External"/><Relationship Id="rId2714" Type="http://schemas.openxmlformats.org/officeDocument/2006/relationships/hyperlink" Target="https://www.google.com/url?q=https://github.com/AliOsm/CompetitiveProgramming/blob/master/SPOJ/RELINETS%2520-%2520Reliable%2520Nets.cpp&amp;sa=D&amp;ust=1605639553153000&amp;usg=AFQjCNHGGpKQDZ8oq-s4hP3iTVs_pbXmQw" TargetMode="External"/><Relationship Id="rId2921" Type="http://schemas.openxmlformats.org/officeDocument/2006/relationships/hyperlink" Target="https://www.google.com/url?q=https://github.com/TheRealImaginary/CompetitiveProgramming/blob/master/PKU/PKU_3422_KakasMatrixTravels.java&amp;sa=D&amp;ust=1605639553278000&amp;usg=AFQjCNEhiCPeZ9b7g_5dfmVxI84clWCN5g" TargetMode="External"/><Relationship Id="rId1316" Type="http://schemas.openxmlformats.org/officeDocument/2006/relationships/hyperlink" Target="https://www.google.com/url?q=http://codeforces.com/contest/385/problem/D&amp;sa=D&amp;ust=1605639552323000&amp;usg=AFQjCNFvup0mSqYf93S70WkDFgZJpbwzog" TargetMode="External"/><Relationship Id="rId1523" Type="http://schemas.openxmlformats.org/officeDocument/2006/relationships/hyperlink" Target="https://www.google.com/url?q=https://github.com/tmwilliamlin168/CompetitiveProgramming/blob/master/CodeForces/CF436-D12-E.cpp&amp;sa=D&amp;ust=1605639552460000&amp;usg=AFQjCNHSON1bkjm2-sIoV_6GFrZR7jY42w" TargetMode="External"/><Relationship Id="rId1730" Type="http://schemas.openxmlformats.org/officeDocument/2006/relationships/hyperlink" Target="https://www.google.com/url?q=http://codeforces.com/problemset/problem/899/C&amp;sa=D&amp;ust=1605639552576000&amp;usg=AFQjCNHyR0YQCDaRJIX4Z8BBXWq_0ZR1ag" TargetMode="External"/><Relationship Id="rId22" Type="http://schemas.openxmlformats.org/officeDocument/2006/relationships/hyperlink" Target="https://www.google.com/url?q=https://codeforces.com/problemset/problem/1097/F&amp;sa=D&amp;ust=1605639551572000&amp;usg=AFQjCNEHT1v4QypPkrPU11ZniQ-_6XLg2g" TargetMode="External"/><Relationship Id="rId3488" Type="http://schemas.openxmlformats.org/officeDocument/2006/relationships/hyperlink" Target="https://www.google.com/url?q=http://codeforces.com/problemset/problem/236/B&amp;sa=D&amp;ust=1605639553612000&amp;usg=AFQjCNE5OghKhuJapRDnTwDLMFk3FiA_Ow" TargetMode="External"/><Relationship Id="rId3695" Type="http://schemas.openxmlformats.org/officeDocument/2006/relationships/hyperlink" Target="https://www.google.com/url?q=http://codeforces.com/contest/146/problem/E&amp;sa=D&amp;ust=1605639553794000&amp;usg=AFQjCNEhEd10qAmzCF0_2m9nqxXbcfeWhA" TargetMode="External"/><Relationship Id="rId2297" Type="http://schemas.openxmlformats.org/officeDocument/2006/relationships/hyperlink" Target="https://www.google.com/url?q=https://open.kattis.com/problems/factorfree&amp;sa=D&amp;ust=1605639552927000&amp;usg=AFQjCNFZJhjsWXbxcWm0u4R5q1bSHCV5nw" TargetMode="External"/><Relationship Id="rId3348" Type="http://schemas.openxmlformats.org/officeDocument/2006/relationships/hyperlink" Target="https://www.google.com/url?q=http://codeforces.com/contest/902/problem/D&amp;sa=D&amp;ust=1605639553517000&amp;usg=AFQjCNHfXeB2Npb39Ww17N3xyUiWNJuChg" TargetMode="External"/><Relationship Id="rId3555" Type="http://schemas.openxmlformats.org/officeDocument/2006/relationships/hyperlink" Target="https://www.google.com/url?q=https://codeforces.com/problemset/problem/1182/E&amp;sa=D&amp;ust=1605639553692000&amp;usg=AFQjCNGRJ1UzF73YA9CLuD5TWdrlMr8DPQ" TargetMode="External"/><Relationship Id="rId3762" Type="http://schemas.openxmlformats.org/officeDocument/2006/relationships/hyperlink" Target="https://www.google.com/url?q=https://github.com/HosamEissa/Competitive-programming-/blob/master/UVA/12333.cpp&amp;sa=D&amp;ust=1605639553837000&amp;usg=AFQjCNHMmXJEEgVUkGXK2CPVSbZJ3NvwnA" TargetMode="External"/><Relationship Id="rId269" Type="http://schemas.openxmlformats.org/officeDocument/2006/relationships/hyperlink" Target="https://www.google.com/url?q=https://ideone.com/VPYfS0&amp;sa=D&amp;ust=1605639551741000&amp;usg=AFQjCNGV2nXdBButjywkskLETIJt-iBxHw" TargetMode="External"/><Relationship Id="rId476" Type="http://schemas.openxmlformats.org/officeDocument/2006/relationships/hyperlink" Target="https://www.google.com/url?q=https://codeforces.com/contest/1118/problem/D2&amp;sa=D&amp;ust=1605639551876000&amp;usg=AFQjCNEilTamjgKuR0LRPyi2zTUElI1T6A" TargetMode="External"/><Relationship Id="rId683" Type="http://schemas.openxmlformats.org/officeDocument/2006/relationships/hyperlink" Target="https://www.google.com/url?q=https://github.com/3agwa/CompetitiveProgramming/blob/master/SPOJ/SPOJ%2520SAMTWARR.%2520cpp&amp;sa=D&amp;ust=1605639551956000&amp;usg=AFQjCNHBtQ3sPsc5VIH1iTcDn5rogYhLZA" TargetMode="External"/><Relationship Id="rId890" Type="http://schemas.openxmlformats.org/officeDocument/2006/relationships/hyperlink" Target="https://www.google.com/url?q=https://github.com/tmwilliamlin168/CompetitiveProgramming/blob/master/CodeChef/SAFPAR.cpp&amp;sa=D&amp;ust=1605639552065000&amp;usg=AFQjCNFHePKQUZTAFUXQEj2Zemdj1sf52A" TargetMode="External"/><Relationship Id="rId2157" Type="http://schemas.openxmlformats.org/officeDocument/2006/relationships/hyperlink" Target="https://www.google.com/url?q=http://codeforces.com/contest/1/problem/C&amp;sa=D&amp;ust=1605639552842000&amp;usg=AFQjCNGVcvsqIQllff8-M42LxTCZJikBMw" TargetMode="External"/><Relationship Id="rId2364" Type="http://schemas.openxmlformats.org/officeDocument/2006/relationships/hyperlink" Target="https://www.google.com/url?q=http://codeforces.com/contest/125/problem/C&amp;sa=D&amp;ust=1605639552953000&amp;usg=AFQjCNE53o-myLJ4bO9mo_d511hfkm8wHg" TargetMode="External"/><Relationship Id="rId2571" Type="http://schemas.openxmlformats.org/officeDocument/2006/relationships/hyperlink" Target="https://www.google.com/url?q=https://codeforces.com/contest/1093/problem/D&amp;sa=D&amp;ust=1605639553071000&amp;usg=AFQjCNHbxkGafbdbJLvRlJG2gMEUwaK6Xg" TargetMode="External"/><Relationship Id="rId3208" Type="http://schemas.openxmlformats.org/officeDocument/2006/relationships/hyperlink" Target="https://www.google.com/url?q=https://codeforces.com/contest/1130/problem/D2&amp;sa=D&amp;ust=1605639553430000&amp;usg=AFQjCNE4AdGxngsHKAOK3CKnm6I3ahUF1w" TargetMode="External"/><Relationship Id="rId3415" Type="http://schemas.openxmlformats.org/officeDocument/2006/relationships/hyperlink" Target="https://www.google.com/url?q=http://codeforces.com/contest/340/problem/E&amp;sa=D&amp;ust=1605639553562000&amp;usg=AFQjCNEAAf36AHCoBci5TPgYol9SexUNuw" TargetMode="External"/><Relationship Id="rId129" Type="http://schemas.openxmlformats.org/officeDocument/2006/relationships/hyperlink" Target="https://www.google.com/url?q=https://codeforces.com/contest/1207/problem/E&amp;sa=D&amp;ust=1605639551630000&amp;usg=AFQjCNH4RbZny7iurFqC6DVhH5ddYmpEvQ" TargetMode="External"/><Relationship Id="rId336" Type="http://schemas.openxmlformats.org/officeDocument/2006/relationships/hyperlink" Target="https://www.google.com/url?q=http://codeforces.com/contest/731/problem/D&amp;sa=D&amp;ust=1605639551774000&amp;usg=AFQjCNE4Iq2bOpFa_Y0yIoo_Z8xOXsHPOw" TargetMode="External"/><Relationship Id="rId543" Type="http://schemas.openxmlformats.org/officeDocument/2006/relationships/hyperlink" Target="https://www.google.com/url?q=https://www.codechef.com/LOCJUL17/problems/AMITNITI&amp;sa=D&amp;ust=1605639551906000&amp;usg=AFQjCNGkqsiRrhi3EOI5zD1lMkW46fOeaA" TargetMode="External"/><Relationship Id="rId1173" Type="http://schemas.openxmlformats.org/officeDocument/2006/relationships/hyperlink" Target="https://www.google.com/url?q=http://codeforces.com/contest/682/problem/D&amp;sa=D&amp;ust=1605639552226000&amp;usg=AFQjCNGZ1uBGsUeMr_HQGMNn4sXEdZLF-A" TargetMode="External"/><Relationship Id="rId1380" Type="http://schemas.openxmlformats.org/officeDocument/2006/relationships/hyperlink" Target="https://www.google.com/url?q=https://github.com/mostafa-saad/MyCompetitiveProgramming/blob/master/Codeforces/CF128-D1-C.txt&amp;sa=D&amp;ust=1605639552362000&amp;usg=AFQjCNF_ZIwwT3RJtB_YQdZAQg-Ewg07Eg" TargetMode="External"/><Relationship Id="rId2017" Type="http://schemas.openxmlformats.org/officeDocument/2006/relationships/hyperlink" Target="https://www.google.com/url?q=https://www.hackerrank.com/challenges/hyperspace-travel&amp;sa=D&amp;ust=1605639552743000&amp;usg=AFQjCNHXn3LwftGhMXhuS2WMk-u9Kn-SjQ" TargetMode="External"/><Relationship Id="rId2224" Type="http://schemas.openxmlformats.org/officeDocument/2006/relationships/hyperlink" Target="https://www.google.com/url?q=https://codeforces.com/contest/1284/problem/D&amp;sa=D&amp;ust=1605639552883000&amp;usg=AFQjCNHlc_TUBlhHMs2wXfXRYjEoBNHEJg" TargetMode="External"/><Relationship Id="rId3622" Type="http://schemas.openxmlformats.org/officeDocument/2006/relationships/hyperlink" Target="https://www.google.com/url?q=http://codeforces.com/contest/453/problem/A&amp;sa=D&amp;ust=1605639553745000&amp;usg=AFQjCNEmJRfJ5RMg3wDz9RsAefetazsjLw" TargetMode="External"/><Relationship Id="rId403" Type="http://schemas.openxmlformats.org/officeDocument/2006/relationships/hyperlink" Target="https://www.google.com/url?q=https://codeforces.com/contest/1101/problem/F&amp;sa=D&amp;ust=1605639551844000&amp;usg=AFQjCNGmNgp2ifdVM-VJ3o1kvRx0rU8ZUg" TargetMode="External"/><Relationship Id="rId750" Type="http://schemas.openxmlformats.org/officeDocument/2006/relationships/hyperlink" Target="https://www.google.com/url?q=https://github.com/mostafa-saad/MyCompetitiveProgramming/blob/master/UVA/UVA_1232.txt&amp;sa=D&amp;ust=1605639551988000&amp;usg=AFQjCNHmRdycKKL5yMH0DqW_URgpxK7Sgg" TargetMode="External"/><Relationship Id="rId1033" Type="http://schemas.openxmlformats.org/officeDocument/2006/relationships/hyperlink" Target="https://www.google.com/url?q=https://codeforces.com/gym/102014&amp;sa=D&amp;ust=1605639552142000&amp;usg=AFQjCNFzlwiI7t-G9rhhIeFKT-W6_ugpsg" TargetMode="External"/><Relationship Id="rId2431" Type="http://schemas.openxmlformats.org/officeDocument/2006/relationships/hyperlink" Target="https://www.google.com/url?q=http://codeforces.com/contest/225/problem/D&amp;sa=D&amp;ust=1605639552986000&amp;usg=AFQjCNGBR1gL79ltt9g9nSu1SaAJopMl-Q" TargetMode="External"/><Relationship Id="rId4189" Type="http://schemas.openxmlformats.org/officeDocument/2006/relationships/hyperlink" Target="https://www.google.com/url?q=https://codeforces.com/gym/102020/problem/E&amp;sa=D&amp;ust=1605639554237000&amp;usg=AFQjCNGpAixQQIw6PibRgjl_WwaCb_Bwug" TargetMode="External"/><Relationship Id="rId610" Type="http://schemas.openxmlformats.org/officeDocument/2006/relationships/hyperlink" Target="https://www.google.com/url?q=https://cmxrynp.github.io/2018/10/25/UOJ-164-%25E6%25B8%2585%25E5%258D%258E%25E9%259B%2586%25E8%25AE%25AD2015-V/&amp;sa=D&amp;ust=1605639551929000&amp;usg=AFQjCNE_NNmvSrNWlowk25cslSBL-WVzDw" TargetMode="External"/><Relationship Id="rId1240" Type="http://schemas.openxmlformats.org/officeDocument/2006/relationships/hyperlink" Target="https://www.google.com/url?q=http://codeforces.com/contest/837/problem/D&amp;sa=D&amp;ust=1605639552275000&amp;usg=AFQjCNGypFYE54X2Fhzso_S6fvwJWXrJzQ" TargetMode="External"/><Relationship Id="rId4049" Type="http://schemas.openxmlformats.org/officeDocument/2006/relationships/hyperlink" Target="https://www.google.com/url?q=http://codeforces.com/contest/442/problem/D&amp;sa=D&amp;ust=1605639554149000&amp;usg=AFQjCNHLYZSCvBs9K9V0QV6KxfR2dYnjDQ" TargetMode="External"/><Relationship Id="rId4396" Type="http://schemas.openxmlformats.org/officeDocument/2006/relationships/hyperlink" Target="https://www.google.com/url?q=https://codeforces.com/contest/1249/problem/F&amp;sa=D&amp;ust=1605639554325000&amp;usg=AFQjCNEEWx8M8-qgZS0DVs1_9a9lnb5U4Q" TargetMode="External"/><Relationship Id="rId1100" Type="http://schemas.openxmlformats.org/officeDocument/2006/relationships/hyperlink" Target="https://www.google.com/url?q=http://codeforces.com/contest/285/problem/D&amp;sa=D&amp;ust=1605639552180000&amp;usg=AFQjCNHJAr4EcJGQIWbjd_3mdlQdLqu1Sg" TargetMode="External"/><Relationship Id="rId4256" Type="http://schemas.openxmlformats.org/officeDocument/2006/relationships/hyperlink" Target="https://www.google.com/url?q=https://www.codechef.com/problems/IAI&amp;sa=D&amp;ust=1605639554267000&amp;usg=AFQjCNGbfJMcRfomNT0cmL8oI5DQEAD-Aw" TargetMode="External"/><Relationship Id="rId1917" Type="http://schemas.openxmlformats.org/officeDocument/2006/relationships/hyperlink" Target="https://www.google.com/url?q=http://codeforces.com/contest/281/problem/C&amp;sa=D&amp;ust=1605639552689000&amp;usg=AFQjCNHQ9bG8ji8clcWCYzc-RlfyZyY30A" TargetMode="External"/><Relationship Id="rId3065" Type="http://schemas.openxmlformats.org/officeDocument/2006/relationships/hyperlink" Target="https://www.google.com/url?q=http://codeforces.com/contest/1045/problem/C&amp;sa=D&amp;ust=1605639553357000&amp;usg=AFQjCNEI3QRW2KI-ODQDjQMvKFcViMbcMQ" TargetMode="External"/><Relationship Id="rId3272" Type="http://schemas.openxmlformats.org/officeDocument/2006/relationships/hyperlink" Target="https://www.google.com/url?q=https://uva.onlinejudge.org/index.php?option%3Dcom_onlinejudge%26Itemid%3D8%26page%3Dshow_problem%26problem%3D1051&amp;sa=D&amp;ust=1605639553464000&amp;usg=AFQjCNGVGC6GED0daUQYAInHLrpO3G_wwQ" TargetMode="External"/><Relationship Id="rId4116" Type="http://schemas.openxmlformats.org/officeDocument/2006/relationships/hyperlink" Target="https://www.google.com/url?q=https://github.com/mostafa-saad/MyCompetitiveProgramming/blob/master/LiveArchive/LiveArchive_2935.txt&amp;sa=D&amp;ust=1605639554186000&amp;usg=AFQjCNGhCOkQAbhu5xk7n20p3CsZ8v8Jkg" TargetMode="External"/><Relationship Id="rId4323" Type="http://schemas.openxmlformats.org/officeDocument/2006/relationships/hyperlink" Target="https://www.google.com/url?q=https://github.com/gabrielrussoc/competitive-programming/blob/master/spoj/brkstrng.cpp&amp;sa=D&amp;ust=1605639554293000&amp;usg=AFQjCNFt6niJCh_RCnYaN14H2kRkLhpCXw" TargetMode="External"/><Relationship Id="rId193" Type="http://schemas.openxmlformats.org/officeDocument/2006/relationships/hyperlink" Target="https://www.google.com/url?q=http://codeforces.com/contest/448/problem/E&amp;sa=D&amp;ust=1605639551674000&amp;usg=AFQjCNFUo5O38ONjxjA4TjyYL0Si8b8YLw" TargetMode="External"/><Relationship Id="rId2081" Type="http://schemas.openxmlformats.org/officeDocument/2006/relationships/hyperlink" Target="https://www.google.com/url?q=https://github.com/OmarHashim/Competitive-Programming/blob/master/CodeForces/CF101606-GYM-L&amp;sa=D&amp;ust=1605639552792000&amp;usg=AFQjCNEowwYFUZcAh4yhXc9rCnRb88RRgw" TargetMode="External"/><Relationship Id="rId3132" Type="http://schemas.openxmlformats.org/officeDocument/2006/relationships/hyperlink" Target="https://www.google.com/url?q=https://github.com/DrSchwad/CompetitiveProgramming/blob/master/CodeForces/CF337-D2-E.cpp&amp;sa=D&amp;ust=1605639553396000&amp;usg=AFQjCNGEJc-dY7mRru-THtRzAhpItKPX5w" TargetMode="External"/><Relationship Id="rId260" Type="http://schemas.openxmlformats.org/officeDocument/2006/relationships/hyperlink" Target="https://www.google.com/url?q=http://codeforces.com/contest/879/problem/D&amp;sa=D&amp;ust=1605639551728000&amp;usg=AFQjCNFU-T6gIDOwKvuIsdPTbJhIr40JOg" TargetMode="External"/><Relationship Id="rId120" Type="http://schemas.openxmlformats.org/officeDocument/2006/relationships/hyperlink" Target="https://www.google.com/url?q=http://codeforces.com/contest/353/problem/D&amp;sa=D&amp;ust=1605639551623000&amp;usg=AFQjCNGG9O1wkwJ-jXD2CncqLAhwYcEC1g" TargetMode="External"/><Relationship Id="rId2898" Type="http://schemas.openxmlformats.org/officeDocument/2006/relationships/hyperlink" Target="https://www.google.com/url?q=https://github.com/mostafa-saad/MyCompetitiveProgramming/blob/master/UVA/UVA_259.txt&amp;sa=D&amp;ust=1605639553262000&amp;usg=AFQjCNH1-VwrhGNDFO5VVftvuvyQNyzO4A" TargetMode="External"/><Relationship Id="rId3949" Type="http://schemas.openxmlformats.org/officeDocument/2006/relationships/hyperlink" Target="https://www.google.com/url?q=http://codeforces.com/contest/734/problem/D&amp;sa=D&amp;ust=1605639553943000&amp;usg=AFQjCNH8Z9EV76Z6Q_yszpeLMwnsZ2PMgQ" TargetMode="External"/><Relationship Id="rId2758" Type="http://schemas.openxmlformats.org/officeDocument/2006/relationships/hyperlink" Target="https://www.google.com/url?q=https://uva.onlinejudge.org/index.php?option%3Dcom_onlinejudge%26Itemid%3D8%26page%3Dshow_problem%26problem%3D1389&amp;sa=D&amp;ust=1605639553181000&amp;usg=AFQjCNGdedPnU6wtoHasHjr459F4Za_ckg" TargetMode="External"/><Relationship Id="rId2965" Type="http://schemas.openxmlformats.org/officeDocument/2006/relationships/hyperlink" Target="https://www.google.com/url?q=https://github.com/Huvok/CompetitiveProgramming/blob/master/SPOJ/NITTROAD.cpp&amp;sa=D&amp;ust=1605639553299000&amp;usg=AFQjCNEVTGuc187URUYEa0DUdyFiiPN6QQ" TargetMode="External"/><Relationship Id="rId3809" Type="http://schemas.openxmlformats.org/officeDocument/2006/relationships/hyperlink" Target="https://www.google.com/url?q=https://www.codechef.com/problems/LYRC&amp;sa=D&amp;ust=1605639553870000&amp;usg=AFQjCNEZJGHCrjPq-vpqDeH6V-V9IFjevA" TargetMode="External"/><Relationship Id="rId937" Type="http://schemas.openxmlformats.org/officeDocument/2006/relationships/hyperlink" Target="https://www.google.com/url?q=https://github.com/shanto86/Training/blob/master/TopCoder/SRM728-D1-500.cpp&amp;sa=D&amp;ust=1605639552090000&amp;usg=AFQjCNHsH8QsmpdUFDH-FkuTiLZmVqQJ1Q" TargetMode="External"/><Relationship Id="rId1567" Type="http://schemas.openxmlformats.org/officeDocument/2006/relationships/hyperlink" Target="https://www.google.com/url?q=https://github.com/MetalBall887/Competitive-Programming/blob/master/AtCoder/AtCoder025-AGC-C.cpp&amp;sa=D&amp;ust=1605639552482000&amp;usg=AFQjCNF0b4pvN0sdMJioKIVZRUONbQaM0g" TargetMode="External"/><Relationship Id="rId1774" Type="http://schemas.openxmlformats.org/officeDocument/2006/relationships/hyperlink" Target="https://www.google.com/url?q=http://codeforces.com/contest/794/problem/E&amp;sa=D&amp;ust=1605639552601000&amp;usg=AFQjCNGl4VAWdqHL8b9RB-f7edk9Ux7n3A" TargetMode="External"/><Relationship Id="rId1981" Type="http://schemas.openxmlformats.org/officeDocument/2006/relationships/hyperlink" Target="https://www.google.com/url?q=https://github.com/mostafa-saad/MyCompetitiveProgramming/blob/master/SPOJ/SPOJ_PIR.txt&amp;sa=D&amp;ust=1605639552722000&amp;usg=AFQjCNGvcP6W5dhpA93HV1c_3NfVonIiiA" TargetMode="External"/><Relationship Id="rId2618" Type="http://schemas.openxmlformats.org/officeDocument/2006/relationships/hyperlink" Target="https://www.google.com/url?q=https://icpcarchive.ecs.baylor.edu/index.php?option%3Dcom_onlinejudge%26Itemid%3D8%26page%3Dshow_problem%26problem%3D3865&amp;sa=D&amp;ust=1605639553104000&amp;usg=AFQjCNEnhGYeSD77zphHsO-JeQJ77fbPtQ" TargetMode="External"/><Relationship Id="rId2825" Type="http://schemas.openxmlformats.org/officeDocument/2006/relationships/hyperlink" Target="https://www.google.com/url?q=https://github.com/achrafmam2/CompetitiveProgramming/blob/master/UVA/10511.cc&amp;sa=D&amp;ust=1605639553224000&amp;usg=AFQjCNFAYGwiCBNHvKcgJuMkehxIhLeM5g" TargetMode="External"/><Relationship Id="rId4180" Type="http://schemas.openxmlformats.org/officeDocument/2006/relationships/hyperlink" Target="https://www.google.com/url?q=https://github.com/AMR-KELEG/Competitive-Programming/blob/master/Codechef/FSSYNC.cpp&amp;sa=D&amp;ust=1605639554222000&amp;usg=AFQjCNHQNZCNBSwZuU-1uujxL0s6bNvL-A" TargetMode="External"/><Relationship Id="rId66" Type="http://schemas.openxmlformats.org/officeDocument/2006/relationships/hyperlink" Target="https://www.google.com/url?q=https://github.com/Szawinis/CompetitiveProgramming/blob/master/CodeForces/CF101149-GYM-M.cpp&amp;sa=D&amp;ust=1605639551592000&amp;usg=AFQjCNFwO6rem0Is4aksmNkE8mvyMhq65Q" TargetMode="External"/><Relationship Id="rId1427" Type="http://schemas.openxmlformats.org/officeDocument/2006/relationships/hyperlink" Target="https://www.google.com/url?q=https://github.com/omaryasser/Competitive-Programming/blob/master/SPOJ%2520solutions/LIM%2520-%2520Lost%2520in%2520Madrid.java&amp;sa=D&amp;ust=1605639552402000&amp;usg=AFQjCNFntJG-qSYXfRhU1HfgM3KDstoyIA" TargetMode="External"/><Relationship Id="rId1634" Type="http://schemas.openxmlformats.org/officeDocument/2006/relationships/hyperlink" Target="https://www.google.com/url?q=http://codeforces.com/contest/313/problem/C&amp;sa=D&amp;ust=1605639552520000&amp;usg=AFQjCNGj3CFf96iSKHAYjnOX9si6IW2_nA" TargetMode="External"/><Relationship Id="rId1841" Type="http://schemas.openxmlformats.org/officeDocument/2006/relationships/hyperlink" Target="https://www.google.com/url?q=https://coj.uci.cu/24h/problem.xhtml?pid%3D1822%26lang%3Den&amp;sa=D&amp;ust=1605639552636000&amp;usg=AFQjCNFO_LP_BUMkqPSbbG_AMy055WKX1Q" TargetMode="External"/><Relationship Id="rId4040" Type="http://schemas.openxmlformats.org/officeDocument/2006/relationships/hyperlink" Target="https://www.google.com/url?q=https://github.com/ilyesG/Competitive-Programming/blob/master/UVA/UVA%252010453.cpp&amp;sa=D&amp;ust=1605639554146000&amp;usg=AFQjCNH-ZrWB6AyJmaTOsZBktPfJ--rc9g" TargetMode="External"/><Relationship Id="rId3599" Type="http://schemas.openxmlformats.org/officeDocument/2006/relationships/hyperlink" Target="https://www.google.com/url?q=http://codeforces.com/contest/445/problem/D&amp;sa=D&amp;ust=1605639553730000&amp;usg=AFQjCNEkoc7MQ_2LjIYFKgHf2Okykkj7Lw" TargetMode="External"/><Relationship Id="rId1701" Type="http://schemas.openxmlformats.org/officeDocument/2006/relationships/hyperlink" Target="https://www.google.com/url?q=http://codeforces.com/contest/92/problem/C&amp;sa=D&amp;ust=1605639552560000&amp;usg=AFQjCNG253j2IoOu_YE9TwCWwudx9MI_Mw" TargetMode="External"/><Relationship Id="rId3459" Type="http://schemas.openxmlformats.org/officeDocument/2006/relationships/hyperlink" Target="https://www.google.com/url?q=https://github.com/sggutier/CompetitiveProgramming/blob/master/Codechef/B3.cpp&amp;sa=D&amp;ust=1605639553593000&amp;usg=AFQjCNEOApfeh1h0OXSxyekklZYJnhezTg" TargetMode="External"/><Relationship Id="rId3666" Type="http://schemas.openxmlformats.org/officeDocument/2006/relationships/hyperlink" Target="https://www.google.com/url?q=http://codeforces.com/gym/100963/attachments&amp;sa=D&amp;ust=1605639553779000&amp;usg=AFQjCNG90WpCOTc7bq1EHWhzQz8SndDbbg" TargetMode="External"/><Relationship Id="rId587" Type="http://schemas.openxmlformats.org/officeDocument/2006/relationships/hyperlink" Target="https://www.google.com/url?q=https://www.codechef.com/problems/COT5&amp;sa=D&amp;ust=1605639551921000&amp;usg=AFQjCNHsPCmScnmOxd6U0EBzWgt7Mx-0ng" TargetMode="External"/><Relationship Id="rId2268" Type="http://schemas.openxmlformats.org/officeDocument/2006/relationships/hyperlink" Target="https://www.google.com/url?q=https://codeforces.com/contest/1218/problem/H&amp;sa=D&amp;ust=1605639552912000&amp;usg=AFQjCNFj2n7eTEatBle64p0UzBgzFCWW-A" TargetMode="External"/><Relationship Id="rId3319" Type="http://schemas.openxmlformats.org/officeDocument/2006/relationships/hyperlink" Target="https://www.google.com/url?q=http://codeforces.com/contest/271/problem/E&amp;sa=D&amp;ust=1605639553498000&amp;usg=AFQjCNG4EZyNQUc8a0pIFyPSlZzKoUqENQ" TargetMode="External"/><Relationship Id="rId3873" Type="http://schemas.openxmlformats.org/officeDocument/2006/relationships/hyperlink" Target="https://www.google.com/url?q=https://github.com/tanmoy13/CompetitveProgramming/blob/master/Online-Judge-Solutions/CodeForces/CF101864-GYM-K.cpp&amp;sa=D&amp;ust=1605639553905000&amp;usg=AFQjCNHhb6apSvt9_mGosLcDIrAyTyPzEA" TargetMode="External"/><Relationship Id="rId447" Type="http://schemas.openxmlformats.org/officeDocument/2006/relationships/hyperlink" Target="https://www.google.com/url?q=https://codeforces.com/contest/1060/problem/C&amp;sa=D&amp;ust=1605639551862000&amp;usg=AFQjCNFAeX-agmhUyBsPfw7JDjCxBnprZQ" TargetMode="External"/><Relationship Id="rId794" Type="http://schemas.openxmlformats.org/officeDocument/2006/relationships/hyperlink" Target="https://www.google.com/url?q=http://www.spoj.com/problems/KGSS/&amp;sa=D&amp;ust=1605639552010000&amp;usg=AFQjCNELh1Z1k45kHDbvBwTCYi-17Dro8g" TargetMode="External"/><Relationship Id="rId1077" Type="http://schemas.openxmlformats.org/officeDocument/2006/relationships/hyperlink" Target="https://www.google.com/url?q=https://codingcompetitions.withgoogle.com/kickstart/round/0000000000050ff2/0000000000150a0d&amp;sa=D&amp;ust=1605639552165000&amp;usg=AFQjCNHEWToSYcKISiCsn5wObst9uXJ7kA" TargetMode="External"/><Relationship Id="rId2128" Type="http://schemas.openxmlformats.org/officeDocument/2006/relationships/hyperlink" Target="https://www.google.com/url?q=http://morris821028.github.io/2016/04/30/uva-13009/&amp;sa=D&amp;ust=1605639552821000&amp;usg=AFQjCNHuMxuwkb179Lo67svZ171vTxfgXg" TargetMode="External"/><Relationship Id="rId2475" Type="http://schemas.openxmlformats.org/officeDocument/2006/relationships/hyperlink" Target="https://www.google.com/url?q=http://codeforces.com/contest/174/problem/D&amp;sa=D&amp;ust=1605639553015000&amp;usg=AFQjCNFg_SXDVfoeG8-1O_9kK2yagkAcVA" TargetMode="External"/><Relationship Id="rId2682" Type="http://schemas.openxmlformats.org/officeDocument/2006/relationships/hyperlink" Target="https://www.google.com/url?q=https://www.hackerrank.com/contests/moodys-analytics-2018-university-codesprint/challenges/brokers-predictions&amp;sa=D&amp;ust=1605639553138000&amp;usg=AFQjCNFJ9CpKGlE9yyOpO8oaEESvR8osfw" TargetMode="External"/><Relationship Id="rId3526" Type="http://schemas.openxmlformats.org/officeDocument/2006/relationships/hyperlink" Target="https://www.google.com/url?q=https://github.com/nya-nya-meow/CompetitiveProgramming/blob/master/LiveArchive/2015%2520ACM-ICPC%2520Daejeon%2520Regional/7233%2520-%2520H%2520-%2520Polynomial.cpp&amp;sa=D&amp;ust=1605639553640000&amp;usg=AFQjCNFRljk-ByDyyhDkdV2v8DLNoTI_5Q" TargetMode="External"/><Relationship Id="rId3733" Type="http://schemas.openxmlformats.org/officeDocument/2006/relationships/hyperlink" Target="https://www.google.com/url?q=https://www.codechef.com/problems/EXGCD&amp;sa=D&amp;ust=1605639553817000&amp;usg=AFQjCNEKDOLpIT7jPE7w0ATBbF_1wBWk5g" TargetMode="External"/><Relationship Id="rId3940" Type="http://schemas.openxmlformats.org/officeDocument/2006/relationships/hyperlink" Target="https://www.google.com/url?q=https://github.com/timpostuvan/CompetitiveProgramming/blob/master/CSAcademy/CSA79-D.cpp&amp;sa=D&amp;ust=1605639553939000&amp;usg=AFQjCNHd0J1Pcl9wYk81kdumUIfXY--mAQ" TargetMode="External"/><Relationship Id="rId654" Type="http://schemas.openxmlformats.org/officeDocument/2006/relationships/hyperlink" Target="https://www.google.com/url?q=https://uva.onlinejudge.org/index.php?option%3Dcom_onlinejudge%26Itemid%3D8%26page%3Dshow_problem%26problem%3D3143&amp;sa=D&amp;ust=1605639551944000&amp;usg=AFQjCNGHp_Bsxhqqrvqw_1EHPbNY2r5SFw" TargetMode="External"/><Relationship Id="rId861" Type="http://schemas.openxmlformats.org/officeDocument/2006/relationships/hyperlink" Target="https://www.google.com/url?q=https://codeforces.com/problemset/problem/12/D&amp;sa=D&amp;ust=1605639552045000&amp;usg=AFQjCNE_w-8yaADFa2Tz3hN3Ck8vb5mGUQ" TargetMode="External"/><Relationship Id="rId1284" Type="http://schemas.openxmlformats.org/officeDocument/2006/relationships/hyperlink" Target="https://www.google.com/url?q=http://codeforces.com/gym/101915/problem/E&amp;sa=D&amp;ust=1605639552307000&amp;usg=AFQjCNGO5-qD6sdmwOTEOFn4R-mJ4bHTQQ" TargetMode="External"/><Relationship Id="rId1491" Type="http://schemas.openxmlformats.org/officeDocument/2006/relationships/hyperlink" Target="https://www.google.com/url?q=https://github.com/3agwa/CompetitiveProgramming/blob/master/TopCoder/SRM420-D1-500&amp;sa=D&amp;ust=1605639552438000&amp;usg=AFQjCNHLiyIW2iu1n3cOuaFzhUQ3dv2sfg" TargetMode="External"/><Relationship Id="rId2335" Type="http://schemas.openxmlformats.org/officeDocument/2006/relationships/hyperlink" Target="https://www.google.com/url?q=http://codeforces.com/contest/315/problem/D&amp;sa=D&amp;ust=1605639552941000&amp;usg=AFQjCNH5kHOmgO3GZWtyEGBlIdFXW1ArSg" TargetMode="External"/><Relationship Id="rId2542" Type="http://schemas.openxmlformats.org/officeDocument/2006/relationships/hyperlink" Target="https://www.google.com/url?q=http://codeforces.com/contest/22/problem/E&amp;sa=D&amp;ust=1605639553056000&amp;usg=AFQjCNEgIp5u3-EbJq6u8RfXiHxtonxNLw" TargetMode="External"/><Relationship Id="rId3800" Type="http://schemas.openxmlformats.org/officeDocument/2006/relationships/hyperlink" Target="https://www.google.com/url?q=http://poj.org/problem?id%3D3461&amp;sa=D&amp;ust=1605639553863000&amp;usg=AFQjCNEQbRzLDDWc8oXmXV7Aa4yel_kfhA" TargetMode="External"/><Relationship Id="rId307" Type="http://schemas.openxmlformats.org/officeDocument/2006/relationships/hyperlink" Target="https://www.google.com/url?q=http://codeforces.com/contest/114/problem/D&amp;sa=D&amp;ust=1605639551760000&amp;usg=AFQjCNG9bpM2bqhjnZ0qAIJkGw4cwM97UQ" TargetMode="External"/><Relationship Id="rId514" Type="http://schemas.openxmlformats.org/officeDocument/2006/relationships/hyperlink" Target="https://www.google.com/url?q=https://community.topcoder.com/stat?c%3Dproblem_statement%26pm%3D8020%26rd%3D10790&amp;sa=D&amp;ust=1605639551892000&amp;usg=AFQjCNGm99uNV3iX81zhUm_V_daZkUd_4w" TargetMode="External"/><Relationship Id="rId721" Type="http://schemas.openxmlformats.org/officeDocument/2006/relationships/hyperlink" Target="https://www.google.com/url?q=http://codeforces.com/contest/174/problem/C&amp;sa=D&amp;ust=1605639551974000&amp;usg=AFQjCNEhsGlg7rbpKGXUAvJxa7YTNfBJWA" TargetMode="External"/><Relationship Id="rId1144" Type="http://schemas.openxmlformats.org/officeDocument/2006/relationships/hyperlink" Target="https://www.google.com/url?q=https://github.com/StavrosChryselis/spoj/blob/master/FATAWY.cpp&amp;sa=D&amp;ust=1605639552204000&amp;usg=AFQjCNHy52qN9LhivdjH_njT2JVqq5c0sw" TargetMode="External"/><Relationship Id="rId1351" Type="http://schemas.openxmlformats.org/officeDocument/2006/relationships/hyperlink" Target="https://www.google.com/url?q=https://www.codechef.com/problems/ADIMAT&amp;sa=D&amp;ust=1605639552348000&amp;usg=AFQjCNEI843hT879JIVB7bm4EmPxbLf_ng" TargetMode="External"/><Relationship Id="rId2402" Type="http://schemas.openxmlformats.org/officeDocument/2006/relationships/hyperlink" Target="https://www.google.com/url?q=https://github.com/mostafa-saad/MyCompetitiveProgramming/blob/master/Codeforces/CF101498-GYM-L.txt&amp;sa=D&amp;ust=1605639552970000&amp;usg=AFQjCNEGBvOAQs3omstAgDWzz393gLOkQQ" TargetMode="External"/><Relationship Id="rId1004" Type="http://schemas.openxmlformats.org/officeDocument/2006/relationships/hyperlink" Target="https://www.google.com/url?q=https://codeforces.com/contest/1247/problem/E&amp;sa=D&amp;ust=1605639552127000&amp;usg=AFQjCNHWKsgQxYnVrgm0s1Q0se46cB5Fjw" TargetMode="External"/><Relationship Id="rId1211" Type="http://schemas.openxmlformats.org/officeDocument/2006/relationships/hyperlink" Target="https://www.google.com/url?q=http://codeforces.com/contest/677/problem/A&amp;sa=D&amp;ust=1605639552256000&amp;usg=AFQjCNFntbFyybSUMqi-oR-GiXWRhmcg2A" TargetMode="External"/><Relationship Id="rId4367" Type="http://schemas.openxmlformats.org/officeDocument/2006/relationships/hyperlink" Target="https://www.google.com/url?q=https://www.hackerearth.com/practice/algorithms/dynamic-programming/bit-masking/practice-problems/algorithm/special-pairs-7/description/&amp;sa=D&amp;ust=1605639554311000&amp;usg=AFQjCNGVcaBuoETp2UKWmflQ3f3c6czX-g" TargetMode="External"/><Relationship Id="rId3176" Type="http://schemas.openxmlformats.org/officeDocument/2006/relationships/hyperlink" Target="https://www.google.com/url?q=https://atcoder.jp/contests/abc156/tasks/abc156_f&amp;sa=D&amp;ust=1605639553417000&amp;usg=AFQjCNG2WReXXwF0fwImU0H4COyRYpt8WQ" TargetMode="External"/><Relationship Id="rId3383" Type="http://schemas.openxmlformats.org/officeDocument/2006/relationships/hyperlink" Target="https://www.google.com/url?q=http://codeforces.com/contest/224/problem/E&amp;sa=D&amp;ust=1605639553544000&amp;usg=AFQjCNHxX7n3sALsrefGM5GnmtC7RQ4UYg" TargetMode="External"/><Relationship Id="rId3590" Type="http://schemas.openxmlformats.org/officeDocument/2006/relationships/hyperlink" Target="https://www.google.com/url?q=https://blog.sengxian.com/solutions/uva-684&amp;sa=D&amp;ust=1605639553722000&amp;usg=AFQjCNH1Fn1wIDttjLJuJt2oNbBNMu9YgA" TargetMode="External"/><Relationship Id="rId4227" Type="http://schemas.openxmlformats.org/officeDocument/2006/relationships/hyperlink" Target="https://www.google.com/url?q=https://codeforces.com/problemset/problem/1254/D&amp;sa=D&amp;ust=1605639554255000&amp;usg=AFQjCNHucxi_Ki7YuH0-pwjiKenGvihlSg" TargetMode="External"/><Relationship Id="rId4434" Type="http://schemas.openxmlformats.org/officeDocument/2006/relationships/hyperlink" Target="https://www.google.com/url?q=https://www.codechef.com/JULY18A/problems/PFRUIT&amp;sa=D&amp;ust=1605639554343000&amp;usg=AFQjCNH_oPju7mfCK-S3RCJOvXQEV1xoCA" TargetMode="External"/><Relationship Id="rId2192" Type="http://schemas.openxmlformats.org/officeDocument/2006/relationships/hyperlink" Target="https://www.google.com/url?q=https://github.com/MeGaCrazy/CompetitiveProgramming/blob/3cbda68406690211520916e985889ce97f3539b5/UVA/UVA_11626.cpp&amp;sa=D&amp;ust=1605639552867000&amp;usg=AFQjCNEV0Jv0R61iVDJKZxmR9FO8e11y9g" TargetMode="External"/><Relationship Id="rId3036" Type="http://schemas.openxmlformats.org/officeDocument/2006/relationships/hyperlink" Target="https://www.google.com/url?q=http://codeforces.com/contest/732/problem/F&amp;sa=D&amp;ust=1605639553343000&amp;usg=AFQjCNFbmrkxGRUCtcO80DbKlNhMOM1mIg" TargetMode="External"/><Relationship Id="rId3243" Type="http://schemas.openxmlformats.org/officeDocument/2006/relationships/hyperlink" Target="https://www.google.com/url?q=https://uva.onlinejudge.org/index.php?option%3Dcom_onlinejudge%26Itemid%3D8%26page%3Dshow_problem%26problem%3D966&amp;sa=D&amp;ust=1605639553451000&amp;usg=AFQjCNEyxsF-lGRaHa1HP9OksoAgFXLecQ" TargetMode="External"/><Relationship Id="rId164" Type="http://schemas.openxmlformats.org/officeDocument/2006/relationships/hyperlink" Target="https://www.google.com/url?q=https://codeforces.com/contest/42/problem/B&amp;sa=D&amp;ust=1605639551650000&amp;usg=AFQjCNGia9ntj6J87Tlb9GgMHick6L1qLg" TargetMode="External"/><Relationship Id="rId371" Type="http://schemas.openxmlformats.org/officeDocument/2006/relationships/hyperlink" Target="https://www.google.com/url?q=https://github.com/A7medgamal/CompetitiveProgramming/blob/master/LiveArchive/6585.cpp&amp;sa=D&amp;ust=1605639551809000&amp;usg=AFQjCNHsuM-pIYWQh3IjfikH1rEHHnHqEA" TargetMode="External"/><Relationship Id="rId2052" Type="http://schemas.openxmlformats.org/officeDocument/2006/relationships/hyperlink" Target="https://www.google.com/url?q=https://github.com/OmarHashim/Competitive-Programming/blob/master/UVA/10180.cpp&amp;sa=D&amp;ust=1605639552773000&amp;usg=AFQjCNFfKEdyYKFeoOzgyXxS4IDNM7qFUw" TargetMode="External"/><Relationship Id="rId3450" Type="http://schemas.openxmlformats.org/officeDocument/2006/relationships/hyperlink" Target="https://www.google.com/url?q=http://codeforces.com/contest/584/problem/E&amp;sa=D&amp;ust=1605639553585000&amp;usg=AFQjCNFmHi65ahorf1FPwW2yES352XIbQw" TargetMode="External"/><Relationship Id="rId3103" Type="http://schemas.openxmlformats.org/officeDocument/2006/relationships/hyperlink" Target="https://www.google.com/url?q=http://codeforces.com/contest/360/problem/D&amp;sa=D&amp;ust=1605639553376000&amp;usg=AFQjCNEawjsTCEm0UBAH2rBv-foc6y_A9A" TargetMode="External"/><Relationship Id="rId3310" Type="http://schemas.openxmlformats.org/officeDocument/2006/relationships/hyperlink" Target="https://www.google.com/url?q=https://pastebin.com/WHzEMUew&amp;sa=D&amp;ust=1605639553490000&amp;usg=AFQjCNG8owR0UwshFciOaSxFJ2osBelpyQ" TargetMode="External"/><Relationship Id="rId231" Type="http://schemas.openxmlformats.org/officeDocument/2006/relationships/hyperlink" Target="https://www.google.com/url?q=http://codeforces.com/contest/365/problem/C&amp;sa=D&amp;ust=1605639551699000&amp;usg=AFQjCNH0xSM_ApHVnTCKRA72Qa0837sthA" TargetMode="External"/><Relationship Id="rId2869" Type="http://schemas.openxmlformats.org/officeDocument/2006/relationships/hyperlink" Target="https://www.google.com/url?q=https://github.com/BRAINOOOO/CompetitiveProgramming/blob/master/UVA/V-6/UVA%2520663.Cpp&amp;sa=D&amp;ust=1605639553247000&amp;usg=AFQjCNF9AetYaa6_k4MLe23XgQrWfdheJg" TargetMode="External"/><Relationship Id="rId1678" Type="http://schemas.openxmlformats.org/officeDocument/2006/relationships/hyperlink" Target="https://www.google.com/url?q=http://codeforces.com/contest/546/problem/D&amp;sa=D&amp;ust=1605639552546000&amp;usg=AFQjCNHnD19u_NsRjtlLFeHwuKA9CeQXcA" TargetMode="External"/><Relationship Id="rId1885" Type="http://schemas.openxmlformats.org/officeDocument/2006/relationships/hyperlink" Target="https://www.google.com/url?q=https://www.hackerrank.com/challenges/count-triangles&amp;sa=D&amp;ust=1605639552657000&amp;usg=AFQjCNH4KZfH7oUUvzKs61R943sEz-gddg" TargetMode="External"/><Relationship Id="rId2729" Type="http://schemas.openxmlformats.org/officeDocument/2006/relationships/hyperlink" Target="https://www.google.com/url?q=http://codeforces.com/gym/101666&amp;sa=D&amp;ust=1605639553163000&amp;usg=AFQjCNEG28WRHEBDKnZffImVgpcDc5pOig" TargetMode="External"/><Relationship Id="rId2936" Type="http://schemas.openxmlformats.org/officeDocument/2006/relationships/hyperlink" Target="https://www.google.com/url?q=https://blog.csdn.net/u012596172/article/details/42610761&amp;sa=D&amp;ust=1605639553284000&amp;usg=AFQjCNG0dCksJfEVGLAo807-KseR5JcYdQ" TargetMode="External"/><Relationship Id="rId4084" Type="http://schemas.openxmlformats.org/officeDocument/2006/relationships/hyperlink" Target="https://www.google.com/url?q=https://icpcarchive.ecs.baylor.edu/index.php?option%3Dcom_onlinejudge%26Itemid%3D8%26category%3D675%26page%3Dshow_problem%26problem%3D5184&amp;sa=D&amp;ust=1605639554167000&amp;usg=AFQjCNE2YJcl6rZOmUTL4mQxUxw-ur-xhQ" TargetMode="External"/><Relationship Id="rId4291" Type="http://schemas.openxmlformats.org/officeDocument/2006/relationships/hyperlink" Target="https://www.google.com/url?q=http://codeforces.com/contest/208/problem/E&amp;sa=D&amp;ust=1605639554281000&amp;usg=AFQjCNGhaVOWt28zvMDEBi6OAe_55JJPhQ" TargetMode="External"/><Relationship Id="rId908" Type="http://schemas.openxmlformats.org/officeDocument/2006/relationships/hyperlink" Target="https://www.google.com/url?q=http://codeforces.com/contest/316/problem/D3&amp;sa=D&amp;ust=1605639552076000&amp;usg=AFQjCNHPtZrgdEKYIXnKLJn2V_3QUykBcQ" TargetMode="External"/><Relationship Id="rId1538" Type="http://schemas.openxmlformats.org/officeDocument/2006/relationships/hyperlink" Target="https://www.google.com/url?q=http://codeforces.com/contest/144/problem/E&amp;sa=D&amp;ust=1605639552468000&amp;usg=AFQjCNGVcYsyq_RqrWIrNmPm0h2BeRrZ-w" TargetMode="External"/><Relationship Id="rId4151" Type="http://schemas.openxmlformats.org/officeDocument/2006/relationships/hyperlink" Target="https://www.google.com/url?q=https://github.com/mostafa-saad/MyCompetitiveProgramming/blob/master/UVA/UVA_11419.txt&amp;sa=D&amp;ust=1605639554207000&amp;usg=AFQjCNFNcYQkCPP93PSqsQfrWulQcZlXCQ" TargetMode="External"/><Relationship Id="rId1745" Type="http://schemas.openxmlformats.org/officeDocument/2006/relationships/hyperlink" Target="https://www.google.com/url?q=https://github.com/ilyesG/Competitive-Programming/blob/master/UVA/UVA%25201623.cpp&amp;sa=D&amp;ust=1605639552584000&amp;usg=AFQjCNGbhLi22zPqWrajRplpG7W5NdTRpw" TargetMode="External"/><Relationship Id="rId1952" Type="http://schemas.openxmlformats.org/officeDocument/2006/relationships/hyperlink" Target="https://www.google.com/url?q=https://github.com/mostafa-saad/MyCompetitiveProgramming/blob/master/UVA/UVA_11909.txt&amp;sa=D&amp;ust=1605639552708000&amp;usg=AFQjCNEsYAfI_puCPXB6m37TrZDslPcSDw" TargetMode="External"/><Relationship Id="rId4011" Type="http://schemas.openxmlformats.org/officeDocument/2006/relationships/hyperlink" Target="https://www.google.com/url?q=http://codeforces.com/contest/676/problem/C&amp;sa=D&amp;ust=1605639554131000&amp;usg=AFQjCNFviSBDG7FM7_TS5Z5cn612GaV1Tg" TargetMode="External"/><Relationship Id="rId37" Type="http://schemas.openxmlformats.org/officeDocument/2006/relationships/hyperlink" Target="https://www.google.com/url?q=http://codeforces.com/contest/611/problem/E&amp;sa=D&amp;ust=1605639551577000&amp;usg=AFQjCNGYIGzeacPczXGzgQSZxO7JKqjfKA" TargetMode="External"/><Relationship Id="rId1605" Type="http://schemas.openxmlformats.org/officeDocument/2006/relationships/hyperlink" Target="https://www.google.com/url?q=http://codeforces.com/contest/672/problem/D&amp;sa=D&amp;ust=1605639552504000&amp;usg=AFQjCNFhlzsKqad5Hp0yvpx58ZpJ0KCP2Q" TargetMode="External"/><Relationship Id="rId1812" Type="http://schemas.openxmlformats.org/officeDocument/2006/relationships/hyperlink" Target="https://www.google.com/url?q=https://uva.onlinejudge.org/index.php?option%3Donlinejudge%26page%3Dshow_problem%26problem%3D1309&amp;sa=D&amp;ust=1605639552619000&amp;usg=AFQjCNEhqofE4aODvz76wzb0BkuQDUlZmg" TargetMode="External"/><Relationship Id="rId3777" Type="http://schemas.openxmlformats.org/officeDocument/2006/relationships/hyperlink" Target="https://www.google.com/url?q=https://codeforces.com/contest/808/problem/G&amp;sa=D&amp;ust=1605639553846000&amp;usg=AFQjCNG6_FYihJcFXEioOjdx5bCAFAIkGg" TargetMode="External"/><Relationship Id="rId3984" Type="http://schemas.openxmlformats.org/officeDocument/2006/relationships/hyperlink" Target="https://www.google.com/url?q=http://codeforces.com/problemset/problem/371/E&amp;sa=D&amp;ust=1605639553965000&amp;usg=AFQjCNElisQ8XXLNTmnNJAf6-oE6iZl2nQ" TargetMode="External"/><Relationship Id="rId698" Type="http://schemas.openxmlformats.org/officeDocument/2006/relationships/hyperlink" Target="https://www.google.com/url?q=https://codeforces.com/contest/1197/problem/E&amp;sa=D&amp;ust=1605639551964000&amp;usg=AFQjCNFTCnzJcS1gsNkUTuanj5lsFFlfJA" TargetMode="External"/><Relationship Id="rId2379" Type="http://schemas.openxmlformats.org/officeDocument/2006/relationships/hyperlink" Target="https://www.google.com/url?q=http://codeforces.com/contest/363/problem/D&amp;sa=D&amp;ust=1605639552957000&amp;usg=AFQjCNEwY20TZE8DLfxb1a91tAhCRkCY2A" TargetMode="External"/><Relationship Id="rId2586" Type="http://schemas.openxmlformats.org/officeDocument/2006/relationships/hyperlink" Target="https://www.google.com/url?q=http://codeforces.com/contest/378/problem/C&amp;sa=D&amp;ust=1605639553079000&amp;usg=AFQjCNG0O6LL6iEgZ6eDkj_168NXPDjO8g" TargetMode="External"/><Relationship Id="rId2793" Type="http://schemas.openxmlformats.org/officeDocument/2006/relationships/hyperlink" Target="https://www.google.com/url?q=http://codeforces.com/gym/101606/problem/K&amp;sa=D&amp;ust=1605639553207000&amp;usg=AFQjCNFaZ6ZkZgsgdzlSf5uNh2cGEiofVA" TargetMode="External"/><Relationship Id="rId3637" Type="http://schemas.openxmlformats.org/officeDocument/2006/relationships/hyperlink" Target="https://www.google.com/url?q=https://www.probabilitycourse.com/&amp;sa=D&amp;ust=1605639553752000&amp;usg=AFQjCNFp-f85RcpnjHBzRw6mhRc5dNfnIQ" TargetMode="External"/><Relationship Id="rId3844" Type="http://schemas.openxmlformats.org/officeDocument/2006/relationships/hyperlink" Target="https://www.google.com/url?q=https://github.com/HosamEissa/Competitive-programming-/blob/master/UVA/11576.cpp&amp;sa=D&amp;ust=1605639553890000&amp;usg=AFQjCNHeUc8ERULBT4Mfe1OWRuUbTvaE3w" TargetMode="External"/><Relationship Id="rId558" Type="http://schemas.openxmlformats.org/officeDocument/2006/relationships/hyperlink" Target="https://www.google.com/url?q=http://codeforces.com/problemset/problem/514/D&amp;sa=D&amp;ust=1605639551910000&amp;usg=AFQjCNFIXCVrX5vIY8kru7gRIkQJsrP7_A" TargetMode="External"/><Relationship Id="rId765" Type="http://schemas.openxmlformats.org/officeDocument/2006/relationships/hyperlink" Target="https://www.google.com/url?q=https://github.com/AliOsm/CompetitiveProgramming/blob/master/SPOJ/GSS1%2520-%2520Can%2520you%2520answer%2520these%2520queries%2520I.cpp&amp;sa=D&amp;ust=1605639551995000&amp;usg=AFQjCNEYHy2sgNAGmrSeXdx3rurOqSHQlQ" TargetMode="External"/><Relationship Id="rId972" Type="http://schemas.openxmlformats.org/officeDocument/2006/relationships/hyperlink" Target="https://www.google.com/url?q=https://github.com/tmwilliamlin168/CompetitiveProgramming/blob/master/CodeChef/COINDENO.cpp&amp;sa=D&amp;ust=1605639552111000&amp;usg=AFQjCNEWVOjq0mH38IrO2v4wdIRGqm3mBA" TargetMode="External"/><Relationship Id="rId1188" Type="http://schemas.openxmlformats.org/officeDocument/2006/relationships/hyperlink" Target="https://www.google.com/url?q=https://codeforces.com/contest/1102/problem/F&amp;sa=D&amp;ust=1605639552233000&amp;usg=AFQjCNEqrcHnfscavFoteBzZAhub4ZZXqw" TargetMode="External"/><Relationship Id="rId1395" Type="http://schemas.openxmlformats.org/officeDocument/2006/relationships/hyperlink" Target="https://www.google.com/url?q=http://codeforces.com/contest/991/problem/E&amp;sa=D&amp;ust=1605639552375000&amp;usg=AFQjCNEpygB0b-yqkClX7MuZPJ88n885NA" TargetMode="External"/><Relationship Id="rId2239" Type="http://schemas.openxmlformats.org/officeDocument/2006/relationships/hyperlink" Target="https://www.google.com/url?q=http://codeforces.com/contest/1000/problem/C&amp;sa=D&amp;ust=1605639552891000&amp;usg=AFQjCNFDItgPZMGHcsR3Vom2jy9KtTYIYw" TargetMode="External"/><Relationship Id="rId2446" Type="http://schemas.openxmlformats.org/officeDocument/2006/relationships/hyperlink" Target="https://www.google.com/url?q=https://codeforces.com/contest/1105/problem/D&amp;sa=D&amp;ust=1605639552994000&amp;usg=AFQjCNEOmAdGNK-00_sc3FMknm95MH0-Rw" TargetMode="External"/><Relationship Id="rId2653" Type="http://schemas.openxmlformats.org/officeDocument/2006/relationships/hyperlink" Target="https://www.google.com/url?q=https://github.com/AbdelrahmanRamadan/competitive-programming/blob/master/Topcoder/SRM368%2520Jumping%2520Board.cpp&amp;sa=D&amp;ust=1605639553123000&amp;usg=AFQjCNEWr5r7o4Rk9EgK9lZXri4JacICVA" TargetMode="External"/><Relationship Id="rId2860" Type="http://schemas.openxmlformats.org/officeDocument/2006/relationships/hyperlink" Target="https://www.google.com/url?q=https://github.com/mostafa-saad/MyCompetitiveProgramming/blob/master/LiveArchive/LIVEARCHIVE_2937.txt&amp;sa=D&amp;ust=1605639553241000&amp;usg=AFQjCNGAJX3vcOhHkPTjXJ1DIHRSilAGqQ" TargetMode="External"/><Relationship Id="rId3704" Type="http://schemas.openxmlformats.org/officeDocument/2006/relationships/hyperlink" Target="https://www.google.com/url?q=https://github.com/Andres-Unt/problem_solving/blob/master/TopCoder/SRM467-D1-500.cpp&amp;sa=D&amp;ust=1605639553799000&amp;usg=AFQjCNESefWCufTGA8vRmR9EBe6SDrRQbg" TargetMode="External"/><Relationship Id="rId418" Type="http://schemas.openxmlformats.org/officeDocument/2006/relationships/hyperlink" Target="https://www.google.com/url?q=http://codeforces.com/contest/350/problem/D&amp;sa=D&amp;ust=1605639551850000&amp;usg=AFQjCNGJvF4IAkuekPdOJn2Q5f3gpini4w" TargetMode="External"/><Relationship Id="rId625" Type="http://schemas.openxmlformats.org/officeDocument/2006/relationships/hyperlink" Target="https://www.google.com/url?q=http://codeforces.com/contest/438/problem/D&amp;sa=D&amp;ust=1605639551934000&amp;usg=AFQjCNHIlTAtAh5TQnxTW2AFkvY2l5xm3g" TargetMode="External"/><Relationship Id="rId832" Type="http://schemas.openxmlformats.org/officeDocument/2006/relationships/hyperlink" Target="https://www.google.com/url?q=https://github.com/mostafa-saad/MyCompetitiveProgramming/blob/master/SPOJ/SPOJ_INCDSEQ.txt&amp;sa=D&amp;ust=1605639552031000&amp;usg=AFQjCNF1SZJJmDHR9xWFF0uoK37n8uLF9w" TargetMode="External"/><Relationship Id="rId1048" Type="http://schemas.openxmlformats.org/officeDocument/2006/relationships/hyperlink" Target="https://www.google.com/url?q=https://github.com/Huvok/CompetitiveProgramming/blob/master/Codeforces/CF1079-D2-E.cpp&amp;sa=D&amp;ust=1605639552148000&amp;usg=AFQjCNEQoDnBN2uCiYB3bmE9ZuV_5ozZBA" TargetMode="External"/><Relationship Id="rId1255" Type="http://schemas.openxmlformats.org/officeDocument/2006/relationships/hyperlink" Target="https://www.google.com/url?q=https://onlinejudge.org/index.php?option%3Donlinejudge%26Itemid%3D8%26page%3Dshow_problem%26problem%3D3665&amp;sa=D&amp;ust=1605639552293000&amp;usg=AFQjCNEDexI1Ms6I0725uCMG7kGIFiHsHg" TargetMode="External"/><Relationship Id="rId1462" Type="http://schemas.openxmlformats.org/officeDocument/2006/relationships/hyperlink" Target="https://www.google.com/url?q=http://codeforces.com/gym/101726/problem/B&amp;sa=D&amp;ust=1605639552423000&amp;usg=AFQjCNEVKkB8Q9HW2pHLhq6FqsGuKcd3Wg" TargetMode="External"/><Relationship Id="rId2306" Type="http://schemas.openxmlformats.org/officeDocument/2006/relationships/hyperlink" Target="https://www.google.com/url?q=https://github.com/stefdasca/CompetitiveProgramming/blob/master/TopCoder/SRM460-D2-1000.cpp&amp;sa=D&amp;ust=1605639552932000&amp;usg=AFQjCNHmq_kwOmsHSsfUeEGizoPptXR1zQ" TargetMode="External"/><Relationship Id="rId2513" Type="http://schemas.openxmlformats.org/officeDocument/2006/relationships/hyperlink" Target="https://www.google.com/url?q=https://codeforces.com/blog/entry/68138&amp;sa=D&amp;ust=1605639553039000&amp;usg=AFQjCNH9bBkxKX30AGAHdy_TA6Hsxv-PEg" TargetMode="External"/><Relationship Id="rId3911" Type="http://schemas.openxmlformats.org/officeDocument/2006/relationships/hyperlink" Target="https://www.google.com/url?q=https://gitlab.com/mrfathin/UVa/blob/master/volume129/12942%2520-%2520Sub-expression%2520Counting.cpp&amp;sa=D&amp;ust=1605639553924000&amp;usg=AFQjCNGluMKj6tG7wjNrhs5T-P2BQI42rw" TargetMode="External"/><Relationship Id="rId1115" Type="http://schemas.openxmlformats.org/officeDocument/2006/relationships/hyperlink" Target="https://www.google.com/url?q=https://arc087.contest.atcoder.jp/tasks/arc087_b&amp;sa=D&amp;ust=1605639552190000&amp;usg=AFQjCNErOgfKm29KuO6DFCQHcrFqBRxwRQ" TargetMode="External"/><Relationship Id="rId1322" Type="http://schemas.openxmlformats.org/officeDocument/2006/relationships/hyperlink" Target="https://www.google.com/url?q=https://github.com/SaraElkadi/competitive-programming-/blob/master/UVA/11284.cpp&amp;sa=D&amp;ust=1605639552327000&amp;usg=AFQjCNFiX8IPBWSl0GMRPAicFfS8HZZ1JA" TargetMode="External"/><Relationship Id="rId2720" Type="http://schemas.openxmlformats.org/officeDocument/2006/relationships/hyperlink" Target="https://www.google.com/url?q=http://codeforces.com/contest/278/problem/C&amp;sa=D&amp;ust=1605639553156000&amp;usg=AFQjCNHWCHLBz2rfFIO4AxPeioCo-idjqQ" TargetMode="External"/><Relationship Id="rId3287" Type="http://schemas.openxmlformats.org/officeDocument/2006/relationships/hyperlink" Target="https://www.google.com/url?q=https://uva.onlinejudge.org/index.php?option%3Dcom_onlinejudge%26Itemid%3D8%26page%3Dshow_problem%26problem%3D322&amp;sa=D&amp;ust=1605639553474000&amp;usg=AFQjCNGk7NJSYAg2NshQmKXhQ1Pa3o3Raw" TargetMode="External"/><Relationship Id="rId4338" Type="http://schemas.openxmlformats.org/officeDocument/2006/relationships/hyperlink" Target="https://www.google.com/url?q=https://github.com/HeartBlue/CompetitiveProgramming/blob/master/HACKR/HACKR%2520alien-languages.cpp&amp;sa=D&amp;ust=1605639554300000&amp;usg=AFQjCNFaOiYO41Vn2E9efPj85wTNSz7YVQ" TargetMode="External"/><Relationship Id="rId2096" Type="http://schemas.openxmlformats.org/officeDocument/2006/relationships/hyperlink" Target="https://www.google.com/url?q=https://uva.onlinejudge.org/index.php?option%3Dcom_onlinejudge%26Itemid%3D8%26page%3Dshow_problem%26problem%3D807&amp;sa=D&amp;ust=1605639552802000&amp;usg=AFQjCNGXJWekN9GxzT89pEKn_zKCXaCfsQ" TargetMode="External"/><Relationship Id="rId3494" Type="http://schemas.openxmlformats.org/officeDocument/2006/relationships/hyperlink" Target="https://www.google.com/url?q=https://uva.onlinejudge.org/index.php?option%3Dcom_onlinejudge%26Itemid%3D8%26page%3Dshow_problem%26problem%3D524&amp;sa=D&amp;ust=1605639553615000&amp;usg=AFQjCNHV50rXg9qHjqieM_GD1Ys2BOStPA" TargetMode="External"/><Relationship Id="rId3147" Type="http://schemas.openxmlformats.org/officeDocument/2006/relationships/hyperlink" Target="https://www.google.com/url?q=https://codeforces.com/contest/1186/problem/E&amp;sa=D&amp;ust=1605639553405000&amp;usg=AFQjCNEmtOu3dnLioNWMPZhzUt8M51bU0w" TargetMode="External"/><Relationship Id="rId3354" Type="http://schemas.openxmlformats.org/officeDocument/2006/relationships/hyperlink" Target="https://www.google.com/url?q=http://codeforces.com/contest/984/problem/C&amp;sa=D&amp;ust=1605639553521000&amp;usg=AFQjCNERM-5EwuflDfpLSMKxb1zTNO877Q" TargetMode="External"/><Relationship Id="rId3561" Type="http://schemas.openxmlformats.org/officeDocument/2006/relationships/hyperlink" Target="https://www.google.com/url?q=http://codeforces.com/contest/621/problem/E&amp;sa=D&amp;ust=1605639553701000&amp;usg=AFQjCNGdcJAD89l-BeyIIbRVsmJsyYCNeA" TargetMode="External"/><Relationship Id="rId4405" Type="http://schemas.openxmlformats.org/officeDocument/2006/relationships/hyperlink" Target="https://www.google.com/url?q=https://github.com/mostafa-saad/MyCompetitiveProgramming/blob/master/UVA/UVA_10859.txt&amp;sa=D&amp;ust=1605639554332000&amp;usg=AFQjCNE_y54CrUJX3YFbSQUcIEpbRVlK3A" TargetMode="External"/><Relationship Id="rId275" Type="http://schemas.openxmlformats.org/officeDocument/2006/relationships/hyperlink" Target="https://www.google.com/url?q=http://codeforces.com/contest/182/problem/C&amp;sa=D&amp;ust=1605639551747000&amp;usg=AFQjCNHvMTB_ta1t33K3YDA09WIafYjiVw" TargetMode="External"/><Relationship Id="rId482" Type="http://schemas.openxmlformats.org/officeDocument/2006/relationships/hyperlink" Target="https://www.google.com/url?q=https://github.com/VAMPIER000001/CompetitiveProgramming/blob/226e94ab8fa69f40d7ac989589a98dbc148a4468/Spoj/SPOJ%2520ICPCS.Cpp&amp;sa=D&amp;ust=1605639551878000&amp;usg=AFQjCNEwQmlkemvcQBYWAgc-p0u8Rjpy7w" TargetMode="External"/><Relationship Id="rId2163" Type="http://schemas.openxmlformats.org/officeDocument/2006/relationships/hyperlink" Target="https://www.google.com/url?q=https://uva.onlinejudge.org/index.php?option%3Dcom_onlinejudge%26Itemid%3D8%26page%3Dshow_problem%26problem%3D529&amp;sa=D&amp;ust=1605639552846000&amp;usg=AFQjCNHUCtqhswcT8U1Y3ow-G5Rk6iW2IQ" TargetMode="External"/><Relationship Id="rId2370" Type="http://schemas.openxmlformats.org/officeDocument/2006/relationships/hyperlink" Target="https://www.google.com/url?q=https://codeforces.com/gym/102001/problem/G&amp;sa=D&amp;ust=1605639552955000&amp;usg=AFQjCNEe0hU0XJiFsoNs1d98sIBjPylNjA" TargetMode="External"/><Relationship Id="rId3007" Type="http://schemas.openxmlformats.org/officeDocument/2006/relationships/hyperlink" Target="https://www.google.com/url?q=https://github.com/HeartBlue/CompetitiveProgramming/blob/master/LightOJ/LightOJ%25201407%2520Explosion.cpp&amp;sa=D&amp;ust=1605639553323000&amp;usg=AFQjCNETyEDyI1YnZAJWbJrVkLuuc5pxHw" TargetMode="External"/><Relationship Id="rId3214" Type="http://schemas.openxmlformats.org/officeDocument/2006/relationships/hyperlink" Target="https://www.google.com/url?q=http://codeforces.com/contest/45/problem/D&amp;sa=D&amp;ust=1605639553433000&amp;usg=AFQjCNH0ZAVaqDINMvPJSuxfbUCS88zuoQ" TargetMode="External"/><Relationship Id="rId3421" Type="http://schemas.openxmlformats.org/officeDocument/2006/relationships/hyperlink" Target="https://www.google.com/url?q=https://www.hackerrank.com/challenges/ajourney&amp;sa=D&amp;ust=1605639553565000&amp;usg=AFQjCNEmB1NtTU-UVa8jY0lMFuBSrLWeAg" TargetMode="External"/><Relationship Id="rId135" Type="http://schemas.openxmlformats.org/officeDocument/2006/relationships/hyperlink" Target="https://www.google.com/url?q=http://codeforces.com/contest/466/problem/C&amp;sa=D&amp;ust=1605639551633000&amp;usg=AFQjCNHYZkgSGf205d3wAEfWHWBKwMS8LQ" TargetMode="External"/><Relationship Id="rId342" Type="http://schemas.openxmlformats.org/officeDocument/2006/relationships/hyperlink" Target="https://www.google.com/url?q=http://codeforces.com/contest/675/problem/D&amp;sa=D&amp;ust=1605639551777000&amp;usg=AFQjCNEvcv_s3P59vaLtpEJ5I0MxhdFaQw" TargetMode="External"/><Relationship Id="rId2023" Type="http://schemas.openxmlformats.org/officeDocument/2006/relationships/hyperlink" Target="https://www.google.com/url?q=https://github.com/AbdelrahmanRamadan/competitive-programming/blob/master/Timus/1405-goat-in-the-garden-5.cpp&amp;sa=D&amp;ust=1605639552748000&amp;usg=AFQjCNGNn-Q4nBhA2tIrmdyp53CT57iVog" TargetMode="External"/><Relationship Id="rId2230" Type="http://schemas.openxmlformats.org/officeDocument/2006/relationships/hyperlink" Target="https://www.google.com/url?q=https://codeforces.com/contest/1278/problem/D&amp;sa=D&amp;ust=1605639552886000&amp;usg=AFQjCNFauCXnhR-groTQC-w3CZ1jtuTN6w" TargetMode="External"/><Relationship Id="rId202" Type="http://schemas.openxmlformats.org/officeDocument/2006/relationships/hyperlink" Target="https://www.google.com/url?q=https://www.codechef.com/SNCK1A19/problems/AVGMAT&amp;sa=D&amp;ust=1605639551680000&amp;usg=AFQjCNGaht_XG14gBm-QJojiF2_zfVe4yQ" TargetMode="External"/><Relationship Id="rId4195" Type="http://schemas.openxmlformats.org/officeDocument/2006/relationships/hyperlink" Target="https://www.google.com/url?q=http://codeforces.com/contest/454/problem/C&amp;sa=D&amp;ust=1605639554239000&amp;usg=AFQjCNGcaC7yEi_XiSOzFJfzoKIjaD6SLg" TargetMode="External"/><Relationship Id="rId1789" Type="http://schemas.openxmlformats.org/officeDocument/2006/relationships/hyperlink" Target="https://www.google.com/url?q=http://codeforces.com/contest/136/problem/E&amp;sa=D&amp;ust=1605639552608000&amp;usg=AFQjCNEzcIHuYPJXdoGBsmE8bFynUzs5gQ" TargetMode="External"/><Relationship Id="rId1996" Type="http://schemas.openxmlformats.org/officeDocument/2006/relationships/hyperlink" Target="https://www.google.com/url?q=https://github.com/MeGaCrazy/CompetitiveProgramming/blob/master/UVA/UVA_815.cpp&amp;sa=D&amp;ust=1605639552731000&amp;usg=AFQjCNF4tmPZFTWtDu7W70NyBx_-qtROQg" TargetMode="External"/><Relationship Id="rId4055" Type="http://schemas.openxmlformats.org/officeDocument/2006/relationships/hyperlink" Target="https://www.google.com/url?q=http://codeforces.com/problemset/problem/834/D&amp;sa=D&amp;ust=1605639554152000&amp;usg=AFQjCNFdsjP_krH4L34CAORhMthY44U6yw" TargetMode="External"/><Relationship Id="rId4262" Type="http://schemas.openxmlformats.org/officeDocument/2006/relationships/hyperlink" Target="https://www.google.com/url?q=https://open.kattis.com/problems/thief&amp;sa=D&amp;ust=1605639554270000&amp;usg=AFQjCNGGg4zgywW3ccMtYKp05ZuRrkVR-A" TargetMode="External"/><Relationship Id="rId1649" Type="http://schemas.openxmlformats.org/officeDocument/2006/relationships/hyperlink" Target="https://www.google.com/url?q=https://github.com/yazanKabbany/CompetitiveProgramming/blob/master/UVA/UVA%252012325.cpp&amp;sa=D&amp;ust=1605639552528000&amp;usg=AFQjCNEAQRE9d0Q3YK-aX-K1kiWnaY3yZg" TargetMode="External"/><Relationship Id="rId1856" Type="http://schemas.openxmlformats.org/officeDocument/2006/relationships/hyperlink" Target="https://www.google.com/url?q=https://github.com/mostafa-saad/MyCompetitiveProgramming/blob/master/UVA/UVA_11840.txt&amp;sa=D&amp;ust=1605639552642000&amp;usg=AFQjCNFZP6nTPsholhq6QeTxhAQBev3pzQ" TargetMode="External"/><Relationship Id="rId2907" Type="http://schemas.openxmlformats.org/officeDocument/2006/relationships/hyperlink" Target="https://www.google.com/url?q=https://codeforces.com/contest/1288/problem/F&amp;sa=D&amp;ust=1605639553268000&amp;usg=AFQjCNGFAWpajbup3F5J7mH3C5xtak-v-Q" TargetMode="External"/><Relationship Id="rId3071" Type="http://schemas.openxmlformats.org/officeDocument/2006/relationships/hyperlink" Target="https://www.google.com/url?q=https://github.com/SpeedOfMagic/CompetitiveProgramming/blob/master/CodeforcesGym/CF100091-GYM-D.cpp&amp;sa=D&amp;ust=1605639553358000&amp;usg=AFQjCNEvR1oQ28GPt8Xpm-c26wtQ0xZX6Q" TargetMode="External"/><Relationship Id="rId1509" Type="http://schemas.openxmlformats.org/officeDocument/2006/relationships/hyperlink" Target="https://www.google.com/url?q=https://github.com/yazanKabbany/CompetitiveProgramming/blob/master/UVA/UVA%252012245.cpp&amp;sa=D&amp;ust=1605639552451000&amp;usg=AFQjCNGBGXueHLNTQ5ActU9FzjVQp5uACQ" TargetMode="External"/><Relationship Id="rId1716" Type="http://schemas.openxmlformats.org/officeDocument/2006/relationships/hyperlink" Target="https://www.google.com/url?q=https://www.codechef.com/problems/KSUM&amp;sa=D&amp;ust=1605639552568000&amp;usg=AFQjCNEKsrNmAXkvjTcU3dYbxIMn7YIdOg" TargetMode="External"/><Relationship Id="rId1923" Type="http://schemas.openxmlformats.org/officeDocument/2006/relationships/hyperlink" Target="https://www.google.com/url?q=https://codeforces.com/contest/703/problem/C&amp;sa=D&amp;ust=1605639552692000&amp;usg=AFQjCNGJN0wu71SUAbURWjtLCpZH4ANeHQ" TargetMode="External"/><Relationship Id="rId4122" Type="http://schemas.openxmlformats.org/officeDocument/2006/relationships/hyperlink" Target="https://www.google.com/url?q=https://github.com/osamahatem/CompetitiveProgramming/blob/master/UVA/1222%2520-%2520Bribing%2520FIPA.cpp&amp;sa=D&amp;ust=1605639554190000&amp;usg=AFQjCNH1Tyd7Rg4mCj-lmqMTpJqjJfQX4A" TargetMode="External"/><Relationship Id="rId3888" Type="http://schemas.openxmlformats.org/officeDocument/2006/relationships/hyperlink" Target="https://www.google.com/url?q=http://acm.hdu.edu.cn/showproblem.php?pid%3D5145&amp;sa=D&amp;ust=1605639553913000&amp;usg=AFQjCNGBdJ714_oYfhiE2kNSat3rk7SSFQ" TargetMode="External"/><Relationship Id="rId2697" Type="http://schemas.openxmlformats.org/officeDocument/2006/relationships/hyperlink" Target="https://www.google.com/url?q=http://codeforces.com/contest/1012/problem/B&amp;sa=D&amp;ust=1605639553146000&amp;usg=AFQjCNExk2xLO2NNnHPdlQBT4M8jcrtsVw" TargetMode="External"/><Relationship Id="rId3748" Type="http://schemas.openxmlformats.org/officeDocument/2006/relationships/hyperlink" Target="https://www.google.com/url?q=https://www.hackerrank.com/challenges/xor-key/problem&amp;sa=D&amp;ust=1605639553829000&amp;usg=AFQjCNEzHlS4mTYvKWv-TzVLudeW7gOX_w" TargetMode="External"/><Relationship Id="rId669" Type="http://schemas.openxmlformats.org/officeDocument/2006/relationships/hyperlink" Target="https://www.google.com/url?q=https://csacademy.com/contest/round-41/task/candles/&amp;sa=D&amp;ust=1605639551950000&amp;usg=AFQjCNHkSxGZtUyydOfmYTp1tv-oJQ_BOA" TargetMode="External"/><Relationship Id="rId876" Type="http://schemas.openxmlformats.org/officeDocument/2006/relationships/hyperlink" Target="https://www.google.com/url?q=https://github.com/magdy-hasan/competitive-programming/blob/99949526fddbb0857a233c02342293b21e5f242d/uva-/uva%25201513%2520-%2520Movie%2520collection.cpp&amp;sa=D&amp;ust=1605639552055000&amp;usg=AFQjCNHBelPQeJEbrIlWfwUuTi_FKfE3uQ" TargetMode="External"/><Relationship Id="rId1299" Type="http://schemas.openxmlformats.org/officeDocument/2006/relationships/hyperlink" Target="https://www.google.com/url?q=http://codeforces.com/contest/342/problem/D&amp;sa=D&amp;ust=1605639552316000&amp;usg=AFQjCNH5B1THlUopdT9NgcqbuidaONQeQg" TargetMode="External"/><Relationship Id="rId2557" Type="http://schemas.openxmlformats.org/officeDocument/2006/relationships/hyperlink" Target="https://www.google.com/url?q=http://codeforces.com/contest/596/problem/E&amp;sa=D&amp;ust=1605639553063000&amp;usg=AFQjCNGf_CzMJLxJhDThAKHlXyvDkSUcBg" TargetMode="External"/><Relationship Id="rId3608" Type="http://schemas.openxmlformats.org/officeDocument/2006/relationships/hyperlink" Target="https://www.google.com/url?q=http://codeforces.com/contest/26/problem/D&amp;sa=D&amp;ust=1605639553739000&amp;usg=AFQjCNFc_5duifc_Whb2BSbX84X0Me2rmg" TargetMode="External"/><Relationship Id="rId3955" Type="http://schemas.openxmlformats.org/officeDocument/2006/relationships/hyperlink" Target="https://www.google.com/url?q=http://codeforces.com/contest/435/problem/C&amp;sa=D&amp;ust=1605639553946000&amp;usg=AFQjCNG2pvVIbvA0m92u-U_2MAdTA9OCfw" TargetMode="External"/><Relationship Id="rId529" Type="http://schemas.openxmlformats.org/officeDocument/2006/relationships/hyperlink" Target="https://www.google.com/url?q=https://www.codechef.com/MARCH19A/problems/MATPER/&amp;sa=D&amp;ust=1605639551898000&amp;usg=AFQjCNEGXunqdcfsMyZG3FlJ6X43qC4NOA" TargetMode="External"/><Relationship Id="rId736" Type="http://schemas.openxmlformats.org/officeDocument/2006/relationships/hyperlink" Target="https://www.google.com/url?q=https://atcoder.jp/contests/abc127/tasks/abc127_f&amp;sa=D&amp;ust=1605639551980000&amp;usg=AFQjCNGVSDVfab8_z9OPNq-FW0d4EssyFQ" TargetMode="External"/><Relationship Id="rId1159" Type="http://schemas.openxmlformats.org/officeDocument/2006/relationships/hyperlink" Target="https://www.google.com/url?q=http://codeforces.com/contest/270/problem/D&amp;sa=D&amp;ust=1605639552218000&amp;usg=AFQjCNHvhOnIn00lyj-UzrvjILhZV9gthQ" TargetMode="External"/><Relationship Id="rId1366" Type="http://schemas.openxmlformats.org/officeDocument/2006/relationships/hyperlink" Target="https://www.google.com/url?q=https://codeforces.com/contest/1172/problem/C2&amp;sa=D&amp;ust=1605639552356000&amp;usg=AFQjCNHqAaOw8aPKUPuYypBYRK3p_9H56Q" TargetMode="External"/><Relationship Id="rId2417" Type="http://schemas.openxmlformats.org/officeDocument/2006/relationships/hyperlink" Target="https://www.google.com/url?q=http://acm.timus.ru/problem.aspx?space%3D1%26num%3D2034&amp;sa=D&amp;ust=1605639552979000&amp;usg=AFQjCNEbG2MAVSU-dpruJSdJEff7ru4Ndg" TargetMode="External"/><Relationship Id="rId2764" Type="http://schemas.openxmlformats.org/officeDocument/2006/relationships/hyperlink" Target="https://www.google.com/url?q=http://codeforces.com/contest/296/problem/D&amp;sa=D&amp;ust=1605639553186000&amp;usg=AFQjCNEA_H7h3fT6cvf8jElGVhajuEmCjA" TargetMode="External"/><Relationship Id="rId2971" Type="http://schemas.openxmlformats.org/officeDocument/2006/relationships/hyperlink" Target="https://www.google.com/url?q=https://www.geeksforgeeks.org/total-number-spanning-trees-graph/&amp;sa=D&amp;ust=1605639553301000&amp;usg=AFQjCNEdVi_bds8o2U6oW23RaIWkYdG-sw" TargetMode="External"/><Relationship Id="rId3815" Type="http://schemas.openxmlformats.org/officeDocument/2006/relationships/hyperlink" Target="https://www.google.com/url?q=https://codeforces.com/blog/entry/15532&amp;sa=D&amp;ust=1605639553874000&amp;usg=AFQjCNHBckABaUPVNdHJd3kF8rkeWSQGUg" TargetMode="External"/><Relationship Id="rId943" Type="http://schemas.openxmlformats.org/officeDocument/2006/relationships/hyperlink" Target="https://www.google.com/url?q=https://www.codechef.com/OCT18A/problems/BBRICKS&amp;sa=D&amp;ust=1605639552096000&amp;usg=AFQjCNEO9hiGogzEu2J5OLJtUE0ZERAqbA" TargetMode="External"/><Relationship Id="rId1019" Type="http://schemas.openxmlformats.org/officeDocument/2006/relationships/hyperlink" Target="https://www.google.com/url?q=https://codeforces.com/contest/486/problem/E&amp;sa=D&amp;ust=1605639552134000&amp;usg=AFQjCNGa3yC3J6O3EVv82r6fFwDchrSKhA" TargetMode="External"/><Relationship Id="rId1573" Type="http://schemas.openxmlformats.org/officeDocument/2006/relationships/hyperlink" Target="https://www.google.com/url?q=http://codeforces.com/contest/550/problem/E&amp;sa=D&amp;ust=1605639552485000&amp;usg=AFQjCNGoD2RbXdLcDE0Sk4gNXhNVIlCDAQ" TargetMode="External"/><Relationship Id="rId1780" Type="http://schemas.openxmlformats.org/officeDocument/2006/relationships/hyperlink" Target="https://www.google.com/url?q=https://www.hackerrank.com/challenges/the-white-lotus-and-caterpillar-game&amp;sa=D&amp;ust=1605639552603000&amp;usg=AFQjCNFCHrGeztZPGTqSz3rM2uvWeHKBCQ" TargetMode="External"/><Relationship Id="rId2624" Type="http://schemas.openxmlformats.org/officeDocument/2006/relationships/hyperlink" Target="https://www.google.com/url?q=https://ideone.com/x8zpRc&amp;sa=D&amp;ust=1605639553108000&amp;usg=AFQjCNHzzqOmWJtmS21BHUtDXJ5LLeXA6w" TargetMode="External"/><Relationship Id="rId2831" Type="http://schemas.openxmlformats.org/officeDocument/2006/relationships/hyperlink" Target="https://www.google.com/url?q=https://www.spoj.com/problems/ADACITY/&amp;sa=D&amp;ust=1605639553227000&amp;usg=AFQjCNGUH-2UPziqewnjhjX22A_RoIl05Q" TargetMode="External"/><Relationship Id="rId72" Type="http://schemas.openxmlformats.org/officeDocument/2006/relationships/hyperlink" Target="https://www.google.com/url?q=https://codeforces.com/contest/1214/problem/E&amp;sa=D&amp;ust=1605639551595000&amp;usg=AFQjCNHE_sw-uo1HXIZgQjHACxOcq3rk9g" TargetMode="External"/><Relationship Id="rId803" Type="http://schemas.openxmlformats.org/officeDocument/2006/relationships/hyperlink" Target="https://www.google.com/url?q=http://www.spoj.com/problems/MULTQ3/&amp;sa=D&amp;ust=1605639552015000&amp;usg=AFQjCNFpIq_YgyGVxhbmaKEf9YBLYXaSsA" TargetMode="External"/><Relationship Id="rId1226" Type="http://schemas.openxmlformats.org/officeDocument/2006/relationships/hyperlink" Target="https://www.google.com/url?q=https://github.com/mostafa-saad/MyCompetitiveProgramming/blob/master/UVA/UVA_11755.txt&amp;sa=D&amp;ust=1605639552267000&amp;usg=AFQjCNGKgi9h4gsKiPbR7NZIvh5hrkNs5w" TargetMode="External"/><Relationship Id="rId1433" Type="http://schemas.openxmlformats.org/officeDocument/2006/relationships/hyperlink" Target="https://www.google.com/url?q=https://apps.topcoder.com/wiki/display/tc/SRM%2B614&amp;sa=D&amp;ust=1605639552405000&amp;usg=AFQjCNHRwmuAdrYTyJ8ANRQH6BmsHVyslQ" TargetMode="External"/><Relationship Id="rId1640" Type="http://schemas.openxmlformats.org/officeDocument/2006/relationships/hyperlink" Target="https://www.google.com/url?q=http://codeforces.com/problemset/gymProblem/101149/G&amp;sa=D&amp;ust=1605639552524000&amp;usg=AFQjCNGNk33wzu3rhDpfhxY2tWpVJ2DJ9g" TargetMode="External"/><Relationship Id="rId1500" Type="http://schemas.openxmlformats.org/officeDocument/2006/relationships/hyperlink" Target="https://www.google.com/url?q=http://codeforces.com/contest/508/problem/E&amp;sa=D&amp;ust=1605639552445000&amp;usg=AFQjCNGyDoOYBXu08JD1WT6u0AlWJ0O-Tg" TargetMode="External"/><Relationship Id="rId3398" Type="http://schemas.openxmlformats.org/officeDocument/2006/relationships/hyperlink" Target="https://www.google.com/url?q=http://codeforces.com/contest/633/problem/E&amp;sa=D&amp;ust=1605639553551000&amp;usg=AFQjCNE7i300dZMYSl36RkOEydxjrv0GOg" TargetMode="External"/><Relationship Id="rId4449" Type="http://schemas.openxmlformats.org/officeDocument/2006/relationships/hyperlink" Target="https://www.google.com/url?q=https://www.codechef.com/problems/HAMILG&amp;sa=D&amp;ust=1605639554349000&amp;usg=AFQjCNFetzReQCJ6X0o7JR9bzc_jjoCGVQ" TargetMode="External"/><Relationship Id="rId3258" Type="http://schemas.openxmlformats.org/officeDocument/2006/relationships/hyperlink" Target="https://www.google.com/url?q=https://uva.onlinejudge.org/index.php?option%3Dcom_onlinejudge%26Itemid%3D8%26page%3Dshow_problem%26problem%3D49&amp;sa=D&amp;ust=1605639553459000&amp;usg=AFQjCNGCwQMsAS3I-1dvxy8hg7pPNdbgcQ" TargetMode="External"/><Relationship Id="rId3465" Type="http://schemas.openxmlformats.org/officeDocument/2006/relationships/hyperlink" Target="https://www.google.com/url?q=https://codeforces.com/gym/102299/problem/F&amp;sa=D&amp;ust=1605639553595000&amp;usg=AFQjCNHb3tZPX7SDGkM-ooIPv1bUC7IePQ" TargetMode="External"/><Relationship Id="rId3672" Type="http://schemas.openxmlformats.org/officeDocument/2006/relationships/hyperlink" Target="https://www.google.com/url?q=https://github.com/mostafa-saad/MyCompetitiveProgramming/blob/master/LightOJ/LightOJ_1306.txt&amp;sa=D&amp;ust=1605639553782000&amp;usg=AFQjCNEmDDIh6-A52z69t4u7vXIzz20AAQ" TargetMode="External"/><Relationship Id="rId4309" Type="http://schemas.openxmlformats.org/officeDocument/2006/relationships/hyperlink" Target="https://www.google.com/url?q=https://codeforces.com/gym/101470/attachments&amp;sa=D&amp;ust=1605639554288000&amp;usg=AFQjCNHCkLMZRcLgynDopgTkyjxfgNUciA" TargetMode="External"/><Relationship Id="rId179" Type="http://schemas.openxmlformats.org/officeDocument/2006/relationships/hyperlink" Target="https://www.google.com/url?q=https://csacademy.com/contest/archive/task/escaping-courses/&amp;sa=D&amp;ust=1605639551664000&amp;usg=AFQjCNHb3m7wbtgNHzYz-90DXrtL2PC5XA" TargetMode="External"/><Relationship Id="rId386" Type="http://schemas.openxmlformats.org/officeDocument/2006/relationships/hyperlink" Target="https://www.google.com/url?q=http://codeforces.com/contest/415/problem/E&amp;sa=D&amp;ust=1605639551823000&amp;usg=AFQjCNHVFHbZ1H3hOD5v2ppvt8wrLZdjLQ" TargetMode="External"/><Relationship Id="rId593" Type="http://schemas.openxmlformats.org/officeDocument/2006/relationships/hyperlink" Target="https://www.google.com/url?q=http://codeforces.com/contest/453/problem/E&amp;sa=D&amp;ust=1605639551924000&amp;usg=AFQjCNE3fE8VEkA24a9XM8dobRJbgzze9A" TargetMode="External"/><Relationship Id="rId2067" Type="http://schemas.openxmlformats.org/officeDocument/2006/relationships/hyperlink" Target="https://www.google.com/url?q=https://uva.onlinejudge.org/index.php?option%3Dcom_onlinejudge%26Itemid%3D8%26page%3Dshow_problem%26problem%3D418&amp;sa=D&amp;ust=1605639552781000&amp;usg=AFQjCNHdGtpyk1qfoBc-J5LWlnWceNYCIQ" TargetMode="External"/><Relationship Id="rId2274" Type="http://schemas.openxmlformats.org/officeDocument/2006/relationships/hyperlink" Target="https://www.google.com/url?q=https://github.com/swapnil119/CompetitiveProgramming/blob/master/CompetitiveProgramming/Codeforces/CF101669-GYM-L.cpp&amp;sa=D&amp;ust=1605639552914000&amp;usg=AFQjCNF9Fky_23n5pbg_VR680XIZ655fOQ" TargetMode="External"/><Relationship Id="rId2481" Type="http://schemas.openxmlformats.org/officeDocument/2006/relationships/hyperlink" Target="https://www.google.com/url?q=http://codeforces.com/contest/330/problem/D&amp;sa=D&amp;ust=1605639553019000&amp;usg=AFQjCNFl4fy7QlKSE34In20RIX0VmyR-tw" TargetMode="External"/><Relationship Id="rId3118" Type="http://schemas.openxmlformats.org/officeDocument/2006/relationships/hyperlink" Target="https://www.google.com/url?q=https://codeforces.com/contest/758/problem/F&amp;sa=D&amp;ust=1605639553386000&amp;usg=AFQjCNHjAVBtsl9qa2riRP0TGyPVEgZrTQ" TargetMode="External"/><Relationship Id="rId3325" Type="http://schemas.openxmlformats.org/officeDocument/2006/relationships/hyperlink" Target="https://www.google.com/url?q=http://codeforces.com/contest/902/problem/D&amp;sa=D&amp;ust=1605639553503000&amp;usg=AFQjCNENyAL-tGFV5NMzrCf7S_2-Bi6YMg" TargetMode="External"/><Relationship Id="rId3532" Type="http://schemas.openxmlformats.org/officeDocument/2006/relationships/hyperlink" Target="https://www.google.com/url?q=https://uva.onlinejudge.org/index.php?option%3Donlinejudge%26page%3Dshow_problem%26problem%3D1243&amp;sa=D&amp;ust=1605639553650000&amp;usg=AFQjCNGp40RoRhIEWp7OZPmhXspgjq7MXQ" TargetMode="External"/><Relationship Id="rId246" Type="http://schemas.openxmlformats.org/officeDocument/2006/relationships/hyperlink" Target="https://www.google.com/url?q=http://codeforces.com/contest/443/problem/C&amp;sa=D&amp;ust=1605639551712000&amp;usg=AFQjCNHtGaJoGujXVtkTRlmovEmKDgosBA" TargetMode="External"/><Relationship Id="rId453" Type="http://schemas.openxmlformats.org/officeDocument/2006/relationships/hyperlink" Target="https://www.google.com/url?q=https://codeforces.com/contest/1260/problem/D&amp;sa=D&amp;ust=1605639551864000&amp;usg=AFQjCNG_8dGq4axhnH2vlYyYzwNtOIm1PQ" TargetMode="External"/><Relationship Id="rId660" Type="http://schemas.openxmlformats.org/officeDocument/2006/relationships/hyperlink" Target="https://www.google.com/url?q=http://codeforces.com/contest/833/problem/B&amp;sa=D&amp;ust=1605639551946000&amp;usg=AFQjCNGhS9xpuDClZSeotJ4UCJv8f_WiqQ" TargetMode="External"/><Relationship Id="rId1083" Type="http://schemas.openxmlformats.org/officeDocument/2006/relationships/hyperlink" Target="https://www.google.com/url?q=https://codeforces.com/gym/102021/attachments&amp;sa=D&amp;ust=1605639552169000&amp;usg=AFQjCNH0fSrWYXQ2XA7iFxJhdzCTx10sAQ" TargetMode="External"/><Relationship Id="rId1290" Type="http://schemas.openxmlformats.org/officeDocument/2006/relationships/hyperlink" Target="https://www.google.com/url?q=http://codeforces.com/contest/367/problem/D&amp;sa=D&amp;ust=1605639552310000&amp;usg=AFQjCNHXkum6KIyK3n4JrIhvCVOT1Ol43Q" TargetMode="External"/><Relationship Id="rId2134" Type="http://schemas.openxmlformats.org/officeDocument/2006/relationships/hyperlink" Target="https://www.google.com/url?q=https://github.com/mostafa-saad/MyCompetitiveProgramming/blob/master/UVA/UVA_10406.txt&amp;sa=D&amp;ust=1605639552829000&amp;usg=AFQjCNHYCry0YuTb5MeQJ5r71G2lCzu74w" TargetMode="External"/><Relationship Id="rId2341" Type="http://schemas.openxmlformats.org/officeDocument/2006/relationships/hyperlink" Target="https://www.google.com/url?q=https://github.com/Maverick10/Competitive-Programming/blob/master/Solutions/UVa/UVa%2520-%252012118.cpp&amp;sa=D&amp;ust=1605639552943000&amp;usg=AFQjCNGnN_8cVZF53Ahb8MqLk7ejfE8QPg" TargetMode="External"/><Relationship Id="rId106" Type="http://schemas.openxmlformats.org/officeDocument/2006/relationships/hyperlink" Target="https://www.google.com/url?q=http://codeforces.com/contest/189/problem/C&amp;sa=D&amp;ust=1605639551616000&amp;usg=AFQjCNFo3WT8l5lBYiL-5xzP1MqKNpC-Rg" TargetMode="External"/><Relationship Id="rId313" Type="http://schemas.openxmlformats.org/officeDocument/2006/relationships/hyperlink" Target="https://www.google.com/url?q=https://codeforces.com/contest/1208/problem/E&amp;sa=D&amp;ust=1605639551763000&amp;usg=AFQjCNEo7CAP8WHVEKQNZtjL40Jt2p3qTw" TargetMode="External"/><Relationship Id="rId1150" Type="http://schemas.openxmlformats.org/officeDocument/2006/relationships/hyperlink" Target="https://www.google.com/url?q=http://codeforces.com/contest/811/problem/C&amp;sa=D&amp;ust=1605639552208000&amp;usg=AFQjCNHI_nZaP7WQX6CY1bXXQ_fi2qtsiQ" TargetMode="External"/><Relationship Id="rId4099" Type="http://schemas.openxmlformats.org/officeDocument/2006/relationships/hyperlink" Target="https://www.google.com/url?q=https://apps.topcoder.com/wiki/display/tc/SRM%2B532&amp;sa=D&amp;ust=1605639554174000&amp;usg=AFQjCNH_W5JZRa0xlw8TIJE7TB8Er31X4A" TargetMode="External"/><Relationship Id="rId520" Type="http://schemas.openxmlformats.org/officeDocument/2006/relationships/hyperlink" Target="https://www.google.com/url?q=https://github.com/tmwilliamlin168/CompetitiveProgramming/blob/master/CodeChef/XORSORT2.cpp&amp;sa=D&amp;ust=1605639551896000&amp;usg=AFQjCNHqNhV5qxnAS5DXnHuRqtKk_NujMQ" TargetMode="External"/><Relationship Id="rId2201" Type="http://schemas.openxmlformats.org/officeDocument/2006/relationships/hyperlink" Target="https://www.google.com/url?q=https://github.com/MedoN11/CompetitiveProgramming/blob/master/TJU/1011.cpp&amp;sa=D&amp;ust=1605639552871000&amp;usg=AFQjCNGY-3tEUg7q0Cx0Q_ytARyZYUSYog" TargetMode="External"/><Relationship Id="rId1010" Type="http://schemas.openxmlformats.org/officeDocument/2006/relationships/hyperlink" Target="https://www.google.com/url?q=https://github.com/fiv2001/CompetitiveProgramming/blob/master/Atcoder/Atcoder-caddi2018-C&amp;sa=D&amp;ust=1605639552130000&amp;usg=AFQjCNEI06m_iUdmkzobeEdoQG9nbtrydw" TargetMode="External"/><Relationship Id="rId1967" Type="http://schemas.openxmlformats.org/officeDocument/2006/relationships/hyperlink" Target="https://www.google.com/url?q=http://codeforces.com/contest/1058/problem/D&amp;sa=D&amp;ust=1605639552715000&amp;usg=AFQjCNEIOlJ-RKBM1gz4apVNMcVybfP4Eg" TargetMode="External"/><Relationship Id="rId4166" Type="http://schemas.openxmlformats.org/officeDocument/2006/relationships/hyperlink" Target="https://www.google.com/url?q=https://codeforces.com/contest/1194/problem/F&amp;sa=D&amp;ust=1605639554215000&amp;usg=AFQjCNGChJJ9SJA8vQ-uBnl9PTgDlgZNGQ" TargetMode="External"/><Relationship Id="rId4373" Type="http://schemas.openxmlformats.org/officeDocument/2006/relationships/hyperlink" Target="https://www.google.com/url?q=http://codeforces.com/contest/868/problem/E&amp;sa=D&amp;ust=1605639554314000&amp;usg=AFQjCNF3nBQ7bxns4FoUMfLEMdC4ok9yrQ" TargetMode="External"/><Relationship Id="rId4026" Type="http://schemas.openxmlformats.org/officeDocument/2006/relationships/hyperlink" Target="https://www.google.com/url?q=https://github.com/yazanKabbany/CompetitiveProgramming/blob/master/UVA/UVA%25201244.cpp&amp;sa=D&amp;ust=1605639554140000&amp;usg=AFQjCNE47q1G6rBoTw-C_KNI2MGfkTt4fw" TargetMode="External"/><Relationship Id="rId4440" Type="http://schemas.openxmlformats.org/officeDocument/2006/relationships/hyperlink" Target="https://www.google.com/url?q=https://codeforces.com/contest/1218/problem/D&amp;sa=D&amp;ust=1605639554346000&amp;usg=AFQjCNFeDyZsrtMLNO_yAex01vBbvYkswg" TargetMode="External"/><Relationship Id="rId3042" Type="http://schemas.openxmlformats.org/officeDocument/2006/relationships/hyperlink" Target="https://www.google.com/url?q=https://codeforces.com/contest/1220/problem/E&amp;sa=D&amp;ust=1605639553346000&amp;usg=AFQjCNFLK7PG73KuGBNJQV5n7XL5hyU8Pw" TargetMode="External"/><Relationship Id="rId3859" Type="http://schemas.openxmlformats.org/officeDocument/2006/relationships/hyperlink" Target="https://www.google.com/url?q=http://codeforces.com/contest/727/problem/E&amp;sa=D&amp;ust=1605639553895000&amp;usg=AFQjCNGTM0EnLZlvK99gzBOY6VXjE7kYZQ" TargetMode="External"/><Relationship Id="rId2875" Type="http://schemas.openxmlformats.org/officeDocument/2006/relationships/hyperlink" Target="https://www.google.com/url?q=https://codeforces.com/contest/1034/problem/B&amp;sa=D&amp;ust=1605639553250000&amp;usg=AFQjCNH4PceuLOr4OIZa2-fPz-ryZK7wYw" TargetMode="External"/><Relationship Id="rId3926" Type="http://schemas.openxmlformats.org/officeDocument/2006/relationships/hyperlink" Target="https://www.google.com/url?q=http://codeforces.com/contest/558/problem/D&amp;sa=D&amp;ust=1605639553931000&amp;usg=AFQjCNEPTv0rvjPlwLlh4RgmbnRXEW6j8A" TargetMode="External"/><Relationship Id="rId847" Type="http://schemas.openxmlformats.org/officeDocument/2006/relationships/hyperlink" Target="https://www.google.com/url?q=http://codeforces.com/contest/501/problem/D&amp;sa=D&amp;ust=1605639552038000&amp;usg=AFQjCNHWYifmg5vfWHxWj84TVugPgtR_AA" TargetMode="External"/><Relationship Id="rId1477" Type="http://schemas.openxmlformats.org/officeDocument/2006/relationships/hyperlink" Target="https://www.google.com/url?q=http://codeforces.com/gym/101620&amp;sa=D&amp;ust=1605639552430000&amp;usg=AFQjCNFjZI-OqclKJx1AejgCcueLXyPYsg" TargetMode="External"/><Relationship Id="rId1891" Type="http://schemas.openxmlformats.org/officeDocument/2006/relationships/hyperlink" Target="https://www.google.com/url?q=http://codeforces.com/contest/30/problem/D&amp;sa=D&amp;ust=1605639552661000&amp;usg=AFQjCNGX3xJRAaLQmvmfYOi33tCR7L3k0Q" TargetMode="External"/><Relationship Id="rId2528" Type="http://schemas.openxmlformats.org/officeDocument/2006/relationships/hyperlink" Target="https://www.google.com/url?q=http://codeforces.com/contest/190/problem/E&amp;sa=D&amp;ust=1605639553047000&amp;usg=AFQjCNHJs8-Tud7519_TzSZlDjIFF-UPoA" TargetMode="External"/><Relationship Id="rId2942" Type="http://schemas.openxmlformats.org/officeDocument/2006/relationships/hyperlink" Target="https://www.google.com/url?q=http://codeforces.com/problemset/problem/888/G&amp;sa=D&amp;ust=1605639553287000&amp;usg=AFQjCNF9zQE2vlbVsI6D31_67J6xKE4-Qw" TargetMode="External"/><Relationship Id="rId914" Type="http://schemas.openxmlformats.org/officeDocument/2006/relationships/hyperlink" Target="https://www.google.com/url?q=https://github.com/MetalBall887/Competitive-Programming/blob/master/AtCoder/AtCoder033-AGC-D.cpp&amp;sa=D&amp;ust=1605639552079000&amp;usg=AFQjCNG3oh-OErguQC_ceWv_1lqZ4I_H8A" TargetMode="External"/><Relationship Id="rId1544" Type="http://schemas.openxmlformats.org/officeDocument/2006/relationships/hyperlink" Target="https://www.google.com/url?q=http://codeforces.com/contest/799/problem/E&amp;sa=D&amp;ust=1605639552471000&amp;usg=AFQjCNHlVYQU6TrEiGpvyWFufp6HEfXbGQ" TargetMode="External"/><Relationship Id="rId1611" Type="http://schemas.openxmlformats.org/officeDocument/2006/relationships/hyperlink" Target="https://www.google.com/url?q=http://codeforces.com/contest/897/problem/D&amp;sa=D&amp;ust=1605639552507000&amp;usg=AFQjCNHGvxsxepx9c3cTFgj-zwYFpWJORw" TargetMode="External"/><Relationship Id="rId3369" Type="http://schemas.openxmlformats.org/officeDocument/2006/relationships/hyperlink" Target="https://www.google.com/url?q=http://codeforces.com/contest/201/problem/B&amp;sa=D&amp;ust=1605639553531000&amp;usg=AFQjCNGRVF7NuQX8yEywmACgjTuY96MqEA" TargetMode="External"/><Relationship Id="rId2385" Type="http://schemas.openxmlformats.org/officeDocument/2006/relationships/hyperlink" Target="https://www.google.com/url?q=https://uva.onlinejudge.org/index.php?option%3Dcom_onlinejudge%26Itemid%3D8%26page%3Dshow_problem%26problem%3D556&amp;sa=D&amp;ust=1605639552962000&amp;usg=AFQjCNEw-GwVYnTqhafaXdHCb9OsSBv7fQ" TargetMode="External"/><Relationship Id="rId3783" Type="http://schemas.openxmlformats.org/officeDocument/2006/relationships/hyperlink" Target="https://www.google.com/url?q=https://github.com/SpeedOfMagic/CompetitiveProgramming/blob/master/FbHkrCup/FbHkrCup%252018-Ethan-Searches-for-a-String.cpp&amp;sa=D&amp;ust=1605639553849000&amp;usg=AFQjCNFVV1rP94iIh01vqqtaVDQ-j7zggg" TargetMode="External"/><Relationship Id="rId357" Type="http://schemas.openxmlformats.org/officeDocument/2006/relationships/hyperlink" Target="https://www.google.com/url?q=http://codeforces.com/contest/272/problem/C&amp;sa=D&amp;ust=1605639551795000&amp;usg=AFQjCNGsWpJnY2oZDgJEGXtENsZVe6tHIg" TargetMode="External"/><Relationship Id="rId2038" Type="http://schemas.openxmlformats.org/officeDocument/2006/relationships/hyperlink" Target="https://www.google.com/url?q=http://codeforces.com/contest/671/problem/A&amp;sa=D&amp;ust=1605639552760000&amp;usg=AFQjCNEbZnOUA_hhbbt7My4WY--LkMZm_w" TargetMode="External"/><Relationship Id="rId3436" Type="http://schemas.openxmlformats.org/officeDocument/2006/relationships/hyperlink" Target="https://www.google.com/url?q=https://github.com/MohamedNabil97/CompetitiveProgramming/blob/master/Hackerrank/super-humble-matrix.cpp&amp;sa=D&amp;ust=1605639553574000&amp;usg=AFQjCNGuuzogrnCGNXP2KiuqlwuMQuObXg" TargetMode="External"/><Relationship Id="rId3850" Type="http://schemas.openxmlformats.org/officeDocument/2006/relationships/hyperlink" Target="https://www.google.com/url?q=https://github.com/zoooma13/Competitive-Programming/blob/master/D.%2520Math%2520Candies.cpp&amp;sa=D&amp;ust=1605639553892000&amp;usg=AFQjCNF0hM8U8ZWOi5sSszJmPfV8y_zqTg" TargetMode="External"/><Relationship Id="rId771" Type="http://schemas.openxmlformats.org/officeDocument/2006/relationships/hyperlink" Target="https://www.google.com/url?q=http://codeforces.com/contest/474/problem/F&amp;sa=D&amp;ust=1605639551998000&amp;usg=AFQjCNHpzuxyMOF45W4YAVd-w8FIQiWW9Q" TargetMode="External"/><Relationship Id="rId2452" Type="http://schemas.openxmlformats.org/officeDocument/2006/relationships/hyperlink" Target="https://www.google.com/url?q=http://www.spoj.com/problems/MLASERP/&amp;sa=D&amp;ust=1605639552997000&amp;usg=AFQjCNG18wcvA26Nw5uCTVA8aei3xAu7hQ" TargetMode="External"/><Relationship Id="rId3503" Type="http://schemas.openxmlformats.org/officeDocument/2006/relationships/hyperlink" Target="https://www.google.com/url?q=http://codeforces.com/contest/1036/problem/F&amp;sa=D&amp;ust=1605639553629000&amp;usg=AFQjCNH6rfU-xhvvwNp_IBK5TSud6SRVCA" TargetMode="External"/><Relationship Id="rId424" Type="http://schemas.openxmlformats.org/officeDocument/2006/relationships/hyperlink" Target="https://www.google.com/url?q=https://codeforces.com/contest/1132/problem/D&amp;sa=D&amp;ust=1605639551852000&amp;usg=AFQjCNHdS0mWGqt5TKLpQZSpK-F5AF2Sjg" TargetMode="External"/><Relationship Id="rId1054" Type="http://schemas.openxmlformats.org/officeDocument/2006/relationships/hyperlink" Target="https://www.google.com/url?q=https://github.com/omaryasser/Competitive-Programming/blob/master/Live%2520Archive%2520Solutions/6761%2520-%2520Super%2520Ants.cpp&amp;sa=D&amp;ust=1605639552150000&amp;usg=AFQjCNGSBOnhGiHJPW--S_lW_9P0_sVxMg" TargetMode="External"/><Relationship Id="rId2105" Type="http://schemas.openxmlformats.org/officeDocument/2006/relationships/hyperlink" Target="https://www.google.com/url?q=https://uva.onlinejudge.org/index.php?option%3Dcom_onlinejudge%26Itemid%3D8%26page%3Dshow_problem%26problem%3D314&amp;sa=D&amp;ust=1605639552807000&amp;usg=AFQjCNGh9OzQdj1gr5PNfi09bMDY6-rfmA" TargetMode="External"/><Relationship Id="rId1121" Type="http://schemas.openxmlformats.org/officeDocument/2006/relationships/hyperlink" Target="https://www.google.com/url?q=https://github.com/AhmedElsisy/CompetitiveProgramming/blob/master/SPOJ/SPOJ%2520NUMTSN.cpp&amp;sa=D&amp;ust=1605639552192000&amp;usg=AFQjCNFY4jLB8qwG7kvWESv0rT5qMI4oXQ" TargetMode="External"/><Relationship Id="rId4277" Type="http://schemas.openxmlformats.org/officeDocument/2006/relationships/hyperlink" Target="https://www.google.com/url?q=https://github.com/quangloc99/CompetitiveProgramming/blob/master/Livearchive/5133.cpp&amp;sa=D&amp;ust=1605639554275000&amp;usg=AFQjCNGLH3Mn3ee8mA4F_ToXIS3zTSsb_w" TargetMode="External"/><Relationship Id="rId3293" Type="http://schemas.openxmlformats.org/officeDocument/2006/relationships/hyperlink" Target="https://www.google.com/url?q=https://github.com/Diusrex/UVA-Solutions/blob/master/10469%2520To%2520Carry%2520or%2520not%2520to%2520Carry.cpp&amp;sa=D&amp;ust=1605639553478000&amp;usg=AFQjCNFaVRL9Xlf4T9L61hLLOmEMPG7_0A" TargetMode="External"/><Relationship Id="rId4344" Type="http://schemas.openxmlformats.org/officeDocument/2006/relationships/hyperlink" Target="https://www.google.com/url?q=https://icpcarchive.ecs.baylor.edu/index.php?option%3Dcom_onlinejudge%26Itemid%3D8%26category%3D635%26page%3Dshow_problem%26problem%3D4997&amp;sa=D&amp;ust=1605639554302000&amp;usg=AFQjCNF-4lYb7JJgBhaBoLEOr4p1ePgUTQ" TargetMode="External"/><Relationship Id="rId1938" Type="http://schemas.openxmlformats.org/officeDocument/2006/relationships/hyperlink" Target="https://www.google.com/url?q=https://github.com/goswami-rahul/competitive-coding/blob/master/CompetitiveProgramming/spoj/WRONG.cpp&amp;sa=D&amp;ust=1605639552703000&amp;usg=AFQjCNE2vhBPM7A4Ru7PhZClDJEwpAXCGQ" TargetMode="External"/><Relationship Id="rId3360" Type="http://schemas.openxmlformats.org/officeDocument/2006/relationships/hyperlink" Target="https://www.google.com/url?q=http://codeforces.com/blog/entry/22712&amp;sa=D&amp;ust=1605639553527000&amp;usg=AFQjCNFNOH2TR8-yiyKKpQyKShZkPR39fQ" TargetMode="External"/><Relationship Id="rId281" Type="http://schemas.openxmlformats.org/officeDocument/2006/relationships/hyperlink" Target="https://www.google.com/url?q=https://ideone.com/EJxa2E&amp;sa=D&amp;ust=1605639551749000&amp;usg=AFQjCNHNxvTCLfUp4X-2M-EUuIrw-ekwDg" TargetMode="External"/><Relationship Id="rId3013" Type="http://schemas.openxmlformats.org/officeDocument/2006/relationships/hyperlink" Target="https://www.google.com/url?q=http://codeforces.com/contest/469/problem/D&amp;sa=D&amp;ust=1605639553327000&amp;usg=AFQjCNHsaaGU-1pPZDtqz01lGR_wIA2phg" TargetMode="External"/><Relationship Id="rId4411" Type="http://schemas.openxmlformats.org/officeDocument/2006/relationships/hyperlink" Target="https://www.google.com/url?q=https://github.com/adarshkr532/CompetitiveProgramming/blob/master/LiveArchive/6631.cpp&amp;sa=D&amp;ust=1605639554334000&amp;usg=AFQjCNFUrRr4Ny-37lfMqUjllRJYWIoHJg" TargetMode="External"/><Relationship Id="rId2779" Type="http://schemas.openxmlformats.org/officeDocument/2006/relationships/hyperlink" Target="https://www.google.com/url?q=https://drive.google.com/file/d/0B8jkfQFfgLYXMzIzOWU3ZWItNzRmYy00NmNjLTgyZjktM2Y3NjdlMWQzMTA2/view?ddrp%3D1%26hl%3Den&amp;sa=D&amp;ust=1605639553195000&amp;usg=AFQjCNFBq5DfTO3uMsonKZ-gOmzLhge8Zg" TargetMode="External"/><Relationship Id="rId1795" Type="http://schemas.openxmlformats.org/officeDocument/2006/relationships/hyperlink" Target="https://www.google.com/url?q=http://codeforces.com/contest/936/problem/B&amp;sa=D&amp;ust=1605639552611000&amp;usg=AFQjCNGMexZlGt2LAZqyd7jwb9PZ1Ycnmg" TargetMode="External"/><Relationship Id="rId2846" Type="http://schemas.openxmlformats.org/officeDocument/2006/relationships/hyperlink" Target="https://www.google.com/url?q=https://github.com/BRAINOOOO/CompetitiveProgramming/blob/682cdb2f527d2ab262a9f616687b53a158b281a4/Spoj/SPOJ%2520POTHOLE.Cpp&amp;sa=D&amp;ust=1605639553234000&amp;usg=AFQjCNFLlVUgBu-VrOoe_qfHHIghAY6W8w" TargetMode="External"/><Relationship Id="rId87" Type="http://schemas.openxmlformats.org/officeDocument/2006/relationships/hyperlink" Target="https://www.google.com/url?q=http://codeforces.com/contest/309/problem/C&amp;sa=D&amp;ust=1605639551603000&amp;usg=AFQjCNHj7yXcLpjjyRH_SCofDK1hPOWD4g" TargetMode="External"/><Relationship Id="rId818" Type="http://schemas.openxmlformats.org/officeDocument/2006/relationships/hyperlink" Target="https://www.google.com/url?q=https://github.com/Triplem5ds/Competitve-Programming/blob/master/Codeforces/CF516-D1-D.cpp&amp;sa=D&amp;ust=1605639552024000&amp;usg=AFQjCNGDaS-cdA3Hzg_eOybZRNAa6lOPhw" TargetMode="External"/><Relationship Id="rId1448" Type="http://schemas.openxmlformats.org/officeDocument/2006/relationships/hyperlink" Target="https://www.google.com/url?q=http://codeforces.com/contest/859/problem/D&amp;sa=D&amp;ust=1605639552414000&amp;usg=AFQjCNEGqpX61e3tJOuFFU1DshjszBuVUw" TargetMode="External"/><Relationship Id="rId1862" Type="http://schemas.openxmlformats.org/officeDocument/2006/relationships/hyperlink" Target="https://www.google.com/url?q=http://codeforces.com/contest/87/problem/C&amp;sa=D&amp;ust=1605639552645000&amp;usg=AFQjCNFuOhjwqv9pZqS01fCfwNvM0L_4Wg" TargetMode="External"/><Relationship Id="rId2913" Type="http://schemas.openxmlformats.org/officeDocument/2006/relationships/hyperlink" Target="https://www.google.com/url?q=http://www.spoj.com/problems/TOURS/&amp;sa=D&amp;ust=1605639553271000&amp;usg=AFQjCNFxD7bxAF40kPnS1Gc16tBZyRBASg" TargetMode="External"/><Relationship Id="rId1515" Type="http://schemas.openxmlformats.org/officeDocument/2006/relationships/hyperlink" Target="https://www.google.com/url?q=http://codeforces.com/contest/249/problem/B&amp;sa=D&amp;ust=1605639552456000&amp;usg=AFQjCNG7iEd_ikx91RP4-RQ9jM1rKoVLYw" TargetMode="External"/><Relationship Id="rId3687" Type="http://schemas.openxmlformats.org/officeDocument/2006/relationships/hyperlink" Target="https://www.google.com/url?q=http://codeforces.com/contest/17/problem/D&amp;sa=D&amp;ust=1605639553791000&amp;usg=AFQjCNFsQ9KXdW-GEKYnCqToCP27weGYSw" TargetMode="External"/><Relationship Id="rId2289" Type="http://schemas.openxmlformats.org/officeDocument/2006/relationships/hyperlink" Target="https://www.google.com/url?q=https://codeforces.com/contest/1168/problem/D&amp;sa=D&amp;ust=1605639552923000&amp;usg=AFQjCNG0YKPJoYl_uwvcP-EYKeyGehWaZA" TargetMode="External"/><Relationship Id="rId3754" Type="http://schemas.openxmlformats.org/officeDocument/2006/relationships/hyperlink" Target="https://www.google.com/url?q=http://codeforces.com/contest/455/problem/B&amp;sa=D&amp;ust=1605639553833000&amp;usg=AFQjCNHWSh1qBnRxUvxOl93nMDZ_Ca4YRA" TargetMode="External"/><Relationship Id="rId675" Type="http://schemas.openxmlformats.org/officeDocument/2006/relationships/hyperlink" Target="https://www.google.com/url?q=https://github.com/mostafa-saad/MyCompetitiveProgramming/blob/master/Codeforces/CF813-D12-E.txt&amp;sa=D&amp;ust=1605639551952000&amp;usg=AFQjCNG7zHwoPsXwFTyRwBoDnU8GogfwDw" TargetMode="External"/><Relationship Id="rId2356" Type="http://schemas.openxmlformats.org/officeDocument/2006/relationships/hyperlink" Target="https://www.google.com/url?q=http://codeforces.com/contest/233/problem/C&amp;sa=D&amp;ust=1605639552949000&amp;usg=AFQjCNHyejyxQEDiWVfxOyXwUrl1lx8hbw" TargetMode="External"/><Relationship Id="rId2770" Type="http://schemas.openxmlformats.org/officeDocument/2006/relationships/hyperlink" Target="https://www.google.com/url?q=https://github.com/ilyesG/Competitive-Programming/blob/master/UVA/UVA%2520534.cpp&amp;sa=D&amp;ust=1605639553190000&amp;usg=AFQjCNFQEmBLwt9NTc2Ytn1VW3bJrBVCgA" TargetMode="External"/><Relationship Id="rId3407" Type="http://schemas.openxmlformats.org/officeDocument/2006/relationships/hyperlink" Target="https://www.google.com/url?q=https://codeforces.com/contest/1284/problem/E&amp;sa=D&amp;ust=1605639553557000&amp;usg=AFQjCNHrpU60igDxjGH2y0m4hfZPtHvsqw" TargetMode="External"/><Relationship Id="rId3821" Type="http://schemas.openxmlformats.org/officeDocument/2006/relationships/hyperlink" Target="https://www.google.com/url?q=http://codeforces.com/contest/452/problem/E&amp;sa=D&amp;ust=1605639553879000&amp;usg=AFQjCNGGhKOBobqmQzX54Pgyos9LmLURDQ" TargetMode="External"/><Relationship Id="rId328" Type="http://schemas.openxmlformats.org/officeDocument/2006/relationships/hyperlink" Target="https://www.google.com/url?q=https://codeforces.com/contest/817/problem/D&amp;sa=D&amp;ust=1605639551771000&amp;usg=AFQjCNEwj3eoAMODKi7ULKBQXvYf6vJ53Q" TargetMode="External"/><Relationship Id="rId742" Type="http://schemas.openxmlformats.org/officeDocument/2006/relationships/hyperlink" Target="https://www.google.com/url?q=https://codeforces.com/gym/102154/problem/B&amp;sa=D&amp;ust=1605639551983000&amp;usg=AFQjCNErxxFX3w8NPWQlj5iHqqHQZRhBTA" TargetMode="External"/><Relationship Id="rId1372" Type="http://schemas.openxmlformats.org/officeDocument/2006/relationships/hyperlink" Target="https://www.google.com/url?q=https://codeforces.com/contest/1185/problem/G2&amp;sa=D&amp;ust=1605639552359000&amp;usg=AFQjCNFvPANRrZVIXiflfrnkdDThUXgJFA" TargetMode="External"/><Relationship Id="rId2009" Type="http://schemas.openxmlformats.org/officeDocument/2006/relationships/hyperlink" Target="https://www.google.com/url?q=https://uva.onlinejudge.org/index.php?option%3Donlinejudge%26page%3Dshow_problem%26problem%3D137&amp;sa=D&amp;ust=1605639552739000&amp;usg=AFQjCNGBm-BBrNnpfyYMIQxpPZhZaDXRDg" TargetMode="External"/><Relationship Id="rId2423" Type="http://schemas.openxmlformats.org/officeDocument/2006/relationships/hyperlink" Target="https://www.google.com/url?q=http://codeforces.com/contest/1037/problem/E&amp;sa=D&amp;ust=1605639552980000&amp;usg=AFQjCNGn2tMStJ5pax7H44Vfg9q7RdRhXg" TargetMode="External"/><Relationship Id="rId1025" Type="http://schemas.openxmlformats.org/officeDocument/2006/relationships/hyperlink" Target="https://www.google.com/url?q=https://codeforces.com/contest/1260/problem/E&amp;sa=D&amp;ust=1605639552137000&amp;usg=AFQjCNGAWQbeE8V1SE68OGJqoqQ3DylFhg" TargetMode="External"/><Relationship Id="rId3197" Type="http://schemas.openxmlformats.org/officeDocument/2006/relationships/hyperlink" Target="https://www.google.com/url?q=http://codeforces.com/contest/701/problem/D&amp;sa=D&amp;ust=1605639553426000&amp;usg=AFQjCNEegBYpR7rC7c8X-jj2wvvGK8J4XQ" TargetMode="External"/><Relationship Id="rId4248" Type="http://schemas.openxmlformats.org/officeDocument/2006/relationships/hyperlink" Target="https://www.google.com/url?q=https://github.com/SpeedOfMagic/CompetitiveProgramming/blob/master/CodeforcesGym/CF101840-GYM-E.cpp&amp;sa=D&amp;ust=1605639554263000&amp;usg=AFQjCNH6gXUZbIe7WDRcrzaWdhh9PLy4XA" TargetMode="External"/><Relationship Id="rId185" Type="http://schemas.openxmlformats.org/officeDocument/2006/relationships/hyperlink" Target="https://www.google.com/url?q=http://codeforces.com/contest/835/problem/E&amp;sa=D&amp;ust=1605639551667000&amp;usg=AFQjCNFhQ0ZxN97OHYZcmt0zzCE6wnJ7VQ" TargetMode="External"/><Relationship Id="rId1909" Type="http://schemas.openxmlformats.org/officeDocument/2006/relationships/hyperlink" Target="https://www.google.com/url?q=http://www.cnblogs.com/jie-dcai/p/3871169.html&amp;sa=D&amp;ust=1605639552681000&amp;usg=AFQjCNH4rvjlBMVM7WvpiwMT4KdG8TQVqw" TargetMode="External"/><Relationship Id="rId3264" Type="http://schemas.openxmlformats.org/officeDocument/2006/relationships/hyperlink" Target="https://www.google.com/url?q=http://codeforces.com/contest/376/problem/C&amp;sa=D&amp;ust=1605639553462000&amp;usg=AFQjCNGw7qESTjRpuaPe-eJDqNhf1zUKVQ" TargetMode="External"/><Relationship Id="rId4315" Type="http://schemas.openxmlformats.org/officeDocument/2006/relationships/hyperlink" Target="https://www.google.com/url?q=http://codeforces.com/contest/342/problem/E&amp;sa=D&amp;ust=1605639554290000&amp;usg=AFQjCNFPVuwCFkqc2RwBFX-ivW9N8MovVQ" TargetMode="External"/><Relationship Id="rId2280" Type="http://schemas.openxmlformats.org/officeDocument/2006/relationships/hyperlink" Target="https://www.google.com/url?q=https://codingcompetitions.withgoogle.com/codejam/round/0000000000007707/000000000004ba29&amp;sa=D&amp;ust=1605639552918000&amp;usg=AFQjCNFoxhyGGOkql3APtlQDMhrAlBcRiA" TargetMode="External"/><Relationship Id="rId3331" Type="http://schemas.openxmlformats.org/officeDocument/2006/relationships/hyperlink" Target="https://www.google.com/url?q=https://github.com/Huvok/CompetitiveProgramming/blob/master/TIMUS/1286.cpp&amp;sa=D&amp;ust=1605639553505000&amp;usg=AFQjCNF95A788JnVzMEO_ryyBTYxRnUL-Q" TargetMode="External"/><Relationship Id="rId252" Type="http://schemas.openxmlformats.org/officeDocument/2006/relationships/hyperlink" Target="https://www.google.com/url?q=https://codeforces.com/gym/101609/problem/G&amp;sa=D&amp;ust=1605639551717000&amp;usg=AFQjCNGWln1Tz0HS6wnnqwRt05n_M-5Rkw" TargetMode="External"/><Relationship Id="rId1699" Type="http://schemas.openxmlformats.org/officeDocument/2006/relationships/hyperlink" Target="https://www.google.com/url?q=http://codeforces.com/contest/723/problem/C&amp;sa=D&amp;ust=1605639552558000&amp;usg=AFQjCNEXJWp6yqXEH221dCZsvGj35zeeWQ" TargetMode="External"/><Relationship Id="rId2000" Type="http://schemas.openxmlformats.org/officeDocument/2006/relationships/hyperlink" Target="https://www.google.com/url?q=https://github.com/mostafa-saad/MyCompetitiveProgramming/blob/master/UVA/UVA_11519.txt&amp;sa=D&amp;ust=1605639552735000&amp;usg=AFQjCNGM5Hn8wAaGWAjDLjDy5kWOF09F6w" TargetMode="External"/><Relationship Id="rId4172" Type="http://schemas.openxmlformats.org/officeDocument/2006/relationships/hyperlink" Target="https://www.google.com/url?q=https://csacademy.com/contest/round-47/task/expected-merge/&amp;sa=D&amp;ust=1605639554219000&amp;usg=AFQjCNESJyFxzKj8HXA6xNG91H5qhzdc8A" TargetMode="External"/><Relationship Id="rId1766" Type="http://schemas.openxmlformats.org/officeDocument/2006/relationships/hyperlink" Target="https://www.google.com/url?q=http://codeforces.com/contest/659/problem/C&amp;sa=D&amp;ust=1605639552596000&amp;usg=AFQjCNHmqwbWDD5bwuT2ENrlbDqnZjIGkw" TargetMode="External"/><Relationship Id="rId2817" Type="http://schemas.openxmlformats.org/officeDocument/2006/relationships/hyperlink" Target="https://www.google.com/url?q=https://github.com/achrafmam2/CompetitiveProgramming/blob/master/UVA/10779.cc&amp;sa=D&amp;ust=1605639553219000&amp;usg=AFQjCNFurfsAHrf7brt6llf8sjlx3EZo_w" TargetMode="External"/><Relationship Id="rId58" Type="http://schemas.openxmlformats.org/officeDocument/2006/relationships/hyperlink" Target="https://www.google.com/url?q=https://codeforces.com/contest/1117/problem/E&amp;sa=D&amp;ust=1605639551586000&amp;usg=AFQjCNERaq1PYKUuNeJiPGB-aWxYrz7VNA" TargetMode="External"/><Relationship Id="rId1419" Type="http://schemas.openxmlformats.org/officeDocument/2006/relationships/hyperlink" Target="https://www.google.com/url?q=https://codeforces.com/contest/1033/problem/C&amp;sa=D&amp;ust=1605639552394000&amp;usg=AFQjCNFJJydIfzTr9XkK4V-stcAMLpYQ4Q" TargetMode="External"/><Relationship Id="rId1833" Type="http://schemas.openxmlformats.org/officeDocument/2006/relationships/hyperlink" Target="https://www.google.com/url?q=https://www.codechef.com/problems/KNIGHT01&amp;sa=D&amp;ust=1605639552632000&amp;usg=AFQjCNGKiuaPMZkF8FEw-3CnB5VEqP3uIA" TargetMode="External"/><Relationship Id="rId1900" Type="http://schemas.openxmlformats.org/officeDocument/2006/relationships/hyperlink" Target="https://www.google.com/url?q=http://codeforces.com/contest/592/problem/E&amp;sa=D&amp;ust=1605639552672000&amp;usg=AFQjCNGmjYlUckZGi2mOm04m8uCcLN_3RQ" TargetMode="External"/><Relationship Id="rId3658" Type="http://schemas.openxmlformats.org/officeDocument/2006/relationships/hyperlink" Target="https://www.google.com/url?q=https://uva.onlinejudge.org/index.php?option%3Dcom_onlinejudge%26Itemid%3D8%26page%3Dshow_problem%26problem%3D3253&amp;sa=D&amp;ust=1605639553772000&amp;usg=AFQjCNETWTVCgkMb8QxCwaUp_5K5mPQlxg" TargetMode="External"/><Relationship Id="rId579" Type="http://schemas.openxmlformats.org/officeDocument/2006/relationships/hyperlink" Target="https://www.google.com/url?q=https://codeforces.com/contest/1172/problem/F&amp;sa=D&amp;ust=1605639551919000&amp;usg=AFQjCNHS5De0UwLNbZpMqiR_7lGC6ubrfw" TargetMode="External"/><Relationship Id="rId993" Type="http://schemas.openxmlformats.org/officeDocument/2006/relationships/hyperlink" Target="https://www.google.com/url?q=https://codeforces.com/contest/1068/problem/D&amp;sa=D&amp;ust=1605639552122000&amp;usg=AFQjCNEsJiggxtLYYYYpQqRdSWzNPhlqKQ" TargetMode="External"/><Relationship Id="rId2674" Type="http://schemas.openxmlformats.org/officeDocument/2006/relationships/hyperlink" Target="https://www.google.com/url?q=http://codeforces.com/contest/60/problem/D&amp;sa=D&amp;ust=1605639553135000&amp;usg=AFQjCNFrpt5wfSBORnzpGJUJ8lyCAjJCOg" TargetMode="External"/><Relationship Id="rId646" Type="http://schemas.openxmlformats.org/officeDocument/2006/relationships/hyperlink" Target="https://www.google.com/url?q=https://github.com/Huvok/CompetitiveProgramming/blob/master/Codeforces/CF787-D2-D.cpp&amp;sa=D&amp;ust=1605639551941000&amp;usg=AFQjCNHHhI3Cl-CTWh6ryberZ6GXmZKHXA" TargetMode="External"/><Relationship Id="rId1276" Type="http://schemas.openxmlformats.org/officeDocument/2006/relationships/hyperlink" Target="https://www.google.com/url?q=http://codeforces.com/contest/418/problem/B&amp;sa=D&amp;ust=1605639552303000&amp;usg=AFQjCNE4Y45nOReqCPf24jH3301ERCtmRQ" TargetMode="External"/><Relationship Id="rId2327" Type="http://schemas.openxmlformats.org/officeDocument/2006/relationships/hyperlink" Target="https://www.google.com/url?q=https://codeforces.com/contest/1092/problem/E&amp;sa=D&amp;ust=1605639552938000&amp;usg=AFQjCNHRb5LVgOFeGib4IIPcOARmv50xDg" TargetMode="External"/><Relationship Id="rId3725" Type="http://schemas.openxmlformats.org/officeDocument/2006/relationships/hyperlink" Target="https://www.google.com/url?q=https://codeforces.com/gym/101908/problem/A&amp;sa=D&amp;ust=1605639553814000&amp;usg=AFQjCNE19RLiJ7sR5gENpDDViJgk1jB_gg" TargetMode="External"/><Relationship Id="rId1690" Type="http://schemas.openxmlformats.org/officeDocument/2006/relationships/hyperlink" Target="https://www.google.com/url?q=https://github.com/ahmedsamir221/CompetitiveProgramming/blob/master/SPOJ/SPOJ%2520KAOS.cpp&amp;sa=D&amp;ust=1605639552555000&amp;usg=AFQjCNEhkEO59zEBCnLeN_iTfr79w1enfg" TargetMode="External"/><Relationship Id="rId2741" Type="http://schemas.openxmlformats.org/officeDocument/2006/relationships/hyperlink" Target="https://www.google.com/url?q=http://codeforces.com/contest/367/problem/C&amp;sa=D&amp;ust=1605639553169000&amp;usg=AFQjCNFbc_PhIZx8lTs8xL-46eHrrsD2Tg" TargetMode="External"/><Relationship Id="rId713" Type="http://schemas.openxmlformats.org/officeDocument/2006/relationships/hyperlink" Target="https://www.google.com/url?q=https://www.codechef.com/problems/KCOMPRES&amp;sa=D&amp;ust=1605639551970000&amp;usg=AFQjCNE_hwY70LGBJhqonOmlKm1y3F-JeA" TargetMode="External"/><Relationship Id="rId1343" Type="http://schemas.openxmlformats.org/officeDocument/2006/relationships/hyperlink" Target="https://www.google.com/url?q=https://github.com/HosamEissa/Competitive-programming-/blob/master/ACM-ICPC%2520Live%2520Archive/5856.cpp&amp;sa=D&amp;ust=1605639552342000&amp;usg=AFQjCNHVb4aB-QdKOq1odjLytxN9iCRPNQ" TargetMode="External"/><Relationship Id="rId1410" Type="http://schemas.openxmlformats.org/officeDocument/2006/relationships/hyperlink" Target="https://www.google.com/url?q=https://uva.onlinejudge.org/index.php?option%3Dcom_onlinejudge%26Itemid%3D8%26page%3Dshow_problem%26problem%3D1052&amp;sa=D&amp;ust=1605639552389000&amp;usg=AFQjCNEr-QxXfes4dX2HX9WfYDpzw18mIA" TargetMode="External"/><Relationship Id="rId3168" Type="http://schemas.openxmlformats.org/officeDocument/2006/relationships/hyperlink" Target="https://www.google.com/url?q=https://github.com/Andres-Unt/problem_solving/blob/master/TopCoder/SRM596-D2-1000.cpp&amp;sa=D&amp;ust=1605639553414000&amp;usg=AFQjCNH0ivovxYpY1ZAgjRrRwj19VTNzag" TargetMode="External"/><Relationship Id="rId3582" Type="http://schemas.openxmlformats.org/officeDocument/2006/relationships/hyperlink" Target="https://www.google.com/url?q=http://codeforces.com/contest/845/problem/G&amp;sa=D&amp;ust=1605639553716000&amp;usg=AFQjCNGGm-hDJgoX6UH471z201ZHikDr5g" TargetMode="External"/><Relationship Id="rId4219" Type="http://schemas.openxmlformats.org/officeDocument/2006/relationships/hyperlink" Target="https://www.google.com/url?q=https://github.com/Coder-Boy1/SPOJ/blob/master/SPOJ%2520GOT&amp;sa=D&amp;ust=1605639554251000&amp;usg=AFQjCNFdTdxBCUwbReYyqZsZPVW-4WSgnw" TargetMode="External"/><Relationship Id="rId2184" Type="http://schemas.openxmlformats.org/officeDocument/2006/relationships/hyperlink" Target="https://www.google.com/url?q=https://onlinejudge.org/index.php?option%3Donlinejudge%26Itemid%3D8%26category%3D242%26page%3Dshow_problem%26problem%3D3199&amp;sa=D&amp;ust=1605639552860000&amp;usg=AFQjCNFSWBrblhOyN7QyLULrSwhNpEf_mg" TargetMode="External"/><Relationship Id="rId3235" Type="http://schemas.openxmlformats.org/officeDocument/2006/relationships/hyperlink" Target="https://www.google.com/url?q=http://codeforces.com/gym/101102/problem/J&amp;sa=D&amp;ust=1605639553444000&amp;usg=AFQjCNETeN2rmTgwuZkTH9w44v7Yct6dXQ" TargetMode="External"/><Relationship Id="rId156" Type="http://schemas.openxmlformats.org/officeDocument/2006/relationships/hyperlink" Target="https://www.google.com/url?q=http://codeforces.com/contest/897/problem/B&amp;sa=D&amp;ust=1605639551644000&amp;usg=AFQjCNFFy9wve0QxusJWFTVZu2lcjkJ7Pg" TargetMode="External"/><Relationship Id="rId570" Type="http://schemas.openxmlformats.org/officeDocument/2006/relationships/hyperlink" Target="https://www.google.com/url?q=https://codeforces.com/problemset/problem/1083/D&amp;sa=D&amp;ust=1605639551914000&amp;usg=AFQjCNHjtBgF-HjtvSTKrs7a-MOTgyOb_A" TargetMode="External"/><Relationship Id="rId2251" Type="http://schemas.openxmlformats.org/officeDocument/2006/relationships/hyperlink" Target="https://www.google.com/url?q=http://codeforces.com/contest/65/problem/C&amp;sa=D&amp;ust=1605639552902000&amp;usg=AFQjCNEQ_pJV944KXhlHXTqTT4dq5xfbOg" TargetMode="External"/><Relationship Id="rId3302" Type="http://schemas.openxmlformats.org/officeDocument/2006/relationships/hyperlink" Target="https://www.google.com/url?q=http://codeforces.com/contest/554/problem/D&amp;sa=D&amp;ust=1605639553483000&amp;usg=AFQjCNHozq-VE_lb2LT_Cc5i3yijBjoUzQ" TargetMode="External"/><Relationship Id="rId223" Type="http://schemas.openxmlformats.org/officeDocument/2006/relationships/hyperlink" Target="https://www.google.com/url?q=http://codeforces.com/contest/58/problem/C&amp;sa=D&amp;ust=1605639551691000&amp;usg=AFQjCNEpsXu9G2Fm6NrW5zbEhIuCKcLpWA" TargetMode="External"/><Relationship Id="rId4076" Type="http://schemas.openxmlformats.org/officeDocument/2006/relationships/hyperlink" Target="https://www.google.com/url?q=http://codeforces.com/contest/401/problem/D&amp;sa=D&amp;ust=1605639554163000&amp;usg=AFQjCNHgpNfI6bIJaW8UzwD2ieOXFYiJtA" TargetMode="External"/><Relationship Id="rId1737" Type="http://schemas.openxmlformats.org/officeDocument/2006/relationships/hyperlink" Target="https://www.google.com/url?q=http://codeforces.com/contest/545/problem/D&amp;sa=D&amp;ust=1605639552579000&amp;usg=AFQjCNH5qWXag3FXl3ggR9otgxqHVFu_uw" TargetMode="External"/><Relationship Id="rId3092" Type="http://schemas.openxmlformats.org/officeDocument/2006/relationships/hyperlink" Target="https://www.google.com/url?q=http://codeforces.com/contest/832/problem/D&amp;sa=D&amp;ust=1605639553366000&amp;usg=AFQjCNHqWVqjcxlvquuOsmuQf9OQRGRIXA" TargetMode="External"/><Relationship Id="rId4143" Type="http://schemas.openxmlformats.org/officeDocument/2006/relationships/hyperlink" Target="https://www.google.com/url?q=https://www.codechef.com/problems/RIN&amp;sa=D&amp;ust=1605639554203000&amp;usg=AFQjCNHoX-3iKi6smJhCFejJErlFJtUtaA" TargetMode="External"/><Relationship Id="rId29" Type="http://schemas.openxmlformats.org/officeDocument/2006/relationships/hyperlink" Target="https://www.google.com/url?q=https://codeforces.com/blog/entry/58056?%23comment-417467&amp;sa=D&amp;ust=1605639551574000&amp;usg=AFQjCNE5fgUMUoLM3O1z38ZU1Td7yOzA6Q" TargetMode="External"/><Relationship Id="rId4210" Type="http://schemas.openxmlformats.org/officeDocument/2006/relationships/hyperlink" Target="https://www.google.com/url?q=https://github.com/swapnil119/CompetitiveProgramming/blob/master/CompetitiveProgramming/Codeforces/CF101908-GYM-H.cpp&amp;sa=D&amp;ust=1605639554246000&amp;usg=AFQjCNFE8p4boCtsrIXrMlooYsprsT3gvA" TargetMode="External"/><Relationship Id="rId1804" Type="http://schemas.openxmlformats.org/officeDocument/2006/relationships/hyperlink" Target="https://www.google.com/url?q=https://github.com/Mahmoud3ali/CompetitiveProgramming/blob/master/CodeForces/CF100090-GYM-H.cpp&amp;sa=D&amp;ust=1605639552616000&amp;usg=AFQjCNF5MYWZxcVdqMxWwooiT4hhtiKn5w" TargetMode="External"/><Relationship Id="rId3976" Type="http://schemas.openxmlformats.org/officeDocument/2006/relationships/hyperlink" Target="https://www.google.com/url?q=https://github.com/MedoN11/CompetitiveProgramming/blob/master/Atcoder/CF_462C.java&amp;sa=D&amp;ust=1605639553958000&amp;usg=AFQjCNFVQGXNEyCFdzh-YirVN7V3CK-oLQ" TargetMode="External"/><Relationship Id="rId897" Type="http://schemas.openxmlformats.org/officeDocument/2006/relationships/hyperlink" Target="https://www.google.com/url?q=https://www.hackerrank.com/contests/codeagon/challenges/julia-and-operational-summation&amp;sa=D&amp;ust=1605639552068000&amp;usg=AFQjCNHpq2UWJePM-hS-Spgpyi1gwAT4Bg" TargetMode="External"/><Relationship Id="rId2578" Type="http://schemas.openxmlformats.org/officeDocument/2006/relationships/hyperlink" Target="https://www.google.com/url?q=http://codeforces.com/contest/263/problem/D&amp;sa=D&amp;ust=1605639553075000&amp;usg=AFQjCNHq-dCTjrbcNjRH4enr4UyXWp-GPQ" TargetMode="External"/><Relationship Id="rId2992" Type="http://schemas.openxmlformats.org/officeDocument/2006/relationships/hyperlink" Target="https://www.google.com/url?q=http://www.spoj.com/problems/BOTTOM/&amp;sa=D&amp;ust=1605639553316000&amp;usg=AFQjCNF27UmW6WtiC8WWpd7Iu29yqxoIZA" TargetMode="External"/><Relationship Id="rId3629" Type="http://schemas.openxmlformats.org/officeDocument/2006/relationships/hyperlink" Target="https://www.google.com/url?q=https://uva.onlinejudge.org/index.php?option%3Dcom_onlinejudge%26Itemid%3D8%26page%3Dshow_problem%26problem%3D2122&amp;sa=D&amp;ust=1605639553749000&amp;usg=AFQjCNFaTAx-tk3Ta7taQ2zXX1YL8dtkDQ" TargetMode="External"/><Relationship Id="rId964" Type="http://schemas.openxmlformats.org/officeDocument/2006/relationships/hyperlink" Target="https://www.google.com/url?q=https://github.com/mostafa-saad/MyCompetitiveProgramming/blob/master/Codeforces/CF101522-GYM-J.txt&amp;sa=D&amp;ust=1605639552108000&amp;usg=AFQjCNEpldCzt0PKU-2IoGCpjWc_vnotbA" TargetMode="External"/><Relationship Id="rId1594" Type="http://schemas.openxmlformats.org/officeDocument/2006/relationships/hyperlink" Target="https://www.google.com/url?q=https://codeforces.com/contest/1099/problem/D&amp;sa=D&amp;ust=1605639552500000&amp;usg=AFQjCNH7iUtjxBWvryEDPIRfrqn7ExQiqQ" TargetMode="External"/><Relationship Id="rId2645" Type="http://schemas.openxmlformats.org/officeDocument/2006/relationships/hyperlink" Target="https://www.google.com/url?q=https://uva.onlinejudge.org/index.php?option%3Dcom_onlinejudge%26Itemid%3D8%26page%3Dshow_problem%26problem%3D277&amp;sa=D&amp;ust=1605639553118000&amp;usg=AFQjCNFlyGtf91p9dbDY-pMIgLum0nV7Xg" TargetMode="External"/><Relationship Id="rId617" Type="http://schemas.openxmlformats.org/officeDocument/2006/relationships/hyperlink" Target="https://www.google.com/url?q=https://csacademy.com/contest/archive/task/baby-seokhwan/&amp;sa=D&amp;ust=1605639551931000&amp;usg=AFQjCNHKNhIVZ9JEskEaN0oPABfMafDDNg" TargetMode="External"/><Relationship Id="rId1247" Type="http://schemas.openxmlformats.org/officeDocument/2006/relationships/hyperlink" Target="https://www.google.com/url?q=http://codeforces.com/contest/38/problem/F&amp;sa=D&amp;ust=1605639552285000&amp;usg=AFQjCNFWDZVx8Gh-JxpczjRKkUrpDSKkBw" TargetMode="External"/><Relationship Id="rId1661" Type="http://schemas.openxmlformats.org/officeDocument/2006/relationships/hyperlink" Target="https://www.google.com/url?q=https://github.com/Mahmoud3ali/CompetitiveProgramming/blob/master/CodeForces/CF101492-GYM-E.cpp&amp;sa=D&amp;ust=1605639552535000&amp;usg=AFQjCNEDANTcpiloIURAf4-0jTmxP8TnPQ" TargetMode="External"/><Relationship Id="rId2712" Type="http://schemas.openxmlformats.org/officeDocument/2006/relationships/hyperlink" Target="https://www.google.com/url?q=http://codeforces.com/gym/100570/problem/D&amp;sa=D&amp;ust=1605639553153000&amp;usg=AFQjCNFhm_4weS7Ccc-22fqsnkowAC6aSg" TargetMode="External"/><Relationship Id="rId1314" Type="http://schemas.openxmlformats.org/officeDocument/2006/relationships/hyperlink" Target="https://www.google.com/url?q=http://codeforces.com/gym/100212/attachments&amp;sa=D&amp;ust=1605639552323000&amp;usg=AFQjCNH2NYDs_zohmdVzcgDH50TfnLG0tA" TargetMode="External"/><Relationship Id="rId3486" Type="http://schemas.openxmlformats.org/officeDocument/2006/relationships/hyperlink" Target="https://www.google.com/url?q=https://uva.onlinejudge.org/index.php?option%3Donlinejudge%26page%3Dshow_problem%26problem%3D1563&amp;sa=D&amp;ust=1605639553608000&amp;usg=AFQjCNGc0ydMRYz8goplliFm5g7OQsa3FA" TargetMode="External"/><Relationship Id="rId20" Type="http://schemas.openxmlformats.org/officeDocument/2006/relationships/hyperlink" Target="https://www.google.com/url?q=https://codeforces.com/contest/1173/problem/F&amp;sa=D&amp;ust=1605639551570000&amp;usg=AFQjCNF6hr4b-ANEHQKoOLJ3hErzTwtgTg" TargetMode="External"/><Relationship Id="rId2088" Type="http://schemas.openxmlformats.org/officeDocument/2006/relationships/hyperlink" Target="https://www.google.com/url?q=https://csacademy.com/contest/round-33/task/subinterval-division/&amp;sa=D&amp;ust=1605639552797000&amp;usg=AFQjCNFRbEA7iFP1pIMIKFU8WKxwGh-OFQ" TargetMode="External"/><Relationship Id="rId3139" Type="http://schemas.openxmlformats.org/officeDocument/2006/relationships/hyperlink" Target="https://www.google.com/url?q=http://codeforces.com/contest/602/problem/D&amp;sa=D&amp;ust=1605639553400000&amp;usg=AFQjCNEdKZ7IakhYzWo0ralErBx5Z25g9w" TargetMode="External"/><Relationship Id="rId474" Type="http://schemas.openxmlformats.org/officeDocument/2006/relationships/hyperlink" Target="https://www.google.com/url?q=https://codeforces.com/contest/1117/problem/C&amp;sa=D&amp;ust=1605639551875000&amp;usg=AFQjCNFSzRICdjaFudaSgF-wYzFh34gdbw" TargetMode="External"/><Relationship Id="rId2155" Type="http://schemas.openxmlformats.org/officeDocument/2006/relationships/hyperlink" Target="https://www.google.com/url?q=http://codeforces.com/contest/408/problem/C&amp;sa=D&amp;ust=1605639552841000&amp;usg=AFQjCNFSIFMqDu2NMxiA80_neZziWNm6Zw" TargetMode="External"/><Relationship Id="rId3553" Type="http://schemas.openxmlformats.org/officeDocument/2006/relationships/hyperlink" Target="https://www.google.com/url?q=https://github.com/WaleedAbdelhakim/Competitive-Programming/blob/master/CodeForces/CF147-D12-B.cpp&amp;sa=D&amp;ust=1605639553691000&amp;usg=AFQjCNHEPjPNL8e1q-ou5INrPhl3VKXL1g" TargetMode="External"/><Relationship Id="rId127" Type="http://schemas.openxmlformats.org/officeDocument/2006/relationships/hyperlink" Target="https://www.google.com/url?q=https://codeforces.com/contest/1066/problem/E&amp;sa=D&amp;ust=1605639551628000&amp;usg=AFQjCNFPD2myHD-L5kbDwNxJwq6TgWL6CA" TargetMode="External"/><Relationship Id="rId3206" Type="http://schemas.openxmlformats.org/officeDocument/2006/relationships/hyperlink" Target="https://www.google.com/url?q=https://uva.onlinejudge.org/index.php?option%3Dcom_onlinejudge%26Itemid%3D8%26page%3Dshow_problem%26problem%3D64&amp;sa=D&amp;ust=1605639553430000&amp;usg=AFQjCNFxLlpk1T_DScXK1rnss14JQGMZEg" TargetMode="External"/><Relationship Id="rId3620" Type="http://schemas.openxmlformats.org/officeDocument/2006/relationships/hyperlink" Target="https://www.google.com/url?q=https://github.com/BRAINOOO/CompetitiveProgramming/blob/master/UVA/V-124/UVA%252012461.Cpp&amp;sa=D&amp;ust=1605639553744000&amp;usg=AFQjCNF-0J3DUGFaMXQTYeosZ5CSNqDg-g" TargetMode="External"/><Relationship Id="rId541" Type="http://schemas.openxmlformats.org/officeDocument/2006/relationships/hyperlink" Target="https://www.google.com/url?q=https://github.com/mostafa-saad/MyCompetitiveProgramming/blob/master/AtCoder/AtCoder026-AGC-C.txt&amp;sa=D&amp;ust=1605639551904000&amp;usg=AFQjCNEq_NzzdereeIEbKL0MUu3GfrNWZw" TargetMode="External"/><Relationship Id="rId1171" Type="http://schemas.openxmlformats.org/officeDocument/2006/relationships/hyperlink" Target="https://www.google.com/url?q=http://codeforces.com/contest/408/problem/D&amp;sa=D&amp;ust=1605639552224000&amp;usg=AFQjCNHVzWjmxUqC14vOS8myPmNruOpKIQ" TargetMode="External"/><Relationship Id="rId2222" Type="http://schemas.openxmlformats.org/officeDocument/2006/relationships/hyperlink" Target="https://www.google.com/url?q=https://github.com/pranavjangir/CompetitiveProgramming/blob/master/LiveArchive/LIVEARCHIVE%25206348.cpp&amp;sa=D&amp;ust=1605639552882000&amp;usg=AFQjCNHPlalsLM3ObQQk2nkO_6pNGQVV0g" TargetMode="External"/><Relationship Id="rId1988" Type="http://schemas.openxmlformats.org/officeDocument/2006/relationships/hyperlink" Target="https://www.google.com/url?q=https://www.hackerrank.com/challenges/xrange-and-pizza&amp;sa=D&amp;ust=1605639552727000&amp;usg=AFQjCNGDb3S3nKQ5xI8Igl9uTXhke9RTbQ" TargetMode="External"/><Relationship Id="rId4394" Type="http://schemas.openxmlformats.org/officeDocument/2006/relationships/hyperlink" Target="https://www.google.com/url?q=https://codeforces.com/contest/1263/problem/F&amp;sa=D&amp;ust=1605639554324000&amp;usg=AFQjCNEnloOnxSJsTiz8KpdeH673xCuV2Q" TargetMode="External"/><Relationship Id="rId4047" Type="http://schemas.openxmlformats.org/officeDocument/2006/relationships/hyperlink" Target="https://www.google.com/url?q=http://codeforces.com/gym/101982&amp;sa=D&amp;ust=1605639554149000&amp;usg=AFQjCNFqcoqEtigopZKfnk0IJicdh7_pTQ" TargetMode="External"/><Relationship Id="rId3063" Type="http://schemas.openxmlformats.org/officeDocument/2006/relationships/hyperlink" Target="https://www.google.com/url?q=http://codeforces.com/contest/587/problem/C&amp;sa=D&amp;ust=1605639553356000&amp;usg=AFQjCNFGw95XQor8LhCMKVMIKpMVlchjtA" TargetMode="External"/><Relationship Id="rId4114" Type="http://schemas.openxmlformats.org/officeDocument/2006/relationships/hyperlink" Target="https://www.google.com/url?q=https://github.com/mukel/ProgrammingContests/blob/master/OldStuff/SPOJ/new5/transl.cpp&amp;sa=D&amp;ust=1605639554186000&amp;usg=AFQjCNFW1yj-TcECQiHMpaXQL7BiBKxnEg" TargetMode="External"/><Relationship Id="rId1708" Type="http://schemas.openxmlformats.org/officeDocument/2006/relationships/hyperlink" Target="https://www.google.com/url?q=http://codeforces.com/contest/405/problem/D&amp;sa=D&amp;ust=1605639552564000&amp;usg=AFQjCNHKvJu3Y-IPVtpnqG4GitYC3xkvag" TargetMode="External"/><Relationship Id="rId3130" Type="http://schemas.openxmlformats.org/officeDocument/2006/relationships/hyperlink" Target="https://www.google.com/url?q=https://www.codechef.com/LTIME64A/problems/COINPART&amp;sa=D&amp;ust=1605639553395000&amp;usg=AFQjCNE_Ir8OazC74m1wfIQ_bCepBMYsLg" TargetMode="External"/><Relationship Id="rId2896" Type="http://schemas.openxmlformats.org/officeDocument/2006/relationships/hyperlink" Target="https://www.google.com/url?q=https://github.com/shashank0107/CompetitiveProgramming/blob/master/SPOJ/NITT4.cpp&amp;sa=D&amp;ust=1605639553261000&amp;usg=AFQjCNE49KwGkZTl2Kp1zFcc_B-gRhMs7g" TargetMode="External"/><Relationship Id="rId3947" Type="http://schemas.openxmlformats.org/officeDocument/2006/relationships/hyperlink" Target="https://www.google.com/url?q=http://codeforces.com/contest/114/problem/C&amp;sa=D&amp;ust=1605639553941000&amp;usg=AFQjCNEpbOhd-y1Gx-Jb0o1hmvUOs3tDzA" TargetMode="External"/><Relationship Id="rId868" Type="http://schemas.openxmlformats.org/officeDocument/2006/relationships/hyperlink" Target="https://www.google.com/url?q=https://codeforces.com/contest/597/submission/14200939&amp;sa=D&amp;ust=1605639552049000&amp;usg=AFQjCNEM-JH-o9-kXDW7_oRM-C8Yt7bm6Q" TargetMode="External"/><Relationship Id="rId1498" Type="http://schemas.openxmlformats.org/officeDocument/2006/relationships/hyperlink" Target="https://www.google.com/url?q=http://codeforces.com/contest/30/problem/C&amp;sa=D&amp;ust=1605639552443000&amp;usg=AFQjCNG_4IhIC3REemdcchDRJEkatzor9w" TargetMode="External"/><Relationship Id="rId2549" Type="http://schemas.openxmlformats.org/officeDocument/2006/relationships/hyperlink" Target="https://www.google.com/url?q=https://github.com/MohamedNabil97/CompetitiveProgramming/blob/master/CodeForces/CF604-D2-D.cpp&amp;sa=D&amp;ust=1605639553060000&amp;usg=AFQjCNGY0j4ePsLCoY4xkI2LFupsZCM0sw" TargetMode="External"/><Relationship Id="rId2963" Type="http://schemas.openxmlformats.org/officeDocument/2006/relationships/hyperlink" Target="https://www.google.com/url?q=https://uva.onlinejudge.org/index.php?option%3Dcom_onlinejudge%26Itemid%3D8%26page%3Dshow_problem%26problem%3D1310&amp;sa=D&amp;ust=1605639553298000&amp;usg=AFQjCNHMBqEa0xw5D6RiLtKSaWLGiiFNqQ" TargetMode="External"/><Relationship Id="rId935" Type="http://schemas.openxmlformats.org/officeDocument/2006/relationships/hyperlink" Target="https://www.google.com/url?q=https://atcoder.jp/contests/arc086/tasks/arc086_c&amp;sa=D&amp;ust=1605639552089000&amp;usg=AFQjCNEWjgOmWw4ZmDMunqjwi0dCOkJclA" TargetMode="External"/><Relationship Id="rId1565" Type="http://schemas.openxmlformats.org/officeDocument/2006/relationships/hyperlink" Target="https://www.google.com/url?q=https://github.com/thackerhelik/Topcoder/blob/master/SRM612-D2-1000.cpp&amp;sa=D&amp;ust=1605639552482000&amp;usg=AFQjCNHyPeKwp5YuXMqmNu97r9EXOqGrCw" TargetMode="External"/><Relationship Id="rId2616" Type="http://schemas.openxmlformats.org/officeDocument/2006/relationships/hyperlink" Target="https://www.google.com/url?q=http://codeforces.com/contest/567/problem/E&amp;sa=D&amp;ust=1605639553102000&amp;usg=AFQjCNE6Wvl1YsybqXCCtJmiZ0Qv7IcINQ" TargetMode="External"/><Relationship Id="rId1218" Type="http://schemas.openxmlformats.org/officeDocument/2006/relationships/hyperlink" Target="https://www.google.com/url?q=http://codeforces.com/contest/24/problem/D&amp;sa=D&amp;ust=1605639552261000&amp;usg=AFQjCNHSnbOD9AJ8vspIWahRX3ye2nanuQ" TargetMode="External"/><Relationship Id="rId1632" Type="http://schemas.openxmlformats.org/officeDocument/2006/relationships/hyperlink" Target="https://www.google.com/url?q=https://codeforces.com/contest/1183/problem/G&amp;sa=D&amp;ust=1605639552519000&amp;usg=AFQjCNF61iXP7M-aTEcRH8IAAUDFfCusLg" TargetMode="External"/><Relationship Id="rId3457" Type="http://schemas.openxmlformats.org/officeDocument/2006/relationships/hyperlink" Target="https://www.google.com/url?q=https://github.com/jebouin/CompetitiveProgramming/blob/master/UVA/UVA%25201635.cpp&amp;sa=D&amp;ust=1605639553592000&amp;usg=AFQjCNEVVttOXVK5NALpRbwkdctgLWvGlQ" TargetMode="External"/><Relationship Id="rId3871" Type="http://schemas.openxmlformats.org/officeDocument/2006/relationships/hyperlink" Target="https://www.google.com/url?q=https://github.com/SpeedOfMagic/CompetitiveProgramming/blob/master/SPOJ/MEANARR.cpp&amp;sa=D&amp;ust=1605639553904000&amp;usg=AFQjCNFvkoW_E2DAFjXInrNWtBeTDCxmQQ" TargetMode="External"/><Relationship Id="rId378" Type="http://schemas.openxmlformats.org/officeDocument/2006/relationships/hyperlink" Target="https://www.google.com/url?q=https://github.com/MohamedNabil97/CompetitiveProgramming/blob/master/UVA/10624.cpp&amp;sa=D&amp;ust=1605639551815000&amp;usg=AFQjCNGHPhlJ2m3NPX1ushgRqXBzhbof6g" TargetMode="External"/><Relationship Id="rId792" Type="http://schemas.openxmlformats.org/officeDocument/2006/relationships/hyperlink" Target="https://www.google.com/url?q=https://www.spoj.com/problems/PSEGTREE/&amp;sa=D&amp;ust=1605639552009000&amp;usg=AFQjCNGl2gorlSJ1ot9lyOmLhe07np6EPQ" TargetMode="External"/><Relationship Id="rId2059" Type="http://schemas.openxmlformats.org/officeDocument/2006/relationships/hyperlink" Target="https://www.google.com/url?q=https://github.com/mostafa-saad/MyCompetitiveProgramming/blob/master/SPOJ/SPOJ_ALIENS.txt&amp;sa=D&amp;ust=1605639552776000&amp;usg=AFQjCNGST2apwtABBAST5mVFRpcM934Z5A" TargetMode="External"/><Relationship Id="rId2473" Type="http://schemas.openxmlformats.org/officeDocument/2006/relationships/hyperlink" Target="https://www.google.com/url?q=http://www.spoj.com/problems/TOE1/&amp;sa=D&amp;ust=1605639553011000&amp;usg=AFQjCNEPxuzzZR2D8ilBmP8Lt4dzHwcqBg" TargetMode="External"/><Relationship Id="rId3524" Type="http://schemas.openxmlformats.org/officeDocument/2006/relationships/hyperlink" Target="https://www.google.com/url?q=http://codeforces.com/contest/371/problem/C&amp;sa=D&amp;ust=1605639553638000&amp;usg=AFQjCNHU2OHcfDZrV399jEFChtyg-U4fLQ" TargetMode="External"/><Relationship Id="rId445" Type="http://schemas.openxmlformats.org/officeDocument/2006/relationships/hyperlink" Target="https://www.google.com/url?q=https://codeforces.com/problemset/problem/1063/C&amp;sa=D&amp;ust=1605639551861000&amp;usg=AFQjCNErPV66b8KOBB7rInJCyQmNkwMK7Q" TargetMode="External"/><Relationship Id="rId1075" Type="http://schemas.openxmlformats.org/officeDocument/2006/relationships/hyperlink" Target="https://www.google.com/url?q=http://codeforces.com/contest/10/problem/D&amp;sa=D&amp;ust=1605639552163000&amp;usg=AFQjCNF_pvTRmr0vO9lFa9ODqdjpmg91Hg" TargetMode="External"/><Relationship Id="rId2126" Type="http://schemas.openxmlformats.org/officeDocument/2006/relationships/hyperlink" Target="https://www.google.com/url?q=https://github.com/ryuzmukhametov/CompetitiveProgramming/blob/master/hackr/HACKR%2520polygons.cpp&amp;sa=D&amp;ust=1605639552819000&amp;usg=AFQjCNFzUZE1iMNEZTLuKsxdcly1brt5jg" TargetMode="External"/><Relationship Id="rId2540" Type="http://schemas.openxmlformats.org/officeDocument/2006/relationships/hyperlink" Target="https://www.google.com/url?q=https://codeforces.com/contest/1076/problem/E&amp;sa=D&amp;ust=1605639553055000&amp;usg=AFQjCNG-EMvUF0f5t0wwNTK6Pl50pBEuvA" TargetMode="External"/><Relationship Id="rId512" Type="http://schemas.openxmlformats.org/officeDocument/2006/relationships/hyperlink" Target="https://www.google.com/url?q=http://codeforces.com/contest/818/problem/F&amp;sa=D&amp;ust=1605639551891000&amp;usg=AFQjCNFwEpZl1iTiQB9l0Kb5l9Rz3fGEhw" TargetMode="External"/><Relationship Id="rId1142" Type="http://schemas.openxmlformats.org/officeDocument/2006/relationships/hyperlink" Target="https://www.google.com/url?q=http://codeforces.com/contest/946/problem/D&amp;sa=D&amp;ust=1605639552203000&amp;usg=AFQjCNEOHa8rgvHFEAGXq9yFVvv2krwrig" TargetMode="External"/><Relationship Id="rId4298" Type="http://schemas.openxmlformats.org/officeDocument/2006/relationships/hyperlink" Target="https://www.google.com/url?q=https://codeforces.com/problemset/problem/1129/D&amp;sa=D&amp;ust=1605639554283000&amp;usg=AFQjCNFzo_aUhjRUSxMwji5ipgUwjNp9gw" TargetMode="External"/><Relationship Id="rId4365" Type="http://schemas.openxmlformats.org/officeDocument/2006/relationships/hyperlink" Target="https://www.google.com/url?q=http://codeforces.com/contest/165/problem/E&amp;sa=D&amp;ust=1605639554310000&amp;usg=AFQjCNGRTCQwN1TWf8kQwjRBRQ2CosvrTQ" TargetMode="External"/><Relationship Id="rId1959" Type="http://schemas.openxmlformats.org/officeDocument/2006/relationships/hyperlink" Target="https://www.google.com/url?q=https://ideone.com/zFUHeH&amp;sa=D&amp;ust=1605639552711000&amp;usg=AFQjCNH9_fONdjvJGxmoiLFQ9PhRbtGI0A" TargetMode="External"/><Relationship Id="rId4018" Type="http://schemas.openxmlformats.org/officeDocument/2006/relationships/hyperlink" Target="https://www.google.com/url?q=http://codeforces.com/contest/252/problem/C&amp;sa=D&amp;ust=1605639554135000&amp;usg=AFQjCNGIkeYq41hdJmDnSFbswD41w54ntg" TargetMode="External"/><Relationship Id="rId3381" Type="http://schemas.openxmlformats.org/officeDocument/2006/relationships/hyperlink" Target="https://www.google.com/url?q=https://www.hackerrank.com/challenges/tile-painting-revisited&amp;sa=D&amp;ust=1605639553542000&amp;usg=AFQjCNFOlupBmU5UdDeC7zzytqklRn4JCQ" TargetMode="External"/><Relationship Id="rId4432" Type="http://schemas.openxmlformats.org/officeDocument/2006/relationships/hyperlink" Target="https://www.google.com/url?q=https://www.codechef.com/problems/COUNTARI&amp;sa=D&amp;ust=1605639554343000&amp;usg=AFQjCNEZwSzFe8fGAR7Mzzz36yZLjSI7yw" TargetMode="External"/><Relationship Id="rId3034" Type="http://schemas.openxmlformats.org/officeDocument/2006/relationships/hyperlink" Target="https://www.google.com/url?q=https://github.com/mostafa-saad/MyCompetitiveProgramming/blob/master/UVA/UVA_1364.txt&amp;sa=D&amp;ust=1605639553342000&amp;usg=AFQjCNEzU3f6UB5FKcgHYeroa7SLEnZDng" TargetMode="External"/><Relationship Id="rId2050" Type="http://schemas.openxmlformats.org/officeDocument/2006/relationships/hyperlink" Target="https://www.google.com/url?q=https://www.hackerrank.com/challenges/house-location&amp;sa=D&amp;ust=1605639552772000&amp;usg=AFQjCNGsb5JHzrEbjLIE0q9Lu8BP9fyYYA" TargetMode="External"/><Relationship Id="rId3101" Type="http://schemas.openxmlformats.org/officeDocument/2006/relationships/hyperlink" Target="https://www.google.com/url?q=https://agc005.contest.atcoder.jp/tasks/agc005_f&amp;sa=D&amp;ust=1605639553375000&amp;usg=AFQjCNGcQrvmYKbe5qR3Aa0fpTmO2UoyRA" TargetMode="External"/><Relationship Id="rId839" Type="http://schemas.openxmlformats.org/officeDocument/2006/relationships/hyperlink" Target="https://www.google.com/url?q=http://codeforces.com/contest/369/problem/E&amp;sa=D&amp;ust=1605639552034000&amp;usg=AFQjCNGUavB7BTpwyBoCA5Rx_Yn1oVX1vA" TargetMode="External"/><Relationship Id="rId1469" Type="http://schemas.openxmlformats.org/officeDocument/2006/relationships/hyperlink" Target="https://www.google.com/url?q=http://acm.tju.edu.cn/toj/showp3051.html&amp;sa=D&amp;ust=1605639552426000&amp;usg=AFQjCNH3HT3mUVtmi8X_BtETIRPQoMzk7A" TargetMode="External"/><Relationship Id="rId2867" Type="http://schemas.openxmlformats.org/officeDocument/2006/relationships/hyperlink" Target="https://www.google.com/url?q=http://codeforces.com/contest/387/problem/D&amp;sa=D&amp;ust=1605639553245000&amp;usg=AFQjCNFjWVfjCU_tQ7GrdBACGNQQDWTdSw" TargetMode="External"/><Relationship Id="rId3918" Type="http://schemas.openxmlformats.org/officeDocument/2006/relationships/hyperlink" Target="https://www.google.com/url?q=https://codeforces.com/contest/1250/problem/G&amp;sa=D&amp;ust=1605639553928000&amp;usg=AFQjCNFChUJdfGTEE7F2_CRsXbrSUViCOQ" TargetMode="External"/><Relationship Id="rId1883" Type="http://schemas.openxmlformats.org/officeDocument/2006/relationships/hyperlink" Target="https://www.google.com/url?q=https://www.hackerrank.com/challenges/hard-homework&amp;sa=D&amp;ust=1605639552655000&amp;usg=AFQjCNHWpFfRFNnNN70CegUAQKTX-2A0Zg" TargetMode="External"/><Relationship Id="rId2934" Type="http://schemas.openxmlformats.org/officeDocument/2006/relationships/hyperlink" Target="https://www.google.com/url?q=https://github.com/mostafa-saad/MyCompetitiveProgramming/blob/master/SPOJ/SPOJ_MSTS.txt&amp;sa=D&amp;ust=1605639553283000&amp;usg=AFQjCNHx9uRhROscvqfLxkx8499NjW1lOg" TargetMode="External"/><Relationship Id="rId906" Type="http://schemas.openxmlformats.org/officeDocument/2006/relationships/hyperlink" Target="https://www.google.com/url?q=http://codeforces.com/contest/438/problem/C&amp;sa=D&amp;ust=1605639552075000&amp;usg=AFQjCNHnb7tQNraNOLd6JvZ4Q7u51saCOw" TargetMode="External"/><Relationship Id="rId1536" Type="http://schemas.openxmlformats.org/officeDocument/2006/relationships/hyperlink" Target="https://www.google.com/url?q=http://codeforces.com/contest/1076/problem/F&amp;sa=D&amp;ust=1605639552467000&amp;usg=AFQjCNFFJDFET8DzTn7wYyW0vZEWgT8uaQ" TargetMode="External"/><Relationship Id="rId1950" Type="http://schemas.openxmlformats.org/officeDocument/2006/relationships/hyperlink" Target="https://www.google.com/url?q=https://github.com/mostafa-saad/MyCompetitiveProgramming/blob/master/LiveArchive/LiveArchive_2688.txt&amp;sa=D&amp;ust=1605639552707000&amp;usg=AFQjCNGIHZ1F8GlUsJxGDF3DkH5jpU0zCA" TargetMode="External"/><Relationship Id="rId1603" Type="http://schemas.openxmlformats.org/officeDocument/2006/relationships/hyperlink" Target="https://www.google.com/url?q=http://codeforces.com/contest/402/problem/D&amp;sa=D&amp;ust=1605639552503000&amp;usg=AFQjCNGVGHjGmOO_nCRE-H3G_vymshZQrw" TargetMode="External"/><Relationship Id="rId3775" Type="http://schemas.openxmlformats.org/officeDocument/2006/relationships/hyperlink" Target="https://www.google.com/url?q=https://github.com/mostafa-saad/MyCompetitiveProgramming/blob/master/SPOJ/SPOJ_ANARC08C.cpp&amp;sa=D&amp;ust=1605639553845000&amp;usg=AFQjCNEVJB2I1j52GBbvGWbN6Du4_y6Q_g" TargetMode="External"/><Relationship Id="rId696" Type="http://schemas.openxmlformats.org/officeDocument/2006/relationships/hyperlink" Target="https://www.google.com/url?q=https://codeforces.com/contest/762/problem/E&amp;sa=D&amp;ust=1605639551963000&amp;usg=AFQjCNGRGsVCOT2RlxmC7fDNHUclpFXoJA" TargetMode="External"/><Relationship Id="rId2377" Type="http://schemas.openxmlformats.org/officeDocument/2006/relationships/hyperlink" Target="https://www.google.com/url?q=http://codeforces.com/contest/741/problem/C&amp;sa=D&amp;ust=1605639552957000&amp;usg=AFQjCNFIPDhJN-oqSAwYEau6shDeyE7LiQ" TargetMode="External"/><Relationship Id="rId2791" Type="http://schemas.openxmlformats.org/officeDocument/2006/relationships/hyperlink" Target="https://www.google.com/url?q=https://www.codechef.com/problems/LONGART&amp;sa=D&amp;ust=1605639553206000&amp;usg=AFQjCNHKf1aaP54En4UW5sY3tygb4SytGQ" TargetMode="External"/><Relationship Id="rId3428" Type="http://schemas.openxmlformats.org/officeDocument/2006/relationships/hyperlink" Target="https://www.google.com/url?q=http://codeforces.com/problemset/problem/204/A&amp;sa=D&amp;ust=1605639553569000&amp;usg=AFQjCNFTQxp2h7AZJeJqAfR9emiijhtvAQ" TargetMode="External"/></Relationships>
</file>

<file path=xl/worksheets/_rels/sheet14.xml.rels><?xml version="1.0" encoding="UTF-8" standalone="yes"?>
<Relationships xmlns="http://schemas.openxmlformats.org/package/2006/relationships"><Relationship Id="rId117" Type="http://schemas.openxmlformats.org/officeDocument/2006/relationships/hyperlink" Target="https://www.spoj.com/problems/ANARC05B/" TargetMode="External"/><Relationship Id="rId299" Type="http://schemas.openxmlformats.org/officeDocument/2006/relationships/hyperlink" Target="https://www.geeksforgeeks.org/sliding-window-maximum-maximum-of-all-subarrays-of-size-k/" TargetMode="External"/><Relationship Id="rId21" Type="http://schemas.openxmlformats.org/officeDocument/2006/relationships/hyperlink" Target="https://practice.geeksforgeeks.org/problems/factorials-of-large-numbers/0" TargetMode="External"/><Relationship Id="rId63" Type="http://schemas.openxmlformats.org/officeDocument/2006/relationships/hyperlink" Target="https://practice.geeksforgeeks.org/problems/longest-prefix-suffix2527/1" TargetMode="External"/><Relationship Id="rId159" Type="http://schemas.openxmlformats.org/officeDocument/2006/relationships/hyperlink" Target="https://practice.geeksforgeeks.org/problems/reverse-level-order-traversal/1" TargetMode="External"/><Relationship Id="rId324" Type="http://schemas.openxmlformats.org/officeDocument/2006/relationships/hyperlink" Target="https://leetcode.com/problems/word-ladder/" TargetMode="External"/><Relationship Id="rId366" Type="http://schemas.openxmlformats.org/officeDocument/2006/relationships/hyperlink" Target="https://practice.geeksforgeeks.org/problems/ncr1019/1" TargetMode="External"/><Relationship Id="rId170" Type="http://schemas.openxmlformats.org/officeDocument/2006/relationships/hyperlink" Target="https://practice.geeksforgeeks.org/problems/zigzag-tree-traversal/1" TargetMode="External"/><Relationship Id="rId226" Type="http://schemas.openxmlformats.org/officeDocument/2006/relationships/hyperlink" Target="https://practice.geeksforgeeks.org/problems/page-faults-in-lru/0" TargetMode="External"/><Relationship Id="rId433" Type="http://schemas.openxmlformats.org/officeDocument/2006/relationships/hyperlink" Target="https://www.geeksforgeeks.org/calculate-square-of-a-number-without-using-and-pow/" TargetMode="External"/><Relationship Id="rId268" Type="http://schemas.openxmlformats.org/officeDocument/2006/relationships/hyperlink" Target="https://practice.geeksforgeeks.org/problems/the-celebrity-problem/1" TargetMode="External"/><Relationship Id="rId475" Type="http://schemas.openxmlformats.org/officeDocument/2006/relationships/hyperlink" Target="https://www.geeksforgeeks.org/convert-an-arbitrary-binary-tree-to-a-tree-that-holds-children-sum-property/" TargetMode="External"/><Relationship Id="rId32" Type="http://schemas.openxmlformats.org/officeDocument/2006/relationships/hyperlink" Target="https://practice.geeksforgeeks.org/problems/minimum-swaps-required-to-bring-all-elements-less-than-or-equal-to-k-together/0" TargetMode="External"/><Relationship Id="rId74" Type="http://schemas.openxmlformats.org/officeDocument/2006/relationships/hyperlink" Target="https://practice.geeksforgeeks.org/problems/minimum-swaps-for-bracket-balancing/0" TargetMode="External"/><Relationship Id="rId128" Type="http://schemas.openxmlformats.org/officeDocument/2006/relationships/hyperlink" Target="https://www.geeksforgeeks.org/find-first-node-of-loop-in-a-linked-list/" TargetMode="External"/><Relationship Id="rId335" Type="http://schemas.openxmlformats.org/officeDocument/2006/relationships/hyperlink" Target="https://practice.geeksforgeeks.org/problems/implementing-floyd-warshall/0" TargetMode="External"/><Relationship Id="rId377" Type="http://schemas.openxmlformats.org/officeDocument/2006/relationships/hyperlink" Target="https://practice.geeksforgeeks.org/problems/longest-common-subsequence/0" TargetMode="External"/><Relationship Id="rId5" Type="http://schemas.openxmlformats.org/officeDocument/2006/relationships/hyperlink" Target="https://practice.geeksforgeeks.org/problems/union-of-two-arrays/0" TargetMode="External"/><Relationship Id="rId181" Type="http://schemas.openxmlformats.org/officeDocument/2006/relationships/hyperlink" Target="https://practice.geeksforgeeks.org/problems/duplicate-subtree-in-binary-tree/1" TargetMode="External"/><Relationship Id="rId237" Type="http://schemas.openxmlformats.org/officeDocument/2006/relationships/hyperlink" Target="https://practice.geeksforgeeks.org/problems/smallest-number5829/1" TargetMode="External"/><Relationship Id="rId402" Type="http://schemas.openxmlformats.org/officeDocument/2006/relationships/hyperlink" Target="https://www.geeksforgeeks.org/largest-independent-set-problem-dp-26/" TargetMode="External"/><Relationship Id="rId279" Type="http://schemas.openxmlformats.org/officeDocument/2006/relationships/hyperlink" Target="https://www.geeksforgeeks.org/implement-stack-queue-using-deque/" TargetMode="External"/><Relationship Id="rId444" Type="http://schemas.openxmlformats.org/officeDocument/2006/relationships/hyperlink" Target="https://leetcode.com/problems/maximum-xor-with-an-element-from-array/" TargetMode="External"/><Relationship Id="rId486" Type="http://schemas.openxmlformats.org/officeDocument/2006/relationships/hyperlink" Target="https://www.geeksforgeeks.org/remove-bst-keys-outside-the-given-range/" TargetMode="External"/><Relationship Id="rId43" Type="http://schemas.openxmlformats.org/officeDocument/2006/relationships/hyperlink" Target="https://www.geeksforgeeks.org/rotate-a-matrix-by-90-degree-in-clockwise-direction-without-using-any-extra-space/" TargetMode="External"/><Relationship Id="rId139" Type="http://schemas.openxmlformats.org/officeDocument/2006/relationships/hyperlink" Target="https://practice.geeksforgeeks.org/problems/circular-linked-list/1" TargetMode="External"/><Relationship Id="rId290" Type="http://schemas.openxmlformats.org/officeDocument/2006/relationships/hyperlink" Target="https://practice.geeksforgeeks.org/problems/distance-of-nearest-cell-having-1/0" TargetMode="External"/><Relationship Id="rId304" Type="http://schemas.openxmlformats.org/officeDocument/2006/relationships/hyperlink" Target="https://www.geeksforgeeks.org/k-th-largest-sum-contiguous-subarray/" TargetMode="External"/><Relationship Id="rId346" Type="http://schemas.openxmlformats.org/officeDocument/2006/relationships/hyperlink" Target="https://www.hackerearth.com/practice/algorithms/graphs/topological-sort/practice-problems/algorithm/oliver-and-the-game-3/" TargetMode="External"/><Relationship Id="rId388" Type="http://schemas.openxmlformats.org/officeDocument/2006/relationships/hyperlink" Target="https://practice.geeksforgeeks.org/problems/largest-square-formed-in-a-matrix/0" TargetMode="External"/><Relationship Id="rId85" Type="http://schemas.openxmlformats.org/officeDocument/2006/relationships/hyperlink" Target="https://www.geeksforgeeks.org/transform-one-string-to-another-using-minimum-number-of-given-operation/" TargetMode="External"/><Relationship Id="rId150" Type="http://schemas.openxmlformats.org/officeDocument/2006/relationships/hyperlink" Target="https://practice.geeksforgeeks.org/problems/given-a-linked-list-of-0s-1s-and-2s-sort-it/1" TargetMode="External"/><Relationship Id="rId192" Type="http://schemas.openxmlformats.org/officeDocument/2006/relationships/hyperlink" Target="https://www.geeksforgeeks.org/binary-search-tree-set-1-search-and-insertion/" TargetMode="External"/><Relationship Id="rId206" Type="http://schemas.openxmlformats.org/officeDocument/2006/relationships/hyperlink" Target="https://www.geeksforgeeks.org/find-median-bst-time-o1-space/" TargetMode="External"/><Relationship Id="rId413" Type="http://schemas.openxmlformats.org/officeDocument/2006/relationships/hyperlink" Target="https://www.geeksforgeeks.org/optimal-binary-search-tree-dp-24/" TargetMode="External"/><Relationship Id="rId248" Type="http://schemas.openxmlformats.org/officeDocument/2006/relationships/hyperlink" Target="https://www.geeksforgeeks.org/the-knights-tour-problem-backtracking-1/" TargetMode="External"/><Relationship Id="rId455" Type="http://schemas.openxmlformats.org/officeDocument/2006/relationships/hyperlink" Target="https://www.geeksforgeeks.org/inorder-tree-traversal-without-recursion-and-without-stack/" TargetMode="External"/><Relationship Id="rId12" Type="http://schemas.openxmlformats.org/officeDocument/2006/relationships/hyperlink" Target="https://practice.geeksforgeeks.org/problems/kadanes-algorithm/0" TargetMode="External"/><Relationship Id="rId108" Type="http://schemas.openxmlformats.org/officeDocument/2006/relationships/hyperlink" Target="https://practice.geeksforgeeks.org/problems/k-th-element-of-two-sorted-array/0" TargetMode="External"/><Relationship Id="rId315" Type="http://schemas.openxmlformats.org/officeDocument/2006/relationships/hyperlink" Target="https://practice.geeksforgeeks.org/problems/bfs-traversal-of-graph/1" TargetMode="External"/><Relationship Id="rId357" Type="http://schemas.openxmlformats.org/officeDocument/2006/relationships/hyperlink" Target="https://www.geeksforgeeks.org/two-clique-problem-check-graph-can-divided-two-cliques/" TargetMode="External"/><Relationship Id="rId54" Type="http://schemas.openxmlformats.org/officeDocument/2006/relationships/hyperlink" Target="https://www.geeksforgeeks.org/print-subsequences-string/" TargetMode="External"/><Relationship Id="rId96" Type="http://schemas.openxmlformats.org/officeDocument/2006/relationships/hyperlink" Target="https://practice.geeksforgeeks.org/problems/find-pair-given-difference/0" TargetMode="External"/><Relationship Id="rId161" Type="http://schemas.openxmlformats.org/officeDocument/2006/relationships/hyperlink" Target="https://practice.geeksforgeeks.org/problems/diameter-of-binary-tree/1" TargetMode="External"/><Relationship Id="rId217" Type="http://schemas.openxmlformats.org/officeDocument/2006/relationships/hyperlink" Target="https://www.geeksforgeeks.org/survival/" TargetMode="External"/><Relationship Id="rId399" Type="http://schemas.openxmlformats.org/officeDocument/2006/relationships/hyperlink" Target="https://www.geeksforgeeks.org/smallest-sum-contiguous-subarray/" TargetMode="External"/><Relationship Id="rId259" Type="http://schemas.openxmlformats.org/officeDocument/2006/relationships/hyperlink" Target="https://www.tutorialspoint.com/javaexamples/data_stack.htm" TargetMode="External"/><Relationship Id="rId424" Type="http://schemas.openxmlformats.org/officeDocument/2006/relationships/hyperlink" Target="https://practice.geeksforgeeks.org/problems/set-bits0143/1" TargetMode="External"/><Relationship Id="rId466" Type="http://schemas.openxmlformats.org/officeDocument/2006/relationships/hyperlink" Target="https://www.geeksforgeeks.org/find-if-there-is-a-triplet-in-bst-that-adds-to-0/" TargetMode="External"/><Relationship Id="rId23" Type="http://schemas.openxmlformats.org/officeDocument/2006/relationships/hyperlink" Target="https://practice.geeksforgeeks.org/problems/longest-consecutive-subsequence/0" TargetMode="External"/><Relationship Id="rId119" Type="http://schemas.openxmlformats.org/officeDocument/2006/relationships/hyperlink" Target="https://practice.geeksforgeeks.org/problems/inversion-of-array/0" TargetMode="External"/><Relationship Id="rId270" Type="http://schemas.openxmlformats.org/officeDocument/2006/relationships/hyperlink" Target="https://practice.geeksforgeeks.org/problems/evaluation-of-postfix-expression/0" TargetMode="External"/><Relationship Id="rId326" Type="http://schemas.openxmlformats.org/officeDocument/2006/relationships/hyperlink" Target="https://practice.geeksforgeeks.org/problems/topological-sort/1" TargetMode="External"/><Relationship Id="rId65" Type="http://schemas.openxmlformats.org/officeDocument/2006/relationships/hyperlink" Target="https://practice.geeksforgeeks.org/problems/count-the-reversals/0" TargetMode="External"/><Relationship Id="rId130" Type="http://schemas.openxmlformats.org/officeDocument/2006/relationships/hyperlink" Target="https://practice.geeksforgeeks.org/problems/remove-duplicates-from-an-unsorted-linked-list/1" TargetMode="External"/><Relationship Id="rId368" Type="http://schemas.openxmlformats.org/officeDocument/2006/relationships/hyperlink" Target="https://www.geeksforgeeks.org/program-nth-catalan-number/" TargetMode="External"/><Relationship Id="rId172" Type="http://schemas.openxmlformats.org/officeDocument/2006/relationships/hyperlink" Target="https://www.geeksforgeeks.org/diagonal-traversal-of-binary-tree/" TargetMode="External"/><Relationship Id="rId228" Type="http://schemas.openxmlformats.org/officeDocument/2006/relationships/hyperlink" Target="https://practice.geeksforgeeks.org/problems/chocolate-distribution-problem/0" TargetMode="External"/><Relationship Id="rId435" Type="http://schemas.openxmlformats.org/officeDocument/2006/relationships/hyperlink" Target="https://wikimedia.org/api/rest_v1/media/math/render/svg/5c513933c476c27b9c623605771cacedd13926e0" TargetMode="External"/><Relationship Id="rId477" Type="http://schemas.openxmlformats.org/officeDocument/2006/relationships/hyperlink" Target="https://www.geeksforgeeks.org/find-root-tree-children-id-sum-every-node-given/" TargetMode="External"/><Relationship Id="rId281" Type="http://schemas.openxmlformats.org/officeDocument/2006/relationships/hyperlink" Target="https://practice.geeksforgeeks.org/problems/queue-using-two-stacks/1" TargetMode="External"/><Relationship Id="rId337" Type="http://schemas.openxmlformats.org/officeDocument/2006/relationships/hyperlink" Target="https://www.geeksforgeeks.org/graph-coloring-applications/" TargetMode="External"/><Relationship Id="rId34" Type="http://schemas.openxmlformats.org/officeDocument/2006/relationships/hyperlink" Target="https://practice.geeksforgeeks.org/problems/find-the-median0527/1" TargetMode="External"/><Relationship Id="rId76" Type="http://schemas.openxmlformats.org/officeDocument/2006/relationships/hyperlink" Target="https://www.geeksforgeeks.org/program-generate-possible-valid-ip-addresses-given-string/" TargetMode="External"/><Relationship Id="rId141" Type="http://schemas.openxmlformats.org/officeDocument/2006/relationships/hyperlink" Target="https://practice.geeksforgeeks.org/problems/check-if-linked-list-is-pallindrome/1" TargetMode="External"/><Relationship Id="rId379" Type="http://schemas.openxmlformats.org/officeDocument/2006/relationships/hyperlink" Target="https://practice.geeksforgeeks.org/problems/longest-increasing-subsequence/0" TargetMode="External"/><Relationship Id="rId7" Type="http://schemas.openxmlformats.org/officeDocument/2006/relationships/hyperlink" Target="https://practice.geeksforgeeks.org/problems/kadanes-algorithm/0" TargetMode="External"/><Relationship Id="rId183" Type="http://schemas.openxmlformats.org/officeDocument/2006/relationships/hyperlink" Target="https://practice.geeksforgeeks.org/problems/sum-of-the-longest-bloodline-of-a-tree/1" TargetMode="External"/><Relationship Id="rId239" Type="http://schemas.openxmlformats.org/officeDocument/2006/relationships/hyperlink" Target="https://www.geeksforgeeks.org/find-maximum-sum-possible-equal-sum-three-stacks/" TargetMode="External"/><Relationship Id="rId390" Type="http://schemas.openxmlformats.org/officeDocument/2006/relationships/hyperlink" Target="https://practice.geeksforgeeks.org/problems/path-in-matrix3805/1" TargetMode="External"/><Relationship Id="rId404" Type="http://schemas.openxmlformats.org/officeDocument/2006/relationships/hyperlink" Target="https://practice.geeksforgeeks.org/problems/count-palindromic-subsequences/1" TargetMode="External"/><Relationship Id="rId446" Type="http://schemas.openxmlformats.org/officeDocument/2006/relationships/hyperlink" Target="https://leetcode.com/problems/combination-sum/" TargetMode="External"/><Relationship Id="rId250" Type="http://schemas.openxmlformats.org/officeDocument/2006/relationships/hyperlink" Target="https://www.geeksforgeeks.org/find-shortest-safe-route-in-a-path-with-landmines/" TargetMode="External"/><Relationship Id="rId292" Type="http://schemas.openxmlformats.org/officeDocument/2006/relationships/hyperlink" Target="https://www.geeksforgeeks.org/check-if-all-levels-of-two-trees-are-anagrams-or-not/" TargetMode="External"/><Relationship Id="rId306" Type="http://schemas.openxmlformats.org/officeDocument/2006/relationships/hyperlink" Target="https://practice.geeksforgeeks.org/problems/merge-k-sorted-linked-lists/1" TargetMode="External"/><Relationship Id="rId488" Type="http://schemas.openxmlformats.org/officeDocument/2006/relationships/hyperlink" Target="https://www.geeksforgeeks.org/inorder-successor-in-binary-search-tree/" TargetMode="External"/><Relationship Id="rId45" Type="http://schemas.openxmlformats.org/officeDocument/2006/relationships/hyperlink" Target="https://www.geeksforgeeks.org/common-elements-in-all-rows-of-a-given-matrix/" TargetMode="External"/><Relationship Id="rId87" Type="http://schemas.openxmlformats.org/officeDocument/2006/relationships/hyperlink" Target="https://www.geeksforgeeks.org/recursively-print-all-sentences-that-can-be-formed-from-list-of-word-lists/" TargetMode="External"/><Relationship Id="rId110" Type="http://schemas.openxmlformats.org/officeDocument/2006/relationships/hyperlink" Target="https://practice.geeksforgeeks.org/problems/allocate-minimum-number-of-pages/0" TargetMode="External"/><Relationship Id="rId348" Type="http://schemas.openxmlformats.org/officeDocument/2006/relationships/hyperlink" Target="https://www.geeksforgeeks.org/water-jug-problem-using-bfs/" TargetMode="External"/><Relationship Id="rId152" Type="http://schemas.openxmlformats.org/officeDocument/2006/relationships/hyperlink" Target="https://practice.geeksforgeeks.org/problems/merge-k-sorted-linked-lists/1" TargetMode="External"/><Relationship Id="rId194" Type="http://schemas.openxmlformats.org/officeDocument/2006/relationships/hyperlink" Target="https://practice.geeksforgeeks.org/problems/minimum-element-in-bst/1" TargetMode="External"/><Relationship Id="rId208" Type="http://schemas.openxmlformats.org/officeDocument/2006/relationships/hyperlink" Target="https://www.geeksforgeeks.org/replace-every-element-with-the-least-greater-element-on-its-right/" TargetMode="External"/><Relationship Id="rId415" Type="http://schemas.openxmlformats.org/officeDocument/2006/relationships/hyperlink" Target="https://practice.geeksforgeeks.org/problems/word-wrap/0" TargetMode="External"/><Relationship Id="rId457" Type="http://schemas.openxmlformats.org/officeDocument/2006/relationships/hyperlink" Target="https://practice.geeksforgeeks.org/problems/minimum-platforms/0" TargetMode="External"/><Relationship Id="rId261" Type="http://schemas.openxmlformats.org/officeDocument/2006/relationships/hyperlink" Target="https://practice.geeksforgeeks.org/problems/implement-two-stacks-in-an-array/1" TargetMode="External"/><Relationship Id="rId14" Type="http://schemas.openxmlformats.org/officeDocument/2006/relationships/hyperlink" Target="https://leetcode.com/problems/next-permutation/" TargetMode="External"/><Relationship Id="rId56" Type="http://schemas.openxmlformats.org/officeDocument/2006/relationships/hyperlink" Target="https://www.geeksforgeeks.org/split-the-binary-string-into-substrings-with-equal-number-of-0s-and-1s/" TargetMode="External"/><Relationship Id="rId317" Type="http://schemas.openxmlformats.org/officeDocument/2006/relationships/hyperlink" Target="https://www.geeksforgeeks.org/detect-cycle-in-a-graph/" TargetMode="External"/><Relationship Id="rId359" Type="http://schemas.openxmlformats.org/officeDocument/2006/relationships/hyperlink" Target="https://www.geeksforgeeks.org/find-all-shortest-unique-prefixes-to-represent-each-word-in-a-given-list/" TargetMode="External"/><Relationship Id="rId98" Type="http://schemas.openxmlformats.org/officeDocument/2006/relationships/hyperlink" Target="https://practice.geeksforgeeks.org/problems/count-triplets-with-sum-smaller-than-x5549/1" TargetMode="External"/><Relationship Id="rId121" Type="http://schemas.openxmlformats.org/officeDocument/2006/relationships/hyperlink" Target="https://www.baeldung.com/java-sorting-arrays-with-repeated-entries" TargetMode="External"/><Relationship Id="rId163" Type="http://schemas.openxmlformats.org/officeDocument/2006/relationships/hyperlink" Target="https://www.techiedelight.com/inorder-tree-traversal-iterative-recursive/" TargetMode="External"/><Relationship Id="rId219" Type="http://schemas.openxmlformats.org/officeDocument/2006/relationships/hyperlink" Target="https://www.geeksforgeeks.org/maximum-product-subset-array/" TargetMode="External"/><Relationship Id="rId370" Type="http://schemas.openxmlformats.org/officeDocument/2006/relationships/hyperlink" Target="https://practice.geeksforgeeks.org/problems/edit-distance3702/1" TargetMode="External"/><Relationship Id="rId426" Type="http://schemas.openxmlformats.org/officeDocument/2006/relationships/hyperlink" Target="https://practice.geeksforgeeks.org/problems/bit-difference/0" TargetMode="External"/><Relationship Id="rId230" Type="http://schemas.openxmlformats.org/officeDocument/2006/relationships/hyperlink" Target="https://www.spoj.com/problems/DIEHARD/" TargetMode="External"/><Relationship Id="rId468" Type="http://schemas.openxmlformats.org/officeDocument/2006/relationships/hyperlink" Target="https://www.geeksforgeeks.org/full-and-complete-binary-tree-from-given-preorder-and-postorder-traversals/" TargetMode="External"/><Relationship Id="rId25" Type="http://schemas.openxmlformats.org/officeDocument/2006/relationships/hyperlink" Target="https://www.geeksforgeeks.org/maximum-profit-by-buying-and-selling-a-share-at-most-twice/" TargetMode="External"/><Relationship Id="rId67" Type="http://schemas.openxmlformats.org/officeDocument/2006/relationships/hyperlink" Target="https://www.geeksforgeeks.org/find-count-number-given-string-present-2d-character-array/" TargetMode="External"/><Relationship Id="rId272" Type="http://schemas.openxmlformats.org/officeDocument/2006/relationships/hyperlink" Target="https://www.geeksforgeeks.org/reverse-a-stack-using-recursion/" TargetMode="External"/><Relationship Id="rId328" Type="http://schemas.openxmlformats.org/officeDocument/2006/relationships/hyperlink" Target="https://www.geeksforgeeks.org/find-whether-it-is-possible-to-finish-all-tasks-or-not-from-given-dependencies/" TargetMode="External"/><Relationship Id="rId132" Type="http://schemas.openxmlformats.org/officeDocument/2006/relationships/hyperlink" Target="https://practice.geeksforgeeks.org/problems/add-1-to-a-number-represented-as-linked-list/1" TargetMode="External"/><Relationship Id="rId174" Type="http://schemas.openxmlformats.org/officeDocument/2006/relationships/hyperlink" Target="https://www.geeksforgeeks.org/construct-binary-tree-string-bracket-representation/" TargetMode="External"/><Relationship Id="rId381" Type="http://schemas.openxmlformats.org/officeDocument/2006/relationships/hyperlink" Target="https://practice.geeksforgeeks.org/problems/lcs-of-three-strings/0" TargetMode="External"/><Relationship Id="rId241" Type="http://schemas.openxmlformats.org/officeDocument/2006/relationships/hyperlink" Target="https://www.geeksforgeeks.org/printing-solutions-n-queen-problem/" TargetMode="External"/><Relationship Id="rId437" Type="http://schemas.openxmlformats.org/officeDocument/2006/relationships/hyperlink" Target="https://leetcode.com/problems/sliding-window-maximum/" TargetMode="External"/><Relationship Id="rId479" Type="http://schemas.openxmlformats.org/officeDocument/2006/relationships/hyperlink" Target="https://www.geeksforgeeks.org/flip-binary-tree/" TargetMode="External"/><Relationship Id="rId36" Type="http://schemas.openxmlformats.org/officeDocument/2006/relationships/hyperlink" Target="https://practice.geeksforgeeks.org/problems/spirally-traversing-a-matrix/0" TargetMode="External"/><Relationship Id="rId283" Type="http://schemas.openxmlformats.org/officeDocument/2006/relationships/hyperlink" Target="https://www.geeksforgeeks.org/circular-queue-set-1-introduction-array-implementation/" TargetMode="External"/><Relationship Id="rId339" Type="http://schemas.openxmlformats.org/officeDocument/2006/relationships/hyperlink" Target="https://www.geeksforgeeks.org/bridge-in-a-graph/" TargetMode="External"/><Relationship Id="rId490" Type="http://schemas.openxmlformats.org/officeDocument/2006/relationships/printerSettings" Target="../printerSettings/printerSettings7.bin"/><Relationship Id="rId78" Type="http://schemas.openxmlformats.org/officeDocument/2006/relationships/hyperlink" Target="https://practice.geeksforgeeks.org/problems/rearrange-characters/0" TargetMode="External"/><Relationship Id="rId101" Type="http://schemas.openxmlformats.org/officeDocument/2006/relationships/hyperlink" Target="https://practice.geeksforgeeks.org/problems/product-array-puzzle/0" TargetMode="External"/><Relationship Id="rId143" Type="http://schemas.openxmlformats.org/officeDocument/2006/relationships/hyperlink" Target="https://practice.geeksforgeeks.org/problems/reverse-a-doubly-linked-list/1" TargetMode="External"/><Relationship Id="rId185" Type="http://schemas.openxmlformats.org/officeDocument/2006/relationships/hyperlink" Target="https://www.geeksforgeeks.org/find-largest-subtree-sum-tree/" TargetMode="External"/><Relationship Id="rId350" Type="http://schemas.openxmlformats.org/officeDocument/2006/relationships/hyperlink" Target="https://practice.geeksforgeeks.org/problems/m-coloring-problem/0" TargetMode="External"/><Relationship Id="rId406" Type="http://schemas.openxmlformats.org/officeDocument/2006/relationships/hyperlink" Target="https://leetcode.com/problems/longest-palindromic-substring/" TargetMode="External"/><Relationship Id="rId9" Type="http://schemas.openxmlformats.org/officeDocument/2006/relationships/hyperlink" Target="https://practice.geeksforgeeks.org/problems/minimum-number-of-jumps/0" TargetMode="External"/><Relationship Id="rId210" Type="http://schemas.openxmlformats.org/officeDocument/2006/relationships/hyperlink" Target="https://practice.geeksforgeeks.org/problems/preorder-to-postorder/0" TargetMode="External"/><Relationship Id="rId392" Type="http://schemas.openxmlformats.org/officeDocument/2006/relationships/hyperlink" Target="https://practice.geeksforgeeks.org/problems/minimum-number-of-jumps/0" TargetMode="External"/><Relationship Id="rId448" Type="http://schemas.openxmlformats.org/officeDocument/2006/relationships/hyperlink" Target="https://leetcode.com/problems/permutations-ii/" TargetMode="External"/><Relationship Id="rId252" Type="http://schemas.openxmlformats.org/officeDocument/2006/relationships/hyperlink" Target="https://practice.geeksforgeeks.org/problems/largest-number-in-k-swaps/0" TargetMode="External"/><Relationship Id="rId294" Type="http://schemas.openxmlformats.org/officeDocument/2006/relationships/hyperlink" Target="https://practice.geeksforgeeks.org/problems/game-with-string/0" TargetMode="External"/><Relationship Id="rId308" Type="http://schemas.openxmlformats.org/officeDocument/2006/relationships/hyperlink" Target="https://practice.geeksforgeeks.org/problems/find-median-in-a-stream/0" TargetMode="External"/><Relationship Id="rId47" Type="http://schemas.openxmlformats.org/officeDocument/2006/relationships/hyperlink" Target="https://practice.geeksforgeeks.org/problems/palindrome-string0817/1" TargetMode="External"/><Relationship Id="rId89" Type="http://schemas.openxmlformats.org/officeDocument/2006/relationships/hyperlink" Target="https://practice.geeksforgeeks.org/problems/value-equal-to-index-value1330/1" TargetMode="External"/><Relationship Id="rId112" Type="http://schemas.openxmlformats.org/officeDocument/2006/relationships/hyperlink" Target="https://www.geeksforgeeks.org/weighted-job-scheduling-log-n-time/" TargetMode="External"/><Relationship Id="rId154" Type="http://schemas.openxmlformats.org/officeDocument/2006/relationships/hyperlink" Target="https://practice.geeksforgeeks.org/problems/delete-nodes-having-greater-value-on-right/1" TargetMode="External"/><Relationship Id="rId361" Type="http://schemas.openxmlformats.org/officeDocument/2006/relationships/hyperlink" Target="https://practice.geeksforgeeks.org/problems/k-anagrams-1/0" TargetMode="External"/><Relationship Id="rId196" Type="http://schemas.openxmlformats.org/officeDocument/2006/relationships/hyperlink" Target="https://practice.geeksforgeeks.org/problems/check-for-bst/1" TargetMode="External"/><Relationship Id="rId417" Type="http://schemas.openxmlformats.org/officeDocument/2006/relationships/hyperlink" Target="https://leetcode.com/problems/maximum-length-of-pair-chain/" TargetMode="External"/><Relationship Id="rId459" Type="http://schemas.openxmlformats.org/officeDocument/2006/relationships/hyperlink" Target="https://practice.geeksforgeeks.org/problems/coin-piles/0" TargetMode="External"/><Relationship Id="rId16" Type="http://schemas.openxmlformats.org/officeDocument/2006/relationships/hyperlink" Target="https://leetcode.com/problems/best-time-to-buy-and-sell-stock/" TargetMode="External"/><Relationship Id="rId221" Type="http://schemas.openxmlformats.org/officeDocument/2006/relationships/hyperlink" Target="https://practice.geeksforgeeks.org/problems/maximize-arrii-of-an-array/0" TargetMode="External"/><Relationship Id="rId263" Type="http://schemas.openxmlformats.org/officeDocument/2006/relationships/hyperlink" Target="https://www.geeksforgeeks.org/efficiently-implement-k-stacks-single-array/" TargetMode="External"/><Relationship Id="rId319" Type="http://schemas.openxmlformats.org/officeDocument/2006/relationships/hyperlink" Target="https://practice.geeksforgeeks.org/problems/rat-in-a-maze-problem/1" TargetMode="External"/><Relationship Id="rId470" Type="http://schemas.openxmlformats.org/officeDocument/2006/relationships/hyperlink" Target="https://www.geeksforgeeks.org/construct-tree-from-ancestor-matrix/" TargetMode="External"/><Relationship Id="rId58" Type="http://schemas.openxmlformats.org/officeDocument/2006/relationships/hyperlink" Target="https://practice.geeksforgeeks.org/problems/edit-distance3702/1" TargetMode="External"/><Relationship Id="rId123" Type="http://schemas.openxmlformats.org/officeDocument/2006/relationships/hyperlink" Target="https://practice.geeksforgeeks.org/problems/stickler-theif/0" TargetMode="External"/><Relationship Id="rId330" Type="http://schemas.openxmlformats.org/officeDocument/2006/relationships/hyperlink" Target="https://practice.geeksforgeeks.org/problems/alien-dictionary/1" TargetMode="External"/><Relationship Id="rId165" Type="http://schemas.openxmlformats.org/officeDocument/2006/relationships/hyperlink" Target="https://www.techiedelight.com/postorder-tree-traversal-iterative-recursive/" TargetMode="External"/><Relationship Id="rId372" Type="http://schemas.openxmlformats.org/officeDocument/2006/relationships/hyperlink" Target="https://practice.geeksforgeeks.org/problems/friends-pairing-problem5425/1" TargetMode="External"/><Relationship Id="rId428" Type="http://schemas.openxmlformats.org/officeDocument/2006/relationships/hyperlink" Target="https://practice.geeksforgeeks.org/problems/power-of-2/0" TargetMode="External"/><Relationship Id="rId232" Type="http://schemas.openxmlformats.org/officeDocument/2006/relationships/hyperlink" Target="https://www.spoj.com/problems/GCJ101BB/" TargetMode="External"/><Relationship Id="rId274" Type="http://schemas.openxmlformats.org/officeDocument/2006/relationships/hyperlink" Target="https://practice.geeksforgeeks.org/problems/overlapping-intervals/0" TargetMode="External"/><Relationship Id="rId481" Type="http://schemas.openxmlformats.org/officeDocument/2006/relationships/hyperlink" Target="https://www.geeksforgeeks.org/construct-a-binary-tree-from-parent-array-representation/" TargetMode="External"/><Relationship Id="rId27" Type="http://schemas.openxmlformats.org/officeDocument/2006/relationships/hyperlink" Target="https://practice.geeksforgeeks.org/problems/triplet-sum-in-array/0" TargetMode="External"/><Relationship Id="rId69" Type="http://schemas.openxmlformats.org/officeDocument/2006/relationships/hyperlink" Target="https://www.geeksforgeeks.org/boyer-moore-algorithm-for-pattern-searching/" TargetMode="External"/><Relationship Id="rId134" Type="http://schemas.openxmlformats.org/officeDocument/2006/relationships/hyperlink" Target="https://practice.geeksforgeeks.org/problems/intersection-of-two-sorted-linked-lists/1" TargetMode="External"/><Relationship Id="rId80" Type="http://schemas.openxmlformats.org/officeDocument/2006/relationships/hyperlink" Target="https://practice.geeksforgeeks.org/problems/k-anagrams-1/0" TargetMode="External"/><Relationship Id="rId176" Type="http://schemas.openxmlformats.org/officeDocument/2006/relationships/hyperlink" Target="https://practice.geeksforgeeks.org/problems/transform-to-sum-tree/1" TargetMode="External"/><Relationship Id="rId341" Type="http://schemas.openxmlformats.org/officeDocument/2006/relationships/hyperlink" Target="https://www.geeksforgeeks.org/bipartite-graph/" TargetMode="External"/><Relationship Id="rId383" Type="http://schemas.openxmlformats.org/officeDocument/2006/relationships/hyperlink" Target="https://www.geeksforgeeks.org/count-subsequences-product-less-k/" TargetMode="External"/><Relationship Id="rId439" Type="http://schemas.openxmlformats.org/officeDocument/2006/relationships/hyperlink" Target="https://leetcode.com/problems/gas-station/" TargetMode="External"/><Relationship Id="rId201" Type="http://schemas.openxmlformats.org/officeDocument/2006/relationships/hyperlink" Target="https://www.geeksforgeeks.org/convert-normal-bst-balanced-bst/" TargetMode="External"/><Relationship Id="rId243" Type="http://schemas.openxmlformats.org/officeDocument/2006/relationships/hyperlink" Target="https://leetcode.com/problems/remove-invalid-parentheses/" TargetMode="External"/><Relationship Id="rId285" Type="http://schemas.openxmlformats.org/officeDocument/2006/relationships/hyperlink" Target="https://practice.geeksforgeeks.org/problems/queue-reversal/1" TargetMode="External"/><Relationship Id="rId450" Type="http://schemas.openxmlformats.org/officeDocument/2006/relationships/hyperlink" Target="https://leetcode.com/problems/balance-a-binary-search-tree/" TargetMode="External"/><Relationship Id="rId38" Type="http://schemas.openxmlformats.org/officeDocument/2006/relationships/hyperlink" Target="https://practice.geeksforgeeks.org/problems/median-in-a-row-wise-sorted-matrix1527/1" TargetMode="External"/><Relationship Id="rId103" Type="http://schemas.openxmlformats.org/officeDocument/2006/relationships/hyperlink" Target="https://practice.geeksforgeeks.org/problems/minimum-swaps/1" TargetMode="External"/><Relationship Id="rId310" Type="http://schemas.openxmlformats.org/officeDocument/2006/relationships/hyperlink" Target="https://practice.geeksforgeeks.org/problems/minimum-cost-of-ropes/0" TargetMode="External"/><Relationship Id="rId492" Type="http://schemas.openxmlformats.org/officeDocument/2006/relationships/vmlDrawing" Target="../drawings/vmlDrawing3.vml"/><Relationship Id="rId91" Type="http://schemas.openxmlformats.org/officeDocument/2006/relationships/hyperlink" Target="https://practice.geeksforgeeks.org/problems/count-squares3649/1" TargetMode="External"/><Relationship Id="rId145" Type="http://schemas.openxmlformats.org/officeDocument/2006/relationships/hyperlink" Target="https://www.geeksforgeeks.org/count-triplets-sorted-doubly-linked-list-whose-sum-equal-given-value-x/" TargetMode="External"/><Relationship Id="rId187" Type="http://schemas.openxmlformats.org/officeDocument/2006/relationships/hyperlink" Target="https://www.geeksforgeeks.org/print-k-sum-paths-binary-tree/" TargetMode="External"/><Relationship Id="rId352" Type="http://schemas.openxmlformats.org/officeDocument/2006/relationships/hyperlink" Target="https://www.geeksforgeeks.org/paths-travel-nodes-using-edgeseven-bridges-konigsberg/" TargetMode="External"/><Relationship Id="rId394" Type="http://schemas.openxmlformats.org/officeDocument/2006/relationships/hyperlink" Target="https://www.geeksforgeeks.org/minimum-removals-array-make-max-min-k/" TargetMode="External"/><Relationship Id="rId408" Type="http://schemas.openxmlformats.org/officeDocument/2006/relationships/hyperlink" Target="https://www.geeksforgeeks.org/weighted-job-scheduling/" TargetMode="External"/><Relationship Id="rId212" Type="http://schemas.openxmlformats.org/officeDocument/2006/relationships/hyperlink" Target="https://practice.geeksforgeeks.org/problems/largest-bst/1" TargetMode="External"/><Relationship Id="rId254" Type="http://schemas.openxmlformats.org/officeDocument/2006/relationships/hyperlink" Target="https://www.geeksforgeeks.org/find-if-there-is-a-path-of-more-than-k-length-from-a-source/" TargetMode="External"/><Relationship Id="rId49" Type="http://schemas.openxmlformats.org/officeDocument/2006/relationships/hyperlink" Target="https://www.geeksforgeeks.org/a-program-to-check-if-strings-are-rotations-of-each-other/" TargetMode="External"/><Relationship Id="rId114" Type="http://schemas.openxmlformats.org/officeDocument/2006/relationships/hyperlink" Target="https://practice.geeksforgeeks.org/problems/smallest-factorial-number5929/1" TargetMode="External"/><Relationship Id="rId296" Type="http://schemas.openxmlformats.org/officeDocument/2006/relationships/hyperlink" Target="https://www.geeksforgeeks.org/next-smaller-element/" TargetMode="External"/><Relationship Id="rId461" Type="http://schemas.openxmlformats.org/officeDocument/2006/relationships/hyperlink" Target="https://practice.geeksforgeeks.org/problems/water-connection-problem/0" TargetMode="External"/><Relationship Id="rId60" Type="http://schemas.openxmlformats.org/officeDocument/2006/relationships/hyperlink" Target="https://practice.geeksforgeeks.org/problems/parenthesis-checker/0" TargetMode="External"/><Relationship Id="rId156" Type="http://schemas.openxmlformats.org/officeDocument/2006/relationships/hyperlink" Target="https://practice.geeksforgeeks.org/problems/nth-node-from-end-of-linked-list/1" TargetMode="External"/><Relationship Id="rId198" Type="http://schemas.openxmlformats.org/officeDocument/2006/relationships/hyperlink" Target="https://practice.geeksforgeeks.org/problems/lowest-common-ancestor-in-a-bst/1" TargetMode="External"/><Relationship Id="rId321" Type="http://schemas.openxmlformats.org/officeDocument/2006/relationships/hyperlink" Target="https://leetcode.com/problems/flood-fill/" TargetMode="External"/><Relationship Id="rId363" Type="http://schemas.openxmlformats.org/officeDocument/2006/relationships/hyperlink" Target="https://practice.geeksforgeeks.org/problems/unique-rows-in-boolean-matrix/1" TargetMode="External"/><Relationship Id="rId419" Type="http://schemas.openxmlformats.org/officeDocument/2006/relationships/hyperlink" Target="https://practice.geeksforgeeks.org/problems/maximum-profit4657/1" TargetMode="External"/><Relationship Id="rId223" Type="http://schemas.openxmlformats.org/officeDocument/2006/relationships/hyperlink" Target="https://practice.geeksforgeeks.org/problems/swap-and-maximize/0" TargetMode="External"/><Relationship Id="rId430" Type="http://schemas.openxmlformats.org/officeDocument/2006/relationships/hyperlink" Target="https://www.geeksforgeeks.org/copy-set-bits-in-a-range/" TargetMode="External"/><Relationship Id="rId18" Type="http://schemas.openxmlformats.org/officeDocument/2006/relationships/hyperlink" Target="https://practice.geeksforgeeks.org/problems/common-elements1132/1" TargetMode="External"/><Relationship Id="rId265" Type="http://schemas.openxmlformats.org/officeDocument/2006/relationships/hyperlink" Target="https://practice.geeksforgeeks.org/problems/reverse-a-string-using-stack/1" TargetMode="External"/><Relationship Id="rId472" Type="http://schemas.openxmlformats.org/officeDocument/2006/relationships/hyperlink" Target="https://www.geeksforgeeks.org/remove-all-nodes-which-lie-on-a-path-having-sum-less-than-k/" TargetMode="External"/><Relationship Id="rId125" Type="http://schemas.openxmlformats.org/officeDocument/2006/relationships/hyperlink" Target="https://practice.geeksforgeeks.org/problems/reverse-a-linked-list-in-groups-of-given-size/1" TargetMode="External"/><Relationship Id="rId167" Type="http://schemas.openxmlformats.org/officeDocument/2006/relationships/hyperlink" Target="https://practice.geeksforgeeks.org/problems/right-view-of-binary-tree/1" TargetMode="External"/><Relationship Id="rId332" Type="http://schemas.openxmlformats.org/officeDocument/2006/relationships/hyperlink" Target="https://www.geeksforgeeks.org/prims-minimum-spanning-tree-mst-greedy-algo-5/" TargetMode="External"/><Relationship Id="rId374" Type="http://schemas.openxmlformats.org/officeDocument/2006/relationships/hyperlink" Target="https://www.geeksforgeeks.org/assembly-line-scheduling-dp-34/" TargetMode="External"/><Relationship Id="rId71" Type="http://schemas.openxmlformats.org/officeDocument/2006/relationships/hyperlink" Target="https://leetcode.com/problems/longest-common-prefix/" TargetMode="External"/><Relationship Id="rId234" Type="http://schemas.openxmlformats.org/officeDocument/2006/relationships/hyperlink" Target="https://www.spoj.com/problems/ARRANGE/"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chocolate-distribution-problem/0" TargetMode="External"/><Relationship Id="rId276" Type="http://schemas.openxmlformats.org/officeDocument/2006/relationships/hyperlink" Target="https://practice.geeksforgeeks.org/problems/valid-substring0624/1" TargetMode="External"/><Relationship Id="rId441" Type="http://schemas.openxmlformats.org/officeDocument/2006/relationships/hyperlink" Target="https://leetcode.com/problems/best-time-to-buy-and-sell-stock-iv/" TargetMode="External"/><Relationship Id="rId483" Type="http://schemas.openxmlformats.org/officeDocument/2006/relationships/hyperlink" Target="https://www.geeksforgeeks.org/check-if-removing-an-edge-can-divide-a-binary-tree-in-two-halves/" TargetMode="External"/><Relationship Id="rId40" Type="http://schemas.openxmlformats.org/officeDocument/2006/relationships/hyperlink" Target="https://practice.geeksforgeeks.org/problems/sorted-matrix/0" TargetMode="External"/><Relationship Id="rId136" Type="http://schemas.openxmlformats.org/officeDocument/2006/relationships/hyperlink" Target="https://practice.geeksforgeeks.org/problems/sort-a-linked-list/1" TargetMode="External"/><Relationship Id="rId178" Type="http://schemas.openxmlformats.org/officeDocument/2006/relationships/hyperlink" Target="https://www.geeksforgeeks.org/minimum-swap-required-convert-binary-tree-binary-search-tree/" TargetMode="External"/><Relationship Id="rId301" Type="http://schemas.openxmlformats.org/officeDocument/2006/relationships/hyperlink" Target="https://www.geeksforgeeks.org/kth-smallestlargest-element-unsorted-array/" TargetMode="External"/><Relationship Id="rId343" Type="http://schemas.openxmlformats.org/officeDocument/2006/relationships/hyperlink" Target="https://www.geeksforgeeks.org/find-longest-path-directed-acyclic-graph/" TargetMode="External"/><Relationship Id="rId82" Type="http://schemas.openxmlformats.org/officeDocument/2006/relationships/hyperlink" Target="https://practice.geeksforgeeks.org/problems/consecutive-elements/0" TargetMode="External"/><Relationship Id="rId203" Type="http://schemas.openxmlformats.org/officeDocument/2006/relationships/hyperlink" Target="https://practice.geeksforgeeks.org/problems/kth-largest-element-in-bst/1" TargetMode="External"/><Relationship Id="rId385" Type="http://schemas.openxmlformats.org/officeDocument/2006/relationships/hyperlink" Target="https://www.geeksforgeeks.org/maximum-subsequence-sum-such-that-no-three-are-consecutive/" TargetMode="External"/><Relationship Id="rId245" Type="http://schemas.openxmlformats.org/officeDocument/2006/relationships/hyperlink" Target="https://practice.geeksforgeeks.org/problems/m-coloring-problem/0" TargetMode="External"/><Relationship Id="rId287" Type="http://schemas.openxmlformats.org/officeDocument/2006/relationships/hyperlink" Target="https://www.geeksforgeeks.org/interleave-first-half-queue-second-half/" TargetMode="External"/><Relationship Id="rId410" Type="http://schemas.openxmlformats.org/officeDocument/2006/relationships/hyperlink" Target="https://www.geeksforgeeks.org/count-derangements-permutation-such-that-no-element-appears-in-its-original-position/" TargetMode="External"/><Relationship Id="rId452" Type="http://schemas.openxmlformats.org/officeDocument/2006/relationships/hyperlink" Target="https://practice.geeksforgeeks.org/problems/lowest-common-ancestor-in-a-binary-tree/1" TargetMode="External"/><Relationship Id="rId105" Type="http://schemas.openxmlformats.org/officeDocument/2006/relationships/hyperlink" Target="https://www.hackerearth.com/practice/algorithms/searching/binary-search/practice-problems/algorithm/rasta-and-kheshtak/" TargetMode="External"/><Relationship Id="rId147" Type="http://schemas.openxmlformats.org/officeDocument/2006/relationships/hyperlink" Target="https://www.geeksforgeeks.org/rotate-doubly-linked-list-n-nodes/" TargetMode="External"/><Relationship Id="rId312" Type="http://schemas.openxmlformats.org/officeDocument/2006/relationships/hyperlink" Target="https://www.geeksforgeeks.org/convert-min-heap-to-max-heap/" TargetMode="External"/><Relationship Id="rId354" Type="http://schemas.openxmlformats.org/officeDocument/2006/relationships/hyperlink" Target="https://www.geeksforgeeks.org/vertex-cover-problem-set-1-introduction-approximate-algorithm-2/" TargetMode="External"/><Relationship Id="rId51" Type="http://schemas.openxmlformats.org/officeDocument/2006/relationships/hyperlink" Target="https://leetcode.com/problems/count-and-say/" TargetMode="External"/><Relationship Id="rId93" Type="http://schemas.openxmlformats.org/officeDocument/2006/relationships/hyperlink" Target="https://practice.geeksforgeeks.org/problems/find-missing-and-repeating2512/1" TargetMode="External"/><Relationship Id="rId189" Type="http://schemas.openxmlformats.org/officeDocument/2006/relationships/hyperlink" Target="https://www.geeksforgeeks.org/kth-ancestor-node-binary-tree-set-2/" TargetMode="External"/><Relationship Id="rId396" Type="http://schemas.openxmlformats.org/officeDocument/2006/relationships/hyperlink" Target="https://practice.geeksforgeeks.org/problems/reach-a-given-score/0" TargetMode="External"/><Relationship Id="rId214" Type="http://schemas.openxmlformats.org/officeDocument/2006/relationships/hyperlink" Target="https://practice.geeksforgeeks.org/problems/shop-in-candy-store/0" TargetMode="External"/><Relationship Id="rId256" Type="http://schemas.openxmlformats.org/officeDocument/2006/relationships/hyperlink" Target="https://www.geeksforgeeks.org/print-all-possible-paths-from-top-left-to-bottom-right-of-a-mxn-matrix/" TargetMode="External"/><Relationship Id="rId298" Type="http://schemas.openxmlformats.org/officeDocument/2006/relationships/hyperlink" Target="https://www.geeksforgeeks.org/heap-sort/" TargetMode="External"/><Relationship Id="rId421" Type="http://schemas.openxmlformats.org/officeDocument/2006/relationships/hyperlink" Target="https://www.geeksforgeeks.org/largest-area-rectangular-sub-matrix-equal-number-1s-0s/" TargetMode="External"/><Relationship Id="rId463" Type="http://schemas.openxmlformats.org/officeDocument/2006/relationships/hyperlink" Target="https://practice.geeksforgeeks.org/problems/job-sequencing-problem/0" TargetMode="External"/><Relationship Id="rId116" Type="http://schemas.openxmlformats.org/officeDocument/2006/relationships/hyperlink" Target="https://www.spoj.com/problems/PRATA/" TargetMode="External"/><Relationship Id="rId158" Type="http://schemas.openxmlformats.org/officeDocument/2006/relationships/hyperlink" Target="https://practice.geeksforgeeks.org/problems/level-order-traversal/1" TargetMode="External"/><Relationship Id="rId323" Type="http://schemas.openxmlformats.org/officeDocument/2006/relationships/hyperlink" Target="https://leetcode.com/problems/number-of-operations-to-make-network-connected/" TargetMode="External"/><Relationship Id="rId20" Type="http://schemas.openxmlformats.org/officeDocument/2006/relationships/hyperlink" Target="https://practice.geeksforgeeks.org/problems/subarray-with-0-sum/0" TargetMode="External"/><Relationship Id="rId62" Type="http://schemas.openxmlformats.org/officeDocument/2006/relationships/hyperlink" Target="https://www.geeksforgeeks.org/rabin-karp-algorithm-for-pattern-searching/" TargetMode="External"/><Relationship Id="rId365" Type="http://schemas.openxmlformats.org/officeDocument/2006/relationships/hyperlink" Target="https://practice.geeksforgeeks.org/problems/0-1-knapsack-problem/0" TargetMode="External"/><Relationship Id="rId190" Type="http://schemas.openxmlformats.org/officeDocument/2006/relationships/hyperlink" Target="https://practice.geeksforgeeks.org/problems/duplicate-subtrees/1" TargetMode="External"/><Relationship Id="rId204" Type="http://schemas.openxmlformats.org/officeDocument/2006/relationships/hyperlink" Target="https://practice.geeksforgeeks.org/problems/find-k-th-smallest-element-in-bst/1" TargetMode="External"/><Relationship Id="rId225" Type="http://schemas.openxmlformats.org/officeDocument/2006/relationships/hyperlink" Target="https://www.geeksforgeeks.org/program-for-shortest-job-first-or-sjf-cpu-scheduling-set-1-non-preemptive/" TargetMode="External"/><Relationship Id="rId246" Type="http://schemas.openxmlformats.org/officeDocument/2006/relationships/hyperlink" Target="https://www.geeksforgeeks.org/given-a-string-print-all-possible-palindromic-partition/" TargetMode="External"/><Relationship Id="rId267" Type="http://schemas.openxmlformats.org/officeDocument/2006/relationships/hyperlink" Target="https://practice.geeksforgeeks.org/problems/next-larger-element/0" TargetMode="External"/><Relationship Id="rId288" Type="http://schemas.openxmlformats.org/officeDocument/2006/relationships/hyperlink" Target="https://practice.geeksforgeeks.org/problems/circular-tour/1" TargetMode="External"/><Relationship Id="rId411" Type="http://schemas.openxmlformats.org/officeDocument/2006/relationships/hyperlink" Target="https://www.geeksforgeeks.org/maximum-profit-by-buying-and-selling-a-share-at-most-twice/" TargetMode="External"/><Relationship Id="rId432" Type="http://schemas.openxmlformats.org/officeDocument/2006/relationships/hyperlink" Target="https://www.geeksforgeeks.org/divide-two-integers-without-using-multiplication-division-mod-operator/" TargetMode="External"/><Relationship Id="rId453" Type="http://schemas.openxmlformats.org/officeDocument/2006/relationships/hyperlink" Target="https://www.geeksforgeeks.org/tag/avl-tree/" TargetMode="External"/><Relationship Id="rId474" Type="http://schemas.openxmlformats.org/officeDocument/2006/relationships/hyperlink" Target="https://www.geeksforgeeks.org/convert-tree-forest-even-nodes/" TargetMode="External"/><Relationship Id="rId106" Type="http://schemas.openxmlformats.org/officeDocument/2006/relationships/hyperlink" Target="https://www.hackerearth.com/practice/algorithms/searching/binary-search/practice-problems/algorithm/kth-smallest-number-again-2/" TargetMode="External"/><Relationship Id="rId127" Type="http://schemas.openxmlformats.org/officeDocument/2006/relationships/hyperlink" Target="https://practice.geeksforgeeks.org/problems/remove-loop-in-linked-list/1" TargetMode="External"/><Relationship Id="rId313" Type="http://schemas.openxmlformats.org/officeDocument/2006/relationships/hyperlink" Target="https://practice.geeksforgeeks.org/problems/rearrange-characters/0" TargetMode="External"/><Relationship Id="rId10" Type="http://schemas.openxmlformats.org/officeDocument/2006/relationships/hyperlink" Target="https://leetcode.com/problems/find-the-duplicate-number/" TargetMode="External"/><Relationship Id="rId31" Type="http://schemas.openxmlformats.org/officeDocument/2006/relationships/hyperlink" Target="https://practice.geeksforgeeks.org/problems/three-way-partitioning/1" TargetMode="External"/><Relationship Id="rId52" Type="http://schemas.openxmlformats.org/officeDocument/2006/relationships/hyperlink" Target="https://practice.geeksforgeeks.org/problems/longest-palindrome-in-a-string/0" TargetMode="External"/><Relationship Id="rId73" Type="http://schemas.openxmlformats.org/officeDocument/2006/relationships/hyperlink" Target="https://practice.geeksforgeeks.org/problems/second-most-repeated-string-in-a-sequence/0" TargetMode="External"/><Relationship Id="rId94" Type="http://schemas.openxmlformats.org/officeDocument/2006/relationships/hyperlink" Target="https://practice.geeksforgeeks.org/problems/majority-element/0" TargetMode="External"/><Relationship Id="rId148" Type="http://schemas.openxmlformats.org/officeDocument/2006/relationships/hyperlink" Target="https://www.geeksforgeeks.org/reverse-doubly-linked-list-groups-given-size/" TargetMode="External"/><Relationship Id="rId169" Type="http://schemas.openxmlformats.org/officeDocument/2006/relationships/hyperlink" Target="https://practice.geeksforgeeks.org/problems/bottom-view-of-binary-tree/1" TargetMode="External"/><Relationship Id="rId334" Type="http://schemas.openxmlformats.org/officeDocument/2006/relationships/hyperlink" Target="https://practice.geeksforgeeks.org/problems/negative-weight-cycle/0" TargetMode="External"/><Relationship Id="rId355" Type="http://schemas.openxmlformats.org/officeDocument/2006/relationships/hyperlink" Target="https://www.geeksforgeeks.org/number-of-triangles-in-directed-and-undirected-graphs/" TargetMode="External"/><Relationship Id="rId376" Type="http://schemas.openxmlformats.org/officeDocument/2006/relationships/hyperlink" Target="https://practice.geeksforgeeks.org/problems/cutted-segments/0" TargetMode="External"/><Relationship Id="rId397" Type="http://schemas.openxmlformats.org/officeDocument/2006/relationships/hyperlink" Target="https://practice.geeksforgeeks.org/problems/bbt-counter/0" TargetMode="External"/><Relationship Id="rId4" Type="http://schemas.openxmlformats.org/officeDocument/2006/relationships/hyperlink" Target="https://www.geeksforgeeks.org/move-negative-numbers-beginning-positive-end-constant-extra-space/" TargetMode="External"/><Relationship Id="rId180" Type="http://schemas.openxmlformats.org/officeDocument/2006/relationships/hyperlink" Target="https://practice.geeksforgeeks.org/problems/leaf-at-same-level/1" TargetMode="External"/><Relationship Id="rId215" Type="http://schemas.openxmlformats.org/officeDocument/2006/relationships/hyperlink" Target="https://www.geeksforgeeks.org/minimize-cash-flow-among-given-set-friends-borrowed-money/" TargetMode="External"/><Relationship Id="rId236" Type="http://schemas.openxmlformats.org/officeDocument/2006/relationships/hyperlink" Target="https://practice.geeksforgeeks.org/problems/minimum-cost-of-ropes/0" TargetMode="External"/><Relationship Id="rId257" Type="http://schemas.openxmlformats.org/officeDocument/2006/relationships/hyperlink" Target="https://practice.geeksforgeeks.org/problems/partition-array-to-k-subsets/1" TargetMode="External"/><Relationship Id="rId278" Type="http://schemas.openxmlformats.org/officeDocument/2006/relationships/hyperlink" Target="https://practice.geeksforgeeks.org/problems/stack-using-two-queues/1" TargetMode="External"/><Relationship Id="rId401" Type="http://schemas.openxmlformats.org/officeDocument/2006/relationships/hyperlink" Target="https://practice.geeksforgeeks.org/problems/word-break/0" TargetMode="External"/><Relationship Id="rId422" Type="http://schemas.openxmlformats.org/officeDocument/2006/relationships/hyperlink" Target="https://www.geeksforgeeks.org/largest-rectangular-sub-matrix-whose-sum-0/" TargetMode="External"/><Relationship Id="rId443" Type="http://schemas.openxmlformats.org/officeDocument/2006/relationships/hyperlink" Target="https://practice.geeksforgeeks.org/problems/kth-smallest-element/0" TargetMode="External"/><Relationship Id="rId464" Type="http://schemas.openxmlformats.org/officeDocument/2006/relationships/hyperlink" Target="https://practice.geeksforgeeks.org/problems/n-meetings-in-one-room/0" TargetMode="External"/><Relationship Id="rId303" Type="http://schemas.openxmlformats.org/officeDocument/2006/relationships/hyperlink" Target="https://practice.geeksforgeeks.org/problems/merge-two-binary-max-heap/0" TargetMode="External"/><Relationship Id="rId485" Type="http://schemas.openxmlformats.org/officeDocument/2006/relationships/hyperlink" Target="https://practice.geeksforgeeks.org/problems/merge-two-bst-s/1" TargetMode="External"/><Relationship Id="rId42" Type="http://schemas.openxmlformats.org/officeDocument/2006/relationships/hyperlink" Target="https://www.geeksforgeeks.org/find-a-specific-pair-in-matrix/" TargetMode="External"/><Relationship Id="rId84" Type="http://schemas.openxmlformats.org/officeDocument/2006/relationships/hyperlink" Target="https://www.geeksforgeeks.org/function-to-find-number-of-customers-who-could-not-get-a-computer/" TargetMode="External"/><Relationship Id="rId138" Type="http://schemas.openxmlformats.org/officeDocument/2006/relationships/hyperlink" Target="https://leetcode.com/problems/middle-of-the-linked-list/" TargetMode="External"/><Relationship Id="rId345" Type="http://schemas.openxmlformats.org/officeDocument/2006/relationships/hyperlink" Target="https://leetcode.com/problems/cheapest-flights-within-k-stops/description/" TargetMode="External"/><Relationship Id="rId387" Type="http://schemas.openxmlformats.org/officeDocument/2006/relationships/hyperlink" Target="https://practice.geeksforgeeks.org/problems/max-length-chain/1" TargetMode="External"/><Relationship Id="rId191" Type="http://schemas.openxmlformats.org/officeDocument/2006/relationships/hyperlink" Target="https://practice.geeksforgeeks.org/problems/check-if-tree-is-isomorphic/1" TargetMode="External"/><Relationship Id="rId205" Type="http://schemas.openxmlformats.org/officeDocument/2006/relationships/hyperlink" Target="https://practice.geeksforgeeks.org/problems/brothers-from-different-root/1" TargetMode="External"/><Relationship Id="rId247" Type="http://schemas.openxmlformats.org/officeDocument/2006/relationships/hyperlink" Target="https://practice.geeksforgeeks.org/problems/subset-sum-problem2014/1" TargetMode="External"/><Relationship Id="rId412" Type="http://schemas.openxmlformats.org/officeDocument/2006/relationships/hyperlink" Target="https://practice.geeksforgeeks.org/problems/optimal-strategy-for-a-game/0" TargetMode="External"/><Relationship Id="rId107" Type="http://schemas.openxmlformats.org/officeDocument/2006/relationships/hyperlink" Target="http://theoryofprogramming.com/2017/12/16/find-pivot-element-sorted-rotated-array/" TargetMode="External"/><Relationship Id="rId289" Type="http://schemas.openxmlformats.org/officeDocument/2006/relationships/hyperlink" Target="https://practice.geeksforgeeks.org/problems/rotten-oranges/0" TargetMode="External"/><Relationship Id="rId454" Type="http://schemas.openxmlformats.org/officeDocument/2006/relationships/hyperlink" Target="https://www.geeksforgeeks.org/construct-all-possible-bsts-for-keys-1-to-n/" TargetMode="External"/><Relationship Id="rId11" Type="http://schemas.openxmlformats.org/officeDocument/2006/relationships/hyperlink" Target="https://practice.geeksforgeeks.org/problems/merge-two-sorted-arrays5135/1" TargetMode="External"/><Relationship Id="rId53" Type="http://schemas.openxmlformats.org/officeDocument/2006/relationships/hyperlink" Target="https://practice.geeksforgeeks.org/problems/longest-repeating-subsequence/0" TargetMode="External"/><Relationship Id="rId149" Type="http://schemas.openxmlformats.org/officeDocument/2006/relationships/hyperlink" Target="https://practice.geeksforgeeks.org/problems/flattening-a-linked-list/1" TargetMode="External"/><Relationship Id="rId314" Type="http://schemas.openxmlformats.org/officeDocument/2006/relationships/hyperlink" Target="https://practice.geeksforgeeks.org/problems/minimum-sum4058/1" TargetMode="External"/><Relationship Id="rId356" Type="http://schemas.openxmlformats.org/officeDocument/2006/relationships/hyperlink" Target="https://www.geeksforgeeks.org/minimize-cash-flow-among-given-set-friends-borrowed-money/" TargetMode="External"/><Relationship Id="rId398" Type="http://schemas.openxmlformats.org/officeDocument/2006/relationships/hyperlink" Target="https://practice.geeksforgeeks.org/problems/kadanes-algorithm/0" TargetMode="External"/><Relationship Id="rId95" Type="http://schemas.openxmlformats.org/officeDocument/2006/relationships/hyperlink" Target="https://www.geeksforgeeks.org/searching-array-adjacent-differ-k/" TargetMode="External"/><Relationship Id="rId160" Type="http://schemas.openxmlformats.org/officeDocument/2006/relationships/hyperlink" Target="https://practice.geeksforgeeks.org/problems/height-of-binary-tree/1" TargetMode="External"/><Relationship Id="rId216" Type="http://schemas.openxmlformats.org/officeDocument/2006/relationships/hyperlink" Target="https://www.geeksforgeeks.org/minimum-cost-cut-board-squares/" TargetMode="External"/><Relationship Id="rId423" Type="http://schemas.openxmlformats.org/officeDocument/2006/relationships/hyperlink" Target="https://practice.geeksforgeeks.org/problems/boolean-parenthesization/0" TargetMode="External"/><Relationship Id="rId258" Type="http://schemas.openxmlformats.org/officeDocument/2006/relationships/hyperlink" Target="https://www.geeksforgeeks.org/find-the-k-th-permutation-sequence-of-first-n-natural-numbers/" TargetMode="External"/><Relationship Id="rId465" Type="http://schemas.openxmlformats.org/officeDocument/2006/relationships/hyperlink" Target="https://www.geeksforgeeks.org/shortest-distance-between-two-nodes-in-bst/" TargetMode="External"/><Relationship Id="rId22" Type="http://schemas.openxmlformats.org/officeDocument/2006/relationships/hyperlink" Target="https://practice.geeksforgeeks.org/problems/maximum-product-subarray3604/1" TargetMode="External"/><Relationship Id="rId64" Type="http://schemas.openxmlformats.org/officeDocument/2006/relationships/hyperlink" Target="https://www.geeksforgeeks.org/convert-sentence-equivalent-mobile-numeric-keypad-sequence/" TargetMode="External"/><Relationship Id="rId118" Type="http://schemas.openxmlformats.org/officeDocument/2006/relationships/hyperlink" Target="https://www.spoj.com/problems/SUBSUMS/" TargetMode="External"/><Relationship Id="rId325" Type="http://schemas.openxmlformats.org/officeDocument/2006/relationships/hyperlink" Target="https://www.geeksforgeeks.org/dijkstras-shortest-path-algorithm-greedy-algo-7/" TargetMode="External"/><Relationship Id="rId367" Type="http://schemas.openxmlformats.org/officeDocument/2006/relationships/hyperlink" Target="https://www.geeksforgeeks.org/permutation-coefficient/" TargetMode="External"/><Relationship Id="rId171" Type="http://schemas.openxmlformats.org/officeDocument/2006/relationships/hyperlink" Target="https://practice.geeksforgeeks.org/problems/check-for-balanced-tree/1" TargetMode="External"/><Relationship Id="rId227" Type="http://schemas.openxmlformats.org/officeDocument/2006/relationships/hyperlink" Target="https://www.geeksforgeeks.org/smallest-subset-sum-greater-elements/" TargetMode="External"/><Relationship Id="rId269" Type="http://schemas.openxmlformats.org/officeDocument/2006/relationships/hyperlink" Target="https://www.geeksforgeeks.org/arithmetic-expression-evalution/" TargetMode="External"/><Relationship Id="rId434" Type="http://schemas.openxmlformats.org/officeDocument/2006/relationships/hyperlink" Target="https://1drv.ms/t/s!AqTOHFO77CqEiRua06v1PATyiFg5" TargetMode="External"/><Relationship Id="rId476" Type="http://schemas.openxmlformats.org/officeDocument/2006/relationships/hyperlink" Target="https://www.geeksforgeeks.org/creating-tree-left-child-right-sibling-representation/" TargetMode="External"/><Relationship Id="rId33" Type="http://schemas.openxmlformats.org/officeDocument/2006/relationships/hyperlink" Target="https://practice.geeksforgeeks.org/problems/palindromic-array/0" TargetMode="External"/><Relationship Id="rId129" Type="http://schemas.openxmlformats.org/officeDocument/2006/relationships/hyperlink" Target="https://practice.geeksforgeeks.org/problems/remove-duplicate-element-from-sorted-linked-list/1" TargetMode="External"/><Relationship Id="rId280" Type="http://schemas.openxmlformats.org/officeDocument/2006/relationships/hyperlink" Target="https://www.geeksforgeeks.org/stack-permutations-check-if-an-array-is-stack-permutation-of-other/" TargetMode="External"/><Relationship Id="rId336" Type="http://schemas.openxmlformats.org/officeDocument/2006/relationships/hyperlink" Target="https://www.geeksforgeeks.org/travelling-salesman-problem-set-1/" TargetMode="External"/><Relationship Id="rId75" Type="http://schemas.openxmlformats.org/officeDocument/2006/relationships/hyperlink" Target="https://practice.geeksforgeeks.org/problems/longest-common-subsequence/0" TargetMode="External"/><Relationship Id="rId140" Type="http://schemas.openxmlformats.org/officeDocument/2006/relationships/hyperlink" Target="https://practice.geeksforgeeks.org/problems/split-a-circular-linked-list-into-two-halves/1" TargetMode="External"/><Relationship Id="rId182" Type="http://schemas.openxmlformats.org/officeDocument/2006/relationships/hyperlink" Target="https://practice.geeksforgeeks.org/problems/check-mirror-in-n-ary-tree/0" TargetMode="External"/><Relationship Id="rId378" Type="http://schemas.openxmlformats.org/officeDocument/2006/relationships/hyperlink" Target="https://practice.geeksforgeeks.org/problems/longest-repeating-subsequence/0" TargetMode="External"/><Relationship Id="rId403" Type="http://schemas.openxmlformats.org/officeDocument/2006/relationships/hyperlink" Target="https://practice.geeksforgeeks.org/problems/subset-sum-problem2014/1" TargetMode="External"/><Relationship Id="rId6" Type="http://schemas.openxmlformats.org/officeDocument/2006/relationships/hyperlink" Target="https://practice.geeksforgeeks.org/problems/cyclically-rotate-an-array-by-one/0" TargetMode="External"/><Relationship Id="rId238" Type="http://schemas.openxmlformats.org/officeDocument/2006/relationships/hyperlink" Target="https://practice.geeksforgeeks.org/problems/rearrange-characters/0" TargetMode="External"/><Relationship Id="rId445" Type="http://schemas.openxmlformats.org/officeDocument/2006/relationships/hyperlink" Target="https://leetcode.com/problems/reorganize-string/" TargetMode="External"/><Relationship Id="rId487" Type="http://schemas.openxmlformats.org/officeDocument/2006/relationships/hyperlink" Target="https://www.geeksforgeeks.org/reverse-tree-path/" TargetMode="External"/><Relationship Id="rId291" Type="http://schemas.openxmlformats.org/officeDocument/2006/relationships/hyperlink" Target="https://practice.geeksforgeeks.org/problems/first-negative-integer-in-every-window-of-size-k/0" TargetMode="External"/><Relationship Id="rId305" Type="http://schemas.openxmlformats.org/officeDocument/2006/relationships/hyperlink" Target="https://leetcode.com/problems/reorganize-string/" TargetMode="External"/><Relationship Id="rId347" Type="http://schemas.openxmlformats.org/officeDocument/2006/relationships/hyperlink" Target="https://www.geeksforgeeks.org/water-jug-problem-using-bfs/" TargetMode="External"/><Relationship Id="rId44" Type="http://schemas.openxmlformats.org/officeDocument/2006/relationships/hyperlink" Target="https://practice.geeksforgeeks.org/problems/kth-element-in-matrix/1" TargetMode="External"/><Relationship Id="rId86" Type="http://schemas.openxmlformats.org/officeDocument/2006/relationships/hyperlink" Target="https://practice.geeksforgeeks.org/problems/isomorphic-strings/0" TargetMode="External"/><Relationship Id="rId151" Type="http://schemas.openxmlformats.org/officeDocument/2006/relationships/hyperlink" Target="https://practice.geeksforgeeks.org/problems/clone-a-linked-list-with-next-and-random-pointer/1" TargetMode="External"/><Relationship Id="rId389" Type="http://schemas.openxmlformats.org/officeDocument/2006/relationships/hyperlink" Target="https://practice.geeksforgeeks.org/problems/pairs-with-specific-difference/0" TargetMode="External"/><Relationship Id="rId193" Type="http://schemas.openxmlformats.org/officeDocument/2006/relationships/hyperlink" Target="https://leetcode.com/problems/delete-node-in-a-bst/" TargetMode="External"/><Relationship Id="rId207" Type="http://schemas.openxmlformats.org/officeDocument/2006/relationships/hyperlink" Target="https://practice.geeksforgeeks.org/problems/count-bst-nodes-that-lie-in-a-given-range/1" TargetMode="External"/><Relationship Id="rId249" Type="http://schemas.openxmlformats.org/officeDocument/2006/relationships/hyperlink" Target="https://www.geeksforgeeks.org/tug-of-war/" TargetMode="External"/><Relationship Id="rId414" Type="http://schemas.openxmlformats.org/officeDocument/2006/relationships/hyperlink" Target="https://practice.geeksforgeeks.org/problems/palindromic-patitioning4845/1" TargetMode="External"/><Relationship Id="rId456" Type="http://schemas.openxmlformats.org/officeDocument/2006/relationships/hyperlink" Target="https://www.geeksforgeeks.org/buy-maximum-stocks-stocks-can-bought-th-day/" TargetMode="External"/><Relationship Id="rId13" Type="http://schemas.openxmlformats.org/officeDocument/2006/relationships/hyperlink" Target="https://leetcode.com/problems/merge-intervals/" TargetMode="External"/><Relationship Id="rId109" Type="http://schemas.openxmlformats.org/officeDocument/2006/relationships/hyperlink" Target="https://www.spoj.com/problems/AGGRCOW/" TargetMode="External"/><Relationship Id="rId260" Type="http://schemas.openxmlformats.org/officeDocument/2006/relationships/hyperlink" Target="https://www.geeksforgeeks.org/queue-set-1introduction-and-array-implementation/" TargetMode="External"/><Relationship Id="rId316" Type="http://schemas.openxmlformats.org/officeDocument/2006/relationships/hyperlink" Target="https://www.geeksforgeeks.org/depth-first-search-or-dfs-for-a-graph/" TargetMode="External"/><Relationship Id="rId55" Type="http://schemas.openxmlformats.org/officeDocument/2006/relationships/hyperlink" Target="https://practice.geeksforgeeks.org/problems/permutations-of-a-given-string/0" TargetMode="External"/><Relationship Id="rId97" Type="http://schemas.openxmlformats.org/officeDocument/2006/relationships/hyperlink" Target="https://practice.geeksforgeeks.org/problems/find-all-four-sum-numbers/0" TargetMode="External"/><Relationship Id="rId120" Type="http://schemas.openxmlformats.org/officeDocument/2006/relationships/hyperlink" Target="https://www.geeksforgeeks.org/in-place-merge-sort/" TargetMode="External"/><Relationship Id="rId358" Type="http://schemas.openxmlformats.org/officeDocument/2006/relationships/hyperlink" Target="https://www.geeksforgeeks.org/trie-insert-and-search/" TargetMode="External"/><Relationship Id="rId162" Type="http://schemas.openxmlformats.org/officeDocument/2006/relationships/hyperlink" Target="https://www.geeksforgeeks.org/create-a-mirror-tree-from-the-given-binary-tree/" TargetMode="External"/><Relationship Id="rId218" Type="http://schemas.openxmlformats.org/officeDocument/2006/relationships/hyperlink" Target="https://www.geeksforgeeks.org/find-maximum-meetings-in-one-room/" TargetMode="External"/><Relationship Id="rId425" Type="http://schemas.openxmlformats.org/officeDocument/2006/relationships/hyperlink" Target="https://practice.geeksforgeeks.org/problems/finding-the-numbers0215/1" TargetMode="External"/><Relationship Id="rId467" Type="http://schemas.openxmlformats.org/officeDocument/2006/relationships/hyperlink" Target="https://www.geeksforgeeks.org/clone-binary-tree-random-pointers/" TargetMode="External"/><Relationship Id="rId271" Type="http://schemas.openxmlformats.org/officeDocument/2006/relationships/hyperlink" Target="https://stackoverflow.com/questions/45130465/inserting-at-the-end-of-stack" TargetMode="External"/><Relationship Id="rId24" Type="http://schemas.openxmlformats.org/officeDocument/2006/relationships/hyperlink" Target="https://www.geeksforgeeks.org/given-an-array-of-of-size-n-finds-all-the-elements-that-appear-more-than-nk-times/" TargetMode="External"/><Relationship Id="rId66" Type="http://schemas.openxmlformats.org/officeDocument/2006/relationships/hyperlink" Target="https://practice.geeksforgeeks.org/problems/count-palindromic-subsequences/1" TargetMode="External"/><Relationship Id="rId131" Type="http://schemas.openxmlformats.org/officeDocument/2006/relationships/hyperlink" Target="https://www.geeksforgeeks.org/move-last-element-to-front-of-a-given-linked-list/" TargetMode="External"/><Relationship Id="rId327" Type="http://schemas.openxmlformats.org/officeDocument/2006/relationships/hyperlink" Target="https://www.geeksforgeeks.org/minimum-time-taken-by-each-job-to-be-completed-given-by-a-directed-acyclic-graph/" TargetMode="External"/><Relationship Id="rId369" Type="http://schemas.openxmlformats.org/officeDocument/2006/relationships/hyperlink" Target="https://www.geeksforgeeks.org/matrix-chain-multiplication-dp-8/" TargetMode="External"/><Relationship Id="rId173" Type="http://schemas.openxmlformats.org/officeDocument/2006/relationships/hyperlink" Target="https://practice.geeksforgeeks.org/problems/boundary-traversal-of-binary-tree/1" TargetMode="External"/><Relationship Id="rId229" Type="http://schemas.openxmlformats.org/officeDocument/2006/relationships/hyperlink" Target="https://www.spoj.com/problems/DEFKIN/" TargetMode="External"/><Relationship Id="rId380" Type="http://schemas.openxmlformats.org/officeDocument/2006/relationships/hyperlink" Target="https://www.geeksforgeeks.org/space-optimized-solution-lcs/" TargetMode="External"/><Relationship Id="rId436" Type="http://schemas.openxmlformats.org/officeDocument/2006/relationships/hyperlink" Target="https://leetcode.com/problems/maximum-profit-in-job-scheduling" TargetMode="External"/><Relationship Id="rId240" Type="http://schemas.openxmlformats.org/officeDocument/2006/relationships/hyperlink" Target="https://practice.geeksforgeeks.org/problems/rat-in-a-maze-problem/1" TargetMode="External"/><Relationship Id="rId478" Type="http://schemas.openxmlformats.org/officeDocument/2006/relationships/hyperlink" Target="https://www.geeksforgeeks.org/find-maximum-path-sum-two-leaves-binary-tree/" TargetMode="External"/><Relationship Id="rId35" Type="http://schemas.openxmlformats.org/officeDocument/2006/relationships/hyperlink" Target="https://www.geeksforgeeks.org/median-of-two-sorted-arrays-of-different-sizes/" TargetMode="External"/><Relationship Id="rId77" Type="http://schemas.openxmlformats.org/officeDocument/2006/relationships/hyperlink" Target="https://practice.geeksforgeeks.org/problems/smallest-distant-window/0" TargetMode="External"/><Relationship Id="rId100" Type="http://schemas.openxmlformats.org/officeDocument/2006/relationships/hyperlink" Target="https://practice.geeksforgeeks.org/problems/zero-sum-subarrays/0" TargetMode="External"/><Relationship Id="rId282" Type="http://schemas.openxmlformats.org/officeDocument/2006/relationships/hyperlink" Target="https://www.geeksforgeeks.org/efficiently-implement-k-queues-single-array/" TargetMode="External"/><Relationship Id="rId338" Type="http://schemas.openxmlformats.org/officeDocument/2006/relationships/hyperlink" Target="https://leetcode.com/problems/snakes-and-ladders/" TargetMode="External"/><Relationship Id="rId8" Type="http://schemas.openxmlformats.org/officeDocument/2006/relationships/hyperlink" Target="https://practice.geeksforgeeks.org/problems/minimize-the-heights3351/1" TargetMode="External"/><Relationship Id="rId142" Type="http://schemas.openxmlformats.org/officeDocument/2006/relationships/hyperlink" Target="https://www.geeksforgeeks.org/deletion-circular-linked-list/" TargetMode="External"/><Relationship Id="rId184" Type="http://schemas.openxmlformats.org/officeDocument/2006/relationships/hyperlink" Target="https://www.geeksforgeeks.org/check-given-graph-tree/" TargetMode="External"/><Relationship Id="rId391" Type="http://schemas.openxmlformats.org/officeDocument/2006/relationships/hyperlink" Target="https://practice.geeksforgeeks.org/problems/maximum-difference-of-zeros-and-ones-in-binary-string4111/1" TargetMode="External"/><Relationship Id="rId405" Type="http://schemas.openxmlformats.org/officeDocument/2006/relationships/hyperlink" Target="https://www.geeksforgeeks.org/longest-palindromic-subsequence-dp-12/" TargetMode="External"/><Relationship Id="rId447" Type="http://schemas.openxmlformats.org/officeDocument/2006/relationships/hyperlink" Target="https://leetcode.com/problems/partition-to-k-equal-sum-subsets/" TargetMode="External"/><Relationship Id="rId251" Type="http://schemas.openxmlformats.org/officeDocument/2006/relationships/hyperlink" Target="https://practice.geeksforgeeks.org/problems/combination-sum/0" TargetMode="External"/><Relationship Id="rId489" Type="http://schemas.openxmlformats.org/officeDocument/2006/relationships/hyperlink" Target="https://leetcode.com/problems/recover-binary-search-tree/" TargetMode="External"/><Relationship Id="rId46" Type="http://schemas.openxmlformats.org/officeDocument/2006/relationships/hyperlink" Target="https://leetcode.com/problems/reverse-string/" TargetMode="External"/><Relationship Id="rId293" Type="http://schemas.openxmlformats.org/officeDocument/2006/relationships/hyperlink" Target="https://www.geeksforgeeks.org/sum-minimum-maximum-elements-subarrays-size-k/" TargetMode="External"/><Relationship Id="rId307" Type="http://schemas.openxmlformats.org/officeDocument/2006/relationships/hyperlink" Target="https://practice.geeksforgeeks.org/problems/find-smallest-range-containing-elements-from-k-lists/1" TargetMode="External"/><Relationship Id="rId349" Type="http://schemas.openxmlformats.org/officeDocument/2006/relationships/hyperlink" Target="https://www.geeksforgeeks.org/find-if-there-is-a-path-of-more-than-k-length-from-a-source/" TargetMode="External"/><Relationship Id="rId88" Type="http://schemas.openxmlformats.org/officeDocument/2006/relationships/hyperlink" Target="https://practice.geeksforgeeks.org/problems/first-and-last-occurrences-of-x/0" TargetMode="External"/><Relationship Id="rId111" Type="http://schemas.openxmlformats.org/officeDocument/2006/relationships/hyperlink" Target="https://www.spoj.com/problems/EKO/" TargetMode="External"/><Relationship Id="rId153" Type="http://schemas.openxmlformats.org/officeDocument/2006/relationships/hyperlink" Target="https://practice.geeksforgeeks.org/problems/multiply-two-linked-lists/1" TargetMode="External"/><Relationship Id="rId195" Type="http://schemas.openxmlformats.org/officeDocument/2006/relationships/hyperlink" Target="https://practice.geeksforgeeks.org/problems/predecessor-and-successor/1" TargetMode="External"/><Relationship Id="rId209" Type="http://schemas.openxmlformats.org/officeDocument/2006/relationships/hyperlink" Target="https://www.geeksforgeeks.org/given-n-appointments-find-conflicting-appointments/" TargetMode="External"/><Relationship Id="rId360" Type="http://schemas.openxmlformats.org/officeDocument/2006/relationships/hyperlink" Target="https://www.geeksforgeeks.org/word-break-problem-trie-solution/" TargetMode="External"/><Relationship Id="rId416" Type="http://schemas.openxmlformats.org/officeDocument/2006/relationships/hyperlink" Target="https://practice.geeksforgeeks.org/problems/mobile-numeric-keypad5456/1" TargetMode="External"/><Relationship Id="rId220" Type="http://schemas.openxmlformats.org/officeDocument/2006/relationships/hyperlink" Target="https://practice.geeksforgeeks.org/problems/maximize-sum-after-k-negations/0" TargetMode="External"/><Relationship Id="rId458" Type="http://schemas.openxmlformats.org/officeDocument/2006/relationships/hyperlink" Target="https://www.geeksforgeeks.org/maximum-trains-stoppage-can-provided/" TargetMode="External"/><Relationship Id="rId15" Type="http://schemas.openxmlformats.org/officeDocument/2006/relationships/hyperlink" Target="https://practice.geeksforgeeks.org/problems/inversion-of-array/0" TargetMode="External"/><Relationship Id="rId57" Type="http://schemas.openxmlformats.org/officeDocument/2006/relationships/hyperlink" Target="https://practice.geeksforgeeks.org/problems/word-wrap/0" TargetMode="External"/><Relationship Id="rId262" Type="http://schemas.openxmlformats.org/officeDocument/2006/relationships/hyperlink" Target="https://www.geeksforgeeks.org/design-a-stack-with-find-middle-operation/" TargetMode="External"/><Relationship Id="rId318" Type="http://schemas.openxmlformats.org/officeDocument/2006/relationships/hyperlink" Target="https://practice.geeksforgeeks.org/problems/detect-cycle-in-an-undirected-graph/1" TargetMode="External"/><Relationship Id="rId99" Type="http://schemas.openxmlformats.org/officeDocument/2006/relationships/hyperlink" Target="https://practice.geeksforgeeks.org/problems/merge-two-sorted-arrays5135/1" TargetMode="External"/><Relationship Id="rId122" Type="http://schemas.openxmlformats.org/officeDocument/2006/relationships/hyperlink" Target="https://practice.geeksforgeeks.org/problems/middle-of-three2926/1" TargetMode="External"/><Relationship Id="rId164" Type="http://schemas.openxmlformats.org/officeDocument/2006/relationships/hyperlink" Target="https://www.techiedelight.com/preorder-tree-traversal-iterative-recursive/" TargetMode="External"/><Relationship Id="rId371" Type="http://schemas.openxmlformats.org/officeDocument/2006/relationships/hyperlink" Target="https://practice.geeksforgeeks.org/problems/subset-sum-problem2014/1" TargetMode="External"/><Relationship Id="rId427" Type="http://schemas.openxmlformats.org/officeDocument/2006/relationships/hyperlink" Target="https://practice.geeksforgeeks.org/problems/count-total-set-bits/0" TargetMode="External"/><Relationship Id="rId469" Type="http://schemas.openxmlformats.org/officeDocument/2006/relationships/hyperlink" Target="https://www.geeksforgeeks.org/construct-full-k-ary-tree-preorder-traversal/" TargetMode="External"/><Relationship Id="rId26" Type="http://schemas.openxmlformats.org/officeDocument/2006/relationships/hyperlink" Target="https://practice.geeksforgeeks.org/problems/array-subset-of-another-array/0" TargetMode="External"/><Relationship Id="rId231" Type="http://schemas.openxmlformats.org/officeDocument/2006/relationships/hyperlink" Target="https://www.spoj.com/problems/GERGOVIA/" TargetMode="External"/><Relationship Id="rId273" Type="http://schemas.openxmlformats.org/officeDocument/2006/relationships/hyperlink" Target="https://practice.geeksforgeeks.org/problems/sort-a-stack/1" TargetMode="External"/><Relationship Id="rId329" Type="http://schemas.openxmlformats.org/officeDocument/2006/relationships/hyperlink" Target="https://practice.geeksforgeeks.org/problems/find-the-number-of-islands/1" TargetMode="External"/><Relationship Id="rId480" Type="http://schemas.openxmlformats.org/officeDocument/2006/relationships/hyperlink" Target="https://www.geeksforgeeks.org/construct-binary-tree-string-bracket-representation/" TargetMode="External"/><Relationship Id="rId68" Type="http://schemas.openxmlformats.org/officeDocument/2006/relationships/hyperlink" Target="https://practice.geeksforgeeks.org/problems/find-the-string-in-grid/0" TargetMode="External"/><Relationship Id="rId133" Type="http://schemas.openxmlformats.org/officeDocument/2006/relationships/hyperlink" Target="https://practice.geeksforgeeks.org/problems/add-two-numbers-represented-by-linked-lists/1" TargetMode="External"/><Relationship Id="rId175" Type="http://schemas.openxmlformats.org/officeDocument/2006/relationships/hyperlink" Target="https://practice.geeksforgeeks.org/problems/binary-tree-to-dll/1" TargetMode="External"/><Relationship Id="rId340" Type="http://schemas.openxmlformats.org/officeDocument/2006/relationships/hyperlink" Target="https://practice.geeksforgeeks.org/problems/strongly-connected-components-kosarajus-algo/1" TargetMode="External"/><Relationship Id="rId200" Type="http://schemas.openxmlformats.org/officeDocument/2006/relationships/hyperlink" Target="https://practice.geeksforgeeks.org/problems/binary-tree-to-bst/1" TargetMode="External"/><Relationship Id="rId382" Type="http://schemas.openxmlformats.org/officeDocument/2006/relationships/hyperlink" Target="https://practice.geeksforgeeks.org/problems/maximum-sum-increasing-subsequence4749/1" TargetMode="External"/><Relationship Id="rId438" Type="http://schemas.openxmlformats.org/officeDocument/2006/relationships/hyperlink" Target="https://leetcode.com/problems/find-median-from-data-stream/" TargetMode="External"/><Relationship Id="rId242" Type="http://schemas.openxmlformats.org/officeDocument/2006/relationships/hyperlink" Target="https://practice.geeksforgeeks.org/problems/word-break-part-2/0" TargetMode="External"/><Relationship Id="rId284" Type="http://schemas.openxmlformats.org/officeDocument/2006/relationships/hyperlink" Target="https://practice.geeksforgeeks.org/problems/lru-cache/1" TargetMode="External"/><Relationship Id="rId491" Type="http://schemas.openxmlformats.org/officeDocument/2006/relationships/drawing" Target="../drawings/drawing1.xml"/><Relationship Id="rId37" Type="http://schemas.openxmlformats.org/officeDocument/2006/relationships/hyperlink" Target="https://leetcode.com/problems/search-a-2d-matrix/" TargetMode="External"/><Relationship Id="rId79" Type="http://schemas.openxmlformats.org/officeDocument/2006/relationships/hyperlink" Target="https://www.geeksforgeeks.org/minimum-characters-added-front-make-string-palindrome/" TargetMode="External"/><Relationship Id="rId102" Type="http://schemas.openxmlformats.org/officeDocument/2006/relationships/hyperlink" Target="https://practice.geeksforgeeks.org/problems/sort-by-set-bit-count/0" TargetMode="External"/><Relationship Id="rId144" Type="http://schemas.openxmlformats.org/officeDocument/2006/relationships/hyperlink" Target="https://www.geeksforgeeks.org/find-pairs-given-sum-doubly-linked-list/" TargetMode="External"/><Relationship Id="rId90" Type="http://schemas.openxmlformats.org/officeDocument/2006/relationships/hyperlink" Target="https://leetcode.com/problems/search-in-rotated-sorted-array/" TargetMode="External"/><Relationship Id="rId186" Type="http://schemas.openxmlformats.org/officeDocument/2006/relationships/hyperlink" Target="https://www.geeksforgeeks.org/maximum-sum-nodes-binary-tree-no-two-adjacent/" TargetMode="External"/><Relationship Id="rId351" Type="http://schemas.openxmlformats.org/officeDocument/2006/relationships/hyperlink" Target="https://www.geeksforgeeks.org/minimum-edges-reverse-make-path-source-destination/" TargetMode="External"/><Relationship Id="rId393" Type="http://schemas.openxmlformats.org/officeDocument/2006/relationships/hyperlink" Target="https://practice.geeksforgeeks.org/problems/minimum-cost-to-fill-given-weight-in-a-bag1956/1" TargetMode="External"/><Relationship Id="rId407" Type="http://schemas.openxmlformats.org/officeDocument/2006/relationships/hyperlink" Target="https://practice.geeksforgeeks.org/problems/longest-alternating-subsequence/0" TargetMode="External"/><Relationship Id="rId449" Type="http://schemas.openxmlformats.org/officeDocument/2006/relationships/hyperlink" Target="https://leetcode.com/problems/merge-two-binary-trees/" TargetMode="External"/><Relationship Id="rId211" Type="http://schemas.openxmlformats.org/officeDocument/2006/relationships/hyperlink" Target="https://practice.geeksforgeeks.org/problems/check-whether-bst-contains-dead-end/1" TargetMode="External"/><Relationship Id="rId253" Type="http://schemas.openxmlformats.org/officeDocument/2006/relationships/hyperlink" Target="https://practice.geeksforgeeks.org/problems/permutations-of-a-given-string/0" TargetMode="External"/><Relationship Id="rId295" Type="http://schemas.openxmlformats.org/officeDocument/2006/relationships/hyperlink" Target="https://practice.geeksforgeeks.org/problems/first-non-repeating-character-in-a-stream/0" TargetMode="External"/><Relationship Id="rId309" Type="http://schemas.openxmlformats.org/officeDocument/2006/relationships/hyperlink" Target="https://practice.geeksforgeeks.org/problems/is-binary-tree-heap/1" TargetMode="External"/><Relationship Id="rId460" Type="http://schemas.openxmlformats.org/officeDocument/2006/relationships/hyperlink" Target="https://practice.geeksforgeeks.org/problems/fractional-knapsack/0" TargetMode="External"/><Relationship Id="rId48" Type="http://schemas.openxmlformats.org/officeDocument/2006/relationships/hyperlink" Target="https://www.geeksforgeeks.org/print-all-the-duplicates-in-the-input-string/" TargetMode="External"/><Relationship Id="rId113" Type="http://schemas.openxmlformats.org/officeDocument/2006/relationships/hyperlink" Target="https://practice.geeksforgeeks.org/problems/arithmetic-number/0" TargetMode="External"/><Relationship Id="rId320" Type="http://schemas.openxmlformats.org/officeDocument/2006/relationships/hyperlink" Target="https://practice.geeksforgeeks.org/problems/steps-by-knight/0" TargetMode="External"/><Relationship Id="rId155" Type="http://schemas.openxmlformats.org/officeDocument/2006/relationships/hyperlink" Target="https://practice.geeksforgeeks.org/problems/segregate-even-and-odd-nodes-in-a-linked-list/0" TargetMode="External"/><Relationship Id="rId197" Type="http://schemas.openxmlformats.org/officeDocument/2006/relationships/hyperlink" Target="https://practice.geeksforgeeks.org/problems/populate-inorder-successor-for-all-nodes/1" TargetMode="External"/><Relationship Id="rId362" Type="http://schemas.openxmlformats.org/officeDocument/2006/relationships/hyperlink" Target="https://practice.geeksforgeeks.org/problems/phone-directory/0" TargetMode="External"/><Relationship Id="rId418" Type="http://schemas.openxmlformats.org/officeDocument/2006/relationships/hyperlink" Target="https://practice.geeksforgeeks.org/problems/interleaved-strings/1" TargetMode="External"/><Relationship Id="rId222" Type="http://schemas.openxmlformats.org/officeDocument/2006/relationships/hyperlink" Target="https://www.geeksforgeeks.org/maximum-sum-absolute-difference-array/" TargetMode="External"/><Relationship Id="rId264" Type="http://schemas.openxmlformats.org/officeDocument/2006/relationships/hyperlink" Target="https://practice.geeksforgeeks.org/problems/parenthesis-checker/0" TargetMode="External"/><Relationship Id="rId471" Type="http://schemas.openxmlformats.org/officeDocument/2006/relationships/hyperlink" Target="https://www.geeksforgeeks.org/minimum-swap-required-convert-binary-tree-binary-search-tree/" TargetMode="External"/><Relationship Id="rId17" Type="http://schemas.openxmlformats.org/officeDocument/2006/relationships/hyperlink" Target="https://practice.geeksforgeeks.org/problems/count-pairs-with-given-sum5022/1" TargetMode="External"/><Relationship Id="rId59" Type="http://schemas.openxmlformats.org/officeDocument/2006/relationships/hyperlink" Target="https://practice.geeksforgeeks.org/problems/next-permutation/0" TargetMode="External"/><Relationship Id="rId124" Type="http://schemas.openxmlformats.org/officeDocument/2006/relationships/hyperlink" Target="https://www.geeksforgeeks.org/reverse-a-linked-list/" TargetMode="External"/><Relationship Id="rId70" Type="http://schemas.openxmlformats.org/officeDocument/2006/relationships/hyperlink" Target="https://practice.geeksforgeeks.org/problems/roman-number-to-integer/0" TargetMode="External"/><Relationship Id="rId166" Type="http://schemas.openxmlformats.org/officeDocument/2006/relationships/hyperlink" Target="https://practice.geeksforgeeks.org/problems/left-view-of-binary-tree/1" TargetMode="External"/><Relationship Id="rId331" Type="http://schemas.openxmlformats.org/officeDocument/2006/relationships/hyperlink" Target="https://www.geeksforgeeks.org/kruskals-minimum-spanning-tree-algorithm-greedy-algo-2/" TargetMode="External"/><Relationship Id="rId373" Type="http://schemas.openxmlformats.org/officeDocument/2006/relationships/hyperlink" Target="https://www.geeksforgeeks.org/gold-mine-problem/" TargetMode="External"/><Relationship Id="rId429" Type="http://schemas.openxmlformats.org/officeDocument/2006/relationships/hyperlink" Target="https://practice.geeksforgeeks.org/problems/find-position-of-set-bit3706/1" TargetMode="External"/><Relationship Id="rId1" Type="http://schemas.openxmlformats.org/officeDocument/2006/relationships/hyperlink" Target="https://www.geeksforgeeks.org/write-a-program-to-reverse-an-array-or-string/" TargetMode="External"/><Relationship Id="rId233" Type="http://schemas.openxmlformats.org/officeDocument/2006/relationships/hyperlink" Target="https://www.spoj.com/problems/CHOCOLA/" TargetMode="External"/><Relationship Id="rId440" Type="http://schemas.openxmlformats.org/officeDocument/2006/relationships/hyperlink" Target="https://leetcode.com/problems/interleaving-string/" TargetMode="External"/><Relationship Id="rId28" Type="http://schemas.openxmlformats.org/officeDocument/2006/relationships/hyperlink" Target="https://practice.geeksforgeeks.org/problems/trapping-rain-water/0" TargetMode="External"/><Relationship Id="rId275" Type="http://schemas.openxmlformats.org/officeDocument/2006/relationships/hyperlink" Target="https://practice.geeksforgeeks.org/problems/maximum-rectangular-area-in-a-histogram/0" TargetMode="External"/><Relationship Id="rId300" Type="http://schemas.openxmlformats.org/officeDocument/2006/relationships/hyperlink" Target="https://practice.geeksforgeeks.org/problems/k-largest-elements4206/1" TargetMode="External"/><Relationship Id="rId482" Type="http://schemas.openxmlformats.org/officeDocument/2006/relationships/hyperlink" Target="https://www.geeksforgeeks.org/construct-tree-inorder-level-order-traversals/" TargetMode="External"/><Relationship Id="rId81" Type="http://schemas.openxmlformats.org/officeDocument/2006/relationships/hyperlink" Target="https://practice.geeksforgeeks.org/problems/smallest-window-in-a-string-containing-all-the-characters-of-another-string/0" TargetMode="External"/><Relationship Id="rId135" Type="http://schemas.openxmlformats.org/officeDocument/2006/relationships/hyperlink" Target="https://practice.geeksforgeeks.org/problems/intersection-point-in-y-shapped-linked-lists/1" TargetMode="External"/><Relationship Id="rId177" Type="http://schemas.openxmlformats.org/officeDocument/2006/relationships/hyperlink" Target="https://practice.geeksforgeeks.org/problems/construct-tree-1/1" TargetMode="External"/><Relationship Id="rId342" Type="http://schemas.openxmlformats.org/officeDocument/2006/relationships/hyperlink" Target="https://www.geeksforgeeks.org/detect-negative-cycle-graph-bellman-ford/" TargetMode="External"/><Relationship Id="rId384" Type="http://schemas.openxmlformats.org/officeDocument/2006/relationships/hyperlink" Target="https://practice.geeksforgeeks.org/problems/longest-subsequence-such-that-difference-between-adjacents-is-one4724/1" TargetMode="External"/><Relationship Id="rId202" Type="http://schemas.openxmlformats.org/officeDocument/2006/relationships/hyperlink" Target="https://www.geeksforgeeks.org/merge-two-balanced-binary-search-trees/" TargetMode="External"/><Relationship Id="rId244" Type="http://schemas.openxmlformats.org/officeDocument/2006/relationships/hyperlink" Target="https://practice.geeksforgeeks.org/problems/solve-the-sudoku/0" TargetMode="External"/><Relationship Id="rId39" Type="http://schemas.openxmlformats.org/officeDocument/2006/relationships/hyperlink" Target="https://practice.geeksforgeeks.org/problems/row-with-max-1s0023/1" TargetMode="External"/><Relationship Id="rId286" Type="http://schemas.openxmlformats.org/officeDocument/2006/relationships/hyperlink" Target="https://practice.geeksforgeeks.org/problems/reverse-first-k-elements-of-queue/1" TargetMode="External"/><Relationship Id="rId451" Type="http://schemas.openxmlformats.org/officeDocument/2006/relationships/hyperlink" Target="https://leetcode.com/problems/serialize-and-deserialize-binary-tree/submissions/" TargetMode="External"/><Relationship Id="rId493" Type="http://schemas.openxmlformats.org/officeDocument/2006/relationships/comments" Target="../comments3.xml"/><Relationship Id="rId50" Type="http://schemas.openxmlformats.org/officeDocument/2006/relationships/hyperlink" Target="https://www.programiz.com/java-programming/examples/check-valid-shuffle-of-strings" TargetMode="External"/><Relationship Id="rId104" Type="http://schemas.openxmlformats.org/officeDocument/2006/relationships/hyperlink" Target="https://www.hackerearth.com/practice/algorithms/searching/binary-search/practice-problems/algorithm/bishu-and-soldiers/" TargetMode="External"/><Relationship Id="rId146" Type="http://schemas.openxmlformats.org/officeDocument/2006/relationships/hyperlink" Target="https://www.geeksforgeeks.org/sort-k-sorted-doubly-linked-list/" TargetMode="External"/><Relationship Id="rId188" Type="http://schemas.openxmlformats.org/officeDocument/2006/relationships/hyperlink" Target="https://practice.geeksforgeeks.org/problems/min-distance-between-two-given-nodes-of-a-binary-tree/1" TargetMode="External"/><Relationship Id="rId311" Type="http://schemas.openxmlformats.org/officeDocument/2006/relationships/hyperlink" Target="https://www.geeksforgeeks.org/convert-bst-min-heap/" TargetMode="External"/><Relationship Id="rId353" Type="http://schemas.openxmlformats.org/officeDocument/2006/relationships/hyperlink" Target="https://www.geeksforgeeks.org/chinese-postman-route-inspection-set-1-introduction/" TargetMode="External"/><Relationship Id="rId395" Type="http://schemas.openxmlformats.org/officeDocument/2006/relationships/hyperlink" Target="https://practice.geeksforgeeks.org/problems/longest-common-substring/0" TargetMode="External"/><Relationship Id="rId409" Type="http://schemas.openxmlformats.org/officeDocument/2006/relationships/hyperlink" Target="https://www.geeksforgeeks.org/coin-game-winner-every-player-three-choices/" TargetMode="External"/><Relationship Id="rId92" Type="http://schemas.openxmlformats.org/officeDocument/2006/relationships/hyperlink" Target="https://www.geeksforgeeks.org/optimum-location-point-minimize-total-distance/" TargetMode="External"/><Relationship Id="rId213" Type="http://schemas.openxmlformats.org/officeDocument/2006/relationships/hyperlink" Target="https://www.geeksforgeeks.org/flatten-bst-to-sorted-list-increasing-order/" TargetMode="External"/><Relationship Id="rId420" Type="http://schemas.openxmlformats.org/officeDocument/2006/relationships/hyperlink" Target="https://practice.geeksforgeeks.org/problems/maximum-sum-rectangle/0" TargetMode="External"/><Relationship Id="rId255" Type="http://schemas.openxmlformats.org/officeDocument/2006/relationships/hyperlink" Target="https://www.geeksforgeeks.org/longest-possible-route-in-a-matrix-with-hurdles/" TargetMode="External"/><Relationship Id="rId297" Type="http://schemas.openxmlformats.org/officeDocument/2006/relationships/hyperlink" Target="https://www.geeksforgeeks.org/building-heap-from-array/" TargetMode="External"/><Relationship Id="rId462" Type="http://schemas.openxmlformats.org/officeDocument/2006/relationships/hyperlink" Target="https://practice.geeksforgeeks.org/problems/huffman-encoding/0" TargetMode="External"/><Relationship Id="rId115" Type="http://schemas.openxmlformats.org/officeDocument/2006/relationships/hyperlink" Target="https://practice.geeksforgeeks.org/problems/allocate-minimum-number-of-pages/0" TargetMode="External"/><Relationship Id="rId157" Type="http://schemas.openxmlformats.org/officeDocument/2006/relationships/hyperlink" Target="https://practice.geeksforgeeks.org/problems/first-non-repeating-character-in-a-stream/0" TargetMode="External"/><Relationship Id="rId322" Type="http://schemas.openxmlformats.org/officeDocument/2006/relationships/hyperlink" Target="https://leetcode.com/problems/clone-graph/" TargetMode="External"/><Relationship Id="rId364" Type="http://schemas.openxmlformats.org/officeDocument/2006/relationships/hyperlink" Target="https://practice.geeksforgeeks.org/problems/coin-change2448/1" TargetMode="External"/><Relationship Id="rId61" Type="http://schemas.openxmlformats.org/officeDocument/2006/relationships/hyperlink" Target="https://practice.geeksforgeeks.org/problems/word-break/0" TargetMode="External"/><Relationship Id="rId199" Type="http://schemas.openxmlformats.org/officeDocument/2006/relationships/hyperlink" Target="https://www.geeksforgeeks.org/construct-bst-from-given-preorder-traversa/" TargetMode="External"/><Relationship Id="rId19" Type="http://schemas.openxmlformats.org/officeDocument/2006/relationships/hyperlink" Target="https://www.geeksforgeeks.org/rearrange-array-alternating-positive-negative-items-o1-extra-space/" TargetMode="External"/><Relationship Id="rId224" Type="http://schemas.openxmlformats.org/officeDocument/2006/relationships/hyperlink" Target="https://www.geeksforgeeks.org/minimum-sum-absolute-difference-pairs-two-arrays/" TargetMode="External"/><Relationship Id="rId266" Type="http://schemas.openxmlformats.org/officeDocument/2006/relationships/hyperlink" Target="https://practice.geeksforgeeks.org/problems/special-stack/1" TargetMode="External"/><Relationship Id="rId431" Type="http://schemas.openxmlformats.org/officeDocument/2006/relationships/hyperlink" Target="https://practice.geeksforgeeks.org/problems/power-set4302/1" TargetMode="External"/><Relationship Id="rId473" Type="http://schemas.openxmlformats.org/officeDocument/2006/relationships/hyperlink" Target="https://www.geeksforgeeks.org/serialize-deserialize-binary-tree/" TargetMode="External"/><Relationship Id="rId30" Type="http://schemas.openxmlformats.org/officeDocument/2006/relationships/hyperlink" Target="https://practice.geeksforgeeks.org/problems/smallest-subarray-with-sum-greater-than-x/0" TargetMode="External"/><Relationship Id="rId126" Type="http://schemas.openxmlformats.org/officeDocument/2006/relationships/hyperlink" Target="https://practice.geeksforgeeks.org/problems/detect-loop-in-linked-list/1" TargetMode="External"/><Relationship Id="rId168" Type="http://schemas.openxmlformats.org/officeDocument/2006/relationships/hyperlink" Target="https://practice.geeksforgeeks.org/problems/top-view-of-binary-tree/1" TargetMode="External"/><Relationship Id="rId333" Type="http://schemas.openxmlformats.org/officeDocument/2006/relationships/hyperlink" Target="https://www.geeksforgeeks.org/total-number-spanning-trees-graph/" TargetMode="External"/><Relationship Id="rId72" Type="http://schemas.openxmlformats.org/officeDocument/2006/relationships/hyperlink" Target="https://practice.geeksforgeeks.org/problems/min-number-of-flips/0" TargetMode="External"/><Relationship Id="rId375" Type="http://schemas.openxmlformats.org/officeDocument/2006/relationships/hyperlink" Target="https://practice.geeksforgeeks.org/problems/painting-the-fence3727/1" TargetMode="External"/><Relationship Id="rId3" Type="http://schemas.openxmlformats.org/officeDocument/2006/relationships/hyperlink" Target="https://practice.geeksforgeeks.org/problems/sort-an-array-of-0s-1s-and-2s/0" TargetMode="External"/><Relationship Id="rId235" Type="http://schemas.openxmlformats.org/officeDocument/2006/relationships/hyperlink" Target="https://www.geeksforgeeks.org/k-centers-problem-set-1-greedy-approximate-algorithm/" TargetMode="External"/><Relationship Id="rId277" Type="http://schemas.openxmlformats.org/officeDocument/2006/relationships/hyperlink" Target="https://www.geeksforgeeks.org/expression-contains-redundant-bracket-not/" TargetMode="External"/><Relationship Id="rId400" Type="http://schemas.openxmlformats.org/officeDocument/2006/relationships/hyperlink" Target="https://practice.geeksforgeeks.org/problems/knapsack-with-duplicate-items4201/1" TargetMode="External"/><Relationship Id="rId442" Type="http://schemas.openxmlformats.org/officeDocument/2006/relationships/hyperlink" Target="https://leetcode.com/problems/kth-largest-element-in-an-array/discuss/60294/Solution-explained" TargetMode="External"/><Relationship Id="rId484" Type="http://schemas.openxmlformats.org/officeDocument/2006/relationships/hyperlink" Target="https://practice.geeksforgeeks.org/problems/fixed-two-nodes-of-a-bst/1" TargetMode="External"/><Relationship Id="rId137" Type="http://schemas.openxmlformats.org/officeDocument/2006/relationships/hyperlink" Target="https://practice.geeksforgeeks.org/problems/quick-sort-on-linked-list/1" TargetMode="External"/><Relationship Id="rId302" Type="http://schemas.openxmlformats.org/officeDocument/2006/relationships/hyperlink" Target="https://practice.geeksforgeeks.org/problems/merge-k-sorted-arrays/1" TargetMode="External"/><Relationship Id="rId344" Type="http://schemas.openxmlformats.org/officeDocument/2006/relationships/hyperlink" Target="https://www.hackerrank.com/challenges/journey-to-the-moon/problem" TargetMode="External"/><Relationship Id="rId41" Type="http://schemas.openxmlformats.org/officeDocument/2006/relationships/hyperlink" Target="https://practice.geeksforgeeks.org/problems/max-rectangle/1" TargetMode="External"/><Relationship Id="rId83" Type="http://schemas.openxmlformats.org/officeDocument/2006/relationships/hyperlink" Target="https://practice.geeksforgeeks.org/problems/wildcard-string-matching/0" TargetMode="External"/><Relationship Id="rId179" Type="http://schemas.openxmlformats.org/officeDocument/2006/relationships/hyperlink" Target="https://practice.geeksforgeeks.org/problems/sum-tree/1" TargetMode="External"/><Relationship Id="rId386" Type="http://schemas.openxmlformats.org/officeDocument/2006/relationships/hyperlink" Target="https://practice.geeksforgeeks.org/problems/egg-dropping-puzzle/0" TargetMode="External"/></Relationships>
</file>

<file path=xl/worksheets/_rels/sheet15.xml.rels><?xml version="1.0" encoding="UTF-8" standalone="yes"?>
<Relationships xmlns="http://schemas.openxmlformats.org/package/2006/relationships"><Relationship Id="rId1827" Type="http://schemas.openxmlformats.org/officeDocument/2006/relationships/hyperlink" Target="https://www.google.com/url?q=https://github.com/mostafa-saad/MyCompetitiveProgramming/blob/master/Olympiad/POI/POI-09-Fire.txt&amp;sa=D&amp;ust=1605639800599000&amp;usg=AFQjCNHgvAD-yH8sWXyFV0SSjSi8kLLcAg" TargetMode="External"/><Relationship Id="rId170" Type="http://schemas.openxmlformats.org/officeDocument/2006/relationships/hyperlink" Target="https://www.google.com/url?q=https://www.hackerrank.com/contests/ioi-2014-practice-contest-1/challenges&amp;sa=D&amp;ust=1605639798779000&amp;usg=AFQjCNEJCJRyzZuIIDlNsvfdvwyAPIWSjQ" TargetMode="External"/><Relationship Id="rId987" Type="http://schemas.openxmlformats.org/officeDocument/2006/relationships/hyperlink" Target="https://www.google.com/url?q=https://oj.uz/problem/view/COCI17_kas&amp;sa=D&amp;ust=1605639799974000&amp;usg=AFQjCNHniLP7UGQJUbtiYvLI4g7paxdujQ" TargetMode="External"/><Relationship Id="rId2668" Type="http://schemas.openxmlformats.org/officeDocument/2006/relationships/hyperlink" Target="https://www.google.com/url?q=https://dmoj.ca/problem/coci06c5p6&amp;sa=D&amp;ust=1605639801994000&amp;usg=AFQjCNF8sqL2dZm6gw6RSxyvbKYXVxEEXQ" TargetMode="External"/><Relationship Id="rId2875" Type="http://schemas.openxmlformats.org/officeDocument/2006/relationships/hyperlink" Target="https://www.google.com/url?q=https://wcipeg.com/problem/ioi1402&amp;sa=D&amp;ust=1605639802208000&amp;usg=AFQjCNG8vDGUoxwNjMGP5R5mLhyZeE4tmw" TargetMode="External"/><Relationship Id="rId847" Type="http://schemas.openxmlformats.org/officeDocument/2006/relationships/hyperlink" Target="https://www.google.com/url?q=https://github.com/stefdasca/CompetitiveProgramming/blob/master/Infoarena/cladiri.cpp&amp;sa=D&amp;ust=1605639799811000&amp;usg=AFQjCNG984Audjq9S7BdFFnYe-nxDRxc_g" TargetMode="External"/><Relationship Id="rId1477" Type="http://schemas.openxmlformats.org/officeDocument/2006/relationships/hyperlink" Target="https://www.google.com/url?q=https://github.com/mostafa-saad/MyCompetitiveProgramming/blob/master/Olympiad/Balkan/Balkan-11-2circles.txt&amp;sa=D&amp;ust=1605639800371000&amp;usg=AFQjCNH3lk3_1_ZC4rZXWnPgHsTMN5IrCQ" TargetMode="External"/><Relationship Id="rId1684" Type="http://schemas.openxmlformats.org/officeDocument/2006/relationships/hyperlink" Target="https://www.google.com/url?q=https://github.com/tmwilliamlin168/CompetitiveProgramming/blob/master/IZhO/14-Shymbulak.cpp&amp;sa=D&amp;ust=1605639800492000&amp;usg=AFQjCNFosMdjGwFz9MjsghEr9WpVciXYfg" TargetMode="External"/><Relationship Id="rId1891" Type="http://schemas.openxmlformats.org/officeDocument/2006/relationships/hyperlink" Target="https://www.google.com/url?q=https://wcipeg.com/problem/coi07p3&amp;sa=D&amp;ust=1605639800683000&amp;usg=AFQjCNFbNehf38dvLm1TRAwKdK2WSUYW4g" TargetMode="External"/><Relationship Id="rId2528" Type="http://schemas.openxmlformats.org/officeDocument/2006/relationships/hyperlink" Target="https://www.google.com/url?q=https://github.com/timpostuvan/CompetitiveProgramming/blob/master/Olympiad/APIO/Commando2010.cpp&amp;sa=D&amp;ust=1605639801871000&amp;usg=AFQjCNHcLHXs56lX0qjCckKDSE4XGVe7Fg" TargetMode="External"/><Relationship Id="rId2735" Type="http://schemas.openxmlformats.org/officeDocument/2006/relationships/hyperlink" Target="https://www.google.com/url?q=https://dmoj.ca/problem/crci07p2&amp;sa=D&amp;ust=1605639802087000&amp;usg=AFQjCNFaO4_Dn8iHQSHGMwptGtI0O0b1Ew" TargetMode="External"/><Relationship Id="rId2942" Type="http://schemas.openxmlformats.org/officeDocument/2006/relationships/hyperlink" Target="https://www.google.com/url?q=https://dunjudge.me/analysis/problems/15/&amp;sa=D&amp;ust=1605639802303000&amp;usg=AFQjCNEJaEAHM7oAm13L_6sxCu4C17c-Ww" TargetMode="External"/><Relationship Id="rId707" Type="http://schemas.openxmlformats.org/officeDocument/2006/relationships/hyperlink" Target="https://www.google.com/url?q=https://github.com/mostafa-saad/MyCompetitiveProgramming/blob/master/Olympiad/Balkan/Balkan-11-Trapezoid.txt&amp;sa=D&amp;ust=1605639799675000&amp;usg=AFQjCNFNxVA2Qc8ZZcqfsHQNnk4llZ7eOw" TargetMode="External"/><Relationship Id="rId914" Type="http://schemas.openxmlformats.org/officeDocument/2006/relationships/hyperlink" Target="https://www.google.com/url?q=https://github.com/mostafa-saad/MyCompetitiveProgramming/blob/master/Olympiad/JOI/JOI-18-Dangomaker.txt&amp;sa=D&amp;ust=1605639799897000&amp;usg=AFQjCNHktOLyKI5LvNG5Td2d9Wu5ObRhbg" TargetMode="External"/><Relationship Id="rId1337" Type="http://schemas.openxmlformats.org/officeDocument/2006/relationships/hyperlink" Target="https://www.google.com/url?q=https://szkopul.edu.pl/problemset/problem/Fej8rGpqWzXEi_qjK2Cmfe4Y/site/&amp;sa=D&amp;ust=1605639800219000&amp;usg=AFQjCNFMJ0GmpNEIMhbZgD86VXwi31CrrA" TargetMode="External"/><Relationship Id="rId1544" Type="http://schemas.openxmlformats.org/officeDocument/2006/relationships/hyperlink" Target="https://www.google.com/url?q=https://github.com/mostafa-saad/MyCompetitiveProgramming/blob/master/Olympiad/Baltic/BalticWarmup-17-Toast.txt&amp;sa=D&amp;ust=1605639800396000&amp;usg=AFQjCNHSwje2i1rvV_IeLS8BKXjCCQB7Aw" TargetMode="External"/><Relationship Id="rId1751" Type="http://schemas.openxmlformats.org/officeDocument/2006/relationships/hyperlink" Target="https://www.google.com/url?q=https://dunjudge.me/analysis/problems/1462/&amp;sa=D&amp;ust=1605639800568000&amp;usg=AFQjCNE3P4kBFsJqmJQChpovnmyVWNdC-A" TargetMode="External"/><Relationship Id="rId2802" Type="http://schemas.openxmlformats.org/officeDocument/2006/relationships/hyperlink" Target="https://www.google.com/url?q=https://github.com/mostafa-saad/MyCompetitiveProgramming/blob/master/Olympiad/COCI/official/2015/contest3_solutions&amp;sa=D&amp;ust=1605639802170000&amp;usg=AFQjCNGIRTKT6YfcQ2LqiDVAj88pZ8ZiCA" TargetMode="External"/><Relationship Id="rId43" Type="http://schemas.openxmlformats.org/officeDocument/2006/relationships/hyperlink" Target="https://www.google.com/url?q=https://oj.uz/problem/view/COCI17_retro&amp;sa=D&amp;ust=1605639798679000&amp;usg=AFQjCNHXRtbKfKEpvMG3dVOFxEaqLfYRag" TargetMode="External"/><Relationship Id="rId1404" Type="http://schemas.openxmlformats.org/officeDocument/2006/relationships/hyperlink" Target="https://www.google.com/url?q=https://github.com/peon-pasado/CompetitiveProgramming/blob/master/szkoput/POI-14-Bricks.cpp&amp;sa=D&amp;ust=1605639800297000&amp;usg=AFQjCNEC4ZTIqNgFFynaZSpWTl5LhXvo4g" TargetMode="External"/><Relationship Id="rId1611" Type="http://schemas.openxmlformats.org/officeDocument/2006/relationships/hyperlink" Target="https://www.google.com/url?q=https://oj.uz/problem/view/JOI19_meetings&amp;sa=D&amp;ust=1605639800423000&amp;usg=AFQjCNEBShpwhkLLwhIjW3xrwcL94MVu3A" TargetMode="External"/><Relationship Id="rId497" Type="http://schemas.openxmlformats.org/officeDocument/2006/relationships/hyperlink" Target="https://www.google.com/url?q=https://www.infoarena.ro/problema/permsort&amp;sa=D&amp;ust=1605639799084000&amp;usg=AFQjCNGE2ufAgqT4zuhpLRfZjCEV9PgRjA" TargetMode="External"/><Relationship Id="rId2178" Type="http://schemas.openxmlformats.org/officeDocument/2006/relationships/hyperlink" Target="https://www.google.com/url?q=https://dmoj.ca/problem/coci07c5p3&amp;sa=D&amp;ust=1605639800879000&amp;usg=AFQjCNHTdFdb95HehvieXlWDp79Cy_sK6Q" TargetMode="External"/><Relationship Id="rId2385" Type="http://schemas.openxmlformats.org/officeDocument/2006/relationships/hyperlink" Target="https://www.google.com/url?q=https://oj.uz/problem/view/COCI17_tetris&amp;sa=D&amp;ust=1605639801700000&amp;usg=AFQjCNFgolrNWcLgQdWBp5conYFOJ02EMA" TargetMode="External"/><Relationship Id="rId357" Type="http://schemas.openxmlformats.org/officeDocument/2006/relationships/hyperlink" Target="https://www.google.com/url?q=https://github.com/mostafa-saad/MyCompetitiveProgramming/blob/master/Olympiad/NOI/official&amp;sa=D&amp;ust=1605639798907000&amp;usg=AFQjCNFfhHNNGHu4rv8DKEuoIxm-XGc1oQ" TargetMode="External"/><Relationship Id="rId1194" Type="http://schemas.openxmlformats.org/officeDocument/2006/relationships/hyperlink" Target="https://www.google.com/url?q=https://github.com/mostafa-saad/MyCompetitiveProgramming/blob/master/Olympiad/APIO/APIO-07-Zoo.txt&amp;sa=D&amp;ust=1605639800116000&amp;usg=AFQjCNEgA-9dqQIqPwwv_AVV6QNdkoKpuA" TargetMode="External"/><Relationship Id="rId2038" Type="http://schemas.openxmlformats.org/officeDocument/2006/relationships/hyperlink" Target="https://www.google.com/url?q=https://github.com/mostafa-saad/MyCompetitiveProgramming/blob/master/Olympiad/COCI/official/2010/contest7_solutions&amp;sa=D&amp;ust=1605639800783000&amp;usg=AFQjCNHIHuf_G37k6jizuW8LKYkiNIuyaQ" TargetMode="External"/><Relationship Id="rId2592" Type="http://schemas.openxmlformats.org/officeDocument/2006/relationships/hyperlink" Target="https://www.google.com/url?q=http://usaco.org/index.php?page%3Dviewproblem2%26cpid%3D926&amp;sa=D&amp;ust=1605639801900000&amp;usg=AFQjCNEVX1CxmQh0cojYZlCa3DZIvJxqAw" TargetMode="External"/><Relationship Id="rId217" Type="http://schemas.openxmlformats.org/officeDocument/2006/relationships/hyperlink" Target="https://www.google.com/url?q=https://github.com/mostafa-saad/MyCompetitiveProgramming/blob/master/Olympiad/POI/official/find_editorial_sols_guidelines.txt&amp;sa=D&amp;ust=1605639798797000&amp;usg=AFQjCNGCP7Ys446C4GIkUET_4-tsOi7Alg" TargetMode="External"/><Relationship Id="rId564" Type="http://schemas.openxmlformats.org/officeDocument/2006/relationships/hyperlink" Target="https://www.google.com/url?q=https://github.com/mostafa-saad/MyCompetitiveProgramming/blob/master/Olympiad/infoarena/infoarena-password2.txt&amp;sa=D&amp;ust=1605639799113000&amp;usg=AFQjCNFS8y0pPaxPKynCsY6YzA6C7TCiUg" TargetMode="External"/><Relationship Id="rId771" Type="http://schemas.openxmlformats.org/officeDocument/2006/relationships/hyperlink" Target="https://www.google.com/url?q=https://github.com/tmwilliamlin168/CompetitiveProgramming/blob/master/IZHO/13-Trading.cpp&amp;sa=D&amp;ust=1605639799717000&amp;usg=AFQjCNHscWEqLku40IxA2xZSnFfYCAA3wg" TargetMode="External"/><Relationship Id="rId2245" Type="http://schemas.openxmlformats.org/officeDocument/2006/relationships/hyperlink" Target="https://www.google.com/url?q=https://wcipeg.com/problem/coci094p6&amp;sa=D&amp;ust=1605639800907000&amp;usg=AFQjCNE6u8jgCCzLkYpu4U60kDQDp8ngdg" TargetMode="External"/><Relationship Id="rId2452" Type="http://schemas.openxmlformats.org/officeDocument/2006/relationships/hyperlink" Target="https://www.google.com/url?q=https://codeforces.com/group/swEqtABRxe/contest/243429/problem/A&amp;sa=D&amp;ust=1605639801793000&amp;usg=AFQjCNEwd2eYeGTK3W31evfoHlQ-9tr__g" TargetMode="External"/><Relationship Id="rId424" Type="http://schemas.openxmlformats.org/officeDocument/2006/relationships/hyperlink" Target="https://www.google.com/url?q=https://dmoj.ca/problem/coci14c5p1&amp;sa=D&amp;ust=1605639798995000&amp;usg=AFQjCNHf6LkrTIniTGR5fPbUM3nkG1_l8w" TargetMode="External"/><Relationship Id="rId631" Type="http://schemas.openxmlformats.org/officeDocument/2006/relationships/hyperlink" Target="https://www.google.com/url?q=https://github.com/mostafa-saad/MyCompetitiveProgramming/tree/master/Olympiad/CEOI/official/2018/day2&amp;sa=D&amp;ust=1605639799177000&amp;usg=AFQjCNFbo-BunlHjbYU-HmyAkPoldFzmdg" TargetMode="External"/><Relationship Id="rId1054" Type="http://schemas.openxmlformats.org/officeDocument/2006/relationships/hyperlink" Target="https://www.google.com/url?q=https://github.com/mostafa-saad/MyCompetitiveProgramming/blob/master/Olympiad/COCI/official/2013/contest6_solutions&amp;sa=D&amp;ust=1605639800002000&amp;usg=AFQjCNENdLqmVeS7vb72CdwbLynsLJ4VwQ" TargetMode="External"/><Relationship Id="rId1261" Type="http://schemas.openxmlformats.org/officeDocument/2006/relationships/hyperlink" Target="https://www.google.com/url?q=https://cses.fi/107/list/&amp;sa=D&amp;ust=1605639800189000&amp;usg=AFQjCNGCqCeFOENthmKbx-_muNd9OMAG1Q" TargetMode="External"/><Relationship Id="rId2105" Type="http://schemas.openxmlformats.org/officeDocument/2006/relationships/hyperlink" Target="https://www.google.com/url?q=https://github.com/win11905/submission/blob/61c76f8b073e5e5446e7688626c487a4dcbfcd9e/Dmoj/utso15p5.cpp&amp;sa=D&amp;ust=1605639800810000&amp;usg=AFQjCNHzg4gM6S1Xg1MepG2hTsLLaIh1Lw" TargetMode="External"/><Relationship Id="rId2312" Type="http://schemas.openxmlformats.org/officeDocument/2006/relationships/hyperlink" Target="https://www.google.com/url?q=https://oj.uz/problem/view/BOI11_grow&amp;sa=D&amp;ust=1605639801595000&amp;usg=AFQjCNEVCAlf_tTrHkyCfZm26ycOQarhxw" TargetMode="External"/><Relationship Id="rId1121" Type="http://schemas.openxmlformats.org/officeDocument/2006/relationships/hyperlink" Target="https://www.google.com/url?q=https://joi2016ho.contest.atcoder.jp/tasks/joi2016ho_a&amp;sa=D&amp;ust=1605639800078000&amp;usg=AFQjCNEjT_r25n9kx-dRSzsakbsXavsxMw" TargetMode="External"/><Relationship Id="rId1938" Type="http://schemas.openxmlformats.org/officeDocument/2006/relationships/hyperlink" Target="https://www.google.com/url?q=https://github.com/mostafa-saad/MyCompetitiveProgramming/blob/master/Olympiad/Baltic/Baltic-12-Peaks.txt&amp;sa=D&amp;ust=1605639800703000&amp;usg=AFQjCNFofI3Ug-7PicYnOp3pFQE6j-6F0g" TargetMode="External"/><Relationship Id="rId281" Type="http://schemas.openxmlformats.org/officeDocument/2006/relationships/hyperlink" Target="https://www.google.com/url?q=https://dmoj.ca/problem/coci06c1p2&amp;sa=D&amp;ust=1605639798875000&amp;usg=AFQjCNGsljx-hgqQwKP9xleDDeRMKTnhaQ" TargetMode="External"/><Relationship Id="rId3013" Type="http://schemas.openxmlformats.org/officeDocument/2006/relationships/hyperlink" Target="https://www.google.com/url?q=https://dmoj.ca/problem/utso18p2&amp;sa=D&amp;ust=1605639802397000&amp;usg=AFQjCNEEEqqm7Jx25in8xlICUkwqZGDt5Q" TargetMode="External"/><Relationship Id="rId141" Type="http://schemas.openxmlformats.org/officeDocument/2006/relationships/hyperlink" Target="https://www.google.com/url?q=https://joisc2013-day3.contest.atcoder.jp/tasks/joisc2013_mountain&amp;sa=D&amp;ust=1605639798729000&amp;usg=AFQjCNEEeoT59N8qA1IBQCPGrGzUMnzv7w" TargetMode="External"/><Relationship Id="rId7" Type="http://schemas.openxmlformats.org/officeDocument/2006/relationships/hyperlink" Target="https://www.google.com/url?q=https://csacademy.com/contest/balkan-oi-2017-day-1/&amp;sa=D&amp;ust=1605639798667000&amp;usg=AFQjCNEpb2B69lECBpMflmfF0P4EzUpZ7Q" TargetMode="External"/><Relationship Id="rId2779" Type="http://schemas.openxmlformats.org/officeDocument/2006/relationships/hyperlink" Target="https://www.google.com/url?q=https://dmoj.ca/problem/coci09c1p2&amp;sa=D&amp;ust=1605639802105000&amp;usg=AFQjCNE_GScGhxqiAKxIHTZyRlxmc1lJjg" TargetMode="External"/><Relationship Id="rId2986" Type="http://schemas.openxmlformats.org/officeDocument/2006/relationships/hyperlink" Target="https://www.google.com/url?q=https://szkopul.edu.pl/problemset/problem/9NFtPM59qGWa7wdn570ifuP0/site/&amp;sa=D&amp;ust=1605639802383000&amp;usg=AFQjCNErvCWMp7E2JcumXYjaet5hajSFcA" TargetMode="External"/><Relationship Id="rId958" Type="http://schemas.openxmlformats.org/officeDocument/2006/relationships/hyperlink" Target="https://www.google.com/url?q=https://www.infoarena.ro/problema/lcdr&amp;sa=D&amp;ust=1605639799914000&amp;usg=AFQjCNGlfhnj-sk2tvLc9eX2MKmQLPMXKQ" TargetMode="External"/><Relationship Id="rId1588" Type="http://schemas.openxmlformats.org/officeDocument/2006/relationships/hyperlink" Target="https://www.google.com/url?q=https://csacademy.com/contest/ioi-2016-training-round-3/task/network-rumour/&amp;sa=D&amp;ust=1605639800415000&amp;usg=AFQjCNH8TNBBq2LTzjUGtshmHfj8bStxlg" TargetMode="External"/><Relationship Id="rId1795" Type="http://schemas.openxmlformats.org/officeDocument/2006/relationships/hyperlink" Target="https://www.google.com/url?q=https://github.com/mostafa-saad/MyCompetitiveProgramming/blob/master/Olympiad/APIO/APIO-11-Color.txt&amp;sa=D&amp;ust=1605639800589000&amp;usg=AFQjCNH4kXcpwwZ4u9xudUe1rpMCj4efug" TargetMode="External"/><Relationship Id="rId2639" Type="http://schemas.openxmlformats.org/officeDocument/2006/relationships/hyperlink" Target="https://www.google.com/url?q=https://github.com/mostafa-saad/MyCompetitiveProgramming/blob/master/Olympiad/COCI/COCI-08-Najkraci.txt&amp;sa=D&amp;ust=1605639801982000&amp;usg=AFQjCNHbgOdwZwK0P9OyXRZC7RZfmRzNiA" TargetMode="External"/><Relationship Id="rId2846" Type="http://schemas.openxmlformats.org/officeDocument/2006/relationships/hyperlink" Target="https://www.google.com/url?q=https://dunjudge.me/analysis/problems/1243/&amp;sa=D&amp;ust=1605639802193000&amp;usg=AFQjCNH3HCR4xcYgeDxdpnqvBxACqdQ-KQ" TargetMode="External"/><Relationship Id="rId87" Type="http://schemas.openxmlformats.org/officeDocument/2006/relationships/hyperlink" Target="https://www.google.com/url?q=https://github.com/mostafa-saad/MyCompetitiveProgramming/tree/master/Olympiad/Baltic/official/boi2018_solutions&amp;sa=D&amp;ust=1605639798708000&amp;usg=AFQjCNEYG0wC7tl0Segtni98XbXLEw6FFQ" TargetMode="External"/><Relationship Id="rId818" Type="http://schemas.openxmlformats.org/officeDocument/2006/relationships/hyperlink" Target="https://www.google.com/url?q=https://github.com/mostafa-saad/MyCompetitiveProgramming/blob/master/Olympiad/APIO/APIO-16-fireworks.txt&amp;sa=D&amp;ust=1605639799792000&amp;usg=AFQjCNGHQoBGPXKMLKMyGudoLiH68RIYJQ" TargetMode="External"/><Relationship Id="rId1448" Type="http://schemas.openxmlformats.org/officeDocument/2006/relationships/hyperlink" Target="https://www.google.com/url?q=https://github.com/mostafa-saad/MyCompetitiveProgramming/tree/master/Olympiad/Baltic/official/boi2018_solutions&amp;sa=D&amp;ust=1605639800315000&amp;usg=AFQjCNGFpcvBgBLW-vHtza23cAkLa6aiww" TargetMode="External"/><Relationship Id="rId1655" Type="http://schemas.openxmlformats.org/officeDocument/2006/relationships/hyperlink" Target="https://www.google.com/url?q=https://www.acmicpc.net/problem/2209&amp;sa=D&amp;ust=1605639800481000&amp;usg=AFQjCNEGNEmdqPtq6SscAEpUyUAL97OpGw" TargetMode="External"/><Relationship Id="rId2706" Type="http://schemas.openxmlformats.org/officeDocument/2006/relationships/hyperlink" Target="https://www.google.com/url?q=https://szkopul.edu.pl/problemset/problem/M09kYLBv3P6homsLzx_fmpgn/site/&amp;sa=D&amp;ust=1605639802068000&amp;usg=AFQjCNEaLq_sxNSRJrsS8NCgfSwzyrQ5Qg" TargetMode="External"/><Relationship Id="rId1308" Type="http://schemas.openxmlformats.org/officeDocument/2006/relationships/hyperlink" Target="https://www.google.com/url?q=https://github.com/mostafa-saad/MyCompetitiveProgramming/blob/master/Olympiad/POI/POI-14-Little_Bird.txt&amp;sa=D&amp;ust=1605639800206000&amp;usg=AFQjCNFvGXySYdj2RVHnRUawic3t8OUV4w" TargetMode="External"/><Relationship Id="rId1862" Type="http://schemas.openxmlformats.org/officeDocument/2006/relationships/hyperlink" Target="https://www.google.com/url?q=https://github.com/mostafa-saad/MyCompetitiveProgramming/blob/master/Olympiad/Balkan/Balkan-12-ShortestPaths.txt&amp;sa=D&amp;ust=1605639800673000&amp;usg=AFQjCNEc2jc5Zi0A4c1OPlcynDdYIH8udQ" TargetMode="External"/><Relationship Id="rId2913" Type="http://schemas.openxmlformats.org/officeDocument/2006/relationships/hyperlink" Target="https://www.google.com/url?q=https://joisc2015.contest.atcoder.jp/tasks/joisc2015_g&amp;sa=D&amp;ust=1605639802287000&amp;usg=AFQjCNFj7rRuL8TzskbVsvrpZbSLH3MqAg" TargetMode="External"/><Relationship Id="rId1515" Type="http://schemas.openxmlformats.org/officeDocument/2006/relationships/hyperlink" Target="https://www.google.com/url?q=https://github.com/tmwilliamlin168/CompetitiveProgramming/blob/master/CEOI/14-Fangorn.cpp&amp;sa=D&amp;ust=1605639800386000&amp;usg=AFQjCNFb4-BE7-c9THNv2jrNAUbxUWIhXQ" TargetMode="External"/><Relationship Id="rId1722" Type="http://schemas.openxmlformats.org/officeDocument/2006/relationships/hyperlink" Target="https://www.google.com/url?q=https://szkopul.edu.pl/problemset/problem/Phel_x2Ny30OUh7z1RhCtzEG/site/&amp;sa=D&amp;ust=1605639800506000&amp;usg=AFQjCNESBSf5hce5Lc4cA3aCVDfAbV3Ebw" TargetMode="External"/><Relationship Id="rId14" Type="http://schemas.openxmlformats.org/officeDocument/2006/relationships/hyperlink" Target="https://www.google.com/url?q=https://oj.uz/problem/view/IOI11_parrots&amp;sa=D&amp;ust=1605639798669000&amp;usg=AFQjCNHMeDvrE06GPuWeJkwUJluIdzrCMg" TargetMode="External"/><Relationship Id="rId2289" Type="http://schemas.openxmlformats.org/officeDocument/2006/relationships/hyperlink" Target="https://www.google.com/url?q=https://github.com/mostafa-saad/MyCompetitiveProgramming/blob/master/Olympiad/CEOI/COCI-17-klavir.txt&amp;sa=D&amp;ust=1605639801574000&amp;usg=AFQjCNF3m4S5SLvgdoGGVezNNmkP9rsNaQ" TargetMode="External"/><Relationship Id="rId2496" Type="http://schemas.openxmlformats.org/officeDocument/2006/relationships/hyperlink" Target="https://www.google.com/url?q=http://usaco.org/index.php?page%3Dviewproblem2%26cpid%3D921&amp;sa=D&amp;ust=1605639801808000&amp;usg=AFQjCNEf9Dk6niYlHfY1L0un-hgPcq-xjA" TargetMode="External"/><Relationship Id="rId468" Type="http://schemas.openxmlformats.org/officeDocument/2006/relationships/hyperlink" Target="https://www.google.com/url?q=https://oj.uz/problem/view/COCI18_strah&amp;sa=D&amp;ust=1605639799014000&amp;usg=AFQjCNFGpUchg1g8m2xoRvhh0kbmbk44cw" TargetMode="External"/><Relationship Id="rId675" Type="http://schemas.openxmlformats.org/officeDocument/2006/relationships/hyperlink" Target="https://www.google.com/url?q=https://github.com/mostafa-saad/MyCompetitiveProgramming/blob/master/Olympiad/IOI/IOI-18-Doll.txt&amp;sa=D&amp;ust=1605639799662000&amp;usg=AFQjCNF17E0pkPGocHqs_OCnllDrdfcgZg" TargetMode="External"/><Relationship Id="rId882" Type="http://schemas.openxmlformats.org/officeDocument/2006/relationships/hyperlink" Target="https://www.google.com/url?q=https://cses.fi/106/list/&amp;sa=D&amp;ust=1605639799882000&amp;usg=AFQjCNF8wPe4lWkcNv-1aTePibRN1QOIzw" TargetMode="External"/><Relationship Id="rId1098" Type="http://schemas.openxmlformats.org/officeDocument/2006/relationships/hyperlink" Target="https://www.google.com/url?q=http://usaco.org/index.php?page%3Dviewproblem2%26cpid%3D945&amp;sa=D&amp;ust=1605639800068000&amp;usg=AFQjCNFDdI41OH0_Ta2VT3F0LYEIA0jIdg" TargetMode="External"/><Relationship Id="rId2149" Type="http://schemas.openxmlformats.org/officeDocument/2006/relationships/hyperlink" Target="https://www.google.com/url?q=https://oj.uz/problem/view/NOI12_modsum&amp;sa=D&amp;ust=1605639800868000&amp;usg=AFQjCNF5EuEUXnp4w72NI9rohspCaTTptQ" TargetMode="External"/><Relationship Id="rId2356" Type="http://schemas.openxmlformats.org/officeDocument/2006/relationships/hyperlink" Target="https://www.google.com/url?q=https://oj.uz/problem/view/JOI17_semiexpress&amp;sa=D&amp;ust=1605639801665000&amp;usg=AFQjCNEc4UYjLsAvkrdVqRiTrnVNKtTGVw" TargetMode="External"/><Relationship Id="rId2563" Type="http://schemas.openxmlformats.org/officeDocument/2006/relationships/hyperlink" Target="https://www.google.com/url?q=https://github.com/stefdasca/CompetitiveProgramming/blob/master/Infoarena/bvarcolaci.cpp&amp;sa=D&amp;ust=1605639801883000&amp;usg=AFQjCNE4bL87maCTMRWnjgEyhwATyBgWUw" TargetMode="External"/><Relationship Id="rId2770" Type="http://schemas.openxmlformats.org/officeDocument/2006/relationships/hyperlink" Target="https://www.google.com/url?q=https://github.com/mostafa-saad/MyCompetitiveProgramming/blob/master/Olympiad/COCI/official/2009/contest1_solutions&amp;sa=D&amp;ust=1605639802102000&amp;usg=AFQjCNFmnhNvM4He4aJnsDIP7WBGFxRASw" TargetMode="External"/><Relationship Id="rId328" Type="http://schemas.openxmlformats.org/officeDocument/2006/relationships/hyperlink" Target="https://www.google.com/url?q=https://oj.uz/problem/view/COCI17_aron&amp;sa=D&amp;ust=1605639798895000&amp;usg=AFQjCNEOZkfLUw8W26NB3VPYzWL5QV4_vg" TargetMode="External"/><Relationship Id="rId535" Type="http://schemas.openxmlformats.org/officeDocument/2006/relationships/hyperlink" Target="https://www.google.com/url?q=https://codeforces.com/blog/entry/51740?%23comment-356943&amp;sa=D&amp;ust=1605639799102000&amp;usg=AFQjCNF35md9rruhfwBKWH1GH5VwkDszjQ" TargetMode="External"/><Relationship Id="rId742" Type="http://schemas.openxmlformats.org/officeDocument/2006/relationships/hyperlink" Target="https://www.google.com/url?q=https://oj.uz/problem/view/IZhO14_divide&amp;sa=D&amp;ust=1605639799705000&amp;usg=AFQjCNHDlaADXtaLD8YQLCTY5wHDmmEtXw" TargetMode="External"/><Relationship Id="rId1165" Type="http://schemas.openxmlformats.org/officeDocument/2006/relationships/hyperlink" Target="https://www.google.com/url?q=https://dunjudge.me/analysis/problems/1473/&amp;sa=D&amp;ust=1605639800106000&amp;usg=AFQjCNFyz-_uCZ2rxrRskN1YFlYDdl4DAQ" TargetMode="External"/><Relationship Id="rId1372" Type="http://schemas.openxmlformats.org/officeDocument/2006/relationships/hyperlink" Target="https://www.google.com/url?q=https://oj.uz/problem/view/COCI16_kvalitetni&amp;sa=D&amp;ust=1605639800284000&amp;usg=AFQjCNHlVBsJ4MSi0vfKpgTPLsvKb58H7A" TargetMode="External"/><Relationship Id="rId2009" Type="http://schemas.openxmlformats.org/officeDocument/2006/relationships/hyperlink" Target="https://www.google.com/url?q=https://oj.uz/problem/view/APIO13_toll&amp;sa=D&amp;ust=1605639800772000&amp;usg=AFQjCNGrUx8AxBaL0xLaojvWKPLDnqMvfA" TargetMode="External"/><Relationship Id="rId2216" Type="http://schemas.openxmlformats.org/officeDocument/2006/relationships/hyperlink" Target="https://www.google.com/url?q=https://github.com/AhmedElsisy/CompetitiveProgramming/blob/master/Olympiad/COCI/COCI%252017-uzastopni.cpp&amp;sa=D&amp;ust=1605639800895000&amp;usg=AFQjCNFu6zLsqXJCW54CmOCeQ_uqnRs1fA" TargetMode="External"/><Relationship Id="rId2423" Type="http://schemas.openxmlformats.org/officeDocument/2006/relationships/hyperlink" Target="https://www.google.com/url?q=https://csacademy.com/contest/ejoi-2017-day-2/task/game/&amp;sa=D&amp;ust=1605639801780000&amp;usg=AFQjCNHrdDI0IO_mB1SulhrScmJIhDv4aA" TargetMode="External"/><Relationship Id="rId2630" Type="http://schemas.openxmlformats.org/officeDocument/2006/relationships/hyperlink" Target="https://www.google.com/url?q=https://csacademy.com/contest/ceoi-2017-day-2/&amp;sa=D&amp;ust=1605639801979000&amp;usg=AFQjCNGC2imZCnCuR1lyKFQe4MESqxaBUQ" TargetMode="External"/><Relationship Id="rId602" Type="http://schemas.openxmlformats.org/officeDocument/2006/relationships/hyperlink" Target="https://www.google.com/url?q=https://wcipeg.com/problem/coi07p1&amp;sa=D&amp;ust=1605639799128000&amp;usg=AFQjCNGU_FyN-wnEEoftcV_kn4rRMntQxA" TargetMode="External"/><Relationship Id="rId1025" Type="http://schemas.openxmlformats.org/officeDocument/2006/relationships/hyperlink" Target="https://www.google.com/url?q=https://www.acmicpc.net/problem/1752&amp;sa=D&amp;ust=1605639799990000&amp;usg=AFQjCNGduqH9E4pvaEDzAbds8N7J9taPOA" TargetMode="External"/><Relationship Id="rId1232" Type="http://schemas.openxmlformats.org/officeDocument/2006/relationships/hyperlink" Target="https://www.google.com/url?q=https://github.com/sofhiasouza/CompetitiveProgramming/blob/master/COCI/2018-2019/Contest%2520%25232/maja.cpp&amp;sa=D&amp;ust=1605639800178000&amp;usg=AFQjCNEwJgwS7uRlZeOQi-_0Snfgl2vXfA" TargetMode="External"/><Relationship Id="rId185" Type="http://schemas.openxmlformats.org/officeDocument/2006/relationships/hyperlink" Target="https://www.google.com/url?q=https://dmoj.ca/problem/coci07c4p4&amp;sa=D&amp;ust=1605639798783000&amp;usg=AFQjCNHLNeMMtyfPwAEoNUQznnpI7izI2g" TargetMode="External"/><Relationship Id="rId1909" Type="http://schemas.openxmlformats.org/officeDocument/2006/relationships/hyperlink" Target="https://www.google.com/url?q=https://joi2013ho.contest.atcoder.jp/tasks/joi2013ho3&amp;sa=D&amp;ust=1605639800692000&amp;usg=AFQjCNF1zzNwOWMGXNmscxVY4J_GSUJ6oA" TargetMode="External"/><Relationship Id="rId392" Type="http://schemas.openxmlformats.org/officeDocument/2006/relationships/hyperlink" Target="https://www.google.com/url?q=https://szkopul.edu.pl/problemset/problem/0EGjXu64CRLc5S2-EQOZ0eR1/site/&amp;sa=D&amp;ust=1605639798981000&amp;usg=AFQjCNG-S4v3HuFOeRqXx2oBqgRiralp2g" TargetMode="External"/><Relationship Id="rId2073" Type="http://schemas.openxmlformats.org/officeDocument/2006/relationships/hyperlink" Target="https://www.google.com/url?q=https://szkopul.edu.pl/problemset/problem/y9HM1ctDU8V8xLMRUYACDIRs/site/&amp;sa=D&amp;ust=1605639800798000&amp;usg=AFQjCNFmKJEfVmg-ZGBD_YZQImA-fGH32g" TargetMode="External"/><Relationship Id="rId2280" Type="http://schemas.openxmlformats.org/officeDocument/2006/relationships/hyperlink" Target="https://www.google.com/url?q=https://github.com/mostafa-saad/MyCompetitiveProgramming/blob/master/Olympiad/COCI/official/2017/contest4_solutions&amp;sa=D&amp;ust=1605639801570000&amp;usg=AFQjCNFN409BWaBSrPrKkUWBxTlJ3KxLSw" TargetMode="External"/><Relationship Id="rId252" Type="http://schemas.openxmlformats.org/officeDocument/2006/relationships/hyperlink" Target="https://www.google.com/url?q=https://github.com/mostafa-saad/MyCompetitiveProgramming/blob/master/Olympiad/POI/official/find_editorial_sols_guidelines.txt&amp;sa=D&amp;ust=1605639798810000&amp;usg=AFQjCNEKmGyNkxqVk7yjJAsAudpffdUs-Q" TargetMode="External"/><Relationship Id="rId2140" Type="http://schemas.openxmlformats.org/officeDocument/2006/relationships/hyperlink" Target="https://www.google.com/url?q=https://github.com/stefdasca/CompetitiveProgramming/blob/master/Infoarena/overpower.cpp&amp;sa=D&amp;ust=1605639800823000&amp;usg=AFQjCNGNYEw_adzuNPW1pz6sSo0ADa8qRg" TargetMode="External"/><Relationship Id="rId112" Type="http://schemas.openxmlformats.org/officeDocument/2006/relationships/hyperlink" Target="https://www.google.com/url?q=https://github.com/mostafa-saad/MyCompetitiveProgramming/blob/master/Olympiad/OSN/OSN_15-1C.txt&amp;sa=D&amp;ust=1605639798718000&amp;usg=AFQjCNHBrAL2_3RfOSVSC_eYXdH7gMDycg" TargetMode="External"/><Relationship Id="rId1699" Type="http://schemas.openxmlformats.org/officeDocument/2006/relationships/hyperlink" Target="https://www.google.com/url?q=https://github.com/mostafa-saad/MyCompetitiveProgramming/blob/master/Olympiad/POI/official/find_editorial_sols_guidelines.txt&amp;sa=D&amp;ust=1605639800497000&amp;usg=AFQjCNFgYKVKcrFfJAmMuUHVHGFd90Gfhg" TargetMode="External"/><Relationship Id="rId2000" Type="http://schemas.openxmlformats.org/officeDocument/2006/relationships/hyperlink" Target="https://www.google.com/url?q=https://oj.uz/problem/view/COCI18_planinarenje&amp;sa=D&amp;ust=1605639800766000&amp;usg=AFQjCNGXoT8VPniku-qRIHeMBNFTKhOz1g" TargetMode="External"/><Relationship Id="rId2957" Type="http://schemas.openxmlformats.org/officeDocument/2006/relationships/hyperlink" Target="https://www.google.com/url?q=https://dunjudge.me/analysis/problems/1188/&amp;sa=D&amp;ust=1605639802364000&amp;usg=AFQjCNHcR6infxqzJ0Bzvvgx1Bh4IH3Wig" TargetMode="External"/><Relationship Id="rId929" Type="http://schemas.openxmlformats.org/officeDocument/2006/relationships/hyperlink" Target="https://www.google.com/url?q=http://usaco.org/index.php?page%3Dviewproblem2%26cpid%3D792&amp;sa=D&amp;ust=1605639799903000&amp;usg=AFQjCNEF0U9rWT_UUhs2TSP7BTolP-MzBw" TargetMode="External"/><Relationship Id="rId1559" Type="http://schemas.openxmlformats.org/officeDocument/2006/relationships/hyperlink" Target="https://www.google.com/url?q=https://oj.uz/problem/view/COI16_relay&amp;sa=D&amp;ust=1605639800403000&amp;usg=AFQjCNEtyR7YaZCHFwk7OpJJZ7RZVEa5Kw" TargetMode="External"/><Relationship Id="rId1766" Type="http://schemas.openxmlformats.org/officeDocument/2006/relationships/hyperlink" Target="https://www.google.com/url?q=https://github.com/mostafa-saad/MyCompetitiveProgramming/blob/master/Olympiad/POI/official/find_editorial_sols_guidelines.txt&amp;sa=D&amp;ust=1605639800572000&amp;usg=AFQjCNGCkeuEVspc08H2CBWHivh2bkDZMA" TargetMode="External"/><Relationship Id="rId1973" Type="http://schemas.openxmlformats.org/officeDocument/2006/relationships/hyperlink" Target="https://www.google.com/url?q=https://github.com/mostafa-saad/MyCompetitiveProgramming/blob/master/Olympiad/CEOI/CEOI-05-Depot.txt&amp;sa=D&amp;ust=1605639800714000&amp;usg=AFQjCNGAOgOJh1sW74_WlJSmb-uxv6kUjw" TargetMode="External"/><Relationship Id="rId2817" Type="http://schemas.openxmlformats.org/officeDocument/2006/relationships/hyperlink" Target="https://www.google.com/url?q=https://github.com/mostafa-saad/MyCompetitiveProgramming/blob/master/Olympiad/COCI/official/2015/contest5_solutions&amp;sa=D&amp;ust=1605639802175000&amp;usg=AFQjCNFbkAA8x5jBKJevfe_vgEprs4ly2w" TargetMode="External"/><Relationship Id="rId58" Type="http://schemas.openxmlformats.org/officeDocument/2006/relationships/hyperlink" Target="https://www.google.com/url?q=https://oj.uz/problem/view/IOI19_vision&amp;sa=D&amp;ust=1605639798685000&amp;usg=AFQjCNFspKqSxZsa4aFRacrZnsj7bSOitg" TargetMode="External"/><Relationship Id="rId1419" Type="http://schemas.openxmlformats.org/officeDocument/2006/relationships/hyperlink" Target="https://www.google.com/url?q=https://github.com/stefdasca/CompetitiveProgramming/blob/master/Infoarena/jsched.cpp&amp;sa=D&amp;ust=1605639800303000&amp;usg=AFQjCNFmxCFH5wTFLzG_qE4aIX03qm6_8Q" TargetMode="External"/><Relationship Id="rId1626" Type="http://schemas.openxmlformats.org/officeDocument/2006/relationships/hyperlink" Target="https://www.google.com/url?q=https://oj.uz/problem/view/COI15_cvenk&amp;sa=D&amp;ust=1605639800469000&amp;usg=AFQjCNF-VKVT1_eKtMSr7qs4eznBLG9QVQ" TargetMode="External"/><Relationship Id="rId1833" Type="http://schemas.openxmlformats.org/officeDocument/2006/relationships/hyperlink" Target="https://www.google.com/url?q=https://github.com/mostafa-saad/MyCompetitiveProgramming/blob/master/Olympiad/POI/POI-08-Mafia.txt&amp;sa=D&amp;ust=1605639800603000&amp;usg=AFQjCNFOUIZEnMH2eLiF-012pYv8njeKJA" TargetMode="External"/><Relationship Id="rId1900" Type="http://schemas.openxmlformats.org/officeDocument/2006/relationships/hyperlink" Target="https://www.google.com/url?q=https://dunjudge.me/analysis/problems/1228/&amp;sa=D&amp;ust=1605639800689000&amp;usg=AFQjCNF84jWJjwEpIiK_27qk32SxlsAMJA" TargetMode="External"/><Relationship Id="rId579" Type="http://schemas.openxmlformats.org/officeDocument/2006/relationships/hyperlink" Target="https://www.google.com/url?q=https://github.com/stefdasca/CompetitiveProgramming/blob/master/Infoarena/minim2.cpp&amp;sa=D&amp;ust=1605639799119000&amp;usg=AFQjCNHVmGxXpziDJbtkmNz-xV08YNxjBQ" TargetMode="External"/><Relationship Id="rId786" Type="http://schemas.openxmlformats.org/officeDocument/2006/relationships/hyperlink" Target="https://www.google.com/url?q=https://github.com/mostafa-saad/MyCompetitiveProgramming/blob/master/Olympiad/COI/COI-15-ruka.txt&amp;sa=D&amp;ust=1605639799775000&amp;usg=AFQjCNFrucpyfBQZQHj5etyBT2LExGTWkg" TargetMode="External"/><Relationship Id="rId993" Type="http://schemas.openxmlformats.org/officeDocument/2006/relationships/hyperlink" Target="https://www.google.com/url?q=https://www.hackerrank.com/contests/ioi-2014-practice-contest-1/challenges&amp;sa=D&amp;ust=1605639799980000&amp;usg=AFQjCNHG42EpAHBdTAOir65Pbnj3KjPGZw" TargetMode="External"/><Relationship Id="rId2467" Type="http://schemas.openxmlformats.org/officeDocument/2006/relationships/hyperlink" Target="https://www.google.com/url?q=https://oj.uz/problem/view/APIO14_beads&amp;sa=D&amp;ust=1605639801797000&amp;usg=AFQjCNGNyGkFd2yoxQwiKYfyCBM-h7FihA" TargetMode="External"/><Relationship Id="rId2674" Type="http://schemas.openxmlformats.org/officeDocument/2006/relationships/hyperlink" Target="https://www.google.com/url?q=https://tioj.ck.tp.edu.tw/problems/1750&amp;sa=D&amp;ust=1605639802000000&amp;usg=AFQjCNGsNprbs3w8Hu7wXyXuzVHb7byESA" TargetMode="External"/><Relationship Id="rId439" Type="http://schemas.openxmlformats.org/officeDocument/2006/relationships/hyperlink" Target="https://www.google.com/url?q=https://oj.uz/problem/view/JOI19_timeleap&amp;sa=D&amp;ust=1605639799002000&amp;usg=AFQjCNHYYjMNL_YDkeGdDrVNofDGM2YlnQ" TargetMode="External"/><Relationship Id="rId646" Type="http://schemas.openxmlformats.org/officeDocument/2006/relationships/hyperlink" Target="https://www.google.com/url?q=https://www.hackerrank.com/contests/boi-2016/challenges&amp;sa=D&amp;ust=1605639799642000&amp;usg=AFQjCNGMO_vQw_iQafR5ZjEdt9FxvaA-wQ" TargetMode="External"/><Relationship Id="rId1069" Type="http://schemas.openxmlformats.org/officeDocument/2006/relationships/hyperlink" Target="https://www.google.com/url?q=https://oj.uz/problems/source/307&amp;sa=D&amp;ust=1605639800011000&amp;usg=AFQjCNEqjZK-HLje8acjek9IsdaCMYWhGg" TargetMode="External"/><Relationship Id="rId1276" Type="http://schemas.openxmlformats.org/officeDocument/2006/relationships/hyperlink" Target="https://www.google.com/url?q=https://oj.uz/problem/view/CEOI12_highway&amp;sa=D&amp;ust=1605639800194000&amp;usg=AFQjCNGmtS_b8ujNcKT4dkIkDR3yqPq61g" TargetMode="External"/><Relationship Id="rId1483" Type="http://schemas.openxmlformats.org/officeDocument/2006/relationships/hyperlink" Target="https://www.google.com/url?q=https://github.com/mostafa-saad/MyCompetitiveProgramming/blob/master/Olympiad/POI/official/find_editorial_sols_guidelines.txt&amp;sa=D&amp;ust=1605639800373000&amp;usg=AFQjCNHgob4rq0_hdUGzlOzsIBoQaRsWYA" TargetMode="External"/><Relationship Id="rId2327" Type="http://schemas.openxmlformats.org/officeDocument/2006/relationships/hyperlink" Target="https://www.google.com/url?q=https://dunjudge.me/analysis/problems/802/&amp;sa=D&amp;ust=1605639801607000&amp;usg=AFQjCNH6HOuXeGuwLrfwkUlDFYYiGu431A" TargetMode="External"/><Relationship Id="rId2881" Type="http://schemas.openxmlformats.org/officeDocument/2006/relationships/hyperlink" Target="https://www.google.com/url?q=https://oj.uz/problem/view/IZhO14_ufo&amp;sa=D&amp;ust=1605639802266000&amp;usg=AFQjCNHpVUASUoRsqYeJATXzVJwf2f7-uA" TargetMode="External"/><Relationship Id="rId506" Type="http://schemas.openxmlformats.org/officeDocument/2006/relationships/hyperlink" Target="https://www.google.com/url?q=https://github.com/stefdasca/CompetitiveProgramming/blob/master/Info1Cup/National%2520Round/simple.cpp&amp;sa=D&amp;ust=1605639799089000&amp;usg=AFQjCNFxC2FIgABbVjv5b6qOXlmZ4luw9A" TargetMode="External"/><Relationship Id="rId853" Type="http://schemas.openxmlformats.org/officeDocument/2006/relationships/hyperlink" Target="https://www.google.com/url?q=https://github.com/mostafa-saad/MyCompetitiveProgramming/blob/master/Olympiad/Baltic/Baltic-15-tug.txt&amp;sa=D&amp;ust=1605639799869000&amp;usg=AFQjCNHrZYh00BFGI0DuBTowD94-W_Jl0g" TargetMode="External"/><Relationship Id="rId1136" Type="http://schemas.openxmlformats.org/officeDocument/2006/relationships/hyperlink" Target="https://www.google.com/url?q=https://codeforces.com/group/swEqtABRxe/contest/243431/problem/B&amp;sa=D&amp;ust=1605639800086000&amp;usg=AFQjCNGnSSwnrRqA1YB7EEAYo0AQVYS4ag" TargetMode="External"/><Relationship Id="rId1690" Type="http://schemas.openxmlformats.org/officeDocument/2006/relationships/hyperlink" Target="https://www.google.com/url?q=https://github.com/mostafa-saad/MyCompetitiveProgramming/blob/master/Olympiad/POI/POI-14-FarmCraft.txt&amp;sa=D&amp;ust=1605639800494000&amp;usg=AFQjCNHTzn2z1y89sKiwvKisxxd_aS_peQ" TargetMode="External"/><Relationship Id="rId2534" Type="http://schemas.openxmlformats.org/officeDocument/2006/relationships/hyperlink" Target="https://www.google.com/url?q=https://github.com/mostafa-saad/MyCompetitiveProgramming/blob/master/Olympiad/CEOI/CEOI-04-Two.txt&amp;sa=D&amp;ust=1605639801873000&amp;usg=AFQjCNE4G2jcwWM4hwqYHxeEHPCdeavlUA" TargetMode="External"/><Relationship Id="rId2741" Type="http://schemas.openxmlformats.org/officeDocument/2006/relationships/hyperlink" Target="https://www.google.com/url?q=https://dmoj.ca/problem/coci07c1p3&amp;sa=D&amp;ust=1605639802090000&amp;usg=AFQjCNEH7weQxi_BWoaeGxmlY3eX3YyRFQ" TargetMode="External"/><Relationship Id="rId713" Type="http://schemas.openxmlformats.org/officeDocument/2006/relationships/hyperlink" Target="https://www.google.com/url?q=https://github.com/Szawinis/CompetitiveProgramming/blob/master/Olympiad/Baltic/Baltic17-toll.cpp&amp;sa=D&amp;ust=1605639799678000&amp;usg=AFQjCNHCvdeHvngm72n0vC9raup2NR-xYQ" TargetMode="External"/><Relationship Id="rId920" Type="http://schemas.openxmlformats.org/officeDocument/2006/relationships/hyperlink" Target="https://www.google.com/url?q=https://github.com/mostafa-saad/MyCompetitiveProgramming/blob/master/Olympiad/IZhO/IZhO-14-blocks.txt&amp;sa=D&amp;ust=1605639799899000&amp;usg=AFQjCNHo4B_l_moY81JjCRanQ_iM_Vs0VQ" TargetMode="External"/><Relationship Id="rId1343" Type="http://schemas.openxmlformats.org/officeDocument/2006/relationships/hyperlink" Target="https://www.google.com/url?q=https://szkopul.edu.pl/problemset/problem/dIejmvqlAbsoU1hkjNbd4KtF/site/?key%3Dstatement&amp;sa=D&amp;ust=1605639800221000&amp;usg=AFQjCNELTkpzP9dYH1jihESjkN60EedDfA" TargetMode="External"/><Relationship Id="rId1550" Type="http://schemas.openxmlformats.org/officeDocument/2006/relationships/hyperlink" Target="https://www.google.com/url?q=https://github.com/mostafa-saad/MyCompetitiveProgramming/blob/master/Olympiad/Baltic/official/boi2014_solutions&amp;sa=D&amp;ust=1605639800399000&amp;usg=AFQjCNE59bpEhYJ530Qq1b8zZjdPN6OT2w" TargetMode="External"/><Relationship Id="rId2601" Type="http://schemas.openxmlformats.org/officeDocument/2006/relationships/hyperlink" Target="https://www.google.com/url?q=https://infoarena.ro/problema/xortransform&amp;sa=D&amp;ust=1605639801903000&amp;usg=AFQjCNFvz8p2Z-oOfs5Agp0yh8jhlRFJSQ" TargetMode="External"/><Relationship Id="rId1203" Type="http://schemas.openxmlformats.org/officeDocument/2006/relationships/hyperlink" Target="https://www.google.com/url?q=https://csacademy.com/contest/archive/task/circuits/&amp;sa=D&amp;ust=1605639800167000&amp;usg=AFQjCNFlsa6oGAvJx99nP9NbLWnukQ8u3g" TargetMode="External"/><Relationship Id="rId1410" Type="http://schemas.openxmlformats.org/officeDocument/2006/relationships/hyperlink" Target="https://www.google.com/url?q=https://www.infoarena.ro/problema/sir42&amp;sa=D&amp;ust=1605639800299000&amp;usg=AFQjCNGdsX7_sXFpnrKiRF5Ktw2cWwqwoQ" TargetMode="External"/><Relationship Id="rId296" Type="http://schemas.openxmlformats.org/officeDocument/2006/relationships/hyperlink" Target="https://www.google.com/url?q=https://github.com/mostafa-saad/MyCompetitiveProgramming/tree/master/Olympiad/COCI/official/2008/contest1_solutions&amp;sa=D&amp;ust=1605639798881000&amp;usg=AFQjCNHsa87vlcH14qGYvGxbvBILQrOaqA" TargetMode="External"/><Relationship Id="rId2184" Type="http://schemas.openxmlformats.org/officeDocument/2006/relationships/hyperlink" Target="https://www.google.com/url?q=https://codeforces.com/group/swEqtABRxe/contest/243430/problem/A&amp;sa=D&amp;ust=1605639800881000&amp;usg=AFQjCNFEJ0cXMbh6abCEGkkMUd9w9pDVqw" TargetMode="External"/><Relationship Id="rId2391" Type="http://schemas.openxmlformats.org/officeDocument/2006/relationships/hyperlink" Target="https://www.google.com/url?q=https://github.com/mostafa-saad/MyCompetitiveProgramming/blob/master/Olympiad/IOI/official/2010&amp;sa=D&amp;ust=1605639801704000&amp;usg=AFQjCNFhDFIJmo1X4ROw5CGrUMwc1Bx3yA" TargetMode="External"/><Relationship Id="rId156" Type="http://schemas.openxmlformats.org/officeDocument/2006/relationships/hyperlink" Target="https://www.google.com/url?q=https://github.com/sjhuang26/competitive-programming/blob/master/noi/NOI%252013-gw.cpp&amp;sa=D&amp;ust=1605639798774000&amp;usg=AFQjCNGkizMxy_T1olkzO4wlGJWzuDUGLQ" TargetMode="External"/><Relationship Id="rId363" Type="http://schemas.openxmlformats.org/officeDocument/2006/relationships/hyperlink" Target="https://www.google.com/url?q=https://github.com/mostafa-saad/MyCompetitiveProgramming/tree/master/Olympiad/COCI/official/2007/contest2_solutions&amp;sa=D&amp;ust=1605639798909000&amp;usg=AFQjCNF6pIi3Vb19x3tvq_OgVWRklnfxvg" TargetMode="External"/><Relationship Id="rId570" Type="http://schemas.openxmlformats.org/officeDocument/2006/relationships/hyperlink" Target="https://www.google.com/url?q=https://github.com/mostafa-saad/MyCompetitiveProgramming/blob/master/Olympiad/IOI/IOI-05-birthday.txt&amp;sa=D&amp;ust=1605639799116000&amp;usg=AFQjCNEqTI0kxDAYLPEFzGlYW3qAYGvJBA" TargetMode="External"/><Relationship Id="rId2044" Type="http://schemas.openxmlformats.org/officeDocument/2006/relationships/hyperlink" Target="https://www.google.com/url?q=https://github.com/mostafa-saad/MyCompetitiveProgramming/blob/master/Olympiad/infoarena/drumuri5-statement.txt&amp;sa=D&amp;ust=1605639800786000&amp;usg=AFQjCNGo6rJaAcp6pao3HoDJgY0K5dzBPQ" TargetMode="External"/><Relationship Id="rId2251" Type="http://schemas.openxmlformats.org/officeDocument/2006/relationships/hyperlink" Target="https://www.google.com/url?q=https://dunjudge.me/analysis/problems/973/&amp;sa=D&amp;ust=1605639800909000&amp;usg=AFQjCNFjJP9GXkhMTmejzGcVMu_gwSaDZw" TargetMode="External"/><Relationship Id="rId223" Type="http://schemas.openxmlformats.org/officeDocument/2006/relationships/hyperlink" Target="https://www.google.com/url?q=https://github.com/mostafa-saad/MyCompetitiveProgramming/blob/master/Olympiad/COCI/official/2014/contest4_solutions&amp;sa=D&amp;ust=1605639798799000&amp;usg=AFQjCNG7W2tbTgq8_EmetbfG8irtgdQ3HA" TargetMode="External"/><Relationship Id="rId430" Type="http://schemas.openxmlformats.org/officeDocument/2006/relationships/hyperlink" Target="https://www.google.com/url?q=https://github.com/mostafa-saad/MyCompetitiveProgramming/blob/master/Olympiad/COCI/COCI-07-Kocke.txt&amp;sa=D&amp;ust=1605639798997000&amp;usg=AFQjCNEUFKuglPvEzu-vCSUTydsoYZmMpQ" TargetMode="External"/><Relationship Id="rId1060" Type="http://schemas.openxmlformats.org/officeDocument/2006/relationships/hyperlink" Target="https://www.google.com/url?q=https://wcipeg.com/problem/coci077p4&amp;sa=D&amp;ust=1605639800005000&amp;usg=AFQjCNEubkEOViNmAjyDSQ5ynvLmo4Ca-g" TargetMode="External"/><Relationship Id="rId2111" Type="http://schemas.openxmlformats.org/officeDocument/2006/relationships/hyperlink" Target="https://www.google.com/url?q=https://github.com/ihdignite/CompetitiveProgramming/blob/master/IZHO/17-Bomb.cpp&amp;sa=D&amp;ust=1605639800813000&amp;usg=AFQjCNFjAJO5vOIanHEtsDL2U3fSWQ2f9g" TargetMode="External"/><Relationship Id="rId1877" Type="http://schemas.openxmlformats.org/officeDocument/2006/relationships/hyperlink" Target="https://www.google.com/url?q=https://github.com/mostafa-saad/MyCompetitiveProgramming/blob/master/Olympiad/JOI/JOI-18-commuterpass.txt&amp;sa=D&amp;ust=1605639800678000&amp;usg=AFQjCNHauRXvn91UU5lU97QbxWZr-DGgQQ" TargetMode="External"/><Relationship Id="rId2928" Type="http://schemas.openxmlformats.org/officeDocument/2006/relationships/hyperlink" Target="https://www.google.com/url?q=https://dunjudge.me/analysis/problems/551/&amp;sa=D&amp;ust=1605639802297000&amp;usg=AFQjCNH-7rgVBtZJl4cDYACR1ddBG_nPZg" TargetMode="External"/><Relationship Id="rId1737" Type="http://schemas.openxmlformats.org/officeDocument/2006/relationships/hyperlink" Target="https://www.google.com/url?q=https://www.infoarena.ro/problema/rfinv&amp;sa=D&amp;ust=1605639800520000&amp;usg=AFQjCNEMs5FyXK9jsfCxDJatO99atnbnUQ" TargetMode="External"/><Relationship Id="rId1944" Type="http://schemas.openxmlformats.org/officeDocument/2006/relationships/hyperlink" Target="https://www.google.com/url?q=https://www.infoarena.ro/problema/mexc&amp;sa=D&amp;ust=1605639800704000&amp;usg=AFQjCNFWwqL7xUthQj-d2-yB0rTdz77_Kw" TargetMode="External"/><Relationship Id="rId29" Type="http://schemas.openxmlformats.org/officeDocument/2006/relationships/hyperlink" Target="https://www.google.com/url?q=https://github.com/mostafa-saad/MyCompetitiveProgramming/blob/master/Olympiad/IOI/IOI-15-towns.txt&amp;sa=D&amp;ust=1605639798674000&amp;usg=AFQjCNFtLDybaMuY2Gf5AKikePL2yJ07QQ" TargetMode="External"/><Relationship Id="rId1804" Type="http://schemas.openxmlformats.org/officeDocument/2006/relationships/hyperlink" Target="https://www.google.com/url?q=https://dmoj.ca/problem/coi06p3&amp;sa=D&amp;ust=1605639800592000&amp;usg=AFQjCNEkwZGiof-2uRK7cC2umt5hyIuk2Q" TargetMode="External"/><Relationship Id="rId897" Type="http://schemas.openxmlformats.org/officeDocument/2006/relationships/hyperlink" Target="https://www.google.com/url?q=http://usaco.org/index.php?page%3Dviewproblem2%26cpid%3D902&amp;sa=D&amp;ust=1605639799890000&amp;usg=AFQjCNFF4YOGMcDyAGXnq2l47zHZOiMDAA" TargetMode="External"/><Relationship Id="rId2578" Type="http://schemas.openxmlformats.org/officeDocument/2006/relationships/hyperlink" Target="https://www.google.com/url?q=https://dmoj.ca/problem/ccoprep16c2q3&amp;sa=D&amp;ust=1605639801894000&amp;usg=AFQjCNH8ZksPYfxxWcd349raWVz5GL6Y0g" TargetMode="External"/><Relationship Id="rId2785" Type="http://schemas.openxmlformats.org/officeDocument/2006/relationships/hyperlink" Target="https://www.google.com/url?q=https://wcipeg.com/problem/coci094p3&amp;sa=D&amp;ust=1605639802106000&amp;usg=AFQjCNECGwsMC2-GEJrPjVGa8hRoV1Ad2w" TargetMode="External"/><Relationship Id="rId2992" Type="http://schemas.openxmlformats.org/officeDocument/2006/relationships/hyperlink" Target="https://www.google.com/url?q=https://szkopul.edu.pl/problemset/problem/wrTmzO9-dzEbLtsRUCdMV2_W/site/&amp;sa=D&amp;ust=1605639802386000&amp;usg=AFQjCNFa127ZXFBTL2prw0k_8XQBfPon0g" TargetMode="External"/><Relationship Id="rId757" Type="http://schemas.openxmlformats.org/officeDocument/2006/relationships/hyperlink" Target="https://www.google.com/url?q=https://github.com/SpeedOfMagic/CompetitiveProgramming/blob/master/JOIOC/15-sterilizing.cpp&amp;sa=D&amp;ust=1605639799712000&amp;usg=AFQjCNEYPfzykbGKtX4bIqZnoUvjoicSqw" TargetMode="External"/><Relationship Id="rId964" Type="http://schemas.openxmlformats.org/officeDocument/2006/relationships/hyperlink" Target="https://www.google.com/url?q=https://oj.uz/problem/view/COCI14_bob&amp;sa=D&amp;ust=1605639799965000&amp;usg=AFQjCNG2HLtCIfTAPYWyc5mwjuoYI3Yw3w" TargetMode="External"/><Relationship Id="rId1387" Type="http://schemas.openxmlformats.org/officeDocument/2006/relationships/hyperlink" Target="https://www.google.com/url?q=https://www.infoarena.ro/problema/cuplaje&amp;sa=D&amp;ust=1605639800289000&amp;usg=AFQjCNHmwIwEZizgmZN8mXb1di1rMmqRcA" TargetMode="External"/><Relationship Id="rId1594" Type="http://schemas.openxmlformats.org/officeDocument/2006/relationships/hyperlink" Target="https://www.google.com/url?q=https://github.com/mostafa-saad/MyCompetitiveProgramming/blob/master/Olympiad/POI/POI-04-Islands.txt&amp;sa=D&amp;ust=1605639800416000&amp;usg=AFQjCNECAh5Ly7xMFSMKgUamjz28oYmTrQ" TargetMode="External"/><Relationship Id="rId2438" Type="http://schemas.openxmlformats.org/officeDocument/2006/relationships/hyperlink" Target="https://www.google.com/url?q=https://oj.uz/problem/view/COCI16_nizin&amp;sa=D&amp;ust=1605639801786000&amp;usg=AFQjCNFsBprBvp4e_CRMh-vf6EPbTqWL8g" TargetMode="External"/><Relationship Id="rId2645" Type="http://schemas.openxmlformats.org/officeDocument/2006/relationships/hyperlink" Target="https://www.google.com/url?q=https://github.com/mostafa-saad/MyCompetitiveProgramming/blob/master/Olympiad/USACO/USACO-12dec-runaway.txt&amp;sa=D&amp;ust=1605639801986000&amp;usg=AFQjCNF6pHvqwyn4lUvmkGEoqn2n9TUV-Q" TargetMode="External"/><Relationship Id="rId2852" Type="http://schemas.openxmlformats.org/officeDocument/2006/relationships/hyperlink" Target="https://www.google.com/url?q=https://oj.uz/problem/view/info1cup18_cambridge&amp;sa=D&amp;ust=1605639802198000&amp;usg=AFQjCNHMS_E9631CSZsVwEJxEFt-abxvUQ" TargetMode="External"/><Relationship Id="rId93" Type="http://schemas.openxmlformats.org/officeDocument/2006/relationships/hyperlink" Target="https://www.google.com/url?q=https://github.com/MetalBall887/Competitive-Programming/blob/master/CSAcademy/ROJS%252017-borland.cpp&amp;sa=D&amp;ust=1605639798712000&amp;usg=AFQjCNEqp267RzhhISur8jCsej_KjYiNfw" TargetMode="External"/><Relationship Id="rId617" Type="http://schemas.openxmlformats.org/officeDocument/2006/relationships/hyperlink" Target="https://www.google.com/url?q=https://oj.uz/problem/view/IOI09_mecho&amp;sa=D&amp;ust=1605639799169000&amp;usg=AFQjCNHjJsUSN8U3bSJlcRe_MSelxY6j9A" TargetMode="External"/><Relationship Id="rId824" Type="http://schemas.openxmlformats.org/officeDocument/2006/relationships/hyperlink" Target="https://www.google.com/url?q=https://szkopul.edu.pl/problemset/problem/kYVp05sX8lzHWNwn93xjcYwH/site/&amp;sa=D&amp;ust=1605639799794000&amp;usg=AFQjCNErh-RSMHpUOnOeKxzAfhoeFzd5ag" TargetMode="External"/><Relationship Id="rId1247" Type="http://schemas.openxmlformats.org/officeDocument/2006/relationships/hyperlink" Target="https://www.google.com/url?q=https://github.com/mostafa-saad/MyCompetitiveProgramming/blob/master/Olympiad/Baltic/Baltic-09-Beetles.txt&amp;sa=D&amp;ust=1605639800183000&amp;usg=AFQjCNFA9w03VicZvZKpoEX2Ge5RK5QCWw" TargetMode="External"/><Relationship Id="rId1454" Type="http://schemas.openxmlformats.org/officeDocument/2006/relationships/hyperlink" Target="https://www.google.com/url?q=https://oj.uz/problems/source/121&amp;sa=D&amp;ust=1605639800318000&amp;usg=AFQjCNGT8TuuQ7d0ddiSUSp55PyvfY2bng" TargetMode="External"/><Relationship Id="rId1661" Type="http://schemas.openxmlformats.org/officeDocument/2006/relationships/hyperlink" Target="https://www.google.com/url?q=https://szkopul.edu.pl/problemset/problem/YXgT8J1eHCc3h8z5RW69thmy/site/?key%3Dstatement&amp;sa=D&amp;ust=1605639800483000&amp;usg=AFQjCNHAhY8Yssl4JTI1FDU9gR23hXgHhg" TargetMode="External"/><Relationship Id="rId2505" Type="http://schemas.openxmlformats.org/officeDocument/2006/relationships/hyperlink" Target="https://www.google.com/url?q=https://oj.uz/problem/view/COI17_zagrade&amp;sa=D&amp;ust=1605639801811000&amp;usg=AFQjCNHSSV2D9gQ0B2V-IPOJ_FTZoQxxpA" TargetMode="External"/><Relationship Id="rId2712" Type="http://schemas.openxmlformats.org/officeDocument/2006/relationships/hyperlink" Target="https://www.google.com/url?q=https://github.com/mostafa-saad/MyCompetitiveProgramming/tree/master/Olympiad/COCI/official/2007/contest5_solutions&amp;sa=D&amp;ust=1605639802075000&amp;usg=AFQjCNFxZC9A88SFe_TWB2Gu3m92ngnuCg" TargetMode="External"/><Relationship Id="rId1107" Type="http://schemas.openxmlformats.org/officeDocument/2006/relationships/hyperlink" Target="https://www.google.com/url?q=https://oj.uz/problem/view/POI13_luk&amp;sa=D&amp;ust=1605639800073000&amp;usg=AFQjCNFx5Cs5t4o12AFk0YB7M0JIOROaEg" TargetMode="External"/><Relationship Id="rId1314" Type="http://schemas.openxmlformats.org/officeDocument/2006/relationships/hyperlink" Target="https://www.google.com/url?q=https://github.com/nikolapesic2802/Programming-Practice/blob/master/Long%2520Mansion/main.cpp&amp;sa=D&amp;ust=1605639800208000&amp;usg=AFQjCNE9AfkVZlls9CsL9MtvOGy2mi5VxQ" TargetMode="External"/><Relationship Id="rId1521" Type="http://schemas.openxmlformats.org/officeDocument/2006/relationships/hyperlink" Target="https://www.google.com/url?q=https://github.com/mostafa-saad/MyCompetitiveProgramming/blob/master/Olympiad/Baltic/Baltic-09-Rectangle.txt&amp;sa=D&amp;ust=1605639800389000&amp;usg=AFQjCNFd-KCsUSedAv8de8qUgaF3CL0JFg" TargetMode="External"/><Relationship Id="rId20" Type="http://schemas.openxmlformats.org/officeDocument/2006/relationships/hyperlink" Target="https://www.google.com/url?q=https://contest.yandex.ru/ioi/contest/558/enter/&amp;sa=D&amp;ust=1605639798671000&amp;usg=AFQjCNHX-Nn1j_2o-8hFf7OB-Fh5BEFAhA" TargetMode="External"/><Relationship Id="rId2088" Type="http://schemas.openxmlformats.org/officeDocument/2006/relationships/hyperlink" Target="https://www.google.com/url?q=https://github.com/mostafa-saad/MyCompetitiveProgramming/blob/master/Olympiad/infoarena/infoarena_casute.txt&amp;sa=D&amp;ust=1605639800805000&amp;usg=AFQjCNF5OuCCyjvP6GqZHo49wbqCYOCIBw" TargetMode="External"/><Relationship Id="rId2295" Type="http://schemas.openxmlformats.org/officeDocument/2006/relationships/hyperlink" Target="https://www.google.com/url?q=https://github.com/mostafa-saad/MyCompetitiveProgramming/blob/master/Olympiad/MCO/MCO-17-NewbieHacker.txt&amp;sa=D&amp;ust=1605639801576000&amp;usg=AFQjCNFDfFkSkg4j8PkJ8zV4loS0VNSdFw" TargetMode="External"/><Relationship Id="rId267" Type="http://schemas.openxmlformats.org/officeDocument/2006/relationships/hyperlink" Target="https://www.google.com/url?q=https://dmoj.ca/problem/coci07c3p3&amp;sa=D&amp;ust=1605639798869000&amp;usg=AFQjCNGYdj9SsEwS5HaD__Alc08aoHEoWQ" TargetMode="External"/><Relationship Id="rId474" Type="http://schemas.openxmlformats.org/officeDocument/2006/relationships/hyperlink" Target="https://www.google.com/url?q=https://contest.yandex.ru/ioi/contest/562/problems/B/&amp;sa=D&amp;ust=1605639799016000&amp;usg=AFQjCNGi7LGbF2DETaZyvkxv1lapX-MFGw" TargetMode="External"/><Relationship Id="rId2155" Type="http://schemas.openxmlformats.org/officeDocument/2006/relationships/hyperlink" Target="https://www.google.com/url?q=https://dmoj.ca/problem/coci07c2p5&amp;sa=D&amp;ust=1605639800870000&amp;usg=AFQjCNEmABU0QX6D41hsC4QNTOVuZfVyNw" TargetMode="External"/><Relationship Id="rId127" Type="http://schemas.openxmlformats.org/officeDocument/2006/relationships/hyperlink" Target="https://www.google.com/url?q=https://github.com/mostafa-saad/MyCompetitiveProgramming/blob/master/Olympiad/JOI/JOIOC-18-Xylophone.txt&amp;sa=D&amp;ust=1605639798724000&amp;usg=AFQjCNFPVSKoFIi9-YYAptZXh19WARVKfg" TargetMode="External"/><Relationship Id="rId681" Type="http://schemas.openxmlformats.org/officeDocument/2006/relationships/hyperlink" Target="https://www.google.com/url?q=https://github.com/mostafa-saad/MyCompetitiveProgramming/blob/master/Olympiad/COCI/COCI-14-norma.txt&amp;sa=D&amp;ust=1605639799664000&amp;usg=AFQjCNF5ywJUcAH-gOVfmuaQWJSD2fCK9A" TargetMode="External"/><Relationship Id="rId2362" Type="http://schemas.openxmlformats.org/officeDocument/2006/relationships/hyperlink" Target="https://www.google.com/url?q=https://github.com/stefdasca/CompetitiveProgramming/blob/master/Infoarena/poarta2.cpp&amp;sa=D&amp;ust=1605639801679000&amp;usg=AFQjCNGX8JeF-cz1TACcQqelY4QBupkySA" TargetMode="External"/><Relationship Id="rId334" Type="http://schemas.openxmlformats.org/officeDocument/2006/relationships/hyperlink" Target="https://www.google.com/url?q=https://dmoj.ca/problem/coci08c3p1&amp;sa=D&amp;ust=1605639798898000&amp;usg=AFQjCNHROrqmNAUAw5iTKdr4VJkYEItQFA" TargetMode="External"/><Relationship Id="rId541" Type="http://schemas.openxmlformats.org/officeDocument/2006/relationships/hyperlink" Target="https://www.google.com/url?q=https://ideone.com/gbGHt9&amp;sa=D&amp;ust=1605639799104000&amp;usg=AFQjCNEzc5GYZ9xyeWtUa0xm-bd9yEv6oA" TargetMode="External"/><Relationship Id="rId1171" Type="http://schemas.openxmlformats.org/officeDocument/2006/relationships/hyperlink" Target="https://www.google.com/url?q=https://github.com/mostafa-saad/MyCompetitiveProgramming/blob/master/Olympiad/COCI/COCI-14-Stanovi.txt&amp;sa=D&amp;ust=1605639800108000&amp;usg=AFQjCNHXENKsBq9A23RbkjbbuvUEWgAz4A" TargetMode="External"/><Relationship Id="rId2015" Type="http://schemas.openxmlformats.org/officeDocument/2006/relationships/hyperlink" Target="https://www.google.com/url?q=https://cses.fi/189/list/&amp;sa=D&amp;ust=1605639800774000&amp;usg=AFQjCNHTkgCMgGN8Vgpyw7E7Fmp_1YwU_Q" TargetMode="External"/><Relationship Id="rId2222" Type="http://schemas.openxmlformats.org/officeDocument/2006/relationships/hyperlink" Target="https://www.google.com/url?q=https://github.com/stefdasca/CompetitiveProgramming/blob/master/Infoarena/cifru.cpp&amp;sa=D&amp;ust=1605639800897000&amp;usg=AFQjCNHC77j1hCTSNIPa6wD6xAqPMv_pcg" TargetMode="External"/><Relationship Id="rId401" Type="http://schemas.openxmlformats.org/officeDocument/2006/relationships/hyperlink" Target="https://www.google.com/url?q=https://dmoj.ca/problem/coci14c4p5&amp;sa=D&amp;ust=1605639798984000&amp;usg=AFQjCNHGeuc478EAxQEjhOq-NZUSFe5F2A" TargetMode="External"/><Relationship Id="rId1031" Type="http://schemas.openxmlformats.org/officeDocument/2006/relationships/hyperlink" Target="https://www.google.com/url?q=https://github.com/updown2/OI-Practice/blob/master/BOI/2018/Citations%2520(Practice%2520Session).txt&amp;sa=D&amp;ust=1605639799992000&amp;usg=AFQjCNGT5m6SoIyp9sbUUzxPW6M3qz5ssw" TargetMode="External"/><Relationship Id="rId1988" Type="http://schemas.openxmlformats.org/officeDocument/2006/relationships/hyperlink" Target="https://www.google.com/url?q=https://szkopul.edu.pl/problemset/problem/gh2Yj6Ckrt4Lo_RojONuljuC/site/&amp;sa=D&amp;ust=1605639800720000&amp;usg=AFQjCNGV5t2DHwy_vcBqil4clvGYMrGt0Q" TargetMode="External"/><Relationship Id="rId1848" Type="http://schemas.openxmlformats.org/officeDocument/2006/relationships/hyperlink" Target="https://www.google.com/url?q=https://wcipeg.com/problem/coci087p5&amp;sa=D&amp;ust=1605639800607000&amp;usg=AFQjCNFmHF09qYA52cwJLonC8ZlR_F6okQ" TargetMode="External"/><Relationship Id="rId191" Type="http://schemas.openxmlformats.org/officeDocument/2006/relationships/hyperlink" Target="https://www.google.com/url?q=https://szkopul.edu.pl/problemset/problem/S-cyTRH8ScRh-XfLPAsXCQ0e/site/&amp;sa=D&amp;ust=1605639798786000&amp;usg=AFQjCNFeXD3BysELgvYpQbk0vuY3MsrAJQ" TargetMode="External"/><Relationship Id="rId1708" Type="http://schemas.openxmlformats.org/officeDocument/2006/relationships/hyperlink" Target="https://www.google.com/url?q=https://github.com/mostafa-saad/MyCompetitiveProgramming/blob/master/Olympiad/COCI/COCI-08-BST.txt&amp;sa=D&amp;ust=1605639800502000&amp;usg=AFQjCNH-tqNM26d_QK-Ge2pIYMLZ_CyUGQ" TargetMode="External"/><Relationship Id="rId1915" Type="http://schemas.openxmlformats.org/officeDocument/2006/relationships/hyperlink" Target="https://www.google.com/url?q=https://dunjudge.me/analysis/problems/265/&amp;sa=D&amp;ust=1605639800694000&amp;usg=AFQjCNEa6f2QIIwCfpW6Q6z3916A6Px7yg" TargetMode="External"/><Relationship Id="rId2689" Type="http://schemas.openxmlformats.org/officeDocument/2006/relationships/hyperlink" Target="https://www.google.com/url?q=https://cses.fi/109/list/&amp;sa=D&amp;ust=1605639802007000&amp;usg=AFQjCNF3IyPAGsnq_gbs1-OdfJ_YB9KGug" TargetMode="External"/><Relationship Id="rId2896" Type="http://schemas.openxmlformats.org/officeDocument/2006/relationships/hyperlink" Target="https://www.google.com/url?q=https://joisc2014.contest.atcoder.jp/tasks/joisc2014_f&amp;sa=D&amp;ust=1605639802275000&amp;usg=AFQjCNGzTBtBFvrmBX3snBIRaj2Lw3ATYg" TargetMode="External"/><Relationship Id="rId868" Type="http://schemas.openxmlformats.org/officeDocument/2006/relationships/hyperlink" Target="https://www.google.com/url?q=https://szkopul.edu.pl/problemset/problem/5UgslCU-C5vsermqgJGm_C5A/site/&amp;sa=D&amp;ust=1605639799874000&amp;usg=AFQjCNGWRhbacutsw2ZVJuATTJBzljFPbw" TargetMode="External"/><Relationship Id="rId1498" Type="http://schemas.openxmlformats.org/officeDocument/2006/relationships/hyperlink" Target="https://www.google.com/url?q=http://usaco.org/index.php?page%3Dviewproblem2%26cpid%3D672&amp;sa=D&amp;ust=1605639800379000&amp;usg=AFQjCNH9bNUKNyKc8jydIvnJYspc_hGmnA" TargetMode="External"/><Relationship Id="rId2549" Type="http://schemas.openxmlformats.org/officeDocument/2006/relationships/hyperlink" Target="https://www.google.com/url?q=http://usaco.org/index.php?page%3Dviewproblem2%26cpid%3D793&amp;sa=D&amp;ust=1605639801878000&amp;usg=AFQjCNEaL0iTLQ1n1jOitKIQyZb5SxrjFQ" TargetMode="External"/><Relationship Id="rId2756" Type="http://schemas.openxmlformats.org/officeDocument/2006/relationships/hyperlink" Target="https://www.google.com/url?q=https://github.com/mostafa-saad/MyCompetitiveProgramming/blob/master/Olympiad/COCI/official/2009/contest2_solutions&amp;sa=D&amp;ust=1605639802094000&amp;usg=AFQjCNHtmhVuGqmiQvuenJ6hIT5Ps8cWJw" TargetMode="External"/><Relationship Id="rId2963" Type="http://schemas.openxmlformats.org/officeDocument/2006/relationships/hyperlink" Target="https://www.google.com/url?q=https://github.com/mostafa-saad/MyCompetitiveProgramming/blob/master/Olympiad/POI/official/find_editorial_sols_guidelines.txt&amp;sa=D&amp;ust=1605639802372000&amp;usg=AFQjCNFWxRVL_9cjktbYy-LV9xqFA2qshQ" TargetMode="External"/><Relationship Id="rId728" Type="http://schemas.openxmlformats.org/officeDocument/2006/relationships/hyperlink" Target="https://www.google.com/url?q=https://github.com/mostafa-saad/MyCompetitiveProgramming/blob/master/Olympiad/infoarena/infoarena_fibo4.txt&amp;sa=D&amp;ust=1605639799698000&amp;usg=AFQjCNGGPWSqsLL4lKH5das3pue_tJgqkA" TargetMode="External"/><Relationship Id="rId935" Type="http://schemas.openxmlformats.org/officeDocument/2006/relationships/hyperlink" Target="https://www.google.com/url?q=https://szkopul.edu.pl/problemset/problem/YjtAwdQrSiGcE_RLiEJpGiYE/site/&amp;sa=D&amp;ust=1605639799904000&amp;usg=AFQjCNFfYPrHhXrtjdiidgakgQihw5br6A" TargetMode="External"/><Relationship Id="rId1358" Type="http://schemas.openxmlformats.org/officeDocument/2006/relationships/hyperlink" Target="https://www.google.com/url?q=https://github.com/stefdasca/CompetitiveProgramming/blob/master/Infoarena/aranjare.cpp&amp;sa=D&amp;ust=1605639800278000&amp;usg=AFQjCNEySP89A109h7Es9YEKTxOIPccKtQ" TargetMode="External"/><Relationship Id="rId1565" Type="http://schemas.openxmlformats.org/officeDocument/2006/relationships/hyperlink" Target="https://www.google.com/url?q=https://csacademy.com/contest/ioi-2016-training-round-5/task/empty-triangles/&amp;sa=D&amp;ust=1605639800405000&amp;usg=AFQjCNGpsCJR0JgGf8ZI_N2-BZWroMSXNw" TargetMode="External"/><Relationship Id="rId1772" Type="http://schemas.openxmlformats.org/officeDocument/2006/relationships/hyperlink" Target="https://www.google.com/url?q=https://github.com/mostafa-saad/MyCompetitiveProgramming/blob/master/Olympiad/POI/official/find_editorial_sols_guidelines.txt&amp;sa=D&amp;ust=1605639800576000&amp;usg=AFQjCNHXlKePc9FMZWpyTwjGaJKtss8Pmw" TargetMode="External"/><Relationship Id="rId2409" Type="http://schemas.openxmlformats.org/officeDocument/2006/relationships/hyperlink" Target="https://www.google.com/url?q=https://github.com/mostafa-saad/MyCompetitiveProgramming/blob/master/Olympiad/IOI/IOIPractice-16-increasing_subarrays.txt&amp;sa=D&amp;ust=1605639801710000&amp;usg=AFQjCNGPRY3QrFJ_6JtGoNPI1_9pSyiIEQ" TargetMode="External"/><Relationship Id="rId2616" Type="http://schemas.openxmlformats.org/officeDocument/2006/relationships/hyperlink" Target="https://www.google.com/url?q=https://oj.uz/problems/source/351&amp;sa=D&amp;ust=1605639801975000&amp;usg=AFQjCNGFHovT6cFTfiVO9L7fnhI1q3U7eg" TargetMode="External"/><Relationship Id="rId64" Type="http://schemas.openxmlformats.org/officeDocument/2006/relationships/hyperlink" Target="https://www.google.com/url?q=http://poj.org/problem?id%3D1148&amp;sa=D&amp;ust=1605639798689000&amp;usg=AFQjCNFsyOtiI0SXqdOLzb-SulphJ9d08g" TargetMode="External"/><Relationship Id="rId1218" Type="http://schemas.openxmlformats.org/officeDocument/2006/relationships/hyperlink" Target="https://www.google.com/url?q=https://github.com/mostafa-saad/MyCompetitiveProgramming/blob/master/Olympiad/COCI/COCI-08-Periodni.txt&amp;sa=D&amp;ust=1605639800172000&amp;usg=AFQjCNGkavBs9wjdLvU3SYDEkTYYuAdsFA" TargetMode="External"/><Relationship Id="rId1425" Type="http://schemas.openxmlformats.org/officeDocument/2006/relationships/hyperlink" Target="https://www.google.com/url?q=https://github.com/mostafa-saad/MyCompetitiveProgramming/blob/master/Olympiad/POI/official/find_editorial_sols_guidelines.txt&amp;sa=D&amp;ust=1605639800306000&amp;usg=AFQjCNH_ZEF11r_BYVEijjQX_wuG6aeWGA" TargetMode="External"/><Relationship Id="rId2823" Type="http://schemas.openxmlformats.org/officeDocument/2006/relationships/hyperlink" Target="https://www.google.com/url?q=https://oj.uz/problem/view/COCI18_sajam&amp;sa=D&amp;ust=1605639802177000&amp;usg=AFQjCNFBnqgOxP-K77Us2GU4_V00XXM2sA" TargetMode="External"/><Relationship Id="rId1632" Type="http://schemas.openxmlformats.org/officeDocument/2006/relationships/hyperlink" Target="https://www.google.com/url?q=https://cses.fi/101/list/&amp;sa=D&amp;ust=1605639800471000&amp;usg=AFQjCNFH9SH0IlX0gO1gBRtgyOM92xLDgw" TargetMode="External"/><Relationship Id="rId2199" Type="http://schemas.openxmlformats.org/officeDocument/2006/relationships/hyperlink" Target="https://www.google.com/url?q=https://dunjudge.me/analysis/problems/1477/&amp;sa=D&amp;ust=1605639800888000&amp;usg=AFQjCNF4wCuCWbYYNcJBvRx2L4GwziGnwg" TargetMode="External"/><Relationship Id="rId378" Type="http://schemas.openxmlformats.org/officeDocument/2006/relationships/hyperlink" Target="https://www.google.com/url?q=https://oj.uz/problem/view/COCI17_hindeks&amp;sa=D&amp;ust=1605639798975000&amp;usg=AFQjCNHDHMaYO44BlMMFpMeRY4roWEbAFg" TargetMode="External"/><Relationship Id="rId585" Type="http://schemas.openxmlformats.org/officeDocument/2006/relationships/hyperlink" Target="https://www.google.com/url?q=https://codeforces.com/blog/entry/46525?%23comment-310021&amp;sa=D&amp;ust=1605639799121000&amp;usg=AFQjCNEvK-wlQ3s6EwGeem467EFCc9UZVA" TargetMode="External"/><Relationship Id="rId792" Type="http://schemas.openxmlformats.org/officeDocument/2006/relationships/hyperlink" Target="https://www.google.com/url?q=http://usaco.org/index.php?page%3Dviewproblem2%26cpid%3D532&amp;sa=D&amp;ust=1605639799778000&amp;usg=AFQjCNESNhHQv0GA7lGmgpdaQ4VXVMZgMA" TargetMode="External"/><Relationship Id="rId2059" Type="http://schemas.openxmlformats.org/officeDocument/2006/relationships/hyperlink" Target="https://www.google.com/url?q=http://usaco.org/index.php?page%3Dviewproblem2%26cpid%3D516&amp;sa=D&amp;ust=1605639800793000&amp;usg=AFQjCNFjh7wCsgegE014W-JLgrMdWGzOOA" TargetMode="External"/><Relationship Id="rId2266" Type="http://schemas.openxmlformats.org/officeDocument/2006/relationships/hyperlink" Target="https://www.google.com/url?q=https://github.com/mostafa-saad/MyCompetitiveProgramming/blob/master/Olympiad/POI/official/find_editorial_sols_guidelines.txt&amp;sa=D&amp;ust=1605639801557000&amp;usg=AFQjCNFoNyTowW2x_6-4suEoFMstUyusxg" TargetMode="External"/><Relationship Id="rId2473" Type="http://schemas.openxmlformats.org/officeDocument/2006/relationships/hyperlink" Target="https://www.google.com/url?q=https://www.acmicpc.net/problem/7055&amp;sa=D&amp;ust=1605639801799000&amp;usg=AFQjCNEaV5pdsw4yExte8XgTt6orCLBvIQ" TargetMode="External"/><Relationship Id="rId2680" Type="http://schemas.openxmlformats.org/officeDocument/2006/relationships/hyperlink" Target="https://www.google.com/url?q=https://www.acmicpc.net/problem/7084&amp;sa=D&amp;ust=1605639802003000&amp;usg=AFQjCNEQQfXr_Uis6hK_kgKgLrl1hEJHeA" TargetMode="External"/><Relationship Id="rId238" Type="http://schemas.openxmlformats.org/officeDocument/2006/relationships/hyperlink" Target="https://www.google.com/url?q=https://github.com/mostafa-saad/MyCompetitiveProgramming/tree/master/Olympiad/COCI/official/2007/regional_solutions&amp;sa=D&amp;ust=1605639798804000&amp;usg=AFQjCNHZMCF9_a_Jvdcn_TYPc5GKWGKpnw" TargetMode="External"/><Relationship Id="rId445" Type="http://schemas.openxmlformats.org/officeDocument/2006/relationships/hyperlink" Target="https://www.google.com/url?q=https://github.com/tmwilliamlin168/CompetitiveProgramming/blob/master/CEOI/13-Adriatic.cpp&amp;sa=D&amp;ust=1605639799005000&amp;usg=AFQjCNH2GSe86W0zOpNNkYbaHuggsXsr0g" TargetMode="External"/><Relationship Id="rId652" Type="http://schemas.openxmlformats.org/officeDocument/2006/relationships/hyperlink" Target="https://www.google.com/url?q=https://github.com/mostafa-saad/MyCompetitiveProgramming/blob/master/Olympiad/IOI/IOI-08-pyramid_base.txt&amp;sa=D&amp;ust=1605639799644000&amp;usg=AFQjCNHUprbGNe7fZqChkgcq0C_wTIiC1Q" TargetMode="External"/><Relationship Id="rId1075" Type="http://schemas.openxmlformats.org/officeDocument/2006/relationships/hyperlink" Target="https://www.google.com/url?q=http://usaco.org/index.php?page%3Dviewproblem2%26cpid%3D494&amp;sa=D&amp;ust=1605639800013000&amp;usg=AFQjCNHbKCGHDjzsWLLZA5KNxhX605Sr0g" TargetMode="External"/><Relationship Id="rId1282" Type="http://schemas.openxmlformats.org/officeDocument/2006/relationships/hyperlink" Target="https://www.google.com/url?q=https://szkopul.edu.pl/problemset/problem/98e_K-Vvcg5TnMG4-hXTNsFG/site/&amp;sa=D&amp;ust=1605639800196000&amp;usg=AFQjCNE4eKDFwASuocGZvQfbFpayXF7sUg" TargetMode="External"/><Relationship Id="rId2126" Type="http://schemas.openxmlformats.org/officeDocument/2006/relationships/hyperlink" Target="https://www.google.com/url?q=https://github.com/mostafa-saad/MyCompetitiveProgramming/blob/master/Olympiad/POI/POI-14-Panels.txt&amp;sa=D&amp;ust=1605639800818000&amp;usg=AFQjCNF01O2WxsD8jW_1H666aCpg_UF8Jw" TargetMode="External"/><Relationship Id="rId2333" Type="http://schemas.openxmlformats.org/officeDocument/2006/relationships/hyperlink" Target="https://www.google.com/url?q=https://github.com/mostafa-saad/MyCompetitiveProgramming/blob/master/Olympiad/POI/official/find_editorial_sols_guidelines.txt&amp;sa=D&amp;ust=1605639801610000&amp;usg=AFQjCNGJm5PHnuusWPONz4rjM_txwdUe3g" TargetMode="External"/><Relationship Id="rId2540" Type="http://schemas.openxmlformats.org/officeDocument/2006/relationships/hyperlink" Target="https://www.google.com/url?q=https://github.com/mostafa-saad/MyCompetitiveProgramming/blob/master/Olympiad/infoarena/Infoarena_vmin.txt&amp;sa=D&amp;ust=1605639801874000&amp;usg=AFQjCNGo2JI2g-SZvU8d4gBXiKPo_gaKZQ" TargetMode="External"/><Relationship Id="rId305" Type="http://schemas.openxmlformats.org/officeDocument/2006/relationships/hyperlink" Target="https://www.google.com/url?q=https://dmoj.ca/problem/coci07c6p2&amp;sa=D&amp;ust=1605639798884000&amp;usg=AFQjCNHNOyAsSL8bJ4ZoV2mxVVTV5joIcw" TargetMode="External"/><Relationship Id="rId512" Type="http://schemas.openxmlformats.org/officeDocument/2006/relationships/hyperlink" Target="https://www.google.com/url?q=https://dunjudge.me/analysis/problems/959/&amp;sa=D&amp;ust=1605639799091000&amp;usg=AFQjCNGuWlJOBS65l_PVDB4hG33IPxDrDA" TargetMode="External"/><Relationship Id="rId1142" Type="http://schemas.openxmlformats.org/officeDocument/2006/relationships/hyperlink" Target="https://www.google.com/url?q=https://github.com/timpostuvan/CompetitiveProgramming/blob/master/Olympiad/CCO/GeeseVsHawks2018.cpp&amp;sa=D&amp;ust=1605639800088000&amp;usg=AFQjCNF8OGFxx96gNX_5We2Ju9-9KWxiYw" TargetMode="External"/><Relationship Id="rId2400" Type="http://schemas.openxmlformats.org/officeDocument/2006/relationships/hyperlink" Target="https://www.google.com/url?q=https://github.com/mostafa-saad/MyCompetitiveProgramming/blob/master/Olympiad/COCI/official/2014/contest1_solutions&amp;sa=D&amp;ust=1605639801707000&amp;usg=AFQjCNE5T1CFdGjV5hZl9f8btA-28LyBCQ" TargetMode="External"/><Relationship Id="rId1002" Type="http://schemas.openxmlformats.org/officeDocument/2006/relationships/hyperlink" Target="https://www.google.com/url?q=https://oj.uz/problem/view/BOI19_kitchen&amp;sa=D&amp;ust=1605639799982000&amp;usg=AFQjCNFpbQUaqj13GkGnBUMnlt4UiQGDjw" TargetMode="External"/><Relationship Id="rId1959" Type="http://schemas.openxmlformats.org/officeDocument/2006/relationships/hyperlink" Target="https://www.google.com/url?q=https://www.infoarena.ro/problema/secvmax&amp;sa=D&amp;ust=1605639800710000&amp;usg=AFQjCNErthpsd2pQlESy_Fi1i-6I2IZ0RQ" TargetMode="External"/><Relationship Id="rId1819" Type="http://schemas.openxmlformats.org/officeDocument/2006/relationships/hyperlink" Target="https://www.google.com/url?q=https://github.com/tmwilliamlin168/CompetitiveProgramming/blob/master/CEOI/18-Toy.cpp&amp;sa=D&amp;ust=1605639800597000&amp;usg=AFQjCNEz_AeznGovwiCdkYnvg1aKXCWfhA" TargetMode="External"/><Relationship Id="rId2190" Type="http://schemas.openxmlformats.org/officeDocument/2006/relationships/hyperlink" Target="https://www.google.com/url?q=https://github.com/mostafa-saad/MyCompetitiveProgramming/tree/master/Olympiad/COCI/official/2007/contest3_solutions&amp;sa=D&amp;ust=1605639800884000&amp;usg=AFQjCNGs_3nlvx9sPKA_WqUHb4aXOAPNsA" TargetMode="External"/><Relationship Id="rId162" Type="http://schemas.openxmlformats.org/officeDocument/2006/relationships/hyperlink" Target="https://www.google.com/url?q=https://github.com/mostafa-saad/MyCompetitiveProgramming/blob/master/Olympiad/COCI/official/2015/contest5_solutions&amp;sa=D&amp;ust=1605639798776000&amp;usg=AFQjCNGZbIegMVlOE2Ih9t9H9h9N9EHOfA" TargetMode="External"/><Relationship Id="rId2050" Type="http://schemas.openxmlformats.org/officeDocument/2006/relationships/hyperlink" Target="https://www.google.com/url?q=https://szkopul.edu.pl/problemset/problem/9TaxfuNdAv2FPpQ6PeB-vlti/site/&amp;sa=D&amp;ust=1605639800790000&amp;usg=AFQjCNGmVRvksfOLduiZ1ITRx7mR5Nhobg" TargetMode="External"/><Relationship Id="rId979" Type="http://schemas.openxmlformats.org/officeDocument/2006/relationships/hyperlink" Target="https://www.google.com/url?q=https://github.com/mostafa-saad/MyCompetitiveProgramming/tree/master/Olympiad/CEOI/official/2005&amp;sa=D&amp;ust=1605639799971000&amp;usg=AFQjCNGBgV4rV_cbD4yPuhj-q5JQlQ4TxQ" TargetMode="External"/><Relationship Id="rId839" Type="http://schemas.openxmlformats.org/officeDocument/2006/relationships/hyperlink" Target="https://www.google.com/url?q=https://cses.fi/180/list/&amp;sa=D&amp;ust=1605639799800000&amp;usg=AFQjCNEyD0vvwU9fmvpVqBao4STwxstwXg" TargetMode="External"/><Relationship Id="rId1469" Type="http://schemas.openxmlformats.org/officeDocument/2006/relationships/hyperlink" Target="https://www.google.com/url?q=https://github.com/mostafa-saad/MyCompetitiveProgramming/blob/master/Olympiad/Baltic/Baltic-10-Bears.txt&amp;sa=D&amp;ust=1605639800369000&amp;usg=AFQjCNEBrF1oPYDVjCfM-xIaQcsatA2wog" TargetMode="External"/><Relationship Id="rId2867" Type="http://schemas.openxmlformats.org/officeDocument/2006/relationships/hyperlink" Target="https://www.google.com/url?q=https://github.com/mostafa-saad/MyCompetitiveProgramming/blob/master/Olympiad/IOI/official/2001&amp;sa=D&amp;ust=1605639802205000&amp;usg=AFQjCNFG0abg4_fiew-RgOp5B3v_4zI38w" TargetMode="External"/><Relationship Id="rId1676" Type="http://schemas.openxmlformats.org/officeDocument/2006/relationships/hyperlink" Target="https://www.google.com/url?q=https://github.com/mostafa-saad/MyCompetitiveProgramming/blob/master/Olympiad/JOI/JOISC-19-Mergers.txt&amp;sa=D&amp;ust=1605639800489000&amp;usg=AFQjCNEDEj5_iljmLRxxELwct04ZMl_yFw" TargetMode="External"/><Relationship Id="rId1883" Type="http://schemas.openxmlformats.org/officeDocument/2006/relationships/hyperlink" Target="https://www.google.com/url?q=http://www.ioi2011.or.th/hsc/tasks/solutions/crocodile.pdf&amp;sa=D&amp;ust=1605639800680000&amp;usg=AFQjCNG1jVFtsvfOBJMA4ngBihQIHFzqMQ" TargetMode="External"/><Relationship Id="rId2727" Type="http://schemas.openxmlformats.org/officeDocument/2006/relationships/hyperlink" Target="https://www.google.com/url?q=https://dmoj.ca/problem/coci06c5p1&amp;sa=D&amp;ust=1605639802085000&amp;usg=AFQjCNGY9PVri8CI65g5s5iUgP3617Vycw" TargetMode="External"/><Relationship Id="rId2934" Type="http://schemas.openxmlformats.org/officeDocument/2006/relationships/hyperlink" Target="https://www.google.com/url?q=https://dunjudge.me/analysis/problems/1497/&amp;sa=D&amp;ust=1605639802299000&amp;usg=AFQjCNF5-64whlKYWd0yClYCdnohm--jHg" TargetMode="External"/><Relationship Id="rId906" Type="http://schemas.openxmlformats.org/officeDocument/2006/relationships/hyperlink" Target="https://www.google.com/url?q=https://dunjudge.me/analysis/problems/28/&amp;sa=D&amp;ust=1605639799893000&amp;usg=AFQjCNHdZgzLUPiYFum4aZvpL-e16H5CGw" TargetMode="External"/><Relationship Id="rId1329" Type="http://schemas.openxmlformats.org/officeDocument/2006/relationships/hyperlink" Target="https://www.google.com/url?q=https://dunjudge.me/analysis/problems/1229/&amp;sa=D&amp;ust=1605639800217000&amp;usg=AFQjCNHnsFpuVroxh3Ok-nKOUnje19xklQ" TargetMode="External"/><Relationship Id="rId1536" Type="http://schemas.openxmlformats.org/officeDocument/2006/relationships/hyperlink" Target="https://www.google.com/url?q=https://szkopul.edu.pl/problemset/problem/XcxwG3EBHwd-6_fIF1NG3Wfg/site/?key%3Dstatement&amp;sa=D&amp;ust=1605639800394000&amp;usg=AFQjCNEL3d7nrMjoAUTQE_TIq5PJOeSClQ" TargetMode="External"/><Relationship Id="rId1743" Type="http://schemas.openxmlformats.org/officeDocument/2006/relationships/hyperlink" Target="https://www.google.com/url?q=https://oj.uz/problem/view/POI13_spa&amp;sa=D&amp;ust=1605639800565000&amp;usg=AFQjCNFhSLwLjY0rcvIhF9jSjtBJZpX5lg" TargetMode="External"/><Relationship Id="rId1950" Type="http://schemas.openxmlformats.org/officeDocument/2006/relationships/hyperlink" Target="https://www.google.com/url?q=https://dmoj.ca/problem/coci14c2p5&amp;sa=D&amp;ust=1605639800706000&amp;usg=AFQjCNERHnanvMVfnCkLJvue4zhQXRBqeg" TargetMode="External"/><Relationship Id="rId35" Type="http://schemas.openxmlformats.org/officeDocument/2006/relationships/hyperlink" Target="https://www.google.com/url?q=https://oj.uz/problem/view/IZhO18_nicegift&amp;sa=D&amp;ust=1605639798677000&amp;usg=AFQjCNElqssmbvLqBCen6BPja2NXIgpDpw" TargetMode="External"/><Relationship Id="rId1603" Type="http://schemas.openxmlformats.org/officeDocument/2006/relationships/hyperlink" Target="https://www.google.com/url?q=https://dunjudge.me/analysis/problems/1356/&amp;sa=D&amp;ust=1605639800419000&amp;usg=AFQjCNFiYPjqlWxtbadzXuYAi9oZnO0Keg" TargetMode="External"/><Relationship Id="rId1810" Type="http://schemas.openxmlformats.org/officeDocument/2006/relationships/hyperlink" Target="https://www.google.com/url?q=https://infoarena.ro/problema/paintball&amp;sa=D&amp;ust=1605639800594000&amp;usg=AFQjCNH-pzslqhCS6rLQZcyITcvRpSahEA" TargetMode="External"/><Relationship Id="rId489" Type="http://schemas.openxmlformats.org/officeDocument/2006/relationships/hyperlink" Target="https://www.google.com/url?q=https://www.infoarena.ro/problema/regat&amp;sa=D&amp;ust=1605639799081000&amp;usg=AFQjCNGTe8tDHfc9F-p80NUdIHzIzDF0HA" TargetMode="External"/><Relationship Id="rId696" Type="http://schemas.openxmlformats.org/officeDocument/2006/relationships/hyperlink" Target="https://www.google.com/url?q=https://szkopul.edu.pl/problemset/problem/EwpbJWZPly_zZ5i4ytg_8fDE/site/&amp;sa=D&amp;ust=1605639799672000&amp;usg=AFQjCNEpaXXA2xgIL8E_RKMMuaLFeL_kDQ" TargetMode="External"/><Relationship Id="rId2377" Type="http://schemas.openxmlformats.org/officeDocument/2006/relationships/hyperlink" Target="https://www.google.com/url?q=https://codeforces.com/group/swEqtABRxe/contest/227524/problem/C&amp;sa=D&amp;ust=1605639801690000&amp;usg=AFQjCNFURioQ__35XlRWP43gXCaKHBZUOQ" TargetMode="External"/><Relationship Id="rId2584" Type="http://schemas.openxmlformats.org/officeDocument/2006/relationships/hyperlink" Target="https://www.google.com/url?q=https://dunjudge.me/analysis/problems/1826/&amp;sa=D&amp;ust=1605639801897000&amp;usg=AFQjCNGnevWMbQicImTBqx5FPlIP98WaPA" TargetMode="External"/><Relationship Id="rId2791" Type="http://schemas.openxmlformats.org/officeDocument/2006/relationships/hyperlink" Target="https://www.google.com/url?q=https://wcipeg.com/problem/coci094p2&amp;sa=D&amp;ust=1605639802111000&amp;usg=AFQjCNHRTahPdAHtp0K0z8QnWNlnlvzsrw" TargetMode="External"/><Relationship Id="rId349" Type="http://schemas.openxmlformats.org/officeDocument/2006/relationships/hyperlink" Target="https://www.google.com/url?q=https://github.com/mostafa-saad/MyCompetitiveProgramming/blob/master/Olympiad/COCI/official/2017/contest3_solutions&amp;sa=D&amp;ust=1605639798905000&amp;usg=AFQjCNH23cfQCBCOZvUBYq1wZvXK4XGF7Q" TargetMode="External"/><Relationship Id="rId556" Type="http://schemas.openxmlformats.org/officeDocument/2006/relationships/hyperlink" Target="https://www.google.com/url?q=https://oj.uz/problem/view/IOI15_sorting&amp;sa=D&amp;ust=1605639799108000&amp;usg=AFQjCNGrz4N6J8Dc9OKWsNKG5Hphj3E2pw" TargetMode="External"/><Relationship Id="rId763" Type="http://schemas.openxmlformats.org/officeDocument/2006/relationships/hyperlink" Target="https://www.google.com/url?q=https://wcipeg.com/problem/coci087p6&amp;sa=D&amp;ust=1605639799714000&amp;usg=AFQjCNGI8SFIbXnRAHxKQ8kq4frhEGPyHg" TargetMode="External"/><Relationship Id="rId1186" Type="http://schemas.openxmlformats.org/officeDocument/2006/relationships/hyperlink" Target="https://www.google.com/url?q=https://github.com/mostafa-saad/MyCompetitiveProgramming/blob/master/Olympiad/JOI/JOI-18-snakeescaping.txt&amp;sa=D&amp;ust=1605639800114000&amp;usg=AFQjCNFU0Vi4hgd1cPg-uz7p9PaDMRSYpA" TargetMode="External"/><Relationship Id="rId1393" Type="http://schemas.openxmlformats.org/officeDocument/2006/relationships/hyperlink" Target="https://www.google.com/url?q=https://www.infoarena.ro/problema/asmin&amp;sa=D&amp;ust=1605639800293000&amp;usg=AFQjCNH-oJ6e_B_VhENHm1gjkL5a5su5cg" TargetMode="External"/><Relationship Id="rId2237" Type="http://schemas.openxmlformats.org/officeDocument/2006/relationships/hyperlink" Target="https://www.google.com/url?q=https://github.com/mostafa-saad/MyCompetitiveProgramming/blob/master/Olympiad/COCI/COCI-08-Trezor.txt&amp;sa=D&amp;ust=1605639800904000&amp;usg=AFQjCNEQYJ8NYJ-mkCPLVtnFH-RDSaD6lg" TargetMode="External"/><Relationship Id="rId2444" Type="http://schemas.openxmlformats.org/officeDocument/2006/relationships/hyperlink" Target="https://www.google.com/url?q=https://oj.uz/problem/view/IOI08_linear_garden&amp;sa=D&amp;ust=1605639801787000&amp;usg=AFQjCNFgyOZO_rMMKvD8dFW8H79LWqmNHQ" TargetMode="External"/><Relationship Id="rId209" Type="http://schemas.openxmlformats.org/officeDocument/2006/relationships/hyperlink" Target="https://www.google.com/url?q=https://github.com/mostafa-saad/MyCompetitiveProgramming/blob/master/Olympiad/NOI/official&amp;sa=D&amp;ust=1605639798792000&amp;usg=AFQjCNEjxs-ZeH5SF4f-0r5_wrGPuBcLgA" TargetMode="External"/><Relationship Id="rId416" Type="http://schemas.openxmlformats.org/officeDocument/2006/relationships/hyperlink" Target="https://www.google.com/url?q=https://cses.fi/100/list/&amp;sa=D&amp;ust=1605639798992000&amp;usg=AFQjCNFyb2P8N20jlIX6u58fpRj1j6HUWQ" TargetMode="External"/><Relationship Id="rId970" Type="http://schemas.openxmlformats.org/officeDocument/2006/relationships/hyperlink" Target="https://www.google.com/url?q=https://wcipeg.com/problem/coci094p5&amp;sa=D&amp;ust=1605639799967000&amp;usg=AFQjCNGXmLTX5Fm4VmrK6jOdUy1oyOTMrw" TargetMode="External"/><Relationship Id="rId1046" Type="http://schemas.openxmlformats.org/officeDocument/2006/relationships/hyperlink" Target="https://www.google.com/url?q=https://contest.yandex.ru/ioi/contest/560/enter/&amp;sa=D&amp;ust=1605639799999000&amp;usg=AFQjCNHSwhEj8fPyKlT2ciF1ogEDHvCguA" TargetMode="External"/><Relationship Id="rId1253" Type="http://schemas.openxmlformats.org/officeDocument/2006/relationships/hyperlink" Target="https://www.google.com/url?q=https://oj.uz/problem/view/COCI18_cover&amp;sa=D&amp;ust=1605639800185000&amp;usg=AFQjCNEX1WSaZSlcAzvY0I1STOmQxGRMIQ" TargetMode="External"/><Relationship Id="rId2651" Type="http://schemas.openxmlformats.org/officeDocument/2006/relationships/hyperlink" Target="https://www.google.com/url?q=https://infoarena.ro/problema/posta2&amp;sa=D&amp;ust=1605639801988000&amp;usg=AFQjCNFkjEopY-0Jo2_P82zJRgAXYzhKEA" TargetMode="External"/><Relationship Id="rId623" Type="http://schemas.openxmlformats.org/officeDocument/2006/relationships/hyperlink" Target="https://www.google.com/url?q=https://github.com/mostafa-saad/MyCompetitiveProgramming/blob/master/Olympiad/COCI/official/2013/contest1_solutions&amp;sa=D&amp;ust=1605639799171000&amp;usg=AFQjCNEAxS93R-7fnut8xDUs_vDvs8B9_g" TargetMode="External"/><Relationship Id="rId830" Type="http://schemas.openxmlformats.org/officeDocument/2006/relationships/hyperlink" Target="https://www.google.com/url?q=https://dmoj.ca/problem/coci08c1p6&amp;sa=D&amp;ust=1605639799796000&amp;usg=AFQjCNENmceA3ySbyD5XFxoqIHrnIZI6EA" TargetMode="External"/><Relationship Id="rId1460" Type="http://schemas.openxmlformats.org/officeDocument/2006/relationships/hyperlink" Target="https://www.google.com/url?q=https://contest.yandex.ru/ioi/contest/566/enter/&amp;sa=D&amp;ust=1605639800366000&amp;usg=AFQjCNFTMuQuPZqX6lfBKNtXHGDDHR4LkQ" TargetMode="External"/><Relationship Id="rId2304" Type="http://schemas.openxmlformats.org/officeDocument/2006/relationships/hyperlink" Target="https://www.google.com/url?q=http://usaco.org/index.php?page%3Dviewproblem2%26cpid%3D768&amp;sa=D&amp;ust=1605639801593000&amp;usg=AFQjCNEk8hJg3kvVQLrbDDoAEJdOsXRrAw" TargetMode="External"/><Relationship Id="rId2511" Type="http://schemas.openxmlformats.org/officeDocument/2006/relationships/hyperlink" Target="https://www.google.com/url?q=https://dunjudge.me/analysis/problems/961/&amp;sa=D&amp;ust=1605639801813000&amp;usg=AFQjCNG5-0_p-1JpL8WTAcp2ofDxt9sUMA" TargetMode="External"/><Relationship Id="rId1113" Type="http://schemas.openxmlformats.org/officeDocument/2006/relationships/hyperlink" Target="https://www.google.com/url?q=https://dunjudge.me/analysis/problems/270/&amp;sa=D&amp;ust=1605639800076000&amp;usg=AFQjCNG7kkstyULLdxeLmBD8pZyYnBT7vA" TargetMode="External"/><Relationship Id="rId1320" Type="http://schemas.openxmlformats.org/officeDocument/2006/relationships/hyperlink" Target="https://www.google.com/url?q=https://github.com/zoooma13/Competitive-Programming/blob/master/tallbarn.cpp&amp;sa=D&amp;ust=1605639800210000&amp;usg=AFQjCNFqEjSRmXhqC9NnCLDlXipALYhIvg" TargetMode="External"/><Relationship Id="rId2094" Type="http://schemas.openxmlformats.org/officeDocument/2006/relationships/hyperlink" Target="https://www.google.com/url?q=https://oj.uz/problem/view/IZhO18_plan&amp;sa=D&amp;ust=1605639800806000&amp;usg=AFQjCNFx34QS7YDkXEUae4gB4PRjSngdKg" TargetMode="External"/><Relationship Id="rId273" Type="http://schemas.openxmlformats.org/officeDocument/2006/relationships/hyperlink" Target="https://www.google.com/url?q=https://dmoj.ca/problem/coci08c5p3&amp;sa=D&amp;ust=1605639798871000&amp;usg=AFQjCNGa6ihfA3JapigeSrHi6DYwOc6fmg" TargetMode="External"/><Relationship Id="rId480" Type="http://schemas.openxmlformats.org/officeDocument/2006/relationships/hyperlink" Target="https://www.google.com/url?q=http://usaco.org/index.php?page%3Dviewproblem2%26cpid%3D770&amp;sa=D&amp;ust=1605639799018000&amp;usg=AFQjCNH7w0nPuQDIJ0qLjCbQ-b9Uf_Oy1w" TargetMode="External"/><Relationship Id="rId2161" Type="http://schemas.openxmlformats.org/officeDocument/2006/relationships/hyperlink" Target="https://www.google.com/url?q=https://dmoj.ca/problem/coci15c4p4&amp;sa=D&amp;ust=1605639800872000&amp;usg=AFQjCNGi-nc9ae1tsyI0LH6xUZ0Q_HpL6Q" TargetMode="External"/><Relationship Id="rId3005" Type="http://schemas.openxmlformats.org/officeDocument/2006/relationships/hyperlink" Target="https://www.google.com/url?q=https://szkopul.edu.pl/problemset/problem/Hhip15j-8Ro2dOb_4oB98C-G/site/&amp;sa=D&amp;ust=1605639802393000&amp;usg=AFQjCNHuTzm6QpcULk-XMaGfrYg7RL_gaQ" TargetMode="External"/><Relationship Id="rId133" Type="http://schemas.openxmlformats.org/officeDocument/2006/relationships/hyperlink" Target="https://www.google.com/url?q=https://github.com/mostafa-saad/MyCompetitiveProgramming/blob/master/Olympiad/POI/official/find_editorial_sols_guidelines.txt&amp;sa=D&amp;ust=1605639798726000&amp;usg=AFQjCNEr1MoOZs0CSQVW1FbWynj6I4hhbg" TargetMode="External"/><Relationship Id="rId340" Type="http://schemas.openxmlformats.org/officeDocument/2006/relationships/hyperlink" Target="https://www.google.com/url?q=https://dunjudge.me/analysis/problems/1358/&amp;sa=D&amp;ust=1605639798900000&amp;usg=AFQjCNEDgE3tZB64ksxZkptJ0k9F2h4pJw" TargetMode="External"/><Relationship Id="rId2021" Type="http://schemas.openxmlformats.org/officeDocument/2006/relationships/hyperlink" Target="https://www.google.com/url?q=https://ioi2010.contest.atcoder.jp/tasks/ioi2010_2_4&amp;sa=D&amp;ust=1605639800778000&amp;usg=AFQjCNHJ1qUI27vIDrTvEQcl9OK1G4udCg" TargetMode="External"/><Relationship Id="rId200" Type="http://schemas.openxmlformats.org/officeDocument/2006/relationships/hyperlink" Target="https://www.google.com/url?q=https://www.infoarena.ro/problema/bile6&amp;sa=D&amp;ust=1605639798789000&amp;usg=AFQjCNEegSnP_075o6vrm1_QaWrCueswQA" TargetMode="External"/><Relationship Id="rId2978" Type="http://schemas.openxmlformats.org/officeDocument/2006/relationships/hyperlink" Target="https://www.google.com/url?q=https://szkopul.edu.pl/problemset/problem/i5L29vV7ud8D_VU-PXyaA_2L/site/&amp;sa=D&amp;ust=1605639802379000&amp;usg=AFQjCNG7XNPdGsDkU28vdpLhXOAXx1cGMw" TargetMode="External"/><Relationship Id="rId1787" Type="http://schemas.openxmlformats.org/officeDocument/2006/relationships/hyperlink" Target="https://www.google.com/url?q=https://dunjudge.me/analysis/problems/679/&amp;sa=D&amp;ust=1605639800586000&amp;usg=AFQjCNGxPOp0dhXtU3BDU1AlBrDWSVTSgg" TargetMode="External"/><Relationship Id="rId1994" Type="http://schemas.openxmlformats.org/officeDocument/2006/relationships/hyperlink" Target="https://www.google.com/url?q=https://oj.uz/problem/view/IZhO14_marriage&amp;sa=D&amp;ust=1605639800722000&amp;usg=AFQjCNH_KVhSU1Prs0FwsTfk7JTLMKxFJg" TargetMode="External"/><Relationship Id="rId2838" Type="http://schemas.openxmlformats.org/officeDocument/2006/relationships/hyperlink" Target="https://www.google.com/url?q=https://oj.uz/problem/view/COI17_raspad&amp;sa=D&amp;ust=1605639802187000&amp;usg=AFQjCNGtS1UoncCOMHL2NDjnFcFnQwM-yQ" TargetMode="External"/><Relationship Id="rId79" Type="http://schemas.openxmlformats.org/officeDocument/2006/relationships/hyperlink" Target="https://www.google.com/url?q=https://github.com/mostafa-saad/MyCompetitiveProgramming/blob/master/Olympiad/IOI/official/2010&amp;sa=D&amp;ust=1605639798706000&amp;usg=AFQjCNHyXZ1LxigvhuJh3l87iI4EWcbl_w" TargetMode="External"/><Relationship Id="rId1647" Type="http://schemas.openxmlformats.org/officeDocument/2006/relationships/hyperlink" Target="https://www.google.com/url?q=https://github.com/mostafa-saad/MyCompetitiveProgramming/blob/master/Olympiad/POI/POI-06-Sophie.txt&amp;sa=D&amp;ust=1605639800478000&amp;usg=AFQjCNEPFiGfrKiQ2zra_hwxG1CPGPzS6Q" TargetMode="External"/><Relationship Id="rId1854" Type="http://schemas.openxmlformats.org/officeDocument/2006/relationships/hyperlink" Target="https://www.google.com/url?q=https://oj.uz/problem/view/COCI18_birokracija&amp;sa=D&amp;ust=1605639800667000&amp;usg=AFQjCNH7oiBNuYJvOVVon5aVgS-G-u36Ng" TargetMode="External"/><Relationship Id="rId2905" Type="http://schemas.openxmlformats.org/officeDocument/2006/relationships/hyperlink" Target="https://www.google.com/url?q=https://dunjudge.me/analysis/problems/771/&amp;sa=D&amp;ust=1605639802282000&amp;usg=AFQjCNE9QSGzEggwK7f6WazSytukzZqVYw" TargetMode="External"/><Relationship Id="rId1507" Type="http://schemas.openxmlformats.org/officeDocument/2006/relationships/hyperlink" Target="https://www.google.com/url?q=https://github.com/mostafa-saad/MyCompetitiveProgramming/blob/master/Olympiad/Baltic/Baltic-08-Gloves.txt&amp;sa=D&amp;ust=1605639800383000&amp;usg=AFQjCNE0oWAThdoNj3mAOTIo59lv-XawCA" TargetMode="External"/><Relationship Id="rId1714" Type="http://schemas.openxmlformats.org/officeDocument/2006/relationships/hyperlink" Target="https://www.google.com/url?q=https://github.com/mostafa-saad/MyCompetitiveProgramming/blob/master/Olympiad/NOI/official&amp;sa=D&amp;ust=1605639800503000&amp;usg=AFQjCNGzhvaMHTuy6bhfB_8Juv1IxaUDDg" TargetMode="External"/><Relationship Id="rId1921" Type="http://schemas.openxmlformats.org/officeDocument/2006/relationships/hyperlink" Target="https://www.google.com/url?q=https://oj.uz/problem/view/IOI18_werewolf&amp;sa=D&amp;ust=1605639800696000&amp;usg=AFQjCNEZ6jLK94zsBDqKYE4CNzdjtJZgJg" TargetMode="External"/><Relationship Id="rId2488" Type="http://schemas.openxmlformats.org/officeDocument/2006/relationships/hyperlink" Target="https://www.google.com/url?q=https://dunjudge.me/analysis/problems/974/&amp;sa=D&amp;ust=1605639801806000&amp;usg=AFQjCNFiRLoSoJtsw76kam0DuqJNl7AYrA" TargetMode="External"/><Relationship Id="rId1297" Type="http://schemas.openxmlformats.org/officeDocument/2006/relationships/hyperlink" Target="https://www.google.com/url?q=https://github.com/mostafa-saad/MyCompetitiveProgramming/blob/master/Olympiad/POI/POI-16-Necklace.txt&amp;sa=D&amp;ust=1605639800202000&amp;usg=AFQjCNEtbI7wxNp0Y2neLkv4B_Dw9bl8tA" TargetMode="External"/><Relationship Id="rId2695" Type="http://schemas.openxmlformats.org/officeDocument/2006/relationships/hyperlink" Target="https://www.google.com/url?q=https://dmoj.ca/contest/cco18d2&amp;sa=D&amp;ust=1605639802010000&amp;usg=AFQjCNGcBOmMSA6HSVN6IBl3Po3eTut_Cw" TargetMode="External"/><Relationship Id="rId667" Type="http://schemas.openxmlformats.org/officeDocument/2006/relationships/hyperlink" Target="https://www.google.com/url?q=https://github.com/stefdasca/CompetitiveProgramming/blob/master/Infoarena/kinder.cpp&amp;sa=D&amp;ust=1605639799660000&amp;usg=AFQjCNFwGp_B5WLrQVF4s-KbyIhwEfFUdA" TargetMode="External"/><Relationship Id="rId874" Type="http://schemas.openxmlformats.org/officeDocument/2006/relationships/hyperlink" Target="https://www.google.com/url?q=https://szkopul.edu.pl/problemset/problem/RLQLNV4gL3Y22K9B2GgEMQIj/site/&amp;sa=D&amp;ust=1605639799877000&amp;usg=AFQjCNFrCfnqZtlmdWCv57sUHh07tvljGw" TargetMode="External"/><Relationship Id="rId2348" Type="http://schemas.openxmlformats.org/officeDocument/2006/relationships/hyperlink" Target="https://www.google.com/url?q=https://oj.uz/problem/view/BOI14_network&amp;sa=D&amp;ust=1605639801615000&amp;usg=AFQjCNFV-3HKXkxofF-LFHhRnooXu0Zvsw" TargetMode="External"/><Relationship Id="rId2555" Type="http://schemas.openxmlformats.org/officeDocument/2006/relationships/hyperlink" Target="https://www.google.com/url?q=https://github.com/mostafa-saad/MyCompetitiveProgramming/blob/master/Olympiad/IZhO/IZhO-18-segments.txt&amp;sa=D&amp;ust=1605639801880000&amp;usg=AFQjCNH3tEouXNgOlfsqPerkZ7D88BESaA" TargetMode="External"/><Relationship Id="rId2762" Type="http://schemas.openxmlformats.org/officeDocument/2006/relationships/hyperlink" Target="https://www.google.com/url?q=https://github.com/mostafa-saad/MyCompetitiveProgramming/blob/master/Olympiad/COCI/official/2009/contest2_solutions&amp;sa=D&amp;ust=1605639802099000&amp;usg=AFQjCNFrLrqUabmNHVQxWDm61BXboJ-B5Q" TargetMode="External"/><Relationship Id="rId527" Type="http://schemas.openxmlformats.org/officeDocument/2006/relationships/hyperlink" Target="https://www.google.com/url?q=https://dmoj.ca/problem/coci06c2p3&amp;sa=D&amp;ust=1605639799097000&amp;usg=AFQjCNFflxOTVjA49NS0KO6ERWEXAtWRGg" TargetMode="External"/><Relationship Id="rId734" Type="http://schemas.openxmlformats.org/officeDocument/2006/relationships/hyperlink" Target="https://www.google.com/url?q=https://github.com/mostafa-saad/MyCompetitiveProgramming/blob/master/Olympiad/COCI/COCI-06-Ispiti.txt&amp;sa=D&amp;ust=1605639799701000&amp;usg=AFQjCNHvKDhUJzWZfHFzeMQqH0UXzKX76Q" TargetMode="External"/><Relationship Id="rId941" Type="http://schemas.openxmlformats.org/officeDocument/2006/relationships/hyperlink" Target="https://www.google.com/url?q=https://cses.fi/105/list/&amp;sa=D&amp;ust=1605639799906000&amp;usg=AFQjCNGuZX2qCCTsOpJmQE2893L-EnhHlw" TargetMode="External"/><Relationship Id="rId1157" Type="http://schemas.openxmlformats.org/officeDocument/2006/relationships/hyperlink" Target="https://www.google.com/url?q=https://dunjudge.me/analysis/problems/1480/&amp;sa=D&amp;ust=1605639800094000&amp;usg=AFQjCNHbd4KPUMvks4kRp3GoKjjnyrg3Fw" TargetMode="External"/><Relationship Id="rId1364" Type="http://schemas.openxmlformats.org/officeDocument/2006/relationships/hyperlink" Target="https://www.google.com/url?q=https://oj.uz/problem/view/IZhO17_money&amp;sa=D&amp;ust=1605639800280000&amp;usg=AFQjCNHv5_-yep4lN8q6gCS3LUs9HQXRwg" TargetMode="External"/><Relationship Id="rId1571" Type="http://schemas.openxmlformats.org/officeDocument/2006/relationships/hyperlink" Target="https://www.google.com/url?q=https://www.hackerrank.com/contests/boi-2016/challenges&amp;sa=D&amp;ust=1605639800408000&amp;usg=AFQjCNEl5z_4K_53xAlDMlTLzzpTvW5bIQ" TargetMode="External"/><Relationship Id="rId2208" Type="http://schemas.openxmlformats.org/officeDocument/2006/relationships/hyperlink" Target="https://www.google.com/url?q=https://github.com/mostafa-saad/MyCompetitiveProgramming/blob/master/Olympiad/COCI/official/2010/contest1_solutions&amp;sa=D&amp;ust=1605639800892000&amp;usg=AFQjCNElDHL1LJUE_I_m7LFpgsBrIqb2og" TargetMode="External"/><Relationship Id="rId2415" Type="http://schemas.openxmlformats.org/officeDocument/2006/relationships/hyperlink" Target="https://www.google.com/url?q=https://ideone.com/iOUxs7&amp;sa=D&amp;ust=1605639801775000&amp;usg=AFQjCNECgypSD-LnpsSsdth49mfUTRSA0Q" TargetMode="External"/><Relationship Id="rId2622" Type="http://schemas.openxmlformats.org/officeDocument/2006/relationships/hyperlink" Target="https://www.google.com/url?q=https://www.infoarena.ro/problema/tricolor&amp;sa=D&amp;ust=1605639801976000&amp;usg=AFQjCNGKqf4ZXuUFpRqDML8qhkjzVAs5sg" TargetMode="External"/><Relationship Id="rId70" Type="http://schemas.openxmlformats.org/officeDocument/2006/relationships/hyperlink" Target="https://www.google.com/url?q=https://dunjudge.me/analysis/problems/728/&amp;sa=D&amp;ust=1605639798692000&amp;usg=AFQjCNEVLzJXd-UPX5KXFbpcJlRLkeV5qw" TargetMode="External"/><Relationship Id="rId801" Type="http://schemas.openxmlformats.org/officeDocument/2006/relationships/hyperlink" Target="https://www.google.com/url?q=https://github.com/mostafa-saad/MyCompetitiveProgramming/tree/master/Olympiad/COCI/official/2008/contest2_solutions&amp;sa=D&amp;ust=1605639799782000&amp;usg=AFQjCNErEorD6JCnX_AeHI4VqbEaG8rGUw" TargetMode="External"/><Relationship Id="rId1017" Type="http://schemas.openxmlformats.org/officeDocument/2006/relationships/hyperlink" Target="https://www.google.com/url?q=https://cses.fi/109/list/&amp;sa=D&amp;ust=1605639799988000&amp;usg=AFQjCNG6k2zc4B-ejAQ-SNb-UqkNKY4PDw" TargetMode="External"/><Relationship Id="rId1224" Type="http://schemas.openxmlformats.org/officeDocument/2006/relationships/hyperlink" Target="https://www.google.com/url?q=https://github.com/mostafa-saad/MyCompetitiveProgramming/blob/master/Olympiad/CEOI/CEOI-13-treasure2.txt&amp;sa=D&amp;ust=1605639800174000&amp;usg=AFQjCNESqgOqRxYK4bum_C5-R-lXAsUJTg" TargetMode="External"/><Relationship Id="rId1431" Type="http://schemas.openxmlformats.org/officeDocument/2006/relationships/hyperlink" Target="https://www.google.com/url?q=https://codeforces.com/group/swEqtABRxe/contest/227524/problem/B&amp;sa=D&amp;ust=1605639800309000&amp;usg=AFQjCNFmECq7lnnaILfRVWgRwdBbX4CCkQ" TargetMode="External"/><Relationship Id="rId177" Type="http://schemas.openxmlformats.org/officeDocument/2006/relationships/hyperlink" Target="https://www.google.com/url?q=https://www.infoarena.ro/problema/greutati&amp;sa=D&amp;ust=1605639798781000&amp;usg=AFQjCNGSDB3gPClYkBMH10nQpLOc3F9byg" TargetMode="External"/><Relationship Id="rId384" Type="http://schemas.openxmlformats.org/officeDocument/2006/relationships/hyperlink" Target="https://www.google.com/url?q=https://oj.uz/problem/view/POI13_ins&amp;sa=D&amp;ust=1605639798978000&amp;usg=AFQjCNGeIfyOFKh5cmY5KBG2FEwwPOMDBQ" TargetMode="External"/><Relationship Id="rId591" Type="http://schemas.openxmlformats.org/officeDocument/2006/relationships/hyperlink" Target="https://www.google.com/url?q=https://github.com/Yehezkiel01/CompetitiveProgramming/blob/master/IOIPractice/IOIPractice-14-questions-i-ask-myself-ioi14.cpp&amp;sa=D&amp;ust=1605639799123000&amp;usg=AFQjCNH0RCw15BrD5nx_CYbpjGE5tM756Q" TargetMode="External"/><Relationship Id="rId2065" Type="http://schemas.openxmlformats.org/officeDocument/2006/relationships/hyperlink" Target="https://www.google.com/url?q=https://cses.fi/113/list/&amp;sa=D&amp;ust=1605639800795000&amp;usg=AFQjCNHtdJMwsBlTBsdsWAA_JvQTdTjgTg" TargetMode="External"/><Relationship Id="rId2272" Type="http://schemas.openxmlformats.org/officeDocument/2006/relationships/hyperlink" Target="https://www.google.com/url?q=https://codeforces.com/group/R2SERIff4f/contest/213171&amp;sa=D&amp;ust=1605639801565000&amp;usg=AFQjCNGtN5Vb_woT2tcVkhmSsPFyIxuStA" TargetMode="External"/><Relationship Id="rId244" Type="http://schemas.openxmlformats.org/officeDocument/2006/relationships/hyperlink" Target="https://www.google.com/url?q=https://github.com/mostafa-saad/MyCompetitiveProgramming/blob/master/Olympiad/POI/official/find_editorial_sols_guidelines.txt&amp;sa=D&amp;ust=1605639798806000&amp;usg=AFQjCNGOWWGTKCbo5DL6EtLYkNkpBdVY8A" TargetMode="External"/><Relationship Id="rId1081" Type="http://schemas.openxmlformats.org/officeDocument/2006/relationships/hyperlink" Target="https://www.google.com/url?q=https://dmoj.ca/problem/coci06c2p5&amp;sa=D&amp;ust=1605639800015000&amp;usg=AFQjCNFdAwOco3I8KTS2y8GHBNJcERKgjA" TargetMode="External"/><Relationship Id="rId451" Type="http://schemas.openxmlformats.org/officeDocument/2006/relationships/hyperlink" Target="https://www.google.com/url?q=https://github.com/mostafa-saad/MyCompetitiveProgramming/blob/master/Olympiad/APIO/APIO-15-bridge.txt&amp;sa=D&amp;ust=1605639799007000&amp;usg=AFQjCNFhXu3a504Ahqdnmo__hmeX5miBIQ" TargetMode="External"/><Relationship Id="rId2132" Type="http://schemas.openxmlformats.org/officeDocument/2006/relationships/hyperlink" Target="https://www.google.com/url?q=https://github.com/mostafa-saad/MyCompetitiveProgramming/blob/master/Olympiad/CEOI/CEOI-04-Football.txt&amp;sa=D&amp;ust=1605639800820000&amp;usg=AFQjCNH9CbQRk_SebA6GUqHe_ebrOh8huQ" TargetMode="External"/><Relationship Id="rId104" Type="http://schemas.openxmlformats.org/officeDocument/2006/relationships/hyperlink" Target="https://www.google.com/url?q=https://oj.uz/problem/view/BOI19_nautilus&amp;sa=D&amp;ust=1605639798716000&amp;usg=AFQjCNGQhQPaUX8j4N8tVqrfcI5BAATdHw" TargetMode="External"/><Relationship Id="rId311" Type="http://schemas.openxmlformats.org/officeDocument/2006/relationships/hyperlink" Target="https://www.google.com/url?q=https://dunjudge.me/analysis/problems/722/&amp;sa=D&amp;ust=1605639798886000&amp;usg=AFQjCNGxqmw08H3rRzFoUqbLOyc3V5d5lQ" TargetMode="External"/><Relationship Id="rId1898" Type="http://schemas.openxmlformats.org/officeDocument/2006/relationships/hyperlink" Target="https://www.google.com/url?q=https://wcipeg.com/problem/coci092p4&amp;sa=D&amp;ust=1605639800688000&amp;usg=AFQjCNFIu-0b0Dbe7TJBNdFybUUiS95h9A" TargetMode="External"/><Relationship Id="rId2949" Type="http://schemas.openxmlformats.org/officeDocument/2006/relationships/hyperlink" Target="https://www.google.com/url?q=https://dunjudge.me/analysis/problems/185/&amp;sa=D&amp;ust=1605639802309000&amp;usg=AFQjCNGz9qbPaI7WrsrEVhOkB-nS31E_2Q" TargetMode="External"/><Relationship Id="rId1758" Type="http://schemas.openxmlformats.org/officeDocument/2006/relationships/hyperlink" Target="https://www.google.com/url?q=https://github.com/mostafa-saad/MyCompetitiveProgramming/blob/master/Olympiad/IOI/IOI-07-flood.txt&amp;sa=D&amp;ust=1605639800570000&amp;usg=AFQjCNHJRR2vpR5k1oTV4_t87N30LWI2Mg" TargetMode="External"/><Relationship Id="rId2809" Type="http://schemas.openxmlformats.org/officeDocument/2006/relationships/hyperlink" Target="https://www.google.com/url?q=https://github.com/mostafa-saad/MyCompetitiveProgramming/blob/master/Olympiad/COCI/official/2015/contest4_solutions&amp;sa=D&amp;ust=1605639802172000&amp;usg=AFQjCNHbuyn7OlAHu5PHCBHYh-G0oAsFQQ" TargetMode="External"/><Relationship Id="rId1965" Type="http://schemas.openxmlformats.org/officeDocument/2006/relationships/hyperlink" Target="https://www.google.com/url?q=https://oj.uz/problem/view/COCI18_zamjena&amp;sa=D&amp;ust=1605639800711000&amp;usg=AFQjCNHCKD8DPl6yTmKMGymEHa9NLO436A" TargetMode="External"/><Relationship Id="rId1618" Type="http://schemas.openxmlformats.org/officeDocument/2006/relationships/hyperlink" Target="https://www.google.com/url?q=https://oj.uz/problem/view/IOI17_books&amp;sa=D&amp;ust=1605639800465000&amp;usg=AFQjCNE6Q4pOLG4Jykcfr_XCBhnZklsrGg" TargetMode="External"/><Relationship Id="rId1825" Type="http://schemas.openxmlformats.org/officeDocument/2006/relationships/hyperlink" Target="https://www.google.com/url?q=https://github.com/stefdasca/CompetitiveProgramming/blob/master/Infoarena/treesearch.cpp&amp;sa=D&amp;ust=1605639800599000&amp;usg=AFQjCNHJihJpzRWvCfw77c_6b1anxoTysA" TargetMode="External"/><Relationship Id="rId2599" Type="http://schemas.openxmlformats.org/officeDocument/2006/relationships/hyperlink" Target="https://www.google.com/url?q=https://github.com/mostafa-saad/MyCompetitiveProgramming/blob/master/Olympiad/CEOI/CEOI-16-Kangaroo.txt&amp;sa=D&amp;ust=1605639801902000&amp;usg=AFQjCNH4BOUDU9fRa3j8NtU9EsDDp2MNAA" TargetMode="External"/><Relationship Id="rId778" Type="http://schemas.openxmlformats.org/officeDocument/2006/relationships/hyperlink" Target="https://www.google.com/url?q=https://github.com/mostafa-saad/MyCompetitiveProgramming/blob/master/Olympiad/COCI/COCI-16-zoltan.txt&amp;sa=D&amp;ust=1605639799719000&amp;usg=AFQjCNHyVUssBweqVYyi6S-GNWjOOzW83A" TargetMode="External"/><Relationship Id="rId985" Type="http://schemas.openxmlformats.org/officeDocument/2006/relationships/hyperlink" Target="https://www.google.com/url?q=https://github.com/mostafa-saad/MyCompetitiveProgramming/blob/master/Olympiad/IOI/IOI-16-paint.txt&amp;sa=D&amp;ust=1605639799973000&amp;usg=AFQjCNEzF09-0tcBpqvd8Fh2j7Hvn1ruQQ" TargetMode="External"/><Relationship Id="rId2459" Type="http://schemas.openxmlformats.org/officeDocument/2006/relationships/hyperlink" Target="https://www.google.com/url?q=https://oj.uz/problem/view/BOI13_numbers&amp;sa=D&amp;ust=1605639801795000&amp;usg=AFQjCNHw-_2HdmwGq2Ncd4f-uvYG_pyZIQ" TargetMode="External"/><Relationship Id="rId2666" Type="http://schemas.openxmlformats.org/officeDocument/2006/relationships/hyperlink" Target="https://www.google.com/url?q=https://dmoj.ca/problem/coci06c1p6&amp;sa=D&amp;ust=1605639801993000&amp;usg=AFQjCNHXEHk6h16M2zee3qSXzEUhgFqxlQ" TargetMode="External"/><Relationship Id="rId2873" Type="http://schemas.openxmlformats.org/officeDocument/2006/relationships/hyperlink" Target="https://www.google.com/url?q=https://github.com/mostafa-saad/MyCompetitiveProgramming/tree/master/Olympiad/IOI/official/2019&amp;sa=D&amp;ust=1605639802207000&amp;usg=AFQjCNG-GYnY0MRH6OUW8unNsB-iDAmV1g" TargetMode="External"/><Relationship Id="rId638" Type="http://schemas.openxmlformats.org/officeDocument/2006/relationships/hyperlink" Target="https://www.google.com/url?q=https://oj.uz/problem/view/IOI14_holiday&amp;sa=D&amp;ust=1605639799638000&amp;usg=AFQjCNHIRv6FUanMLKmaGJQuLBAGundRxA" TargetMode="External"/><Relationship Id="rId845" Type="http://schemas.openxmlformats.org/officeDocument/2006/relationships/hyperlink" Target="https://www.google.com/url?q=https://github.com/mostafa-saad/MyCompetitiveProgramming/blob/master/Olympiad/CEOI/CEOI-06-Walk.txt&amp;sa=D&amp;ust=1605639799810000&amp;usg=AFQjCNEjiOVmCB-CkLn7XKyGi_uJDDjMlw" TargetMode="External"/><Relationship Id="rId1268" Type="http://schemas.openxmlformats.org/officeDocument/2006/relationships/hyperlink" Target="https://www.google.com/url?q=https://oj.uz/problem/view/COCI16_kralj&amp;sa=D&amp;ust=1605639800191000&amp;usg=AFQjCNF6yzitXTGl5CP7f9DlLp71Y0eh2g" TargetMode="External"/><Relationship Id="rId1475" Type="http://schemas.openxmlformats.org/officeDocument/2006/relationships/hyperlink" Target="https://www.google.com/url?q=https://github.com/mostafa-saad/MyCompetitiveProgramming/blob/master/Olympiad/JOI/JOIOC-17-bulldozer.txt&amp;sa=D&amp;ust=1605639800371000&amp;usg=AFQjCNFHrKxPD4XQKQtOEBAb4Luzb82ctQ" TargetMode="External"/><Relationship Id="rId1682" Type="http://schemas.openxmlformats.org/officeDocument/2006/relationships/hyperlink" Target="https://www.google.com/url?q=https://github.com/mostafa-saad/MyCompetitiveProgramming/blob/master/Olympiad/COCI/COCI-14-Kamp.txt&amp;sa=D&amp;ust=1605639800491000&amp;usg=AFQjCNGn0aw-o7oCG4dvacnVxSZXqAVUQA" TargetMode="External"/><Relationship Id="rId2319" Type="http://schemas.openxmlformats.org/officeDocument/2006/relationships/hyperlink" Target="https://www.google.com/url?q=https://dmoj.ca/problem/dmopc16c4p4&amp;sa=D&amp;ust=1605639801601000&amp;usg=AFQjCNHNJC8ebFxlbFERrtvbe-P4DveDOQ" TargetMode="External"/><Relationship Id="rId2526" Type="http://schemas.openxmlformats.org/officeDocument/2006/relationships/hyperlink" Target="https://www.google.com/url?q=https://github.com/mostafa-saad/MyCompetitiveProgramming/blob/master/Olympiad/APIO/APIO-14-Sequence.txt&amp;sa=D&amp;ust=1605639801870000&amp;usg=AFQjCNHUPD4wwbEz9lWmcxgp4kaTbSdA8w" TargetMode="External"/><Relationship Id="rId2733" Type="http://schemas.openxmlformats.org/officeDocument/2006/relationships/hyperlink" Target="https://www.google.com/url?q=https://dmoj.ca/problem/coci07c2p2&amp;sa=D&amp;ust=1605639802087000&amp;usg=AFQjCNEQCBT28cXop_Stq4dDwVjReinxBg" TargetMode="External"/><Relationship Id="rId705" Type="http://schemas.openxmlformats.org/officeDocument/2006/relationships/hyperlink" Target="https://www.google.com/url?q=https://github.com/mostafa-saad/MyCompetitiveProgramming/blob/master/Olympiad/COCI/official/2018/contest2_solutions&amp;sa=D&amp;ust=1605639799675000&amp;usg=AFQjCNE3k5TniqYYdBcs8arDATDn855MbQ" TargetMode="External"/><Relationship Id="rId1128" Type="http://schemas.openxmlformats.org/officeDocument/2006/relationships/hyperlink" Target="https://www.google.com/url?q=https://github.com/mostafa-saad/MyCompetitiveProgramming/blob/master/Olympiad/COCI/COCI-14-studentsko.txt&amp;sa=D&amp;ust=1605639800082000&amp;usg=AFQjCNHIsOS-utZShJBWrrLJNxgUq1Lbng" TargetMode="External"/><Relationship Id="rId1335" Type="http://schemas.openxmlformats.org/officeDocument/2006/relationships/hyperlink" Target="https://www.google.com/url?q=https://oj.uz/problem/view/IOI19_packing&amp;sa=D&amp;ust=1605639800219000&amp;usg=AFQjCNEnr1kffOTRazKiOf8O19xxrVfztA" TargetMode="External"/><Relationship Id="rId1542" Type="http://schemas.openxmlformats.org/officeDocument/2006/relationships/hyperlink" Target="https://www.google.com/url?q=https://github.com/mostafa-saad/MyCompetitiveProgramming/blob/master/Olympiad/COCI/COCI-06-Circle.txt&amp;sa=D&amp;ust=1605639800396000&amp;usg=AFQjCNFvqFXo17yAVmVR-EwMVPOtmVa0wQ" TargetMode="External"/><Relationship Id="rId2940" Type="http://schemas.openxmlformats.org/officeDocument/2006/relationships/hyperlink" Target="https://www.google.com/url?q=https://dunjudge.me/analysis/problems/1828/&amp;sa=D&amp;ust=1605639802302000&amp;usg=AFQjCNHXkv9UREPpx-WH9jOGUKspfgrIbw" TargetMode="External"/><Relationship Id="rId912" Type="http://schemas.openxmlformats.org/officeDocument/2006/relationships/hyperlink" Target="https://www.google.com/url?q=https://github.com/mostafa-saad/MyCompetitiveProgramming/blob/master/Olympiad/infoarena/Infoarena_Desc.txt&amp;sa=D&amp;ust=1605639799896000&amp;usg=AFQjCNGaPElnD85drCzD5o2iTLOCYVrZKA" TargetMode="External"/><Relationship Id="rId2800" Type="http://schemas.openxmlformats.org/officeDocument/2006/relationships/hyperlink" Target="https://www.google.com/url?q=https://github.com/mostafa-saad/MyCompetitiveProgramming/blob/master/Olympiad/COCI/official/2010/contest7_solutions&amp;sa=D&amp;ust=1605639802170000&amp;usg=AFQjCNH3uo4GTi94DETL2YrzFaNQxYfaRQ" TargetMode="External"/><Relationship Id="rId41" Type="http://schemas.openxmlformats.org/officeDocument/2006/relationships/hyperlink" Target="https://www.google.com/url?q=https://contest.yandex.ru/ioi/contest/562/problems/F/&amp;sa=D&amp;ust=1605639798679000&amp;usg=AFQjCNHV1uSncT0Gzyt4WGtDlKpxofN2ug" TargetMode="External"/><Relationship Id="rId1402" Type="http://schemas.openxmlformats.org/officeDocument/2006/relationships/hyperlink" Target="https://www.google.com/url?q=https://github.com/mostafa-saad/MyCompetitiveProgramming/blob/master/Olympiad/POI/official/find_editorial_sols_guidelines.txt&amp;sa=D&amp;ust=1605639800296000&amp;usg=AFQjCNFg5zvsZD7GZ24jdCarKM23A22CTQ" TargetMode="External"/><Relationship Id="rId288" Type="http://schemas.openxmlformats.org/officeDocument/2006/relationships/hyperlink" Target="https://www.google.com/url?q=https://github.com/mostafa-saad/MyCompetitiveProgramming/tree/master/Olympiad/COCI/official/2007/contest4_solutions&amp;sa=D&amp;ust=1605639798877000&amp;usg=AFQjCNHzT2xzchM3eIvtlMfhQ-zIQ4RGXQ" TargetMode="External"/><Relationship Id="rId495" Type="http://schemas.openxmlformats.org/officeDocument/2006/relationships/hyperlink" Target="https://www.google.com/url?q=https://dmoj.ca/problem/coi06p1&amp;sa=D&amp;ust=1605639799083000&amp;usg=AFQjCNEDu7u8NHMFc1z7LKJCtpXl6-Wvyg" TargetMode="External"/><Relationship Id="rId2176" Type="http://schemas.openxmlformats.org/officeDocument/2006/relationships/hyperlink" Target="https://www.google.com/url?q=https://github.com/stefdasca/CompetitiveProgramming/blob/master/Infoarena/cate3cifre.cpp&amp;sa=D&amp;ust=1605639800878000&amp;usg=AFQjCNH4E3c253MuEHueJjmTqBn40WSSgw" TargetMode="External"/><Relationship Id="rId2383" Type="http://schemas.openxmlformats.org/officeDocument/2006/relationships/hyperlink" Target="https://www.google.com/url?q=https://codeforces.com/group/swEqtABRxe/contest/243431/problem/A&amp;sa=D&amp;ust=1605639801699000&amp;usg=AFQjCNEFbBhdPilyVCLQSwxwRmcrk5EHMA" TargetMode="External"/><Relationship Id="rId2590" Type="http://schemas.openxmlformats.org/officeDocument/2006/relationships/hyperlink" Target="https://www.google.com/url?q=https://www.hackerrank.com/contests/ioi-2014-practice-contest-2/challenges&amp;sa=D&amp;ust=1605639801899000&amp;usg=AFQjCNEfBgrz2KivOAb4N-h4M6GjjI5bcg" TargetMode="External"/><Relationship Id="rId148" Type="http://schemas.openxmlformats.org/officeDocument/2006/relationships/hyperlink" Target="https://www.google.com/url?q=http://usaco.org/index.php?page%3Dviewproblem2%26cpid%3D100&amp;sa=D&amp;ust=1605639798766000&amp;usg=AFQjCNHcvBSReZ79ryaLtVIBRBYlMr7CEA" TargetMode="External"/><Relationship Id="rId355" Type="http://schemas.openxmlformats.org/officeDocument/2006/relationships/hyperlink" Target="https://www.google.com/url?q=https://github.com/mostafa-saad/MyCompetitiveProgramming/blob/master/Olympiad/COCI/official/2017/contest6_solutions&amp;sa=D&amp;ust=1605639798907000&amp;usg=AFQjCNHo4VCtZYA81wf4kwp9tMnOZzadIw" TargetMode="External"/><Relationship Id="rId562" Type="http://schemas.openxmlformats.org/officeDocument/2006/relationships/hyperlink" Target="https://www.google.com/url?q=https://oj.uz/problems/source/55&amp;sa=D&amp;ust=1605639799112000&amp;usg=AFQjCNEmTtjV2WmEbk3XjBqLLhzMpMtKyQ" TargetMode="External"/><Relationship Id="rId1192" Type="http://schemas.openxmlformats.org/officeDocument/2006/relationships/hyperlink" Target="https://www.google.com/url?q=https://github.com/mostafa-saad/MyCompetitiveProgramming/blob/master/Olympiad/IZhO/IZhO-17-subsequence.txt&amp;sa=D&amp;ust=1605639800115000&amp;usg=AFQjCNGP8feesNSLcavCEPvXtZWVt7lqEg" TargetMode="External"/><Relationship Id="rId2036" Type="http://schemas.openxmlformats.org/officeDocument/2006/relationships/hyperlink" Target="https://www.google.com/url?q=https://github.com/mostafa-saad/MyCompetitiveProgramming/blob/master/Olympiad/POI/POI-16-Hedge.txt&amp;sa=D&amp;ust=1605639800783000&amp;usg=AFQjCNGEA7N0ko3Zg2GgIz4zcy1hO2CQlw" TargetMode="External"/><Relationship Id="rId2243" Type="http://schemas.openxmlformats.org/officeDocument/2006/relationships/hyperlink" Target="https://www.google.com/url?q=https://wcipeg.com/problem/coci096p6&amp;sa=D&amp;ust=1605639800906000&amp;usg=AFQjCNHm2pNkYVGj4LEc2shkbMje6oYpGg" TargetMode="External"/><Relationship Id="rId2450" Type="http://schemas.openxmlformats.org/officeDocument/2006/relationships/hyperlink" Target="https://www.google.com/url?q=http://usaco.org/index.php?page%3Dviewproblem2%26cpid%3D626&amp;sa=D&amp;ust=1605639801792000&amp;usg=AFQjCNFg8qgDwEHUmwQJ2XUNEaI441prAw" TargetMode="External"/><Relationship Id="rId215" Type="http://schemas.openxmlformats.org/officeDocument/2006/relationships/hyperlink" Target="https://www.google.com/url?q=https://github.com/mostafa-saad/MyCompetitiveProgramming/blob/master/Olympiad/COCI/official/2015/contest7_solutions&amp;sa=D&amp;ust=1605639798795000&amp;usg=AFQjCNGMSZFnni71SNI5ZoEZOxZiVxyDww" TargetMode="External"/><Relationship Id="rId422" Type="http://schemas.openxmlformats.org/officeDocument/2006/relationships/hyperlink" Target="https://www.google.com/url?q=https://github.com/updown2/OI-Practice/blob/master/JOI/2018/Stove.cpp&amp;sa=D&amp;ust=1605639798994000&amp;usg=AFQjCNGl7d6YCcmmmxyBRVGutd2CmKkqnA" TargetMode="External"/><Relationship Id="rId1052" Type="http://schemas.openxmlformats.org/officeDocument/2006/relationships/hyperlink" Target="https://www.google.com/url?q=https://codeforces.com/group/swEqtABRxe/contest/243438/problem/C&amp;sa=D&amp;ust=1605639800002000&amp;usg=AFQjCNFuQPfyJiLl5iPtDQYmeR3XsjQHjg" TargetMode="External"/><Relationship Id="rId2103" Type="http://schemas.openxmlformats.org/officeDocument/2006/relationships/hyperlink" Target="https://www.google.com/url?q=https://github.com/mostafa-saad/MyCompetitiveProgramming/blob/master/Olympiad/COCI/COCI-14-Stogovi.txt&amp;sa=D&amp;ust=1605639800809000&amp;usg=AFQjCNHRWi1cSMil74W-wDxsProfLrJf1Q" TargetMode="External"/><Relationship Id="rId2310" Type="http://schemas.openxmlformats.org/officeDocument/2006/relationships/hyperlink" Target="https://www.google.com/url?q=https://dunjudge.me/analysis/problems/578/&amp;sa=D&amp;ust=1605639801595000&amp;usg=AFQjCNHODY3gU6dvf75faL4Z-sQ4HO94qA" TargetMode="External"/><Relationship Id="rId1869" Type="http://schemas.openxmlformats.org/officeDocument/2006/relationships/hyperlink" Target="https://www.google.com/url?q=https://oj.uz/problem/view/BOI16_cities&amp;sa=D&amp;ust=1605639800675000&amp;usg=AFQjCNEtGfcaVjqwIikmEVgtCi671fSQuA" TargetMode="External"/><Relationship Id="rId1729" Type="http://schemas.openxmlformats.org/officeDocument/2006/relationships/hyperlink" Target="https://www.google.com/url?q=https://github.com/stefdasca/CompetitiveProgramming/blob/master/Infoarena/incurcatura.cpp&amp;sa=D&amp;ust=1605639800507000&amp;usg=AFQjCNEJguZcxvolkVCiyWEdJjY9cqR6wA" TargetMode="External"/><Relationship Id="rId1936" Type="http://schemas.openxmlformats.org/officeDocument/2006/relationships/hyperlink" Target="https://www.google.com/url?q=https://github.com/mostafa-saad/MyCompetitiveProgramming/blob/master/Olympiad/COCI/COCI-15-galaksija.txt&amp;sa=D&amp;ust=1605639800702000&amp;usg=AFQjCNELsPmRtBvs4j7DFwpUnA23C19B2g" TargetMode="External"/><Relationship Id="rId3011" Type="http://schemas.openxmlformats.org/officeDocument/2006/relationships/hyperlink" Target="https://www.google.com/url?q=https://csacademy.com/contest/round-80/task/tournament/&amp;sa=D&amp;ust=1605639802396000&amp;usg=AFQjCNF90-jPy85k2yagmiuHmzmQ0jjQeg" TargetMode="External"/><Relationship Id="rId5" Type="http://schemas.openxmlformats.org/officeDocument/2006/relationships/hyperlink" Target="https://www.google.com/url?q=https://oj.uz/problem/view/CEOI15_nuclearia&amp;sa=D&amp;ust=1605639798666000&amp;usg=AFQjCNGSbVbtRQSiuSHLw4UqIuXJVz7rEA" TargetMode="External"/><Relationship Id="rId889" Type="http://schemas.openxmlformats.org/officeDocument/2006/relationships/hyperlink" Target="https://www.google.com/url?q=https://github.com/mostafa-saad/MyCompetitiveProgramming/blob/master/Olympiad/COCI/COCI-08-Dostava.txt&amp;sa=D&amp;ust=1605639799887000&amp;usg=AFQjCNH-BvlMBDUqLUqmBE_mDetNicyTEA" TargetMode="External"/><Relationship Id="rId2777" Type="http://schemas.openxmlformats.org/officeDocument/2006/relationships/hyperlink" Target="https://www.google.com/url?q=https://wcipeg.com/problem/coci095p2&amp;sa=D&amp;ust=1605639802104000&amp;usg=AFQjCNE02ZucpNavI-SmI_H23BXz0Q42LQ" TargetMode="External"/><Relationship Id="rId749" Type="http://schemas.openxmlformats.org/officeDocument/2006/relationships/hyperlink" Target="https://www.google.com/url?q=https://oj.uz/problem/view/COCI17_poklon&amp;sa=D&amp;ust=1605639799707000&amp;usg=AFQjCNHLo55nM03tzmxzPTBYKe5swfgy3w" TargetMode="External"/><Relationship Id="rId1379" Type="http://schemas.openxmlformats.org/officeDocument/2006/relationships/hyperlink" Target="https://www.google.com/url?q=https://github.com/mostafa-saad/MyCompetitiveProgramming/blob/master/Olympiad/APIO/APIO-08-Roads.txt&amp;sa=D&amp;ust=1605639800286000&amp;usg=AFQjCNGRaLRHLXygkZ6AwXNZtHdcTXaiTg" TargetMode="External"/><Relationship Id="rId1586" Type="http://schemas.openxmlformats.org/officeDocument/2006/relationships/hyperlink" Target="https://www.google.com/url?q=https://szkopul.edu.pl/problemset/problem/vX48bEW0i5IRszoCOP_f78Dc/site/&amp;sa=D&amp;ust=1605639800414000&amp;usg=AFQjCNHRyOLsiILJDH09BkEov3dUhemdlQ" TargetMode="External"/><Relationship Id="rId2984" Type="http://schemas.openxmlformats.org/officeDocument/2006/relationships/hyperlink" Target="https://www.google.com/url?q=https://github.com/mostafa-saad/MyCompetitiveProgramming/blob/master/Olympiad/POI/official/find_editorial_sols_guidelines.txt&amp;sa=D&amp;ust=1605639802382000&amp;usg=AFQjCNFpYgWtZW1Y-nqoaLPmFv8TQFXd3A" TargetMode="External"/><Relationship Id="rId609" Type="http://schemas.openxmlformats.org/officeDocument/2006/relationships/hyperlink" Target="https://www.google.com/url?q=https://github.com/ahmedibrahim404/CompetitiveProgramming/blob/master/EOI/IOI_Quals%2719/D2_A/main.cpp&amp;sa=D&amp;ust=1605639799166000&amp;usg=AFQjCNFsk0E7YUxibAEPtga6--7gikS-AA" TargetMode="External"/><Relationship Id="rId956" Type="http://schemas.openxmlformats.org/officeDocument/2006/relationships/hyperlink" Target="https://www.google.com/url?q=https://cses.fi/116/list/&amp;sa=D&amp;ust=1605639799913000&amp;usg=AFQjCNH-qeB6vlKLLYKmkRxthyTgs7YqtQ" TargetMode="External"/><Relationship Id="rId1239" Type="http://schemas.openxmlformats.org/officeDocument/2006/relationships/hyperlink" Target="https://www.google.com/url?q=https://oj.uz/problems/source/197&amp;sa=D&amp;ust=1605639800181000&amp;usg=AFQjCNEbAhRHtJQKLC05qprx_IVEDOfOrw" TargetMode="External"/><Relationship Id="rId1793" Type="http://schemas.openxmlformats.org/officeDocument/2006/relationships/hyperlink" Target="https://www.google.com/url?q=https://csacademy.com/contest/ejoi-2017-day-2/task/experience/&amp;sa=D&amp;ust=1605639800588000&amp;usg=AFQjCNGgC5_MAdwHTB-kx6HHA-s3Sa2LUg" TargetMode="External"/><Relationship Id="rId2637" Type="http://schemas.openxmlformats.org/officeDocument/2006/relationships/hyperlink" Target="https://www.google.com/url?q=https://github.com/mostafa-saad/MyCompetitiveProgramming/blob/master/Olympiad/infoarena/infoarena-plimbare3.txt&amp;sa=D&amp;ust=1605639801981000&amp;usg=AFQjCNFDyxi-9gYMo9QZ2Cu6I24fUACHbQ" TargetMode="External"/><Relationship Id="rId2844" Type="http://schemas.openxmlformats.org/officeDocument/2006/relationships/hyperlink" Target="https://www.google.com/url?q=https://dmoj.ca/problem/dmopc18c2p6&amp;sa=D&amp;ust=1605639802192000&amp;usg=AFQjCNFkY36-V3LSWMD3yx6ft-1pXYs4MQ" TargetMode="External"/><Relationship Id="rId85" Type="http://schemas.openxmlformats.org/officeDocument/2006/relationships/hyperlink" Target="https://www.google.com/url?q=https://github.com/timpostuvan/CompetitiveProgramming/blob/master/Olympiad/CCO/WrongAnswer2018.cpp&amp;sa=D&amp;ust=1605639798707000&amp;usg=AFQjCNFfO1SBYtMjd6zm9njJYht6uRvPBA" TargetMode="External"/><Relationship Id="rId816" Type="http://schemas.openxmlformats.org/officeDocument/2006/relationships/hyperlink" Target="https://www.google.com/url?q=https://codeforces.com/blog/entry/51198&amp;sa=D&amp;ust=1605639799790000&amp;usg=AFQjCNHOz7z3mUcu77uIHy8VXnxtjNDYqA" TargetMode="External"/><Relationship Id="rId1446" Type="http://schemas.openxmlformats.org/officeDocument/2006/relationships/hyperlink" Target="https://www.google.com/url?q=https://github.com/mostafa-saad/MyCompetitiveProgramming/blob/master/Olympiad/POI/official/find_editorial_sols_guidelines.txt&amp;sa=D&amp;ust=1605639800314000&amp;usg=AFQjCNF1gdwIIqSlmiSRP6X1UEvtkYIbBg" TargetMode="External"/><Relationship Id="rId1653" Type="http://schemas.openxmlformats.org/officeDocument/2006/relationships/hyperlink" Target="https://www.google.com/url?q=https://infoarena.ro/problema/maxdist&amp;sa=D&amp;ust=1605639800481000&amp;usg=AFQjCNFkePDMmaddguVrkxyJo7j2dgd2-g" TargetMode="External"/><Relationship Id="rId1860" Type="http://schemas.openxmlformats.org/officeDocument/2006/relationships/hyperlink" Target="https://www.google.com/url?q=https://github.com/mostafa-saad/MyCompetitiveProgramming/blob/master/Olympiad/IOI/official/2018&amp;sa=D&amp;ust=1605639800670000&amp;usg=AFQjCNFKtu1NaDH_NGuap89VnarUouJNRA" TargetMode="External"/><Relationship Id="rId2704" Type="http://schemas.openxmlformats.org/officeDocument/2006/relationships/hyperlink" Target="https://www.google.com/url?q=https://szkopul.edu.pl/problemset/problem/-e02GdqRC4OgV8Hjb852pqQ9/site/&amp;sa=D&amp;ust=1605639802067000&amp;usg=AFQjCNFApqT2GS4LvVBblfJHaFVqFuNXRg" TargetMode="External"/><Relationship Id="rId2911" Type="http://schemas.openxmlformats.org/officeDocument/2006/relationships/hyperlink" Target="https://www.google.com/url?q=https://joisc2015.contest.atcoder.jp/tasks/joisc2015_b&amp;sa=D&amp;ust=1605639802286000&amp;usg=AFQjCNH7y5jPGg5fxe4z7MGikiosvU_1LQ" TargetMode="External"/><Relationship Id="rId1306" Type="http://schemas.openxmlformats.org/officeDocument/2006/relationships/hyperlink" Target="https://www.google.com/url?q=https://github.com/mostafa-saad/MyCompetitiveProgramming/blob/master/Olympiad/POI/POI-12-Squarks.txt&amp;sa=D&amp;ust=1605639800205000&amp;usg=AFQjCNFdOII7mDIo35kDmr7aOTmXEhKINg" TargetMode="External"/><Relationship Id="rId1513" Type="http://schemas.openxmlformats.org/officeDocument/2006/relationships/hyperlink" Target="https://www.google.com/url?q=https://github.com/mostafa-saad/MyCompetitiveProgramming/blob/master/Olympiad/IOI/IOI-04-artemis.txt&amp;sa=D&amp;ust=1605639800385000&amp;usg=AFQjCNH8Xt1-oRwh5IsT2QcSwE6xL825RQ" TargetMode="External"/><Relationship Id="rId1720" Type="http://schemas.openxmlformats.org/officeDocument/2006/relationships/hyperlink" Target="https://www.google.com/url?q=https://dmoj.ca/problem/ioi97p1&amp;sa=D&amp;ust=1605639800505000&amp;usg=AFQjCNHoxfS5ELTuPf82ggwehCT_SY2Q4w" TargetMode="External"/><Relationship Id="rId12" Type="http://schemas.openxmlformats.org/officeDocument/2006/relationships/hyperlink" Target="https://www.google.com/url?q=https://oj.uz/problem/view/IOI14_rail&amp;sa=D&amp;ust=1605639798668000&amp;usg=AFQjCNFgt3ai8PPMt7O4AQD3-s2KyqRBuQ" TargetMode="External"/><Relationship Id="rId399" Type="http://schemas.openxmlformats.org/officeDocument/2006/relationships/hyperlink" Target="https://www.google.com/url?q=https://github.com/mostafa-saad/MyCompetitiveProgramming/blob/master/Olympiad/CEOI/CEOI-06-Queue.txt&amp;sa=D&amp;ust=1605639798983000&amp;usg=AFQjCNGw6C3fJZX-f-fOpKDOauoOP565mw" TargetMode="External"/><Relationship Id="rId2287" Type="http://schemas.openxmlformats.org/officeDocument/2006/relationships/hyperlink" Target="https://www.google.com/url?q=https://github.com/mostafa-saad/MyCompetitiveProgramming/blob/master/Olympiad/POI/POI-12-Prefixuffix.txt&amp;sa=D&amp;ust=1605639801573000&amp;usg=AFQjCNEjGRJ2F76mgvWp7vklnVlhecjtGw" TargetMode="External"/><Relationship Id="rId2494" Type="http://schemas.openxmlformats.org/officeDocument/2006/relationships/hyperlink" Target="https://www.google.com/url?q=https://wcipeg.com/problem/coi08p2&amp;sa=D&amp;ust=1605639801807000&amp;usg=AFQjCNFjF_v-RJsG3dZOdKVlAyqJb-QroA" TargetMode="External"/><Relationship Id="rId259" Type="http://schemas.openxmlformats.org/officeDocument/2006/relationships/hyperlink" Target="https://www.google.com/url?q=https://dmoj.ca/problem/coci08c4p3&amp;sa=D&amp;ust=1605639798867000&amp;usg=AFQjCNEYu9UTfP7d9eH4hJE93ZwUiaPNMg" TargetMode="External"/><Relationship Id="rId466" Type="http://schemas.openxmlformats.org/officeDocument/2006/relationships/hyperlink" Target="https://www.google.com/url?q=https://csacademy.com/contest/ceoi-2018-day-1/task/lottery/&amp;sa=D&amp;ust=1605639799013000&amp;usg=AFQjCNE_XPg6bHQf9BlVG9ltPDeSOFmbbA" TargetMode="External"/><Relationship Id="rId673" Type="http://schemas.openxmlformats.org/officeDocument/2006/relationships/hyperlink" Target="https://www.google.com/url?q=https://github.com/mostafa-saad/MyCompetitiveProgramming/blob/master/Olympiad/Balkan/Balkan-18-election.txt&amp;sa=D&amp;ust=1605639799662000&amp;usg=AFQjCNHnnGivYOMONw_inZwPU9altH1Teg" TargetMode="External"/><Relationship Id="rId880" Type="http://schemas.openxmlformats.org/officeDocument/2006/relationships/hyperlink" Target="https://www.google.com/url?q=https://szkopul.edu.pl/problemset/problem/lGqKS9urITMjTXhpdaHqyoEL/site/&amp;sa=D&amp;ust=1605639799881000&amp;usg=AFQjCNFe_HqmOtdCe6GC_jW3ipe1Rx_bQw" TargetMode="External"/><Relationship Id="rId1096" Type="http://schemas.openxmlformats.org/officeDocument/2006/relationships/hyperlink" Target="https://www.google.com/url?q=https://dmoj.ca/problem/ccoprep16q1&amp;sa=D&amp;ust=1605639800067000&amp;usg=AFQjCNHZ2-vW-lUeYIDgLpRR56q1F2FXcA" TargetMode="External"/><Relationship Id="rId2147" Type="http://schemas.openxmlformats.org/officeDocument/2006/relationships/hyperlink" Target="https://www.google.com/url?q=https://www.infoarena.ro/problema/penal&amp;sa=D&amp;ust=1605639800867000&amp;usg=AFQjCNGv4gyAW9d76hcLlpD19OCWuySu4w" TargetMode="External"/><Relationship Id="rId2354" Type="http://schemas.openxmlformats.org/officeDocument/2006/relationships/hyperlink" Target="https://www.google.com/url?q=https://github.com/tsouza0/CompetitiveProgramming/blob/master/Olympiads/COCI/lista.cpp&amp;sa=D&amp;ust=1605639801617000&amp;usg=AFQjCNH36mC2a4pfoSYwdePWbyfoVOCp2g" TargetMode="External"/><Relationship Id="rId2561" Type="http://schemas.openxmlformats.org/officeDocument/2006/relationships/hyperlink" Target="https://www.google.com/url?q=https://github.com/mostafa-saad/MyCompetitiveProgramming/blob/master/Olympiad/APIO/APIO-19-bridges.txt&amp;sa=D&amp;ust=1605639801882000&amp;usg=AFQjCNGCBAPIdbAwj4j-AfudTdVHsxXNBg" TargetMode="External"/><Relationship Id="rId119" Type="http://schemas.openxmlformats.org/officeDocument/2006/relationships/hyperlink" Target="https://www.google.com/url?q=https://github.com/mostafa-saad/MyCompetitiveProgramming/blob/master/Olympiad/IOI/IOI-03-guess.txt&amp;sa=D&amp;ust=1605639798720000&amp;usg=AFQjCNH4-ihX_Erw1je5cMjRrI3SuGBcAg" TargetMode="External"/><Relationship Id="rId326" Type="http://schemas.openxmlformats.org/officeDocument/2006/relationships/hyperlink" Target="https://www.google.com/url?q=https://oj.uz/problem/view/COCI14_prosjek&amp;sa=D&amp;ust=1605639798893000&amp;usg=AFQjCNGKpdUqdZn-pM3tKb7-i4R5fi_94w" TargetMode="External"/><Relationship Id="rId533" Type="http://schemas.openxmlformats.org/officeDocument/2006/relationships/hyperlink" Target="https://www.google.com/url?q=https://dunjudge.me/analysis/problems/951/&amp;sa=D&amp;ust=1605639799101000&amp;usg=AFQjCNHHncqGHwknVfi93JnNKy5crnjJzA" TargetMode="External"/><Relationship Id="rId1163" Type="http://schemas.openxmlformats.org/officeDocument/2006/relationships/hyperlink" Target="https://www.google.com/url?q=https://dunjudge.me/analysis/problems/1471/&amp;sa=D&amp;ust=1605639800097000&amp;usg=AFQjCNFePTL6NZtfwfCoBoRGGSZg8c0SIg" TargetMode="External"/><Relationship Id="rId1370" Type="http://schemas.openxmlformats.org/officeDocument/2006/relationships/hyperlink" Target="https://www.google.com/url?q=https://training.ia-toki.org/problemsets/87/problems/447/&amp;sa=D&amp;ust=1605639800283000&amp;usg=AFQjCNFNySiuNFap8VJ7yydN6iPNyrNIOQ" TargetMode="External"/><Relationship Id="rId2007" Type="http://schemas.openxmlformats.org/officeDocument/2006/relationships/hyperlink" Target="https://www.google.com/url?q=https://dunjudge.me/analysis/problems/956/&amp;sa=D&amp;ust=1605639800771000&amp;usg=AFQjCNFNBmgWMZcxyIFzye3TSPp3f4Vx8A" TargetMode="External"/><Relationship Id="rId2214" Type="http://schemas.openxmlformats.org/officeDocument/2006/relationships/hyperlink" Target="https://www.google.com/url?q=https://github.com/mostafa-saad/MyCompetitiveProgramming/blob/master/Olympiad/JOI/JOIOC-16-joiris.txt&amp;sa=D&amp;ust=1605639800894000&amp;usg=AFQjCNGf4c-aKehEZgTXtuIlJZWxaynIHA" TargetMode="External"/><Relationship Id="rId740" Type="http://schemas.openxmlformats.org/officeDocument/2006/relationships/hyperlink" Target="https://www.google.com/url?q=https://github.com/mostafa-saad/MyCompetitiveProgramming/blob/master/Olympiad/POI/POI-13-kon.txt&amp;sa=D&amp;ust=1605639799704000&amp;usg=AFQjCNHAHmmQ6YCzAF1-sVRQmV4nkVRDaA" TargetMode="External"/><Relationship Id="rId1023" Type="http://schemas.openxmlformats.org/officeDocument/2006/relationships/hyperlink" Target="https://www.google.com/url?q=https://oj.uz/problem/view/BOI13_ballmachine&amp;sa=D&amp;ust=1605639799989000&amp;usg=AFQjCNHa762afRWc8TbcaijdzGwsjj81cA" TargetMode="External"/><Relationship Id="rId2421" Type="http://schemas.openxmlformats.org/officeDocument/2006/relationships/hyperlink" Target="https://www.google.com/url?q=https://boi18-day1-open.kattis.com/problems&amp;sa=D&amp;ust=1605639801780000&amp;usg=AFQjCNGXer_YhqdMFvJt9vhhonL0MCNXtw" TargetMode="External"/><Relationship Id="rId600" Type="http://schemas.openxmlformats.org/officeDocument/2006/relationships/hyperlink" Target="https://www.google.com/url?q=https://oj.uz/problems/source/120&amp;sa=D&amp;ust=1605639799128000&amp;usg=AFQjCNHIpd22eA3r-WDZK_Ym561028wAQg" TargetMode="External"/><Relationship Id="rId1230" Type="http://schemas.openxmlformats.org/officeDocument/2006/relationships/hyperlink" Target="https://www.google.com/url?q=https://github.com/mostafa-saad/MyCompetitiveProgramming/tree/master/Olympiad/COCI/official/2007/contest6_solutions&amp;sa=D&amp;ust=1605639800178000&amp;usg=AFQjCNE-AlTyAnxVC0CZPZXLYBaRK3b6Sw" TargetMode="External"/><Relationship Id="rId183" Type="http://schemas.openxmlformats.org/officeDocument/2006/relationships/hyperlink" Target="https://www.google.com/url?q=https://dmoj.ca/problem/coci06c5p5&amp;sa=D&amp;ust=1605639798782000&amp;usg=AFQjCNFzPRMBjCMucMnW4iIRZeT6BQavIw" TargetMode="External"/><Relationship Id="rId390" Type="http://schemas.openxmlformats.org/officeDocument/2006/relationships/hyperlink" Target="https://www.google.com/url?q=https://wcipeg.com/problem/ioi0023&amp;sa=D&amp;ust=1605639798980000&amp;usg=AFQjCNFiizH-f3cR5fJfFEXJgztuMnqRxw" TargetMode="External"/><Relationship Id="rId1907" Type="http://schemas.openxmlformats.org/officeDocument/2006/relationships/hyperlink" Target="https://www.google.com/url?q=https://dunjudge.me/analysis/problems/962/&amp;sa=D&amp;ust=1605639800691000&amp;usg=AFQjCNH9n5lW_YNjuXW1r6qdg1JbXddA3Q" TargetMode="External"/><Relationship Id="rId2071" Type="http://schemas.openxmlformats.org/officeDocument/2006/relationships/hyperlink" Target="https://www.google.com/url?q=https://oj.uz/problems/source/326&amp;sa=D&amp;ust=1605639800797000&amp;usg=AFQjCNG7FGayV-rccNPSac11Lfx_MB8JWA" TargetMode="External"/><Relationship Id="rId250" Type="http://schemas.openxmlformats.org/officeDocument/2006/relationships/hyperlink" Target="https://www.google.com/url?q=https://github.com/mostafa-saad/MyCompetitiveProgramming/blob/master/Olympiad/POI/official/find_editorial_sols_guidelines.txt&amp;sa=D&amp;ust=1605639798810000&amp;usg=AFQjCNEKmGyNkxqVk7yjJAsAudpffdUs-Q" TargetMode="External"/><Relationship Id="rId110" Type="http://schemas.openxmlformats.org/officeDocument/2006/relationships/hyperlink" Target="https://www.google.com/url?q=https://github.com/mostafa-saad/MyCompetitiveProgramming/blob/master/Olympiad/CEOI/CEOI-08-Dominance.txt&amp;sa=D&amp;ust=1605639798718000&amp;usg=AFQjCNG-TjXZKX12jnG_F4UibscLL22yxQ" TargetMode="External"/><Relationship Id="rId2888" Type="http://schemas.openxmlformats.org/officeDocument/2006/relationships/hyperlink" Target="https://www.google.com/url?q=https://oj.uz/problems/source/56&amp;sa=D&amp;ust=1605639802270000&amp;usg=AFQjCNGCaOv7lGlAbTvr39XOUajK9FrkOQ" TargetMode="External"/><Relationship Id="rId1697" Type="http://schemas.openxmlformats.org/officeDocument/2006/relationships/hyperlink" Target="https://www.google.com/url?q=https://joisc2013-day4.contest.atcoder.jp/tasks/joisc2013_presents&amp;sa=D&amp;ust=1605639800497000&amp;usg=AFQjCNHaLz6XeoyMDSG2CyGlu7S4ZqEVhg" TargetMode="External"/><Relationship Id="rId2748" Type="http://schemas.openxmlformats.org/officeDocument/2006/relationships/hyperlink" Target="https://www.google.com/url?q=https://github.com/mostafa-saad/MyCompetitiveProgramming/blob/master/Olympiad/COCI/official/2009/contest6_solutions&amp;sa=D&amp;ust=1605639802091000&amp;usg=AFQjCNEOh2tAZ7pObZ6qrG7KEGgMeFuFvQ" TargetMode="External"/><Relationship Id="rId2955" Type="http://schemas.openxmlformats.org/officeDocument/2006/relationships/hyperlink" Target="https://www.google.com/url?q=https://dunjudge.me/analysis/problems/1187/&amp;sa=D&amp;ust=1605639802312000&amp;usg=AFQjCNEcgfyYLmIal72LpsRyaT67SG9JJA" TargetMode="External"/><Relationship Id="rId927" Type="http://schemas.openxmlformats.org/officeDocument/2006/relationships/hyperlink" Target="https://www.google.com/url?q=https://oj.uz/problem/view/BOI13_brunhilda&amp;sa=D&amp;ust=1605639799902000&amp;usg=AFQjCNH_dxYoOLXFVWZ4IMQlas46AgS31w" TargetMode="External"/><Relationship Id="rId1557" Type="http://schemas.openxmlformats.org/officeDocument/2006/relationships/hyperlink" Target="https://www.google.com/url?q=https://oj.uz/problem/view/COCI16_meksikanac&amp;sa=D&amp;ust=1605639800402000&amp;usg=AFQjCNHn3iRiy2ECKls7Y2DB2LmVJo1n2g" TargetMode="External"/><Relationship Id="rId1764" Type="http://schemas.openxmlformats.org/officeDocument/2006/relationships/hyperlink" Target="https://www.google.com/url?q=https://github.com/mostafa-saad/MyCompetitiveProgramming/blob/master/Olympiad/Baltic/official/boi2005_solutions&amp;sa=D&amp;ust=1605639800572000&amp;usg=AFQjCNFGd4jGmznpZoW2wiN9PCbs4NRE6Q" TargetMode="External"/><Relationship Id="rId1971" Type="http://schemas.openxmlformats.org/officeDocument/2006/relationships/hyperlink" Target="https://www.google.com/url?q=https://github.com/mostafa-saad/MyCompetitiveProgramming/blob/master/Olympiad/infoarena/infoarena_ratway.txt&amp;sa=D&amp;ust=1605639800713000&amp;usg=AFQjCNGrgbjQnevu2qY1N-qXnuPp5WxSkg" TargetMode="External"/><Relationship Id="rId2608" Type="http://schemas.openxmlformats.org/officeDocument/2006/relationships/hyperlink" Target="https://www.google.com/url?q=https://oj.uz/problem/view/IZhO17_road&amp;sa=D&amp;ust=1605639801972000&amp;usg=AFQjCNFQhXm90DjjlM2BXW2KeQ8DB9Pe6A" TargetMode="External"/><Relationship Id="rId2815" Type="http://schemas.openxmlformats.org/officeDocument/2006/relationships/hyperlink" Target="https://www.google.com/url?q=https://github.com/mostafa-saad/MyCompetitiveProgramming/blob/master/Olympiad/COCI/official/2015/contest5_solutions&amp;sa=D&amp;ust=1605639802174000&amp;usg=AFQjCNEWPfss6LKifBiw27kmizxNI6TD-g" TargetMode="External"/><Relationship Id="rId56" Type="http://schemas.openxmlformats.org/officeDocument/2006/relationships/hyperlink" Target="https://www.google.com/url?q=https://szkopul.edu.pl/problemset/problem/ttMOxHYN1BPMG8oXYiIzIXB9/site/&amp;sa=D&amp;ust=1605639798684000&amp;usg=AFQjCNEEttdZE790DhyiEw0gta-hi8cfLg" TargetMode="External"/><Relationship Id="rId1417" Type="http://schemas.openxmlformats.org/officeDocument/2006/relationships/hyperlink" Target="https://www.google.com/url?q=https://oj.uz/submission/85415&amp;sa=D&amp;ust=1605639800301000&amp;usg=AFQjCNFlrntWv-5Bk06ITzY5PyjwXYlU3A" TargetMode="External"/><Relationship Id="rId1624" Type="http://schemas.openxmlformats.org/officeDocument/2006/relationships/hyperlink" Target="https://www.google.com/url?q=https://szkopul.edu.pl/problemset/problem/e9ycK_efBDBt4aPs-QeqYpwR/site/&amp;sa=D&amp;ust=1605639800468000&amp;usg=AFQjCNEMyPTe8AlgzWA_VnqOV0pxlMoJ5g" TargetMode="External"/><Relationship Id="rId1831" Type="http://schemas.openxmlformats.org/officeDocument/2006/relationships/hyperlink" Target="https://www.google.com/url?q=https://github.com/mostafa-saad/MyCompetitiveProgramming/blob/master/Olympiad/CEOI/COCI-06-Kamen.txt&amp;sa=D&amp;ust=1605639800602000&amp;usg=AFQjCNFE6wpyLF2XmT4Wcrk9YEOk6h3abQ" TargetMode="External"/><Relationship Id="rId2398" Type="http://schemas.openxmlformats.org/officeDocument/2006/relationships/hyperlink" Target="https://www.google.com/url?q=https://oj.uz/problem/view/COCI16_tarifa&amp;sa=D&amp;ust=1605639801706000&amp;usg=AFQjCNEf25_KhPht9gM6hBE4NTftbaF88A" TargetMode="External"/><Relationship Id="rId577" Type="http://schemas.openxmlformats.org/officeDocument/2006/relationships/hyperlink" Target="https://www.google.com/url?q=https://github.com/mostafa-saad/MyCompetitiveProgramming/blob/master/Olympiad/APIO/APIO-08-Beads.txt&amp;sa=D&amp;ust=1605639799118000&amp;usg=AFQjCNHJ2_Jt5jEvo7UPt8Wbu1Dn88sbfQ" TargetMode="External"/><Relationship Id="rId2258" Type="http://schemas.openxmlformats.org/officeDocument/2006/relationships/hyperlink" Target="https://www.google.com/url?q=https://dmoj.ca/problem/bf3hard&amp;sa=D&amp;ust=1605639800911000&amp;usg=AFQjCNFySlEpVtE9xpC7-XdI4A6dWa1Mbw" TargetMode="External"/><Relationship Id="rId784" Type="http://schemas.openxmlformats.org/officeDocument/2006/relationships/hyperlink" Target="https://www.google.com/url?q=http://usaco.org/index.php?page%3Dviewproblem2%26cpid%3D840&amp;sa=D&amp;ust=1605639799767000&amp;usg=AFQjCNEcaXt5MjYuTyx7uaXboD_OBl3gAQ" TargetMode="External"/><Relationship Id="rId991" Type="http://schemas.openxmlformats.org/officeDocument/2006/relationships/hyperlink" Target="https://www.google.com/url?q=https://dmoj.ca/problem/coci08c4p4&amp;sa=D&amp;ust=1605639799979000&amp;usg=AFQjCNE20DVj4Wz77bf3IrE5DHFxlC3xHA" TargetMode="External"/><Relationship Id="rId1067" Type="http://schemas.openxmlformats.org/officeDocument/2006/relationships/hyperlink" Target="https://www.google.com/url?q=https://dmoj.ca/problem/ccc16s4&amp;sa=D&amp;ust=1605639800008000&amp;usg=AFQjCNEvoqsLJXkWAPXTAJzT-_yBY1Ydrg" TargetMode="External"/><Relationship Id="rId2465" Type="http://schemas.openxmlformats.org/officeDocument/2006/relationships/hyperlink" Target="https://www.google.com/url?q=https://www.infoarena.ro/problema/cifra4&amp;sa=D&amp;ust=1605639801796000&amp;usg=AFQjCNFjFE0LtHUySQRwVL2B8ygc-ENW7g" TargetMode="External"/><Relationship Id="rId2672" Type="http://schemas.openxmlformats.org/officeDocument/2006/relationships/hyperlink" Target="https://www.google.com/url?q=https://szkopul.edu.pl/problemset/problem/9JvSAnyf5d1FlPAEXEdUAtCz/site/&amp;sa=D&amp;ust=1605639801996000&amp;usg=AFQjCNEm2xuJ-z8c_547xAiSBE8XreGKbg" TargetMode="External"/><Relationship Id="rId437" Type="http://schemas.openxmlformats.org/officeDocument/2006/relationships/hyperlink" Target="https://www.google.com/url?q=https://dmoj.ca/problem/mcco17p3&amp;sa=D&amp;ust=1605639799001000&amp;usg=AFQjCNG7rfX_aN_l_YAQZLbedwiHWOegZg" TargetMode="External"/><Relationship Id="rId644" Type="http://schemas.openxmlformats.org/officeDocument/2006/relationships/hyperlink" Target="https://www.google.com/url?q=https://oj.uz/problem/view/JOI19_jumps&amp;sa=D&amp;ust=1605639799641000&amp;usg=AFQjCNESwWkxaL0eal-QUGUj47ahgUy1vw" TargetMode="External"/><Relationship Id="rId851" Type="http://schemas.openxmlformats.org/officeDocument/2006/relationships/hyperlink" Target="https://www.google.com/url?q=https://github.com/mostafa-saad/MyCompetitiveProgramming/blob/master/Olympiad/COI/COI-10-kamion.txt&amp;sa=D&amp;ust=1605639799865000&amp;usg=AFQjCNHGscp5AxTWxhf7ZQjbSAes_ynN-Q" TargetMode="External"/><Relationship Id="rId1274" Type="http://schemas.openxmlformats.org/officeDocument/2006/relationships/hyperlink" Target="https://www.google.com/url?q=https://oj.uz/problem/view/BOI18_popa&amp;sa=D&amp;ust=1605639800193000&amp;usg=AFQjCNFADqT3L4Mex6B6t1LdDC-L_TgURA" TargetMode="External"/><Relationship Id="rId1481" Type="http://schemas.openxmlformats.org/officeDocument/2006/relationships/hyperlink" Target="https://www.google.com/url?q=https://github.com/mostafa-saad/MyCompetitiveProgramming/blob/master/Olympiad/COCI/official/2017/contest7_solutions&amp;sa=D&amp;ust=1605639800373000&amp;usg=AFQjCNEI6782Otzy_fNc71JyP3DpfklsSw" TargetMode="External"/><Relationship Id="rId2118" Type="http://schemas.openxmlformats.org/officeDocument/2006/relationships/hyperlink" Target="https://www.google.com/url?q=https://github.com/mostafa-saad/MyCompetitiveProgramming/blob/master/Olympiad/POI/official/find_editorial_sols_guidelines.txt&amp;sa=D&amp;ust=1605639800816000&amp;usg=AFQjCNGZRgngnGIofHeOhm1xmAUmUYKt0w" TargetMode="External"/><Relationship Id="rId2325" Type="http://schemas.openxmlformats.org/officeDocument/2006/relationships/hyperlink" Target="https://www.google.com/url?q=https://www.acmicpc.net/problem/9282&amp;sa=D&amp;ust=1605639801606000&amp;usg=AFQjCNEiilLQl5l8tpQz_TEuYE0QfmLjPw" TargetMode="External"/><Relationship Id="rId2532" Type="http://schemas.openxmlformats.org/officeDocument/2006/relationships/hyperlink" Target="https://www.google.com/url?q=https://github.com/mostafa-saad/MyCompetitiveProgramming/blob/master/Olympiad/Balkan/Balkan-12-balls.txt&amp;sa=D&amp;ust=1605639801872000&amp;usg=AFQjCNGjU9z2JwC4jNWXGGINekD4vJfz3w" TargetMode="External"/><Relationship Id="rId504" Type="http://schemas.openxmlformats.org/officeDocument/2006/relationships/hyperlink" Target="https://www.google.com/url?q=https://github.com/SpeedOfMagic/CompetitiveProgramming/blob/master/USACO/USACO%252014dec-marathon.cpp&amp;sa=D&amp;ust=1605639799088000&amp;usg=AFQjCNG5IHcymjk0LqTiFz46_WcnMhsDwQ" TargetMode="External"/><Relationship Id="rId711" Type="http://schemas.openxmlformats.org/officeDocument/2006/relationships/hyperlink" Target="https://www.google.com/url?q=https://github.com/stefdasca/CompetitiveProgramming/blob/master/CEOI/CEOI%252014-cake.cpp&amp;sa=D&amp;ust=1605639799677000&amp;usg=AFQjCNGjTPScb-_GOHH4tSxu2gD49nWt9Q" TargetMode="External"/><Relationship Id="rId1134" Type="http://schemas.openxmlformats.org/officeDocument/2006/relationships/hyperlink" Target="https://www.google.com/url?q=https://github.com/CPSolutionsSzawinis/CompetitiveProgramming/blob/master/Olympiad/COCI/COCI19-slicice.cpp&amp;sa=D&amp;ust=1605639800085000&amp;usg=AFQjCNG6WUg-1J9Xmy9UTwDmODeXn--CpQ" TargetMode="External"/><Relationship Id="rId1341" Type="http://schemas.openxmlformats.org/officeDocument/2006/relationships/hyperlink" Target="https://www.google.com/url?q=https://oj.uz/problem/view/IOI19_shoes&amp;sa=D&amp;ust=1605639800221000&amp;usg=AFQjCNGvAUH34cQn65Cz07-e1uDEwu9gDw" TargetMode="External"/><Relationship Id="rId1201" Type="http://schemas.openxmlformats.org/officeDocument/2006/relationships/hyperlink" Target="https://www.google.com/url?q=https://szkopul.edu.pl/problemset/problem/uE3dNVOWuXj4SSOrCrNoFSgF/site/&amp;sa=D&amp;ust=1605639800166000&amp;usg=AFQjCNHZiX_HfZLp9BqV_q8z-QQ7_wbVMw" TargetMode="External"/><Relationship Id="rId294" Type="http://schemas.openxmlformats.org/officeDocument/2006/relationships/hyperlink" Target="https://www.google.com/url?q=https://github.com/mostafa-saad/MyCompetitiveProgramming/tree/master/Olympiad/COCI/official/2007/contest6_solutions&amp;sa=D&amp;ust=1605639798880000&amp;usg=AFQjCNHkNm9RnNnZycSaSmnxgKISRcB8zQ" TargetMode="External"/><Relationship Id="rId2182" Type="http://schemas.openxmlformats.org/officeDocument/2006/relationships/hyperlink" Target="https://www.google.com/url?q=https://dunjudge.me/analysis/problems/27/&amp;sa=D&amp;ust=1605639800880000&amp;usg=AFQjCNHTDLLm3XuYQ5WA1kyzB9nq4-tx0A" TargetMode="External"/><Relationship Id="rId154" Type="http://schemas.openxmlformats.org/officeDocument/2006/relationships/hyperlink" Target="https://www.google.com/url?q=https://github.com/stefdasca/CompetitiveProgramming/blob/master/Infoarena/bitcost.cpp&amp;sa=D&amp;ust=1605639798773000&amp;usg=AFQjCNFWzC_vQlQdt4SbaTicQYtyddz6pg" TargetMode="External"/><Relationship Id="rId361" Type="http://schemas.openxmlformats.org/officeDocument/2006/relationships/hyperlink" Target="https://www.google.com/url?q=https://github.com/mostafa-saad/MyCompetitiveProgramming/tree/master/Olympiad/COCI/official/2007/contest1_solutions&amp;sa=D&amp;ust=1605639798908000&amp;usg=AFQjCNH7444JWKiiWtlhWblpbeQP6Hm-5A" TargetMode="External"/><Relationship Id="rId2042" Type="http://schemas.openxmlformats.org/officeDocument/2006/relationships/hyperlink" Target="https://www.google.com/url?q=https://oj.uz/problem/view/JOI19_virus&amp;sa=D&amp;ust=1605639800785000&amp;usg=AFQjCNHfFvy6GSsJsPGK50x3U5q0O4grzw" TargetMode="External"/><Relationship Id="rId2999" Type="http://schemas.openxmlformats.org/officeDocument/2006/relationships/hyperlink" Target="https://www.google.com/url?q=https://szkopul.edu.pl/problemset/problem/lbADmW7d353d0F0iw4kXTjsl/site/&amp;sa=D&amp;ust=1605639802389000&amp;usg=AFQjCNEDEafexF-4fXF6FMhuHBv-HQz2dQ" TargetMode="External"/><Relationship Id="rId221" Type="http://schemas.openxmlformats.org/officeDocument/2006/relationships/hyperlink" Target="https://www.google.com/url?q=https://dmoj.ca/problem/coci15c4p2&amp;sa=D&amp;ust=1605639798798000&amp;usg=AFQjCNFLryC8dMdDnCXUGBf75Xbi1R_qOQ" TargetMode="External"/><Relationship Id="rId2859" Type="http://schemas.openxmlformats.org/officeDocument/2006/relationships/hyperlink" Target="https://www.google.com/url?q=https://oj.uz/problem/view/innopolis2018_final_B&amp;sa=D&amp;ust=1605639802201000&amp;usg=AFQjCNGOC1hWmuCnLMWSurcIneQ1f2H55g" TargetMode="External"/><Relationship Id="rId1668" Type="http://schemas.openxmlformats.org/officeDocument/2006/relationships/hyperlink" Target="https://www.google.com/url?q=https://github.com/mostafa-saad/MyCompetitiveProgramming/blob/master/Olympiad/POI/POI-04-East_West.txt&amp;sa=D&amp;ust=1605639800485000&amp;usg=AFQjCNEqaUidWbvQV0jIrr7slVvbTNZ2BA" TargetMode="External"/><Relationship Id="rId1875" Type="http://schemas.openxmlformats.org/officeDocument/2006/relationships/hyperlink" Target="https://www.google.com/url?q=https://joi2014ho.contest.atcoder.jp/tasks/joi2014ho4&amp;sa=D&amp;ust=1605639800677000&amp;usg=AFQjCNHaezJ4Im_0HPJwWH6yVKHFmuxeRw" TargetMode="External"/><Relationship Id="rId2719" Type="http://schemas.openxmlformats.org/officeDocument/2006/relationships/hyperlink" Target="https://www.google.com/url?q=https://dmoj.ca/problem/coci06c6p1&amp;sa=D&amp;ust=1605639802077000&amp;usg=AFQjCNGOrg9sIQ4Or-UgAfBeg31u5BioMA" TargetMode="External"/><Relationship Id="rId1528" Type="http://schemas.openxmlformats.org/officeDocument/2006/relationships/hyperlink" Target="https://www.google.com/url?q=https://oj.uz/problem/view/COCI17_unija&amp;sa=D&amp;ust=1605639800391000&amp;usg=AFQjCNEDnH6vp4gz0Ns_wZADapjBaxe0iw" TargetMode="External"/><Relationship Id="rId2926" Type="http://schemas.openxmlformats.org/officeDocument/2006/relationships/hyperlink" Target="https://www.google.com/url?q=https://joisc2016.contest.atcoder.jp/tasks/joisc2016_i&amp;sa=D&amp;ust=1605639802296000&amp;usg=AFQjCNEpExxJsycmg7sZL_XyOUlUg3byjQ" TargetMode="External"/><Relationship Id="rId1735" Type="http://schemas.openxmlformats.org/officeDocument/2006/relationships/hyperlink" Target="https://www.google.com/url?q=https://szkopul.edu.pl/problemset/problem/KC7c6nYfAXCbCGszqhIeOGxP/site/&amp;sa=D&amp;ust=1605639800518000&amp;usg=AFQjCNEQOkTbztbCWieLRSWjPpTyrxVsDQ" TargetMode="External"/><Relationship Id="rId1942" Type="http://schemas.openxmlformats.org/officeDocument/2006/relationships/hyperlink" Target="https://www.google.com/url?q=https://dunjudge.me/analysis/problems/732/&amp;sa=D&amp;ust=1605639800704000&amp;usg=AFQjCNGQiA66e0n5pkG3syfiougnUm1aEA" TargetMode="External"/><Relationship Id="rId27" Type="http://schemas.openxmlformats.org/officeDocument/2006/relationships/hyperlink" Target="https://www.google.com/url?q=https://github.com/mostafa-saad/MyCompetitiveProgramming/blob/master/Olympiad/JOI/JOISC-18-airline.txt&amp;sa=D&amp;ust=1605639798674000&amp;usg=AFQjCNGH8c3yAMSYcDF6tc_5Cc_AfpblGg" TargetMode="External"/><Relationship Id="rId1802" Type="http://schemas.openxmlformats.org/officeDocument/2006/relationships/hyperlink" Target="https://www.google.com/url?q=https://oj.uz/problem/view/BOI15_fil&amp;sa=D&amp;ust=1605639800592000&amp;usg=AFQjCNFxs7bINcXLc9QXwBfxgozHee6e_Q" TargetMode="External"/><Relationship Id="rId688" Type="http://schemas.openxmlformats.org/officeDocument/2006/relationships/hyperlink" Target="https://www.google.com/url?q=https://oj.uz/problem/view/IOI14_wall&amp;sa=D&amp;ust=1605639799668000&amp;usg=AFQjCNFCop6K1BPsBteLBrAP0dLRamaIzA" TargetMode="External"/><Relationship Id="rId895" Type="http://schemas.openxmlformats.org/officeDocument/2006/relationships/hyperlink" Target="https://www.google.com/url?q=https://cses.fi/98/list/&amp;sa=D&amp;ust=1605639799889000&amp;usg=AFQjCNHKyC9QF06cxavbLAN7-btAYd9S3A" TargetMode="External"/><Relationship Id="rId2369" Type="http://schemas.openxmlformats.org/officeDocument/2006/relationships/hyperlink" Target="https://www.google.com/url?q=https://joisc2013-day1.contest.atcoder.jp/tasks/joisc2013_joi_poster&amp;sa=D&amp;ust=1605639801687000&amp;usg=AFQjCNGWkwsIl0ma23fd5U6CpRbyQNsdwg" TargetMode="External"/><Relationship Id="rId2576" Type="http://schemas.openxmlformats.org/officeDocument/2006/relationships/hyperlink" Target="https://www.google.com/url?q=https://www.infoarena.ro/problema/arbore&amp;sa=D&amp;ust=1605639801888000&amp;usg=AFQjCNEY_buI2biFJ9xcwa4j6yIC5U_D5A" TargetMode="External"/><Relationship Id="rId2783" Type="http://schemas.openxmlformats.org/officeDocument/2006/relationships/hyperlink" Target="https://www.google.com/url?q=https://wcipeg.com/problem/coci093p1&amp;sa=D&amp;ust=1605639802106000&amp;usg=AFQjCNGnR9EdT6ZjuY7fyecKkDxQk8jgOg" TargetMode="External"/><Relationship Id="rId2990" Type="http://schemas.openxmlformats.org/officeDocument/2006/relationships/hyperlink" Target="https://www.google.com/url?q=https://szkopul.edu.pl/problemset/problem/eLy9p2a1VStZ4y9y-LdeB-8f/site/&amp;sa=D&amp;ust=1605639802385000&amp;usg=AFQjCNF6p_UuIhJK3X3v2OZM3IAS8ySwUg" TargetMode="External"/><Relationship Id="rId548" Type="http://schemas.openxmlformats.org/officeDocument/2006/relationships/hyperlink" Target="https://www.google.com/url?q=https://oj.uz/problem/view/IOI10_hottercolder&amp;sa=D&amp;ust=1605639799106000&amp;usg=AFQjCNGjwINGzEFGV-2rSZT0hhQw2oC0DA" TargetMode="External"/><Relationship Id="rId755" Type="http://schemas.openxmlformats.org/officeDocument/2006/relationships/hyperlink" Target="https://www.google.com/url?q=https://github.com/mostafa-saad/MyCompetitiveProgramming/blob/master/Olympiad/COCI/COCI-17-deda.txt&amp;sa=D&amp;ust=1605639799711000&amp;usg=AFQjCNEkKgOhUf1ACLlfn5xnl0VTjxoqog" TargetMode="External"/><Relationship Id="rId962" Type="http://schemas.openxmlformats.org/officeDocument/2006/relationships/hyperlink" Target="https://www.google.com/url?q=https://oj.uz/problem/view/IOI15_boxes&amp;sa=D&amp;ust=1605639799964000&amp;usg=AFQjCNEouaVAx5CUecz-5LEUjM0dW29fXw" TargetMode="External"/><Relationship Id="rId1178" Type="http://schemas.openxmlformats.org/officeDocument/2006/relationships/hyperlink" Target="https://www.google.com/url?q=https://csacademy.com/contest/ceoi-2018-day-1/task/cloud-computing/&amp;sa=D&amp;ust=1605639800111000&amp;usg=AFQjCNE-kKur7CM1INoDtsVexbZJ_Gf9wQ" TargetMode="External"/><Relationship Id="rId1385" Type="http://schemas.openxmlformats.org/officeDocument/2006/relationships/hyperlink" Target="https://www.google.com/url?q=https://github.com/stefdasca/CompetitiveProgramming/blob/master/Infoarena/metrouri.cpp&amp;sa=D&amp;ust=1605639800288000&amp;usg=AFQjCNEo3fnY6sXyQqU0wZp7iE4cdGRiBg" TargetMode="External"/><Relationship Id="rId1592" Type="http://schemas.openxmlformats.org/officeDocument/2006/relationships/hyperlink" Target="https://www.google.com/url?q=https://github.com/mostafa-saad/MyCompetitiveProgramming/blob/master/Olympiad/COCI/COCI-14-Kamioni.txt&amp;sa=D&amp;ust=1605639800416000&amp;usg=AFQjCNHISeN6MiY5hHzMikqU9h_I9LJt4Q" TargetMode="External"/><Relationship Id="rId2229" Type="http://schemas.openxmlformats.org/officeDocument/2006/relationships/hyperlink" Target="https://www.google.com/url?q=https://github.com/mostafa-saad/MyCompetitiveProgramming/blob/master/Olympiad/infoarena/infoarena_permsort2.txt&amp;sa=D&amp;ust=1605639800899000&amp;usg=AFQjCNEZz40E_--X8GSbGoJ2VAtnL8lYLQ" TargetMode="External"/><Relationship Id="rId2436" Type="http://schemas.openxmlformats.org/officeDocument/2006/relationships/hyperlink" Target="https://www.google.com/url?q=https://github.com/dolphingarlic/CompetitiveProgramming/blob/master/JOI/JOI%252020-jjooii.cpp&amp;sa=D&amp;ust=1605639801785000&amp;usg=AFQjCNGvKpaQkDdxy3niEkqLPxhZcRCWWg" TargetMode="External"/><Relationship Id="rId2643" Type="http://schemas.openxmlformats.org/officeDocument/2006/relationships/hyperlink" Target="https://www.google.com/url?q=https://github.com/mostafa-saad/MyCompetitiveProgramming/blob/master/Olympiad/IOI/IOI-12-tournament.txt&amp;sa=D&amp;ust=1605639801985000&amp;usg=AFQjCNFsdHobvSF-NXeUq_JFv_UeLEa59g" TargetMode="External"/><Relationship Id="rId2850" Type="http://schemas.openxmlformats.org/officeDocument/2006/relationships/hyperlink" Target="https://www.google.com/url?q=https://oj.uz/problem/view/info1cup17_xorsum&amp;sa=D&amp;ust=1605639802197000&amp;usg=AFQjCNHu6UyBzfW9jArnlqXCxPRrhqHm_A" TargetMode="External"/><Relationship Id="rId91" Type="http://schemas.openxmlformats.org/officeDocument/2006/relationships/hyperlink" Target="https://www.google.com/url?q=https://oj.uz/problem/view/IZhO19_lyuboyn&amp;sa=D&amp;ust=1605639798711000&amp;usg=AFQjCNFJsobk_ZBY9Ivb1YNGyScepJtYhA" TargetMode="External"/><Relationship Id="rId408" Type="http://schemas.openxmlformats.org/officeDocument/2006/relationships/hyperlink" Target="https://www.google.com/url?q=https://github.com/mostafa-saad/MyCompetitiveProgramming/tree/master/Olympiad/COCI/official/2008/contest4_solutions&amp;sa=D&amp;ust=1605639798988000&amp;usg=AFQjCNFSKps1K2WH_5MkDil5CZVPwIQOGQ" TargetMode="External"/><Relationship Id="rId615" Type="http://schemas.openxmlformats.org/officeDocument/2006/relationships/hyperlink" Target="https://www.google.com/url?q=https://oj.uz/problem/view/IOI19_cycle&amp;sa=D&amp;ust=1605639799168000&amp;usg=AFQjCNGdzx1dybzwjhkwv8E2d1ypkZK53A" TargetMode="External"/><Relationship Id="rId822" Type="http://schemas.openxmlformats.org/officeDocument/2006/relationships/hyperlink" Target="https://www.google.com/url?q=https://github.com/mostafa-saad/MyCompetitiveProgramming/blob/master/Olympiad/Baltic/official/boi2007_solutions&amp;sa=D&amp;ust=1605639799793000&amp;usg=AFQjCNHS5oKgb43hB_-oCR2gDvtCjhDNRw" TargetMode="External"/><Relationship Id="rId1038" Type="http://schemas.openxmlformats.org/officeDocument/2006/relationships/hyperlink" Target="https://www.google.com/url?q=https://www.infoarena.ro/problema/zip&amp;sa=D&amp;ust=1605639799996000&amp;usg=AFQjCNHp183YYW_GoxOZmCFScHd0v0_DqA" TargetMode="External"/><Relationship Id="rId1245" Type="http://schemas.openxmlformats.org/officeDocument/2006/relationships/hyperlink" Target="https://www.google.com/url?q=http://www.usaco.org/index.php?page%3Dviewproblem2%26cpid%3D972&amp;sa=D&amp;ust=1605639800183000&amp;usg=AFQjCNHpli7WjvoBpgdB5DzlW3dI-1c7Nw" TargetMode="External"/><Relationship Id="rId1452" Type="http://schemas.openxmlformats.org/officeDocument/2006/relationships/hyperlink" Target="https://www.google.com/url?q=https://szkopul.edu.pl/problemset/problem/M5CruI5eCu8elnNFHuiXBrvV/site/&amp;sa=D&amp;ust=1605639800318000&amp;usg=AFQjCNE4KpmdnUijri7f-b3QlBRazXpPpw" TargetMode="External"/><Relationship Id="rId2503" Type="http://schemas.openxmlformats.org/officeDocument/2006/relationships/hyperlink" Target="https://www.google.com/url?q=https://github.com/mostafa-saad/MyCompetitiveProgramming/blob/master/Olympiad/Misc/DMOPC-18-BobEnglishClass.txt&amp;sa=D&amp;ust=1605639801810000&amp;usg=AFQjCNEKQZ6K8emuET1aqE3Byw7Ht-aluw" TargetMode="External"/><Relationship Id="rId1105" Type="http://schemas.openxmlformats.org/officeDocument/2006/relationships/hyperlink" Target="https://www.google.com/url?q=https://szkopul.edu.pl/problemset/problem/xmyBMI5AsEiW30_RyePNSXiG/site/&amp;sa=D&amp;ust=1605639800073000&amp;usg=AFQjCNHodmo3PbtaxaSfxpJYI1uNxk0Zdg" TargetMode="External"/><Relationship Id="rId1312" Type="http://schemas.openxmlformats.org/officeDocument/2006/relationships/hyperlink" Target="https://www.google.com/url?q=https://github.com/mostafa-saad/MyCompetitiveProgramming/blob/master/Olympiad/IOI/official/2009&amp;sa=D&amp;ust=1605639800207000&amp;usg=AFQjCNHFEJ59Bx9uI0QQC8s6p86oKdAgsQ" TargetMode="External"/><Relationship Id="rId2710" Type="http://schemas.openxmlformats.org/officeDocument/2006/relationships/hyperlink" Target="https://www.google.com/url?q=https://github.com/mostafa-saad/MyCompetitiveProgramming/tree/master/Olympiad/COCI/official/2007/regional_solutions&amp;sa=D&amp;ust=1605639802075000&amp;usg=AFQjCNHiwUh7VVnE8S035c_nVQVkp_eWfA" TargetMode="External"/><Relationship Id="rId198" Type="http://schemas.openxmlformats.org/officeDocument/2006/relationships/hyperlink" Target="https://www.google.com/url?q=https://dmoj.ca/problem/coci13c1p5&amp;sa=D&amp;ust=1605639798788000&amp;usg=AFQjCNFAsL9qFiUSmTKwp1Rzih_kLC5ygA" TargetMode="External"/><Relationship Id="rId2086" Type="http://schemas.openxmlformats.org/officeDocument/2006/relationships/hyperlink" Target="https://www.google.com/url?q=https://csacademy.com/contest/ioi-2016-training-round-3/task/tree-nodes-destruction/&amp;sa=D&amp;ust=1605639800804000&amp;usg=AFQjCNHVr07MI15ElAYskHvFUHcO3-FfbQ" TargetMode="External"/><Relationship Id="rId2293" Type="http://schemas.openxmlformats.org/officeDocument/2006/relationships/hyperlink" Target="https://www.google.com/url?q=https://github.com/mostafa-saad/MyCompetitiveProgramming/blob/master/Olympiad/POI/POI-05-Template.txt&amp;sa=D&amp;ust=1605639801575000&amp;usg=AFQjCNF5mYNz73unurg8wbrY4nY0xwz7nA" TargetMode="External"/><Relationship Id="rId265" Type="http://schemas.openxmlformats.org/officeDocument/2006/relationships/hyperlink" Target="https://www.google.com/url?q=https://dunjudge.me/analysis/problems/108/&amp;sa=D&amp;ust=1605639798869000&amp;usg=AFQjCNFm1sTXwyl7djL7HZYMIOk_YPhLEA" TargetMode="External"/><Relationship Id="rId472" Type="http://schemas.openxmlformats.org/officeDocument/2006/relationships/hyperlink" Target="https://www.google.com/url?q=https://oj.uz/problem/view/IOI13_robots&amp;sa=D&amp;ust=1605639799015000&amp;usg=AFQjCNGxFKH75g4I1zxBJrIgKI2eh2RAlg" TargetMode="External"/><Relationship Id="rId2153" Type="http://schemas.openxmlformats.org/officeDocument/2006/relationships/hyperlink" Target="https://www.google.com/url?q=https://www.acmicpc.net/problem/2284&amp;sa=D&amp;ust=1605639800869000&amp;usg=AFQjCNEAIzC7Ve8elfGllBGEvMC2MuZQuw" TargetMode="External"/><Relationship Id="rId2360" Type="http://schemas.openxmlformats.org/officeDocument/2006/relationships/hyperlink" Target="https://www.google.com/url?q=https://github.com/mostafa-saad/MyCompetitiveProgramming/blob/master/Olympiad/NOI/official&amp;sa=D&amp;ust=1605639801679000&amp;usg=AFQjCNGTP_AXQr59puOgPKA4XYOhbmgvFg" TargetMode="External"/><Relationship Id="rId125" Type="http://schemas.openxmlformats.org/officeDocument/2006/relationships/hyperlink" Target="https://www.google.com/url?q=https://github.com/mostafa-saad/MyCompetitiveProgramming/blob/master/Olympiad/IOI/IOI-18-Combo.txt&amp;sa=D&amp;ust=1605639798724000&amp;usg=AFQjCNGEp0QOYHF8gAdW4t0K0vqNs1XzJg" TargetMode="External"/><Relationship Id="rId332" Type="http://schemas.openxmlformats.org/officeDocument/2006/relationships/hyperlink" Target="https://www.google.com/url?q=https://oj.uz/problem/view/COCI18_spirale&amp;sa=D&amp;ust=1605639798897000&amp;usg=AFQjCNEz2rmajyEgWGXbylwiBuXg2YOC1g" TargetMode="External"/><Relationship Id="rId2013" Type="http://schemas.openxmlformats.org/officeDocument/2006/relationships/hyperlink" Target="https://www.google.com/url?q=https://dmoj.ca/problem/ccoprep4p3&amp;sa=D&amp;ust=1605639800773000&amp;usg=AFQjCNHRFjmCcbzfNhmMTUB0pWNVv2j-ng" TargetMode="External"/><Relationship Id="rId2220" Type="http://schemas.openxmlformats.org/officeDocument/2006/relationships/hyperlink" Target="https://www.google.com/url?q=https://github.com/stefdasca/CompetitiveProgramming/blob/master/USACO/USACO%252018jan-sprinklers-plat.cpp&amp;sa=D&amp;ust=1605639800896000&amp;usg=AFQjCNGyEjeGX8PrBu3DrGuRD38DhAnfRg" TargetMode="External"/><Relationship Id="rId1779" Type="http://schemas.openxmlformats.org/officeDocument/2006/relationships/hyperlink" Target="https://www.google.com/url?q=https://codeforces.com/group/swEqtABRxe/contest/243430/problem/B&amp;sa=D&amp;ust=1605639800578000&amp;usg=AFQjCNEzFN-wu5dEIKUFNOqoTVp-kOISGg" TargetMode="External"/><Relationship Id="rId1986" Type="http://schemas.openxmlformats.org/officeDocument/2006/relationships/hyperlink" Target="https://www.google.com/url?q=https://cses.fi/190/list/&amp;sa=D&amp;ust=1605639800720000&amp;usg=AFQjCNEgJF7sdLNr35lrhiQYoUXAgLY7Bw" TargetMode="External"/><Relationship Id="rId1639" Type="http://schemas.openxmlformats.org/officeDocument/2006/relationships/hyperlink" Target="https://www.google.com/url?q=https://github.com/mostafa-saad/MyCompetitiveProgramming/blob/master/Olympiad/COCI/official/2010/contest6_solutions&amp;sa=D&amp;ust=1605639800473000&amp;usg=AFQjCNGQ6ltdwbdGus0xatccttoxncx7qA" TargetMode="External"/><Relationship Id="rId1846" Type="http://schemas.openxmlformats.org/officeDocument/2006/relationships/hyperlink" Target="https://www.google.com/url?q=https://szkopul.edu.pl/problemset/problem/sKmyIHBMNi9EV3WO6GQ4xoFt/site/&amp;sa=D&amp;ust=1605639800607000&amp;usg=AFQjCNFAalFDzrqdfNa5vtrrIwMqG50sTA" TargetMode="External"/><Relationship Id="rId1706" Type="http://schemas.openxmlformats.org/officeDocument/2006/relationships/hyperlink" Target="https://www.google.com/url?q=https://github.com/mostafa-saad/MyCompetitiveProgramming/blob/master/Olympiad/COCI/COCI-06-Jogurt.txt&amp;sa=D&amp;ust=1605639800501000&amp;usg=AFQjCNH333Yo2F08Q6ipDmBz4VWJ05cVMA" TargetMode="External"/><Relationship Id="rId1913" Type="http://schemas.openxmlformats.org/officeDocument/2006/relationships/hyperlink" Target="https://www.google.com/url?q=https://github.com/mostafa-saad/MyCompetitiveProgramming/tree/master/Olympiad/MCO/official/2015&amp;sa=D&amp;ust=1605639800693000&amp;usg=AFQjCNHLV7eMTGG77wFnGyjyrDGeLbc_hQ" TargetMode="External"/><Relationship Id="rId799" Type="http://schemas.openxmlformats.org/officeDocument/2006/relationships/hyperlink" Target="https://www.google.com/url?q=http://usaco.org/index.php?page%3Dviewproblem2%26cpid%3D91&amp;sa=D&amp;ust=1605639799781000&amp;usg=AFQjCNFThIdqbzntP4QxaPiEKsPLNlhveA" TargetMode="External"/><Relationship Id="rId2687" Type="http://schemas.openxmlformats.org/officeDocument/2006/relationships/hyperlink" Target="https://www.google.com/url?q=https://www.hackerrank.com/contests/boi-2016/challenges&amp;sa=D&amp;ust=1605639802006000&amp;usg=AFQjCNEPocJiaNSaJ8DpD1Ekoo69bh_9uQ" TargetMode="External"/><Relationship Id="rId2894" Type="http://schemas.openxmlformats.org/officeDocument/2006/relationships/hyperlink" Target="https://www.google.com/url?q=https://joisc2014.contest.atcoder.jp/tasks/joisc2014_a&amp;sa=D&amp;ust=1605639802274000&amp;usg=AFQjCNHHsdSM_ni8SK_7BUk2vEMb_ux9lw" TargetMode="External"/><Relationship Id="rId659" Type="http://schemas.openxmlformats.org/officeDocument/2006/relationships/hyperlink" Target="https://www.google.com/url?q=https://github.com/mostafa-saad/MyCompetitiveProgramming/blob/master/Olympiad/APIO/APIO-17-rainbow.txt&amp;sa=D&amp;ust=1605639799657000&amp;usg=AFQjCNEKpqwxn4HgqTbfU8RPAti9w8FdiQ" TargetMode="External"/><Relationship Id="rId866" Type="http://schemas.openxmlformats.org/officeDocument/2006/relationships/hyperlink" Target="https://www.google.com/url?q=https://oj.uz/problems/source/313&amp;sa=D&amp;ust=1605639799874000&amp;usg=AFQjCNFHZ1JeWPUGfAKW4hWKRld44qO5CQ" TargetMode="External"/><Relationship Id="rId1289" Type="http://schemas.openxmlformats.org/officeDocument/2006/relationships/hyperlink" Target="https://www.google.com/url?q=https://github.com/mostafa-saad/MyCompetitiveProgramming/blob/master/Olympiad/JOI/JOI-19-Coin.txt&amp;sa=D&amp;ust=1605639800197000&amp;usg=AFQjCNHlmKTmmJ84mtOKd0fwXToNsPtjXQ" TargetMode="External"/><Relationship Id="rId1496" Type="http://schemas.openxmlformats.org/officeDocument/2006/relationships/hyperlink" Target="https://www.google.com/url?q=https://dunjudge.me/analysis/problems/752/&amp;sa=D&amp;ust=1605639800379000&amp;usg=AFQjCNGx4BJrOZC5xrS_KsnqFeg3yGy8Sw" TargetMode="External"/><Relationship Id="rId2547" Type="http://schemas.openxmlformats.org/officeDocument/2006/relationships/hyperlink" Target="https://www.google.com/url?q=https://cses.fi/179/list/&amp;sa=D&amp;ust=1605639801878000&amp;usg=AFQjCNG08-27pZY-x0WzkgrBFfsyX3se7g" TargetMode="External"/><Relationship Id="rId519" Type="http://schemas.openxmlformats.org/officeDocument/2006/relationships/hyperlink" Target="https://www.google.com/url?q=https://github.com/mostafa-saad/MyCompetitiveProgramming/blob/master/Olympiad/NOI/official&amp;sa=D&amp;ust=1605639799094000&amp;usg=AFQjCNEMAzYZe7f_u9kxjOH5sfXZynB_5A" TargetMode="External"/><Relationship Id="rId1149" Type="http://schemas.openxmlformats.org/officeDocument/2006/relationships/hyperlink" Target="https://www.google.com/url?q=https://github.com/mostafa-saad/MyCompetitiveProgramming/blob/master/Olympiad/COCI/official/2015/contest1_solutions&amp;sa=D&amp;ust=1605639800092000&amp;usg=AFQjCNEfMFrLc7N447gTwPnntCPzxN8f3g" TargetMode="External"/><Relationship Id="rId1356" Type="http://schemas.openxmlformats.org/officeDocument/2006/relationships/hyperlink" Target="https://www.google.com/url?q=http://usaco.org/index.php?page%3Dviewproblem2%26cpid%3D577&amp;sa=D&amp;ust=1605639800269000&amp;usg=AFQjCNE6JLxdyK5r2exMqP06DxytSql62g" TargetMode="External"/><Relationship Id="rId2754" Type="http://schemas.openxmlformats.org/officeDocument/2006/relationships/hyperlink" Target="https://www.google.com/url?q=https://github.com/mostafa-saad/MyCompetitiveProgramming/blob/master/Olympiad/COCI/official/2009/contest3_solutions&amp;sa=D&amp;ust=1605639802094000&amp;usg=AFQjCNH3J8KTwff5YD5fp7l0E9iPzAI7SA" TargetMode="External"/><Relationship Id="rId2961" Type="http://schemas.openxmlformats.org/officeDocument/2006/relationships/hyperlink" Target="https://www.google.com/url?q=https://dunjudge.me/analysis/problems/1470/&amp;sa=D&amp;ust=1605639802367000&amp;usg=AFQjCNGuOigDQCZhVotnbSvueEvDZJSBHA" TargetMode="External"/><Relationship Id="rId726" Type="http://schemas.openxmlformats.org/officeDocument/2006/relationships/hyperlink" Target="https://www.google.com/url?q=https://github.com/mostafa-saad/MyCompetitiveProgramming/blob/master/Olympiad/IOI/IOI-05-mountains.txt&amp;sa=D&amp;ust=1605639799697000&amp;usg=AFQjCNG6gcbP6bGej0fldTmomDLnToFESg" TargetMode="External"/><Relationship Id="rId933" Type="http://schemas.openxmlformats.org/officeDocument/2006/relationships/hyperlink" Target="https://www.google.com/url?q=https://www.infoarena.ro/problema/sormin&amp;sa=D&amp;ust=1605639799904000&amp;usg=AFQjCNG6qSN7yoQV_YrtRtNwrNQLT2_3FA" TargetMode="External"/><Relationship Id="rId1009" Type="http://schemas.openxmlformats.org/officeDocument/2006/relationships/hyperlink" Target="https://www.google.com/url?q=https://szkopul.edu.pl/problemset/problem/i3cF1qQtiXwmwOc_5qRB0ufC/site/&amp;sa=D&amp;ust=1605639799986000&amp;usg=AFQjCNGX96_ToDdn4rX0JdnTx_iy3hIuLw" TargetMode="External"/><Relationship Id="rId1563" Type="http://schemas.openxmlformats.org/officeDocument/2006/relationships/hyperlink" Target="https://www.google.com/url?q=https://szkopul.edu.pl/problemset/problem/ETArorvqQVqRUJRa4kx02f8D/site/&amp;sa=D&amp;ust=1605639800404000&amp;usg=AFQjCNHTNBGMIAYPuvUGJkRT4TKAInEECQ" TargetMode="External"/><Relationship Id="rId1770" Type="http://schemas.openxmlformats.org/officeDocument/2006/relationships/hyperlink" Target="https://www.google.com/url?q=https://github.com/mostafa-saad/MyCompetitiveProgramming/blob/master/Olympiad/POI/official/find_editorial_sols_guidelines.txt&amp;sa=D&amp;ust=1605639800575000&amp;usg=AFQjCNE1FTy8E9hlktzapId0YFURd9SHJw" TargetMode="External"/><Relationship Id="rId2407" Type="http://schemas.openxmlformats.org/officeDocument/2006/relationships/hyperlink" Target="https://www.google.com/url?q=https://infoarena.ro/problema/calancea&amp;sa=D&amp;ust=1605639801710000&amp;usg=AFQjCNFBZOjeBxKaRVupPPpj5GE8bbpw4A" TargetMode="External"/><Relationship Id="rId2614" Type="http://schemas.openxmlformats.org/officeDocument/2006/relationships/hyperlink" Target="https://www.google.com/url?q=https://szkopul.edu.pl/problemset/problem/5Z9PRRPP-R90WhmbSY_qHd-1/site/&amp;sa=D&amp;ust=1605639801974000&amp;usg=AFQjCNHSS5r9XgCRb1x59r3iM6e07HY46A" TargetMode="External"/><Relationship Id="rId2821" Type="http://schemas.openxmlformats.org/officeDocument/2006/relationships/hyperlink" Target="https://www.google.com/url?q=https://oj.uz/problem/view/COCI18_nlo&amp;sa=D&amp;ust=1605639802176000&amp;usg=AFQjCNEqhuzujvrmgfWH01KLRWY9xDpS7g" TargetMode="External"/><Relationship Id="rId62" Type="http://schemas.openxmlformats.org/officeDocument/2006/relationships/hyperlink" Target="https://www.google.com/url?q=https://contest.yandex.ru/ioi/contest/560/enter/&amp;sa=D&amp;ust=1605639798688000&amp;usg=AFQjCNG-xcSCX7qu6T6LUZWGUifEqIjdyA" TargetMode="External"/><Relationship Id="rId1216" Type="http://schemas.openxmlformats.org/officeDocument/2006/relationships/hyperlink" Target="https://www.google.com/url?q=https://github.com/mostafa-saad/MyCompetitiveProgramming/blob/master/Olympiad/POI/POI-16-Nim.txt&amp;sa=D&amp;ust=1605639800172000&amp;usg=AFQjCNGVLquqJz_Twk053MDayOJ5u-ndVw" TargetMode="External"/><Relationship Id="rId1423" Type="http://schemas.openxmlformats.org/officeDocument/2006/relationships/hyperlink" Target="https://www.google.com/url?q=https://github.com/mostafa-saad/MyCompetitiveProgramming/blob/master/Olympiad/COCI/official/2014/contest1_solutions&amp;sa=D&amp;ust=1605639800306000&amp;usg=AFQjCNHetsVuYhEy8Z-S37k-OwN5FTNNAQ" TargetMode="External"/><Relationship Id="rId1630" Type="http://schemas.openxmlformats.org/officeDocument/2006/relationships/hyperlink" Target="https://www.google.com/url?q=https://dunjudge.me/analysis/problems/1232/&amp;sa=D&amp;ust=1605639800470000&amp;usg=AFQjCNFR0BnY_jvUePhtBQZOkD_pkWfDlw" TargetMode="External"/><Relationship Id="rId2197" Type="http://schemas.openxmlformats.org/officeDocument/2006/relationships/hyperlink" Target="https://www.google.com/url?q=https://dunjudge.me/analysis/problems/953/&amp;sa=D&amp;ust=1605639800887000&amp;usg=AFQjCNHesUxdKW6lvT74PoB9TvyitoCpcA" TargetMode="External"/><Relationship Id="rId169" Type="http://schemas.openxmlformats.org/officeDocument/2006/relationships/hyperlink" Target="https://www.google.com/url?q=https://github.com/peon-pasado/CompetitiveProgramming/blob/master/szkoput/POI-10-Beads.cpp&amp;sa=D&amp;ust=1605639798778000&amp;usg=AFQjCNGLMrvJV6h1a7HBcWwenRN5zhCcuA" TargetMode="External"/><Relationship Id="rId376" Type="http://schemas.openxmlformats.org/officeDocument/2006/relationships/hyperlink" Target="https://www.google.com/url?q=https://oj.uz/problem/view/COCI15_marko&amp;sa=D&amp;ust=1605639798974000&amp;usg=AFQjCNG3btCqJS9eJQVa_LiBlDeDP0e3dg" TargetMode="External"/><Relationship Id="rId583" Type="http://schemas.openxmlformats.org/officeDocument/2006/relationships/hyperlink" Target="https://www.google.com/url?q=https://github.com/mostafa-saad/MyCompetitiveProgramming/blob/master/Olympiad/POI/POI-15-Trous.txt&amp;sa=D&amp;ust=1605639799120000&amp;usg=AFQjCNHf8Svl2cXDEOPR0xWvHKu_ew81jg" TargetMode="External"/><Relationship Id="rId790" Type="http://schemas.openxmlformats.org/officeDocument/2006/relationships/hyperlink" Target="https://www.google.com/url?q=https://github.com/mostafa-saad/MyCompetitiveProgramming/tree/master/Olympiad/JOI/official/JOI/2020&amp;sa=D&amp;ust=1605639799777000&amp;usg=AFQjCNFO6sdjba6jerzAWUxkUNReyEUNjg" TargetMode="External"/><Relationship Id="rId2057" Type="http://schemas.openxmlformats.org/officeDocument/2006/relationships/hyperlink" Target="https://www.google.com/url?q=https://github.com/mostafa-saad/MyCompetitiveProgramming/blob/master/Olympiad/POI/official/find_editorial_sols_guidelines.txt&amp;sa=D&amp;ust=1605639800792000&amp;usg=AFQjCNHX-wrE8MGJApeWITvni71fi8HdsA" TargetMode="External"/><Relationship Id="rId2264" Type="http://schemas.openxmlformats.org/officeDocument/2006/relationships/hyperlink" Target="https://www.google.com/url?q=https://github.com/mostafa-saad/MyCompetitiveProgramming/blob/master/Olympiad/COCI/official/2017/contest6_solutions&amp;sa=D&amp;ust=1605639801557000&amp;usg=AFQjCNFeaNqSUMeyh7QZ0pG75aSfoE1kCA" TargetMode="External"/><Relationship Id="rId2471" Type="http://schemas.openxmlformats.org/officeDocument/2006/relationships/hyperlink" Target="https://www.google.com/url?q=https://cses.fi/112/list/&amp;sa=D&amp;ust=1605639801798000&amp;usg=AFQjCNHKmw7a8hBPHgL4A5tAGg80zGuckA" TargetMode="External"/><Relationship Id="rId236" Type="http://schemas.openxmlformats.org/officeDocument/2006/relationships/hyperlink" Target="https://www.google.com/url?q=https://github.com/mostafa-saad/MyCompetitiveProgramming/tree/master/Olympiad/COCI/official/2007/regional_solutions&amp;sa=D&amp;ust=1605639798803000&amp;usg=AFQjCNF2fqKu2XWJPGXlv2mcbPbSdtpxhw" TargetMode="External"/><Relationship Id="rId443" Type="http://schemas.openxmlformats.org/officeDocument/2006/relationships/hyperlink" Target="https://www.google.com/url?q=https://github.com/mostafa-saad/MyCompetitiveProgramming/tree/master/Olympiad/COI/official/2015&amp;sa=D&amp;ust=1605639799003000&amp;usg=AFQjCNHgZeW972xLnIp_wDX6CPkf6mwcgQ" TargetMode="External"/><Relationship Id="rId650" Type="http://schemas.openxmlformats.org/officeDocument/2006/relationships/hyperlink" Target="https://www.google.com/url?q=https://www.hackerrank.com/contests/ioi-2014-practice-contest-2/challenges&amp;sa=D&amp;ust=1605639799643000&amp;usg=AFQjCNHLnpBUaOhkiRx0ugxgsMA2A7NaHg" TargetMode="External"/><Relationship Id="rId1073" Type="http://schemas.openxmlformats.org/officeDocument/2006/relationships/hyperlink" Target="https://www.google.com/url?q=https://oj.uz/problems/source/6&amp;sa=D&amp;ust=1605639800012000&amp;usg=AFQjCNGpzdXmUbhs2JRLu2JuksnYBKLvIA" TargetMode="External"/><Relationship Id="rId1280" Type="http://schemas.openxmlformats.org/officeDocument/2006/relationships/hyperlink" Target="https://www.google.com/url?q=https://szkopul.edu.pl/problemset/problem/L_1w_HVIsvm4fBksvCo7fYJT/site/&amp;sa=D&amp;ust=1605639800195000&amp;usg=AFQjCNGBvmGYDVynSRCHhDxVydotXP3B4g" TargetMode="External"/><Relationship Id="rId2124" Type="http://schemas.openxmlformats.org/officeDocument/2006/relationships/hyperlink" Target="https://www.google.com/url?q=https://github.com/mostafa-saad/MyCompetitiveProgramming/blob/master/Olympiad/infoarena/infoarena_perioada.txt&amp;sa=D&amp;ust=1605639800818000&amp;usg=AFQjCNEwE2BW2q5mxgQiSbU88EulUnm-Rw" TargetMode="External"/><Relationship Id="rId2331" Type="http://schemas.openxmlformats.org/officeDocument/2006/relationships/hyperlink" Target="https://www.google.com/url?q=https://github.com/mostafa-saad/MyCompetitiveProgramming/blob/master/Olympiad/POI/official/find_editorial_sols_guidelines.txt&amp;sa=D&amp;ust=1605639801609000&amp;usg=AFQjCNH1cMjAq9LboH66a0nquTMldH6G7w" TargetMode="External"/><Relationship Id="rId303" Type="http://schemas.openxmlformats.org/officeDocument/2006/relationships/hyperlink" Target="https://www.google.com/url?q=https://dmoj.ca/problem/coci07c6p1&amp;sa=D&amp;ust=1605639798884000&amp;usg=AFQjCNH3Dno7vVh7pOtCKG6HoIoIAYe2Wg" TargetMode="External"/><Relationship Id="rId1140" Type="http://schemas.openxmlformats.org/officeDocument/2006/relationships/hyperlink" Target="https://www.google.com/url?q=https://github.com/mostafa-saad/MyCompetitiveProgramming/blob/master/Olympiad/NOI/official&amp;sa=D&amp;ust=1605639800088000&amp;usg=AFQjCNGp1fC13JrighwOJR_3ElWOKjVQPg" TargetMode="External"/><Relationship Id="rId510" Type="http://schemas.openxmlformats.org/officeDocument/2006/relationships/hyperlink" Target="https://www.google.com/url?q=https://www.infoarena.ro/problema/troll&amp;sa=D&amp;ust=1605639799090000&amp;usg=AFQjCNE0UI1PoXFfFt19s4mRf3OsBABUPw" TargetMode="External"/><Relationship Id="rId1000" Type="http://schemas.openxmlformats.org/officeDocument/2006/relationships/hyperlink" Target="https://www.google.com/url?q=https://dunjudge.me/analysis/problems/26/&amp;sa=D&amp;ust=1605639799982000&amp;usg=AFQjCNHxh3WPYJlsNUTjBDOsiu-Z6kbeBQ" TargetMode="External"/><Relationship Id="rId1957" Type="http://schemas.openxmlformats.org/officeDocument/2006/relationships/hyperlink" Target="https://www.google.com/url?q=https://github.com/win11905/submission/blob/61c76f8b073e5e5446e7688626c487a4dcbfcd9e/CCO/14/RoadConstruction.cpp&amp;sa=D&amp;ust=1605639800709000&amp;usg=AFQjCNH6ANmr-ZYkv7u1jC0wqgwFlstoZA" TargetMode="External"/><Relationship Id="rId1817" Type="http://schemas.openxmlformats.org/officeDocument/2006/relationships/hyperlink" Target="https://www.google.com/url?q=https://github.com/mostafa-saad/MyCompetitiveProgramming/blob/master/Olympiad/IOI/official/2008&amp;sa=D&amp;ust=1605639800596000&amp;usg=AFQjCNG88pNaCNKpGenbRcfLkJhY1WAZTg" TargetMode="External"/><Relationship Id="rId160" Type="http://schemas.openxmlformats.org/officeDocument/2006/relationships/hyperlink" Target="https://www.google.com/url?q=https://github.com/mostafa-saad/MyCompetitiveProgramming/blob/master/Olympiad/COCI/official/2010/contest1_solutions&amp;sa=D&amp;ust=1605639798775000&amp;usg=AFQjCNHnvJQOrubvxDv3rOabnioNFBnM1Q" TargetMode="External"/><Relationship Id="rId2798" Type="http://schemas.openxmlformats.org/officeDocument/2006/relationships/hyperlink" Target="https://www.google.com/url?q=https://github.com/mostafa-saad/MyCompetitiveProgramming/blob/master/Olympiad/COCI/official/2010/contest3_solutions&amp;sa=D&amp;ust=1605639802169000&amp;usg=AFQjCNECKNiVgi4TdbFsNx-gWhJZIag_kQ" TargetMode="External"/><Relationship Id="rId977" Type="http://schemas.openxmlformats.org/officeDocument/2006/relationships/hyperlink" Target="https://www.google.com/url?q=https://github.com/stefdasca/CompetitiveProgramming/blob/master/IZhO/IZhO%252017-bootfall.cpp&amp;sa=D&amp;ust=1605639799971000&amp;usg=AFQjCNHFjAgUFs8eJA3jXSCyrlOEE7AYKQ" TargetMode="External"/><Relationship Id="rId2658" Type="http://schemas.openxmlformats.org/officeDocument/2006/relationships/hyperlink" Target="https://www.google.com/url?q=https://oj.uz/problem/view/BOI19_necklace1&amp;sa=D&amp;ust=1605639801991000&amp;usg=AFQjCNE7Yds_0R1gfLkP8d6FYC8YDdHeww" TargetMode="External"/><Relationship Id="rId2865" Type="http://schemas.openxmlformats.org/officeDocument/2006/relationships/hyperlink" Target="https://www.google.com/url?q=https://dunjudge.me/analysis/problems/1233/&amp;sa=D&amp;ust=1605639802204000&amp;usg=AFQjCNHqJ4eF8WDUoZWlX3zLYDa7WexdAw" TargetMode="External"/><Relationship Id="rId837" Type="http://schemas.openxmlformats.org/officeDocument/2006/relationships/hyperlink" Target="https://www.google.com/url?q=https://github.com/mostafa-saad/MyCompetitiveProgramming/blob/master/Olympiad/IOI/IOI-17-wiring.txt&amp;sa=D&amp;ust=1605639799799000&amp;usg=AFQjCNF5QCMZ8iPl3vLIXd744jfLGPFFdA" TargetMode="External"/><Relationship Id="rId1467" Type="http://schemas.openxmlformats.org/officeDocument/2006/relationships/hyperlink" Target="https://www.google.com/url?q=https://www.hackerrank.com/contests/ioi-2014-practice-contest-1/challenges&amp;sa=D&amp;ust=1605639800368000&amp;usg=AFQjCNGPTSzHrq1zc6lcahBqDagqGJk3PQ" TargetMode="External"/><Relationship Id="rId1674" Type="http://schemas.openxmlformats.org/officeDocument/2006/relationships/hyperlink" Target="https://www.google.com/url?q=https://github.com/mostafa-saad/MyCompetitiveProgramming/blob/master/Olympiad/IOI/IOI-14-friend.txt&amp;sa=D&amp;ust=1605639800489000&amp;usg=AFQjCNE2djPyTZZkiAA-7q3R6skj9YFA_A" TargetMode="External"/><Relationship Id="rId1881" Type="http://schemas.openxmlformats.org/officeDocument/2006/relationships/hyperlink" Target="https://www.google.com/url?q=https://github.com/mostafa-saad/MyCompetitiveProgramming/blob/master/Olympiad/POI/POI-03-sums.txt&amp;sa=D&amp;ust=1605639800680000&amp;usg=AFQjCNGq5HUqxkQAmlR3h0Py70_ejKTWrw" TargetMode="External"/><Relationship Id="rId2518" Type="http://schemas.openxmlformats.org/officeDocument/2006/relationships/hyperlink" Target="https://www.google.com/url?q=https://github.com/mostafa-saad/MyCompetitiveProgramming/blob/master/Olympiad/POI/POI-08-Robinson.txt&amp;sa=D&amp;ust=1605639801868000&amp;usg=AFQjCNHklcy6lqOuCSQ2mW22WIW27hO99w" TargetMode="External"/><Relationship Id="rId2725" Type="http://schemas.openxmlformats.org/officeDocument/2006/relationships/hyperlink" Target="https://www.google.com/url?q=https://dmoj.ca/problem/coci06c5p3&amp;sa=D&amp;ust=1605639802083000&amp;usg=AFQjCNE9frlZDGRArCsvp-jAAWBooeZTkA" TargetMode="External"/><Relationship Id="rId2932" Type="http://schemas.openxmlformats.org/officeDocument/2006/relationships/hyperlink" Target="https://www.google.com/url?q=https://dunjudge.me/analysis/problems/976/&amp;sa=D&amp;ust=1605639802298000&amp;usg=AFQjCNEf77NJQgSsIWNlDRIECehTILX97A" TargetMode="External"/><Relationship Id="rId904" Type="http://schemas.openxmlformats.org/officeDocument/2006/relationships/hyperlink" Target="https://www.google.com/url?q=https://www.infoarena.ro/problema/ksecv&amp;sa=D&amp;ust=1605639799893000&amp;usg=AFQjCNFL82c88EMbrST_LF8I6fU8ybf1rw" TargetMode="External"/><Relationship Id="rId1327" Type="http://schemas.openxmlformats.org/officeDocument/2006/relationships/hyperlink" Target="https://www.google.com/url?q=https://infoarena.ro/problema/kdtree&amp;sa=D&amp;ust=1605639800216000&amp;usg=AFQjCNExA9OCKbeFVhe4ZJUMqcWqqP37tA" TargetMode="External"/><Relationship Id="rId1534" Type="http://schemas.openxmlformats.org/officeDocument/2006/relationships/hyperlink" Target="https://www.google.com/url?q=https://infoarena.ro/problema/nuke&amp;sa=D&amp;ust=1605639800393000&amp;usg=AFQjCNHLnkfQqZ_5OMLKcfPK8lPRPyhPCA" TargetMode="External"/><Relationship Id="rId1741" Type="http://schemas.openxmlformats.org/officeDocument/2006/relationships/hyperlink" Target="https://www.google.com/url?q=https://oj.uz/problems/source/314&amp;sa=D&amp;ust=1605639800521000&amp;usg=AFQjCNGvcaNa4eQlBb07FhlTEnFoa7rlQA" TargetMode="External"/><Relationship Id="rId33" Type="http://schemas.openxmlformats.org/officeDocument/2006/relationships/hyperlink" Target="https://www.google.com/url?q=https://github.com/mostafa-saad/MyCompetitiveProgramming/blob/master/Olympiad/POI/official/find_editorial_sols_guidelines.txt&amp;sa=D&amp;ust=1605639798676000&amp;usg=AFQjCNG8mcipp21k4Ev0AjcmaEpEkiHQ_g" TargetMode="External"/><Relationship Id="rId1601" Type="http://schemas.openxmlformats.org/officeDocument/2006/relationships/hyperlink" Target="https://www.google.com/url?q=https://github.com/mostafa-saad/MyCompetitiveProgramming/blob/master/Olympiad/CEOI/CEOI-06-Antenna.txt&amp;sa=D&amp;ust=1605639800418000&amp;usg=AFQjCNEjP6nMoH-X-OatxOJzm_ckDiO35g" TargetMode="External"/><Relationship Id="rId487" Type="http://schemas.openxmlformats.org/officeDocument/2006/relationships/hyperlink" Target="https://www.google.com/url?q=https://dmoj.ca/problem/coci07c4p5&amp;sa=D&amp;ust=1605639799065000&amp;usg=AFQjCNGs9ex4ttd9hI_pXOfQkvYkMh0WKA" TargetMode="External"/><Relationship Id="rId694" Type="http://schemas.openxmlformats.org/officeDocument/2006/relationships/hyperlink" Target="https://www.google.com/url?q=https://oj.uz/problems/source/56&amp;sa=D&amp;ust=1605639799672000&amp;usg=AFQjCNFeX8qNCVmhZp347cHmz5IabqVsUg" TargetMode="External"/><Relationship Id="rId2168" Type="http://schemas.openxmlformats.org/officeDocument/2006/relationships/hyperlink" Target="https://www.google.com/url?q=https://www.oi.edu.pl/old/ioi/downloads/ioi2005-tasks-and-solutions-a5.pdf&amp;sa=D&amp;ust=1605639800874000&amp;usg=AFQjCNHW4Sva3HGeDGMrkt8K0aWVkWOcIQ" TargetMode="External"/><Relationship Id="rId2375" Type="http://schemas.openxmlformats.org/officeDocument/2006/relationships/hyperlink" Target="https://www.google.com/url?q=https://www.infoarena.ro/problema/cmmp&amp;sa=D&amp;ust=1605639801690000&amp;usg=AFQjCNFzHmqjgs2Pavnom4e3VM4VFF4l0A" TargetMode="External"/><Relationship Id="rId347" Type="http://schemas.openxmlformats.org/officeDocument/2006/relationships/hyperlink" Target="https://www.google.com/url?q=https://github.com/mostafa-saad/MyCompetitiveProgramming/blob/master/Olympiad/COCI/official/2017/contest2_solutions&amp;sa=D&amp;ust=1605639798904000&amp;usg=AFQjCNGMEjqnv20krVr6ugMeUE8ZLiAQRg" TargetMode="External"/><Relationship Id="rId1184" Type="http://schemas.openxmlformats.org/officeDocument/2006/relationships/hyperlink" Target="https://www.google.com/url?q=https://csacademy.com/contest/ejoi-2017-day-1/task/six/&amp;sa=D&amp;ust=1605639800113000&amp;usg=AFQjCNEB6sn9KdbezD2Wctjexm0HZDLRYw" TargetMode="External"/><Relationship Id="rId2028" Type="http://schemas.openxmlformats.org/officeDocument/2006/relationships/hyperlink" Target="https://www.google.com/url?q=https://www.infoarena.ro/problema/karb&amp;sa=D&amp;ust=1605639800780000&amp;usg=AFQjCNElbhozLpteYDlScWHnHglr0PoaLw" TargetMode="External"/><Relationship Id="rId2582" Type="http://schemas.openxmlformats.org/officeDocument/2006/relationships/hyperlink" Target="https://www.google.com/url?q=https://oj.uz/problem/view/IOI16_aliens&amp;sa=D&amp;ust=1605639801896000&amp;usg=AFQjCNGOrlrLfol3WM3rFecW4UNvIBQ24A" TargetMode="External"/><Relationship Id="rId554" Type="http://schemas.openxmlformats.org/officeDocument/2006/relationships/hyperlink" Target="https://www.google.com/url?q=http://infoarena.ro/problema/engineer&amp;sa=D&amp;ust=1605639799108000&amp;usg=AFQjCNEfMhaX6PNGwSweyE7U9jmrRmYCrg" TargetMode="External"/><Relationship Id="rId761" Type="http://schemas.openxmlformats.org/officeDocument/2006/relationships/hyperlink" Target="https://www.google.com/url?q=https://github.com/mostafa-saad/MyCompetitiveProgramming/blob/master/Olympiad/COCI/COCI-07-Redoks.txt&amp;sa=D&amp;ust=1605639799713000&amp;usg=AFQjCNE81LUztOIeH6jXbXUTZq1gXtKkdQ" TargetMode="External"/><Relationship Id="rId1391" Type="http://schemas.openxmlformats.org/officeDocument/2006/relationships/hyperlink" Target="https://www.google.com/url?q=http://www.spoj.com/problems/MOBILE2/&amp;sa=D&amp;ust=1605639800293000&amp;usg=AFQjCNF4hukRiwPEPURzfseK9bIMb3qChg" TargetMode="External"/><Relationship Id="rId2235" Type="http://schemas.openxmlformats.org/officeDocument/2006/relationships/hyperlink" Target="https://www.google.com/url?q=https://github.com/mostafa-saad/MyCompetitiveProgramming/blob/master/Olympiad/infoarena/infoarena_countfefete.txt&amp;sa=D&amp;ust=1605639800901000&amp;usg=AFQjCNFnhw0Cy5JEfKZqmlDbITMcEQ5cIQ" TargetMode="External"/><Relationship Id="rId2442" Type="http://schemas.openxmlformats.org/officeDocument/2006/relationships/hyperlink" Target="https://www.google.com/url?q=https://wcipeg.com/problem/coi07p2&amp;sa=D&amp;ust=1605639801787000&amp;usg=AFQjCNGH5I1uAYMV2ixcICbK_x5EZsUghA" TargetMode="External"/><Relationship Id="rId207" Type="http://schemas.openxmlformats.org/officeDocument/2006/relationships/hyperlink" Target="https://www.google.com/url?q=https://github.com/mostafa-saad/MyCompetitiveProgramming/blob/master/Olympiad/COCI/official/2015/contest4_solutions&amp;sa=D&amp;ust=1605639798792000&amp;usg=AFQjCNH1goflbJLotRTsiSRMRcPzGb59Fw" TargetMode="External"/><Relationship Id="rId414" Type="http://schemas.openxmlformats.org/officeDocument/2006/relationships/hyperlink" Target="https://www.google.com/url?q=https://oj.uz/problem/view/IOI16_laugh&amp;sa=D&amp;ust=1605639798991000&amp;usg=AFQjCNH5qojwC_G9-5uWKFDP2LEmAjFT-Q" TargetMode="External"/><Relationship Id="rId621" Type="http://schemas.openxmlformats.org/officeDocument/2006/relationships/hyperlink" Target="https://www.google.com/url?q=https://github.com/mostafa-saad/MyCompetitiveProgramming/blob/master/Olympiad/Baltic/official/boi2011_solutions&amp;sa=D&amp;ust=1605639799170000&amp;usg=AFQjCNGX8M81MLpFabvw3XwP7CDf8hN9LA" TargetMode="External"/><Relationship Id="rId1044" Type="http://schemas.openxmlformats.org/officeDocument/2006/relationships/hyperlink" Target="https://www.google.com/url?q=https://wcipeg.com/problem/coci097p5&amp;sa=D&amp;ust=1605639799998000&amp;usg=AFQjCNHAH7qGGZ16-uJub1HDG86RG0aTNA" TargetMode="External"/><Relationship Id="rId1251" Type="http://schemas.openxmlformats.org/officeDocument/2006/relationships/hyperlink" Target="https://www.google.com/url?q=https://wcipeg.com/problem/coci095p4&amp;sa=D&amp;ust=1605639800185000&amp;usg=AFQjCNF516IDP4jtiwTsfms-cOfnJl-FAQ" TargetMode="External"/><Relationship Id="rId2302" Type="http://schemas.openxmlformats.org/officeDocument/2006/relationships/hyperlink" Target="https://www.google.com/url?q=https://www.acmicpc.net/problem/11555&amp;sa=D&amp;ust=1605639801592000&amp;usg=AFQjCNEVg1HZTdBXIHdVqhEFHhxS069eQQ" TargetMode="External"/><Relationship Id="rId1111" Type="http://schemas.openxmlformats.org/officeDocument/2006/relationships/hyperlink" Target="https://www.google.com/url?q=https://joi2014ho.contest.atcoder.jp/tasks/joi2014ho2&amp;sa=D&amp;ust=1605639800075000&amp;usg=AFQjCNGpR7ZKthfOftQymmZwOqzAfcWFzA" TargetMode="External"/><Relationship Id="rId1928" Type="http://schemas.openxmlformats.org/officeDocument/2006/relationships/hyperlink" Target="https://www.google.com/url?q=https://github.com/mostafa-saad/MyCompetitiveProgramming/blob/master/Olympiad/infoarena/infoarena_unique.txt&amp;sa=D&amp;ust=1605639800700000&amp;usg=AFQjCNFUEEzRdSG4ZK76CORXM6u__XEwrA" TargetMode="External"/><Relationship Id="rId2092" Type="http://schemas.openxmlformats.org/officeDocument/2006/relationships/hyperlink" Target="https://www.google.com/url?q=https://oj.uz/problem/view/BOI19_valley&amp;sa=D&amp;ust=1605639800806000&amp;usg=AFQjCNGv0uBjzydbAxzJyB8VptOustRy_g" TargetMode="External"/><Relationship Id="rId271" Type="http://schemas.openxmlformats.org/officeDocument/2006/relationships/hyperlink" Target="https://www.google.com/url?q=https://dmoj.ca/problem/coci08c5p2&amp;sa=D&amp;ust=1605639798871000&amp;usg=AFQjCNH2-272n4zrcdmTRQel4gQcGtC_Lw" TargetMode="External"/><Relationship Id="rId3003" Type="http://schemas.openxmlformats.org/officeDocument/2006/relationships/hyperlink" Target="https://www.google.com/url?q=https://szkopul.edu.pl/problemset/problem/KkN5UonnNGIG3AuMqoI6xr62/site/&amp;sa=D&amp;ust=1605639802392000&amp;usg=AFQjCNFfJ_74_fu4CIAxaEvNRnLgG8otYQ" TargetMode="External"/><Relationship Id="rId131" Type="http://schemas.openxmlformats.org/officeDocument/2006/relationships/hyperlink" Target="https://www.google.com/url?q=https://github.com/mostafa-saad/MyCompetitiveProgramming/blob/master/Olympiad/JOI/JOISC-18-library.txt&amp;sa=D&amp;ust=1605639798726000&amp;usg=AFQjCNGEJEXKyUgt9tU1OblQ-AmGrkY3jw" TargetMode="External"/><Relationship Id="rId2769" Type="http://schemas.openxmlformats.org/officeDocument/2006/relationships/hyperlink" Target="https://www.google.com/url?q=https://dmoj.ca/problem/coci08c1p1&amp;sa=D&amp;ust=1605639802102000&amp;usg=AFQjCNHQXGgsJEHjLDactBfqp5jbhETnhw" TargetMode="External"/><Relationship Id="rId2976" Type="http://schemas.openxmlformats.org/officeDocument/2006/relationships/hyperlink" Target="https://www.google.com/url?q=https://oj.uz/problem/view/POI13_mul&amp;sa=D&amp;ust=1605639802378000&amp;usg=AFQjCNGB9FO6aibB8HrcnDj51IWm4pF-iw" TargetMode="External"/><Relationship Id="rId948" Type="http://schemas.openxmlformats.org/officeDocument/2006/relationships/hyperlink" Target="https://www.google.com/url?q=https://github.com/stefdasca/CompetitiveProgramming/blob/master/Infoarena/aiacupalindroame.cpp&amp;sa=D&amp;ust=1605639799910000&amp;usg=AFQjCNEFYyWCt-JzFxMeiYYGcplivTkzSw" TargetMode="External"/><Relationship Id="rId1578" Type="http://schemas.openxmlformats.org/officeDocument/2006/relationships/hyperlink" Target="https://www.google.com/url?q=https://oj.uz/problems/source/326&amp;sa=D&amp;ust=1605639800410000&amp;usg=AFQjCNGdsAMNAcHXj8ppmqmOkvvPkXeq4g" TargetMode="External"/><Relationship Id="rId1785" Type="http://schemas.openxmlformats.org/officeDocument/2006/relationships/hyperlink" Target="https://www.google.com/url?q=https://github.com/mostafa-saad/MyCompetitiveProgramming/blob/master/Olympiad/COCI/official/2013/contest5_solutions&amp;sa=D&amp;ust=1605639800586000&amp;usg=AFQjCNExqUCJqnN6H24yLHrhU2EyHfj3FQ" TargetMode="External"/><Relationship Id="rId1992" Type="http://schemas.openxmlformats.org/officeDocument/2006/relationships/hyperlink" Target="https://www.google.com/url?q=https://oj.uz/problem/view/BOI18_minmaxtree&amp;sa=D&amp;ust=1605639800721000&amp;usg=AFQjCNG2PI0ilJk1ioqS6UaZqxXISQx7nA" TargetMode="External"/><Relationship Id="rId2629" Type="http://schemas.openxmlformats.org/officeDocument/2006/relationships/hyperlink" Target="https://www.google.com/url?q=https://github.com/mostafa-saad/MyCompetitiveProgramming/blob/master/Olympiad/infoarena/infoarena-arb3.txt&amp;sa=D&amp;ust=1605639801979000&amp;usg=AFQjCNG4THsijIAW6PoyHuqPrtoKmpJczg" TargetMode="External"/><Relationship Id="rId2836" Type="http://schemas.openxmlformats.org/officeDocument/2006/relationships/hyperlink" Target="https://www.google.com/url?q=https://oj.uz/problem/view/COI14_nizovi&amp;sa=D&amp;ust=1605639802187000&amp;usg=AFQjCNEku8kP0l-G6H3CIG8UDB1hFPP5uA" TargetMode="External"/><Relationship Id="rId77" Type="http://schemas.openxmlformats.org/officeDocument/2006/relationships/hyperlink" Target="https://www.google.com/url?q=https://github.com/timpostuvan/CompetitiveProgramming/blob/master/Olympiad/IOI/Prize2017.cpp&amp;sa=D&amp;ust=1605639798705000&amp;usg=AFQjCNHJGFTBdHveqHWDn9TXRq4OZjVmhQ" TargetMode="External"/><Relationship Id="rId808" Type="http://schemas.openxmlformats.org/officeDocument/2006/relationships/hyperlink" Target="https://www.google.com/url?q=https://oj.uz/problem/view/IZhO19_sortbooks&amp;sa=D&amp;ust=1605639799786000&amp;usg=AFQjCNF0-FNi9AvQN3_QslrAw7l0zpraNA" TargetMode="External"/><Relationship Id="rId1438" Type="http://schemas.openxmlformats.org/officeDocument/2006/relationships/hyperlink" Target="https://www.google.com/url?q=https://boi18-practice-open.kattis.com/problems&amp;sa=D&amp;ust=1605639800311000&amp;usg=AFQjCNHKSbchqgGhkvJbYXbtKXiDffV5zA" TargetMode="External"/><Relationship Id="rId1645" Type="http://schemas.openxmlformats.org/officeDocument/2006/relationships/hyperlink" Target="https://www.google.com/url?q=https://github.com/mostafa-saad/MyCompetitiveProgramming/blob/master/Olympiad/infoarena/infoarena_shgraf.txt&amp;sa=D&amp;ust=1605639800478000&amp;usg=AFQjCNFyFCEBn5rBt86KT0cyX59_gGK10Q" TargetMode="External"/><Relationship Id="rId1852" Type="http://schemas.openxmlformats.org/officeDocument/2006/relationships/hyperlink" Target="https://www.google.com/url?q=https://oj.uz/problem/view/COCI16_jetpack&amp;sa=D&amp;ust=1605639800666000&amp;usg=AFQjCNHxD8IYmnjBdAEWyI7MaqddeBdUjw" TargetMode="External"/><Relationship Id="rId2903" Type="http://schemas.openxmlformats.org/officeDocument/2006/relationships/hyperlink" Target="https://www.google.com/url?q=https://joisc2014.contest.atcoder.jp/tasks/joisc2014_b&amp;sa=D&amp;ust=1605639802281000&amp;usg=AFQjCNE2YAKOe2rzCMn-CJJPp7zvAjtoEw" TargetMode="External"/><Relationship Id="rId1505" Type="http://schemas.openxmlformats.org/officeDocument/2006/relationships/hyperlink" Target="https://www.google.com/url?q=https://github.com/mostafa-saad/MyCompetitiveProgramming/tree/master/Olympiad/CEOI/official/2002&amp;sa=D&amp;ust=1605639800382000&amp;usg=AFQjCNFDIdixQEBSwkvv1uKo35IgFBl2RA" TargetMode="External"/><Relationship Id="rId1712" Type="http://schemas.openxmlformats.org/officeDocument/2006/relationships/hyperlink" Target="https://www.google.com/url?q=https://github.com/mostafa-saad/MyCompetitiveProgramming/blob/master/Olympiad/POI/POI-07-Megalopolis.txt&amp;sa=D&amp;ust=1605639800503000&amp;usg=AFQjCNHMGK89kbS_xxVhzm1sdUMmtVFQgg" TargetMode="External"/><Relationship Id="rId598" Type="http://schemas.openxmlformats.org/officeDocument/2006/relationships/hyperlink" Target="https://www.google.com/url?q=https://oj.uz/problem/view/IOI13_cave&amp;sa=D&amp;ust=1605639799127000&amp;usg=AFQjCNGHThfU5KIu4pfCA1lT6gQChJUi1w" TargetMode="External"/><Relationship Id="rId2279" Type="http://schemas.openxmlformats.org/officeDocument/2006/relationships/hyperlink" Target="https://www.google.com/url?q=https://oj.uz/problem/view/COCI17_rima&amp;sa=D&amp;ust=1605639801570000&amp;usg=AFQjCNHaSG767AVs3kkhlRy_gxv2wEkcxQ" TargetMode="External"/><Relationship Id="rId2486" Type="http://schemas.openxmlformats.org/officeDocument/2006/relationships/hyperlink" Target="https://www.google.com/url?q=https://cses.fi/111/list/&amp;sa=D&amp;ust=1605639801805000&amp;usg=AFQjCNGjx_jgtLgc-FIqfUFCuFAMQ_YyPw" TargetMode="External"/><Relationship Id="rId2693" Type="http://schemas.openxmlformats.org/officeDocument/2006/relationships/hyperlink" Target="https://www.google.com/url?q=https://dmoj.ca/problem/cco07p1&amp;sa=D&amp;ust=1605639802009000&amp;usg=AFQjCNEsl3e4Xo08WnHEhcl7XmWzXwgczg" TargetMode="External"/><Relationship Id="rId458" Type="http://schemas.openxmlformats.org/officeDocument/2006/relationships/hyperlink" Target="https://www.google.com/url?q=https://github.com/mostafa-saad/MyCompetitiveProgramming/blob/master/Olympiad/IOI/official/2015&amp;sa=D&amp;ust=1605639799009000&amp;usg=AFQjCNGph6I4qAa2rLmTBA05N6N1qHhRGw" TargetMode="External"/><Relationship Id="rId665" Type="http://schemas.openxmlformats.org/officeDocument/2006/relationships/hyperlink" Target="https://www.google.com/url?q=https://github.com/mostafa-saad/MyCompetitiveProgramming/tree/master/Olympiad/Balkan/official/2015&amp;sa=D&amp;ust=1605639799659000&amp;usg=AFQjCNGVlM9Z8lFoWSEHjLkmvkbcnIcRUw" TargetMode="External"/><Relationship Id="rId872" Type="http://schemas.openxmlformats.org/officeDocument/2006/relationships/hyperlink" Target="https://www.google.com/url?q=https://codeforces.com/contest/1193&amp;sa=D&amp;ust=1605639799876000&amp;usg=AFQjCNGf1QNgjHV5q7XoaRMdbrXj0HJ17w" TargetMode="External"/><Relationship Id="rId1088" Type="http://schemas.openxmlformats.org/officeDocument/2006/relationships/hyperlink" Target="https://www.google.com/url?q=https://dmoj.ca/problem/coci08c2p5&amp;sa=D&amp;ust=1605639800017000&amp;usg=AFQjCNEyMq8UefukFSzPcM_FFPVyA5-Oow" TargetMode="External"/><Relationship Id="rId1295" Type="http://schemas.openxmlformats.org/officeDocument/2006/relationships/hyperlink" Target="https://www.google.com/url?q=https://github.com/mostafa-saad/MyCompetitiveProgramming/blob/master/Olympiad/IOI/official/2008&amp;sa=D&amp;ust=1605639800202000&amp;usg=AFQjCNFbU38lgW-NJAfH9Zu3nKvgMlzq2w" TargetMode="External"/><Relationship Id="rId2139" Type="http://schemas.openxmlformats.org/officeDocument/2006/relationships/hyperlink" Target="https://www.google.com/url?q=https://infoarena.ro/problema/overpower&amp;sa=D&amp;ust=1605639800823000&amp;usg=AFQjCNFDv3QYjpUhEf4x_cAaaPjGdgM7UQ" TargetMode="External"/><Relationship Id="rId2346" Type="http://schemas.openxmlformats.org/officeDocument/2006/relationships/hyperlink" Target="https://www.google.com/url?q=https://oj.uz/problem/view/JOI17_broken_device&amp;sa=D&amp;ust=1605639801614000&amp;usg=AFQjCNFPc0E0rNwhLSnTD_SSWljXZt3Fsg" TargetMode="External"/><Relationship Id="rId2553" Type="http://schemas.openxmlformats.org/officeDocument/2006/relationships/hyperlink" Target="https://www.google.com/url?q=https://github.com/mostafa-saad/MyCompetitiveProgramming/tree/master/Olympiad/JOI/official/JOIOC/2018&amp;sa=D&amp;ust=1605639801880000&amp;usg=AFQjCNFCiXywolbm90JH0hsgb4enZweUdA" TargetMode="External"/><Relationship Id="rId2760" Type="http://schemas.openxmlformats.org/officeDocument/2006/relationships/hyperlink" Target="https://www.google.com/url?q=https://github.com/mostafa-saad/MyCompetitiveProgramming/blob/master/Olympiad/COCI/official/2009/contest1_solutions&amp;sa=D&amp;ust=1605639802095000&amp;usg=AFQjCNHLKweBQNgUjZ0kIUy9OSNsXOciFg" TargetMode="External"/><Relationship Id="rId318" Type="http://schemas.openxmlformats.org/officeDocument/2006/relationships/hyperlink" Target="https://www.google.com/url?q=https://dunjudge.me/analysis/problems/237/&amp;sa=D&amp;ust=1605639798890000&amp;usg=AFQjCNHFoJqENiqdMWSgQk-iIMHy76yj4A" TargetMode="External"/><Relationship Id="rId525" Type="http://schemas.openxmlformats.org/officeDocument/2006/relationships/hyperlink" Target="https://www.google.com/url?q=https://github.com/mostafa-saad/MyCompetitiveProgramming/blob/master/Olympiad/COCI/official/2013/contest4_solutions&amp;sa=D&amp;ust=1605639799096000&amp;usg=AFQjCNFBMBQM83CAyRD0xmgtNpyLqmPKRw" TargetMode="External"/><Relationship Id="rId732" Type="http://schemas.openxmlformats.org/officeDocument/2006/relationships/hyperlink" Target="https://www.google.com/url?q=https://github.com/MetalBall887/Competitive-Programming/blob/master/CSAcademy/ROJS%252017-cntgigelmat.cpp&amp;sa=D&amp;ust=1605639799700000&amp;usg=AFQjCNGxWX2Mh9tnF2vvebLJ4hg2wvHxdg" TargetMode="External"/><Relationship Id="rId1155" Type="http://schemas.openxmlformats.org/officeDocument/2006/relationships/hyperlink" Target="https://www.google.com/url?q=https://github.com/mostafa-saad/MyCompetitiveProgramming/blob/master/Olympiad/IOI/official/2000&amp;sa=D&amp;ust=1605639800093000&amp;usg=AFQjCNEH1y8N7SFXAIdZYwFLAIhxmp3hHg" TargetMode="External"/><Relationship Id="rId1362" Type="http://schemas.openxmlformats.org/officeDocument/2006/relationships/hyperlink" Target="https://www.google.com/url?q=https://github.com/nikolapesic2802/Programming-Practice/blob/master/Sparklersd/main.cpp&amp;sa=D&amp;ust=1605639800279000&amp;usg=AFQjCNFWWC51sWUPctVaOsYo4lFCIHeR2Q" TargetMode="External"/><Relationship Id="rId2206" Type="http://schemas.openxmlformats.org/officeDocument/2006/relationships/hyperlink" Target="https://www.google.com/url?q=https://github.com/mostafa-saad/MyCompetitiveProgramming/blob/master/Olympiad/COCI/COCI-07-Granica.txt&amp;sa=D&amp;ust=1605639800892000&amp;usg=AFQjCNE21JGdcaqOaiceDU5xfwQv5xF88g" TargetMode="External"/><Relationship Id="rId2413" Type="http://schemas.openxmlformats.org/officeDocument/2006/relationships/hyperlink" Target="https://www.google.com/url?q=https://ideone.com/iyHw7X&amp;sa=D&amp;ust=1605639801775000&amp;usg=AFQjCNFlzd-Ppfa2xQ3yz8uS31CWeuQcqA" TargetMode="External"/><Relationship Id="rId2620" Type="http://schemas.openxmlformats.org/officeDocument/2006/relationships/hyperlink" Target="https://www.google.com/url?q=https://contest.yandex.ru/ioi/contest/566/enter/&amp;sa=D&amp;ust=1605639801976000&amp;usg=AFQjCNGh2U29CyYBc4i1OLb_YWWB3v6QrQ" TargetMode="External"/><Relationship Id="rId1015" Type="http://schemas.openxmlformats.org/officeDocument/2006/relationships/hyperlink" Target="https://www.google.com/url?q=https://oj.uz/problem/view/COCI17_automobil&amp;sa=D&amp;ust=1605639799987000&amp;usg=AFQjCNHvbPi7MvxvrbgPG8cKGaJBB-Ib6A" TargetMode="External"/><Relationship Id="rId1222" Type="http://schemas.openxmlformats.org/officeDocument/2006/relationships/hyperlink" Target="https://www.google.com/url?q=https://github.com/mostafa-saad/MyCompetitiveProgramming/blob/master/Olympiad/JOI/JOI-19-GrowingVegetable.txt&amp;sa=D&amp;ust=1605639800174000&amp;usg=AFQjCNEROMeK8V8B71-IS2Q0lKzCp5fRCA" TargetMode="External"/><Relationship Id="rId175" Type="http://schemas.openxmlformats.org/officeDocument/2006/relationships/hyperlink" Target="https://www.google.com/url?q=https://www.infoarena.ro/problema/covor&amp;sa=D&amp;ust=1605639798780000&amp;usg=AFQjCNHbS9rAN1dSzko5usIhgZJVrAA_kg" TargetMode="External"/><Relationship Id="rId382" Type="http://schemas.openxmlformats.org/officeDocument/2006/relationships/hyperlink" Target="https://www.google.com/url?q=https://oj.uz/problem/view/POI11_prz&amp;sa=D&amp;ust=1605639798977000&amp;usg=AFQjCNGpjBWkaq9XYU8Qj-O6c3gjL089rQ" TargetMode="External"/><Relationship Id="rId2063" Type="http://schemas.openxmlformats.org/officeDocument/2006/relationships/hyperlink" Target="https://www.google.com/url?q=https://szkopul.edu.pl/problemset/problem/1ACC1pIG2nDGZefi1v5BVSmw/site/?key%3Dstatement&amp;sa=D&amp;ust=1605639800795000&amp;usg=AFQjCNGc93LPrVLE1bFk642F64O1pBmD_w" TargetMode="External"/><Relationship Id="rId2270" Type="http://schemas.openxmlformats.org/officeDocument/2006/relationships/hyperlink" Target="https://www.google.com/url?q=https://szkopul.edu.pl/problemset/problem/etwe8b5zlM4uVn4dpxr32ua8/site/&amp;sa=D&amp;ust=1605639801564000&amp;usg=AFQjCNHFWeweg_tJTRH9J_Li69SuFgHK1g" TargetMode="External"/><Relationship Id="rId242" Type="http://schemas.openxmlformats.org/officeDocument/2006/relationships/hyperlink" Target="https://www.google.com/url?q=https://github.com/mostafa-saad/MyCompetitiveProgramming/blob/master/Olympiad/COCI/official/2010/contest6_solutions&amp;sa=D&amp;ust=1605639798805000&amp;usg=AFQjCNHQPKJs7KlOj083zd8XVDTbog35hw" TargetMode="External"/><Relationship Id="rId2130" Type="http://schemas.openxmlformats.org/officeDocument/2006/relationships/hyperlink" Target="https://www.google.com/url?q=https://github.com/mostafa-saad/MyCompetitiveProgramming/blob/master/Olympiad/APIO/APIO-19-strange_device.txt&amp;sa=D&amp;ust=1605639800820000&amp;usg=AFQjCNFnfOaCGIb7uIr1tp3prGOoM8M5iQ" TargetMode="External"/><Relationship Id="rId102" Type="http://schemas.openxmlformats.org/officeDocument/2006/relationships/hyperlink" Target="https://www.google.com/url?q=https://github.com/mostafa-saad/MyCompetitiveProgramming/blob/master/Olympiad/CEOI/CEOI-06-Meandian.txt&amp;sa=D&amp;ust=1605639798715000&amp;usg=AFQjCNH7PoKwnJXlvoHZbh39Hsl-7H-TQw" TargetMode="External"/><Relationship Id="rId1689" Type="http://schemas.openxmlformats.org/officeDocument/2006/relationships/hyperlink" Target="https://www.google.com/url?q=https://szkopul.edu.pl/portal/problemset_eng/oi/21&amp;sa=D&amp;ust=1605639800494000&amp;usg=AFQjCNHXA9fuWGvTdQprqOAyvJI8XDxCtw" TargetMode="External"/><Relationship Id="rId1896" Type="http://schemas.openxmlformats.org/officeDocument/2006/relationships/hyperlink" Target="https://www.google.com/url?q=https://github.com/luciocf/OI-Problems/blob/master/COCI/COCI%25202017-2018/portals.cpp&amp;sa=D&amp;ust=1605639800687000&amp;usg=AFQjCNEIB94pVSjnyK4BprHJKpbPBhtalw" TargetMode="External"/><Relationship Id="rId2947" Type="http://schemas.openxmlformats.org/officeDocument/2006/relationships/hyperlink" Target="https://www.google.com/url?q=https://dunjudge.me/analysis/problems/187/&amp;sa=D&amp;ust=1605639802305000&amp;usg=AFQjCNGHlwZjvE4As9qXSn7LJK-vRtg3ow" TargetMode="External"/><Relationship Id="rId919" Type="http://schemas.openxmlformats.org/officeDocument/2006/relationships/hyperlink" Target="https://www.google.com/url?q=https://oj.uz/problem/view/IZhO14_blocks&amp;sa=D&amp;ust=1605639799899000&amp;usg=AFQjCNH48WwuUwt3lQQLCzefuNgTi0Hshg" TargetMode="External"/><Relationship Id="rId1549" Type="http://schemas.openxmlformats.org/officeDocument/2006/relationships/hyperlink" Target="https://www.google.com/url?q=https://oj.uz/problem/view/BOI14_demarcation&amp;sa=D&amp;ust=1605639800399000&amp;usg=AFQjCNHmeAkkIejYe-tXX9XH_Hivx9_7zQ" TargetMode="External"/><Relationship Id="rId1756" Type="http://schemas.openxmlformats.org/officeDocument/2006/relationships/hyperlink" Target="https://www.google.com/url?q=https://github.com/mostafa-saad/MyCompetitiveProgramming/blob/master/Olympiad/POI/POI-09-Walk.txt&amp;sa=D&amp;ust=1605639800569000&amp;usg=AFQjCNGlTlS71Wz1fqzh5oQXu18ICk6epQ" TargetMode="External"/><Relationship Id="rId1963" Type="http://schemas.openxmlformats.org/officeDocument/2006/relationships/hyperlink" Target="https://www.google.com/url?q=https://dunjudge.me/analysis/problems/777/&amp;sa=D&amp;ust=1605639800711000&amp;usg=AFQjCNGXMruCJMKRngQXTfIqOME3Ar8Jdg" TargetMode="External"/><Relationship Id="rId2807" Type="http://schemas.openxmlformats.org/officeDocument/2006/relationships/hyperlink" Target="https://www.google.com/url?q=https://github.com/mostafa-saad/MyCompetitiveProgramming/blob/master/Olympiad/COCI/official/2015/contest6_solutions&amp;sa=D&amp;ust=1605639802172000&amp;usg=AFQjCNGLDRMQTGMAeUHQIWltQmpu4t8ZiQ" TargetMode="External"/><Relationship Id="rId48" Type="http://schemas.openxmlformats.org/officeDocument/2006/relationships/hyperlink" Target="https://www.google.com/url?q=https://oj.uz/problems/source/184&amp;sa=D&amp;ust=1605639798681000&amp;usg=AFQjCNEOmmMelG9zhopRl20zIIx9I1QsTQ" TargetMode="External"/><Relationship Id="rId1409" Type="http://schemas.openxmlformats.org/officeDocument/2006/relationships/hyperlink" Target="https://www.google.com/url?q=https://github.com/stefdasca/CompetitiveProgramming/blob/master/Infoarena/copii2.cpp&amp;sa=D&amp;ust=1605639800299000&amp;usg=AFQjCNEg6vfZqjC_C6FpzG-i5FqvwoW8LA" TargetMode="External"/><Relationship Id="rId1616" Type="http://schemas.openxmlformats.org/officeDocument/2006/relationships/hyperlink" Target="https://www.google.com/url?q=https://contest.yandex.ru/ioi/contest/562/problems/C/&amp;sa=D&amp;ust=1605639800464000&amp;usg=AFQjCNEbLA9KD2h_rreh8-dZamI0-o741A" TargetMode="External"/><Relationship Id="rId1823" Type="http://schemas.openxmlformats.org/officeDocument/2006/relationships/hyperlink" Target="https://www.google.com/url?q=https://github.com/updown2/OI-Practice/blob/master/BOI/2018/Love%2520Polygon.txt&amp;sa=D&amp;ust=1605639800598000&amp;usg=AFQjCNGyTHYpZ2Fnl6JTp-d3RhNHL_DwJQ" TargetMode="External"/><Relationship Id="rId2597" Type="http://schemas.openxmlformats.org/officeDocument/2006/relationships/hyperlink" Target="https://www.google.com/url?q=https://github.com/mostafa-saad/MyCompetitiveProgramming/tree/master/Olympiad/MCO/official&amp;sa=D&amp;ust=1605639801901000&amp;usg=AFQjCNFetwdFYFpScqTYnHp88qCyj8ABkg" TargetMode="External"/><Relationship Id="rId569" Type="http://schemas.openxmlformats.org/officeDocument/2006/relationships/hyperlink" Target="https://www.google.com/url?q=https://contest.yandex.ru/ioi/contest/566/enter/&amp;sa=D&amp;ust=1605639799115000&amp;usg=AFQjCNHdWDLCgPssW4bgVjHCiCXzYqi1TA" TargetMode="External"/><Relationship Id="rId776" Type="http://schemas.openxmlformats.org/officeDocument/2006/relationships/hyperlink" Target="https://www.google.com/url?q=https://github.com/tmwilliamlin168/CompetitiveProgramming/blob/master/USACO/Contests/1819_1P/Itout.cpp&amp;sa=D&amp;ust=1605639799718000&amp;usg=AFQjCNGg1V2WkHuGQBT4WG122Wwyv2SP9g" TargetMode="External"/><Relationship Id="rId983" Type="http://schemas.openxmlformats.org/officeDocument/2006/relationships/hyperlink" Target="https://www.google.com/url?q=https://github.com/stefdasca/CompetitiveProgramming/blob/master/Infoarena/v2d.cpp&amp;sa=D&amp;ust=1605639799973000&amp;usg=AFQjCNE2Cg8P4aEdOzwIF50cCQps3Z3Pwg" TargetMode="External"/><Relationship Id="rId1199" Type="http://schemas.openxmlformats.org/officeDocument/2006/relationships/hyperlink" Target="https://www.google.com/url?q=http://usaco.org/index.php?page%3Dviewproblem2%26cpid%3D92&amp;sa=D&amp;ust=1605639800165000&amp;usg=AFQjCNGu6ynoe6aqLvvjGk1dhBB5MQ62uA" TargetMode="External"/><Relationship Id="rId2457" Type="http://schemas.openxmlformats.org/officeDocument/2006/relationships/hyperlink" Target="https://www.google.com/url?q=https://dunjudge.me/analysis/problems/1408/&amp;sa=D&amp;ust=1605639801794000&amp;usg=AFQjCNEmD23X-8Lk-Sz3VPqGWMlIqP0LHQ" TargetMode="External"/><Relationship Id="rId2664" Type="http://schemas.openxmlformats.org/officeDocument/2006/relationships/hyperlink" Target="https://www.google.com/url?q=https://www.infoarena.ro/problema/sabin&amp;sa=D&amp;ust=1605639801993000&amp;usg=AFQjCNFfyD0WlVkb_5q30B4Tznfub691yw" TargetMode="External"/><Relationship Id="rId429" Type="http://schemas.openxmlformats.org/officeDocument/2006/relationships/hyperlink" Target="https://www.google.com/url?q=https://wcipeg.com/problem/coci074p6&amp;sa=D&amp;ust=1605639798997000&amp;usg=AFQjCNEdQYCJ04jG0vOSOKzj4Deak84-vQ" TargetMode="External"/><Relationship Id="rId636" Type="http://schemas.openxmlformats.org/officeDocument/2006/relationships/hyperlink" Target="https://www.google.com/url?q=https://contest.yandex.ru/ioi/contest/568/enter/&amp;sa=D&amp;ust=1605639799179000&amp;usg=AFQjCNGr7VGyLJX_zyjPqYWwpTNZV_VIHQ" TargetMode="External"/><Relationship Id="rId1059" Type="http://schemas.openxmlformats.org/officeDocument/2006/relationships/hyperlink" Target="https://www.google.com/url?q=https://github.com/mostafa-saad/MyCompetitiveProgramming/blob/master/Olympiad/COCI/official/2014/contest5_solutions&amp;sa=D&amp;ust=1605639800004000&amp;usg=AFQjCNGl0Izx9PKf5gn16qvQ0aYDv7106w" TargetMode="External"/><Relationship Id="rId1266" Type="http://schemas.openxmlformats.org/officeDocument/2006/relationships/hyperlink" Target="https://www.google.com/url?q=https://www.infoarena.ro/problema/anagrame&amp;sa=D&amp;ust=1605639800191000&amp;usg=AFQjCNE5VPfnzdMk1Fr3Mk0ulHszYM7ytg" TargetMode="External"/><Relationship Id="rId1473" Type="http://schemas.openxmlformats.org/officeDocument/2006/relationships/hyperlink" Target="https://www.google.com/url?q=https://github.com/mostafa-saad/MyCompetitiveProgramming/blob/master/Olympiad/COCI/official/2016/contest2_solutions&amp;sa=D&amp;ust=1605639800370000&amp;usg=AFQjCNG6iQgTLq1nkfzq_FkTMWt_BuKbYw" TargetMode="External"/><Relationship Id="rId2317" Type="http://schemas.openxmlformats.org/officeDocument/2006/relationships/hyperlink" Target="https://www.google.com/url?q=https://dmoj.ca/problem/stnbd4&amp;sa=D&amp;ust=1605639801601000&amp;usg=AFQjCNFkh4td6QET0iFwtdBx1unsgCOV-w" TargetMode="External"/><Relationship Id="rId2871" Type="http://schemas.openxmlformats.org/officeDocument/2006/relationships/hyperlink" Target="https://www.google.com/url?q=https://github.com/mostafa-saad/MyCompetitiveProgramming/tree/master/Olympiad/IOI/official/2019&amp;sa=D&amp;ust=1605639802206000&amp;usg=AFQjCNEAMB3Gt5LBTPBmOkWBjPPX_f2z1g" TargetMode="External"/><Relationship Id="rId843" Type="http://schemas.openxmlformats.org/officeDocument/2006/relationships/hyperlink" Target="https://www.google.com/url?q=https://oj.uz/problem/view/BOI18_homecoming&amp;sa=D&amp;ust=1605639799801000&amp;usg=AFQjCNF8ceUDcmGg2N6s8goIwX7ISOM5hQ" TargetMode="External"/><Relationship Id="rId1126" Type="http://schemas.openxmlformats.org/officeDocument/2006/relationships/hyperlink" Target="https://www.google.com/url?q=https://dunjudge.me/analysis/problems/695/&amp;sa=D&amp;ust=1605639800081000&amp;usg=AFQjCNG9MtDYw2WfYYszjKWsYsJzEm10MA" TargetMode="External"/><Relationship Id="rId1680" Type="http://schemas.openxmlformats.org/officeDocument/2006/relationships/hyperlink" Target="https://www.google.com/url?q=https://github.com/mostafa-saad/MyCompetitiveProgramming/blob/master/Olympiad/COI/COI+17-ili.txt&amp;sa=D&amp;ust=1605639800491000&amp;usg=AFQjCNH5WChhavT-r7Dnb0kvcCA8mbh96A" TargetMode="External"/><Relationship Id="rId2524" Type="http://schemas.openxmlformats.org/officeDocument/2006/relationships/hyperlink" Target="https://www.google.com/url?q=https://github.com/mostafa-saad/MyCompetitiveProgramming/blob/master/Olympiad/POI/POI-11-Conductor.txt&amp;sa=D&amp;ust=1605639801870000&amp;usg=AFQjCNFUCjJg6u8fS0uleJ_l4GOhG9ZZ9w" TargetMode="External"/><Relationship Id="rId2731" Type="http://schemas.openxmlformats.org/officeDocument/2006/relationships/hyperlink" Target="https://www.google.com/url?q=https://dmoj.ca/problem/coci07c1p1&amp;sa=D&amp;ust=1605639802086000&amp;usg=AFQjCNHHKvF5EOt2V0iPAzttn4rhFfSCPw" TargetMode="External"/><Relationship Id="rId703" Type="http://schemas.openxmlformats.org/officeDocument/2006/relationships/hyperlink" Target="https://www.google.com/url?q=https://github.com/mostafa-saad/MyCompetitiveProgramming/blob/master/Olympiad/COCI/COCI-15-relativnost.txt&amp;sa=D&amp;ust=1605639799674000&amp;usg=AFQjCNGri_DD0DwpNOtRgDtLik4JQ2DyRA" TargetMode="External"/><Relationship Id="rId910" Type="http://schemas.openxmlformats.org/officeDocument/2006/relationships/hyperlink" Target="https://www.google.com/url?q=https://github.com/mostafa-saad/MyCompetitiveProgramming/blob/master/Olympiad/infoarena/infoarena-aiacubiti.txt&amp;sa=D&amp;ust=1605639799896000&amp;usg=AFQjCNF1s3Mo5wc0KJLaVPUAN7vFM09ksg" TargetMode="External"/><Relationship Id="rId1333" Type="http://schemas.openxmlformats.org/officeDocument/2006/relationships/hyperlink" Target="https://www.google.com/url?q=https://szkopul.edu.pl/problemset/problem/VutzcR1iPvGuYRGZgvNksmV1/site/&amp;sa=D&amp;ust=1605639800218000&amp;usg=AFQjCNEsJ_XEV7ohAaIRXDWKFzsKZTg1bQ" TargetMode="External"/><Relationship Id="rId1540" Type="http://schemas.openxmlformats.org/officeDocument/2006/relationships/hyperlink" Target="https://www.google.com/url?q=https://github.com/tmwilliamlin168/CompetitiveProgramming/blob/master/HackerRank/bounce-bounce-bounce-ioi14.cpp&amp;sa=D&amp;ust=1605639800395000&amp;usg=AFQjCNG46i5DIT0NLFE78NpODdL07OfUNw" TargetMode="External"/><Relationship Id="rId1400" Type="http://schemas.openxmlformats.org/officeDocument/2006/relationships/hyperlink" Target="https://www.google.com/url?q=https://github.com/mostafa-saad/MyCompetitiveProgramming/blob/master/Olympiad/JOI/Baltic/Baltic-05-Magic.txt&amp;sa=D&amp;ust=1605639800295000&amp;usg=AFQjCNFh7hol6srQQi4hbzmFjR9Wj7wSzw" TargetMode="External"/><Relationship Id="rId286" Type="http://schemas.openxmlformats.org/officeDocument/2006/relationships/hyperlink" Target="https://www.google.com/url?q=https://github.com/mostafa-saad/MyCompetitiveProgramming/tree/master/Olympiad/COCI/official/2007/contest3_solutions&amp;sa=D&amp;ust=1605639798877000&amp;usg=AFQjCNGNmdQDPPe3J058efSziy0IpIyGvA" TargetMode="External"/><Relationship Id="rId493" Type="http://schemas.openxmlformats.org/officeDocument/2006/relationships/hyperlink" Target="https://www.google.com/url?q=https://csacademy.com/contest/junior-challenge-2017-day-2/task/ultimateorbs&amp;sa=D&amp;ust=1605639799082000&amp;usg=AFQjCNGoUl8Pc0cU2eO4h8-mEHc2gsgREw" TargetMode="External"/><Relationship Id="rId2174" Type="http://schemas.openxmlformats.org/officeDocument/2006/relationships/hyperlink" Target="https://www.google.com/url?q=https://github.com/mostafa-saad/MyCompetitiveProgramming/tree/master/Olympiad/MCO/official/2014&amp;sa=D&amp;ust=1605639800876000&amp;usg=AFQjCNGQyRrpjGzDJCCncz9z1rZ7bNwGdw" TargetMode="External"/><Relationship Id="rId2381" Type="http://schemas.openxmlformats.org/officeDocument/2006/relationships/hyperlink" Target="https://www.google.com/url?q=https://oj.uz/problem/view/IOI09_garage&amp;sa=D&amp;ust=1605639801692000&amp;usg=AFQjCNFJQyll8-jUZpg3j7GeeZM14UsHNA" TargetMode="External"/><Relationship Id="rId146" Type="http://schemas.openxmlformats.org/officeDocument/2006/relationships/hyperlink" Target="https://www.google.com/url?q=https://contest.yandex.ru/ioi/contest/570/problems/C/&amp;sa=D&amp;ust=1605639798765000&amp;usg=AFQjCNGd7tjV6Gf1GYIVvTAFPLY0E7QUWw" TargetMode="External"/><Relationship Id="rId353" Type="http://schemas.openxmlformats.org/officeDocument/2006/relationships/hyperlink" Target="https://www.google.com/url?q=https://github.com/mostafa-saad/MyCompetitiveProgramming/blob/master/Olympiad/COCI/official/2017/contest5_solutions&amp;sa=D&amp;ust=1605639798906000&amp;usg=AFQjCNHIpEIGFjSyKZXAb8DqY0yZuWmP_A" TargetMode="External"/><Relationship Id="rId560" Type="http://schemas.openxmlformats.org/officeDocument/2006/relationships/hyperlink" Target="https://www.google.com/url?q=https://cses.fi/190/list/&amp;sa=D&amp;ust=1605639799110000&amp;usg=AFQjCNEPd6EsNkK6IvlU-bYYHy8T2blUpg" TargetMode="External"/><Relationship Id="rId1190" Type="http://schemas.openxmlformats.org/officeDocument/2006/relationships/hyperlink" Target="https://www.google.com/url?q=https://github.com/mostafa-saad/MyCompetitiveProgramming/blob/master/Olympiad/COCI/COCI-16-burza.txt&amp;sa=D&amp;ust=1605639800115000&amp;usg=AFQjCNHtJ-Vqa9xQcOm0erbffWRF30IxHg" TargetMode="External"/><Relationship Id="rId2034" Type="http://schemas.openxmlformats.org/officeDocument/2006/relationships/hyperlink" Target="https://www.google.com/url?q=https://github.com/mostafa-saad/MyCompetitiveProgramming/blob/master/Olympiad/NOI/official&amp;sa=D&amp;ust=1605639800782000&amp;usg=AFQjCNFU_NuzkkcLtHyCS1R8tHbSTOet5w" TargetMode="External"/><Relationship Id="rId2241" Type="http://schemas.openxmlformats.org/officeDocument/2006/relationships/hyperlink" Target="https://www.google.com/url?q=https://szkopul.edu.pl/problemset/problem/v6-xa-25AJSF4_oV5LAKvz7H/site/&amp;sa=D&amp;ust=1605639800905000&amp;usg=AFQjCNHVd46M2ejsT00ng-QbDwFGy2e9-g" TargetMode="External"/><Relationship Id="rId213" Type="http://schemas.openxmlformats.org/officeDocument/2006/relationships/hyperlink" Target="https://www.google.com/url?q=https://github.com/mostafa-saad/MyCompetitiveProgramming/blob/master/Olympiad/IOI/official/2006/ioi06_writing_sol.pdf&amp;sa=D&amp;ust=1605639798794000&amp;usg=AFQjCNFyd4VyolO4n_t4llNzDuAc3DoucQ" TargetMode="External"/><Relationship Id="rId420" Type="http://schemas.openxmlformats.org/officeDocument/2006/relationships/hyperlink" Target="https://www.google.com/url?q=https://cses.fi/231/task/A&amp;sa=D&amp;ust=1605639798993000&amp;usg=AFQjCNE7h31Of-khXCHGK5bYWUFg6p9uWg" TargetMode="External"/><Relationship Id="rId658" Type="http://schemas.openxmlformats.org/officeDocument/2006/relationships/hyperlink" Target="https://www.google.com/url?q=https://oj.uz/problem/view/APIO17_rainbow&amp;sa=D&amp;ust=1605639799657000&amp;usg=AFQjCNEXZ8hFSz21SlHd7qeOYyYOjft5Vg" TargetMode="External"/><Relationship Id="rId865" Type="http://schemas.openxmlformats.org/officeDocument/2006/relationships/hyperlink" Target="https://www.google.com/url?q=https://github.com/mostafa-saad/MyCompetitiveProgramming/blob/master/Olympiad/infoarena/infoarena_matcnt.txt&amp;sa=D&amp;ust=1605639799873000&amp;usg=AFQjCNH0RY9CL8TJ5Niw352xq2p0e1s0ig" TargetMode="External"/><Relationship Id="rId1050" Type="http://schemas.openxmlformats.org/officeDocument/2006/relationships/hyperlink" Target="https://www.google.com/url?q=https://dmoj.ca/problem/coci07c5p5&amp;sa=D&amp;ust=1605639800001000&amp;usg=AFQjCNFeEo1vwZz3m9ZtDFbD2Is6xVWDhA" TargetMode="External"/><Relationship Id="rId1288" Type="http://schemas.openxmlformats.org/officeDocument/2006/relationships/hyperlink" Target="https://www.google.com/url?q=https://oj.uz/problem/view/JOI19_ho_t4&amp;sa=D&amp;ust=1605639800197000&amp;usg=AFQjCNGTEE3Kd0ChCEof8kNOyVsGDRfFXw" TargetMode="External"/><Relationship Id="rId1495" Type="http://schemas.openxmlformats.org/officeDocument/2006/relationships/hyperlink" Target="https://www.google.com/url?q=https://github.com/mostafa-saad/MyCompetitiveProgramming/blob/master/Olympiad/CEOI/CEOI-05-Fence.txt&amp;sa=D&amp;ust=1605639800378000&amp;usg=AFQjCNEn7ztnf7-quM2aJ2jxN-yq_3je3Q" TargetMode="External"/><Relationship Id="rId2101" Type="http://schemas.openxmlformats.org/officeDocument/2006/relationships/hyperlink" Target="https://www.google.com/url?q=http://usaco.org/index.php?page%3Dviewproblem2%26cpid%3D576&amp;sa=D&amp;ust=1605639800808000&amp;usg=AFQjCNEgI8Dnu_PBWf6DzhZn2xHMVOpUyA" TargetMode="External"/><Relationship Id="rId2339" Type="http://schemas.openxmlformats.org/officeDocument/2006/relationships/hyperlink" Target="https://www.google.com/url?q=https://github.com/mostafa-saad/MyCompetitiveProgramming/tree/master/Olympiad/COCI/official/2009/olympiad_solutions&amp;sa=D&amp;ust=1605639801612000&amp;usg=AFQjCNF1_VFS-KBvcSrFiS4WbCAnMsBDpw" TargetMode="External"/><Relationship Id="rId2546" Type="http://schemas.openxmlformats.org/officeDocument/2006/relationships/hyperlink" Target="https://www.google.com/url?q=https://github.com/mostafa-saad/MyCompetitiveProgramming/blob/master/Olympiad/POI/official/find_editorial_sols_guidelines.txt&amp;sa=D&amp;ust=1605639801877000&amp;usg=AFQjCNEmCyx3tcFeFiB12MtGVzlxsMshUQ" TargetMode="External"/><Relationship Id="rId2753" Type="http://schemas.openxmlformats.org/officeDocument/2006/relationships/hyperlink" Target="https://www.google.com/url?q=https://dmoj.ca/problem/coci08c3p2&amp;sa=D&amp;ust=1605639802093000&amp;usg=AFQjCNH5kUoaYhSSpRtzEH8qO-YuqZ-eSQ" TargetMode="External"/><Relationship Id="rId2960" Type="http://schemas.openxmlformats.org/officeDocument/2006/relationships/hyperlink" Target="https://www.google.com/url?q=https://dunjudge.me/analysis/problems/1190/&amp;sa=D&amp;ust=1605639802366000&amp;usg=AFQjCNHSWMu-W5SnPYUqyA-R2OS4lfXhOw" TargetMode="External"/><Relationship Id="rId518" Type="http://schemas.openxmlformats.org/officeDocument/2006/relationships/hyperlink" Target="https://www.google.com/url?q=https://dunjudge.me/analysis/problems/115/&amp;sa=D&amp;ust=1605639799093000&amp;usg=AFQjCNFkaLp2fWGXZ0EdnXZfe4LR5Z1_GQ" TargetMode="External"/><Relationship Id="rId725" Type="http://schemas.openxmlformats.org/officeDocument/2006/relationships/hyperlink" Target="https://www.google.com/url?q=https://contest.yandex.ru/ioi/contest/566/enter/&amp;sa=D&amp;ust=1605639799697000&amp;usg=AFQjCNHQtdD36jr0VImxGP9RFZYRZINuLg" TargetMode="External"/><Relationship Id="rId932" Type="http://schemas.openxmlformats.org/officeDocument/2006/relationships/hyperlink" Target="https://www.google.com/url?q=https://codeforces.com/blog/entry/68676&amp;sa=D&amp;ust=1605639799903000&amp;usg=AFQjCNFVb2QSsSZ_bTm3dyoO770G1djAjw" TargetMode="External"/><Relationship Id="rId1148" Type="http://schemas.openxmlformats.org/officeDocument/2006/relationships/hyperlink" Target="https://www.google.com/url?q=https://dmoj.ca/problem/coci14c1p5&amp;sa=D&amp;ust=1605639800091000&amp;usg=AFQjCNGtJDCvDKs0hsZKG08PrbY2xh-5SQ" TargetMode="External"/><Relationship Id="rId1355" Type="http://schemas.openxmlformats.org/officeDocument/2006/relationships/hyperlink" Target="https://www.google.com/url?q=https://github.com/mostafa-saad/MyCompetitiveProgramming/blob/master/Olympiad/POI/POI-13-Takeout.txt&amp;sa=D&amp;ust=1605639800269000&amp;usg=AFQjCNEG410xJs_kiglUtbigTqw6VTQ7Sw" TargetMode="External"/><Relationship Id="rId1562" Type="http://schemas.openxmlformats.org/officeDocument/2006/relationships/hyperlink" Target="https://www.google.com/url?q=https://github.com/mostafa-saad/MyCompetitiveProgramming/blob/master/Olympiad/IOI/IOI-04-polygon.txt&amp;sa=D&amp;ust=1605639800404000&amp;usg=AFQjCNFMraZjy0EXUDbkitgQmhw-1XF9UA" TargetMode="External"/><Relationship Id="rId2406" Type="http://schemas.openxmlformats.org/officeDocument/2006/relationships/hyperlink" Target="https://www.google.com/url?q=https://oj.uz/problem/view/COCI19_lun&amp;sa=D&amp;ust=1605639801709000&amp;usg=AFQjCNH8JXSKc_Y6WOSJgHYlJt8MmMM0mQ" TargetMode="External"/><Relationship Id="rId2613" Type="http://schemas.openxmlformats.org/officeDocument/2006/relationships/hyperlink" Target="https://www.google.com/url?q=https://github.com/mostafa-saad/MyCompetitiveProgramming/blob/master/Olympiad/IOI/IOI-07-training.txt&amp;sa=D&amp;ust=1605639801974000&amp;usg=AFQjCNEVm1G8VM1ypUtfSgnUcUHXXErlcw" TargetMode="External"/><Relationship Id="rId1008" Type="http://schemas.openxmlformats.org/officeDocument/2006/relationships/hyperlink" Target="https://www.google.com/url?q=https://github.com/mostafa-saad/MyCompetitiveProgramming/blob/master/Olympiad/POI/POI-05-Banknote.txt&amp;sa=D&amp;ust=1605639799985000&amp;usg=AFQjCNG344axubvJD6Vdo8hWqNivexX-Ug" TargetMode="External"/><Relationship Id="rId1215" Type="http://schemas.openxmlformats.org/officeDocument/2006/relationships/hyperlink" Target="https://www.google.com/url?q=https://szkopul.edu.pl/problemset/problem/X6IwPa2H9FSd3Ly6bYp5t8Vu/site/&amp;sa=D&amp;ust=1605639800171000&amp;usg=AFQjCNHurhIJ7sgPSeDaNewOoiY2L0cKyQ" TargetMode="External"/><Relationship Id="rId1422" Type="http://schemas.openxmlformats.org/officeDocument/2006/relationships/hyperlink" Target="https://www.google.com/url?q=https://dmoj.ca/problem/coci13c1p4&amp;sa=D&amp;ust=1605639800306000&amp;usg=AFQjCNGM4YEN-5A4gjm8XiQNLeDewSgOZQ" TargetMode="External"/><Relationship Id="rId1867" Type="http://schemas.openxmlformats.org/officeDocument/2006/relationships/hyperlink" Target="https://www.google.com/url?q=https://szkopul.edu.pl/problemset/problem/HH7LQVRVHom1g8YRe9423d1P/site/&amp;sa=D&amp;ust=1605639800675000&amp;usg=AFQjCNFacyDVmjItlyh2HJap590fSnpcVg" TargetMode="External"/><Relationship Id="rId2820" Type="http://schemas.openxmlformats.org/officeDocument/2006/relationships/hyperlink" Target="https://www.google.com/url?q=https://oj.uz/problem/view/COCI17_dojave&amp;sa=D&amp;ust=1605639802176000&amp;usg=AFQjCNF9EjEnLQIop4h2puR-EdXmFtxlYw" TargetMode="External"/><Relationship Id="rId2918" Type="http://schemas.openxmlformats.org/officeDocument/2006/relationships/hyperlink" Target="https://www.google.com/url?q=https://joisc2016.contest.atcoder.jp/tasks/joisc2016_a&amp;sa=D&amp;ust=1605639802290000&amp;usg=AFQjCNE7jcA3ybTHuwoOAjPRSli2px7V8g" TargetMode="External"/><Relationship Id="rId61" Type="http://schemas.openxmlformats.org/officeDocument/2006/relationships/hyperlink" Target="https://www.google.com/url?q=https://github.com/mostafa-saad/MyCompetitiveProgramming/blob/master/Olympiad/POI/POI-15-Three.txt&amp;sa=D&amp;ust=1605639798688000&amp;usg=AFQjCNEtkVijQU6tR8yDK6beLFRZ23x72w" TargetMode="External"/><Relationship Id="rId1727" Type="http://schemas.openxmlformats.org/officeDocument/2006/relationships/hyperlink" Target="https://www.google.com/url?q=https://github.com/mostafa-saad/MyCompetitiveProgramming/blob/master/Olympiad/NOI/official&amp;sa=D&amp;ust=1605639800507000&amp;usg=AFQjCNGFHcHXTZbGQroko51b4X4bJi3UDA" TargetMode="External"/><Relationship Id="rId1934" Type="http://schemas.openxmlformats.org/officeDocument/2006/relationships/hyperlink" Target="https://www.google.com/url?q=https://joisc2013-day1.contest.atcoder.jp/tasks/joisc2013_communication&amp;sa=D&amp;ust=1605639800701000&amp;usg=AFQjCNGdFddY_ZOvzMAPouj0bbCoLGxn4g" TargetMode="External"/><Relationship Id="rId19" Type="http://schemas.openxmlformats.org/officeDocument/2006/relationships/hyperlink" Target="https://www.google.com/url?q=https://oj.uz/problem/view/JOI19_minerals&amp;sa=D&amp;ust=1605639798671000&amp;usg=AFQjCNEQnW91g_0dWjYPoOuGkExo6eCBkw" TargetMode="External"/><Relationship Id="rId2196" Type="http://schemas.openxmlformats.org/officeDocument/2006/relationships/hyperlink" Target="https://www.google.com/url?q=https://dunjudge.me/analysis/problems/680/&amp;sa=D&amp;ust=1605639800886000&amp;usg=AFQjCNHLJ8kW0xTuhx30IK84xVbd9M7zZA" TargetMode="External"/><Relationship Id="rId168" Type="http://schemas.openxmlformats.org/officeDocument/2006/relationships/hyperlink" Target="https://www.google.com/url?q=https://szkopul.edu.pl/problemset/problem/iiSZmNzhLW2p6YVBDu0gIf4G/site/&amp;sa=D&amp;ust=1605639798778000&amp;usg=AFQjCNFUx5syJDHSZtL3CJ4zToZnTDqZHA" TargetMode="External"/><Relationship Id="rId375" Type="http://schemas.openxmlformats.org/officeDocument/2006/relationships/hyperlink" Target="https://www.google.com/url?q=https://oj.uz/problem/view/COCI15_geppetto&amp;sa=D&amp;ust=1605639798974000&amp;usg=AFQjCNGuMKtgXL9khlposhcGliTKcRNwFw" TargetMode="External"/><Relationship Id="rId582" Type="http://schemas.openxmlformats.org/officeDocument/2006/relationships/hyperlink" Target="https://www.google.com/url?q=https://szkopul.edu.pl/problemset/problem/07Q0fFk7fU2TmGr6wpPeDCZj/site/&amp;sa=D&amp;ust=1605639799120000&amp;usg=AFQjCNEcTYqfyE0jaOUBH1gvUFe_iFxD3Q" TargetMode="External"/><Relationship Id="rId2056" Type="http://schemas.openxmlformats.org/officeDocument/2006/relationships/hyperlink" Target="https://www.google.com/url?q=https://szkopul.edu.pl/problemset/problem/p9uJo01RR9ouMLLAYroFuQ-7/site/&amp;sa=D&amp;ust=1605639800792000&amp;usg=AFQjCNEiKjXVl1esjz26GR8Nox6YfAF0Tg" TargetMode="External"/><Relationship Id="rId2263" Type="http://schemas.openxmlformats.org/officeDocument/2006/relationships/hyperlink" Target="https://www.google.com/url?q=https://oj.uz/problem/view/COCI17_savrsen&amp;sa=D&amp;ust=1605639801556000&amp;usg=AFQjCNFOTnaYyu64qRJXcfp7XAaLCCJ7eA" TargetMode="External"/><Relationship Id="rId2470" Type="http://schemas.openxmlformats.org/officeDocument/2006/relationships/hyperlink" Target="https://www.google.com/url?q=https://github.com/mostafa-saad/MyCompetitiveProgramming/blob/master/Olympiad/APIO/APIO-10-Patrol.txt&amp;sa=D&amp;ust=1605639801798000&amp;usg=AFQjCNFlqBkuIozkbwcYoO-f7haEmeYD7Q" TargetMode="External"/><Relationship Id="rId3" Type="http://schemas.openxmlformats.org/officeDocument/2006/relationships/hyperlink" Target="https://www.google.com/url?q=https://oj.uz/problem/view/IOI10_maze&amp;sa=D&amp;ust=1605639798665000&amp;usg=AFQjCNEL6VvrjaR0BO-jn55lklVCjyvMCA" TargetMode="External"/><Relationship Id="rId235" Type="http://schemas.openxmlformats.org/officeDocument/2006/relationships/hyperlink" Target="https://www.google.com/url?q=https://wcipeg.com/problem/coci067p3&amp;sa=D&amp;ust=1605639798803000&amp;usg=AFQjCNFD72Yvm416OUsfkQJQQU0uH8nqlQ" TargetMode="External"/><Relationship Id="rId442" Type="http://schemas.openxmlformats.org/officeDocument/2006/relationships/hyperlink" Target="https://www.google.com/url?q=https://oj.uz/problem/view/COI15_ogledala&amp;sa=D&amp;ust=1605639799003000&amp;usg=AFQjCNGDVv2oHO8XuyBTYwpEKTxpxv0egQ" TargetMode="External"/><Relationship Id="rId887" Type="http://schemas.openxmlformats.org/officeDocument/2006/relationships/hyperlink" Target="https://www.google.com/url?q=https://github.com/mostafa-saad/MyCompetitiveProgramming/blob/master/Olympiad/CEOI/CEOI-09-Photo.txt&amp;sa=D&amp;ust=1605639799886000&amp;usg=AFQjCNGja4btYvRWctqYS8r2wy4ize-enQ" TargetMode="External"/><Relationship Id="rId1072" Type="http://schemas.openxmlformats.org/officeDocument/2006/relationships/hyperlink" Target="https://www.google.com/url?q=https://github.com/mostafa-saad/MyCompetitiveProgramming/blob/master/Olympiad/Baltic/Baltic-18-Paths.txt&amp;sa=D&amp;ust=1605639800012000&amp;usg=AFQjCNFvCqur46VuWwDgGzpGuMF1nEJrkQ" TargetMode="External"/><Relationship Id="rId2123" Type="http://schemas.openxmlformats.org/officeDocument/2006/relationships/hyperlink" Target="https://www.google.com/url?q=https://www.infoarena.ro/problema/perioada&amp;sa=D&amp;ust=1605639800817000&amp;usg=AFQjCNHDkI-6FgCApxAH0q5ycJ8nHoHegQ" TargetMode="External"/><Relationship Id="rId2330" Type="http://schemas.openxmlformats.org/officeDocument/2006/relationships/hyperlink" Target="https://www.google.com/url?q=https://szkopul.edu.pl/problemset/problem/_PLjXEFyR0XMBQ-kZ1k_GgHE/site/&amp;sa=D&amp;ust=1605639801609000&amp;usg=AFQjCNEMjUVwMzc2R3dHwguoLgjfD8-s4A" TargetMode="External"/><Relationship Id="rId2568" Type="http://schemas.openxmlformats.org/officeDocument/2006/relationships/hyperlink" Target="https://www.google.com/url?q=https://infoarena.ro/problema/mindist&amp;sa=D&amp;ust=1605639801885000&amp;usg=AFQjCNHrjsqUp1ykLkwD6jIBEw5lB30tvg" TargetMode="External"/><Relationship Id="rId2775" Type="http://schemas.openxmlformats.org/officeDocument/2006/relationships/hyperlink" Target="https://www.google.com/url?q=https://wcipeg.com/problem/coci097p2&amp;sa=D&amp;ust=1605639802104000&amp;usg=AFQjCNHR6nEfApzylos0ZJmzpeIuYk1uUA" TargetMode="External"/><Relationship Id="rId2982" Type="http://schemas.openxmlformats.org/officeDocument/2006/relationships/hyperlink" Target="https://www.google.com/url?q=https://szkopul.edu.pl/problemset/problem/3zwfwt3ZGc2f6NndNgzS3Dfu/site/&amp;sa=D&amp;ust=1605639802381000&amp;usg=AFQjCNHYIMa5UaYyMJvOcmqJOeisXuczfA" TargetMode="External"/><Relationship Id="rId302" Type="http://schemas.openxmlformats.org/officeDocument/2006/relationships/hyperlink" Target="https://www.google.com/url?q=https://github.com/mostafa-saad/MyCompetitiveProgramming/tree/master/Olympiad/COCI/official/2008/contest4_solutions&amp;sa=D&amp;ust=1605639798883000&amp;usg=AFQjCNH8QBIhxWQLdy7bVeRmtV_lm-4Ahg" TargetMode="External"/><Relationship Id="rId747" Type="http://schemas.openxmlformats.org/officeDocument/2006/relationships/hyperlink" Target="https://www.google.com/url?q=https://github.com/stefdasca/CompetitiveProgramming/blob/master/Infoarena/sir3.cpp&amp;sa=D&amp;ust=1605639799706000&amp;usg=AFQjCNGrRXfHty8pONApNXv5RpDnodACuQ" TargetMode="External"/><Relationship Id="rId954" Type="http://schemas.openxmlformats.org/officeDocument/2006/relationships/hyperlink" Target="https://www.google.com/url?q=https://www.infoarena.ro/problema/pitici3&amp;sa=D&amp;ust=1605639799912000&amp;usg=AFQjCNH4cWLDZjC4VMZvO9PyZYVV45kYbg" TargetMode="External"/><Relationship Id="rId1377" Type="http://schemas.openxmlformats.org/officeDocument/2006/relationships/hyperlink" Target="https://www.google.com/url?q=https://github.com/mostafa-saad/MyCompetitiveProgramming/blob/master/Olympiad/POI/POI-12-WarehouseStore.txt&amp;sa=D&amp;ust=1605639800286000&amp;usg=AFQjCNH5dm8lB6d_VJx4EJfX5qFTuOBqsQ" TargetMode="External"/><Relationship Id="rId1584" Type="http://schemas.openxmlformats.org/officeDocument/2006/relationships/hyperlink" Target="https://www.google.com/url?q=https://oj.uz/problem/view/JOI17_cultivation&amp;sa=D&amp;ust=1605639800414000&amp;usg=AFQjCNHXzZd8k-J9vT6k4SROP_4UW8P6uA" TargetMode="External"/><Relationship Id="rId1791" Type="http://schemas.openxmlformats.org/officeDocument/2006/relationships/hyperlink" Target="https://www.google.com/url?q=https://github.com/MohamedAhmed04/Competitive-programming/blob/master/IOI/IOI%25202013-Dreaming.cpp&amp;sa=D&amp;ust=1605639800588000&amp;usg=AFQjCNH1b9k4LQPdgjSXwvT-WrrwJvmBQQ" TargetMode="External"/><Relationship Id="rId2428" Type="http://schemas.openxmlformats.org/officeDocument/2006/relationships/hyperlink" Target="https://www.google.com/url?q=https://oj.uz/problem/view/JOI19_ho_t2&amp;sa=D&amp;ust=1605639801782000&amp;usg=AFQjCNHhdxJyhDnobBRfRpjbQNelXj8HmA" TargetMode="External"/><Relationship Id="rId2635" Type="http://schemas.openxmlformats.org/officeDocument/2006/relationships/hyperlink" Target="https://www.google.com/url?q=https://github.com/luciocf/OI-Problems/blob/master/COCI/COCI%25202017-2018/dostavljac.cpp&amp;sa=D&amp;ust=1605639801981000&amp;usg=AFQjCNGN-rVIvHH4dH_g_3DtPVZlnBUbDw" TargetMode="External"/><Relationship Id="rId2842" Type="http://schemas.openxmlformats.org/officeDocument/2006/relationships/hyperlink" Target="https://www.google.com/url?q=https://dmoj.ca/problem/dmopc17c5p4&amp;sa=D&amp;ust=1605639802189000&amp;usg=AFQjCNEtonI63DNrqm6BHwxrX8a3sHWH8w" TargetMode="External"/><Relationship Id="rId83" Type="http://schemas.openxmlformats.org/officeDocument/2006/relationships/hyperlink" Target="https://www.google.com/url?q=https://github.com/mostafa-saad/MyCompetitiveProgramming/blob/master/Olympiad/JOI/JOIOC-19-Remittance.txt&amp;sa=D&amp;ust=1605639798707000&amp;usg=AFQjCNHhk3_JuYr0Oejzz7fBDc1bV5-DEA" TargetMode="External"/><Relationship Id="rId607" Type="http://schemas.openxmlformats.org/officeDocument/2006/relationships/hyperlink" Target="https://www.google.com/url?q=https://github.com/win11905/submission/blob/master/OCN/15/2C.cpp&amp;sa=D&amp;ust=1605639799165000&amp;usg=AFQjCNF-PfUA5A2ibJyLFiluBLb_W6DQHg" TargetMode="External"/><Relationship Id="rId814" Type="http://schemas.openxmlformats.org/officeDocument/2006/relationships/hyperlink" Target="https://www.google.com/url?q=https://github.com/mostafa-saad/MyCompetitiveProgramming/blob/master/Olympiad/POI/official/find_editorial_sols_guidelines.txt&amp;sa=D&amp;ust=1605639799790000&amp;usg=AFQjCNEiUEzF4Dr1zsp785wFiJjACeDIOw" TargetMode="External"/><Relationship Id="rId1237" Type="http://schemas.openxmlformats.org/officeDocument/2006/relationships/hyperlink" Target="https://www.google.com/url?q=https://infoarena.ro/problema/sms&amp;sa=D&amp;ust=1605639800180000&amp;usg=AFQjCNG9274F3N38OhhpYjaxne7eCP61zQ" TargetMode="External"/><Relationship Id="rId1444" Type="http://schemas.openxmlformats.org/officeDocument/2006/relationships/hyperlink" Target="https://www.google.com/url?q=https://dunjudge.me/analysis/problems/214/&amp;sa=D&amp;ust=1605639800313000&amp;usg=AFQjCNGBKdqQSxKb2-oTjhuh0etvETovsQ" TargetMode="External"/><Relationship Id="rId1651" Type="http://schemas.openxmlformats.org/officeDocument/2006/relationships/hyperlink" Target="https://www.google.com/url?q=https://oj.uz/problem/view/BOI16_park&amp;sa=D&amp;ust=1605639800480000&amp;usg=AFQjCNFZrrZNkMlVaobfjWIEsrG6f03PrA" TargetMode="External"/><Relationship Id="rId1889" Type="http://schemas.openxmlformats.org/officeDocument/2006/relationships/hyperlink" Target="https://www.google.com/url?q=https://github.com/tmwilliamlin168/CompetitiveProgramming/blob/master/BtOI/14-Portals.cpp&amp;sa=D&amp;ust=1605639800682000&amp;usg=AFQjCNGY2GY8arvtm2fNI4ZquVdl6-CpYA" TargetMode="External"/><Relationship Id="rId2702" Type="http://schemas.openxmlformats.org/officeDocument/2006/relationships/hyperlink" Target="https://www.google.com/url?q=https://cses.fi/188/list/&amp;sa=D&amp;ust=1605639802066000&amp;usg=AFQjCNGEr5pDPAJQpISusOKFX5ckBkGFLg" TargetMode="External"/><Relationship Id="rId1304" Type="http://schemas.openxmlformats.org/officeDocument/2006/relationships/hyperlink" Target="https://www.google.com/url?q=https://github.com/dolphingarlic/CompetitiveProgramming/blob/master/POI/POI-11-Lollipop.txt&amp;sa=D&amp;ust=1605639800205000&amp;usg=AFQjCNGTPp3xxoPhiptEeQyJZ2Ekbdmuhg" TargetMode="External"/><Relationship Id="rId1511" Type="http://schemas.openxmlformats.org/officeDocument/2006/relationships/hyperlink" Target="https://www.google.com/url?q=https://github.com/mostafa-saad/MyCompetitiveProgramming/blob/master/Olympiad/COCI/COCI-09-Xor.txt&amp;sa=D&amp;ust=1605639800384000&amp;usg=AFQjCNGRSmPrnyUUn-67zPomRb0qcXQpUw" TargetMode="External"/><Relationship Id="rId1749" Type="http://schemas.openxmlformats.org/officeDocument/2006/relationships/hyperlink" Target="https://www.google.com/url?q=https://dunjudge.me/analysis/problems/935/&amp;sa=D&amp;ust=1605639800567000&amp;usg=AFQjCNH98jO5Fnp9gkQ6DDapDes1aMDCSQ" TargetMode="External"/><Relationship Id="rId1956" Type="http://schemas.openxmlformats.org/officeDocument/2006/relationships/hyperlink" Target="https://www.google.com/url?q=https://dmoj.ca/problem/cco07p6&amp;sa=D&amp;ust=1605639800709000&amp;usg=AFQjCNFZNzlvKXW-KYSqBbVh2ZI4iAIr7g" TargetMode="External"/><Relationship Id="rId1609" Type="http://schemas.openxmlformats.org/officeDocument/2006/relationships/hyperlink" Target="https://www.google.com/url?q=https://oj.uz/problem/view/JOI17_city&amp;sa=D&amp;ust=1605639800422000&amp;usg=AFQjCNFT8egQEv8zQVWaud2YR_Cq--_BYA" TargetMode="External"/><Relationship Id="rId1816" Type="http://schemas.openxmlformats.org/officeDocument/2006/relationships/hyperlink" Target="https://www.google.com/url?q=https://oj.uz/problem/view/IOI08_islands&amp;sa=D&amp;ust=1605639800596000&amp;usg=AFQjCNEF4xk1mAYxmAir09drvEEgsJyTWQ" TargetMode="External"/><Relationship Id="rId10" Type="http://schemas.openxmlformats.org/officeDocument/2006/relationships/hyperlink" Target="https://www.google.com/url?q=https://www.acmicpc.net/problem/11556&amp;sa=D&amp;ust=1605639798668000&amp;usg=AFQjCNFQKKxcG-SiKZNZE1XVV1FHbfCSYg" TargetMode="External"/><Relationship Id="rId397" Type="http://schemas.openxmlformats.org/officeDocument/2006/relationships/hyperlink" Target="https://www.google.com/url?q=https://github.com/updown2/OI-Practice/blob/master/USACO/2012-2013/December/Gold/Gangs.cpp&amp;sa=D&amp;ust=1605639798982000&amp;usg=AFQjCNGq23QNdrr7BrRHvUpABwNYa7dzgg" TargetMode="External"/><Relationship Id="rId2078" Type="http://schemas.openxmlformats.org/officeDocument/2006/relationships/hyperlink" Target="https://www.google.com/url?q=https://github.com/mostafa-saad/MyCompetitiveProgramming/blob/master/Olympiad/COCI/COCI-07-Staza.txt&amp;sa=D&amp;ust=1605639800800000&amp;usg=AFQjCNEUMbroPJ9o2F7AVG0GHGRfUyv2QQ" TargetMode="External"/><Relationship Id="rId2285" Type="http://schemas.openxmlformats.org/officeDocument/2006/relationships/hyperlink" Target="https://www.google.com/url?q=https://github.com/updown2/OI-Practice/blob/master/IOI/IOI%25202008/Type%2520Printer.cpp&amp;sa=D&amp;ust=1605639801572000&amp;usg=AFQjCNE4BsMPhWtPjfnnrUScvmsQs_9FnA" TargetMode="External"/><Relationship Id="rId2492" Type="http://schemas.openxmlformats.org/officeDocument/2006/relationships/hyperlink" Target="https://www.google.com/url?q=https://www.infoarena.ro/problema/disconnect&amp;sa=D&amp;ust=1605639801807000&amp;usg=AFQjCNGIjIpPjUhQclzUI8ksPuRyqkZpOQ" TargetMode="External"/><Relationship Id="rId257" Type="http://schemas.openxmlformats.org/officeDocument/2006/relationships/hyperlink" Target="https://www.google.com/url?q=https://dmoj.ca/problem/coci08c3p3&amp;sa=D&amp;ust=1605639798866000&amp;usg=AFQjCNH0Dx0A_hWPFFa1PrD4CWgPzCGl4g" TargetMode="External"/><Relationship Id="rId464" Type="http://schemas.openxmlformats.org/officeDocument/2006/relationships/hyperlink" Target="https://www.google.com/url?q=https://oj.uz/problem/view/COI14_kosta&amp;sa=D&amp;ust=1605639799011000&amp;usg=AFQjCNGBDikyfbiwwp8ShlAkdTvnCg6jGw" TargetMode="External"/><Relationship Id="rId1094" Type="http://schemas.openxmlformats.org/officeDocument/2006/relationships/hyperlink" Target="https://www.google.com/url?q=https://dunjudge.me/analysis/problems/703/&amp;sa=D&amp;ust=1605639800066000&amp;usg=AFQjCNHNwdx-P22cxlSZuW9jdxpo218jjg" TargetMode="External"/><Relationship Id="rId2145" Type="http://schemas.openxmlformats.org/officeDocument/2006/relationships/hyperlink" Target="https://www.google.com/url?q=https://github.com/stefdasca/CompetitiveProgramming/blob/master/Infoarena/matrice.cpp&amp;sa=D&amp;ust=1605639800866000&amp;usg=AFQjCNHG8A0cyKXxeP4uMmhcx4hd_oVtVA" TargetMode="External"/><Relationship Id="rId2797" Type="http://schemas.openxmlformats.org/officeDocument/2006/relationships/hyperlink" Target="https://www.google.com/url?q=https://wcipeg.com/problem/coci093p3&amp;sa=D&amp;ust=1605639802166000&amp;usg=AFQjCNE6YwF0_7hh75krH8jAV5AIiGZ0qQ" TargetMode="External"/><Relationship Id="rId117" Type="http://schemas.openxmlformats.org/officeDocument/2006/relationships/hyperlink" Target="https://www.google.com/url?q=https://github.com/stefdasca/CompetitiveProgramming/blob/master/Infoarena/identice&amp;sa=D&amp;ust=1605639798720000&amp;usg=AFQjCNHcXsaQXtyaV-sml6_-AGFwpmoQQQ" TargetMode="External"/><Relationship Id="rId671" Type="http://schemas.openxmlformats.org/officeDocument/2006/relationships/hyperlink" Target="https://www.google.com/url?q=https://github.com/mostafa-saad/MyCompetitiveProgramming/tree/master/Olympiad/Balkan/official/2012&amp;sa=D&amp;ust=1605639799661000&amp;usg=AFQjCNHhqe4dBItskbh2f-iG1lF3fxpE9w" TargetMode="External"/><Relationship Id="rId769" Type="http://schemas.openxmlformats.org/officeDocument/2006/relationships/hyperlink" Target="https://www.google.com/url?q=http://usaco.org/index.php?page%3Dviewproblem2%26cpid%3D578&amp;sa=D&amp;ust=1605639799716000&amp;usg=AFQjCNGZKkCXdgNlc0J-EoSRTiUkvlgUoA" TargetMode="External"/><Relationship Id="rId976" Type="http://schemas.openxmlformats.org/officeDocument/2006/relationships/hyperlink" Target="https://www.google.com/url?q=https://oj.uz/problem/view/IZhO17_bootfall&amp;sa=D&amp;ust=1605639799971000&amp;usg=AFQjCNH3u60zDOjYgptSnXb1vB_MB1J6Ew" TargetMode="External"/><Relationship Id="rId1399" Type="http://schemas.openxmlformats.org/officeDocument/2006/relationships/hyperlink" Target="https://www.google.com/url?q=https://cses.fi/115/list/&amp;sa=D&amp;ust=1605639800295000&amp;usg=AFQjCNGK5rGQAE813D7ruHxnkJq-YbWNQQ" TargetMode="External"/><Relationship Id="rId2352" Type="http://schemas.openxmlformats.org/officeDocument/2006/relationships/hyperlink" Target="https://www.google.com/url?q=https://github.com/nikolapesic2802/Programming-Practice/blob/master/Collecting%2520stamps/main.cpp&amp;sa=D&amp;ust=1605639801616000&amp;usg=AFQjCNHV-7Y22CSK1zwLNBHHqzU2dmFwdA" TargetMode="External"/><Relationship Id="rId2657" Type="http://schemas.openxmlformats.org/officeDocument/2006/relationships/hyperlink" Target="https://www.google.com/url?q=https://github.com/mostafa-saad/MyCompetitiveProgramming/blob/master/Olympiad/COI/COI-16-palinilap.txt&amp;sa=D&amp;ust=1605639801990000&amp;usg=AFQjCNEn6GvOim5y0Jzo40Jf2zUYYLgvZw" TargetMode="External"/><Relationship Id="rId324" Type="http://schemas.openxmlformats.org/officeDocument/2006/relationships/hyperlink" Target="https://www.google.com/url?q=https://dmoj.ca/problem/coci14c3p2&amp;sa=D&amp;ust=1605639798892000&amp;usg=AFQjCNH5P4waG_KHobi6zF04YIyq8Qncog" TargetMode="External"/><Relationship Id="rId531" Type="http://schemas.openxmlformats.org/officeDocument/2006/relationships/hyperlink" Target="https://www.google.com/url?q=https://dunjudge.me/analysis/problems/682/&amp;sa=D&amp;ust=1605639799100000&amp;usg=AFQjCNGrdLlTB5ofAylKcLi1idpQJEhgog" TargetMode="External"/><Relationship Id="rId629" Type="http://schemas.openxmlformats.org/officeDocument/2006/relationships/hyperlink" Target="https://www.google.com/url?q=https://github.com/mostafa-saad/MyCompetitiveProgramming/blob/master/Olympiad/COCI/official/2018/contest2_solutions&amp;sa=D&amp;ust=1605639799177000&amp;usg=AFQjCNGK1hhsCEoD71TOUMUg2WbMBqf9JA" TargetMode="External"/><Relationship Id="rId1161" Type="http://schemas.openxmlformats.org/officeDocument/2006/relationships/hyperlink" Target="https://www.google.com/url?q=https://dunjudge.me/analysis/problems/675/&amp;sa=D&amp;ust=1605639800097000&amp;usg=AFQjCNGJHoGZzL7VxAH_EyldXJ_2dVDc5A" TargetMode="External"/><Relationship Id="rId1259" Type="http://schemas.openxmlformats.org/officeDocument/2006/relationships/hyperlink" Target="https://www.google.com/url?q=http://www.spoj.com/problems/BACKUP/&amp;sa=D&amp;ust=1605639800188000&amp;usg=AFQjCNGAQg2zA6pn52pQt5HA9vNxOr-KIA" TargetMode="External"/><Relationship Id="rId1466" Type="http://schemas.openxmlformats.org/officeDocument/2006/relationships/hyperlink" Target="https://www.google.com/url?q=https://github.com/mostafa-saad/MyCompetitiveProgramming/blob/master/Olympiad/Baltic/official/boi2016_solutions&amp;sa=D&amp;ust=1605639800368000&amp;usg=AFQjCNFe2Bi5EN_rRBmzfoXUdglNi9Y_2w" TargetMode="External"/><Relationship Id="rId2005" Type="http://schemas.openxmlformats.org/officeDocument/2006/relationships/hyperlink" Target="https://www.google.com/url?q=https://training.ia-toki.org/problemsets/113/problems/632/&amp;sa=D&amp;ust=1605639800770000&amp;usg=AFQjCNHcTiO00z2Lr7uH7MniiVveZ06Wfg" TargetMode="External"/><Relationship Id="rId2212" Type="http://schemas.openxmlformats.org/officeDocument/2006/relationships/hyperlink" Target="https://www.google.com/url?q=https://github.com/mostafa-saad/MyCompetitiveProgramming/blob/master/Olympiad/Baltic/official/boi2010_solutions&amp;sa=D&amp;ust=1605639800893000&amp;usg=AFQjCNEfshHgba70JEZXPm8EckGi_O_nsQ" TargetMode="External"/><Relationship Id="rId2864" Type="http://schemas.openxmlformats.org/officeDocument/2006/relationships/hyperlink" Target="https://www.google.com/url?q=https://codeforces.com/gym/102436?locale%3Den&amp;sa=D&amp;ust=1605639802204000&amp;usg=AFQjCNEW83Yu12QmekkVDN5xTl-j3VMo9g" TargetMode="External"/><Relationship Id="rId836" Type="http://schemas.openxmlformats.org/officeDocument/2006/relationships/hyperlink" Target="https://www.google.com/url?q=https://oj.uz/problem/view/IOI17_wiring&amp;sa=D&amp;ust=1605639799799000&amp;usg=AFQjCNF9GN0LCyLENJhvl73779B4I96SiQ" TargetMode="External"/><Relationship Id="rId1021" Type="http://schemas.openxmlformats.org/officeDocument/2006/relationships/hyperlink" Target="https://www.google.com/url?q=https://cses.fi/101/list/&amp;sa=D&amp;ust=1605639799989000&amp;usg=AFQjCNGhC9KVWJfxQ_hFKPjIxAFB2JJqcQ" TargetMode="External"/><Relationship Id="rId1119" Type="http://schemas.openxmlformats.org/officeDocument/2006/relationships/hyperlink" Target="https://www.google.com/url?q=https://cses.fi/116/list/&amp;sa=D&amp;ust=1605639800077000&amp;usg=AFQjCNGN8NelU3VTno8goK0eyxVH435QcA" TargetMode="External"/><Relationship Id="rId1673" Type="http://schemas.openxmlformats.org/officeDocument/2006/relationships/hyperlink" Target="https://www.google.com/url?q=https://oj.uz/problem/view/IOI14_friend&amp;sa=D&amp;ust=1605639800488000&amp;usg=AFQjCNEHaozYAJ6F3X4hf3VaUlHKSbokYQ" TargetMode="External"/><Relationship Id="rId1880" Type="http://schemas.openxmlformats.org/officeDocument/2006/relationships/hyperlink" Target="https://www.google.com/url?q=https://szkopul.edu.pl/problemset/problem/4CirgBfxbj9tIAS2C7DWCCd7/site/?key%3Dstatement&amp;sa=D&amp;ust=1605639800679000&amp;usg=AFQjCNGR7aaDzW8KSrZMBqtY5lElbqaw2w" TargetMode="External"/><Relationship Id="rId1978" Type="http://schemas.openxmlformats.org/officeDocument/2006/relationships/hyperlink" Target="https://www.google.com/url?q=https://github.com/mostafa-saad/MyCompetitiveProgramming/blob/master/Olympiad/Baltic/Baltic-14-postmen.txt&amp;sa=D&amp;ust=1605639800716000&amp;usg=AFQjCNFF6IHBVTYAjQOYL2XwZfUF2qlsZQ" TargetMode="External"/><Relationship Id="rId2517" Type="http://schemas.openxmlformats.org/officeDocument/2006/relationships/hyperlink" Target="https://www.google.com/url?q=https://szkopul.edu.pl/problemset/problem/oSpFEpvAxKNk0Il-nOe5L9El/site/&amp;sa=D&amp;ust=1605639801868000&amp;usg=AFQjCNH5wG7GzCFnD5JBosXYq4guJjsNLQ" TargetMode="External"/><Relationship Id="rId2724" Type="http://schemas.openxmlformats.org/officeDocument/2006/relationships/hyperlink" Target="https://www.google.com/url?q=https://github.com/mostafa-saad/MyCompetitiveProgramming/tree/master/Olympiad/COCI/official/2007/contest2_solutions&amp;sa=D&amp;ust=1605639802083000&amp;usg=AFQjCNHHI6umj5YslfYL4sIOYioP9kpjLg" TargetMode="External"/><Relationship Id="rId2931" Type="http://schemas.openxmlformats.org/officeDocument/2006/relationships/hyperlink" Target="https://www.google.com/url?q=https://github.com/mostafa-saad/MyCompetitiveProgramming/tree/master/Olympiad/MCO/official/2015&amp;sa=D&amp;ust=1605639802298000&amp;usg=AFQjCNEY7BhoyofAJEZQDRDUlYSvkYEVHg" TargetMode="External"/><Relationship Id="rId903" Type="http://schemas.openxmlformats.org/officeDocument/2006/relationships/hyperlink" Target="https://www.google.com/url?q=https://github.com/mostafa-saad/MyCompetitiveProgramming/blob/master/Olympiad/CEOI/CEOI-16-popeala.txt&amp;sa=D&amp;ust=1605639799892000&amp;usg=AFQjCNFsEd2PKLuEu8wds0lAARF5NFviCA" TargetMode="External"/><Relationship Id="rId1326" Type="http://schemas.openxmlformats.org/officeDocument/2006/relationships/hyperlink" Target="https://www.google.com/url?q=https://github.com/mostafa-saad/MyCompetitiveProgramming/blob/master/Olympiad/COCI/COCI-09-Ograda.txt&amp;sa=D&amp;ust=1605639800216000&amp;usg=AFQjCNF5gtrrsv3Q-xBbcUFoWkxvXkaSig" TargetMode="External"/><Relationship Id="rId1533" Type="http://schemas.openxmlformats.org/officeDocument/2006/relationships/hyperlink" Target="https://www.google.com/url?q=https://github.com/mostafa-saad/MyCompetitiveProgramming/blob/master/Olympiad/POI/official/find_editorial_sols_guidelines.txt&amp;sa=D&amp;ust=1605639800393000&amp;usg=AFQjCNHidDbXZ6dRYYpuZQaYmPGDJq6rjQ" TargetMode="External"/><Relationship Id="rId1740" Type="http://schemas.openxmlformats.org/officeDocument/2006/relationships/hyperlink" Target="https://www.google.com/url?q=https://github.com/mostafa-saad/MyCompetitiveProgramming/blob/master/Olympiad/NOI/official&amp;sa=D&amp;ust=1605639800520000&amp;usg=AFQjCNEY-me5aVG0qqbGalKOwuUGDr7HWw" TargetMode="External"/><Relationship Id="rId32" Type="http://schemas.openxmlformats.org/officeDocument/2006/relationships/hyperlink" Target="https://www.google.com/url?q=https://szkopul.edu.pl/problemset/problem/qQGtOc61vnHgCrs01ORC7iD1/site/&amp;sa=D&amp;ust=1605639798675000&amp;usg=AFQjCNEHU99tBId3I8tUAhoZyDHQVwmCWg" TargetMode="External"/><Relationship Id="rId1600" Type="http://schemas.openxmlformats.org/officeDocument/2006/relationships/hyperlink" Target="https://www.google.com/url?q=https://cses.fi/185/list/&amp;sa=D&amp;ust=1605639800418000&amp;usg=AFQjCNFdhbm1xT6xl5Ckf_rFTFTBBMlqCQ" TargetMode="External"/><Relationship Id="rId1838" Type="http://schemas.openxmlformats.org/officeDocument/2006/relationships/hyperlink" Target="https://www.google.com/url?q=https://oj.uz/problem/view/BOI13_tracks&amp;sa=D&amp;ust=1605639800604000&amp;usg=AFQjCNE5yoe39A670Acqozan-D9btBuzEA" TargetMode="External"/><Relationship Id="rId181" Type="http://schemas.openxmlformats.org/officeDocument/2006/relationships/hyperlink" Target="https://www.google.com/url?q=https://szkopul.edu.pl/problemset/problem/k9UKIj11V6iPRc3LaiYQYHyi/site/&amp;sa=D&amp;ust=1605639798782000&amp;usg=AFQjCNG83JCKdZCzELXvY2iluTU_de_IFg" TargetMode="External"/><Relationship Id="rId1905" Type="http://schemas.openxmlformats.org/officeDocument/2006/relationships/hyperlink" Target="https://www.google.com/url?q=https://szkopul.edu.pl/problemset/problem/Jnq0pGf9q3nVm-b1h6Bg23G9/site/&amp;sa=D&amp;ust=1605639800691000&amp;usg=AFQjCNEBe26yaUd67qyIgBz2yntE3g3Rpw" TargetMode="External"/><Relationship Id="rId279" Type="http://schemas.openxmlformats.org/officeDocument/2006/relationships/hyperlink" Target="https://www.google.com/url?q=https://dmoj.ca/problem/coci08c6p3&amp;sa=D&amp;ust=1605639798874000&amp;usg=AFQjCNEXyMQT488g5hxaR0iHhUchuT4rhg" TargetMode="External"/><Relationship Id="rId486" Type="http://schemas.openxmlformats.org/officeDocument/2006/relationships/hyperlink" Target="https://www.google.com/url?q=https://github.com/win11905/submission/blob/master/TOKI/17/radius/radius.cpp&amp;sa=D&amp;ust=1605639799065000&amp;usg=AFQjCNGJjN2vtN_UUcQgB_2mhpuFE-UaRQ" TargetMode="External"/><Relationship Id="rId693" Type="http://schemas.openxmlformats.org/officeDocument/2006/relationships/hyperlink" Target="https://www.google.com/url?q=https://github.com/mostafa-saad/MyCompetitiveProgramming/blob/master/Olympiad/IOI/IOI-07-sails.txt&amp;sa=D&amp;ust=1605639799671000&amp;usg=AFQjCNFh25GEMyw7aCyzKUyZQ35IKNs20Q" TargetMode="External"/><Relationship Id="rId2167" Type="http://schemas.openxmlformats.org/officeDocument/2006/relationships/hyperlink" Target="https://www.google.com/url?q=https://contest.yandex.ru/ioi/contest/566/enter/&amp;sa=D&amp;ust=1605639800874000&amp;usg=AFQjCNGJTm7kNjE1jdUhs0kxMb4St6arvA" TargetMode="External"/><Relationship Id="rId2374" Type="http://schemas.openxmlformats.org/officeDocument/2006/relationships/hyperlink" Target="https://www.google.com/url?q=https://codeforces.com/group/swEqtABRxe/contest/243435/problem/C&amp;sa=D&amp;ust=1605639801689000&amp;usg=AFQjCNH8RgZTiw4LbSscYqhj1Un3lS0Wqw" TargetMode="External"/><Relationship Id="rId2581" Type="http://schemas.openxmlformats.org/officeDocument/2006/relationships/hyperlink" Target="https://www.google.com/url?q=https://dmoj.ca/problem/dmpg18s5&amp;sa=D&amp;ust=1605639801896000&amp;usg=AFQjCNEBONd6u8LeJyt6ypU5-negEcCZ9g" TargetMode="External"/><Relationship Id="rId139" Type="http://schemas.openxmlformats.org/officeDocument/2006/relationships/hyperlink" Target="https://www.google.com/url?q=https://szkopul.edu.pl/problemset/problem/Syg2bcb2gzeOcCBXcL4ap80b/site/&amp;sa=D&amp;ust=1605639798728000&amp;usg=AFQjCNEnIWMzMXGx65vTidKp1zXcHAnlBg" TargetMode="External"/><Relationship Id="rId346" Type="http://schemas.openxmlformats.org/officeDocument/2006/relationships/hyperlink" Target="https://www.google.com/url?q=https://oj.uz/problem/view/COCI16_go&amp;sa=D&amp;ust=1605639798904000&amp;usg=AFQjCNHBVLWyNlWqB3KKjtRxxX-XlV12Sg" TargetMode="External"/><Relationship Id="rId553" Type="http://schemas.openxmlformats.org/officeDocument/2006/relationships/hyperlink" Target="https://www.google.com/url?q=https://github.com/mostafa-saad/MyCompetitiveProgramming/blob/master/Olympiad/JOI/JOISC-17-arranging_tickets.txt&amp;sa=D&amp;ust=1605639799107000&amp;usg=AFQjCNHD8-1kBRJpb9nCJJMjo0DM75d22Q" TargetMode="External"/><Relationship Id="rId760" Type="http://schemas.openxmlformats.org/officeDocument/2006/relationships/hyperlink" Target="https://www.google.com/url?q=https://dmoj.ca/problem/coci07c3p6&amp;sa=D&amp;ust=1605639799713000&amp;usg=AFQjCNHmVsa9xS5wKBoqAfV8I7lXV5Liug" TargetMode="External"/><Relationship Id="rId998" Type="http://schemas.openxmlformats.org/officeDocument/2006/relationships/hyperlink" Target="https://www.google.com/url?q=https://www.infoarena.ro/problema/secvbest&amp;sa=D&amp;ust=1605639799981000&amp;usg=AFQjCNEDiQohN5IYS6TF8sYEta5cPVM8LA" TargetMode="External"/><Relationship Id="rId1183" Type="http://schemas.openxmlformats.org/officeDocument/2006/relationships/hyperlink" Target="https://www.google.com/url?q=https://codeforces.com/blog/entry/68748&amp;sa=D&amp;ust=1605639800112000&amp;usg=AFQjCNEC2nWo-nlF19AB-v_dGie7bwbBDQ" TargetMode="External"/><Relationship Id="rId1390" Type="http://schemas.openxmlformats.org/officeDocument/2006/relationships/hyperlink" Target="https://www.google.com/url?q=https://github.com/tmwilliamlin168/CompetitiveProgramming/blob/master/CEOI/17-Sure.cpp&amp;sa=D&amp;ust=1605639800292000&amp;usg=AFQjCNGDxvgfFJ16F6ihL01j_qBFZcdWxQ" TargetMode="External"/><Relationship Id="rId2027" Type="http://schemas.openxmlformats.org/officeDocument/2006/relationships/hyperlink" Target="https://www.google.com/url?q=https://github.com/mostafa-saad/MyCompetitiveProgramming/blob/master/Olympiad/COCI/COCI-18-pictionary.txt&amp;sa=D&amp;ust=1605639800780000&amp;usg=AFQjCNFsXbcLx-uSV_sHEelbGSiwfp3QCQ" TargetMode="External"/><Relationship Id="rId2234" Type="http://schemas.openxmlformats.org/officeDocument/2006/relationships/hyperlink" Target="https://www.google.com/url?q=https://www.infoarena.ro/problema/countfefete&amp;sa=D&amp;ust=1605639800901000&amp;usg=AFQjCNH6-ZUjexJS5zA8i_lv3HKftxBYYA" TargetMode="External"/><Relationship Id="rId2441" Type="http://schemas.openxmlformats.org/officeDocument/2006/relationships/hyperlink" Target="https://www.google.com/url?q=https://github.com/mostafa-saad/MyCompetitiveProgramming/blob/master/Olympiad/Baltic/Baltic-15-bow.txt&amp;sa=D&amp;ust=1605639801786000&amp;usg=AFQjCNFpqO86tPRzKt_IXHoxmLwok75yEg" TargetMode="External"/><Relationship Id="rId2679" Type="http://schemas.openxmlformats.org/officeDocument/2006/relationships/hyperlink" Target="https://www.google.com/url?q=https://www.acmicpc.net/problem/7083&amp;sa=D&amp;ust=1605639802002000&amp;usg=AFQjCNF8reArk4DWz3CECIy-EWrAzFa7KQ" TargetMode="External"/><Relationship Id="rId2886" Type="http://schemas.openxmlformats.org/officeDocument/2006/relationships/hyperlink" Target="https://www.google.com/url?q=https://oj.uz/problem/view/JOI17_rope&amp;sa=D&amp;ust=1605639802269000&amp;usg=AFQjCNF5Tbt-tFFsJ7C1cv9_CQAdn7Nm1g" TargetMode="External"/><Relationship Id="rId206" Type="http://schemas.openxmlformats.org/officeDocument/2006/relationships/hyperlink" Target="https://www.google.com/url?q=https://dmoj.ca/problem/coci14c4p4&amp;sa=D&amp;ust=1605639798791000&amp;usg=AFQjCNHTsyRvVHJFbL7pj-KR8ELPCpltcQ" TargetMode="External"/><Relationship Id="rId413" Type="http://schemas.openxmlformats.org/officeDocument/2006/relationships/hyperlink" Target="https://www.google.com/url?q=https://github.com/mostafa-saad/MyCompetitiveProgramming/blob/master/Olympiad/COCI/official/2015/contest6_solutions&amp;sa=D&amp;ust=1605639798991000&amp;usg=AFQjCNEXKXvW20D-V_zuGjzSd5UVGMJQkA" TargetMode="External"/><Relationship Id="rId858" Type="http://schemas.openxmlformats.org/officeDocument/2006/relationships/hyperlink" Target="https://www.google.com/url?q=https://www.infoarena.ro/problema/fft2d&amp;sa=D&amp;ust=1605639799871000&amp;usg=AFQjCNFgk_UkIjbtkweuyh-4ucVXZ7qzQA" TargetMode="External"/><Relationship Id="rId1043" Type="http://schemas.openxmlformats.org/officeDocument/2006/relationships/hyperlink" Target="https://www.google.com/url?q=https://joisc2013-day2.contest.atcoder.jp/tasks/joisc2013_mascots&amp;sa=D&amp;ust=1605639799998000&amp;usg=AFQjCNGt21HjRL2uWjeYumxAxfXFios1zw" TargetMode="External"/><Relationship Id="rId1488" Type="http://schemas.openxmlformats.org/officeDocument/2006/relationships/hyperlink" Target="https://www.google.com/url?q=https://szkopul.edu.pl/problemset/problem/kxK8IowlpnNmHqkDDoK-hIeZ/site/&amp;sa=D&amp;ust=1605639800376000&amp;usg=AFQjCNEzzxNT9Xq8-pu5PSMvGoET1Kmi_A" TargetMode="External"/><Relationship Id="rId1695" Type="http://schemas.openxmlformats.org/officeDocument/2006/relationships/hyperlink" Target="https://www.google.com/url?q=https://dmoj.ca/problem/coci14c1p4&amp;sa=D&amp;ust=1605639800496000&amp;usg=AFQjCNE_jS6zd1uHWm2jurYztNILatW6Lw" TargetMode="External"/><Relationship Id="rId2539" Type="http://schemas.openxmlformats.org/officeDocument/2006/relationships/hyperlink" Target="https://www.google.com/url?q=https://www.infoarena.ro/problema/vmin&amp;sa=D&amp;ust=1605639801874000&amp;usg=AFQjCNF6bIyGieaovnAjH3EbidfC6XE65A" TargetMode="External"/><Relationship Id="rId2746" Type="http://schemas.openxmlformats.org/officeDocument/2006/relationships/hyperlink" Target="https://www.google.com/url?q=https://github.com/mostafa-saad/MyCompetitiveProgramming/blob/master/Olympiad/COCI/official/2009/contest2_solutions&amp;sa=D&amp;ust=1605639802091000&amp;usg=AFQjCNEF6fvzhN7D2re_d2RH8_eIlg8MjQ" TargetMode="External"/><Relationship Id="rId2953" Type="http://schemas.openxmlformats.org/officeDocument/2006/relationships/hyperlink" Target="https://www.google.com/url?q=https://dunjudge.me/analysis/problems/1174/&amp;sa=D&amp;ust=1605639802311000&amp;usg=AFQjCNGeGESLM8sPKuvaZpxylNXuyyNzRg" TargetMode="External"/><Relationship Id="rId620" Type="http://schemas.openxmlformats.org/officeDocument/2006/relationships/hyperlink" Target="https://www.google.com/url?q=https://cses.fi/101/list/&amp;sa=D&amp;ust=1605639799170000&amp;usg=AFQjCNGdpcTWF0Gh86XguYUyzrf_HeiUXQ" TargetMode="External"/><Relationship Id="rId718" Type="http://schemas.openxmlformats.org/officeDocument/2006/relationships/hyperlink" Target="https://www.google.com/url?q=https://cses.fi/179/list/&amp;sa=D&amp;ust=1605639799689000&amp;usg=AFQjCNEeJ9TysAbidPsM-oNjd6G1iIT0qQ" TargetMode="External"/><Relationship Id="rId925" Type="http://schemas.openxmlformats.org/officeDocument/2006/relationships/hyperlink" Target="https://www.google.com/url?q=https://cses.fi/99/list/&amp;sa=D&amp;ust=1605639799901000&amp;usg=AFQjCNEN2vRRQ9eIgvsuFqn9OL_tTLASGQ" TargetMode="External"/><Relationship Id="rId1250" Type="http://schemas.openxmlformats.org/officeDocument/2006/relationships/hyperlink" Target="https://www.google.com/url?q=https://github.com/ZeyadKhattab/Competitive-Programming/blob/master/Problems/IOI%252017-mountains.cpp&amp;sa=D&amp;ust=1605639800184000&amp;usg=AFQjCNFAk0LPHj0FybVJdnOmvUrj5qgXWA" TargetMode="External"/><Relationship Id="rId1348" Type="http://schemas.openxmlformats.org/officeDocument/2006/relationships/hyperlink" Target="https://www.google.com/url?q=https://github.com/mostafa-saad/MyCompetitiveProgramming/blob/master/Olympiad/CEOI/CEOI-11-Hotel.txt&amp;sa=D&amp;ust=1605639800266000&amp;usg=AFQjCNHx_XgT9GchkOdQ09e9zc0G8FOqEg" TargetMode="External"/><Relationship Id="rId1555" Type="http://schemas.openxmlformats.org/officeDocument/2006/relationships/hyperlink" Target="https://www.google.com/url?q=https://cses.fi/116/list/&amp;sa=D&amp;ust=1605639800401000&amp;usg=AFQjCNG1GyABbHA7VAUuBxZsb5IXkeLahA" TargetMode="External"/><Relationship Id="rId1762" Type="http://schemas.openxmlformats.org/officeDocument/2006/relationships/hyperlink" Target="https://www.google.com/url?q=https://github.com/mostafa-saad/MyCompetitiveProgramming/blob/master/Olympiad/Baltic/Baltic-11-Vikings.txt&amp;sa=D&amp;ust=1605639800571000&amp;usg=AFQjCNG6odyNtTe2Gjd-mXIVOGgtmRUoEQ" TargetMode="External"/><Relationship Id="rId2301" Type="http://schemas.openxmlformats.org/officeDocument/2006/relationships/hyperlink" Target="https://www.google.com/url?q=https://github.com/mostafa-saad/MyCompetitiveProgramming/blob/master/Olympiad/APIO/APIO-14-Palindrome.txt&amp;sa=D&amp;ust=1605639801591000&amp;usg=AFQjCNGh1BmAa9kx5CgGIOCAb_cFde6cJw" TargetMode="External"/><Relationship Id="rId2606" Type="http://schemas.openxmlformats.org/officeDocument/2006/relationships/hyperlink" Target="https://www.google.com/url?q=http://hsin.hr/coci/archive/2011_2012/&amp;sa=D&amp;ust=1605639801905000&amp;usg=AFQjCNHF3diKRE-6UhrXp2RnEKyFRTtKlQ" TargetMode="External"/><Relationship Id="rId1110" Type="http://schemas.openxmlformats.org/officeDocument/2006/relationships/hyperlink" Target="https://www.google.com/url?q=https://github.com/mostafa-saad/MyCompetitiveProgramming/blob/master/Olympiad/POI/official/find_editorial_sols_guidelines.txt&amp;sa=D&amp;ust=1605639800074000&amp;usg=AFQjCNFDDlz5l3dORWhIrlki59ViYGKPlQ" TargetMode="External"/><Relationship Id="rId1208" Type="http://schemas.openxmlformats.org/officeDocument/2006/relationships/hyperlink" Target="https://www.google.com/url?q=https://github.com/ShabdanBatyrkulov/codee/blob/master/IZhO%252012-beauty.cpp&amp;sa=D&amp;ust=1605639800169000&amp;usg=AFQjCNF0b2eKmFWHeVl_D4OGcTH1dzNMaA" TargetMode="External"/><Relationship Id="rId1415" Type="http://schemas.openxmlformats.org/officeDocument/2006/relationships/hyperlink" Target="https://www.google.com/url?q=https://github.com/SpeedOfMagic/CompetitiveProgramming/blob/master/CEOI/CEOI%252012-Jobs.cpp&amp;sa=D&amp;ust=1605639800301000&amp;usg=AFQjCNEMLVLqE_-XYzhw6rAwkI0bhtEwOg" TargetMode="External"/><Relationship Id="rId2813" Type="http://schemas.openxmlformats.org/officeDocument/2006/relationships/hyperlink" Target="https://www.google.com/url?q=https://github.com/mostafa-saad/MyCompetitiveProgramming/blob/master/Olympiad/COCI/official/2015/contest3_solutions&amp;sa=D&amp;ust=1605639802174000&amp;usg=AFQjCNGb6fIbJ7fI42V9QuLB6KRanS95qA" TargetMode="External"/><Relationship Id="rId54" Type="http://schemas.openxmlformats.org/officeDocument/2006/relationships/hyperlink" Target="https://www.google.com/url?q=https://oj.uz/problem/view/info1cup18_hidden&amp;sa=D&amp;ust=1605639798683000&amp;usg=AFQjCNFDZ1Kg4VMPiDb2ID6FaKsI7XIIeQ" TargetMode="External"/><Relationship Id="rId1622" Type="http://schemas.openxmlformats.org/officeDocument/2006/relationships/hyperlink" Target="https://www.google.com/url?q=https://github.com/mostafa-saad/MyCompetitiveProgramming/blob/master/Olympiad/COCI/COCI-15-Domino.txt&amp;sa=D&amp;ust=1605639800467000&amp;usg=AFQjCNENJhfUB-_ihDTzH5ylfjGo7sSkDw" TargetMode="External"/><Relationship Id="rId1927" Type="http://schemas.openxmlformats.org/officeDocument/2006/relationships/hyperlink" Target="https://www.google.com/url?q=https://www.infoarena.ro/problema/unique&amp;sa=D&amp;ust=1605639800699000&amp;usg=AFQjCNE_gvG4Ory-kw8ib9ZPTB3y1SHUaw" TargetMode="External"/><Relationship Id="rId2091" Type="http://schemas.openxmlformats.org/officeDocument/2006/relationships/hyperlink" Target="https://www.google.com/url?q=https://github.com/stefdasca/CompetitiveProgramming/blob/master/Infoarena/hacker2.cpp&amp;sa=D&amp;ust=1605639800806000&amp;usg=AFQjCNGfknR4jC2ipbT8kSbUwCiLQDyi0w" TargetMode="External"/><Relationship Id="rId2189" Type="http://schemas.openxmlformats.org/officeDocument/2006/relationships/hyperlink" Target="https://www.google.com/url?q=https://dmoj.ca/problem/coci06c3p3&amp;sa=D&amp;ust=1605639800883000&amp;usg=AFQjCNEpIZlEZtlxpVgseJ4-jZUDIJW09g" TargetMode="External"/><Relationship Id="rId270" Type="http://schemas.openxmlformats.org/officeDocument/2006/relationships/hyperlink" Target="https://www.google.com/url?q=https://oj.uz/problem/view/COCI17_rasvjeta&amp;sa=D&amp;ust=1605639798870000&amp;usg=AFQjCNFci2o5j57Vnj0PX8JVytjlycH-qg" TargetMode="External"/><Relationship Id="rId2396" Type="http://schemas.openxmlformats.org/officeDocument/2006/relationships/hyperlink" Target="https://www.google.com/url?q=https://wcipeg.com/problem/coci095p5&amp;sa=D&amp;ust=1605639801705000&amp;usg=AFQjCNHH9AEoZnUfeLwCJPbp51XDKLr1Og" TargetMode="External"/><Relationship Id="rId3002" Type="http://schemas.openxmlformats.org/officeDocument/2006/relationships/hyperlink" Target="https://www.google.com/url?q=https://szkopul.edu.pl/problemset/problem/xCiDtZ0ZX70fyac1Sav8d37J/site/&amp;sa=D&amp;ust=1605639802392000&amp;usg=AFQjCNFeh_i7BlNutUhYkJ4plrJrEl8HgA" TargetMode="External"/><Relationship Id="rId130" Type="http://schemas.openxmlformats.org/officeDocument/2006/relationships/hyperlink" Target="https://www.google.com/url?q=https://www.ioi-jp.org/camp/2018/2018-sp-tasks/index.html&amp;sa=D&amp;ust=1605639798725000&amp;usg=AFQjCNEsP6iMlazK96wvSRMvZ7S69K79vQ" TargetMode="External"/><Relationship Id="rId368" Type="http://schemas.openxmlformats.org/officeDocument/2006/relationships/hyperlink" Target="https://www.google.com/url?q=https://dmoj.ca/problem/coci14c4p1&amp;sa=D&amp;ust=1605639798911000&amp;usg=AFQjCNEHr4TpDrKJpQYjXC_Yc2acu4NsIQ" TargetMode="External"/><Relationship Id="rId575" Type="http://schemas.openxmlformats.org/officeDocument/2006/relationships/hyperlink" Target="https://www.google.com/url?q=https://github.com/tmwilliamlin168/CompetitiveProgramming/blob/master/IZHO/13-Burrow.cpp&amp;sa=D&amp;ust=1605639799118000&amp;usg=AFQjCNHBW7MUr6Wu99F6m-1tofn6WvQr0g" TargetMode="External"/><Relationship Id="rId782" Type="http://schemas.openxmlformats.org/officeDocument/2006/relationships/hyperlink" Target="https://www.google.com/url?q=https://joi2013ho.contest.atcoder.jp/tasks/joi2013ho5&amp;sa=D&amp;ust=1605639799720000&amp;usg=AFQjCNGzI2p3Xxind2rKjt73qEIgYCvdUg" TargetMode="External"/><Relationship Id="rId2049" Type="http://schemas.openxmlformats.org/officeDocument/2006/relationships/hyperlink" Target="https://www.google.com/url?q=https://github.com/goar5670/CompetitiveProgramming/blob/master/APIO%252009-ATM.cpp&amp;sa=D&amp;ust=1605639800789000&amp;usg=AFQjCNFwK9g50NG-dLDUqXo85eg3blBvmA" TargetMode="External"/><Relationship Id="rId2256" Type="http://schemas.openxmlformats.org/officeDocument/2006/relationships/hyperlink" Target="https://www.google.com/url?q=https://github.com/mostafa-saad/MyCompetitiveProgramming/blob/master/Olympiad/COI/COI-09-Kolo.txt&amp;sa=D&amp;ust=1605639800910000&amp;usg=AFQjCNG0e0N1fdlnqB4wACG_zntIRllwjA" TargetMode="External"/><Relationship Id="rId2463" Type="http://schemas.openxmlformats.org/officeDocument/2006/relationships/hyperlink" Target="https://www.google.com/url?q=https://dmoj.ca/problem/coci07c3p5&amp;sa=D&amp;ust=1605639801796000&amp;usg=AFQjCNEVOiBcshI25htZIunAaRdaMMbPzg" TargetMode="External"/><Relationship Id="rId2670" Type="http://schemas.openxmlformats.org/officeDocument/2006/relationships/hyperlink" Target="https://www.google.com/url?q=https://dunjudge.me/analysis/problems/725/&amp;sa=D&amp;ust=1605639801995000&amp;usg=AFQjCNG7Iv_Mm_CaeY8au6FILxvf8FPaYQ" TargetMode="External"/><Relationship Id="rId228" Type="http://schemas.openxmlformats.org/officeDocument/2006/relationships/hyperlink" Target="https://www.google.com/url?q=https://oj.uz/problem/view/COCI17_zigzag&amp;sa=D&amp;ust=1605639798801000&amp;usg=AFQjCNGyizhQo_YB6pM0Q-YSDhCNMc5AwQ" TargetMode="External"/><Relationship Id="rId435" Type="http://schemas.openxmlformats.org/officeDocument/2006/relationships/hyperlink" Target="https://www.google.com/url?q=https://dunjudge.me/analysis/problems/559/&amp;sa=D&amp;ust=1605639799000000&amp;usg=AFQjCNE7phARRniBgWPlntvhnk5bcLC6Qg" TargetMode="External"/><Relationship Id="rId642" Type="http://schemas.openxmlformats.org/officeDocument/2006/relationships/hyperlink" Target="https://www.google.com/url?q=https://oj.uz/problem/view/JOI19_antennas&amp;sa=D&amp;ust=1605639799640000&amp;usg=AFQjCNFksZ1ugQPa5B4WCVrx920FItiCrQ" TargetMode="External"/><Relationship Id="rId1065" Type="http://schemas.openxmlformats.org/officeDocument/2006/relationships/hyperlink" Target="https://www.google.com/url?q=https://oj.uz/problem/view/COCI18_go&amp;sa=D&amp;ust=1605639800007000&amp;usg=AFQjCNGOuqgtNc6v5MSfIUfQGxmKfql96g" TargetMode="External"/><Relationship Id="rId1272" Type="http://schemas.openxmlformats.org/officeDocument/2006/relationships/hyperlink" Target="https://www.google.com/url?q=https://csacademy.com/contest/romanian-ioi-2017-selection-1/task/rooms/&amp;sa=D&amp;ust=1605639800193000&amp;usg=AFQjCNHVU6o9c_M8bdRGqUON4y-DXFg8BQ" TargetMode="External"/><Relationship Id="rId2116" Type="http://schemas.openxmlformats.org/officeDocument/2006/relationships/hyperlink" Target="https://www.google.com/url?q=https://oj.uz/problem/view/IZhO19_xorsum&amp;sa=D&amp;ust=1605639800815000&amp;usg=AFQjCNFpH9XmGd2fcCECf15JNLM9kiP0Og" TargetMode="External"/><Relationship Id="rId2323" Type="http://schemas.openxmlformats.org/officeDocument/2006/relationships/hyperlink" Target="https://www.google.com/url?q=https://szkopul.edu.pl/problemset/problem/fuTBSUcQ2U9sVPYJUDI4JwIe/site/&amp;sa=D&amp;ust=1605639801605000&amp;usg=AFQjCNE_kjDmEYRUQkdjvC4v8HlWZGBRew" TargetMode="External"/><Relationship Id="rId2530" Type="http://schemas.openxmlformats.org/officeDocument/2006/relationships/hyperlink" Target="https://www.google.com/url?q=https://github.com/mostafa-saad/MyCompetitiveProgramming/blob/master/Olympiad/MCO/MCO-16-acorn.txt&amp;sa=D&amp;ust=1605639801872000&amp;usg=AFQjCNFB5IlOhXxTpJzmxB4WU90zkRPUcg" TargetMode="External"/><Relationship Id="rId2768" Type="http://schemas.openxmlformats.org/officeDocument/2006/relationships/hyperlink" Target="https://www.google.com/url?q=https://github.com/mostafa-saad/MyCompetitiveProgramming/blob/master/Olympiad/COCI/official/2009/contest1_solutions&amp;sa=D&amp;ust=1605639802102000&amp;usg=AFQjCNFmnhNvM4He4aJnsDIP7WBGFxRASw" TargetMode="External"/><Relationship Id="rId2975" Type="http://schemas.openxmlformats.org/officeDocument/2006/relationships/hyperlink" Target="https://www.google.com/url?q=https://github.com/mostafa-saad/MyCompetitiveProgramming/blob/master/Olympiad/POI/official/find_editorial_sols_guidelines.txt&amp;sa=D&amp;ust=1605639802378000&amp;usg=AFQjCNGOAbiYyfhFfq9eRVOYdl48kH4YKA" TargetMode="External"/><Relationship Id="rId502" Type="http://schemas.openxmlformats.org/officeDocument/2006/relationships/hyperlink" Target="https://www.google.com/url?q=https://github.com/Rockbet/Problems/blob/master/EJOI/2017/Day%25201/Magic.cpp&amp;sa=D&amp;ust=1605639799087000&amp;usg=AFQjCNH70zJOOYFm9-ZoCKphc4jV4xns8g" TargetMode="External"/><Relationship Id="rId947" Type="http://schemas.openxmlformats.org/officeDocument/2006/relationships/hyperlink" Target="https://www.google.com/url?q=https://www.infoarena.ro/problema/aiacupalindroame&amp;sa=D&amp;ust=1605639799910000&amp;usg=AFQjCNFBN0SzjEXxrjUeN8moTbe8ntfJ0w" TargetMode="External"/><Relationship Id="rId1132" Type="http://schemas.openxmlformats.org/officeDocument/2006/relationships/hyperlink" Target="https://www.google.com/url?q=https://github.com/mostafa-saad/MyCompetitiveProgramming/blob/master/Olympiad/IOI/official/2007&amp;sa=D&amp;ust=1605639800083000&amp;usg=AFQjCNH3yxGNJObSQWW-xtOT2QKuV6Zj1w" TargetMode="External"/><Relationship Id="rId1577" Type="http://schemas.openxmlformats.org/officeDocument/2006/relationships/hyperlink" Target="https://www.google.com/url?q=https://ideone.com/iT1ggW&amp;sa=D&amp;ust=1605639800410000&amp;usg=AFQjCNG71e-opq2guz0bQJi3KiijtPAzJQ" TargetMode="External"/><Relationship Id="rId1784" Type="http://schemas.openxmlformats.org/officeDocument/2006/relationships/hyperlink" Target="https://www.google.com/url?q=https://dunjudge.me/analysis/problems/1380/&amp;sa=D&amp;ust=1605639800585000&amp;usg=AFQjCNGDjmDXTsXQKX1cdvycoDIfjm64lg" TargetMode="External"/><Relationship Id="rId1991" Type="http://schemas.openxmlformats.org/officeDocument/2006/relationships/hyperlink" Target="https://www.google.com/url?q=https://github.com/mostafa-saad/MyCompetitiveProgramming/blob/master/Olympiad/CEOI/COCI-08-Slicice.txt&amp;sa=D&amp;ust=1605639800721000&amp;usg=AFQjCNGFWHJIdtHjl6SCd-gLuOdxNO5sCA" TargetMode="External"/><Relationship Id="rId2628" Type="http://schemas.openxmlformats.org/officeDocument/2006/relationships/hyperlink" Target="https://www.google.com/url?q=https://infoarena.ro/problema/arb3&amp;sa=D&amp;ust=1605639801978000&amp;usg=AFQjCNHREy1BReyS3RAQK2C7ZzC3Lu7VdQ" TargetMode="External"/><Relationship Id="rId2835" Type="http://schemas.openxmlformats.org/officeDocument/2006/relationships/hyperlink" Target="https://www.google.com/url?q=https://github.com/mostafa-saad/MyCompetitiveProgramming/blob/master/COI/official/2010&amp;sa=D&amp;ust=1605639802186000&amp;usg=AFQjCNEv3_yZ_nq5RM_KVrv4I7HB1nKr4g" TargetMode="External"/><Relationship Id="rId76" Type="http://schemas.openxmlformats.org/officeDocument/2006/relationships/hyperlink" Target="https://www.google.com/url?q=https://oj.uz/problem/view/IOI17_prize&amp;sa=D&amp;ust=1605639798705000&amp;usg=AFQjCNFsKEWY-sCRE1SULRGlOAD_OVonjA" TargetMode="External"/><Relationship Id="rId807" Type="http://schemas.openxmlformats.org/officeDocument/2006/relationships/hyperlink" Target="https://www.google.com/url?q=http://usaco.org/index.php?page%3Dviewproblem2%26cpid%3D102&amp;sa=D&amp;ust=1605639799786000&amp;usg=AFQjCNEeiCYy3vI58C8YziiN1jXafwIK4g" TargetMode="External"/><Relationship Id="rId1437" Type="http://schemas.openxmlformats.org/officeDocument/2006/relationships/hyperlink" Target="https://www.google.com/url?q=https://github.com/mostafa-saad/MyCompetitiveProgramming/blob/master/Olympiad/NOI/official/2011.pptx&amp;sa=D&amp;ust=1605639800311000&amp;usg=AFQjCNH5L5CRGZ6hp3zKhH5LEJdcIn5fGw" TargetMode="External"/><Relationship Id="rId1644" Type="http://schemas.openxmlformats.org/officeDocument/2006/relationships/hyperlink" Target="https://www.google.com/url?q=https://www.infoarena.ro/problema/shgraf&amp;sa=D&amp;ust=1605639800477000&amp;usg=AFQjCNGTM431x4K7XIsbF0_IyeOl08L7nA" TargetMode="External"/><Relationship Id="rId1851" Type="http://schemas.openxmlformats.org/officeDocument/2006/relationships/hyperlink" Target="https://www.google.com/url?q=https://oj.uz/problem/view/COCI18_alkemija&amp;sa=D&amp;ust=1605639800665000&amp;usg=AFQjCNFLiU_qM5-TcYmMy3mCmkici_kqjg" TargetMode="External"/><Relationship Id="rId2902" Type="http://schemas.openxmlformats.org/officeDocument/2006/relationships/hyperlink" Target="https://www.google.com/url?q=https://joisc2014.contest.atcoder.jp/tasks/joisc2014_m&amp;sa=D&amp;ust=1605639802280000&amp;usg=AFQjCNG8r639CMfHOg1M6XmPaLQJjAwiww" TargetMode="External"/><Relationship Id="rId1504" Type="http://schemas.openxmlformats.org/officeDocument/2006/relationships/hyperlink" Target="https://www.google.com/url?q=http://poj.org/problem?id%3D1912&amp;sa=D&amp;ust=1605639800382000&amp;usg=AFQjCNEy1oOgMa7P6wplXv3zjHB0SsiDfw" TargetMode="External"/><Relationship Id="rId1711" Type="http://schemas.openxmlformats.org/officeDocument/2006/relationships/hyperlink" Target="https://www.google.com/url?q=https://szkopul.edu.pl/problemset/problem/big2NUEzhdCqgGj0wGBjbw14/site/&amp;sa=D&amp;ust=1605639800503000&amp;usg=AFQjCNGaG8SzGXTg9TfNhmMLd_jNAKS5-Q" TargetMode="External"/><Relationship Id="rId1949" Type="http://schemas.openxmlformats.org/officeDocument/2006/relationships/hyperlink" Target="https://www.google.com/url?q=https://github.com/stefdasca/CompetitiveProgramming/blob/master/Infoarena/nrsubsecv.cpp&amp;sa=D&amp;ust=1605639800706000&amp;usg=AFQjCNGb7BJrOAaFqxK77IzhLTuM81wTkA" TargetMode="External"/><Relationship Id="rId292" Type="http://schemas.openxmlformats.org/officeDocument/2006/relationships/hyperlink" Target="https://www.google.com/url?q=https://github.com/mostafa-saad/MyCompetitiveProgramming/tree/master/Olympiad/COCI/official/2007/contest5_solutions&amp;sa=D&amp;ust=1605639798880000&amp;usg=AFQjCNGlrXUT-KeDBUWEL46uXubIaU9CjA" TargetMode="External"/><Relationship Id="rId1809" Type="http://schemas.openxmlformats.org/officeDocument/2006/relationships/hyperlink" Target="https://www.google.com/url?q=https://github.com/luciocf/OI-Problems/blob/master/CEOI/CEOI%25202015/potemkin.cpp&amp;sa=D&amp;ust=1605639800594000&amp;usg=AFQjCNEgDekkfRlDg1cuo4YV-ynDzPG1Eg" TargetMode="External"/><Relationship Id="rId597" Type="http://schemas.openxmlformats.org/officeDocument/2006/relationships/hyperlink" Target="https://www.google.com/url?q=https://github.com/mostafa-saad/MyCompetitiveProgramming/blob/master/Olympiad/COCI/official/2009/contest2_solutions&amp;sa=D&amp;ust=1605639799127000&amp;usg=AFQjCNH3wSZHT9ESJCbokxCQhgFQs74UaQ" TargetMode="External"/><Relationship Id="rId2180" Type="http://schemas.openxmlformats.org/officeDocument/2006/relationships/hyperlink" Target="https://www.google.com/url?q=https://dunjudge.me/analysis/problems/271/&amp;sa=D&amp;ust=1605639800880000&amp;usg=AFQjCNHumNmw-UPasSfsQ4a72LnSI1dOSg" TargetMode="External"/><Relationship Id="rId2278" Type="http://schemas.openxmlformats.org/officeDocument/2006/relationships/hyperlink" Target="https://www.google.com/url?q=https://github.com/mostafa-saad/MyCompetitiveProgramming/blob/master/Olympiad/COCI/COCI-07-Baza.txt&amp;sa=D&amp;ust=1605639801569000&amp;usg=AFQjCNE2k6H2Iw8q8cjHmzHvqBFon4j9vw" TargetMode="External"/><Relationship Id="rId2485" Type="http://schemas.openxmlformats.org/officeDocument/2006/relationships/hyperlink" Target="https://www.google.com/url?q=https://github.com/stefdasca/CompetitiveProgramming/blob/master/Infoarena/pm2.cpp&amp;sa=D&amp;ust=1605639801805000&amp;usg=AFQjCNGY_9LMKNuJpNPj2SeCgds97Fm4gQ" TargetMode="External"/><Relationship Id="rId152" Type="http://schemas.openxmlformats.org/officeDocument/2006/relationships/hyperlink" Target="https://www.google.com/url?q=https://github.com/mostafa-saad/MyCompetitiveProgramming/blob/master/Olympiad/CEOI/CEOI-05-keys.txt&amp;sa=D&amp;ust=1605639798767000&amp;usg=AFQjCNEqUdsiXHVgJDbBkaVVV0lY411HJw" TargetMode="External"/><Relationship Id="rId457" Type="http://schemas.openxmlformats.org/officeDocument/2006/relationships/hyperlink" Target="https://www.google.com/url?q=https://oj.uz/problem/view/IOI15_horses&amp;sa=D&amp;ust=1605639799009000&amp;usg=AFQjCNGoeLDKZoDJZC7ZN2A0fHftRAneiw" TargetMode="External"/><Relationship Id="rId1087" Type="http://schemas.openxmlformats.org/officeDocument/2006/relationships/hyperlink" Target="https://www.google.com/url?q=https://github.com/mostafa-saad/MyCompetitiveProgramming/blob/master/Olympiad/Baltic/official/boi2008_solutions&amp;sa=D&amp;ust=1605639800017000&amp;usg=AFQjCNH02ziGqgpQlcm1L-2YvH5eJqMEBQ" TargetMode="External"/><Relationship Id="rId1294" Type="http://schemas.openxmlformats.org/officeDocument/2006/relationships/hyperlink" Target="https://www.google.com/url?q=https://oj.uz/problem/view/IOI08_teleporters&amp;sa=D&amp;ust=1605639800202000&amp;usg=AFQjCNGq25S8M8ByR93vB-ZHbmumhJo95w" TargetMode="External"/><Relationship Id="rId2040" Type="http://schemas.openxmlformats.org/officeDocument/2006/relationships/hyperlink" Target="https://www.google.com/url?q=https://oj.uz/problem/view/IOI17_simurgh&amp;sa=D&amp;ust=1605639800784000&amp;usg=AFQjCNEGsDyuQ9pltSqdBhoNo-XnRwGnqA" TargetMode="External"/><Relationship Id="rId2138" Type="http://schemas.openxmlformats.org/officeDocument/2006/relationships/hyperlink" Target="https://www.google.com/url?q=https://github.com/mostafa-saad/MyCompetitiveProgramming/blob/master/Olympiad/IOI/IOIPractice-17-coins.txt&amp;sa=D&amp;ust=1605639800823000&amp;usg=AFQjCNGwZVFTbD0FKXdU4sSoDgr7BwQR7w" TargetMode="External"/><Relationship Id="rId2692" Type="http://schemas.openxmlformats.org/officeDocument/2006/relationships/hyperlink" Target="https://www.google.com/url?q=https://open.kattis.com/problem-sources/Baltic%2520Olympiad%2520in%2520Informatics%25202017%252C%2520Warmup&amp;sa=D&amp;ust=1605639802008000&amp;usg=AFQjCNEzWPLfiKRDYPDPr6w2Alm1xb2M9w" TargetMode="External"/><Relationship Id="rId2997" Type="http://schemas.openxmlformats.org/officeDocument/2006/relationships/hyperlink" Target="https://www.google.com/url?q=https://szkopul.edu.pl/problemset/problem/aKKSmtjWTtDOEHDqnmQ3-eAA/site/&amp;sa=D&amp;ust=1605639802388000&amp;usg=AFQjCNEufAxFdqkAA2DDPbhwBAs7byHBog" TargetMode="External"/><Relationship Id="rId664" Type="http://schemas.openxmlformats.org/officeDocument/2006/relationships/hyperlink" Target="https://www.google.com/url?q=https://www.acmicpc.net/problem/11783&amp;sa=D&amp;ust=1605639799659000&amp;usg=AFQjCNGHkq1mu8hO3eVg7cyo-0H3e7HRGg" TargetMode="External"/><Relationship Id="rId871" Type="http://schemas.openxmlformats.org/officeDocument/2006/relationships/hyperlink" Target="https://www.google.com/url?q=https://oj.uz/problem/view/JOI18_security_gate&amp;sa=D&amp;ust=1605639799875000&amp;usg=AFQjCNGIOk1EIwdxdeYVoREkI3y6zoVn3Q" TargetMode="External"/><Relationship Id="rId969" Type="http://schemas.openxmlformats.org/officeDocument/2006/relationships/hyperlink" Target="https://www.google.com/url?q=https://github.com/mostafa-saad/MyCompetitiveProgramming/blob/master/Olympiad/COCI/COCI-15-savez.txt&amp;sa=D&amp;ust=1605639799967000&amp;usg=AFQjCNG2XAga6HEVWiXmmpXEGgyP_IYGdw" TargetMode="External"/><Relationship Id="rId1599" Type="http://schemas.openxmlformats.org/officeDocument/2006/relationships/hyperlink" Target="https://www.google.com/url?q=http://usaco.org/index.php?page%3Dviewproblem2%26cpid%3D816&amp;sa=D&amp;ust=1605639800418000&amp;usg=AFQjCNEjyRUkmsU3Yd6cWYb6Q5jkV5Jbjg" TargetMode="External"/><Relationship Id="rId2345" Type="http://schemas.openxmlformats.org/officeDocument/2006/relationships/hyperlink" Target="https://www.google.com/url?q=https://oj.uz/problem/view/IZhO18_chessboard&amp;sa=D&amp;ust=1605639801614000&amp;usg=AFQjCNGEB7jnQwfvS6m4FPlXQ-h49uuorQ" TargetMode="External"/><Relationship Id="rId2552" Type="http://schemas.openxmlformats.org/officeDocument/2006/relationships/hyperlink" Target="https://www.google.com/url?q=https://oj.uz/problems/source/351&amp;sa=D&amp;ust=1605639801880000&amp;usg=AFQjCNGnb8MSpm4UqpyHIEUJcF6Movnzlg" TargetMode="External"/><Relationship Id="rId317" Type="http://schemas.openxmlformats.org/officeDocument/2006/relationships/hyperlink" Target="https://www.google.com/url?q=https://github.com/mostafa-saad/MyCompetitiveProgramming/blob/master/Olympiad/COCI/official/2014/contest2_solutions&amp;sa=D&amp;ust=1605639798889000&amp;usg=AFQjCNHnTIq6TEZl2zi7CxknyZblxvTxEw" TargetMode="External"/><Relationship Id="rId524" Type="http://schemas.openxmlformats.org/officeDocument/2006/relationships/hyperlink" Target="https://www.google.com/url?q=https://dunjudge.me/analysis/problems/1375/&amp;sa=D&amp;ust=1605639799096000&amp;usg=AFQjCNE09GvYLGQKE785F4Lh-IA7yvSHvw" TargetMode="External"/><Relationship Id="rId731" Type="http://schemas.openxmlformats.org/officeDocument/2006/relationships/hyperlink" Target="https://www.google.com/url?q=https://csacademy.com/contest/junior-challenge-2017-day-2/task/cntgigelmat&amp;sa=D&amp;ust=1605639799700000&amp;usg=AFQjCNED7Aibeir0NV7_xCieAt07OcrFkA" TargetMode="External"/><Relationship Id="rId1154" Type="http://schemas.openxmlformats.org/officeDocument/2006/relationships/hyperlink" Target="https://www.google.com/url?q=http://poj.org/problem?id%3D1159&amp;sa=D&amp;ust=1605639800093000&amp;usg=AFQjCNHYYZZHNIju17Gd6FgkxuvC4q_9BQ" TargetMode="External"/><Relationship Id="rId1361" Type="http://schemas.openxmlformats.org/officeDocument/2006/relationships/hyperlink" Target="https://www.google.com/url?q=https://oj.uz/problem/view/JOI17_sparklers&amp;sa=D&amp;ust=1605639800279000&amp;usg=AFQjCNHNdMYtxMhoOpKoAK9oeZ_TVQcB4A" TargetMode="External"/><Relationship Id="rId1459" Type="http://schemas.openxmlformats.org/officeDocument/2006/relationships/hyperlink" Target="https://www.google.com/url?q=https://github.com/mostafa-saad/MyCompetitiveProgramming/blob/master/Olympiad/CEOI/CEOI-08-Knights.txt&amp;sa=D&amp;ust=1605639800365000&amp;usg=AFQjCNEdDB-jN2qREXk5M-YBpaOBdiPdpA" TargetMode="External"/><Relationship Id="rId2205" Type="http://schemas.openxmlformats.org/officeDocument/2006/relationships/hyperlink" Target="https://www.google.com/url?q=https://dmoj.ca/problem/coci07c6p3&amp;sa=D&amp;ust=1605639800891000&amp;usg=AFQjCNEbZihLcfbVpPilqJj0xF7eeAmU4Q" TargetMode="External"/><Relationship Id="rId2412" Type="http://schemas.openxmlformats.org/officeDocument/2006/relationships/hyperlink" Target="https://www.google.com/url?q=https://codeforces.com/group/swEqtABRxe/contest/227531/problem/C&amp;sa=D&amp;ust=1605639801774000&amp;usg=AFQjCNHlFfSoOwUaPyNjeSQ8wBoOa-B0Ew" TargetMode="External"/><Relationship Id="rId2857" Type="http://schemas.openxmlformats.org/officeDocument/2006/relationships/hyperlink" Target="https://www.google.com/url?q=https://oj.uz/problem/view/info1cup18_thegrade&amp;sa=D&amp;ust=1605639802200000&amp;usg=AFQjCNG6H3_wRyAAT3zxZVZEG1m5Ubfb0g" TargetMode="External"/><Relationship Id="rId98" Type="http://schemas.openxmlformats.org/officeDocument/2006/relationships/hyperlink" Target="https://www.google.com/url?q=https://github.com/mostafa-saad/MyCompetitiveProgramming/blob/master/Olympiad/APIO/APIO-09-Oil.txt&amp;sa=D&amp;ust=1605639798714000&amp;usg=AFQjCNFGguXJUhzB0F2cfo_0QLwSAx4lQw" TargetMode="External"/><Relationship Id="rId829" Type="http://schemas.openxmlformats.org/officeDocument/2006/relationships/hyperlink" Target="https://www.google.com/url?q=https://github.com/mostafa-saad/MyCompetitiveProgramming/blob/master/Olympiad/COI/COI-09-Loza.txt&amp;sa=D&amp;ust=1605639799796000&amp;usg=AFQjCNHs4F-MWWPCGZzmYPuVSYqpaY4kkg" TargetMode="External"/><Relationship Id="rId1014" Type="http://schemas.openxmlformats.org/officeDocument/2006/relationships/hyperlink" Target="https://www.google.com/url?q=https://github.com/stefdasca/CompetitiveProgramming/blob/master/Infoarena/peri.cpp&amp;sa=D&amp;ust=1605639799987000&amp;usg=AFQjCNGmOc2OrfUF7JICo-KZMInzZVgA9Q" TargetMode="External"/><Relationship Id="rId1221" Type="http://schemas.openxmlformats.org/officeDocument/2006/relationships/hyperlink" Target="https://www.google.com/url?q=https://oj.uz/problem/view/JOI19_ho_t3&amp;sa=D&amp;ust=1605639800173000&amp;usg=AFQjCNEGc-EFBhz14utvOZAhS7ZmaeZ-7g" TargetMode="External"/><Relationship Id="rId1666" Type="http://schemas.openxmlformats.org/officeDocument/2006/relationships/hyperlink" Target="https://www.google.com/url?q=https://github.com/mostafa-saad/MyCompetitiveProgramming/blob/master/Olympiad/COCI/COCI-16-mag.txt&amp;sa=D&amp;ust=1605639800485000&amp;usg=AFQjCNGlL12odngPTfjv7hPLBKTW-4McXg" TargetMode="External"/><Relationship Id="rId1873" Type="http://schemas.openxmlformats.org/officeDocument/2006/relationships/hyperlink" Target="https://www.google.com/url?q=https://oj.uz/problem/view/JOI20_ho_t4&amp;sa=D&amp;ust=1605639800677000&amp;usg=AFQjCNEanCzfSqgC4JYibwL_sU9zdFS35Q" TargetMode="External"/><Relationship Id="rId2717" Type="http://schemas.openxmlformats.org/officeDocument/2006/relationships/hyperlink" Target="https://www.google.com/url?q=https://dmoj.ca/problem/coci06c3p1&amp;sa=D&amp;ust=1605639802076000&amp;usg=AFQjCNGa5r3KnM-UV1VKt94YGIP0ifjk0g" TargetMode="External"/><Relationship Id="rId2924" Type="http://schemas.openxmlformats.org/officeDocument/2006/relationships/hyperlink" Target="https://www.google.com/url?q=https://joisc2016.contest.atcoder.jp/tasks/joisc2016_c&amp;sa=D&amp;ust=1605639802295000&amp;usg=AFQjCNEbZa_2iYfho0gJeichIhKq6LzOhw" TargetMode="External"/><Relationship Id="rId1319" Type="http://schemas.openxmlformats.org/officeDocument/2006/relationships/hyperlink" Target="https://www.google.com/url?q=http://usaco.org/index.php?page%3Dviewproblem2%26cpid%3D697&amp;sa=D&amp;ust=1605639800209000&amp;usg=AFQjCNEW6uxjj-cgvc4JBL91dgtMK9rTUw" TargetMode="External"/><Relationship Id="rId1526" Type="http://schemas.openxmlformats.org/officeDocument/2006/relationships/hyperlink" Target="https://www.google.com/url?q=https://dmoj.ca/problem/coci07c3p4&amp;sa=D&amp;ust=1605639800390000&amp;usg=AFQjCNGjamEy8MuiSUc4WNLqIcceqhs0rA" TargetMode="External"/><Relationship Id="rId1733" Type="http://schemas.openxmlformats.org/officeDocument/2006/relationships/hyperlink" Target="https://www.google.com/url?q=https://joi2015ho.contest.atcoder.jp/tasks/joi2015ho_a&amp;sa=D&amp;ust=1605639800517000&amp;usg=AFQjCNF3UKUxRR4YQiU7rqwxFVVQfTyiIw" TargetMode="External"/><Relationship Id="rId1940" Type="http://schemas.openxmlformats.org/officeDocument/2006/relationships/hyperlink" Target="https://www.google.com/url?q=https://github.com/mostafa-saad/MyCompetitiveProgramming/blob/master/Olympiad/IOI/IOI-14-game.txt&amp;sa=D&amp;ust=1605639800703000&amp;usg=AFQjCNEPEdBgFpvQ4lEb14gh5SFtZup-yA" TargetMode="External"/><Relationship Id="rId25" Type="http://schemas.openxmlformats.org/officeDocument/2006/relationships/hyperlink" Target="https://www.google.com/url?q=https://github.com/mostafa-saad/MyCompetitiveProgramming/blob/master/Olympiad/IOI/IOI-16-messy.txt&amp;sa=D&amp;ust=1605639798673000&amp;usg=AFQjCNEzOd5wycR_Wxtw9yWMbsssuQ9MCg" TargetMode="External"/><Relationship Id="rId1800" Type="http://schemas.openxmlformats.org/officeDocument/2006/relationships/hyperlink" Target="https://www.google.com/url?q=https://szkopul.edu.pl/problemset/problem/pBkLSmvYN2S1-4G9s8UqOB7s/site/&amp;sa=D&amp;ust=1605639800591000&amp;usg=AFQjCNH7qC2j6zjCTGnKsv45xh0BwcTEWg" TargetMode="External"/><Relationship Id="rId174" Type="http://schemas.openxmlformats.org/officeDocument/2006/relationships/hyperlink" Target="https://www.google.com/url?q=https://github.com/Yehezkiel01/CompetitiveProgramming/blob/master/IOIPractice/IOIPractice-14-christopher-candy-ioi14.cpp&amp;sa=D&amp;ust=1605639798780000&amp;usg=AFQjCNFM84y1fuqCt6c9TpChN0YreduUmg" TargetMode="External"/><Relationship Id="rId381" Type="http://schemas.openxmlformats.org/officeDocument/2006/relationships/hyperlink" Target="https://www.google.com/url?q=https://github.com/mostafa-saad/MyCompetitiveProgramming/blob/master/Olympiad/IOI/official/2002&amp;sa=D&amp;ust=1605639798977000&amp;usg=AFQjCNFqwZq8yC6tmtnttH-Gsxmv2CzSpw" TargetMode="External"/><Relationship Id="rId2062" Type="http://schemas.openxmlformats.org/officeDocument/2006/relationships/hyperlink" Target="https://www.google.com/url?q=https://github.com/mostafa-saad/MyCompetitiveProgramming/blob/master/Olympiad/CEOI/06-Bicikli.txt&amp;sa=D&amp;ust=1605639800794000&amp;usg=AFQjCNGFnv59C24RFDcyxl6FW3TRW6DP8Q" TargetMode="External"/><Relationship Id="rId241" Type="http://schemas.openxmlformats.org/officeDocument/2006/relationships/hyperlink" Target="https://www.google.com/url?q=https://wcipeg.com/problem/coci096p3&amp;sa=D&amp;ust=1605639798805000&amp;usg=AFQjCNH_Rnl3EKK7JnlGCMmQN1Ar55L3GQ" TargetMode="External"/><Relationship Id="rId479" Type="http://schemas.openxmlformats.org/officeDocument/2006/relationships/hyperlink" Target="https://www.google.com/url?q=https://github.com/mostafa-saad/MyCompetitiveProgramming/blob/master/Olympiad/infoarena/infoarena-eq.txt&amp;sa=D&amp;ust=1605639799017000&amp;usg=AFQjCNGBVwwxVEq5Ymwu8eOc5mENhzxMMQ" TargetMode="External"/><Relationship Id="rId686" Type="http://schemas.openxmlformats.org/officeDocument/2006/relationships/hyperlink" Target="https://www.google.com/url?q=https://oj.uz/problem/view/IOI15_teams&amp;sa=D&amp;ust=1605639799667000&amp;usg=AFQjCNFo7zNrsOXmDz0x4bOFJ0_IWm8dUg" TargetMode="External"/><Relationship Id="rId893" Type="http://schemas.openxmlformats.org/officeDocument/2006/relationships/hyperlink" Target="https://www.google.com/url?q=https://github.com/mostafa-saad/MyCompetitiveProgramming/blob/master/Olympiad/POI/POI-13-Polarization.txt&amp;sa=D&amp;ust=1605639799888000&amp;usg=AFQjCNEV_xaR3G8Ciph3G8yHBpQhY9q-QA" TargetMode="External"/><Relationship Id="rId2367" Type="http://schemas.openxmlformats.org/officeDocument/2006/relationships/hyperlink" Target="https://www.google.com/url?q=https://github.com/mostafa-saad/MyCompetitiveProgramming/blob/master/Olympiad/POI/official/find_editorial_sols_guidelines.txt&amp;sa=D&amp;ust=1605639801686000&amp;usg=AFQjCNFKBKlj6Jz6CoqDsSE2c88KOKiLLA" TargetMode="External"/><Relationship Id="rId2574" Type="http://schemas.openxmlformats.org/officeDocument/2006/relationships/hyperlink" Target="https://www.google.com/url?q=https://dmoj.ca/problem/cco18p5&amp;sa=D&amp;ust=1605639801887000&amp;usg=AFQjCNHzE81Z95Qg_oAWZrpXVqlCWRWT2g" TargetMode="External"/><Relationship Id="rId2781" Type="http://schemas.openxmlformats.org/officeDocument/2006/relationships/hyperlink" Target="https://www.google.com/url?q=https://wcipeg.com/problem/coci092p1&amp;sa=D&amp;ust=1605639802105000&amp;usg=AFQjCNHLl1C9HbxDQFZIc7Xp8IS7QVQ4_w" TargetMode="External"/><Relationship Id="rId339" Type="http://schemas.openxmlformats.org/officeDocument/2006/relationships/hyperlink" Target="https://www.google.com/url?q=https://github.com/mostafa-saad/MyCompetitiveProgramming/blob/master/Olympiad/COCI/official/2009/regional_solutions&amp;sa=D&amp;ust=1605639798900000&amp;usg=AFQjCNGlHlqwWOJAGBMt4FFvDpAq1bH7Yw" TargetMode="External"/><Relationship Id="rId546" Type="http://schemas.openxmlformats.org/officeDocument/2006/relationships/hyperlink" Target="https://www.google.com/url?q=https://oj.uz/problem/view/APIO17_koala&amp;sa=D&amp;ust=1605639799105000&amp;usg=AFQjCNECEdTQfdnWxtQnBGb4TuCESrJerA" TargetMode="External"/><Relationship Id="rId753" Type="http://schemas.openxmlformats.org/officeDocument/2006/relationships/hyperlink" Target="https://www.google.com/url?q=https://github.com/nikolapesic2802/Programming-Practice/blob/master/Foehn%2520Phenomena/main.cpp&amp;sa=D&amp;ust=1605639799711000&amp;usg=AFQjCNGglfw3hOhOCBUwPp4dEPDk61ipOw" TargetMode="External"/><Relationship Id="rId1176" Type="http://schemas.openxmlformats.org/officeDocument/2006/relationships/hyperlink" Target="https://www.google.com/url?q=https://szkopul.edu.pl/problemset/problem/Orc2Z7ti1xLaUUQDT1a6RGR5/site/&amp;sa=D&amp;ust=1605639800110000&amp;usg=AFQjCNHeD7Zu-w7navieKGU-WjNGp3s9ow" TargetMode="External"/><Relationship Id="rId1383" Type="http://schemas.openxmlformats.org/officeDocument/2006/relationships/hyperlink" Target="https://www.google.com/url?q=https://github.com/mostafa-saad/MyCompetitiveProgramming/tree/master/Olympiad/COCI/official/2008/contest5_solutions&amp;sa=D&amp;ust=1605639800288000&amp;usg=AFQjCNG_kZeagN9EMC_yJRUSYKv_TyYcXg" TargetMode="External"/><Relationship Id="rId2227" Type="http://schemas.openxmlformats.org/officeDocument/2006/relationships/hyperlink" Target="https://www.google.com/url?q=https://github.com/mostafa-saad/MyCompetitiveProgramming/blob/master/Olympiad/COCI/official/2010/contest1_solutions&amp;sa=D&amp;ust=1605639800899000&amp;usg=AFQjCNFje49UunTjeYix5o4ABRb3tyNS7g" TargetMode="External"/><Relationship Id="rId2434" Type="http://schemas.openxmlformats.org/officeDocument/2006/relationships/hyperlink" Target="https://www.google.com/url?q=https://github.com/stefdasca/CompetitiveProgramming/blob/master/Infoarena/lautari.cpp&amp;sa=D&amp;ust=1605639801784000&amp;usg=AFQjCNE7aRUIqTa2R4V_0FRMQ90E_m7YxA" TargetMode="External"/><Relationship Id="rId2879" Type="http://schemas.openxmlformats.org/officeDocument/2006/relationships/hyperlink" Target="https://www.google.com/url?q=http://ioi2017.org/contest/practice/&amp;sa=D&amp;ust=1605639802265000&amp;usg=AFQjCNEeWlOCVdARLy1XB65seLIiDTYnoQ" TargetMode="External"/><Relationship Id="rId101" Type="http://schemas.openxmlformats.org/officeDocument/2006/relationships/hyperlink" Target="https://www.google.com/url?q=https://cses.fi/186/list/&amp;sa=D&amp;ust=1605639798714000&amp;usg=AFQjCNGm5lGleBb_ivQoxEH2CQ3c05_xMA" TargetMode="External"/><Relationship Id="rId406" Type="http://schemas.openxmlformats.org/officeDocument/2006/relationships/hyperlink" Target="https://www.google.com/url?q=https://github.com/mostafa-saad/MyCompetitiveProgramming/blob/master/Olympiad/COCI/official/2009/contest5_solutions&amp;sa=D&amp;ust=1605639798988000&amp;usg=AFQjCNG6P02kXiB2sBpyUtKbLgi3PmJeGw" TargetMode="External"/><Relationship Id="rId960" Type="http://schemas.openxmlformats.org/officeDocument/2006/relationships/hyperlink" Target="https://www.google.com/url?q=http://www.usaco.org/index.php?page%3Dviewproblem2%26cpid%3D994&amp;sa=D&amp;ust=1605639799914000&amp;usg=AFQjCNFvbUaUQFId07kTrFZdHHBM1qyOGQ" TargetMode="External"/><Relationship Id="rId1036" Type="http://schemas.openxmlformats.org/officeDocument/2006/relationships/hyperlink" Target="https://www.google.com/url?q=https://www.infoarena.ro/problema/profit&amp;sa=D&amp;ust=1605639799993000&amp;usg=AFQjCNHnBhm78ri9-Z-mDkRQ0usQUYpn6Q" TargetMode="External"/><Relationship Id="rId1243" Type="http://schemas.openxmlformats.org/officeDocument/2006/relationships/hyperlink" Target="https://www.google.com/url?q=https://oj.uz/problem/view/CEOI12_race&amp;sa=D&amp;ust=1605639800182000&amp;usg=AFQjCNGBCOvNe3URGPFGayyLUG-JdsEpfg" TargetMode="External"/><Relationship Id="rId1590" Type="http://schemas.openxmlformats.org/officeDocument/2006/relationships/hyperlink" Target="https://www.google.com/url?q=https://github.com/mostafa-saad/MyCompetitiveProgramming/blob/master/Olympiad/COCI/COCI-06-Prostor.txt&amp;sa=D&amp;ust=1605639800415000&amp;usg=AFQjCNH3K0g_YO_4c-fcMFuy2mO1P1VSvg" TargetMode="External"/><Relationship Id="rId1688" Type="http://schemas.openxmlformats.org/officeDocument/2006/relationships/hyperlink" Target="https://www.google.com/url?q=https://github.com/mostafa-saad/MyCompetitiveProgramming/blob/master/Olympiad/APIO/APIO-12-Dispatching.txt&amp;sa=D&amp;ust=1605639800493000&amp;usg=AFQjCNERpHJk918afm80bkz3OLnp72gd5Q" TargetMode="External"/><Relationship Id="rId1895" Type="http://schemas.openxmlformats.org/officeDocument/2006/relationships/hyperlink" Target="https://www.google.com/url?q=https://oj.uz/problem/view/COCI17_portal&amp;sa=D&amp;ust=1605639800687000&amp;usg=AFQjCNGcY2uC0Op-uLUQhwqWJjBWxLYUIA" TargetMode="External"/><Relationship Id="rId2641" Type="http://schemas.openxmlformats.org/officeDocument/2006/relationships/hyperlink" Target="https://www.google.com/url?q=https://github.com/mostafa-saad/MyCompetitiveProgramming/blob/master/Olympiad/Balkan/Balkan-17-CityAttractions.txt&amp;sa=D&amp;ust=1605639801984000&amp;usg=AFQjCNGNjaPpZN2HYs0TP0MuGu-10tfwfA" TargetMode="External"/><Relationship Id="rId2739" Type="http://schemas.openxmlformats.org/officeDocument/2006/relationships/hyperlink" Target="https://www.google.com/url?q=https://dmoj.ca/problem/coci07c5p2&amp;sa=D&amp;ust=1605639802088000&amp;usg=AFQjCNHrvqTWjSIyd1NxTmv3H9-1P8eGNg" TargetMode="External"/><Relationship Id="rId2946" Type="http://schemas.openxmlformats.org/officeDocument/2006/relationships/hyperlink" Target="https://www.google.com/url?q=https://dunjudge.me/analysis/problems/46/&amp;sa=D&amp;ust=1605639802305000&amp;usg=AFQjCNFRocZYp9XNu4G2iC_DIeOCAbadwQ" TargetMode="External"/><Relationship Id="rId613" Type="http://schemas.openxmlformats.org/officeDocument/2006/relationships/hyperlink" Target="https://www.google.com/url?q=https://szkopul.edu.pl/problemset/problem/p5XIDH2wrPz6KrUOJCv2RjGq/site/&amp;sa=D&amp;ust=1605639799167000&amp;usg=AFQjCNGODOnqEmLTD6MkGaG9TOEAucUZmQ" TargetMode="External"/><Relationship Id="rId820" Type="http://schemas.openxmlformats.org/officeDocument/2006/relationships/hyperlink" Target="https://www.google.com/url?q=https://github.com/mostafa-saad/MyCompetitiveProgramming/blob/master/Olympiad/Baltic/Baltic-13-vim.txt&amp;sa=D&amp;ust=1605639799792000&amp;usg=AFQjCNGdOUlrV54EPJhOKDR0OcoiOth2yA" TargetMode="External"/><Relationship Id="rId918" Type="http://schemas.openxmlformats.org/officeDocument/2006/relationships/hyperlink" Target="https://www.google.com/url?q=https://github.com/mostafa-saad/MyCompetitiveProgramming/blob/master/Olympiad/POI/POI-05-Banknote.txt&amp;sa=D&amp;ust=1605639799899000&amp;usg=AFQjCNFXVhPEykU3VO2Js6lbaSaZQhbZkw" TargetMode="External"/><Relationship Id="rId1450" Type="http://schemas.openxmlformats.org/officeDocument/2006/relationships/hyperlink" Target="https://www.google.com/url?q=https://oj.uz/problem/view/IOI17_train&amp;sa=D&amp;ust=1605639800315000&amp;usg=AFQjCNFIJukf5D1NHTRYigFGrdDF_HYnvA" TargetMode="External"/><Relationship Id="rId1548" Type="http://schemas.openxmlformats.org/officeDocument/2006/relationships/hyperlink" Target="https://www.google.com/url?q=https://github.com/mostafa-saad/MyCompetitiveProgramming/blob/master/Olympiad/CEOI/CEOI-12-circuit.txt&amp;sa=D&amp;ust=1605639800398000&amp;usg=AFQjCNH0t0dN6-XmZ4D1rp1pKL1S-gBUGQ" TargetMode="External"/><Relationship Id="rId1755" Type="http://schemas.openxmlformats.org/officeDocument/2006/relationships/hyperlink" Target="https://www.google.com/url?q=https://szkopul.edu.pl/problemset/problem/F_PC7j8VzjiPwlNqg9Jr_tFg/site/&amp;sa=D&amp;ust=1605639800569000&amp;usg=AFQjCNFecsIs4T8emk4wadpS7HByt8Aumg" TargetMode="External"/><Relationship Id="rId2501" Type="http://schemas.openxmlformats.org/officeDocument/2006/relationships/hyperlink" Target="https://www.google.com/url?q=https://github.com/mostafa-saad/MyCompetitiveProgramming/blob/master/Olympiad/COCI/COCI-19-transport.txt&amp;sa=D&amp;ust=1605639801810000&amp;usg=AFQjCNEtYv6_i3nj4MOC_o5KtNFVBypZUg" TargetMode="External"/><Relationship Id="rId1103" Type="http://schemas.openxmlformats.org/officeDocument/2006/relationships/hyperlink" Target="https://www.google.com/url?q=https://szkopul.edu.pl/problemset/problem/uABxo7lIMMVDn0-HB1wCE02w/site/&amp;sa=D&amp;ust=1605639800072000&amp;usg=AFQjCNEq6uuWdTwG6ahrDJXGjTlq9w-mow" TargetMode="External"/><Relationship Id="rId1310" Type="http://schemas.openxmlformats.org/officeDocument/2006/relationships/hyperlink" Target="https://www.google.com/url?q=https://github.com/mostafa-saad/MyCompetitiveProgramming/blob/master/Olympiad/CEOI/CEOI-05-Ticket.txt&amp;sa=D&amp;ust=1605639800207000&amp;usg=AFQjCNFwczzl0mGvcti49TQ-NNsnSbAjIg" TargetMode="External"/><Relationship Id="rId1408" Type="http://schemas.openxmlformats.org/officeDocument/2006/relationships/hyperlink" Target="https://www.google.com/url?q=https://www.infoarena.ro/problema/copii2&amp;sa=D&amp;ust=1605639800298000&amp;usg=AFQjCNFhPGpCVlPP4Vk3nKSPxmkwUa8QDg" TargetMode="External"/><Relationship Id="rId1962" Type="http://schemas.openxmlformats.org/officeDocument/2006/relationships/hyperlink" Target="https://www.google.com/url?q=https://github.com/mostafa-saad/MyCompetitiveProgramming/blob/master/Olympiad/POI/official/find_editorial_sols_guidelines.txt&amp;sa=D&amp;ust=1605639800710000&amp;usg=AFQjCNHYf-8jzZzl7a_63NrcsN1aJ18djQ" TargetMode="External"/><Relationship Id="rId2806" Type="http://schemas.openxmlformats.org/officeDocument/2006/relationships/hyperlink" Target="https://www.google.com/url?q=https://dmoj.ca/problem/coci14c6p3&amp;sa=D&amp;ust=1605639802172000&amp;usg=AFQjCNGFnTwHuihjn5AMTB-wJrmyegFfng" TargetMode="External"/><Relationship Id="rId47" Type="http://schemas.openxmlformats.org/officeDocument/2006/relationships/hyperlink" Target="https://www.google.com/url?q=https://github.com/mostafa-saad/MyCompetitiveProgramming/blob/master/Olympiad/POI/POI-04-Tournament.txt&amp;sa=D&amp;ust=1605639798681000&amp;usg=AFQjCNGgEIwWz4EO60bfMsr8Gd_ZL5aV6A" TargetMode="External"/><Relationship Id="rId1615" Type="http://schemas.openxmlformats.org/officeDocument/2006/relationships/hyperlink" Target="https://www.google.com/url?q=https://github.com/mostafa-saad/MyCompetitiveProgramming/tree/master/Olympiad/Balkan/official/2015&amp;sa=D&amp;ust=1605639800424000&amp;usg=AFQjCNEzFv6Q5V75DYtKgEqYN0inxeMZjg" TargetMode="External"/><Relationship Id="rId1822" Type="http://schemas.openxmlformats.org/officeDocument/2006/relationships/hyperlink" Target="https://www.google.com/url?q=https://boi18-day1-open.kattis.com/problems&amp;sa=D&amp;ust=1605639800598000&amp;usg=AFQjCNEYFytMzO03-LZlEejMu2mReJpUng" TargetMode="External"/><Relationship Id="rId196" Type="http://schemas.openxmlformats.org/officeDocument/2006/relationships/hyperlink" Target="https://www.google.com/url?q=https://github.com/mostafa-saad/MyCompetitiveProgramming/tree/master/Olympiad/MCO/official/2014&amp;sa=D&amp;ust=1605639798787000&amp;usg=AFQjCNH2UOgeuN6_jyPSYLe7uvfZGc0XgQ" TargetMode="External"/><Relationship Id="rId2084" Type="http://schemas.openxmlformats.org/officeDocument/2006/relationships/hyperlink" Target="https://www.google.com/url?q=https://oj.uz/problem/view/COI14_grad&amp;sa=D&amp;ust=1605639800804000&amp;usg=AFQjCNHX-Y8BQDTwGy3_6c1U_falzSKpZQ" TargetMode="External"/><Relationship Id="rId2291" Type="http://schemas.openxmlformats.org/officeDocument/2006/relationships/hyperlink" Target="https://www.google.com/url?q=https://github.com/mostafa-saad/MyCompetitiveProgramming/blob/master/Olympiad/POI/POI-11-okr.txt&amp;sa=D&amp;ust=1605639801574000&amp;usg=AFQjCNEd6szHbsBrghKzbBxuE96DqMe_SA" TargetMode="External"/><Relationship Id="rId263" Type="http://schemas.openxmlformats.org/officeDocument/2006/relationships/hyperlink" Target="https://www.google.com/url?q=https://dunjudge.me/analysis/problems/1382/&amp;sa=D&amp;ust=1605639798868000&amp;usg=AFQjCNEzdYc5mwc21JznClEQ43hT52x1tg" TargetMode="External"/><Relationship Id="rId470" Type="http://schemas.openxmlformats.org/officeDocument/2006/relationships/hyperlink" Target="https://www.google.com/url?q=https://dunjudge.me/analysis/problems/704/&amp;sa=D&amp;ust=1605639799015000&amp;usg=AFQjCNGXwRBMqZ-nF1pomJuiIwCr9MmINg" TargetMode="External"/><Relationship Id="rId2151" Type="http://schemas.openxmlformats.org/officeDocument/2006/relationships/hyperlink" Target="https://www.google.com/url?q=https://dunjudge.me/analysis/problems/955/&amp;sa=D&amp;ust=1605639800868000&amp;usg=AFQjCNFHL9af_AZ7_ubYbU6vDUkdtQu_iQ" TargetMode="External"/><Relationship Id="rId2389" Type="http://schemas.openxmlformats.org/officeDocument/2006/relationships/hyperlink" Target="https://www.google.com/url?q=https://github.com/mostafa-saad/MyCompetitiveProgramming/blob/master/Olympiad/IOI/official/2010&amp;sa=D&amp;ust=1605639801703000&amp;usg=AFQjCNHss1kFxXtafhQM37EUIdEpxR2C1A" TargetMode="External"/><Relationship Id="rId2596" Type="http://schemas.openxmlformats.org/officeDocument/2006/relationships/hyperlink" Target="https://www.google.com/url?q=https://codeforces.com/group/R2SERIff4f/contest/213171/problem/R&amp;sa=D&amp;ust=1605639801901000&amp;usg=AFQjCNGq_ys2W8PCF3As3BTiuD5ON_XwHg" TargetMode="External"/><Relationship Id="rId123" Type="http://schemas.openxmlformats.org/officeDocument/2006/relationships/hyperlink" Target="https://www.google.com/url?q=https://github.com/mostafa-saad/MyCompetitiveProgramming/blob/master/Olympiad/CEOI/CEOI-03-Hanoi.txt&amp;sa=D&amp;ust=1605639798723000&amp;usg=AFQjCNGSfNK2r8FYz9PgYulIOFMtV1tWZA" TargetMode="External"/><Relationship Id="rId330" Type="http://schemas.openxmlformats.org/officeDocument/2006/relationships/hyperlink" Target="https://www.google.com/url?q=https://oj.uz/problem/view/COCI17_kosnja&amp;sa=D&amp;ust=1605639798896000&amp;usg=AFQjCNGkwW6Hg5FwfOaJeMDUo8ociFqQ3Q" TargetMode="External"/><Relationship Id="rId568" Type="http://schemas.openxmlformats.org/officeDocument/2006/relationships/hyperlink" Target="https://www.google.com/url?q=https://github.com/mostafa-saad/MyCompetitiveProgramming/blob/master/Olympiad/TOKI/TOKIOpen-18-GroupChat.txt&amp;sa=D&amp;ust=1605639799115000&amp;usg=AFQjCNExe80umfkmODG4M2Le0qnSpTXr6w" TargetMode="External"/><Relationship Id="rId775" Type="http://schemas.openxmlformats.org/officeDocument/2006/relationships/hyperlink" Target="https://www.google.com/url?q=http://usaco.org/index.php?page%3Dviewproblem2%26cpid%3D865&amp;sa=D&amp;ust=1605639799718000&amp;usg=AFQjCNEtBqcUsE-95lUo7nj8etJvMUmwfA" TargetMode="External"/><Relationship Id="rId982" Type="http://schemas.openxmlformats.org/officeDocument/2006/relationships/hyperlink" Target="https://www.google.com/url?q=https://www.infoarena.ro/problema/v2d&amp;sa=D&amp;ust=1605639799973000&amp;usg=AFQjCNGvqGHTJy3Sap1pd_rD2Q46Y9sP6A" TargetMode="External"/><Relationship Id="rId1198" Type="http://schemas.openxmlformats.org/officeDocument/2006/relationships/hyperlink" Target="https://www.google.com/url?q=https://github.com/mostafa-saad/MyCompetitiveProgramming/blob/master/Olympiad/COCI/COCI-16-vjestica.txt&amp;sa=D&amp;ust=1605639800119000&amp;usg=AFQjCNEan5TVgN5FtgUjY8y9RZ9LvgIDMw" TargetMode="External"/><Relationship Id="rId2011" Type="http://schemas.openxmlformats.org/officeDocument/2006/relationships/hyperlink" Target="https://www.google.com/url?q=http://usaco.org/index.php?page%3Dviewproblem2%26cpid%3D745&amp;sa=D&amp;ust=1605639800773000&amp;usg=AFQjCNH4G5NFGEIfp4oQSHhi7vMhutEASg" TargetMode="External"/><Relationship Id="rId2249" Type="http://schemas.openxmlformats.org/officeDocument/2006/relationships/hyperlink" Target="https://www.google.com/url?q=https://www.acmicpc.net/problem/7053&amp;sa=D&amp;ust=1605639800908000&amp;usg=AFQjCNGT57ZOsuBZJFefSWgTx4sXGn3YOA" TargetMode="External"/><Relationship Id="rId2456" Type="http://schemas.openxmlformats.org/officeDocument/2006/relationships/hyperlink" Target="https://www.google.com/url?q=https://github.com/mostafa-saad/MyCompetitiveProgramming/blob/master/Olympiad/Baltic/Baltic-08-Magical.txt&amp;sa=D&amp;ust=1605639801794000&amp;usg=AFQjCNFQ7oQMWMUEwuv-RbOAxXIMVyzplQ" TargetMode="External"/><Relationship Id="rId2663" Type="http://schemas.openxmlformats.org/officeDocument/2006/relationships/hyperlink" Target="https://www.google.com/url?q=https://github.com/mostafa-saad/MyCompetitiveProgramming/blob/master/Olympiad/IOI/IOI-03-code.txt&amp;sa=D&amp;ust=1605639801992000&amp;usg=AFQjCNHxdUdHkq2ZORnyl7UaE_E_pWHg1Q" TargetMode="External"/><Relationship Id="rId2870" Type="http://schemas.openxmlformats.org/officeDocument/2006/relationships/hyperlink" Target="https://www.google.com/url?q=https://oj.uz/problem/view/IOI19_split&amp;sa=D&amp;ust=1605639802206000&amp;usg=AFQjCNHbVZAoGMdy3plSrmVVox6M10e_qA" TargetMode="External"/><Relationship Id="rId428" Type="http://schemas.openxmlformats.org/officeDocument/2006/relationships/hyperlink" Target="https://www.google.com/url?q=https://dunjudge.me/analysis/problems/421/&amp;sa=D&amp;ust=1605639798996000&amp;usg=AFQjCNEyqM7zNzBYB7W_Q7diJ9htU2LA9A" TargetMode="External"/><Relationship Id="rId635" Type="http://schemas.openxmlformats.org/officeDocument/2006/relationships/hyperlink" Target="https://www.google.com/url?q=https://codeforces.com/blog/entry/68676&amp;sa=D&amp;ust=1605639799179000&amp;usg=AFQjCNFRDFa2e0tJUxRqP3MtSdDTEQXTGQ" TargetMode="External"/><Relationship Id="rId842" Type="http://schemas.openxmlformats.org/officeDocument/2006/relationships/hyperlink" Target="https://www.google.com/url?q=https://github.com/dolphingarlic/CompetitiveProgramming/blob/master/LMIO/LMIO%252019-bulves.cpp&amp;sa=D&amp;ust=1605639799801000&amp;usg=AFQjCNFEOCYjz95u85o4wokqFBr1zUwgDA" TargetMode="External"/><Relationship Id="rId1058" Type="http://schemas.openxmlformats.org/officeDocument/2006/relationships/hyperlink" Target="https://www.google.com/url?q=https://dunjudge.me/analysis/problems/1417/&amp;sa=D&amp;ust=1605639800004000&amp;usg=AFQjCNFquvJld93-c-To32Mds3Ljq8-TcQ" TargetMode="External"/><Relationship Id="rId1265" Type="http://schemas.openxmlformats.org/officeDocument/2006/relationships/hyperlink" Target="https://www.google.com/url?q=https://szkopul.edu.pl/problemset/problem/ghEjb6qGVGsGk_KgYqdXZNna/site/&amp;sa=D&amp;ust=1605639800190000&amp;usg=AFQjCNFh_SmBSCNDXw5WnR1ud9TfaUt82Q" TargetMode="External"/><Relationship Id="rId1472" Type="http://schemas.openxmlformats.org/officeDocument/2006/relationships/hyperlink" Target="https://www.google.com/url?q=https://oj.uz/problem/view/COCI15_drzava&amp;sa=D&amp;ust=1605639800370000&amp;usg=AFQjCNEXaQaH-pHAI8pjpJdTYD1bDfLXRw" TargetMode="External"/><Relationship Id="rId2109" Type="http://schemas.openxmlformats.org/officeDocument/2006/relationships/hyperlink" Target="https://www.google.com/url?q=https://oj.uz/problem/view/COCI17_gauss&amp;sa=D&amp;ust=1605639800811000&amp;usg=AFQjCNGlhw7OLI0hmUhIJRpUCDMybyBLxQ" TargetMode="External"/><Relationship Id="rId2316" Type="http://schemas.openxmlformats.org/officeDocument/2006/relationships/hyperlink" Target="https://www.google.com/url?q=https://github.com/mostafa-saad/MyCompetitiveProgramming/blob/master/Olympiad/CEOI/COCI-09-snowwhite.txt&amp;sa=D&amp;ust=1605639801600000&amp;usg=AFQjCNG3jYekpyaJPKrAM5x4cM9IcobdZw" TargetMode="External"/><Relationship Id="rId2523" Type="http://schemas.openxmlformats.org/officeDocument/2006/relationships/hyperlink" Target="https://www.google.com/url?q=https://oj.uz/problem/view/POI11_pio&amp;sa=D&amp;ust=1605639801870000&amp;usg=AFQjCNHRMixCO-wh61n7hUWRO2XZg91IUQ" TargetMode="External"/><Relationship Id="rId2730" Type="http://schemas.openxmlformats.org/officeDocument/2006/relationships/hyperlink" Target="https://www.google.com/url?q=https://github.com/mostafa-saad/MyCompetitiveProgramming/tree/master/Olympiad/COCI/official/2008/contest3_solutions&amp;sa=D&amp;ust=1605639802086000&amp;usg=AFQjCNF-v2nz89gdeU1G_NR4gg7XTWbw6Q" TargetMode="External"/><Relationship Id="rId2968" Type="http://schemas.openxmlformats.org/officeDocument/2006/relationships/hyperlink" Target="https://www.google.com/url?q=https://szkopul.edu.pl/problemset/problem/7u_14yXL3mR3mO0seZLusF5U/site/&amp;sa=D&amp;ust=1605639802374000&amp;usg=AFQjCNG2MQsVeiRQed2bZ5MRK8HsZq5ZZw" TargetMode="External"/><Relationship Id="rId702" Type="http://schemas.openxmlformats.org/officeDocument/2006/relationships/hyperlink" Target="https://www.google.com/url?q=https://oj.uz/problem/view/COCI15_relativnost&amp;sa=D&amp;ust=1605639799674000&amp;usg=AFQjCNGvSvCqantjwT776LVtvNjTxyEp3g" TargetMode="External"/><Relationship Id="rId1125" Type="http://schemas.openxmlformats.org/officeDocument/2006/relationships/hyperlink" Target="https://www.google.com/url?q=http://usaco.org/index.php?page%3Dviewproblem2%26cpid%3D193&amp;sa=D&amp;ust=1605639800080000&amp;usg=AFQjCNHmMIgT1jJcoGVruB32_artQYRMvw" TargetMode="External"/><Relationship Id="rId1332" Type="http://schemas.openxmlformats.org/officeDocument/2006/relationships/hyperlink" Target="https://www.google.com/url?q=https://github.com/mostafa-saad/MyCompetitiveProgramming/blob/master/Olympiad/Baltic/Baltic-12-mobile.txt&amp;sa=D&amp;ust=1605639800218000&amp;usg=AFQjCNFOXFL-fOA7lujhhaKPUu5Vxl4wsQ" TargetMode="External"/><Relationship Id="rId1777" Type="http://schemas.openxmlformats.org/officeDocument/2006/relationships/hyperlink" Target="https://www.google.com/url?q=https://oj.uz/problem/view/NOI12_pancake&amp;sa=D&amp;ust=1605639800577000&amp;usg=AFQjCNGomNlGPhRJVvE89x6zo45ErziH8Q" TargetMode="External"/><Relationship Id="rId1984" Type="http://schemas.openxmlformats.org/officeDocument/2006/relationships/hyperlink" Target="https://www.google.com/url?q=http://poj.org/problem?id%3D1161&amp;sa=D&amp;ust=1605639800718000&amp;usg=AFQjCNE6sq7cAmncn4Jv32HzVgWrjRQ7fw" TargetMode="External"/><Relationship Id="rId2828" Type="http://schemas.openxmlformats.org/officeDocument/2006/relationships/hyperlink" Target="https://www.google.com/url?q=https://oj.uz/problem/view/COCI19_titlovi&amp;sa=D&amp;ust=1605639802182000&amp;usg=AFQjCNHut6g-OF8MEId2TG3dMIYBgy8chQ" TargetMode="External"/><Relationship Id="rId69" Type="http://schemas.openxmlformats.org/officeDocument/2006/relationships/hyperlink" Target="https://www.google.com/url?q=https://github.com/mostafa-saad/MyCompetitiveProgramming/tree/master/Olympiad/MCO/official&amp;sa=D&amp;ust=1605639798691000&amp;usg=AFQjCNGHqZccTYgxSnemxSb4WmliNTwlUg" TargetMode="External"/><Relationship Id="rId1637" Type="http://schemas.openxmlformats.org/officeDocument/2006/relationships/hyperlink" Target="https://www.google.com/url?q=https://github.com/mostafa-saad/MyCompetitiveProgramming/tree/master/Olympiad/Balkan/official/2016&amp;sa=D&amp;ust=1605639800473000&amp;usg=AFQjCNG7GwByrPi0jG9LHHCQDsTuvKRRNA" TargetMode="External"/><Relationship Id="rId1844" Type="http://schemas.openxmlformats.org/officeDocument/2006/relationships/hyperlink" Target="https://www.google.com/url?q=https://oj.uz/problem/view/NOI12_forensic&amp;sa=D&amp;ust=1605639800606000&amp;usg=AFQjCNFmsFbrTGOpDUCLCQxuPgGlxexBKQ" TargetMode="External"/><Relationship Id="rId1704" Type="http://schemas.openxmlformats.org/officeDocument/2006/relationships/hyperlink" Target="https://www.google.com/url?q=https://github.com/mostafa-saad/MyCompetitiveProgramming/blob/master/Olympiad/IOI/official/2000&amp;sa=D&amp;ust=1605639800499000&amp;usg=AFQjCNHBVuZI1N8p5eNtK-fqjTHDAChDsg" TargetMode="External"/><Relationship Id="rId285" Type="http://schemas.openxmlformats.org/officeDocument/2006/relationships/hyperlink" Target="https://www.google.com/url?q=https://dmoj.ca/problem/coci06c3p2&amp;sa=D&amp;ust=1605639798877000&amp;usg=AFQjCNE_mqwKV5H0-k2e2ht2Y56ZWsBc4w" TargetMode="External"/><Relationship Id="rId1911" Type="http://schemas.openxmlformats.org/officeDocument/2006/relationships/hyperlink" Target="https://www.google.com/url?q=https://github.com/mostafa-saad/MyCompetitiveProgramming/tree/master/Olympiad/COCI/official/2008/contest6_solutions&amp;sa=D&amp;ust=1605639800693000&amp;usg=AFQjCNG7yL-A2MgC0cUXI8jL54C_c05nMQ" TargetMode="External"/><Relationship Id="rId492" Type="http://schemas.openxmlformats.org/officeDocument/2006/relationships/hyperlink" Target="https://www.google.com/url?q=https://github.com/mostafa-saad/MyCompetitiveProgramming/blob/master/Olympiad/Balkan/Balkan-17-Monsters.txt&amp;sa=D&amp;ust=1605639799082000&amp;usg=AFQjCNEeJ5GqvfoahhACCV3NdMdlR1RGvg" TargetMode="External"/><Relationship Id="rId797" Type="http://schemas.openxmlformats.org/officeDocument/2006/relationships/hyperlink" Target="https://www.google.com/url?q=https://github.com/MohamedAhmed04/Competitive-programming/blob/master/USACO/17-February-Platinum-WhyDidTheCowCrossTheRoadIII.cpp&amp;sa=D&amp;ust=1605639799780000&amp;usg=AFQjCNG05UV-tWI9QKs5FBZY4GJae5IGNg" TargetMode="External"/><Relationship Id="rId2173" Type="http://schemas.openxmlformats.org/officeDocument/2006/relationships/hyperlink" Target="https://www.google.com/url?q=https://dunjudge.me/analysis/problems/552/&amp;sa=D&amp;ust=1605639800876000&amp;usg=AFQjCNHjmaSIw2YgiMVh1tOHxXHdUf76Fg" TargetMode="External"/><Relationship Id="rId2380" Type="http://schemas.openxmlformats.org/officeDocument/2006/relationships/hyperlink" Target="https://www.google.com/url?q=https://github.com/stefdasca/CompetitiveProgramming/blob/master/Infoarena/album2.cpp&amp;sa=D&amp;ust=1605639801691000&amp;usg=AFQjCNGEpK7Oa8ykSF15SFYfOSv_tLDlLA" TargetMode="External"/><Relationship Id="rId2478" Type="http://schemas.openxmlformats.org/officeDocument/2006/relationships/hyperlink" Target="https://www.google.com/url?q=https://oj.uz/problem/view/BOI13_pipes&amp;sa=D&amp;ust=1605639801800000&amp;usg=AFQjCNGiTgmyMf994PFQDVZOfm9Wtw959Q" TargetMode="External"/><Relationship Id="rId145" Type="http://schemas.openxmlformats.org/officeDocument/2006/relationships/hyperlink" Target="https://www.google.com/url?q=https://github.com/mostafa-saad/MyCompetitiveProgramming/blob/master/Olympiad/NOI/official&amp;sa=D&amp;ust=1605639798765000&amp;usg=AFQjCNEz_JA03-yYOfsYL3dgjbG8Kb3fHA" TargetMode="External"/><Relationship Id="rId352" Type="http://schemas.openxmlformats.org/officeDocument/2006/relationships/hyperlink" Target="https://www.google.com/url?q=https://oj.uz/problem/view/COCI17_pareto&amp;sa=D&amp;ust=1605639798906000&amp;usg=AFQjCNHPU1xCpH64lOx6gAA0dK3dmOMNvQ" TargetMode="External"/><Relationship Id="rId1287" Type="http://schemas.openxmlformats.org/officeDocument/2006/relationships/hyperlink" Target="https://www.google.com/url?q=https://github.com/mostafa-saad/MyCompetitiveProgramming/blob/master/Olympiad/COCI/COCI-15-Endor.txt&amp;sa=D&amp;ust=1605639800197000&amp;usg=AFQjCNFkzJ83M8fOy9J_9erHFg6llI0Olw" TargetMode="External"/><Relationship Id="rId2033" Type="http://schemas.openxmlformats.org/officeDocument/2006/relationships/hyperlink" Target="https://www.google.com/url?q=https://oj.uz/problem/view/NOI14_sightseeing&amp;sa=D&amp;ust=1605639800782000&amp;usg=AFQjCNE-hzL6EssOE1Z7B-Mq-PaF3CYH_g" TargetMode="External"/><Relationship Id="rId2240" Type="http://schemas.openxmlformats.org/officeDocument/2006/relationships/hyperlink" Target="https://www.google.com/url?q=http://usaco.org/index.php?page%3Dviewproblem2%26cpid%3D862&amp;sa=D&amp;ust=1605639800905000&amp;usg=AFQjCNE3KyAveEd0sueNJgmwaC1hSQwlrQ" TargetMode="External"/><Relationship Id="rId2685" Type="http://schemas.openxmlformats.org/officeDocument/2006/relationships/hyperlink" Target="https://www.google.com/url?q=https://www.acmicpc.net/problem/5249&amp;sa=D&amp;ust=1605639802005000&amp;usg=AFQjCNEa9oo2jf3b_UhCWFsUnrh32B-EjQ" TargetMode="External"/><Relationship Id="rId2892" Type="http://schemas.openxmlformats.org/officeDocument/2006/relationships/hyperlink" Target="https://www.google.com/url?q=https://joisc2013-day3.contest.atcoder.jp/tasks/joisc2013_cake&amp;sa=D&amp;ust=1605639802272000&amp;usg=AFQjCNFjEdDSnUCdm8sPSI0bDT73r7OIfA" TargetMode="External"/><Relationship Id="rId212" Type="http://schemas.openxmlformats.org/officeDocument/2006/relationships/hyperlink" Target="https://www.google.com/url?q=https://contest.yandex.ru/ioi/contest/562/problems/A/&amp;sa=D&amp;ust=1605639798794000&amp;usg=AFQjCNGNoQlfk8tjQpPIUU5bSvpBjvbTcg" TargetMode="External"/><Relationship Id="rId657" Type="http://schemas.openxmlformats.org/officeDocument/2006/relationships/hyperlink" Target="https://www.google.com/url?q=https://github.com/mostafa-saad/MyCompetitiveProgramming/blob/master/Olympiad/IOI/IOI-13-wombats.txt&amp;sa=D&amp;ust=1605639799657000&amp;usg=AFQjCNGZVmaWlfwUZaZtBm_noWMNwTT_Ww" TargetMode="External"/><Relationship Id="rId864" Type="http://schemas.openxmlformats.org/officeDocument/2006/relationships/hyperlink" Target="https://www.google.com/url?q=https://www.infoarena.ro/problema/matcnt&amp;sa=D&amp;ust=1605639799873000&amp;usg=AFQjCNHckaDTwp6g2aRjqzue5SplWBaWMA" TargetMode="External"/><Relationship Id="rId1494" Type="http://schemas.openxmlformats.org/officeDocument/2006/relationships/hyperlink" Target="https://www.google.com/url?q=https://cses.fi/192/list/&amp;sa=D&amp;ust=1605639800378000&amp;usg=AFQjCNEl8YPSkPdh7e47vwbcwEg0vbssdg" TargetMode="External"/><Relationship Id="rId1799" Type="http://schemas.openxmlformats.org/officeDocument/2006/relationships/hyperlink" Target="https://www.google.com/url?q=https://ivaniscoding.wordpress.com/2018/08/25/communication-2-navigation/&amp;sa=D&amp;ust=1605639800591000&amp;usg=AFQjCNFFqdtPLgAhbgliDmU-S3p8nCfzdw" TargetMode="External"/><Relationship Id="rId2100" Type="http://schemas.openxmlformats.org/officeDocument/2006/relationships/hyperlink" Target="https://www.google.com/url?q=https://github.com/mostafa-saad/MyCompetitiveProgramming/blob/master/Olympiad/Baltic/Baltic-09-Triangulate.txt&amp;sa=D&amp;ust=1605639800808000&amp;usg=AFQjCNGpJLRELn0cJymGGk_WSd4t7EcpLg" TargetMode="External"/><Relationship Id="rId2338" Type="http://schemas.openxmlformats.org/officeDocument/2006/relationships/hyperlink" Target="https://www.google.com/url?q=https://wcipeg.com/problem/coi08p3&amp;sa=D&amp;ust=1605639801612000&amp;usg=AFQjCNEkMpZ7LFkUMJ2RqW6Rh25xqEREwA" TargetMode="External"/><Relationship Id="rId2545" Type="http://schemas.openxmlformats.org/officeDocument/2006/relationships/hyperlink" Target="https://www.google.com/url?q=https://oj.uz/problem/view/POI11_rot&amp;sa=D&amp;ust=1605639801877000&amp;usg=AFQjCNFby_jZv5OHLn9-WDphtgwFFrdvUQ" TargetMode="External"/><Relationship Id="rId2752" Type="http://schemas.openxmlformats.org/officeDocument/2006/relationships/hyperlink" Target="https://www.google.com/url?q=https://github.com/mostafa-saad/MyCompetitiveProgramming/blob/master/Olympiad/COCI/official/2009/contest1_solutions&amp;sa=D&amp;ust=1605639802093000&amp;usg=AFQjCNGBe4jWBxgpLSGTVf2xPMdehpN_IA" TargetMode="External"/><Relationship Id="rId517" Type="http://schemas.openxmlformats.org/officeDocument/2006/relationships/hyperlink" Target="https://www.google.com/url?q=https://github.com/mostafa-saad/MyCompetitiveProgramming/blob/master/Olympiad/NOI/official&amp;sa=D&amp;ust=1605639799093000&amp;usg=AFQjCNGGkD20jw5czg9afxM831gt8E0pHQ" TargetMode="External"/><Relationship Id="rId724" Type="http://schemas.openxmlformats.org/officeDocument/2006/relationships/hyperlink" Target="https://www.google.com/url?q=https://github.com/mostafa-saad/MyCompetitiveProgramming/blob/master/Olympiad/JOI/JOIOC-18-bubblesort2.txt&amp;sa=D&amp;ust=1605639799697000&amp;usg=AFQjCNEt3lmYa1JwRFE_GrM-qaO5K9J5DQ" TargetMode="External"/><Relationship Id="rId931" Type="http://schemas.openxmlformats.org/officeDocument/2006/relationships/hyperlink" Target="https://www.google.com/url?q=https://codeforces.com/contest/1192/problem/C&amp;sa=D&amp;ust=1605639799903000&amp;usg=AFQjCNGRjrt3z5kslMQYY-xAdH9M01fZsQ" TargetMode="External"/><Relationship Id="rId1147" Type="http://schemas.openxmlformats.org/officeDocument/2006/relationships/hyperlink" Target="https://www.google.com/url?q=https://github.com/stefdasca/CompetitiveProgramming/blob/master/Infoarena/cerc3.cpp&amp;sa=D&amp;ust=1605639800091000&amp;usg=AFQjCNH9Dp2Un7fZqvtUfFJNOXPLM6xMHw" TargetMode="External"/><Relationship Id="rId1354" Type="http://schemas.openxmlformats.org/officeDocument/2006/relationships/hyperlink" Target="https://www.google.com/url?q=https://oj.uz/problem/view/POI13_usu&amp;sa=D&amp;ust=1605639800268000&amp;usg=AFQjCNFIBqIfB7Q8sQN_3G92nHTSYadjpw" TargetMode="External"/><Relationship Id="rId1561" Type="http://schemas.openxmlformats.org/officeDocument/2006/relationships/hyperlink" Target="https://www.google.com/url?q=https://contest.yandex.ru/ioi/contest/560/enter/&amp;sa=D&amp;ust=1605639800404000&amp;usg=AFQjCNGpwmzCxlPpJrhp6H_vWCmkcbkHmA" TargetMode="External"/><Relationship Id="rId2405" Type="http://schemas.openxmlformats.org/officeDocument/2006/relationships/hyperlink" Target="https://www.google.com/url?q=https://oj.uz/problem/view/COCI19_konj&amp;sa=D&amp;ust=1605639801709000&amp;usg=AFQjCNF3DLBuz-EcEFGTgUNConTF8Xuj3A" TargetMode="External"/><Relationship Id="rId2612" Type="http://schemas.openxmlformats.org/officeDocument/2006/relationships/hyperlink" Target="https://www.google.com/url?q=https://oj.uz/problem/view/IOI07_training&amp;sa=D&amp;ust=1605639801973000&amp;usg=AFQjCNGObUr5auwvKpYCKklDlEs3-V1nWQ" TargetMode="External"/><Relationship Id="rId60" Type="http://schemas.openxmlformats.org/officeDocument/2006/relationships/hyperlink" Target="https://www.google.com/url?q=https://szkopul.edu.pl/problemset/problem/Grfouq9u3g_TYktFXO2sNjCU/site/&amp;sa=D&amp;ust=1605639798687000&amp;usg=AFQjCNFFRU138a36Ls1o-03LheA3IyvUSA" TargetMode="External"/><Relationship Id="rId1007" Type="http://schemas.openxmlformats.org/officeDocument/2006/relationships/hyperlink" Target="https://www.google.com/url?q=https://szkopul.edu.pl/problemset/problem/_cVmDXXn2TjF0dF1rW6eazA0/site/&amp;sa=D&amp;ust=1605639799985000&amp;usg=AFQjCNFXWlUz66BlmGBs6bmaTMfYomHRAA" TargetMode="External"/><Relationship Id="rId1214" Type="http://schemas.openxmlformats.org/officeDocument/2006/relationships/hyperlink" Target="https://www.google.com/url?q=http://www.usaco.org/index.php?page%3Dviewproblem2%26cpid%3D974&amp;sa=D&amp;ust=1605639800171000&amp;usg=AFQjCNH_wq7Q-V9wHG5w50hYRIdGx3AfXw" TargetMode="External"/><Relationship Id="rId1421" Type="http://schemas.openxmlformats.org/officeDocument/2006/relationships/hyperlink" Target="https://www.google.com/url?q=https://github.com/stefdasca/CompetitiveProgramming/blob/master/Infoarena/kcover.cpp&amp;sa=D&amp;ust=1605639800303000&amp;usg=AFQjCNE2qRL7GV0jA4-iRQWWr-7ZxCgZUQ" TargetMode="External"/><Relationship Id="rId1659" Type="http://schemas.openxmlformats.org/officeDocument/2006/relationships/hyperlink" Target="https://www.google.com/url?q=https://oj.uz/problem/view/JOI17_amusement_park&amp;sa=D&amp;ust=1605639800482000&amp;usg=AFQjCNEjV1YNupG_nsqo-ouLhGD2Y9nbLw" TargetMode="External"/><Relationship Id="rId1866" Type="http://schemas.openxmlformats.org/officeDocument/2006/relationships/hyperlink" Target="https://www.google.com/url?q=https://github.com/mostafa-saad/MyCompetitiveProgramming/blob/master/Olympiad/NOI/official&amp;sa=D&amp;ust=1605639800674000&amp;usg=AFQjCNETJQlqAzyS7Ie0ulD_zwvsfg2eBA" TargetMode="External"/><Relationship Id="rId2917" Type="http://schemas.openxmlformats.org/officeDocument/2006/relationships/hyperlink" Target="https://www.google.com/url?q=https://joisc2016.contest.atcoder.jp/tasks/joisc2016_d&amp;sa=D&amp;ust=1605639802289000&amp;usg=AFQjCNEtod9WdMxf4wITpCJ4d_ROu9T7Og" TargetMode="External"/><Relationship Id="rId1519" Type="http://schemas.openxmlformats.org/officeDocument/2006/relationships/hyperlink" Target="https://www.google.com/url?q=https://github.com/mostafa-saad/MyCompetitiveProgramming/tree/master/Olympiad/COCI/official/2008/contest6_solutions&amp;sa=D&amp;ust=1605639800388000&amp;usg=AFQjCNF5aYLTwTV2V01cIXfAUjyhyGUfcg" TargetMode="External"/><Relationship Id="rId1726" Type="http://schemas.openxmlformats.org/officeDocument/2006/relationships/hyperlink" Target="https://www.google.com/url?q=https://dunjudge.me/analysis/problems/281/&amp;sa=D&amp;ust=1605639800507000&amp;usg=AFQjCNGHyRowQHWyQhBWW24zo-r9_58QJw" TargetMode="External"/><Relationship Id="rId1933" Type="http://schemas.openxmlformats.org/officeDocument/2006/relationships/hyperlink" Target="https://www.google.com/url?q=http://www.usaco.org/index.php?page%3Dviewproblem2%26cpid%3D996&amp;sa=D&amp;ust=1605639800701000&amp;usg=AFQjCNEmqEV6T-N0RVobJ6m55GzT_0tkiw" TargetMode="External"/><Relationship Id="rId18" Type="http://schemas.openxmlformats.org/officeDocument/2006/relationships/hyperlink" Target="https://www.google.com/url?q=https://github.com/mostafa-saad/MyCompetitiveProgramming/blob/master/Olympiad/IOI/IOI-19-line.txt&amp;sa=D&amp;ust=1605639798671000&amp;usg=AFQjCNFYBN7u8CfQIKOEY-x01itlgl7_Iw" TargetMode="External"/><Relationship Id="rId2195" Type="http://schemas.openxmlformats.org/officeDocument/2006/relationships/hyperlink" Target="https://www.google.com/url?q=https://dunjudge.me/analysis/problems/88/&amp;sa=D&amp;ust=1605639800886000&amp;usg=AFQjCNEAUB_FlimNvxGMUD1O0STry_IZkA" TargetMode="External"/><Relationship Id="rId167" Type="http://schemas.openxmlformats.org/officeDocument/2006/relationships/hyperlink" Target="https://www.google.com/url?q=https://github.com/Yehezkiel01/CompetitiveProgramming/blob/master/JOIOC/JOIOC-14-secret.cpp&amp;sa=D&amp;ust=1605639798777000&amp;usg=AFQjCNHC5Y_mTuhbZl2MsNBWQP38N6ifeA" TargetMode="External"/><Relationship Id="rId374" Type="http://schemas.openxmlformats.org/officeDocument/2006/relationships/hyperlink" Target="https://www.google.com/url?q=https://dmoj.ca/problem/coci15c4p3&amp;sa=D&amp;ust=1605639798914000&amp;usg=AFQjCNHygKQvU4W9ibktnhmeFT7-gJd-tg" TargetMode="External"/><Relationship Id="rId581" Type="http://schemas.openxmlformats.org/officeDocument/2006/relationships/hyperlink" Target="https://www.google.com/url?q=https://github.com/stefdasca/CompetitiveProgramming/blob/master/JOI/JOI%252017-joioi.cpp&amp;sa=D&amp;ust=1605639799120000&amp;usg=AFQjCNHH_Anuc0RaKVKkO-lfPj4YapaUXg" TargetMode="External"/><Relationship Id="rId2055" Type="http://schemas.openxmlformats.org/officeDocument/2006/relationships/hyperlink" Target="https://www.google.com/url?q=https://github.com/mostafa-saad/MyCompetitiveProgramming/blob/master/Olympiad/CEOI/CEOI-11-Traffic.txt&amp;sa=D&amp;ust=1605639800792000&amp;usg=AFQjCNFctC3CM0Ah1-U-pQepsWDgBv3JxQ" TargetMode="External"/><Relationship Id="rId2262" Type="http://schemas.openxmlformats.org/officeDocument/2006/relationships/hyperlink" Target="https://www.google.com/url?q=https://github.com/mostafa-saad/MyCompetitiveProgramming/blob/master/Olympiad/POI/official/find_editorial_sols_guidelines.txt&amp;sa=D&amp;ust=1605639800912000&amp;usg=AFQjCNF1Da0ADFk6inzRUbYlwYHtuTSDKw" TargetMode="External"/><Relationship Id="rId234" Type="http://schemas.openxmlformats.org/officeDocument/2006/relationships/hyperlink" Target="https://www.google.com/url?q=https://github.com/mostafa-saad/MyCompetitiveProgramming/blob/master/Olympiad/COCI/official/2017/contest3_solutions&amp;sa=D&amp;ust=1605639798803000&amp;usg=AFQjCNGOg1UlM19HPqFWvVRUsFKmm5Q3-Q" TargetMode="External"/><Relationship Id="rId679" Type="http://schemas.openxmlformats.org/officeDocument/2006/relationships/hyperlink" Target="https://www.google.com/url?q=https://github.com/mostafa-saad/MyCompetitiveProgramming/blob/master/Olympiad/JOI/JOISC-17-PortFacility.txt&amp;sa=D&amp;ust=1605639799664000&amp;usg=AFQjCNEOrL3kBjBJls6M0Sfi7GGBLrMQ3w" TargetMode="External"/><Relationship Id="rId886" Type="http://schemas.openxmlformats.org/officeDocument/2006/relationships/hyperlink" Target="https://www.google.com/url?q=https://cses.fi/179/list/&amp;sa=D&amp;ust=1605639799884000&amp;usg=AFQjCNEZu0YnexH2UKVkJ9Rv5EyJV_r8tA" TargetMode="External"/><Relationship Id="rId2567" Type="http://schemas.openxmlformats.org/officeDocument/2006/relationships/hyperlink" Target="https://www.google.com/url?q=https://github.com/mostafa-saad/MyCompetitiveProgramming/blob/master/Olympiad/IOI/IOI-11-elephants.txt&amp;sa=D&amp;ust=1605639801885000&amp;usg=AFQjCNEjawqB046ZfRtLqZL1y4nIl8wYFw" TargetMode="External"/><Relationship Id="rId2774" Type="http://schemas.openxmlformats.org/officeDocument/2006/relationships/hyperlink" Target="https://www.google.com/url?q=https://github.com/mostafa-saad/MyCompetitiveProgramming/blob/master/Olympiad/COCI/official/2010/contest7_solutions&amp;sa=D&amp;ust=1605639802103000&amp;usg=AFQjCNGlchGl5gaAk-BasdqfM-uM7FBQIQ" TargetMode="External"/><Relationship Id="rId2" Type="http://schemas.openxmlformats.org/officeDocument/2006/relationships/hyperlink" Target="https://www.google.com/url?q=https://github.com/mostafa-saad/MyCompetitiveProgramming/blob/master/Olympiad/IOI/IOI-12-editorials.txt&amp;sa=D&amp;ust=1605639798665000&amp;usg=AFQjCNHCYNZz787xTBe5lBvLpzYmKIQ8gw" TargetMode="External"/><Relationship Id="rId441" Type="http://schemas.openxmlformats.org/officeDocument/2006/relationships/hyperlink" Target="https://www.google.com/url?q=https://github.com/mostafa-saad/MyCompetitiveProgramming/blob/master/Olympiad/Baltic/Baltic-15-edi.txt&amp;sa=D&amp;ust=1605639799002000&amp;usg=AFQjCNEFujbHJKd_akEv4l0jWIcIajcj1w" TargetMode="External"/><Relationship Id="rId539" Type="http://schemas.openxmlformats.org/officeDocument/2006/relationships/hyperlink" Target="https://www.google.com/url?q=https://github.com/mostafa-saad/MyCompetitiveProgramming/blob/master/Olympiad/IOI/official/2015&amp;sa=D&amp;ust=1605639799103000&amp;usg=AFQjCNG3Eh0Y3mCBmYnVt5GFyFCvRzsJiw" TargetMode="External"/><Relationship Id="rId746" Type="http://schemas.openxmlformats.org/officeDocument/2006/relationships/hyperlink" Target="https://www.google.com/url?q=https://www.infoarena.ro/problema/sir3&amp;sa=D&amp;ust=1605639799706000&amp;usg=AFQjCNHLRlM5LNUbjG9lrHEFUgtqdIy4yw" TargetMode="External"/><Relationship Id="rId1071" Type="http://schemas.openxmlformats.org/officeDocument/2006/relationships/hyperlink" Target="https://www.google.com/url?q=https://boi18-day2-open.kattis.com/problems&amp;sa=D&amp;ust=1605639800012000&amp;usg=AFQjCNFpA9cAdFH3l4ZzPALBCOBkRqFAhQ" TargetMode="External"/><Relationship Id="rId1169" Type="http://schemas.openxmlformats.org/officeDocument/2006/relationships/hyperlink" Target="https://www.google.com/url?q=https://github.com/mostafa-saad/MyCompetitiveProgramming/blob/master/Olympiad/POI/POI-08-Escape.txt&amp;sa=D&amp;ust=1605639800107000&amp;usg=AFQjCNE3lexCx99GB-oLlADIf4KI9pE0dA" TargetMode="External"/><Relationship Id="rId1376" Type="http://schemas.openxmlformats.org/officeDocument/2006/relationships/hyperlink" Target="https://www.google.com/url?q=https://szkopul.edu.pl/problemset/problem/70gcrAV-ccXlJa6gMBpOqV1u/site/&amp;sa=D&amp;ust=1605639800285000&amp;usg=AFQjCNGomkf3dIQPrQb5ExxKivN2Qypppg" TargetMode="External"/><Relationship Id="rId1583" Type="http://schemas.openxmlformats.org/officeDocument/2006/relationships/hyperlink" Target="https://www.google.com/url?q=https://github.com/shanto86/Training/blob/master/Dmoj/APIO%252010-Signaling.cpp&amp;sa=D&amp;ust=1605639800413000&amp;usg=AFQjCNF0KbrRYtXH4QrsNpOmTypODBVFEA" TargetMode="External"/><Relationship Id="rId2122" Type="http://schemas.openxmlformats.org/officeDocument/2006/relationships/hyperlink" Target="https://www.google.com/url?q=https://github.com/mostafa-saad/MyCompetitiveProgramming/blob/master/Olympiad/CEOI/CEOI-04-Sweets.txt&amp;sa=D&amp;ust=1605639800817000&amp;usg=AFQjCNHYgEzUcN2gn7dp826DRokqpQtXjg" TargetMode="External"/><Relationship Id="rId2427" Type="http://schemas.openxmlformats.org/officeDocument/2006/relationships/hyperlink" Target="https://www.google.com/url?q=http://usaco.org/index.php?page%3Dviewproblem2%26cpid%3D924&amp;sa=D&amp;ust=1605639801782000&amp;usg=AFQjCNFc19E4s2clhakqj0MPAXv8r9GNlA" TargetMode="External"/><Relationship Id="rId2981" Type="http://schemas.openxmlformats.org/officeDocument/2006/relationships/hyperlink" Target="https://www.google.com/url?q=https://github.com/mostafa-saad/MyCompetitiveProgramming/blob/master/Olympiad/POI/official/find_editorial_sols_guidelines.txt&amp;sa=D&amp;ust=1605639802381000&amp;usg=AFQjCNFp6A9pocPnOuBxfn-GRdoBSfTBYA" TargetMode="External"/><Relationship Id="rId301" Type="http://schemas.openxmlformats.org/officeDocument/2006/relationships/hyperlink" Target="https://www.google.com/url?q=https://dmoj.ca/problem/coci07c4p2&amp;sa=D&amp;ust=1605639798883000&amp;usg=AFQjCNFPmaY3huvOnrPGc9vJF2rhDQE9rw" TargetMode="External"/><Relationship Id="rId953" Type="http://schemas.openxmlformats.org/officeDocument/2006/relationships/hyperlink" Target="https://www.google.com/url?q=https://dmoj.ca/problem/utso15p3&amp;sa=D&amp;ust=1605639799912000&amp;usg=AFQjCNFHh10NgGF_Q3NX7lTQT3sBush2uQ" TargetMode="External"/><Relationship Id="rId1029" Type="http://schemas.openxmlformats.org/officeDocument/2006/relationships/hyperlink" Target="https://www.google.com/url?q=https://github.com/tmwilliamlin168/CompetitiveProgramming/blob/master/COI/15-Koviance.cpp&amp;sa=D&amp;ust=1605639799991000&amp;usg=AFQjCNFJEwWjR9mBtEGGNQltgAmBnojo1w" TargetMode="External"/><Relationship Id="rId1236" Type="http://schemas.openxmlformats.org/officeDocument/2006/relationships/hyperlink" Target="https://www.google.com/url?q=https://github.com/mostafa-saad/MyCompetitiveProgramming/blob/master/Olympiad/Baltic/Baltic-08-Game.txt&amp;sa=D&amp;ust=1605639800180000&amp;usg=AFQjCNHyV4Z87nPsESbiHge5piJB4QCXuw" TargetMode="External"/><Relationship Id="rId1790" Type="http://schemas.openxmlformats.org/officeDocument/2006/relationships/hyperlink" Target="https://www.google.com/url?q=https://oj.uz/problem/view/IOI13_dreaming&amp;sa=D&amp;ust=1605639800587000&amp;usg=AFQjCNFcEfDZHiipshhozSos4jzOGK_vDQ" TargetMode="External"/><Relationship Id="rId1888" Type="http://schemas.openxmlformats.org/officeDocument/2006/relationships/hyperlink" Target="https://www.google.com/url?q=https://oj.uz/problem/view/BOI14_portals&amp;sa=D&amp;ust=1605639800682000&amp;usg=AFQjCNH8lJjCsDsNr2trUD-cRhzxCbwbyw" TargetMode="External"/><Relationship Id="rId2634" Type="http://schemas.openxmlformats.org/officeDocument/2006/relationships/hyperlink" Target="https://www.google.com/url?q=https://oj.uz/problem/view/COCI18_dostavljac&amp;sa=D&amp;ust=1605639801981000&amp;usg=AFQjCNGXwzqh-7ArxlHdSMQ8tClvAIlfiw" TargetMode="External"/><Relationship Id="rId2841" Type="http://schemas.openxmlformats.org/officeDocument/2006/relationships/hyperlink" Target="https://www.google.com/url?q=https://dmoj.ca/problem/dmopc14c4p6&amp;sa=D&amp;ust=1605639802189000&amp;usg=AFQjCNEAXStGs3AA3vEYh1NqJgTRi45QeQ" TargetMode="External"/><Relationship Id="rId2939" Type="http://schemas.openxmlformats.org/officeDocument/2006/relationships/hyperlink" Target="https://www.google.com/url?q=https://github.com/mostafa-saad/MyCompetitiveProgramming/blob/master/Olympiad/NOI/official&amp;sa=D&amp;ust=1605639802301000&amp;usg=AFQjCNHx_U39svQjn7vdJ3Zzex1ZN6FeQQ" TargetMode="External"/><Relationship Id="rId82" Type="http://schemas.openxmlformats.org/officeDocument/2006/relationships/hyperlink" Target="https://www.google.com/url?q=https://oj.uz/problem/view/JOI19_remittance&amp;sa=D&amp;ust=1605639798707000&amp;usg=AFQjCNH0yo6DHWCQfBMS_vr49Ee0Yx5hNQ" TargetMode="External"/><Relationship Id="rId606" Type="http://schemas.openxmlformats.org/officeDocument/2006/relationships/hyperlink" Target="https://www.google.com/url?q=https://training.ia-toki.org/problemsets/3/problems/9/&amp;sa=D&amp;ust=1605639799165000&amp;usg=AFQjCNGQCQktiMexfU66sx6VxM1d0URgug" TargetMode="External"/><Relationship Id="rId813" Type="http://schemas.openxmlformats.org/officeDocument/2006/relationships/hyperlink" Target="https://www.google.com/url?q=https://szkopul.edu.pl/problemset/problem/-MwFkVBU5fdldohfNl-xSjHa/site/&amp;sa=D&amp;ust=1605639799789000&amp;usg=AFQjCNHvbwTudUafOuKBKL6DftZwFsM1RQ" TargetMode="External"/><Relationship Id="rId1443" Type="http://schemas.openxmlformats.org/officeDocument/2006/relationships/hyperlink" Target="https://www.google.com/url?q=https://oj.uz/problem/view/COCI18_prosjek&amp;sa=D&amp;ust=1605639800313000&amp;usg=AFQjCNHcc1HhiJFBQWDJHU_cGF-6VTnKhg" TargetMode="External"/><Relationship Id="rId1650" Type="http://schemas.openxmlformats.org/officeDocument/2006/relationships/hyperlink" Target="https://www.google.com/url?q=https://github.com/mostafa-saad/MyCompetitiveProgramming/blob/master/Olympiad/Baltic/Baltic-17-PoliticalDevelopment.txt&amp;sa=D&amp;ust=1605639800479000&amp;usg=AFQjCNHhN0ULMidbd29F_DWSJwV4-Pku2Q" TargetMode="External"/><Relationship Id="rId1748" Type="http://schemas.openxmlformats.org/officeDocument/2006/relationships/hyperlink" Target="https://www.google.com/url?q=https://dunjudge.me/analysis/problems/423/&amp;sa=D&amp;ust=1605639800567000&amp;usg=AFQjCNFCRddE6sDSa3VZwlbGDu_tBoe-kQ" TargetMode="External"/><Relationship Id="rId2701" Type="http://schemas.openxmlformats.org/officeDocument/2006/relationships/hyperlink" Target="https://www.google.com/url?q=https://cses.fi/187/list/&amp;sa=D&amp;ust=1605639802066000&amp;usg=AFQjCNFNiiKw8h1f0uXN3dHMetPBEPB9rg" TargetMode="External"/><Relationship Id="rId1303" Type="http://schemas.openxmlformats.org/officeDocument/2006/relationships/hyperlink" Target="https://www.google.com/url?q=https://szkopul.edu.pl/problemset/problem/YPme8cPuC1zbS3oA0euLxywx/site/&amp;sa=D&amp;ust=1605639800204000&amp;usg=AFQjCNHUPfHSXQhifuypNo9KRxN4SRI6cw" TargetMode="External"/><Relationship Id="rId1510" Type="http://schemas.openxmlformats.org/officeDocument/2006/relationships/hyperlink" Target="https://www.google.com/url?q=https://wcipeg.com/problem/coci096p4&amp;sa=D&amp;ust=1605639800384000&amp;usg=AFQjCNF0r9q9DPdkI0L2pwEN56monJmACg" TargetMode="External"/><Relationship Id="rId1955" Type="http://schemas.openxmlformats.org/officeDocument/2006/relationships/hyperlink" Target="https://www.google.com/url?q=https://github.com/updown2/OI-Practice/blob/master/IOI/IOI%25202014/World%2520Peace%2520%255BPractice%255D.cpp&amp;sa=D&amp;ust=1605639800709000&amp;usg=AFQjCNE2ChOFITqSru-5UyAKbh3-gRaggA" TargetMode="External"/><Relationship Id="rId1608" Type="http://schemas.openxmlformats.org/officeDocument/2006/relationships/hyperlink" Target="https://www.google.com/url?q=https://oj.uz/problem/view/JOI19_ho_t5&amp;sa=D&amp;ust=1605639800421000&amp;usg=AFQjCNE60wD9FVc_JAVOn0gwrdo9L79F1w" TargetMode="External"/><Relationship Id="rId1815" Type="http://schemas.openxmlformats.org/officeDocument/2006/relationships/hyperlink" Target="https://www.google.com/url?q=https://github.com/mostafa-saad/MyCompetitiveProgramming/blob/master/Olympiad/IOI/IOI-11-garden.txt&amp;sa=D&amp;ust=1605639800595000&amp;usg=AFQjCNGHs8XnAw1S5xHpmjQ665qTV_OkBQ" TargetMode="External"/><Relationship Id="rId189" Type="http://schemas.openxmlformats.org/officeDocument/2006/relationships/hyperlink" Target="https://www.google.com/url?q=https://dmoj.ca/problem/ccc16s5&amp;sa=D&amp;ust=1605639798785000&amp;usg=AFQjCNGuu1oC_N5H9D8d7gnlD_j-moc3ZQ" TargetMode="External"/><Relationship Id="rId396" Type="http://schemas.openxmlformats.org/officeDocument/2006/relationships/hyperlink" Target="https://www.google.com/url?q=http://usaco.org/index.php?page%3Dviewproblem2%26cpid%3D211&amp;sa=D&amp;ust=1605639798982000&amp;usg=AFQjCNFb7GsJ7F9kYsvRA4JtcnnzSAbryw" TargetMode="External"/><Relationship Id="rId2077" Type="http://schemas.openxmlformats.org/officeDocument/2006/relationships/hyperlink" Target="https://www.google.com/url?q=https://dmoj.ca/problem/coci07c1p6&amp;sa=D&amp;ust=1605639800800000&amp;usg=AFQjCNGuuwpEIST5O7yxubgoCrHPdDn4Ew" TargetMode="External"/><Relationship Id="rId2284" Type="http://schemas.openxmlformats.org/officeDocument/2006/relationships/hyperlink" Target="https://www.google.com/url?q=https://oj.uz/problem/view/IOI08_printer&amp;sa=D&amp;ust=1605639801572000&amp;usg=AFQjCNHnihTIKhvZxNnhTS6lSSYUm4Dp4Q" TargetMode="External"/><Relationship Id="rId2491" Type="http://schemas.openxmlformats.org/officeDocument/2006/relationships/hyperlink" Target="https://www.google.com/url?q=https://github.com/mostafa-saad/MyCompetitiveProgramming/blob/master/Olympiad/JOI/JOISC-18-construction.txt&amp;sa=D&amp;ust=1605639801806000&amp;usg=AFQjCNGPVRUsOpmm5gXlVGx1vfhiKTPxuA" TargetMode="External"/><Relationship Id="rId256" Type="http://schemas.openxmlformats.org/officeDocument/2006/relationships/hyperlink" Target="https://www.google.com/url?q=https://oj.uz/problem/view/COCI18_nadan&amp;sa=D&amp;ust=1605639798866000&amp;usg=AFQjCNFPQ0Mbb-oientM7m6YkMO792Ap7A" TargetMode="External"/><Relationship Id="rId463" Type="http://schemas.openxmlformats.org/officeDocument/2006/relationships/hyperlink" Target="https://www.google.com/url?q=http://usaco.org/index.php?page%3Dviewproblem2%26cpid%3D722&amp;sa=D&amp;ust=1605639799011000&amp;usg=AFQjCNFHUL_i52IJfTQ2Ya7DcognRcL6MQ" TargetMode="External"/><Relationship Id="rId670" Type="http://schemas.openxmlformats.org/officeDocument/2006/relationships/hyperlink" Target="https://www.google.com/url?q=https://www.acmicpc.net/problem/5251&amp;sa=D&amp;ust=1605639799661000&amp;usg=AFQjCNEscpQD39iGZXuYng5QhMjmvcfIhA" TargetMode="External"/><Relationship Id="rId1093" Type="http://schemas.openxmlformats.org/officeDocument/2006/relationships/hyperlink" Target="https://www.google.com/url?q=https://github.com/mostafa-saad/MyCompetitiveProgramming/blob/master/Olympiad/NOI/official&amp;sa=D&amp;ust=1605639800066000&amp;usg=AFQjCNHdEytyZYhLG_0yK593nI77DolgpQ" TargetMode="External"/><Relationship Id="rId2144" Type="http://schemas.openxmlformats.org/officeDocument/2006/relationships/hyperlink" Target="https://www.google.com/url?q=https://www.infoarena.ro/problema/matrice&amp;sa=D&amp;ust=1605639800866000&amp;usg=AFQjCNEO0kApG5Kj09rOaaYeqpuG0W8-WQ" TargetMode="External"/><Relationship Id="rId2351" Type="http://schemas.openxmlformats.org/officeDocument/2006/relationships/hyperlink" Target="https://www.google.com/url?q=https://joi2016ho.contest.atcoder.jp/tasks/joi2016ho_b&amp;sa=D&amp;ust=1605639801616000&amp;usg=AFQjCNH7RyHuPYwaTjsJLV-Iwj6lsWp9Ow" TargetMode="External"/><Relationship Id="rId2589" Type="http://schemas.openxmlformats.org/officeDocument/2006/relationships/hyperlink" Target="https://www.google.com/url?q=https://github.com/mostafa-saad/MyCompetitiveProgramming/blob/master/Olympiad/CEOI/CEOI-02-Fence.txt&amp;sa=D&amp;ust=1605639801899000&amp;usg=AFQjCNEBmn8LNVuqdMGuzhqjNLrB6g4VYw" TargetMode="External"/><Relationship Id="rId2796" Type="http://schemas.openxmlformats.org/officeDocument/2006/relationships/hyperlink" Target="https://www.google.com/url?q=https://github.com/mostafa-saad/MyCompetitiveProgramming/blob/master/Olympiad/COCI/official/2010/contest5_solutions&amp;sa=D&amp;ust=1605639802113000&amp;usg=AFQjCNH1IyGmXdCsS-l9RlHALlr2HTYU3A" TargetMode="External"/><Relationship Id="rId116" Type="http://schemas.openxmlformats.org/officeDocument/2006/relationships/hyperlink" Target="https://www.google.com/url?q=https://www.infoarena.ro/problema/identice&amp;sa=D&amp;ust=1605639798720000&amp;usg=AFQjCNEyoj2VFnfVail-xKaqihkJexLMmw" TargetMode="External"/><Relationship Id="rId323" Type="http://schemas.openxmlformats.org/officeDocument/2006/relationships/hyperlink" Target="https://www.google.com/url?q=https://github.com/mostafa-saad/MyCompetitiveProgramming/tree/master/Olympiad/MCO/official/2015&amp;sa=D&amp;ust=1605639798891000&amp;usg=AFQjCNGXVp9aZ5pNVshFX9ASIl3LeNQEjQ" TargetMode="External"/><Relationship Id="rId530" Type="http://schemas.openxmlformats.org/officeDocument/2006/relationships/hyperlink" Target="https://www.google.com/url?q=https://dunjudge.me/analysis/problems/418/&amp;sa=D&amp;ust=1605639799100000&amp;usg=AFQjCNHKa0BbFAU0k3QTdYZEIpI3VoYCFA" TargetMode="External"/><Relationship Id="rId768" Type="http://schemas.openxmlformats.org/officeDocument/2006/relationships/hyperlink" Target="https://www.google.com/url?q=https://dmoj.ca/problem/dmopc18c4p4&amp;sa=D&amp;ust=1605639799716000&amp;usg=AFQjCNF_306I2a5oaMXyCei-26WvQafYTQ" TargetMode="External"/><Relationship Id="rId975" Type="http://schemas.openxmlformats.org/officeDocument/2006/relationships/hyperlink" Target="https://www.google.com/url?q=https://github.com/mostafa-saad/MyCompetitiveProgramming/blob/master/Olympiad/IOI/official/2009&amp;sa=D&amp;ust=1605639799970000&amp;usg=AFQjCNEXxB0JwWCEFfEvMV2oDiTlKjKnYw" TargetMode="External"/><Relationship Id="rId1160" Type="http://schemas.openxmlformats.org/officeDocument/2006/relationships/hyperlink" Target="https://www.google.com/url?q=https://dunjudge.me/analysis/problems/681/&amp;sa=D&amp;ust=1605639800096000&amp;usg=AFQjCNGlWpWKn_DEozf7KHnsKkBkHVkfYQ" TargetMode="External"/><Relationship Id="rId1398" Type="http://schemas.openxmlformats.org/officeDocument/2006/relationships/hyperlink" Target="https://www.google.com/url?q=https://github.com/mostafa-saad/MyCompetitiveProgramming/blob/master/Olympiad/COCI/official/2018/contest1_solutions&amp;sa=D&amp;ust=1605639800295000&amp;usg=AFQjCNGaGQdVLJV3MhRUupYjTJnXKrMYTA" TargetMode="External"/><Relationship Id="rId2004" Type="http://schemas.openxmlformats.org/officeDocument/2006/relationships/hyperlink" Target="https://www.google.com/url?q=https://github.com/farmerboy95/CompetitiveProgramming/blob/master/COCI/COCI%252018-priglavci.cpp&amp;sa=D&amp;ust=1605639800768000&amp;usg=AFQjCNGoIFRF43G6ZWr4Eze_Wh4KryjDtQ" TargetMode="External"/><Relationship Id="rId2211" Type="http://schemas.openxmlformats.org/officeDocument/2006/relationships/hyperlink" Target="https://www.google.com/url?q=https://cses.fi/106/list/&amp;sa=D&amp;ust=1605639800893000&amp;usg=AFQjCNGl_MCQkfb2iWs52SvRTbguo9qk4A" TargetMode="External"/><Relationship Id="rId2449" Type="http://schemas.openxmlformats.org/officeDocument/2006/relationships/hyperlink" Target="https://www.google.com/url?q=https://github.com/mostafa-saad/MyCompetitiveProgramming/blob/master/Olympiad/COI/COI-15-nafta.txt&amp;sa=D&amp;ust=1605639801789000&amp;usg=AFQjCNFcoptHC5gfTiIhToiZ7Hct-8Vslg" TargetMode="External"/><Relationship Id="rId2656" Type="http://schemas.openxmlformats.org/officeDocument/2006/relationships/hyperlink" Target="https://www.google.com/url?q=https://oj.uz/problem/view/COI16_palinilap&amp;sa=D&amp;ust=1605639801990000&amp;usg=AFQjCNHf5tyu7vqWy3vm__xC8rsz9_ErJw" TargetMode="External"/><Relationship Id="rId2863" Type="http://schemas.openxmlformats.org/officeDocument/2006/relationships/hyperlink" Target="https://www.google.com/url?q=https://codeforces.com/gym/102032/problem/D&amp;sa=D&amp;ust=1605639802203000&amp;usg=AFQjCNHkRngApZKnKqjoWXkvF0q5W0XFeA" TargetMode="External"/><Relationship Id="rId628" Type="http://schemas.openxmlformats.org/officeDocument/2006/relationships/hyperlink" Target="https://www.google.com/url?q=https://oj.uz/problem/view/COCI17_san&amp;sa=D&amp;ust=1605639799176000&amp;usg=AFQjCNEwpV_7DcVNHbjFd62gVY4z9xcMUw" TargetMode="External"/><Relationship Id="rId835" Type="http://schemas.openxmlformats.org/officeDocument/2006/relationships/hyperlink" Target="https://www.google.com/url?q=https://github.com/mostafa-saad/MyCompetitiveProgramming/blob/master/Olympiad/Balkan/Balkan-17-Cats.txt&amp;sa=D&amp;ust=1605639799798000&amp;usg=AFQjCNEHrhareq09TiYgt4d_Zwi5r0aODw" TargetMode="External"/><Relationship Id="rId1258" Type="http://schemas.openxmlformats.org/officeDocument/2006/relationships/hyperlink" Target="https://www.google.com/url?q=https://github.com/mostafa-saad/MyCompetitiveProgramming/blob/master/Olympiad/NOI/official&amp;sa=D&amp;ust=1605639800187000&amp;usg=AFQjCNHDiaOgd1OqKgxEgS8lenN01tek_g" TargetMode="External"/><Relationship Id="rId1465" Type="http://schemas.openxmlformats.org/officeDocument/2006/relationships/hyperlink" Target="https://www.google.com/url?q=https://oj.uz/problem/view/BOI16_spiral&amp;sa=D&amp;ust=1605639800368000&amp;usg=AFQjCNFymLuBU3Jf-RFqNG6l8JGjti9rzw" TargetMode="External"/><Relationship Id="rId1672" Type="http://schemas.openxmlformats.org/officeDocument/2006/relationships/hyperlink" Target="https://www.google.com/url?q=https://github.com/stefdasca/CompetitiveProgramming/blob/master/Infoarena/curent.cpp&amp;sa=D&amp;ust=1605639800487000&amp;usg=AFQjCNHmYoclpLW6_iXIwoXNSOHjVJfmng" TargetMode="External"/><Relationship Id="rId2309" Type="http://schemas.openxmlformats.org/officeDocument/2006/relationships/hyperlink" Target="https://www.google.com/url?q=https://csacademy.com/contest/balkan-oi-2017-day-1/&amp;sa=D&amp;ust=1605639801594000&amp;usg=AFQjCNGSGNbfEQ8cpyYRaD4jF2gCxSubuA" TargetMode="External"/><Relationship Id="rId2516" Type="http://schemas.openxmlformats.org/officeDocument/2006/relationships/hyperlink" Target="https://www.google.com/url?q=https://github.com/tmwilliamlin168/CompetitiveProgramming/blob/master/JOI/17SC-Coach.cpp&amp;sa=D&amp;ust=1605639801867000&amp;usg=AFQjCNHWeMMKZr4Flq0M6cu8yMzb4PF4mw" TargetMode="External"/><Relationship Id="rId2723" Type="http://schemas.openxmlformats.org/officeDocument/2006/relationships/hyperlink" Target="https://www.google.com/url?q=https://dmoj.ca/problem/coci06c2p4&amp;sa=D&amp;ust=1605639802083000&amp;usg=AFQjCNE4csH34gKoH3lR1PzINMfdNiIF8Q" TargetMode="External"/><Relationship Id="rId1020" Type="http://schemas.openxmlformats.org/officeDocument/2006/relationships/hyperlink" Target="https://www.google.com/url?q=https://github.com/nikolapesic2802/Programming-Practice/blob/master/Cake%2520Division2/main.cpp&amp;sa=D&amp;ust=1605639799988000&amp;usg=AFQjCNHRNzor9ppXVt-RvtganjZpQcIVsw" TargetMode="External"/><Relationship Id="rId1118" Type="http://schemas.openxmlformats.org/officeDocument/2006/relationships/hyperlink" Target="https://www.google.com/url?q=https://github.com/SpeedOfMagic/CompetitiveProgramming/blob/master/SNSS/18-R5-A.cpp&amp;sa=D&amp;ust=1605639800077000&amp;usg=AFQjCNGPeXAdNT1rbyGmLhLsEhotgegAjw" TargetMode="External"/><Relationship Id="rId1325" Type="http://schemas.openxmlformats.org/officeDocument/2006/relationships/hyperlink" Target="https://www.google.com/url?q=https://wcipeg.com/problem/coci094p4&amp;sa=D&amp;ust=1605639800215000&amp;usg=AFQjCNGakjInyZWhJjy5B1jnwb19g4zZ7w" TargetMode="External"/><Relationship Id="rId1532" Type="http://schemas.openxmlformats.org/officeDocument/2006/relationships/hyperlink" Target="https://www.google.com/url?q=https://szkopul.edu.pl/problemset/problem/TE77UNYEUxsFcrRxYRPc99na/site/&amp;sa=D&amp;ust=1605639800392000&amp;usg=AFQjCNEVn1Uv-Pa4VcPiv7fQwhjwm-N4Zw" TargetMode="External"/><Relationship Id="rId1977" Type="http://schemas.openxmlformats.org/officeDocument/2006/relationships/hyperlink" Target="https://www.google.com/url?q=https://oj.uz/problem/view/BOI14_postmen&amp;sa=D&amp;ust=1605639800716000&amp;usg=AFQjCNGZACj1l9BXqPgcZ4e8zQwGGnD1QA" TargetMode="External"/><Relationship Id="rId2930" Type="http://schemas.openxmlformats.org/officeDocument/2006/relationships/hyperlink" Target="https://www.google.com/url?q=https://dunjudge.me/analysis/problems/723/&amp;sa=D&amp;ust=1605639802297000&amp;usg=AFQjCNEgmMy-t-X4aq8jRaJTu3FWKn-rBg" TargetMode="External"/><Relationship Id="rId902" Type="http://schemas.openxmlformats.org/officeDocument/2006/relationships/hyperlink" Target="https://www.google.com/url?q=https://oj.uz/problems/source/197&amp;sa=D&amp;ust=1605639799892000&amp;usg=AFQjCNGiL1gxWqEg3-Kug88qZtijLTxMnQ" TargetMode="External"/><Relationship Id="rId1837" Type="http://schemas.openxmlformats.org/officeDocument/2006/relationships/hyperlink" Target="https://www.google.com/url?q=https://github.com/mostafa-saad/MyCompetitiveProgramming/blob/master/Olympiad/COCI/official/2017/contest5_solutions&amp;sa=D&amp;ust=1605639800604000&amp;usg=AFQjCNEhKLUE26oTo9Fox2iumNsdIdBfhg" TargetMode="External"/><Relationship Id="rId31" Type="http://schemas.openxmlformats.org/officeDocument/2006/relationships/hyperlink" Target="https://www.google.com/url?q=https://github.com/mostafa-saad/MyCompetitiveProgramming/blob/master/Olympiad/Balkan/official/2011/cmp-sol.pdf&amp;sa=D&amp;ust=1605639798675000&amp;usg=AFQjCNHsYKcfV5mTb504LmJLdv3X_srk8Q" TargetMode="External"/><Relationship Id="rId2099" Type="http://schemas.openxmlformats.org/officeDocument/2006/relationships/hyperlink" Target="https://www.google.com/url?q=https://cses.fi/108/list/&amp;sa=D&amp;ust=1605639800808000&amp;usg=AFQjCNEeNY8fpfq9yqdVBbvvcjM3HqDrCw" TargetMode="External"/><Relationship Id="rId180" Type="http://schemas.openxmlformats.org/officeDocument/2006/relationships/hyperlink" Target="https://www.google.com/url?q=https://github.com/mostafa-saad/MyCompetitiveProgramming/blob/master/Olympiad/Baltic/official/boi2005_solutions&amp;sa=D&amp;ust=1605639798781000&amp;usg=AFQjCNGOtDN_DQdYtEF4jcrBrfHZp_-89g" TargetMode="External"/><Relationship Id="rId278" Type="http://schemas.openxmlformats.org/officeDocument/2006/relationships/hyperlink" Target="https://www.google.com/url?q=https://github.com/mostafa-saad/MyCompetitiveProgramming/blob/master/Olympiad/COCI/official/2009/contest6_solutions&amp;sa=D&amp;ust=1605639798873000&amp;usg=AFQjCNEmskEX9IlsAXlw05qOMn9rb4cRoQ" TargetMode="External"/><Relationship Id="rId1904" Type="http://schemas.openxmlformats.org/officeDocument/2006/relationships/hyperlink" Target="https://www.google.com/url?q=https://oj.uz/problem/view/NOI13_ferries&amp;sa=D&amp;ust=1605639800690000&amp;usg=AFQjCNG1eeJMALCpxjpeRdbx5hIEltoLhw" TargetMode="External"/><Relationship Id="rId485" Type="http://schemas.openxmlformats.org/officeDocument/2006/relationships/hyperlink" Target="https://www.google.com/url?q=https://training.ia-toki.org/problemsets/87/problems/445/&amp;sa=D&amp;ust=1605639799065000&amp;usg=AFQjCNHQk5fKXbQ5wEMskAcWfngTV8g1AQ" TargetMode="External"/><Relationship Id="rId692" Type="http://schemas.openxmlformats.org/officeDocument/2006/relationships/hyperlink" Target="https://www.google.com/url?q=https://oj.uz/problem/view/IOI07_sails&amp;sa=D&amp;ust=1605639799671000&amp;usg=AFQjCNGXsfL5kHq1likeeItMfcncOCtzKA" TargetMode="External"/><Relationship Id="rId2166" Type="http://schemas.openxmlformats.org/officeDocument/2006/relationships/hyperlink" Target="https://www.google.com/url?q=https://github.com/mostafa-saad/MyCompetitiveProgramming/tree/master/Olympiad/COCI/official/2008/regional_solutions&amp;sa=D&amp;ust=1605639800874000&amp;usg=AFQjCNEf0d7GV7oNclYY0MW_7h5dFgz0Yg" TargetMode="External"/><Relationship Id="rId2373" Type="http://schemas.openxmlformats.org/officeDocument/2006/relationships/hyperlink" Target="https://www.google.com/url?q=https://codeforces.com/group/swEqtABRxe/contest/227524/problem/A&amp;sa=D&amp;ust=1605639801689000&amp;usg=AFQjCNHGSookuIaXdbBVYXC6CfWUCk7GOg" TargetMode="External"/><Relationship Id="rId2580" Type="http://schemas.openxmlformats.org/officeDocument/2006/relationships/hyperlink" Target="https://www.google.com/url?q=https://github.com/win11905/submission/blob/master/Dmoj/EllisFahrengart.cpp&amp;sa=D&amp;ust=1605639801895000&amp;usg=AFQjCNHJP7FtODKO84xT5Ew__2FM1NAgNQ" TargetMode="External"/><Relationship Id="rId138" Type="http://schemas.openxmlformats.org/officeDocument/2006/relationships/hyperlink" Target="https://www.google.com/url?q=https://github.com/tmwilliamlin168/CompetitiveProgramming/blob/master/IOI/19P-Transfer.cpp&amp;sa=D&amp;ust=1605639798728000&amp;usg=AFQjCNFC7QGrKvebZR2SU4A15W2Xw0QakQ" TargetMode="External"/><Relationship Id="rId345" Type="http://schemas.openxmlformats.org/officeDocument/2006/relationships/hyperlink" Target="https://www.google.com/url?q=https://github.com/mostafa-saad/MyCompetitiveProgramming/blob/master/Olympiad/COCI/official/2015/contest7_solutions&amp;sa=D&amp;ust=1605639798903000&amp;usg=AFQjCNE1rKc7OTGLiWA2R56JnO7J1O-mkw" TargetMode="External"/><Relationship Id="rId552" Type="http://schemas.openxmlformats.org/officeDocument/2006/relationships/hyperlink" Target="https://www.google.com/url?q=https://oj.uz/problem/view/JOI17_arranging_tickets&amp;sa=D&amp;ust=1605639799107000&amp;usg=AFQjCNEcxGpp4ZSnCtyFxo8vOUWiUb0S3Q" TargetMode="External"/><Relationship Id="rId997" Type="http://schemas.openxmlformats.org/officeDocument/2006/relationships/hyperlink" Target="https://www.google.com/url?q=http://usaco.org/index.php?page%3Dviewproblem2%26cpid%3D721&amp;sa=D&amp;ust=1605639799981000&amp;usg=AFQjCNF2q0vp4nIHSUdWaBpayDmVOlOugg" TargetMode="External"/><Relationship Id="rId1182" Type="http://schemas.openxmlformats.org/officeDocument/2006/relationships/hyperlink" Target="https://www.google.com/url?q=https://codeforces.com/contest/1193&amp;sa=D&amp;ust=1605639800112000&amp;usg=AFQjCNEs4es1POC50VuYvl8VxIWuWOhtAg" TargetMode="External"/><Relationship Id="rId2026" Type="http://schemas.openxmlformats.org/officeDocument/2006/relationships/hyperlink" Target="https://www.google.com/url?q=https://oj.uz/problem/view/COCI18_pictionary&amp;sa=D&amp;ust=1605639800780000&amp;usg=AFQjCNEkNNwo_8TV5dpH-tbAGy3UtF8J0g" TargetMode="External"/><Relationship Id="rId2233" Type="http://schemas.openxmlformats.org/officeDocument/2006/relationships/hyperlink" Target="https://www.google.com/url?q=https://github.com/mostafa-saad/MyCompetitiveProgramming/blob/master/Olympiad/POI/POI-11-sej.txt&amp;sa=D&amp;ust=1605639800900000&amp;usg=AFQjCNGVchp6YKr4lN5ycTLA2kFDLj3jVA" TargetMode="External"/><Relationship Id="rId2440" Type="http://schemas.openxmlformats.org/officeDocument/2006/relationships/hyperlink" Target="https://www.google.com/url?q=https://oj.uz/problem/view/BOI15_bow&amp;sa=D&amp;ust=1605639801786000&amp;usg=AFQjCNHD49TVFZ2pFG0lxPZLEbWqEwfcQw" TargetMode="External"/><Relationship Id="rId2678" Type="http://schemas.openxmlformats.org/officeDocument/2006/relationships/hyperlink" Target="https://www.google.com/url?q=https://www.acmicpc.net/problem/7085&amp;sa=D&amp;ust=1605639802002000&amp;usg=AFQjCNEmHsiDVpGZ_gIJ6TBSdQve5OmWDA" TargetMode="External"/><Relationship Id="rId2885" Type="http://schemas.openxmlformats.org/officeDocument/2006/relationships/hyperlink" Target="https://www.google.com/url?q=https://joi2016ho.contest.atcoder.jp/tasks/joi2016ho_d&amp;sa=D&amp;ust=1605639802268000&amp;usg=AFQjCNHNZ8-rXuVnCFGrT9y1bd-qAfGL7A" TargetMode="External"/><Relationship Id="rId205" Type="http://schemas.openxmlformats.org/officeDocument/2006/relationships/hyperlink" Target="https://www.google.com/url?q=https://dunjudge.me/analysis/problems/1825/&amp;sa=D&amp;ust=1605639798791000&amp;usg=AFQjCNEHubpWHMlZA3yz4nkazd_TKWkGeg" TargetMode="External"/><Relationship Id="rId412" Type="http://schemas.openxmlformats.org/officeDocument/2006/relationships/hyperlink" Target="https://www.google.com/url?q=https://dmoj.ca/problem/coci14c6p2&amp;sa=D&amp;ust=1605639798990000&amp;usg=AFQjCNF52RJcwbnKsQe3YuztE9IWjeOdkw" TargetMode="External"/><Relationship Id="rId857" Type="http://schemas.openxmlformats.org/officeDocument/2006/relationships/hyperlink" Target="https://www.google.com/url?q=https://github.com/stefdasca/CompetitiveProgramming/blob/master/IZhO/IZhO%252019-segments.cpp&amp;sa=D&amp;ust=1605639799871000&amp;usg=AFQjCNHNW92X3c0JcSH1fK7nLdRzy21hYg" TargetMode="External"/><Relationship Id="rId1042" Type="http://schemas.openxmlformats.org/officeDocument/2006/relationships/hyperlink" Target="https://www.google.com/url?q=https://csacademy.com/contest/ioi-2016-training-round-5/task/lights-out/&amp;sa=D&amp;ust=1605639799997000&amp;usg=AFQjCNFaAFZoPPjufcbGL5eN6GLkrRxLsA" TargetMode="External"/><Relationship Id="rId1487" Type="http://schemas.openxmlformats.org/officeDocument/2006/relationships/hyperlink" Target="https://www.google.com/url?q=https://github.com/mostafa-saad/MyCompetitiveProgramming/blob/master/Olympiad/POI/POI-08-Triangles.txt&amp;sa=D&amp;ust=1605639800376000&amp;usg=AFQjCNEd2MBAhNcfNA8tbOjQb9uyBj6eIw" TargetMode="External"/><Relationship Id="rId1694" Type="http://schemas.openxmlformats.org/officeDocument/2006/relationships/hyperlink" Target="https://www.google.com/url?q=https://github.com/Shash-Wat/competitive-programming/blob/master/POI/poi_sport.cpp&amp;sa=D&amp;ust=1605639800495000&amp;usg=AFQjCNH4wjB3secfU-xGVCxiWsrUyzO-4Q" TargetMode="External"/><Relationship Id="rId2300" Type="http://schemas.openxmlformats.org/officeDocument/2006/relationships/hyperlink" Target="https://www.google.com/url?q=https://dmoj.ca/problem/apio14p1&amp;sa=D&amp;ust=1605639801589000&amp;usg=AFQjCNGC_-mTcOvXAmJ1qE4Nfy6X1JvPIw" TargetMode="External"/><Relationship Id="rId2538" Type="http://schemas.openxmlformats.org/officeDocument/2006/relationships/hyperlink" Target="https://www.google.com/url?q=https://github.com/mostafa-saad/MyCompetitiveProgramming/blob/master/Olympiad/infoarena/infoarena_puncte.txt&amp;sa=D&amp;ust=1605639801874000&amp;usg=AFQjCNHOWXAVnPt66KSM9lRv03Ma7PwK9A" TargetMode="External"/><Relationship Id="rId2745" Type="http://schemas.openxmlformats.org/officeDocument/2006/relationships/hyperlink" Target="https://www.google.com/url?q=https://dmoj.ca/problem/coci08c2p6&amp;sa=D&amp;ust=1605639802091000&amp;usg=AFQjCNG2k2k_QnDGIO63JlFmNX2Uhy41cw" TargetMode="External"/><Relationship Id="rId2952" Type="http://schemas.openxmlformats.org/officeDocument/2006/relationships/hyperlink" Target="https://www.google.com/url?q=https://dunjudge.me/analysis/problems/1171/&amp;sa=D&amp;ust=1605639802310000&amp;usg=AFQjCNFALkriIeGBz9TtvwYmWE6477KpXw" TargetMode="External"/><Relationship Id="rId717" Type="http://schemas.openxmlformats.org/officeDocument/2006/relationships/hyperlink" Target="https://www.google.com/url?q=https://github.com/mostafa-saad/MyCompetitiveProgramming/blob/master/Olympiad/POI/official/find_editorial_sols_guidelines.txt&amp;sa=D&amp;ust=1605639799688000&amp;usg=AFQjCNEzxwhWCqUmKP4D6s75rihjUz531A" TargetMode="External"/><Relationship Id="rId924" Type="http://schemas.openxmlformats.org/officeDocument/2006/relationships/hyperlink" Target="https://www.google.com/url?q=https://github.com/mostafa-saad/MyCompetitiveProgramming/blob/master/Olympiad/OII/OII-18-cena.txt&amp;sa=D&amp;ust=1605639799901000&amp;usg=AFQjCNG73r6oMliUI_J9TcOzze1N9OoQwQ" TargetMode="External"/><Relationship Id="rId1347" Type="http://schemas.openxmlformats.org/officeDocument/2006/relationships/hyperlink" Target="https://www.google.com/url?q=https://szkopul.edu.pl/problemset/problem/a9Oxizbg6JUS3CkEZr9BOd_H/site/?key%3Dstatement&amp;sa=D&amp;ust=1605639800266000&amp;usg=AFQjCNEQSxts650RVU-LKgYEttYXQGJGHQ" TargetMode="External"/><Relationship Id="rId1554" Type="http://schemas.openxmlformats.org/officeDocument/2006/relationships/hyperlink" Target="https://www.google.com/url?q=https://github.com/tmwilliamlin168/CompetitiveProgramming/blob/master/JOI/18SC-Fences.cpp&amp;sa=D&amp;ust=1605639800401000&amp;usg=AFQjCNG1HKat679XiE59rMpVZ_P1enLh4w" TargetMode="External"/><Relationship Id="rId1761" Type="http://schemas.openxmlformats.org/officeDocument/2006/relationships/hyperlink" Target="https://www.google.com/url?q=https://cses.fi/100/list/&amp;sa=D&amp;ust=1605639800571000&amp;usg=AFQjCNHa_w0KtNdoJuletaZ611DquwbzwQ" TargetMode="External"/><Relationship Id="rId1999" Type="http://schemas.openxmlformats.org/officeDocument/2006/relationships/hyperlink" Target="https://www.google.com/url?q=https://github.com/mostafa-saad/MyCompetitiveProgramming/blob/master/Olympiad/CEOI/CEOI-02-Guards.txt&amp;sa=D&amp;ust=1605639800723000&amp;usg=AFQjCNHhxBS6QNYg5tX6xAo3C9I1pYvxiw" TargetMode="External"/><Relationship Id="rId2605" Type="http://schemas.openxmlformats.org/officeDocument/2006/relationships/hyperlink" Target="https://www.google.com/url?q=https://github.com/nikolapesic2802/Programming-Practice/blob/master/Bit%2520problem/main.cpp&amp;sa=D&amp;ust=1605639801904000&amp;usg=AFQjCNFPlCuvREo_UoX98mLP7HcPSUrO_g" TargetMode="External"/><Relationship Id="rId2812" Type="http://schemas.openxmlformats.org/officeDocument/2006/relationships/hyperlink" Target="https://www.google.com/url?q=https://dmoj.ca/problem/coci14c3p3&amp;sa=D&amp;ust=1605639802173000&amp;usg=AFQjCNFLlB1-0TjUgtT8mLXkw2uJux4FGA" TargetMode="External"/><Relationship Id="rId53" Type="http://schemas.openxmlformats.org/officeDocument/2006/relationships/hyperlink" Target="https://www.google.com/url?q=https://github.com/mostafa-saad/MyCompetitiveProgramming/blob/master/Olympiad/IOI/IOI-12-editorials.txt&amp;sa=D&amp;ust=1605639798683000&amp;usg=AFQjCNEXACLD7XIsTUfcPIK-6AQU3XSxMQ" TargetMode="External"/><Relationship Id="rId1207" Type="http://schemas.openxmlformats.org/officeDocument/2006/relationships/hyperlink" Target="https://www.google.com/url?q=https://oj.uz/problem/view/IZhO12_beauty&amp;sa=D&amp;ust=1605639800168000&amp;usg=AFQjCNGrSzd4u0AEL8oo2d3jLRj7DELg8A" TargetMode="External"/><Relationship Id="rId1414" Type="http://schemas.openxmlformats.org/officeDocument/2006/relationships/hyperlink" Target="https://www.google.com/url?q=https://oj.uz/problem/view/CEOI12_jobs&amp;sa=D&amp;ust=1605639800300000&amp;usg=AFQjCNF9clr-GLJgcjq2Cdtor6pqo0b_kg" TargetMode="External"/><Relationship Id="rId1621" Type="http://schemas.openxmlformats.org/officeDocument/2006/relationships/hyperlink" Target="https://www.google.com/url?q=https://dmoj.ca/problem/coci15c3p6&amp;sa=D&amp;ust=1605639800466000&amp;usg=AFQjCNGALlXc2XilyhHKSmmpRBXJrbwBZA" TargetMode="External"/><Relationship Id="rId1859" Type="http://schemas.openxmlformats.org/officeDocument/2006/relationships/hyperlink" Target="https://www.google.com/url?q=https://oj.uz/problem/view/IOI18_highway&amp;sa=D&amp;ust=1605639800670000&amp;usg=AFQjCNE5KmEMMKk-sVmU6MSDbt3Y56fjpg" TargetMode="External"/><Relationship Id="rId1719" Type="http://schemas.openxmlformats.org/officeDocument/2006/relationships/hyperlink" Target="https://www.google.com/url?q=https://dmoj.ca/problem/dmpg15s6&amp;sa=D&amp;ust=1605639800505000&amp;usg=AFQjCNE_6pnLQV1zTYlpqUdlhps5iBtodA" TargetMode="External"/><Relationship Id="rId1926" Type="http://schemas.openxmlformats.org/officeDocument/2006/relationships/hyperlink" Target="https://www.google.com/url?q=https://github.com/mostafa-saad/MyCompetitiveProgramming/blob/master/Olympiad/COCI/COCI-16-zamjene.txt&amp;sa=D&amp;ust=1605639800699000&amp;usg=AFQjCNH3rIYwluD-PvcpS4I13k9QNEmjBQ" TargetMode="External"/><Relationship Id="rId2090" Type="http://schemas.openxmlformats.org/officeDocument/2006/relationships/hyperlink" Target="https://www.google.com/url?q=https://infoarena.ro/problema/hacker2&amp;sa=D&amp;ust=1605639800805000&amp;usg=AFQjCNGMR_qaFoyO8ALpE136TD9-Wm62aA" TargetMode="External"/><Relationship Id="rId2188" Type="http://schemas.openxmlformats.org/officeDocument/2006/relationships/hyperlink" Target="https://www.google.com/url?q=https://github.com/mostafa-saad/MyCompetitiveProgramming/blob/master/Olympiad/COCI/official/2017/contest2_solutions&amp;sa=D&amp;ust=1605639800883000&amp;usg=AFQjCNFc5ejHGaHTmE3oy_zvTpMmt0NuCQ" TargetMode="External"/><Relationship Id="rId2395" Type="http://schemas.openxmlformats.org/officeDocument/2006/relationships/hyperlink" Target="https://www.google.com/url?q=https://github.com/mostafa-saad/MyCompetitiveProgramming/blob/master/Olympiad/COCI/official/2010/contest3_solutions&amp;sa=D&amp;ust=1605639801705000&amp;usg=AFQjCNGF4WOopeENb1nnJKyj8vA3thZVhA" TargetMode="External"/><Relationship Id="rId367" Type="http://schemas.openxmlformats.org/officeDocument/2006/relationships/hyperlink" Target="https://www.google.com/url?q=https://github.com/mostafa-saad/MyCompetitiveProgramming/tree/master/Olympiad/COCI/official/2008/contest5_solutions&amp;sa=D&amp;ust=1605639798910000&amp;usg=AFQjCNFe7MW8QiFN0889trir4NOQ6C6Bcw" TargetMode="External"/><Relationship Id="rId574" Type="http://schemas.openxmlformats.org/officeDocument/2006/relationships/hyperlink" Target="https://www.google.com/url?q=http://www.spoj.com/problems/MINSUB/&amp;sa=D&amp;ust=1605639799117000&amp;usg=AFQjCNFlkhEL7SQ2Gs326nXeb8QFzaBfSA" TargetMode="External"/><Relationship Id="rId2048" Type="http://schemas.openxmlformats.org/officeDocument/2006/relationships/hyperlink" Target="https://www.google.com/url?q=https://tioj.ck.tp.edu.tw/problems/1744&amp;sa=D&amp;ust=1605639800787000&amp;usg=AFQjCNFvomV_plBDtJn5SZ7SDxvbRAIThw" TargetMode="External"/><Relationship Id="rId2255" Type="http://schemas.openxmlformats.org/officeDocument/2006/relationships/hyperlink" Target="https://www.google.com/url?q=https://wcipeg.com/problem/coi09p2&amp;sa=D&amp;ust=1605639800910000&amp;usg=AFQjCNHT1JEdqS3Rdg7ULFwbYDWpUG038A" TargetMode="External"/><Relationship Id="rId3001" Type="http://schemas.openxmlformats.org/officeDocument/2006/relationships/hyperlink" Target="https://www.google.com/url?q=https://szkopul.edu.pl/problemset/problem/guoc36QCEe4q47qruYB7HBV-/site/&amp;sa=D&amp;ust=1605639802391000&amp;usg=AFQjCNH9_nLhLyW35RgFZ8eAo2zs0uZ0XQ" TargetMode="External"/><Relationship Id="rId227" Type="http://schemas.openxmlformats.org/officeDocument/2006/relationships/hyperlink" Target="https://www.google.com/url?q=https://github.com/mostafa-saad/MyCompetitiveProgramming/blob/master/Olympiad/NOI/official&amp;sa=D&amp;ust=1605639798800000&amp;usg=AFQjCNFCV3nr0bNdNtO_AjA_YeQWWb4epg" TargetMode="External"/><Relationship Id="rId781" Type="http://schemas.openxmlformats.org/officeDocument/2006/relationships/hyperlink" Target="https://www.google.com/url?q=https://oj.uz/problem/view/JOI19_cake3&amp;sa=D&amp;ust=1605639799720000&amp;usg=AFQjCNFtWyeFAKeuwqmHk25siZRgFN_cQg" TargetMode="External"/><Relationship Id="rId879" Type="http://schemas.openxmlformats.org/officeDocument/2006/relationships/hyperlink" Target="https://www.google.com/url?q=https://github.com/mostafa-saad/MyCompetitiveProgramming/blob/master/Olympiad/infoarena/infoarena_xreverse.txt&amp;sa=D&amp;ust=1605639799880000&amp;usg=AFQjCNHCyBVWSXwYnXPee5qpQyrQV6X_bA" TargetMode="External"/><Relationship Id="rId2462" Type="http://schemas.openxmlformats.org/officeDocument/2006/relationships/hyperlink" Target="https://www.google.com/url?q=https://github.com/mostafa-saad/MyCompetitiveProgramming/blob/master/Olympiad/COCI/COCI-08-Tresnja.txt&amp;sa=D&amp;ust=1605639801796000&amp;usg=AFQjCNHtQfAn9DKO7r_uFl199hR2Mx-jug" TargetMode="External"/><Relationship Id="rId2767" Type="http://schemas.openxmlformats.org/officeDocument/2006/relationships/hyperlink" Target="https://www.google.com/url?q=https://dmoj.ca/problem/coci08c1p5&amp;sa=D&amp;ust=1605639802101000&amp;usg=AFQjCNFXuckYHXIalZeXPKW2YLCptCK3uQ" TargetMode="External"/><Relationship Id="rId434" Type="http://schemas.openxmlformats.org/officeDocument/2006/relationships/hyperlink" Target="https://www.google.com/url?q=https://github.com/mostafa-saad/MyCompetitiveProgramming/blob/master/Olympiad/APIO/APIO-18-newhome.txt&amp;sa=D&amp;ust=1605639798999000&amp;usg=AFQjCNHVZjAM8jffs_ql7uhzOibpea-2Ew" TargetMode="External"/><Relationship Id="rId641" Type="http://schemas.openxmlformats.org/officeDocument/2006/relationships/hyperlink" Target="https://www.google.com/url?q=https://github.com/mostafa-saad/MyCompetitiveProgramming/blob/master/Olympiad/JOI/JOISC-17-railway_trip.txt&amp;sa=D&amp;ust=1605639799639000&amp;usg=AFQjCNFmD4Cf1iwaodGGNWHHAaOyf99p_w" TargetMode="External"/><Relationship Id="rId739" Type="http://schemas.openxmlformats.org/officeDocument/2006/relationships/hyperlink" Target="https://www.google.com/url?q=https://oj.uz/problem/view/POI13_kon&amp;sa=D&amp;ust=1605639799704000&amp;usg=AFQjCNGjttwdKKiUZsQeSukWlJDOqWgcKA" TargetMode="External"/><Relationship Id="rId1064" Type="http://schemas.openxmlformats.org/officeDocument/2006/relationships/hyperlink" Target="https://www.google.com/url?q=http://usaco.org/index.php?page%3Dviewproblem2%26cpid%3D673&amp;sa=D&amp;ust=1605639800006000&amp;usg=AFQjCNGHrf-P33K-5kby0y6KeXcCMwU1Bw" TargetMode="External"/><Relationship Id="rId1271" Type="http://schemas.openxmlformats.org/officeDocument/2006/relationships/hyperlink" Target="https://www.google.com/url?q=https://github.com/mostafa-saad/MyCompetitiveProgramming/blob/master/Olympiad/POI/POI-06-Ploughing.txt&amp;sa=D&amp;ust=1605639800192000&amp;usg=AFQjCNGmZEb_2nnFZZkDlMPBZnaGrj1E9A" TargetMode="External"/><Relationship Id="rId1369" Type="http://schemas.openxmlformats.org/officeDocument/2006/relationships/hyperlink" Target="https://www.google.com/url?q=https://github.com/mostafa-saad/MyCompetitiveProgramming/blob/master/Olympiad/POI/POI-15-Seals.txt&amp;sa=D&amp;ust=1605639800283000&amp;usg=AFQjCNFybv9GwdQ_rsBOmIerizBH5eJxBw" TargetMode="External"/><Relationship Id="rId1576" Type="http://schemas.openxmlformats.org/officeDocument/2006/relationships/hyperlink" Target="https://www.google.com/url?q=http://www.infoarena.ro/problema/copaci&amp;sa=D&amp;ust=1605639800410000&amp;usg=AFQjCNEkG3Y720Pqs0vihndtlUg_hJFFIQ" TargetMode="External"/><Relationship Id="rId2115" Type="http://schemas.openxmlformats.org/officeDocument/2006/relationships/hyperlink" Target="https://www.google.com/url?q=https://bytefreaks.net/cyprus-computer-society/tasks-balkan-olympiad-in-informatics-2016&amp;sa=D&amp;ust=1605639800814000&amp;usg=AFQjCNEMiXRk9d9JxlAUWoeW0Yf1rE2m4Q" TargetMode="External"/><Relationship Id="rId2322" Type="http://schemas.openxmlformats.org/officeDocument/2006/relationships/hyperlink" Target="https://www.google.com/url?q=https://github.com/SpeedOfMagic/CompetitiveProgramming/blob/master/POI/96-kod.cpp&amp;sa=D&amp;ust=1605639801605000&amp;usg=AFQjCNEEqH3QmAVpipLr8hVcB7rNzPsJXQ" TargetMode="External"/><Relationship Id="rId2974" Type="http://schemas.openxmlformats.org/officeDocument/2006/relationships/hyperlink" Target="https://www.google.com/url?q=https://oj.uz/problem/view/POI13_gob&amp;sa=D&amp;ust=1605639802376000&amp;usg=AFQjCNH-_0Z4bF28tBxOeVLJXuTbfllwcA" TargetMode="External"/><Relationship Id="rId501" Type="http://schemas.openxmlformats.org/officeDocument/2006/relationships/hyperlink" Target="https://www.google.com/url?q=https://csacademy.com/contest/ejoi-2017-day-1/task/magic/&amp;sa=D&amp;ust=1605639799087000&amp;usg=AFQjCNFjb9RQNDHifVu0nbjYeuePxV2smQ" TargetMode="External"/><Relationship Id="rId946" Type="http://schemas.openxmlformats.org/officeDocument/2006/relationships/hyperlink" Target="https://www.google.com/url?q=https://github.com/mostafa-saad/MyCompetitiveProgramming/blob/master/Olympiad/IOI/official/2006/ioi06_mexico_sol.pdf&amp;sa=D&amp;ust=1605639799909000&amp;usg=AFQjCNGzmNNsNJOnyrjQjKivzig9zvyY_Q" TargetMode="External"/><Relationship Id="rId1131" Type="http://schemas.openxmlformats.org/officeDocument/2006/relationships/hyperlink" Target="https://www.google.com/url?q=https://oj.uz/problem/view/IOI07_miners&amp;sa=D&amp;ust=1605639800083000&amp;usg=AFQjCNFazhTZsJQ-5osWljg_4ai14egpAA" TargetMode="External"/><Relationship Id="rId1229" Type="http://schemas.openxmlformats.org/officeDocument/2006/relationships/hyperlink" Target="https://www.google.com/url?q=https://dmoj.ca/problem/coci06c6p5&amp;sa=D&amp;ust=1605639800177000&amp;usg=AFQjCNFqSuVN8GJou37zX9Y0IUe5Ykg3wQ" TargetMode="External"/><Relationship Id="rId1783" Type="http://schemas.openxmlformats.org/officeDocument/2006/relationships/hyperlink" Target="https://www.google.com/url?q=https://github.com/mostafa-saad/MyCompetitiveProgramming/blob/master/Olympiad/POI/official/find_editorial_sols_guidelines.txt&amp;sa=D&amp;ust=1605639800585000&amp;usg=AFQjCNFitMZaukdLgQESkAn8rNeRAr05Tg" TargetMode="External"/><Relationship Id="rId1990" Type="http://schemas.openxmlformats.org/officeDocument/2006/relationships/hyperlink" Target="https://www.google.com/url?q=https://dmoj.ca/problem/coci08c6p6&amp;sa=D&amp;ust=1605639800721000&amp;usg=AFQjCNF_FP2ZW-Q5i18D1vXmumC-32hC4A" TargetMode="External"/><Relationship Id="rId2627" Type="http://schemas.openxmlformats.org/officeDocument/2006/relationships/hyperlink" Target="https://www.google.com/url?q=https://github.com/mostafa-saad/MyCompetitiveProgramming/blob/master/Olympiad/CEOI/CEOIPractice_17-Museum.txt&amp;sa=D&amp;ust=1605639801978000&amp;usg=AFQjCNH-wuCGhBL_BEam5IePTll-cXbh1w" TargetMode="External"/><Relationship Id="rId2834" Type="http://schemas.openxmlformats.org/officeDocument/2006/relationships/hyperlink" Target="https://www.google.com/url?q=https://wcipeg.com/problem/coi09p1&amp;sa=D&amp;ust=1605639802186000&amp;usg=AFQjCNHhqpiGeEe4uirtAq51Rd9XJjNguw" TargetMode="External"/><Relationship Id="rId75" Type="http://schemas.openxmlformats.org/officeDocument/2006/relationships/hyperlink" Target="https://www.google.com/url?q=https://github.com/Szawinis/CompetitiveProgramming/blob/master/Olympiad/COCI/COCI19-simfonija.cpp&amp;sa=D&amp;ust=1605639798704000&amp;usg=AFQjCNH3u1E1dRontjswo7jiaRMBRx-UKA" TargetMode="External"/><Relationship Id="rId806" Type="http://schemas.openxmlformats.org/officeDocument/2006/relationships/hyperlink" Target="https://www.google.com/url?q=https://oj.uz/problem/view/IZhO17_game&amp;sa=D&amp;ust=1605639799785000&amp;usg=AFQjCNHsWlZ4u5svJVTvKk2dsk1j6_xyig" TargetMode="External"/><Relationship Id="rId1436" Type="http://schemas.openxmlformats.org/officeDocument/2006/relationships/hyperlink" Target="https://www.google.com/url?q=https://dunjudge.me/analysis/problems/18/&amp;sa=D&amp;ust=1605639800310000&amp;usg=AFQjCNFES7uV-7RnTn210Zm0mfJ4R7fO-A" TargetMode="External"/><Relationship Id="rId1643" Type="http://schemas.openxmlformats.org/officeDocument/2006/relationships/hyperlink" Target="https://www.google.com/url?q=https://github.com/mostafa-saad/MyCompetitiveProgramming/blob/master/Olympiad/POI/POI-12-Salaries.txt&amp;sa=D&amp;ust=1605639800477000&amp;usg=AFQjCNETteomVJ-zwuFaPIooDbCjIX1e7A" TargetMode="External"/><Relationship Id="rId1850" Type="http://schemas.openxmlformats.org/officeDocument/2006/relationships/hyperlink" Target="https://www.google.com/url?q=https://github.com/dolphingarlic/CompetitiveProgramming/blob/master/COI/COCI%252020-politicari.cpp&amp;sa=D&amp;ust=1605639800608000&amp;usg=AFQjCNE2nmNuHA5_a0oBG81V4qnD6rR_2A" TargetMode="External"/><Relationship Id="rId2901" Type="http://schemas.openxmlformats.org/officeDocument/2006/relationships/hyperlink" Target="https://www.google.com/url?q=https://joisc2014.contest.atcoder.jp/tasks/joisc2014_g&amp;sa=D&amp;ust=1605639802280000&amp;usg=AFQjCNE522BPD2yePU-1M3pVuBvfoaw98w" TargetMode="External"/><Relationship Id="rId1503" Type="http://schemas.openxmlformats.org/officeDocument/2006/relationships/hyperlink" Target="https://www.google.com/url?q=https://github.com/guskal01/CompetitiveProgramming/blob/master/Kattis/PO-Kattis.cpp&amp;sa=D&amp;ust=1605639800382000&amp;usg=AFQjCNExkjyfGPPIVALFWn_kB_3cx-ChvA" TargetMode="External"/><Relationship Id="rId1710" Type="http://schemas.openxmlformats.org/officeDocument/2006/relationships/hyperlink" Target="https://www.google.com/url?q=https://github.com/mostafa-saad/MyCompetitiveProgramming/blob/master/Olympiad/POI/official/find_editorial_sols_guidelines.txt&amp;sa=D&amp;ust=1605639800502000&amp;usg=AFQjCNF8AySOag3vbL1ze0V4gsv667sKKQ" TargetMode="External"/><Relationship Id="rId1948" Type="http://schemas.openxmlformats.org/officeDocument/2006/relationships/hyperlink" Target="https://www.google.com/url?q=https://www.infoarena.ro/problema/nrsubsecv&amp;sa=D&amp;ust=1605639800706000&amp;usg=AFQjCNHKPaK6GgNf1SmkmxirXQAhPYD2Dw" TargetMode="External"/><Relationship Id="rId291" Type="http://schemas.openxmlformats.org/officeDocument/2006/relationships/hyperlink" Target="https://www.google.com/url?q=https://dmoj.ca/problem/coci06c5p2&amp;sa=D&amp;ust=1605639798878000&amp;usg=AFQjCNGezmWkfn4mYIxd0pHlBZqwVQeL-w" TargetMode="External"/><Relationship Id="rId1808" Type="http://schemas.openxmlformats.org/officeDocument/2006/relationships/hyperlink" Target="https://www.google.com/url?q=https://oj.uz/problems/source/245&amp;sa=D&amp;ust=1605639800593000&amp;usg=AFQjCNGqSWM8tzaB5FSEAI2yelIRwTMVDA" TargetMode="External"/><Relationship Id="rId151" Type="http://schemas.openxmlformats.org/officeDocument/2006/relationships/hyperlink" Target="https://www.google.com/url?q=https://cses.fi/191/list/&amp;sa=D&amp;ust=1605639798767000&amp;usg=AFQjCNHm6Gh39ArbiwI8Aomeq_A1P7Pkjw" TargetMode="External"/><Relationship Id="rId389" Type="http://schemas.openxmlformats.org/officeDocument/2006/relationships/hyperlink" Target="https://www.google.com/url?q=https://dunjudge.me/analysis/problems/1474/&amp;sa=D&amp;ust=1605639798979000&amp;usg=AFQjCNGowR9XvuyAByHNBJwHa9V-MA1-GQ" TargetMode="External"/><Relationship Id="rId596" Type="http://schemas.openxmlformats.org/officeDocument/2006/relationships/hyperlink" Target="https://www.google.com/url?q=https://dmoj.ca/problem/coci08c2p4&amp;sa=D&amp;ust=1605639799127000&amp;usg=AFQjCNH_X4lbsV4MlnZBDGSB5RQHEW116A" TargetMode="External"/><Relationship Id="rId2277" Type="http://schemas.openxmlformats.org/officeDocument/2006/relationships/hyperlink" Target="https://www.google.com/url?q=https://dmoj.ca/problem/coci07c5p6&amp;sa=D&amp;ust=1605639801569000&amp;usg=AFQjCNGP_TY7ulP1PFex38ytXOl3KW9lKQ" TargetMode="External"/><Relationship Id="rId2484" Type="http://schemas.openxmlformats.org/officeDocument/2006/relationships/hyperlink" Target="https://www.google.com/url?q=https://www.infoarena.ro/problema/pm2&amp;sa=D&amp;ust=1605639801805000&amp;usg=AFQjCNHe9yp8-_pLjwPcoeqPnnjuQ6lUyA" TargetMode="External"/><Relationship Id="rId2691" Type="http://schemas.openxmlformats.org/officeDocument/2006/relationships/hyperlink" Target="https://www.google.com/url?q=https://open.kattis.com/problem-sources/Baltic%2520Olympiad%2520in%2520Informatics%25202017%252C%2520Warmup&amp;sa=D&amp;ust=1605639802008000&amp;usg=AFQjCNEzWPLfiKRDYPDPr6w2Alm1xb2M9w" TargetMode="External"/><Relationship Id="rId249" Type="http://schemas.openxmlformats.org/officeDocument/2006/relationships/hyperlink" Target="https://www.google.com/url?q=https://szkopul.edu.pl/problemset/problem/E4CCHJSbYzxeGWXMnBZHkPnm/site/&amp;sa=D&amp;ust=1605639798809000&amp;usg=AFQjCNFjvC8mnu6TqXY7-q0uRHs5PuQyvA" TargetMode="External"/><Relationship Id="rId456" Type="http://schemas.openxmlformats.org/officeDocument/2006/relationships/hyperlink" Target="https://www.google.com/url?q=http://usaco.org/index.php?page%3Dviewproblem2%26cpid%3D194&amp;sa=D&amp;ust=1605639799008000&amp;usg=AFQjCNEMU7U15W77Dj0yQHvroBP5RbSeYw" TargetMode="External"/><Relationship Id="rId663" Type="http://schemas.openxmlformats.org/officeDocument/2006/relationships/hyperlink" Target="https://www.google.com/url?q=https://github.com/mostafa-saad/MyCompetitiveProgramming/blob/master/Olympiad/JOI/JOISC-18-wildboar.txt&amp;sa=D&amp;ust=1605639799659000&amp;usg=AFQjCNF8z8uAcO51THVqDvFJq1MyzsG-tg" TargetMode="External"/><Relationship Id="rId870" Type="http://schemas.openxmlformats.org/officeDocument/2006/relationships/hyperlink" Target="https://www.google.com/url?q=https://dmoj.ca/problem/cco12p6&amp;sa=D&amp;ust=1605639799875000&amp;usg=AFQjCNFWQFgyJL0XSHo7_wtcdTKTnHDz7g" TargetMode="External"/><Relationship Id="rId1086" Type="http://schemas.openxmlformats.org/officeDocument/2006/relationships/hyperlink" Target="https://www.google.com/url?q=https://cses.fi/114/list/&amp;sa=D&amp;ust=1605639800017000&amp;usg=AFQjCNFauJpfRGy_CCV8JYKzpfE6qUEZaw" TargetMode="External"/><Relationship Id="rId1293" Type="http://schemas.openxmlformats.org/officeDocument/2006/relationships/hyperlink" Target="https://www.google.com/url?q=https://github.com/mostafa-saad/MyCompetitiveProgramming/blob/master/Olympiad/CEOI/CEOI-13-board.txt&amp;sa=D&amp;ust=1605639800201000&amp;usg=AFQjCNGLpkL_uIwAURvwpwTAVIifb97-lQ" TargetMode="External"/><Relationship Id="rId2137" Type="http://schemas.openxmlformats.org/officeDocument/2006/relationships/hyperlink" Target="https://www.google.com/url?q=https://dunjudge.me/analysis/problems/1663/&amp;sa=D&amp;ust=1605639800822000&amp;usg=AFQjCNFh6isGcq-VuG8fw89HCQHd6FA1aA" TargetMode="External"/><Relationship Id="rId2344" Type="http://schemas.openxmlformats.org/officeDocument/2006/relationships/hyperlink" Target="https://www.google.com/url?q=https://github.com/mostafa-saad/MyCompetitiveProgramming/blob/master/Olympiad/COCI/COCI-08-Matrica&amp;sa=D&amp;ust=1605639801614000&amp;usg=AFQjCNGKQh0_Ly8uKn0VnVqHgFjhwhg_Bg" TargetMode="External"/><Relationship Id="rId2551" Type="http://schemas.openxmlformats.org/officeDocument/2006/relationships/hyperlink" Target="https://www.google.com/url?q=http://usaco.org/index.php?page%3Dviewproblem2%26cpid%3D841&amp;sa=D&amp;ust=1605639801879000&amp;usg=AFQjCNHF1sZbKJ0xE4pq_nWehNc5Ksqabg" TargetMode="External"/><Relationship Id="rId2789" Type="http://schemas.openxmlformats.org/officeDocument/2006/relationships/hyperlink" Target="https://www.google.com/url?q=https://github.com/mostafa-saad/MyCompetitiveProgramming/blob/master/Olympiad/COCI/official/2010/contest6_solutions&amp;sa=D&amp;ust=1605639802110000&amp;usg=AFQjCNH_HPzziuxMzvL1QF85w3qSlxTKcA" TargetMode="External"/><Relationship Id="rId2996" Type="http://schemas.openxmlformats.org/officeDocument/2006/relationships/hyperlink" Target="https://www.google.com/url?q=https://szkopul.edu.pl/problemset/problem/kqBM3UKWL-qlFiXIOxPXL35m/site/&amp;sa=D&amp;ust=1605639802388000&amp;usg=AFQjCNG-t5QkvD6fvMmx20I5k3vadvpyZw" TargetMode="External"/><Relationship Id="rId109" Type="http://schemas.openxmlformats.org/officeDocument/2006/relationships/hyperlink" Target="https://www.google.com/url?q=https://cses.fi/189/list/&amp;sa=D&amp;ust=1605639798717000&amp;usg=AFQjCNEicWRkwYUV34B2VQamksX7yTwquw" TargetMode="External"/><Relationship Id="rId316" Type="http://schemas.openxmlformats.org/officeDocument/2006/relationships/hyperlink" Target="https://www.google.com/url?q=https://dunjudge.me/analysis/problems/1401/&amp;sa=D&amp;ust=1605639798889000&amp;usg=AFQjCNGD6b6XgCAf6dB4NCD0V5Np0es3BA" TargetMode="External"/><Relationship Id="rId523" Type="http://schemas.openxmlformats.org/officeDocument/2006/relationships/hyperlink" Target="https://www.google.com/url?q=https://oj.uz/problem/view/COCI17_programiranje&amp;sa=D&amp;ust=1605639799095000&amp;usg=AFQjCNGxb_AD8OMXkx-McQiMtrLR3drWvQ" TargetMode="External"/><Relationship Id="rId968" Type="http://schemas.openxmlformats.org/officeDocument/2006/relationships/hyperlink" Target="https://www.google.com/url?q=https://oj.uz/problem/view/COCI15_savez&amp;sa=D&amp;ust=1605639799967000&amp;usg=AFQjCNFuh1NKRJqA5Ame9Nn81mRuPFEktw" TargetMode="External"/><Relationship Id="rId1153" Type="http://schemas.openxmlformats.org/officeDocument/2006/relationships/hyperlink" Target="https://www.google.com/url?q=https://github.com/mostafa-saad/MyCompetitiveProgramming/blob/master/Olympiad/COCI/official/2015/contest7_solutions&amp;sa=D&amp;ust=1605639800093000&amp;usg=AFQjCNELmD4HOOAgtlqMaKRH1_4bzuCBfg" TargetMode="External"/><Relationship Id="rId1598" Type="http://schemas.openxmlformats.org/officeDocument/2006/relationships/hyperlink" Target="https://www.google.com/url?q=https://github.com/mostafa-saad/MyCompetitiveProgramming/blob/master/Olympiad/POI/POI-14-Criminals.txt&amp;sa=D&amp;ust=1605639800417000&amp;usg=AFQjCNET6Hr9gPDH1wRqQg4LIjjp_rlwqA" TargetMode="External"/><Relationship Id="rId2204" Type="http://schemas.openxmlformats.org/officeDocument/2006/relationships/hyperlink" Target="https://www.google.com/url?q=https://contest.yandex.ru/roiarchive/contest/2170/problems/8&amp;sa=D&amp;ust=1605639800889000&amp;usg=AFQjCNGX4pODegB41kRhznxRdOsJEgQrwg" TargetMode="External"/><Relationship Id="rId2649" Type="http://schemas.openxmlformats.org/officeDocument/2006/relationships/hyperlink" Target="https://www.google.com/url?q=https://github.com/mostafa-saad/MyCompetitiveProgramming/blob/master/Olympiad/infoarena/infoarena-arbore7.txt&amp;sa=D&amp;ust=1605639801987000&amp;usg=AFQjCNGKdBQYLICLmdnddUxh31fXgsV85g" TargetMode="External"/><Relationship Id="rId2856" Type="http://schemas.openxmlformats.org/officeDocument/2006/relationships/hyperlink" Target="https://www.google.com/url?q=https://oj.uz/problem/view/info1cup18_shell&amp;sa=D&amp;ust=1605639802200000&amp;usg=AFQjCNEqYlip4A9TlbA8P4tArxsJ8-1-4A" TargetMode="External"/><Relationship Id="rId97" Type="http://schemas.openxmlformats.org/officeDocument/2006/relationships/hyperlink" Target="https://www.google.com/url?q=https://tioj.ck.tp.edu.tw/problems/1742&amp;sa=D&amp;ust=1605639798713000&amp;usg=AFQjCNG1ocvUvTBFvwHEYzdm8wZnVr0e8w" TargetMode="External"/><Relationship Id="rId730" Type="http://schemas.openxmlformats.org/officeDocument/2006/relationships/hyperlink" Target="https://www.google.com/url?q=https://github.com/mostafa-saad/MyCompetitiveProgramming/blob/master/Olympiad/CEOI/CEOI-18-Global.txt&amp;sa=D&amp;ust=1605639799699000&amp;usg=AFQjCNHTjsBsDItagTfW-HisljPPCQBDxg" TargetMode="External"/><Relationship Id="rId828" Type="http://schemas.openxmlformats.org/officeDocument/2006/relationships/hyperlink" Target="https://www.google.com/url?q=https://wcipeg.com/problem/coi09p3&amp;sa=D&amp;ust=1605639799796000&amp;usg=AFQjCNGuipTIFwt7hief4V-Yn2kPx6WNgw" TargetMode="External"/><Relationship Id="rId1013" Type="http://schemas.openxmlformats.org/officeDocument/2006/relationships/hyperlink" Target="https://www.google.com/url?q=https://www.infoarena.ro/problema/peri&amp;sa=D&amp;ust=1605639799987000&amp;usg=AFQjCNGq3mDTiansSvfwhDO8TU6kgUFqgA" TargetMode="External"/><Relationship Id="rId1360" Type="http://schemas.openxmlformats.org/officeDocument/2006/relationships/hyperlink" Target="https://www.google.com/url?q=https://github.com/mostafa-saad/MyCompetitiveProgramming/blob/master/Olympiad/POI/POI-11-Sticks.txt&amp;sa=D&amp;ust=1605639800278000&amp;usg=AFQjCNHqy0T63PGtJDFEXU1TxZLNF8xL4Q" TargetMode="External"/><Relationship Id="rId1458" Type="http://schemas.openxmlformats.org/officeDocument/2006/relationships/hyperlink" Target="https://www.google.com/url?q=https://cses.fi/189/list/&amp;sa=D&amp;ust=1605639800365000&amp;usg=AFQjCNErep8IEGHVIh7HsMIriLZSsieOVg" TargetMode="External"/><Relationship Id="rId1665" Type="http://schemas.openxmlformats.org/officeDocument/2006/relationships/hyperlink" Target="https://www.google.com/url?q=https://oj.uz/problem/view/COCI16_mag&amp;sa=D&amp;ust=1605639800484000&amp;usg=AFQjCNGgyu1XGI1Pt-GKzZxno7h_06Yvuw" TargetMode="External"/><Relationship Id="rId1872" Type="http://schemas.openxmlformats.org/officeDocument/2006/relationships/hyperlink" Target="https://www.google.com/url?q=https://github.com/mostafa-saad/MyCompetitiveProgramming/blob/master/Olympiad/Baltic/Baltic-07-Fence.txt&amp;sa=D&amp;ust=1605639800676000&amp;usg=AFQjCNHfurXgN4-Tnu2yi8W0nwyECtqs-A" TargetMode="External"/><Relationship Id="rId2411" Type="http://schemas.openxmlformats.org/officeDocument/2006/relationships/hyperlink" Target="https://www.google.com/url?q=https://github.com/mostafa-saad/MyCompetitiveProgramming/blob/master/Olympiad/POI/POI-10-Pilots.txt&amp;sa=D&amp;ust=1605639801774000&amp;usg=AFQjCNEjg6Ydx1H1tVurVFOJS9AzkAAUCA" TargetMode="External"/><Relationship Id="rId2509" Type="http://schemas.openxmlformats.org/officeDocument/2006/relationships/hyperlink" Target="https://www.google.com/url?q=https://open.kattis.com/problems/catinatree&amp;sa=D&amp;ust=1605639801812000&amp;usg=AFQjCNERZMlgpjckHXloI1A8LS4mbo-8vg" TargetMode="External"/><Relationship Id="rId2716" Type="http://schemas.openxmlformats.org/officeDocument/2006/relationships/hyperlink" Target="https://www.google.com/url?q=https://github.com/mostafa-saad/MyCompetitiveProgramming/tree/master/Olympiad/COCI/official/2007/contest1_solutions&amp;sa=D&amp;ust=1605639802076000&amp;usg=AFQjCNEnxZsfxv_s3S75Vddm_FHsC1KkaQ" TargetMode="External"/><Relationship Id="rId1220" Type="http://schemas.openxmlformats.org/officeDocument/2006/relationships/hyperlink" Target="https://www.google.com/url?q=https://github.com/mostafa-saad/MyCompetitiveProgramming/blob/master/Olympiad/CEOI/CEOI-15-teams.txt&amp;sa=D&amp;ust=1605639800173000&amp;usg=AFQjCNFOuozhLn_-jYdbndy8Iv6qFknXKA" TargetMode="External"/><Relationship Id="rId1318" Type="http://schemas.openxmlformats.org/officeDocument/2006/relationships/hyperlink" Target="https://www.google.com/url?q=https://github.com/mostafa-saad/MyCompetitiveProgramming/blob/master/Olympiad/IZhO/IZhO-13-school.txt&amp;sa=D&amp;ust=1605639800209000&amp;usg=AFQjCNET_DymBAj3YFKVbwx9NIsFK_kAxA" TargetMode="External"/><Relationship Id="rId1525" Type="http://schemas.openxmlformats.org/officeDocument/2006/relationships/hyperlink" Target="https://www.google.com/url?q=https://github.com/mostafa-saad/MyCompetitiveProgramming/blob/master/Olympiad/IOI/official/2003&amp;sa=D&amp;ust=1605639800390000&amp;usg=AFQjCNGZJLttxQStGbqugo8gtx-tpZ2Iwg" TargetMode="External"/><Relationship Id="rId2923" Type="http://schemas.openxmlformats.org/officeDocument/2006/relationships/hyperlink" Target="https://www.google.com/url?q=https://joisc2016.contest.atcoder.jp/tasks/joisc2016_k&amp;sa=D&amp;ust=1605639802294000&amp;usg=AFQjCNH6ko0q3Q6tw3cWw5vtNH3NnjyjXQ" TargetMode="External"/><Relationship Id="rId1732" Type="http://schemas.openxmlformats.org/officeDocument/2006/relationships/hyperlink" Target="https://www.google.com/url?q=https://github.com/stefdasca/CompetitiveProgramming/blob/master/Info1Cup/National%2520Round/subway.cpp&amp;sa=D&amp;ust=1605639800508000&amp;usg=AFQjCNEai529tS70y0jdo3Luc_axuxgXCg" TargetMode="External"/><Relationship Id="rId24" Type="http://schemas.openxmlformats.org/officeDocument/2006/relationships/hyperlink" Target="https://www.google.com/url?q=https://oj.uz/problem/view/IOI16_messy&amp;sa=D&amp;ust=1605639798673000&amp;usg=AFQjCNFW6XzwNLxUulh91q-CWm3B4OY0YA" TargetMode="External"/><Relationship Id="rId2299" Type="http://schemas.openxmlformats.org/officeDocument/2006/relationships/hyperlink" Target="https://www.google.com/url?q=https://github.com/mostafa-saad/MyCompetitiveProgramming/blob/master/Olympiad/COCI/official/2015/contest5_solutions&amp;sa=D&amp;ust=1605639801589000&amp;usg=AFQjCNF6Xv2T7Z0MnRdnwnbJMi3XJ-U1QA" TargetMode="External"/><Relationship Id="rId173" Type="http://schemas.openxmlformats.org/officeDocument/2006/relationships/hyperlink" Target="https://www.google.com/url?q=https://www.hackerrank.com/contests/ioi-2014-practice-contest-1/challenges&amp;sa=D&amp;ust=1605639798780000&amp;usg=AFQjCNF131vqd8jsnI7Wxa7uZZrMsqndnA" TargetMode="External"/><Relationship Id="rId380" Type="http://schemas.openxmlformats.org/officeDocument/2006/relationships/hyperlink" Target="https://www.google.com/url?q=https://dunjudge.me/analysis/problems/738/&amp;sa=D&amp;ust=1605639798976000&amp;usg=AFQjCNGoNhTcwpj7F_Segmx3velSIAg09A" TargetMode="External"/><Relationship Id="rId2061" Type="http://schemas.openxmlformats.org/officeDocument/2006/relationships/hyperlink" Target="https://www.google.com/url?q=https://dmoj.ca/problem/coci06c3p5&amp;sa=D&amp;ust=1605639800794000&amp;usg=AFQjCNGQC0IwbdS3DAOvkvkmE_b19H49cQ" TargetMode="External"/><Relationship Id="rId240" Type="http://schemas.openxmlformats.org/officeDocument/2006/relationships/hyperlink" Target="https://www.google.com/url?q=https://cses.fi/231/task/B&amp;sa=D&amp;ust=1605639798805000&amp;usg=AFQjCNHodIiY4eM707ikOXFrxsbqFTCMWg" TargetMode="External"/><Relationship Id="rId478" Type="http://schemas.openxmlformats.org/officeDocument/2006/relationships/hyperlink" Target="https://www.google.com/url?q=https://infoarena.ro/problema/eq&amp;sa=D&amp;ust=1605639799017000&amp;usg=AFQjCNE-CjJr6waDMtlfrd86KP5zvr_tuA" TargetMode="External"/><Relationship Id="rId685" Type="http://schemas.openxmlformats.org/officeDocument/2006/relationships/hyperlink" Target="https://www.google.com/url?q=https://github.com/mostafa-saad/MyCompetitiveProgramming/blob/master/Olympiad/COCI/COCI-09-Aladin.txt&amp;sa=D&amp;ust=1605639799667000&amp;usg=AFQjCNFyet8whWs-FOsir6VQdFVR4BbbFQ" TargetMode="External"/><Relationship Id="rId892" Type="http://schemas.openxmlformats.org/officeDocument/2006/relationships/hyperlink" Target="https://www.google.com/url?q=https://szkopul.edu.pl/problemset/problem/3bBT-3VuSu78UsxTQSwaJzVo/site/&amp;sa=D&amp;ust=1605639799888000&amp;usg=AFQjCNHX910kh1tNNnrUKW38jN4ivb1Rhg" TargetMode="External"/><Relationship Id="rId2159" Type="http://schemas.openxmlformats.org/officeDocument/2006/relationships/hyperlink" Target="https://www.google.com/url?q=https://oj.uz/problem/view/COCI16_prosjecni&amp;sa=D&amp;ust=1605639800871000&amp;usg=AFQjCNGK_c7JCZI-7pvuT1uRTlxzXYtHpw" TargetMode="External"/><Relationship Id="rId2366" Type="http://schemas.openxmlformats.org/officeDocument/2006/relationships/hyperlink" Target="https://www.google.com/url?q=https://szkopul.edu.pl/problemset/problem/70I-ks8dXjgq3xwzRzLV1w4p/site/&amp;sa=D&amp;ust=1605639801686000&amp;usg=AFQjCNEtb2_pn2sdIYcvbjgPmp5-r8oWRQ" TargetMode="External"/><Relationship Id="rId2573" Type="http://schemas.openxmlformats.org/officeDocument/2006/relationships/hyperlink" Target="https://www.google.com/url?q=https://github.com/thecodingwizard/competitive-programming/blob/master/USACO/2019feb/plat/mooriokart.cpp&amp;sa=D&amp;ust=1605639801887000&amp;usg=AFQjCNGaJy1g789Xevdivs869NPr3ynxRA" TargetMode="External"/><Relationship Id="rId2780" Type="http://schemas.openxmlformats.org/officeDocument/2006/relationships/hyperlink" Target="https://www.google.com/url?q=https://github.com/mostafa-saad/MyCompetitiveProgramming/blob/master/Olympiad/COCI/official/2010/contest1_solutions&amp;sa=D&amp;ust=1605639802105000&amp;usg=AFQjCNGX5KprEaw0corWxSzIp8_5YVFhhQ" TargetMode="External"/><Relationship Id="rId100" Type="http://schemas.openxmlformats.org/officeDocument/2006/relationships/hyperlink" Target="https://www.google.com/url?q=https://github.com/mostafa-saad/MyCompetitiveProgramming/blob/master/Olympiad/Baltic/Baltic-19-olympiads.txt&amp;sa=D&amp;ust=1605639798714000&amp;usg=AFQjCNGUYHZ3aKX_x61fjnWVm9qKa-WC_g" TargetMode="External"/><Relationship Id="rId338" Type="http://schemas.openxmlformats.org/officeDocument/2006/relationships/hyperlink" Target="https://www.google.com/url?q=https://wcipeg.com/problem/coci087p1&amp;sa=D&amp;ust=1605639798900000&amp;usg=AFQjCNFlMPLERxgevTMubE1Dw9zedWhVAg" TargetMode="External"/><Relationship Id="rId545" Type="http://schemas.openxmlformats.org/officeDocument/2006/relationships/hyperlink" Target="https://www.google.com/url?q=https://codeforces.com/blog/entry/58433&amp;sa=D&amp;ust=1605639799105000&amp;usg=AFQjCNFnKKcWO2oF3WX6W-knHw57MPz30w" TargetMode="External"/><Relationship Id="rId752" Type="http://schemas.openxmlformats.org/officeDocument/2006/relationships/hyperlink" Target="https://www.google.com/url?q=https://oj.uz/problem/view/JOI17_foehn_phenomena&amp;sa=D&amp;ust=1605639799711000&amp;usg=AFQjCNHBc1hCrl3RsM7f9cth4n948Y6Ynw" TargetMode="External"/><Relationship Id="rId1175" Type="http://schemas.openxmlformats.org/officeDocument/2006/relationships/hyperlink" Target="https://www.google.com/url?q=https://github.com/mostafa-saad/MyCompetitiveProgramming/blob/master/Olympiad/APIO/APIO-13-Robots.txt&amp;sa=D&amp;ust=1605639800110000&amp;usg=AFQjCNEQirbmRhtJmf-7ZEnHwAfObcegaA" TargetMode="External"/><Relationship Id="rId1382" Type="http://schemas.openxmlformats.org/officeDocument/2006/relationships/hyperlink" Target="https://www.google.com/url?q=https://dmoj.ca/problem/coci07c5p4&amp;sa=D&amp;ust=1605639800287000&amp;usg=AFQjCNH_gYUj_dzyIfIpy0eLvYXVvH2V8A" TargetMode="External"/><Relationship Id="rId2019" Type="http://schemas.openxmlformats.org/officeDocument/2006/relationships/hyperlink" Target="https://www.google.com/url?q=https://oj.uz/problem/view/IOI16_railroad&amp;sa=D&amp;ust=1605639800777000&amp;usg=AFQjCNECDmECLL4BOqhv_0kOEevo_T_hHg" TargetMode="External"/><Relationship Id="rId2226" Type="http://schemas.openxmlformats.org/officeDocument/2006/relationships/hyperlink" Target="https://www.google.com/url?q=https://wcipeg.com/problem/coci091p3&amp;sa=D&amp;ust=1605639800898000&amp;usg=AFQjCNGpWzBgaKQA1JzsoGB2iuIFDkrOuA" TargetMode="External"/><Relationship Id="rId2433" Type="http://schemas.openxmlformats.org/officeDocument/2006/relationships/hyperlink" Target="https://www.google.com/url?q=https://www.infoarena.ro/problema/lautari&amp;sa=D&amp;ust=1605639801784000&amp;usg=AFQjCNHBJm7A_Z7HMr5eL8RF9CuQbymJ7w" TargetMode="External"/><Relationship Id="rId2640" Type="http://schemas.openxmlformats.org/officeDocument/2006/relationships/hyperlink" Target="https://www.google.com/url?q=https://csacademy.com/contest/balkan-oi-2017-day-2/&amp;sa=D&amp;ust=1605639801982000&amp;usg=AFQjCNFPFrU3pBq1vIxZwXhwLKyC6O_3JQ" TargetMode="External"/><Relationship Id="rId2878" Type="http://schemas.openxmlformats.org/officeDocument/2006/relationships/hyperlink" Target="https://www.google.com/url?q=https://dunjudge.me/analysis/problems/1660/&amp;sa=D&amp;ust=1605639802265000&amp;usg=AFQjCNGNwHFdoE9JaCwbmG8QST_vcdw1ZA" TargetMode="External"/><Relationship Id="rId405" Type="http://schemas.openxmlformats.org/officeDocument/2006/relationships/hyperlink" Target="https://www.google.com/url?q=https://dmoj.ca/problem/coci08c5p6&amp;sa=D&amp;ust=1605639798987000&amp;usg=AFQjCNERc06RshC87kUO7Zq5LTo8LR2YJQ" TargetMode="External"/><Relationship Id="rId612" Type="http://schemas.openxmlformats.org/officeDocument/2006/relationships/hyperlink" Target="https://www.google.com/url?q=https://github.com/mostafa-saad/MyCompetitiveProgramming/blob/master/Olympiad/NOI/NOI-07-hole.txt&amp;sa=D&amp;ust=1605639799167000&amp;usg=AFQjCNGK9QrbEBiMvpotLC-Q64pfr4rkRg" TargetMode="External"/><Relationship Id="rId1035" Type="http://schemas.openxmlformats.org/officeDocument/2006/relationships/hyperlink" Target="https://www.google.com/url?q=https://github.com/stefdasca/CompetitiveProgramming/blob/master/Infoarena/nkbiti.cpp&amp;sa=D&amp;ust=1605639799993000&amp;usg=AFQjCNGJvquBtmnf0IDWQPpzmroTvZ6SUw" TargetMode="External"/><Relationship Id="rId1242" Type="http://schemas.openxmlformats.org/officeDocument/2006/relationships/hyperlink" Target="https://www.google.com/url?q=https://github.com/mostafa-saad/MyCompetitiveProgramming/blob/master/Olympiad/COCI/COCI-12-mars.txt&amp;sa=D&amp;ust=1605639800182000&amp;usg=AFQjCNHg29cDMPoiUxTnuTrQS9eYMR1LGw" TargetMode="External"/><Relationship Id="rId1687" Type="http://schemas.openxmlformats.org/officeDocument/2006/relationships/hyperlink" Target="https://www.google.com/url?q=https://dmoj.ca/problem/apio12p1&amp;sa=D&amp;ust=1605639800493000&amp;usg=AFQjCNHTmC51vZ-z-kAB5YrubAHUdTKQpQ" TargetMode="External"/><Relationship Id="rId1894" Type="http://schemas.openxmlformats.org/officeDocument/2006/relationships/hyperlink" Target="https://www.google.com/url?q=http://usaco.org/index.php?page%3Dviewproblem2%26cpid%3D861&amp;sa=D&amp;ust=1605639800686000&amp;usg=AFQjCNFJnNdniwiU5DoSrmy8vhiX9_dl4g" TargetMode="External"/><Relationship Id="rId2500" Type="http://schemas.openxmlformats.org/officeDocument/2006/relationships/hyperlink" Target="https://www.google.com/url?q=https://oj.uz/problem/view/COCI19_transport&amp;sa=D&amp;ust=1605639801810000&amp;usg=AFQjCNEJoGIP2PKIA3OxP6ZT7l_woDTHbQ" TargetMode="External"/><Relationship Id="rId2738" Type="http://schemas.openxmlformats.org/officeDocument/2006/relationships/hyperlink" Target="https://www.google.com/url?q=https://github.com/mostafa-saad/MyCompetitiveProgramming/tree/master/Olympiad/COCI/official/2008/contest3_solutions&amp;sa=D&amp;ust=1605639802088000&amp;usg=AFQjCNFSe9_MBKV0lLBTTYNs9wRwdrREvQ" TargetMode="External"/><Relationship Id="rId2945" Type="http://schemas.openxmlformats.org/officeDocument/2006/relationships/hyperlink" Target="https://www.google.com/url?q=https://dunjudge.me/analysis/problems/43/&amp;sa=D&amp;ust=1605639802304000&amp;usg=AFQjCNGdAH0iKiunvBy600vv1zy9w9Uh-g" TargetMode="External"/><Relationship Id="rId917" Type="http://schemas.openxmlformats.org/officeDocument/2006/relationships/hyperlink" Target="https://www.google.com/url?q=https://szkopul.edu.pl/problemset/problem/klvaggzD-q4Acz_WLtkn0JXJ/site/&amp;sa=D&amp;ust=1605639799898000&amp;usg=AFQjCNFcey8FBzyx2owYUZMWu8YVurP4pQ" TargetMode="External"/><Relationship Id="rId1102" Type="http://schemas.openxmlformats.org/officeDocument/2006/relationships/hyperlink" Target="https://www.google.com/url?q=https://github.com/mostafa-saad/MyCompetitiveProgramming/blob/master/Olympiad/NOI/official&amp;sa=D&amp;ust=1605639800071000&amp;usg=AFQjCNF4tpXc4C7n2HbD0A6MvD5KJHu7WQ" TargetMode="External"/><Relationship Id="rId1547" Type="http://schemas.openxmlformats.org/officeDocument/2006/relationships/hyperlink" Target="https://www.google.com/url?q=https://oj.uz/problem/view/CEOI12_circuit&amp;sa=D&amp;ust=1605639800397000&amp;usg=AFQjCNH_grAygUtkZA4yCVXbGvBxCC0jGQ" TargetMode="External"/><Relationship Id="rId1754" Type="http://schemas.openxmlformats.org/officeDocument/2006/relationships/hyperlink" Target="https://www.google.com/url?q=https://github.com/mostafa-saad/MyCompetitiveProgramming/blob/master/Olympiad/COCI/official/2010/contest2_solutions&amp;sa=D&amp;ust=1605639800569000&amp;usg=AFQjCNGVm5sS0i-MYqbYYadFY8j6FegCmA" TargetMode="External"/><Relationship Id="rId1961" Type="http://schemas.openxmlformats.org/officeDocument/2006/relationships/hyperlink" Target="https://www.google.com/url?q=https://szkopul.edu.pl/problemset/problem/G-ZVHDa7y3xWk2PQM27uNq3n/site/&amp;sa=D&amp;ust=1605639800710000&amp;usg=AFQjCNEMwAnehpn60i361QUpQ8vrbX9H9w" TargetMode="External"/><Relationship Id="rId2805" Type="http://schemas.openxmlformats.org/officeDocument/2006/relationships/hyperlink" Target="https://www.google.com/url?q=https://github.com/mostafa-saad/MyCompetitiveProgramming/blob/master/Olympiad/COCI/official/2015/contest6_solutions&amp;sa=D&amp;ust=1605639802171000&amp;usg=AFQjCNHQWgd5tAS-ZEZ3Iz2O-KNo8UY8vg" TargetMode="External"/><Relationship Id="rId46" Type="http://schemas.openxmlformats.org/officeDocument/2006/relationships/hyperlink" Target="https://www.google.com/url?q=https://szkopul.edu.pl/problemset/problem/dq_rM2gOy4-8jYIsE7xgo-9l/site/&amp;sa=D&amp;ust=1605639798681000&amp;usg=AFQjCNFxko2tRw8u703XEmkDydLfap45mA" TargetMode="External"/><Relationship Id="rId1407" Type="http://schemas.openxmlformats.org/officeDocument/2006/relationships/hyperlink" Target="https://www.google.com/url?q=https://codeforces.com/group/swEqtABRxe/contest/243429/problem/B&amp;sa=D&amp;ust=1605639800298000&amp;usg=AFQjCNFnlMpVDHF3Lr-SH7AXotNPzb6e8A" TargetMode="External"/><Relationship Id="rId1614" Type="http://schemas.openxmlformats.org/officeDocument/2006/relationships/hyperlink" Target="https://www.google.com/url?q=https://www.acmicpc.net/problem/12017&amp;sa=D&amp;ust=1605639800424000&amp;usg=AFQjCNEWl1W-UHq1PhsY_fv23R67bJMy2g" TargetMode="External"/><Relationship Id="rId1821" Type="http://schemas.openxmlformats.org/officeDocument/2006/relationships/hyperlink" Target="https://www.google.com/url?q=https://github.com/mostafa-saad/MyCompetitiveProgramming/blob/master/Olympiad/COCI/official/2018/contest2_solutions&amp;sa=D&amp;ust=1605639800598000&amp;usg=AFQjCNHy-iQ8j_Q5tQ-SYwI8SU7RrIuJbA" TargetMode="External"/><Relationship Id="rId195" Type="http://schemas.openxmlformats.org/officeDocument/2006/relationships/hyperlink" Target="https://www.google.com/url?q=https://dunjudge.me/analysis/problems/553/&amp;sa=D&amp;ust=1605639798787000&amp;usg=AFQjCNEKLoaSCO5eetQOeKiVhZrRwWvB-w" TargetMode="External"/><Relationship Id="rId1919" Type="http://schemas.openxmlformats.org/officeDocument/2006/relationships/hyperlink" Target="https://www.google.com/url?q=https://dunjudge.me/analysis/problems/87/&amp;sa=D&amp;ust=1605639800695000&amp;usg=AFQjCNFtrcfKi-F1acQPbKVKgawv3TCZ-Q" TargetMode="External"/><Relationship Id="rId2083" Type="http://schemas.openxmlformats.org/officeDocument/2006/relationships/hyperlink" Target="https://www.google.com/url?q=https://github.com/mostafa-saad/MyCompetitiveProgramming/blob/master/Olympiad/CEOI/CEOI-05-Net.txt&amp;sa=D&amp;ust=1605639800803000&amp;usg=AFQjCNGaz5w5huIfYinr3ASie5WJsAg-uw" TargetMode="External"/><Relationship Id="rId2290" Type="http://schemas.openxmlformats.org/officeDocument/2006/relationships/hyperlink" Target="https://www.google.com/url?q=https://oj.uz/problem/view/POI11_okr&amp;sa=D&amp;ust=1605639801574000&amp;usg=AFQjCNGcQLYksXnKotB0v9QX4pLcs64znA" TargetMode="External"/><Relationship Id="rId2388" Type="http://schemas.openxmlformats.org/officeDocument/2006/relationships/hyperlink" Target="https://www.google.com/url?q=https://contest.yandex.ru/ioi/contest/570/enter/&amp;sa=D&amp;ust=1605639801703000&amp;usg=AFQjCNEXTpArhJuBgcBnkzr_AQoCvse1Bw" TargetMode="External"/><Relationship Id="rId2595" Type="http://schemas.openxmlformats.org/officeDocument/2006/relationships/hyperlink" Target="https://www.google.com/url?q=http://codeforces.com/blog/entry/47764&amp;sa=D&amp;ust=1605639801901000&amp;usg=AFQjCNHW0JPKQ9YAEDawNPW48b6SIcNWfw" TargetMode="External"/><Relationship Id="rId262" Type="http://schemas.openxmlformats.org/officeDocument/2006/relationships/hyperlink" Target="https://www.google.com/url?q=https://github.com/mostafa-saad/MyCompetitiveProgramming/blob/master/Olympiad/COCI/official/2010/contest6_solutions&amp;sa=D&amp;ust=1605639798868000&amp;usg=AFQjCNFrwx-x0GANhSgiqgGD6_QaH7I0ZA" TargetMode="External"/><Relationship Id="rId567" Type="http://schemas.openxmlformats.org/officeDocument/2006/relationships/hyperlink" Target="https://www.google.com/url?q=https://training.ia-toki.org/problemsets/113/problems/629/&amp;sa=D&amp;ust=1605639799115000&amp;usg=AFQjCNHcZe1DyoMqs4ux1jZiMTZbFZloZQ" TargetMode="External"/><Relationship Id="rId1197" Type="http://schemas.openxmlformats.org/officeDocument/2006/relationships/hyperlink" Target="https://www.google.com/url?q=https://oj.uz/problem/view/COCI16_vjestica&amp;sa=D&amp;ust=1605639800118000&amp;usg=AFQjCNFlgR94o03yDimziWAqVdj0KpkhkQ" TargetMode="External"/><Relationship Id="rId2150" Type="http://schemas.openxmlformats.org/officeDocument/2006/relationships/hyperlink" Target="https://www.google.com/url?q=https://github.com/win11905/submission/blob/master/NOI/12/modsum.cpp&amp;sa=D&amp;ust=1605639800868000&amp;usg=AFQjCNF0yBTCxGvkCWShlsQ_YBTbEcWB-Q" TargetMode="External"/><Relationship Id="rId2248" Type="http://schemas.openxmlformats.org/officeDocument/2006/relationships/hyperlink" Target="https://www.google.com/url?q=https://github.com/mostafa-saad/MyCompetitiveProgramming/blob/master/Olympiad/POI/POI-15-Trips.txt&amp;sa=D&amp;ust=1605639800908000&amp;usg=AFQjCNFZU80ZKiwv-JtD-lLnocjj-tJxaA" TargetMode="External"/><Relationship Id="rId122" Type="http://schemas.openxmlformats.org/officeDocument/2006/relationships/hyperlink" Target="https://www.google.com/url?q=https://www.acmicpc.net/problem/2270&amp;sa=D&amp;ust=1605639798723000&amp;usg=AFQjCNEuQlPu5E3Q4VUiXXBrO81KRsIhOQ" TargetMode="External"/><Relationship Id="rId774" Type="http://schemas.openxmlformats.org/officeDocument/2006/relationships/hyperlink" Target="https://www.google.com/url?q=https://github.com/mostafa-saad/MyCompetitiveProgramming/blob/master/Olympiad/JOI/JOIOC-13-synchronization.txt&amp;sa=D&amp;ust=1605639799718000&amp;usg=AFQjCNGYjD7C-WAFUQlkSZS7XJNHtetWaQ" TargetMode="External"/><Relationship Id="rId981" Type="http://schemas.openxmlformats.org/officeDocument/2006/relationships/hyperlink" Target="https://www.google.com/url?q=https://oj.uz/problem/view/JOI19_lamps&amp;sa=D&amp;ust=1605639799972000&amp;usg=AFQjCNG4jyNHV0m7uAvtnn1j6UE8yPnMGA" TargetMode="External"/><Relationship Id="rId1057" Type="http://schemas.openxmlformats.org/officeDocument/2006/relationships/hyperlink" Target="https://www.google.com/url?q=https://github.com/mostafa-saad/MyCompetitiveProgramming/blob/master/Olympiad/Baltic/Baltic-10-PCB.txt&amp;sa=D&amp;ust=1605639800004000&amp;usg=AFQjCNGyHXvsCGv96LAqf_HtxynTowX-Kg" TargetMode="External"/><Relationship Id="rId2010" Type="http://schemas.openxmlformats.org/officeDocument/2006/relationships/hyperlink" Target="https://www.google.com/url?q=https://github.com/tmwilliamlin168/CompetitiveProgramming/blob/master/APIO/13-Toll.cpp&amp;sa=D&amp;ust=1605639800772000&amp;usg=AFQjCNHPZMknx2z7t9OlNRwfSmpv-MuvyQ" TargetMode="External"/><Relationship Id="rId2455" Type="http://schemas.openxmlformats.org/officeDocument/2006/relationships/hyperlink" Target="https://www.google.com/url?q=https://cses.fi/113/list/&amp;sa=D&amp;ust=1605639801794000&amp;usg=AFQjCNFq-d_XFg3L0U2g9RsrdcvUuoE0Ng" TargetMode="External"/><Relationship Id="rId2662" Type="http://schemas.openxmlformats.org/officeDocument/2006/relationships/hyperlink" Target="https://www.google.com/url?q=https://contest.yandex.ru/ioi/contest/558/problems/B/&amp;sa=D&amp;ust=1605639801992000&amp;usg=AFQjCNGI1toDLRhR2-Uj98FhYaP7fO1sNw" TargetMode="External"/><Relationship Id="rId427" Type="http://schemas.openxmlformats.org/officeDocument/2006/relationships/hyperlink" Target="https://www.google.com/url?q=https://github.com/mostafa-saad/MyCompetitiveProgramming/tree/master/Olympiad/Baltic/official/boi2018_solutions&amp;sa=D&amp;ust=1605639798996000&amp;usg=AFQjCNGwReciWlO0sVTpu9k95xlJD2KxIA" TargetMode="External"/><Relationship Id="rId634" Type="http://schemas.openxmlformats.org/officeDocument/2006/relationships/hyperlink" Target="https://www.google.com/url?q=https://codeforces.com/contest/1192/problem/B&amp;sa=D&amp;ust=1605639799178000&amp;usg=AFQjCNEGBtjLC99PzYmfViQxp0LBN0wiGw" TargetMode="External"/><Relationship Id="rId841" Type="http://schemas.openxmlformats.org/officeDocument/2006/relationships/hyperlink" Target="https://www.google.com/url?q=http://oj.uz/problem/view/LMIO19_bulves&amp;sa=D&amp;ust=1605639799800000&amp;usg=AFQjCNHDX_SjiaMkLQk4UQt2jpcD-rA9aQ" TargetMode="External"/><Relationship Id="rId1264" Type="http://schemas.openxmlformats.org/officeDocument/2006/relationships/hyperlink" Target="https://www.google.com/url?q=https://github.com/mostafa-saad/MyCompetitiveProgramming/blob/master/Olympiad/IOI/IOIPractice-19-Job.txt&amp;sa=D&amp;ust=1605639800190000&amp;usg=AFQjCNEuhSvWw8VIeqSE7bHzKxpvkpk8Ew" TargetMode="External"/><Relationship Id="rId1471" Type="http://schemas.openxmlformats.org/officeDocument/2006/relationships/hyperlink" Target="https://www.google.com/url?q=https://github.com/mostafa-saad/MyCompetitiveProgramming/blob/master/Olympiad/IOI/IOI-06-points.txt&amp;sa=D&amp;ust=1605639800370000&amp;usg=AFQjCNFXS_joSI7IAp-1hYMf4ADHKMvdaw" TargetMode="External"/><Relationship Id="rId1569" Type="http://schemas.openxmlformats.org/officeDocument/2006/relationships/hyperlink" Target="https://www.google.com/url?q=http://usaco.org/index.php?page%3Dviewproblem2%26cpid%3D864&amp;sa=D&amp;ust=1605639800407000&amp;usg=AFQjCNFzF0s8FuNNbXk03EUT-iCBwy8sYg" TargetMode="External"/><Relationship Id="rId2108" Type="http://schemas.openxmlformats.org/officeDocument/2006/relationships/hyperlink" Target="https://www.google.com/url?q=https://github.com/tmwilliamlin168/CompetitiveProgramming/blob/master/JOI/18SC-Asceticism.cpp&amp;sa=D&amp;ust=1605639800811000&amp;usg=AFQjCNFQOOr34X8deI2iIfcIZMaEujt7qw" TargetMode="External"/><Relationship Id="rId2315" Type="http://schemas.openxmlformats.org/officeDocument/2006/relationships/hyperlink" Target="https://www.google.com/url?q=https://dunjudge.me/analysis/problems/153/&amp;sa=D&amp;ust=1605639801600000&amp;usg=AFQjCNEEjlz-M7JMuEll861E6hLlEbvCBQ" TargetMode="External"/><Relationship Id="rId2522" Type="http://schemas.openxmlformats.org/officeDocument/2006/relationships/hyperlink" Target="https://www.google.com/url?q=https://github.com/mostafa-saad/MyCompetitiveProgramming/blob/master/Olympiad/POI/POI-09-Island.txt&amp;sa=D&amp;ust=1605639801869000&amp;usg=AFQjCNGCBlMJLtOu0DgM7fStlmKTMBrbVw" TargetMode="External"/><Relationship Id="rId2967" Type="http://schemas.openxmlformats.org/officeDocument/2006/relationships/hyperlink" Target="https://www.google.com/url?q=https://github.com/mostafa-saad/MyCompetitiveProgramming/blob/master/Olympiad/POI/official/find_editorial_sols_guidelines.txt&amp;sa=D&amp;ust=1605639802373000&amp;usg=AFQjCNGRt34yu9GcTA_ASwhVD6PTxjJQoQ" TargetMode="External"/><Relationship Id="rId701" Type="http://schemas.openxmlformats.org/officeDocument/2006/relationships/hyperlink" Target="https://www.google.com/url?q=https://github.com/Evilandrew228/CompetitiveProgramming/blob/master/APIO%252019-street_lamps&amp;sa=D&amp;ust=1605639799674000&amp;usg=AFQjCNFd-VtsRWU6cTA6Y-7cAbkvI6kj3w" TargetMode="External"/><Relationship Id="rId939" Type="http://schemas.openxmlformats.org/officeDocument/2006/relationships/hyperlink" Target="https://www.google.com/url?q=https://oj.uz/problem/view/COI19_ljetopica&amp;sa=D&amp;ust=1605639799906000&amp;usg=AFQjCNFn4eZ6XSdpFIVrlr2vI-_Np3yHew" TargetMode="External"/><Relationship Id="rId1124" Type="http://schemas.openxmlformats.org/officeDocument/2006/relationships/hyperlink" Target="https://www.google.com/url?q=https://github.com/stefdasca/CompetitiveProgramming/blob/master/Infoarena/tablou.cpp&amp;sa=D&amp;ust=1605639800080000&amp;usg=AFQjCNGV5bXDVsRQcpzphd4CBEAZtTp5nQ" TargetMode="External"/><Relationship Id="rId1331" Type="http://schemas.openxmlformats.org/officeDocument/2006/relationships/hyperlink" Target="https://www.google.com/url?q=https://oj.uz/problem/view/BOI12_mobile&amp;sa=D&amp;ust=1605639800218000&amp;usg=AFQjCNH_n_kDeAdaYBfZWiNDcpWWloy_yQ" TargetMode="External"/><Relationship Id="rId1776" Type="http://schemas.openxmlformats.org/officeDocument/2006/relationships/hyperlink" Target="https://www.google.com/url?q=https://github.com/mostafa-saad/MyCompetitiveProgramming/blob/master/Olympiad/NOI/official&amp;sa=D&amp;ust=1605639800577000&amp;usg=AFQjCNE0jhYgJhxd3VBqquNANV72R28TFA" TargetMode="External"/><Relationship Id="rId1983" Type="http://schemas.openxmlformats.org/officeDocument/2006/relationships/hyperlink" Target="https://www.google.com/url?q=http://usaco.org/index.php?page%3Dviewproblem2%26cpid%3D230&amp;sa=D&amp;ust=1605639800718000&amp;usg=AFQjCNFq9eQGArOLKsGzdBwjtU90toPJaw" TargetMode="External"/><Relationship Id="rId2827" Type="http://schemas.openxmlformats.org/officeDocument/2006/relationships/hyperlink" Target="https://www.google.com/url?q=https://oj.uz/problem/view/COCI19_slagalica&amp;sa=D&amp;ust=1605639802182000&amp;usg=AFQjCNErT6T2OQNiBnAoAMvQp8_Cg7YOtw" TargetMode="External"/><Relationship Id="rId68" Type="http://schemas.openxmlformats.org/officeDocument/2006/relationships/hyperlink" Target="https://www.google.com/url?q=https://codeforces.com/group/R2SERIff4f/contest/213171&amp;sa=D&amp;ust=1605639798691000&amp;usg=AFQjCNGLMbRgtK2Vf8glsjm26J4eCZg2Mg" TargetMode="External"/><Relationship Id="rId1429" Type="http://schemas.openxmlformats.org/officeDocument/2006/relationships/hyperlink" Target="https://www.google.com/url?q=https://oj.uz/problem/view/COCI15_baloni&amp;sa=D&amp;ust=1605639800308000&amp;usg=AFQjCNFkql204Ul7xx6MkJQ3rcOvyr5oOA" TargetMode="External"/><Relationship Id="rId1636" Type="http://schemas.openxmlformats.org/officeDocument/2006/relationships/hyperlink" Target="https://www.google.com/url?q=https://www.hackerrank.com/contests/boi-2016/challenges&amp;sa=D&amp;ust=1605639800472000&amp;usg=AFQjCNF78Or1DkqA_bEhRHuXzJtkAglOUw" TargetMode="External"/><Relationship Id="rId1843" Type="http://schemas.openxmlformats.org/officeDocument/2006/relationships/hyperlink" Target="https://www.google.com/url?q=https://github.com/mostafa-saad/MyCompetitiveProgramming/tree/master/Olympiad/MCO/official&amp;sa=D&amp;ust=1605639800606000&amp;usg=AFQjCNEdiVgLvZ5MRZoM6zoIRIx8ti3rlQ" TargetMode="External"/><Relationship Id="rId1703" Type="http://schemas.openxmlformats.org/officeDocument/2006/relationships/hyperlink" Target="https://www.google.com/url?q=https://dunjudge.me/analysis/problems/727/&amp;sa=D&amp;ust=1605639800499000&amp;usg=AFQjCNGjPbHafaNERhXNS_DUDocTIaWZJg" TargetMode="External"/><Relationship Id="rId1910" Type="http://schemas.openxmlformats.org/officeDocument/2006/relationships/hyperlink" Target="https://www.google.com/url?q=https://dmoj.ca/problem/coci07c6p4&amp;sa=D&amp;ust=1605639800692000&amp;usg=AFQjCNG9Ifh-nfgDRWsq8sT6veaxkAHGxg" TargetMode="External"/><Relationship Id="rId284" Type="http://schemas.openxmlformats.org/officeDocument/2006/relationships/hyperlink" Target="https://www.google.com/url?q=https://github.com/mostafa-saad/MyCompetitiveProgramming/tree/master/Olympiad/COCI/official/2007/contest2_solutions&amp;sa=D&amp;ust=1605639798876000&amp;usg=AFQjCNHwYG5m-GIFCsFuUgEUJh2TA1EmWQ" TargetMode="External"/><Relationship Id="rId491" Type="http://schemas.openxmlformats.org/officeDocument/2006/relationships/hyperlink" Target="https://www.google.com/url?q=https://csacademy.com/contest/balkan-oi-2017-day-2/&amp;sa=D&amp;ust=1605639799082000&amp;usg=AFQjCNFQVi820MZ2e3R2R-o-gbBng3R8lw" TargetMode="External"/><Relationship Id="rId2172" Type="http://schemas.openxmlformats.org/officeDocument/2006/relationships/hyperlink" Target="https://www.google.com/url?q=https://github.com/stefdasca/CompetitiveProgramming/blob/master/Infoarena/abx.cpp&amp;sa=D&amp;ust=1605639800876000&amp;usg=AFQjCNEN4Z3mW4NlKLcso8_whQPNzklaSQ" TargetMode="External"/><Relationship Id="rId144" Type="http://schemas.openxmlformats.org/officeDocument/2006/relationships/hyperlink" Target="https://www.google.com/url?q=https://dunjudge.me/analysis/problems/1226/&amp;sa=D&amp;ust=1605639798765000&amp;usg=AFQjCNELDIPRYi4wJMn-AYvkRCYJrBj8uQ" TargetMode="External"/><Relationship Id="rId589" Type="http://schemas.openxmlformats.org/officeDocument/2006/relationships/hyperlink" Target="https://www.google.com/url?q=https://github.com/mostafa-saad/MyCompetitiveProgramming/blob/master/Olympiad/POI/POI-14-Couriers.txt&amp;sa=D&amp;ust=1605639799122000&amp;usg=AFQjCNHZ18H61BBXjNb0acY68qk4K8FN6A" TargetMode="External"/><Relationship Id="rId796" Type="http://schemas.openxmlformats.org/officeDocument/2006/relationships/hyperlink" Target="https://www.google.com/url?q=http://usaco.org/index.php?page%3Dviewproblem2%26cpid%3D722&amp;sa=D&amp;ust=1605639799780000&amp;usg=AFQjCNGvzcTX5k1AL53DfrUFpC7r9b5URQ" TargetMode="External"/><Relationship Id="rId2477" Type="http://schemas.openxmlformats.org/officeDocument/2006/relationships/hyperlink" Target="https://www.google.com/url?q=https://github.com/mostafa-saad/MyCompetitiveProgramming/blob/master/Olympiad/Baltic/Baltic-14-coprobber.txt&amp;sa=D&amp;ust=1605639801800000&amp;usg=AFQjCNHh9Q3A_27JFiwGGEIqW-Ho3R9dSg" TargetMode="External"/><Relationship Id="rId2684" Type="http://schemas.openxmlformats.org/officeDocument/2006/relationships/hyperlink" Target="https://www.google.com/url?q=https://www.acmicpc.net/problem/7082&amp;sa=D&amp;ust=1605639802004000&amp;usg=AFQjCNF-ID4t_865WIZSdNhWd6mN4vMwEQ" TargetMode="External"/><Relationship Id="rId351" Type="http://schemas.openxmlformats.org/officeDocument/2006/relationships/hyperlink" Target="https://www.google.com/url?q=https://github.com/mostafa-saad/MyCompetitiveProgramming/blob/master/Olympiad/COCI/official/2017/contest4_solutions&amp;sa=D&amp;ust=1605639798905000&amp;usg=AFQjCNE1m6OpsXeAhLEQ7VrVAkDBA2sCGQ" TargetMode="External"/><Relationship Id="rId449" Type="http://schemas.openxmlformats.org/officeDocument/2006/relationships/hyperlink" Target="https://www.google.com/url?q=https://github.com/mostafa-saad/MyCompetitiveProgramming/blob/master/Olympiad/infoarena/infoarena-ssdj.txt&amp;sa=D&amp;ust=1605639799006000&amp;usg=AFQjCNFgeoVd2NEBDXjE8D3S3yjkb7ZT0w" TargetMode="External"/><Relationship Id="rId656" Type="http://schemas.openxmlformats.org/officeDocument/2006/relationships/hyperlink" Target="https://www.google.com/url?q=https://oj.uz/problem/view/IOI13_wombats&amp;sa=D&amp;ust=1605639799646000&amp;usg=AFQjCNGmzoOUQupZpZ6XUSR76Lz7tjE8Qw" TargetMode="External"/><Relationship Id="rId863" Type="http://schemas.openxmlformats.org/officeDocument/2006/relationships/hyperlink" Target="https://www.google.com/url?q=https://github.com/mostafa-saad/MyCompetitiveProgramming/blob/master/Olympiad/JOI/JOISC-17-abduction2.txt&amp;sa=D&amp;ust=1605639799873000&amp;usg=AFQjCNEHu72N7rJKmsAlxLfKjC4HdprQeQ" TargetMode="External"/><Relationship Id="rId1079" Type="http://schemas.openxmlformats.org/officeDocument/2006/relationships/hyperlink" Target="https://www.google.com/url?q=https://oj.uz/problem/view/JOI20_ho_t3&amp;sa=D&amp;ust=1605639800014000&amp;usg=AFQjCNEPxyx1c2R7ZJps2hGGU6M9qUofjQ" TargetMode="External"/><Relationship Id="rId1286" Type="http://schemas.openxmlformats.org/officeDocument/2006/relationships/hyperlink" Target="https://www.google.com/url?q=https://dmoj.ca/problem/coci15c4p6&amp;sa=D&amp;ust=1605639800197000&amp;usg=AFQjCNGQNXco4_AlmfQIUgU5tfRgK3RR8w" TargetMode="External"/><Relationship Id="rId1493" Type="http://schemas.openxmlformats.org/officeDocument/2006/relationships/hyperlink" Target="https://www.google.com/url?q=https://github.com/mostafa-saad/MyCompetitiveProgramming/blob/master/Olympiad/POI/official/find_editorial_sols_guidelines.txt&amp;sa=D&amp;ust=1605639800378000&amp;usg=AFQjCNFaJzvNaJdRSen3wQOBBNBdz__-eA" TargetMode="External"/><Relationship Id="rId2032" Type="http://schemas.openxmlformats.org/officeDocument/2006/relationships/hyperlink" Target="https://www.google.com/url?q=http://usaco.org/index.php?page%3Dviewproblem2%26cpid%3D101&amp;sa=D&amp;ust=1605639800781000&amp;usg=AFQjCNFLbfheRMymi0bevhYYbRliWEH5LA" TargetMode="External"/><Relationship Id="rId2337" Type="http://schemas.openxmlformats.org/officeDocument/2006/relationships/hyperlink" Target="https://www.google.com/url?q=https://github.com/mostafa-saad/MyCompetitiveProgramming/blob/master/Olympiad/Baltic/Baltic-06-RLE.txt&amp;sa=D&amp;ust=1605639801611000&amp;usg=AFQjCNGPIcHQ3LCUJWZMacgT4EymEc4pyA" TargetMode="External"/><Relationship Id="rId2544" Type="http://schemas.openxmlformats.org/officeDocument/2006/relationships/hyperlink" Target="https://www.google.com/url?q=https://github.com/Szawinis/CompetitiveProgramming/blob/master/Olympiad/POI/POI11-Rotation2.cpp&amp;sa=D&amp;ust=1605639801876000&amp;usg=AFQjCNFCWWCPV6J1yWMB87dnyePs-HHKFQ" TargetMode="External"/><Relationship Id="rId2891" Type="http://schemas.openxmlformats.org/officeDocument/2006/relationships/hyperlink" Target="https://www.google.com/url?q=https://oj.uz/problems/source/270&amp;sa=D&amp;ust=1605639802272000&amp;usg=AFQjCNGBySDGiuYGc2ULDblKS87PEVyViQ" TargetMode="External"/><Relationship Id="rId2989" Type="http://schemas.openxmlformats.org/officeDocument/2006/relationships/hyperlink" Target="https://www.google.com/url?q=https://szkopul.edu.pl/problemset/problem/cSnlafnvkbirhnQrS9CQ9MEw/site/&amp;sa=D&amp;ust=1605639802384000&amp;usg=AFQjCNHxjER8ORmVORTsvblX8ysN4IubfQ" TargetMode="External"/><Relationship Id="rId211" Type="http://schemas.openxmlformats.org/officeDocument/2006/relationships/hyperlink" Target="https://www.google.com/url?q=https://ipsc.ksp.sk/2018/real/problems/j.html&amp;sa=D&amp;ust=1605639798793000&amp;usg=AFQjCNEE3KdGQzUiCc_JOtoV0g3VGEq87w" TargetMode="External"/><Relationship Id="rId309" Type="http://schemas.openxmlformats.org/officeDocument/2006/relationships/hyperlink" Target="https://www.google.com/url?q=https://codeforces.com/group/R2SERIff4f/contest/213171&amp;sa=D&amp;ust=1605639798886000&amp;usg=AFQjCNEOODHtvth9NOYlIcoS9U_bvC-r8g" TargetMode="External"/><Relationship Id="rId516" Type="http://schemas.openxmlformats.org/officeDocument/2006/relationships/hyperlink" Target="https://www.google.com/url?q=https://dunjudge.me/analysis/problems/272/&amp;sa=D&amp;ust=1605639799093000&amp;usg=AFQjCNFuVHxWP9XH1jBGB8Hoxb6T6ViSOw" TargetMode="External"/><Relationship Id="rId1146" Type="http://schemas.openxmlformats.org/officeDocument/2006/relationships/hyperlink" Target="https://www.google.com/url?q=https://www.infoarena.ro/problema/cerc3&amp;sa=D&amp;ust=1605639800091000&amp;usg=AFQjCNGqq3ZCDpfkdrMR0G7FeBvLLdCkfQ" TargetMode="External"/><Relationship Id="rId1798" Type="http://schemas.openxmlformats.org/officeDocument/2006/relationships/hyperlink" Target="https://www.google.com/url?q=https://dunjudge.me/analysis/problems/762/&amp;sa=D&amp;ust=1605639800591000&amp;usg=AFQjCNFWyi4E1JHEQZR_MQPhzBwUXF0ZUw" TargetMode="External"/><Relationship Id="rId2751" Type="http://schemas.openxmlformats.org/officeDocument/2006/relationships/hyperlink" Target="https://www.google.com/url?q=https://dmoj.ca/problem/coci08c1p4&amp;sa=D&amp;ust=1605639802093000&amp;usg=AFQjCNFYTI86iKS6fvcWoPxY2YazuH-6nA" TargetMode="External"/><Relationship Id="rId2849" Type="http://schemas.openxmlformats.org/officeDocument/2006/relationships/hyperlink" Target="https://www.google.com/url?q=https://oj.uz/problem/view/info1cup17_permutation&amp;sa=D&amp;ust=1605639802195000&amp;usg=AFQjCNG8qiqRq_XJ2poRAU4BwsY1pp-M2Q" TargetMode="External"/><Relationship Id="rId723" Type="http://schemas.openxmlformats.org/officeDocument/2006/relationships/hyperlink" Target="https://www.google.com/url?q=https://oj.uz/problem/view/JOI18_bubblesort2&amp;sa=D&amp;ust=1605639799695000&amp;usg=AFQjCNFXU_lwLtLeqO2SCb9GQFIeuqaenA" TargetMode="External"/><Relationship Id="rId930" Type="http://schemas.openxmlformats.org/officeDocument/2006/relationships/hyperlink" Target="https://www.google.com/url?q=https://github.com/thecodingwizard/competitive-programming/blob/master/USACO/2018jan/plat/lifeguards%2520(legit%2520solution).cpp&amp;sa=D&amp;ust=1605639799903000&amp;usg=AFQjCNE1qZsUwci50BuAvC8Is1Pnsx_xtA" TargetMode="External"/><Relationship Id="rId1006" Type="http://schemas.openxmlformats.org/officeDocument/2006/relationships/hyperlink" Target="https://www.google.com/url?q=http://usaco.org/index.php?page%3Dviewproblem2%26cpid%3D648&amp;sa=D&amp;ust=1605639799985000&amp;usg=AFQjCNGEBKRvhqY1sO18VPB0zv6n8KCjdA" TargetMode="External"/><Relationship Id="rId1353" Type="http://schemas.openxmlformats.org/officeDocument/2006/relationships/hyperlink" Target="https://www.google.com/url?q=https://github.com/mostafa-saad/MyCompetitiveProgramming/blob/master/Olympiad/CEOI/CEOI-04-Trips.txt&amp;sa=D&amp;ust=1605639800268000&amp;usg=AFQjCNFKgIZQdbr1XfoaHppweJuOGhnWfw" TargetMode="External"/><Relationship Id="rId1560" Type="http://schemas.openxmlformats.org/officeDocument/2006/relationships/hyperlink" Target="https://www.google.com/url?q=https://github.com/mostafa-saad/MyCompetitiveProgramming/blob/master/Olympiad/COI/COI-16-relay.txt&amp;sa=D&amp;ust=1605639800403000&amp;usg=AFQjCNGVb2FjGE1AlMCpmu6jx9YjgEHD3Q" TargetMode="External"/><Relationship Id="rId1658" Type="http://schemas.openxmlformats.org/officeDocument/2006/relationships/hyperlink" Target="https://www.google.com/url?q=https://github.com/thecodingwizard/competitive-programming/blob/master/DMOJ/CCO%252017-Connection.cpp&amp;sa=D&amp;ust=1605639800482000&amp;usg=AFQjCNGE1vENgmy5QyA2XGVQIemMMH8LGQ" TargetMode="External"/><Relationship Id="rId1865" Type="http://schemas.openxmlformats.org/officeDocument/2006/relationships/hyperlink" Target="https://www.google.com/url?q=https://dunjudge.me/analysis/problems/706/&amp;sa=D&amp;ust=1605639800674000&amp;usg=AFQjCNGxH3ZlU81dkerYzoA4k7z-6kuPkg" TargetMode="External"/><Relationship Id="rId2404" Type="http://schemas.openxmlformats.org/officeDocument/2006/relationships/hyperlink" Target="https://www.google.com/url?q=https://oj.uz/problem/view/COCI19_elder&amp;sa=D&amp;ust=1605639801708000&amp;usg=AFQjCNF33Hu695CTWIeBemVsaBaUO-_--Q" TargetMode="External"/><Relationship Id="rId2611" Type="http://schemas.openxmlformats.org/officeDocument/2006/relationships/hyperlink" Target="https://www.google.com/url?q=https://github.com/mostafa-saad/MyCompetitiveProgramming/blob/master/Olympiad/IOI/IOI-12-city.txt&amp;sa=D&amp;ust=1605639801973000&amp;usg=AFQjCNF5l0XVKJZ1v9itJlPFMVsD8NKp7Q" TargetMode="External"/><Relationship Id="rId2709" Type="http://schemas.openxmlformats.org/officeDocument/2006/relationships/hyperlink" Target="https://www.google.com/url?q=https://wcipeg.com/problem/coci067p1&amp;sa=D&amp;ust=1605639802075000&amp;usg=AFQjCNF1SKgmRJtvIPndI46PKZkKaKfw-Q" TargetMode="External"/><Relationship Id="rId1213" Type="http://schemas.openxmlformats.org/officeDocument/2006/relationships/hyperlink" Target="https://www.google.com/url?q=https://csacademy.com/contest/junior-challenge-2017-day-2/task/combinatorix&amp;sa=D&amp;ust=1605639800170000&amp;usg=AFQjCNFfWPWOeIfVBLkP-2HrQcf2Hia0mQ" TargetMode="External"/><Relationship Id="rId1420" Type="http://schemas.openxmlformats.org/officeDocument/2006/relationships/hyperlink" Target="https://www.google.com/url?q=https://www.infoarena.ro/problema/kcover&amp;sa=D&amp;ust=1605639800303000&amp;usg=AFQjCNG4NkWT8rIestGMrkL_8tWCjirYDw" TargetMode="External"/><Relationship Id="rId1518" Type="http://schemas.openxmlformats.org/officeDocument/2006/relationships/hyperlink" Target="https://www.google.com/url?q=https://dmoj.ca/problem/coci07c6p5&amp;sa=D&amp;ust=1605639800388000&amp;usg=AFQjCNHT3xWq51qy60dW_4nqze2urhcc1g" TargetMode="External"/><Relationship Id="rId2916" Type="http://schemas.openxmlformats.org/officeDocument/2006/relationships/hyperlink" Target="https://www.google.com/url?q=https://joisc2016.contest.atcoder.jp/tasks/joisc2016_g&amp;sa=D&amp;ust=1605639802288000&amp;usg=AFQjCNFGBBdTWqgySodIWHOOtxYaEHGtjQ" TargetMode="External"/><Relationship Id="rId1725" Type="http://schemas.openxmlformats.org/officeDocument/2006/relationships/hyperlink" Target="https://www.google.com/url?q=https://github.com/mostafa-saad/MyCompetitiveProgramming/blob/master/Olympiad/Baltic/Baltic-16-bosses.txt&amp;sa=D&amp;ust=1605639800506000&amp;usg=AFQjCNFfR_v_SGESSEB4nIcEEuXwCCasqA" TargetMode="External"/><Relationship Id="rId1932" Type="http://schemas.openxmlformats.org/officeDocument/2006/relationships/hyperlink" Target="https://www.google.com/url?q=https://github.com/tmwilliamlin168/CompetitiveProgramming/blob/master/IOI/12-Rings.cpp&amp;sa=D&amp;ust=1605639800701000&amp;usg=AFQjCNHkDNd4jEPoVeWyALT9QuqRTUnSbg" TargetMode="External"/><Relationship Id="rId17" Type="http://schemas.openxmlformats.org/officeDocument/2006/relationships/hyperlink" Target="https://www.google.com/url?q=https://oj.uz/problem/view/IOI19_line&amp;sa=D&amp;ust=1605639798670000&amp;usg=AFQjCNFE4Xl8e9bmZHHsh2jOvM1jawx_kw" TargetMode="External"/><Relationship Id="rId2194" Type="http://schemas.openxmlformats.org/officeDocument/2006/relationships/hyperlink" Target="https://www.google.com/url?q=https://dunjudge.me/analysis/problems/1495/&amp;sa=D&amp;ust=1605639800885000&amp;usg=AFQjCNFSj2KVxaXcxA4twrJ_jPljc36P8g" TargetMode="External"/><Relationship Id="rId166" Type="http://schemas.openxmlformats.org/officeDocument/2006/relationships/hyperlink" Target="https://www.google.com/url?q=https://oj.uz/problems/source/56&amp;sa=D&amp;ust=1605639798777000&amp;usg=AFQjCNEQPwgNR3lg2u8NnKYhx1IzwqduYw" TargetMode="External"/><Relationship Id="rId373" Type="http://schemas.openxmlformats.org/officeDocument/2006/relationships/hyperlink" Target="https://www.google.com/url?q=https://oj.uz/problem/view/COCI15_akcija&amp;sa=D&amp;ust=1605639798914000&amp;usg=AFQjCNE6uzxzm8dCSVGXf8hmENzPUa7gBQ" TargetMode="External"/><Relationship Id="rId580" Type="http://schemas.openxmlformats.org/officeDocument/2006/relationships/hyperlink" Target="https://www.google.com/url?q=https://oj.uz/problem/view/JOI17_joioi&amp;sa=D&amp;ust=1605639799119000&amp;usg=AFQjCNEkeXQN5P6A7Ohzpdup6mV1pMkMqA" TargetMode="External"/><Relationship Id="rId2054" Type="http://schemas.openxmlformats.org/officeDocument/2006/relationships/hyperlink" Target="https://www.google.com/url?q=https://szkopul.edu.pl/problemset/problem/pWnFB3uRHH0y29PwkMBS2T0Z/site/&amp;sa=D&amp;ust=1605639800791000&amp;usg=AFQjCNGI_eApSroIQCQKKGVfBNLjzhBtng" TargetMode="External"/><Relationship Id="rId2261" Type="http://schemas.openxmlformats.org/officeDocument/2006/relationships/hyperlink" Target="https://www.google.com/url?q=https://szkopul.edu.pl/problemset/problem/hOwg83Xw_OnTpfQ9SroS0OJA/site/&amp;sa=D&amp;ust=1605639800912000&amp;usg=AFQjCNF9XAUW3YqJc1Kkr_oYBxsmb-55bA" TargetMode="External"/><Relationship Id="rId2499" Type="http://schemas.openxmlformats.org/officeDocument/2006/relationships/hyperlink" Target="https://www.google.com/url?q=https://github.com/SpeedOfMagic/CompetitiveProgramming/blob/master/RusOI-reg/13-capitals.cpp&amp;sa=D&amp;ust=1605639801809000&amp;usg=AFQjCNGQXwwcr6VSJsTIaC27J57FaNcG4g" TargetMode="External"/><Relationship Id="rId1" Type="http://schemas.openxmlformats.org/officeDocument/2006/relationships/hyperlink" Target="https://www.google.com/url?q=https://contest.yandex.ru/ioi/contest/572/enter/&amp;sa=D&amp;ust=1605639798664000&amp;usg=AFQjCNFQWnwgAj3fwGix7cYe9Cqcghl12Q" TargetMode="External"/><Relationship Id="rId233" Type="http://schemas.openxmlformats.org/officeDocument/2006/relationships/hyperlink" Target="https://www.google.com/url?q=https://oj.uz/problem/view/COCI16_pohlepko&amp;sa=D&amp;ust=1605639798802000&amp;usg=AFQjCNGQY3tzFDuEEyRpGvlSk38ODh_ULw" TargetMode="External"/><Relationship Id="rId440" Type="http://schemas.openxmlformats.org/officeDocument/2006/relationships/hyperlink" Target="https://www.google.com/url?q=https://oj.uz/problem/view/BOI15_edi&amp;sa=D&amp;ust=1605639799002000&amp;usg=AFQjCNGz6lN-5o78Id5Z3UwkbWiAS4Jctw" TargetMode="External"/><Relationship Id="rId678" Type="http://schemas.openxmlformats.org/officeDocument/2006/relationships/hyperlink" Target="https://www.google.com/url?q=https://oj.uz/problem/view/JOI17_port_facility&amp;sa=D&amp;ust=1605639799663000&amp;usg=AFQjCNFsDCDfxlRgYZR9h8CnkRdWJeHfvw" TargetMode="External"/><Relationship Id="rId885" Type="http://schemas.openxmlformats.org/officeDocument/2006/relationships/hyperlink" Target="https://www.google.com/url?q=https://github.com/mostafa-saad/MyCompetitiveProgramming/blob/master/Olympiad/Baltic/Baltic-16-swap.txt&amp;sa=D&amp;ust=1605639799883000&amp;usg=AFQjCNFYcDnq4DHVPTQ2TkdlQkDOc7ImHQ" TargetMode="External"/><Relationship Id="rId1070" Type="http://schemas.openxmlformats.org/officeDocument/2006/relationships/hyperlink" Target="https://www.google.com/url?q=https://github.com/updown2/OI-Practice/blob/master/JOI/2018/Art.cpp&amp;sa=D&amp;ust=1605639800011000&amp;usg=AFQjCNEFx7XvZzjJ5Eynzb9j1ILwQ1sDKw" TargetMode="External"/><Relationship Id="rId2121" Type="http://schemas.openxmlformats.org/officeDocument/2006/relationships/hyperlink" Target="https://www.google.com/url?q=https://szkopul.edu.pl/problemset/problem/vQpjG0o3j0x3BQDNXpuciN3n/site/&amp;sa=D&amp;ust=1605639800817000&amp;usg=AFQjCNF4HnWsWhBeqAR1OnXFaOaJmnY-kg" TargetMode="External"/><Relationship Id="rId2359" Type="http://schemas.openxmlformats.org/officeDocument/2006/relationships/hyperlink" Target="https://www.google.com/url?q=https://oj.uz/problem/view/NOI14_orchard&amp;sa=D&amp;ust=1605639801674000&amp;usg=AFQjCNFbXgmPHCzGh8f_1cXyQJrYAGVt4Q" TargetMode="External"/><Relationship Id="rId2566" Type="http://schemas.openxmlformats.org/officeDocument/2006/relationships/hyperlink" Target="https://www.google.com/url?q=https://oj.uz/problem/view/IOI11_elephants&amp;sa=D&amp;ust=1605639801885000&amp;usg=AFQjCNHDPtRY5GKAW7mtgFy0r8p8Q1EBuQ" TargetMode="External"/><Relationship Id="rId2773" Type="http://schemas.openxmlformats.org/officeDocument/2006/relationships/hyperlink" Target="https://www.google.com/url?q=https://wcipeg.com/problem/coci097p3&amp;sa=D&amp;ust=1605639802103000&amp;usg=AFQjCNFh9ZNpzwg1w6YLEFNjbUBN9YsGDQ" TargetMode="External"/><Relationship Id="rId2980" Type="http://schemas.openxmlformats.org/officeDocument/2006/relationships/hyperlink" Target="https://www.google.com/url?q=https://szkopul.edu.pl/problemset/problem/d30xri2XGeuQ45CDrB7DWijK/site/&amp;sa=D&amp;ust=1605639802381000&amp;usg=AFQjCNEfXvYSfpz5B09tMupuRRONt4emxw" TargetMode="External"/><Relationship Id="rId300" Type="http://schemas.openxmlformats.org/officeDocument/2006/relationships/hyperlink" Target="https://www.google.com/url?q=https://github.com/mostafa-saad/MyCompetitiveProgramming/tree/master/Olympiad/COCI/official/2008/contest4_solutions&amp;sa=D&amp;ust=1605639798882000&amp;usg=AFQjCNELovrt0TNMC_E4RgXKT653OMDjWw" TargetMode="External"/><Relationship Id="rId538" Type="http://schemas.openxmlformats.org/officeDocument/2006/relationships/hyperlink" Target="https://www.google.com/url?q=https://oj.uz/problem/view/IOI15_scales&amp;sa=D&amp;ust=1605639799103000&amp;usg=AFQjCNHoRSjCV46WmMPZ6CAneIm9dWWNiA" TargetMode="External"/><Relationship Id="rId745" Type="http://schemas.openxmlformats.org/officeDocument/2006/relationships/hyperlink" Target="https://www.google.com/url?q=https://github.com/mostafa-saad/MyCompetitiveProgramming/blob/master/Olympiad/NOI/NOI-17-very_best_pokemon.txt&amp;sa=D&amp;ust=1605639799706000&amp;usg=AFQjCNE6PEdW3xBD_FqQa9b-eQKRqh5P_w" TargetMode="External"/><Relationship Id="rId952" Type="http://schemas.openxmlformats.org/officeDocument/2006/relationships/hyperlink" Target="https://www.google.com/url?q=https://github.com/mostafa-saad/MyCompetitiveProgramming/blob/master/Olympiad/IOI/IOI-02-Batch.txt&amp;sa=D&amp;ust=1605639799911000&amp;usg=AFQjCNED3RGFhjSrdZKLNRgPgRUkkH_4ww" TargetMode="External"/><Relationship Id="rId1168" Type="http://schemas.openxmlformats.org/officeDocument/2006/relationships/hyperlink" Target="https://www.google.com/url?q=https://szkopul.edu.pl/problemset/problem/XNaC6RSk8o9MIJkuaL6O4t0u/site/&amp;sa=D&amp;ust=1605639800107000&amp;usg=AFQjCNGoQWZr5xjVMREuOUH-JB_5i8Hqmw" TargetMode="External"/><Relationship Id="rId1375" Type="http://schemas.openxmlformats.org/officeDocument/2006/relationships/hyperlink" Target="https://www.google.com/url?q=https://github.com/mostafa-saad/MyCompetitiveProgramming/blob/master/Olympiad/Baltic/Baltic-15-net.txt&amp;sa=D&amp;ust=1605639800285000&amp;usg=AFQjCNFt6mJwR5ttv-Umf8ZVQjfGt9XO6g" TargetMode="External"/><Relationship Id="rId1582" Type="http://schemas.openxmlformats.org/officeDocument/2006/relationships/hyperlink" Target="https://www.google.com/url?q=https://dmoj.ca/problem/apio10p3&amp;sa=D&amp;ust=1605639800413000&amp;usg=AFQjCNFmqldC8e4wgv6dAhzcD4ljCLbrkg" TargetMode="External"/><Relationship Id="rId2219" Type="http://schemas.openxmlformats.org/officeDocument/2006/relationships/hyperlink" Target="https://www.google.com/url?q=http://usaco.org/index.php?page%3Dviewproblem2%26cpid%3D794&amp;sa=D&amp;ust=1605639800896000&amp;usg=AFQjCNEu60WejHd1ZFf6WkukKC7n_irIIg" TargetMode="External"/><Relationship Id="rId2426" Type="http://schemas.openxmlformats.org/officeDocument/2006/relationships/hyperlink" Target="https://www.google.com/url?q=https://github.com/mostafa-saad/MyCompetitiveProgramming/blob/master/Olympiad/Baltic/Baltic-10-Bins.txt&amp;sa=D&amp;ust=1605639801781000&amp;usg=AFQjCNFlNUgnUUCcSTsQ5QhLZOQNPsRdFg" TargetMode="External"/><Relationship Id="rId2633" Type="http://schemas.openxmlformats.org/officeDocument/2006/relationships/hyperlink" Target="https://www.google.com/url?q=https://github.com/mostafa-saad/MyCompetitiveProgramming/blob/master/Olympiad/IZhO/IZhO-12-biochips.txt&amp;sa=D&amp;ust=1605639801980000&amp;usg=AFQjCNFoD8cYlgTazDzEaP8OnU3HPFmhqw" TargetMode="External"/><Relationship Id="rId81" Type="http://schemas.openxmlformats.org/officeDocument/2006/relationships/hyperlink" Target="https://www.google.com/url?q=https://codeforces.com/blog/entry/51740?%23comment-356940&amp;sa=D&amp;ust=1605639798706000&amp;usg=AFQjCNHnvfuq7CNmTDi3MKTzW6kDZoMDLA" TargetMode="External"/><Relationship Id="rId605" Type="http://schemas.openxmlformats.org/officeDocument/2006/relationships/hyperlink" Target="https://www.google.com/url?q=https://github.com/mostafa-saad/MyCompetitiveProgramming/blob/master/Olympiad/IOI/official/2007&amp;sa=D&amp;ust=1605639799129000&amp;usg=AFQjCNH3Q2YkjXPhmY1UZSugFtZ-0kSHCA" TargetMode="External"/><Relationship Id="rId812" Type="http://schemas.openxmlformats.org/officeDocument/2006/relationships/hyperlink" Target="https://www.google.com/url?q=https://github.com/mostafa-saad/MyCompetitiveProgramming/blob/master/Olympiad/IOI/official/2001&amp;sa=D&amp;ust=1605639799789000&amp;usg=AFQjCNFyd9nxSB4EVWRdKMrx6-S_Q4DwHA" TargetMode="External"/><Relationship Id="rId1028" Type="http://schemas.openxmlformats.org/officeDocument/2006/relationships/hyperlink" Target="https://www.google.com/url?q=https://oj.uz/problem/view/COI15_kovanice&amp;sa=D&amp;ust=1605639799991000&amp;usg=AFQjCNEGfLWkTZ9ZCp4R0ha3rce24qoJtg" TargetMode="External"/><Relationship Id="rId1235" Type="http://schemas.openxmlformats.org/officeDocument/2006/relationships/hyperlink" Target="https://www.google.com/url?q=https://cses.fi/113/list/&amp;sa=D&amp;ust=1605639800179000&amp;usg=AFQjCNG3FW33i2zAiUuSti1yaS9iqT-R9Q" TargetMode="External"/><Relationship Id="rId1442" Type="http://schemas.openxmlformats.org/officeDocument/2006/relationships/hyperlink" Target="https://www.google.com/url?q=https://github.com/mostafa-saad/MyCompetitiveProgramming/blob/master/Olympiad/NOI/official&amp;sa=D&amp;ust=1605639800313000&amp;usg=AFQjCNExT5vCpNXiqx1ggeyzS41doUsKWg" TargetMode="External"/><Relationship Id="rId1887" Type="http://schemas.openxmlformats.org/officeDocument/2006/relationships/hyperlink" Target="https://www.google.com/url?q=https://github.com/mostafa-saad/MyCompetitiveProgramming/blob/master/Olympiad/POI/POI-07-Tourist.txt&amp;sa=D&amp;ust=1605639800682000&amp;usg=AFQjCNElwEKMrEJWJvlI9i7kwZy4Yh2hcg" TargetMode="External"/><Relationship Id="rId2840" Type="http://schemas.openxmlformats.org/officeDocument/2006/relationships/hyperlink" Target="https://www.google.com/url?q=https://dmoj.ca/problem/bf3&amp;sa=D&amp;ust=1605639802188000&amp;usg=AFQjCNHOe_0pXbUU8U6BZrq2WM2aNQRzGw" TargetMode="External"/><Relationship Id="rId2938" Type="http://schemas.openxmlformats.org/officeDocument/2006/relationships/hyperlink" Target="https://www.google.com/url?q=https://dunjudge.me/analysis/problems/957/&amp;sa=D&amp;ust=1605639802301000&amp;usg=AFQjCNHj0Q9W7R4cmQWnZ9R8v0PKJTbQkg" TargetMode="External"/><Relationship Id="rId1302" Type="http://schemas.openxmlformats.org/officeDocument/2006/relationships/hyperlink" Target="https://www.google.com/url?q=https://github.com/mostafa-saad/MyCompetitiveProgramming/blob/master/Olympiad/JOI/JOISC-19-Naan.txt&amp;sa=D&amp;ust=1605639800204000&amp;usg=AFQjCNFhviFruIUs-Pbc_XbfFkoWqmXhaQ" TargetMode="External"/><Relationship Id="rId1747" Type="http://schemas.openxmlformats.org/officeDocument/2006/relationships/hyperlink" Target="https://www.google.com/url?q=https://dunjudge.me/analysis/problems/45/&amp;sa=D&amp;ust=1605639800566000&amp;usg=AFQjCNE5WxpZIw_uzKXYdJaxfZskPmg24Q" TargetMode="External"/><Relationship Id="rId1954" Type="http://schemas.openxmlformats.org/officeDocument/2006/relationships/hyperlink" Target="https://www.google.com/url?q=https://www.hackerrank.com/contests/ioi-2014-practice-contest-2/challenges/world-peace-ioi14&amp;sa=D&amp;ust=1605639800708000&amp;usg=AFQjCNHlCgnV-i5jC1knLmG3r-fH0cSXCw" TargetMode="External"/><Relationship Id="rId2700" Type="http://schemas.openxmlformats.org/officeDocument/2006/relationships/hyperlink" Target="https://www.google.com/url?q=https://cses.fi/188/list/&amp;sa=D&amp;ust=1605639802066000&amp;usg=AFQjCNGEr5pDPAJQpISusOKFX5ckBkGFLg" TargetMode="External"/><Relationship Id="rId39" Type="http://schemas.openxmlformats.org/officeDocument/2006/relationships/hyperlink" Target="https://www.google.com/url?q=https://www.oi.edu.pl/old/ioi/downloads/ioi2005-tasks-and-solutions-a5.pdf&amp;sa=D&amp;ust=1605639798678000&amp;usg=AFQjCNELYkxeITOAsPo4WR9HmbbR2OmScQ" TargetMode="External"/><Relationship Id="rId1607" Type="http://schemas.openxmlformats.org/officeDocument/2006/relationships/hyperlink" Target="https://www.google.com/url?q=https://csacademy.com/contest/ioi-2016-training-round-2/task/cograph_clique/&amp;sa=D&amp;ust=1605639800421000&amp;usg=AFQjCNHSPwxRFb3HgP1Qx1EJe_DVeu3-aA" TargetMode="External"/><Relationship Id="rId1814" Type="http://schemas.openxmlformats.org/officeDocument/2006/relationships/hyperlink" Target="https://www.google.com/url?q=https://oj.uz/problem/view/IOI11_garden&amp;sa=D&amp;ust=1605639800595000&amp;usg=AFQjCNEYaRJE4k4cLn1KBCyE24FrWpW23A" TargetMode="External"/><Relationship Id="rId188" Type="http://schemas.openxmlformats.org/officeDocument/2006/relationships/hyperlink" Target="https://www.google.com/url?q=https://github.com/ZeyadKhattab/Competitive-Programming/blob/master/Problems/COCI%252019-kocka.java&amp;sa=D&amp;ust=1605639798785000&amp;usg=AFQjCNFDej8NgXKSnOD4sJGjhGYPrLBdTg" TargetMode="External"/><Relationship Id="rId395" Type="http://schemas.openxmlformats.org/officeDocument/2006/relationships/hyperlink" Target="https://www.google.com/url?q=https://github.com/mostafa-saad/MyCompetitiveProgramming/blob/master/Olympiad/IOI/IOI-01-depot.txt&amp;sa=D&amp;ust=1605639798982000&amp;usg=AFQjCNEiBUg2nxPfL_iK3DGCHmhfVJo2uw" TargetMode="External"/><Relationship Id="rId2076" Type="http://schemas.openxmlformats.org/officeDocument/2006/relationships/hyperlink" Target="https://www.google.com/url?q=https://github.com/mostafa-saad/MyCompetitiveProgramming/blob/master/Olympiad/POI/POI-16-Journey.txt&amp;sa=D&amp;ust=1605639800799000&amp;usg=AFQjCNF7Nv7AYE62j84a9vIhYxYt8IZxYQ" TargetMode="External"/><Relationship Id="rId2283" Type="http://schemas.openxmlformats.org/officeDocument/2006/relationships/hyperlink" Target="https://www.google.com/url?q=https://contest.yandex.com/roiarchive/contest/2012/problems/D&amp;sa=D&amp;ust=1605639801572000&amp;usg=AFQjCNF-MPvzS72woHq9yperxtatA3cJEQ" TargetMode="External"/><Relationship Id="rId2490" Type="http://schemas.openxmlformats.org/officeDocument/2006/relationships/hyperlink" Target="https://www.google.com/url?q=https://oj.uz/problems/source/313&amp;sa=D&amp;ust=1605639801806000&amp;usg=AFQjCNE7bBHwlzxcokAo9sh1koAMmAgWUQ" TargetMode="External"/><Relationship Id="rId2588" Type="http://schemas.openxmlformats.org/officeDocument/2006/relationships/hyperlink" Target="https://www.google.com/url?q=https://www.acmicpc.net/problem/7056&amp;sa=D&amp;ust=1605639801898000&amp;usg=AFQjCNEz0fat1_nVNPqSUvPqz4X8shlhMA" TargetMode="External"/><Relationship Id="rId255" Type="http://schemas.openxmlformats.org/officeDocument/2006/relationships/hyperlink" Target="https://www.google.com/url?q=https://github.com/mostafa-saad/MyCompetitiveProgramming/blob/master/Olympiad/COCI/official/2013/contest3_solutions&amp;sa=D&amp;ust=1605639798865000&amp;usg=AFQjCNGdnvLbxs2xj5x9Nmb31E-uA68fKg" TargetMode="External"/><Relationship Id="rId462" Type="http://schemas.openxmlformats.org/officeDocument/2006/relationships/hyperlink" Target="https://www.google.com/url?q=https://github.com/stefdasca/CompetitiveProgramming/blob/master/Infoarena/cover.cpp&amp;sa=D&amp;ust=1605639799010000&amp;usg=AFQjCNEcy1UY4Mt8lXJjQEUAObkRrdd28Q" TargetMode="External"/><Relationship Id="rId1092" Type="http://schemas.openxmlformats.org/officeDocument/2006/relationships/hyperlink" Target="https://www.google.com/url?q=https://dunjudge.me/analysis/problems/67/&amp;sa=D&amp;ust=1605639800065000&amp;usg=AFQjCNG-b3ov0lKMyJDVe2X47NSF7BF49Q" TargetMode="External"/><Relationship Id="rId1397" Type="http://schemas.openxmlformats.org/officeDocument/2006/relationships/hyperlink" Target="https://www.google.com/url?q=https://oj.uz/problem/view/COCI17_hokej&amp;sa=D&amp;ust=1605639800294000&amp;usg=AFQjCNGMM7d0-AKImmB3AjuiSxbTOfcNmg" TargetMode="External"/><Relationship Id="rId2143" Type="http://schemas.openxmlformats.org/officeDocument/2006/relationships/hyperlink" Target="https://www.google.com/url?q=https://github.com/peon-pasado/CompetitiveProgramming/blob/master/szkoput/POI_07-Weights.cpp&amp;sa=D&amp;ust=1605639800865000&amp;usg=AFQjCNEKkQKfqG8y0YzrAnKIlOYcjmM3GQ" TargetMode="External"/><Relationship Id="rId2350" Type="http://schemas.openxmlformats.org/officeDocument/2006/relationships/hyperlink" Target="https://www.google.com/url?q=https://www.acmicpc.net/category/94&amp;sa=D&amp;ust=1605639801616000&amp;usg=AFQjCNFfTMJSWVHZI9f-fTeTK32mGHsTqw" TargetMode="External"/><Relationship Id="rId2795" Type="http://schemas.openxmlformats.org/officeDocument/2006/relationships/hyperlink" Target="https://www.google.com/url?q=https://wcipeg.com/problem/coci095p1&amp;sa=D&amp;ust=1605639802113000&amp;usg=AFQjCNE3qqzdPAjZ6TZ2bHOOZqe8oRZlHw" TargetMode="External"/><Relationship Id="rId115" Type="http://schemas.openxmlformats.org/officeDocument/2006/relationships/hyperlink" Target="https://www.google.com/url?q=https://github.com/updown2/OI-Practice/blob/master/USACO/2014-2015/February/Gold/Censoring.cpp&amp;sa=D&amp;ust=1605639798719000&amp;usg=AFQjCNFc7mAkSKJhpB_cSE_UHxdMjX5xcg" TargetMode="External"/><Relationship Id="rId322" Type="http://schemas.openxmlformats.org/officeDocument/2006/relationships/hyperlink" Target="https://www.google.com/url?q=https://dunjudge.me/analysis/problems/721/&amp;sa=D&amp;ust=1605639798891000&amp;usg=AFQjCNGWC_g4k6lS7jk42Opql17AAFmz5w" TargetMode="External"/><Relationship Id="rId767" Type="http://schemas.openxmlformats.org/officeDocument/2006/relationships/hyperlink" Target="https://www.google.com/url?q=https://dmoj.ca/problem/cco13p2&amp;sa=D&amp;ust=1605639799715000&amp;usg=AFQjCNEXMcqp_IxEsxq4c9hO6-JlAmNGgQ" TargetMode="External"/><Relationship Id="rId974" Type="http://schemas.openxmlformats.org/officeDocument/2006/relationships/hyperlink" Target="https://www.google.com/url?q=https://contest.yandex.ru/ioi/contest/568/enter/&amp;sa=D&amp;ust=1605639799970000&amp;usg=AFQjCNGTa-lfkSsmhgzA6zS8SBLNNYX5Kg" TargetMode="External"/><Relationship Id="rId2003" Type="http://schemas.openxmlformats.org/officeDocument/2006/relationships/hyperlink" Target="https://www.google.com/url?q=https://oj.uz/problem/view/COCI18_priglavci&amp;sa=D&amp;ust=1605639800767000&amp;usg=AFQjCNHZYS9yj3TEag78cI44cdf_AwO-BA" TargetMode="External"/><Relationship Id="rId2210" Type="http://schemas.openxmlformats.org/officeDocument/2006/relationships/hyperlink" Target="https://www.google.com/url?q=https://github.com/mostafa-saad/MyCompetitiveProgramming/blob/master/Olympiad/POI/official/find_editorial_sols_guidelines.txt&amp;sa=D&amp;ust=1605639800893000&amp;usg=AFQjCNEXng5a_ZWD7K-WNHC4inBo0CyFDA" TargetMode="External"/><Relationship Id="rId2448" Type="http://schemas.openxmlformats.org/officeDocument/2006/relationships/hyperlink" Target="https://www.google.com/url?q=https://oj.uz/problem/view/COI15_nafta&amp;sa=D&amp;ust=1605639801788000&amp;usg=AFQjCNGuXlQSF4xQDPA9pMAyST5luZBb-w" TargetMode="External"/><Relationship Id="rId2655" Type="http://schemas.openxmlformats.org/officeDocument/2006/relationships/hyperlink" Target="https://www.google.com/url?q=http://usaco.org/index.php?page%3Dviewproblem2%26cpid%3D814&amp;sa=D&amp;ust=1605639801989000&amp;usg=AFQjCNF9YJZ7Jv7pmAYZricQSKdmwqDPWw" TargetMode="External"/><Relationship Id="rId2862" Type="http://schemas.openxmlformats.org/officeDocument/2006/relationships/hyperlink" Target="https://www.google.com/url?q=https://oj.uz/problem/view/innopolis2018_final_E&amp;sa=D&amp;ust=1605639802203000&amp;usg=AFQjCNFVlE2Z0K66FD-UA7INtmwh9Rh_ew" TargetMode="External"/><Relationship Id="rId627" Type="http://schemas.openxmlformats.org/officeDocument/2006/relationships/hyperlink" Target="https://www.google.com/url?q=https://github.com/SpeedOfMagic/CompetitiveProgramming/blob/master/CEOI/15-bobek.cpp&amp;sa=D&amp;ust=1605639799176000&amp;usg=AFQjCNEQYyyG-MZzJkztURDoQzEJ6rr86Q" TargetMode="External"/><Relationship Id="rId834" Type="http://schemas.openxmlformats.org/officeDocument/2006/relationships/hyperlink" Target="https://www.google.com/url?q=https://csacademy.com/contest/balkan-oi-2017-day-2/&amp;sa=D&amp;ust=1605639799798000&amp;usg=AFQjCNFE6WQz-KLMQeEu1FIu-XZpiRqVIw" TargetMode="External"/><Relationship Id="rId1257" Type="http://schemas.openxmlformats.org/officeDocument/2006/relationships/hyperlink" Target="https://www.google.com/url?q=https://oj.uz/problem/view/NOI18_safety&amp;sa=D&amp;ust=1605639800187000&amp;usg=AFQjCNFFVmgkCFCHza3f_IsaquOpPxAsVw" TargetMode="External"/><Relationship Id="rId1464" Type="http://schemas.openxmlformats.org/officeDocument/2006/relationships/hyperlink" Target="https://www.google.com/url?q=https://csacademy.com/contest/balkan-oi-2017-day-1/&amp;sa=D&amp;ust=1605639800367000&amp;usg=AFQjCNE8rAPUYT6g2uyxARwKikbuxNzwlw" TargetMode="External"/><Relationship Id="rId1671" Type="http://schemas.openxmlformats.org/officeDocument/2006/relationships/hyperlink" Target="https://www.google.com/url?q=https://www.infoarena.ro/problema/curent&amp;sa=D&amp;ust=1605639800486000&amp;usg=AFQjCNEU-Z7Q8PsMVhR3yRijfOWLfm-KKQ" TargetMode="External"/><Relationship Id="rId2308" Type="http://schemas.openxmlformats.org/officeDocument/2006/relationships/hyperlink" Target="https://www.google.com/url?q=https://github.com/SpeedOfMagic/CompetitiveProgramming/blob/master/Baltic/14-friends.cpp&amp;sa=D&amp;ust=1605639801594000&amp;usg=AFQjCNGzki5npoxTR8pVSJB-TyhBJ9MGpw" TargetMode="External"/><Relationship Id="rId2515" Type="http://schemas.openxmlformats.org/officeDocument/2006/relationships/hyperlink" Target="https://www.google.com/url?q=https://oj.uz/problem/view/JOI17_coach&amp;sa=D&amp;ust=1605639801867000&amp;usg=AFQjCNGpfBJY5hjfxDM3F7HxoTrLhP91_w" TargetMode="External"/><Relationship Id="rId2722" Type="http://schemas.openxmlformats.org/officeDocument/2006/relationships/hyperlink" Target="https://www.google.com/url?q=https://github.com/mostafa-saad/MyCompetitiveProgramming/tree/master/Olympiad/COCI/official/2007/contest4_solutions&amp;sa=D&amp;ust=1605639802077000&amp;usg=AFQjCNFqeg6z1yhLmyhEHt6wwQooWg8-VA" TargetMode="External"/><Relationship Id="rId901" Type="http://schemas.openxmlformats.org/officeDocument/2006/relationships/hyperlink" Target="https://www.google.com/url?q=https://github.com/mostafa-saad/MyCompetitiveProgramming/blob/master/Olympiad/Balkan/official/2018/&amp;sa=D&amp;ust=1605639799891000&amp;usg=AFQjCNF10u-RLD0VXYY54H3EFkgs9Q5Nzg" TargetMode="External"/><Relationship Id="rId1117" Type="http://schemas.openxmlformats.org/officeDocument/2006/relationships/hyperlink" Target="https://www.google.com/url?q=https://contest.yandex.ru/snss2018/contest/8703/problems/A&amp;sa=D&amp;ust=1605639800077000&amp;usg=AFQjCNE0_QhTwBjTrXHeR8h107DRJmpKJg" TargetMode="External"/><Relationship Id="rId1324" Type="http://schemas.openxmlformats.org/officeDocument/2006/relationships/hyperlink" Target="https://www.google.com/url?q=https://github.com/mostafa-saad/MyCompetitiveProgramming/blob/master/Olympiad/POI/POI-07-Tetris.txt&amp;sa=D&amp;ust=1605639800211000&amp;usg=AFQjCNF6NZhDUg_yeIjW3UYPPTl5_QnOrg" TargetMode="External"/><Relationship Id="rId1531" Type="http://schemas.openxmlformats.org/officeDocument/2006/relationships/hyperlink" Target="https://www.google.com/url?q=https://github.com/tmwilliamlin168/CompetitiveProgramming/blob/master/HackerRank/family-ioi14.cpp&amp;sa=D&amp;ust=1605639800392000&amp;usg=AFQjCNFk5rNbCgpwGoKUC0hTEicacdWe6A" TargetMode="External"/><Relationship Id="rId1769" Type="http://schemas.openxmlformats.org/officeDocument/2006/relationships/hyperlink" Target="https://www.google.com/url?q=https://szkopul.edu.pl/problemset/problem/EijIYL4qkxxGJGHaVVnvdmgY/site/&amp;sa=D&amp;ust=1605639800575000&amp;usg=AFQjCNGrZ1PsoTkoKSjN2kXI1iLMf11d0g" TargetMode="External"/><Relationship Id="rId1976" Type="http://schemas.openxmlformats.org/officeDocument/2006/relationships/hyperlink" Target="https://www.google.com/url?q=https://github.com/nikolapesic2802/Programming-Practice/blob/master/Garbage/main.cpp&amp;sa=D&amp;ust=1605639800716000&amp;usg=AFQjCNG5e1GStA8QIEwWIZo7F8Pc0W1PQw" TargetMode="External"/><Relationship Id="rId30" Type="http://schemas.openxmlformats.org/officeDocument/2006/relationships/hyperlink" Target="https://www.google.com/url?q=https://oj.uz/problem/view/balkan11_cmp&amp;sa=D&amp;ust=1605639798675000&amp;usg=AFQjCNEBawP_b7Eudr3aLBsqhBNP1PpFfQ" TargetMode="External"/><Relationship Id="rId1629" Type="http://schemas.openxmlformats.org/officeDocument/2006/relationships/hyperlink" Target="https://www.google.com/url?q=https://github.com/mostafa-saad/MyCompetitiveProgramming/blob/master/Olympiad/POI/POI-05-Parties.txt&amp;sa=D&amp;ust=1605639800470000&amp;usg=AFQjCNEl1y4sGAGJOtLWe-vNbHV3qqpFzg" TargetMode="External"/><Relationship Id="rId1836" Type="http://schemas.openxmlformats.org/officeDocument/2006/relationships/hyperlink" Target="https://www.google.com/url?q=https://oj.uz/problem/view/COCI17_ronald&amp;sa=D&amp;ust=1605639800604000&amp;usg=AFQjCNHHP-cof45yswfHQ59y89KkAha0kQ" TargetMode="External"/><Relationship Id="rId1903" Type="http://schemas.openxmlformats.org/officeDocument/2006/relationships/hyperlink" Target="https://www.google.com/url?q=https://github.com/stefdasca/CompetitiveProgramming/blob/master/Infoarena/pesaptecarari.cpp&amp;sa=D&amp;ust=1605639800690000&amp;usg=AFQjCNGg7UDpSn13J1RSwSoZ2CXE8WYlyw" TargetMode="External"/><Relationship Id="rId2098" Type="http://schemas.openxmlformats.org/officeDocument/2006/relationships/hyperlink" Target="https://www.google.com/url?q=https://github.com/mostafa-saad/MyCompetitiveProgramming/blob/master/Olympiad/TOKI/TOKIOpen-18-TileCovering.txt&amp;sa=D&amp;ust=1605639800807000&amp;usg=AFQjCNH_8PnBSS96zgqVqPnJxGxEkyxuQQ" TargetMode="External"/><Relationship Id="rId277" Type="http://schemas.openxmlformats.org/officeDocument/2006/relationships/hyperlink" Target="https://www.google.com/url?q=https://dmoj.ca/problem/coci08c6p2&amp;sa=D&amp;ust=1605639798873000&amp;usg=AFQjCNExjflmpgUJhQ4mfjmyF4t0sMAqOw" TargetMode="External"/><Relationship Id="rId484" Type="http://schemas.openxmlformats.org/officeDocument/2006/relationships/hyperlink" Target="https://www.google.com/url?q=https://github.com/stefdasca/CompetitiveProgramming/blob/master/Infoarena/struti.cpp&amp;sa=D&amp;ust=1605639799019000&amp;usg=AFQjCNEV1_GQFp9sYnejFcQlBEYMpHmXrQ" TargetMode="External"/><Relationship Id="rId2165" Type="http://schemas.openxmlformats.org/officeDocument/2006/relationships/hyperlink" Target="https://www.google.com/url?q=https://dmoj.ca/problem/crci07p3&amp;sa=D&amp;ust=1605639800874000&amp;usg=AFQjCNFvJIwAyA38YeU9DEB_zJ5C1zzAtw" TargetMode="External"/><Relationship Id="rId3009" Type="http://schemas.openxmlformats.org/officeDocument/2006/relationships/hyperlink" Target="https://www.google.com/url?q=https://szkopul.edu.pl/problemset/problem/GmAagCBetbskP0qiKlgVd-6A/site/&amp;sa=D&amp;ust=1605639802395000&amp;usg=AFQjCNGFyrjK_a2RfULEUEZQrsPxJwEPRg" TargetMode="External"/><Relationship Id="rId137" Type="http://schemas.openxmlformats.org/officeDocument/2006/relationships/hyperlink" Target="https://www.google.com/url?q=https://oj.uz/problem/view/IOI19_transfer&amp;sa=D&amp;ust=1605639798728000&amp;usg=AFQjCNGfdOTZwd2zHZdrbCp8nWdST7YxtQ" TargetMode="External"/><Relationship Id="rId344" Type="http://schemas.openxmlformats.org/officeDocument/2006/relationships/hyperlink" Target="https://www.google.com/url?q=https://dmoj.ca/problem/coci14c7p1&amp;sa=D&amp;ust=1605639798903000&amp;usg=AFQjCNF4rjrPm9mCfKOsxazebL0hKMz-1w" TargetMode="External"/><Relationship Id="rId691" Type="http://schemas.openxmlformats.org/officeDocument/2006/relationships/hyperlink" Target="https://www.google.com/url?q=https://github.com/mostafa-saad/MyCompetitiveProgramming/blob/master/Olympiad/COI/COI-19-tenis.txt&amp;sa=D&amp;ust=1605639799671000&amp;usg=AFQjCNFq-_HB8C1mIGQnPalF3g4cWJ_cfg" TargetMode="External"/><Relationship Id="rId789" Type="http://schemas.openxmlformats.org/officeDocument/2006/relationships/hyperlink" Target="https://www.google.com/url?q=https://oj.uz/problem/view/JOI20_ho_t5&amp;sa=D&amp;ust=1605639799777000&amp;usg=AFQjCNFAZtWkJBbvj6duSimut9eQg8Nt-g" TargetMode="External"/><Relationship Id="rId996" Type="http://schemas.openxmlformats.org/officeDocument/2006/relationships/hyperlink" Target="https://www.google.com/url?q=https://github.com/stefdasca/CompetitiveProgramming/blob/master/Infoarena/scara2.cpp&amp;sa=D&amp;ust=1605639799981000&amp;usg=AFQjCNGp3UeXoFc3OJTxVYLmAIuRXR8XyQ" TargetMode="External"/><Relationship Id="rId2025" Type="http://schemas.openxmlformats.org/officeDocument/2006/relationships/hyperlink" Target="https://www.google.com/url?q=http://usaco.org/index.php?page%3Dviewproblem2%26cpid%3D625&amp;sa=D&amp;ust=1605639800779000&amp;usg=AFQjCNGsjZNZF-erhRyTFmQWvr3WRPyeQg" TargetMode="External"/><Relationship Id="rId2372" Type="http://schemas.openxmlformats.org/officeDocument/2006/relationships/hyperlink" Target="https://www.google.com/url?q=https://codeforces.com/group/swEqtABRxe/contest/243427/problem/A&amp;sa=D&amp;ust=1605639801688000&amp;usg=AFQjCNF9y2ZXLJ1KDY-uGZFYq7uNGGnlkg" TargetMode="External"/><Relationship Id="rId2677" Type="http://schemas.openxmlformats.org/officeDocument/2006/relationships/hyperlink" Target="https://www.google.com/url?q=https://www.acmicpc.net/problem/2192&amp;sa=D&amp;ust=1605639802002000&amp;usg=AFQjCNEzUf5kL_a_4VEgfhVJ3hM5WsG46g" TargetMode="External"/><Relationship Id="rId2884" Type="http://schemas.openxmlformats.org/officeDocument/2006/relationships/hyperlink" Target="https://www.google.com/url?q=https://joi2015ho.contest.atcoder.jp/tasks/joi2015ho_e&amp;sa=D&amp;ust=1605639802268000&amp;usg=AFQjCNH_kyw1COd_YRGGUSAchuiD7u8vIA" TargetMode="External"/><Relationship Id="rId551" Type="http://schemas.openxmlformats.org/officeDocument/2006/relationships/hyperlink" Target="https://www.google.com/url?q=https://github.com/mostafa-saad/MyCompetitiveProgramming/blob/master/Olympiad/CEOI/CEOI-16-icc.txt&amp;sa=D&amp;ust=1605639799107000&amp;usg=AFQjCNHXWoa7kV1U2j4a1KbbVUQ7Mr_mWQ" TargetMode="External"/><Relationship Id="rId649" Type="http://schemas.openxmlformats.org/officeDocument/2006/relationships/hyperlink" Target="https://www.google.com/url?q=https://github.com/mostafa-saad/MyCompetitiveProgramming/blob/master/Olympiad/IOI/official/2008&amp;sa=D&amp;ust=1605639799643000&amp;usg=AFQjCNHeZFVqRKR6GWeglzKSno_hHLcMHQ" TargetMode="External"/><Relationship Id="rId856" Type="http://schemas.openxmlformats.org/officeDocument/2006/relationships/hyperlink" Target="https://www.google.com/url?q=https://oj.uz/problem/view/IZhO19_segments&amp;sa=D&amp;ust=1605639799870000&amp;usg=AFQjCNHTkkz-z2MSdrlNR6A-khjI2t2gHQ" TargetMode="External"/><Relationship Id="rId1181" Type="http://schemas.openxmlformats.org/officeDocument/2006/relationships/hyperlink" Target="https://www.google.com/url?q=https://github.com/mostafa-saad/MyCompetitiveProgramming/blob/master/Olympiad/POI/POI-06-Teddies.txt&amp;sa=D&amp;ust=1605639800112000&amp;usg=AFQjCNGInqVM_k8YiMuYy6wukh3x78i0jA" TargetMode="External"/><Relationship Id="rId1279" Type="http://schemas.openxmlformats.org/officeDocument/2006/relationships/hyperlink" Target="https://www.google.com/url?q=https://github.com/mostafa-saad/MyCompetitiveProgramming/blob/master/Olympiad/Baltic/Baltic-06-Bitwise.txt&amp;sa=D&amp;ust=1605639800195000&amp;usg=AFQjCNHiKwbU1VigXY5WJpmSu4LHxQHzAw" TargetMode="External"/><Relationship Id="rId1486" Type="http://schemas.openxmlformats.org/officeDocument/2006/relationships/hyperlink" Target="https://www.google.com/url?q=https://szkopul.edu.pl/problemset/problem/ci05UTAWBFeYYWnidnK1zzQl/site/&amp;sa=D&amp;ust=1605639800376000&amp;usg=AFQjCNGcjP2PQGYq5sM-VknGH1CLLdx0pA" TargetMode="External"/><Relationship Id="rId2232" Type="http://schemas.openxmlformats.org/officeDocument/2006/relationships/hyperlink" Target="https://www.google.com/url?q=https://oj.uz/problem/view/POI11_sej&amp;sa=D&amp;ust=1605639800900000&amp;usg=AFQjCNHZ5I8sZhd-DU4TpqCc98GIJyqXtA" TargetMode="External"/><Relationship Id="rId2537" Type="http://schemas.openxmlformats.org/officeDocument/2006/relationships/hyperlink" Target="https://www.google.com/url?q=https://www.infoarena.ro/problema/puncte&amp;sa=D&amp;ust=1605639801874000&amp;usg=AFQjCNHYKC3dPdgWqvPS_ZHjaI9ojefZMg" TargetMode="External"/><Relationship Id="rId204" Type="http://schemas.openxmlformats.org/officeDocument/2006/relationships/hyperlink" Target="https://www.google.com/url?q=https://github.com/mostafa-saad/MyCompetitiveProgramming/blob/master/Olympiad/COCI/official/2017/contest7_solutions&amp;sa=D&amp;ust=1605639798791000&amp;usg=AFQjCNEc3_yYIa4Tp3FVx5sKszZXOEzBWA" TargetMode="External"/><Relationship Id="rId411" Type="http://schemas.openxmlformats.org/officeDocument/2006/relationships/hyperlink" Target="https://www.google.com/url?q=https://github.com/stefdasca/CompetitiveProgramming/blob/master/Infoarena/marceland.cpp&amp;sa=D&amp;ust=1605639798990000&amp;usg=AFQjCNHwT3sWgjBfGICeFQkbqhLylWq_0g" TargetMode="External"/><Relationship Id="rId509" Type="http://schemas.openxmlformats.org/officeDocument/2006/relationships/hyperlink" Target="https://www.google.com/url?q=https://dmoj.ca/problem/dmopc15c1p6&amp;sa=D&amp;ust=1605639799090000&amp;usg=AFQjCNG7GZymiP3kRpM9vvr8C-J-lL9LlA" TargetMode="External"/><Relationship Id="rId1041" Type="http://schemas.openxmlformats.org/officeDocument/2006/relationships/hyperlink" Target="https://www.google.com/url?q=https://github.com/stefdasca/CompetitiveProgramming/blob/master/Infoarena/zmeu.cpp&amp;sa=D&amp;ust=1605639799997000&amp;usg=AFQjCNF41isPy64k808PyXTjCLdmJxNv5A" TargetMode="External"/><Relationship Id="rId1139" Type="http://schemas.openxmlformats.org/officeDocument/2006/relationships/hyperlink" Target="https://www.google.com/url?q=https://oj.uz/problem/view/NOI18_journey&amp;sa=D&amp;ust=1605639800087000&amp;usg=AFQjCNF4YuvgGkA5lnhnS5XL_R0jCCMC8w" TargetMode="External"/><Relationship Id="rId1346" Type="http://schemas.openxmlformats.org/officeDocument/2006/relationships/hyperlink" Target="https://www.google.com/url?q=https://github.com/mostafa-saad/MyCompetitiveProgramming/blob/master/Olympiad/Balkan/Balkan-11-Medians.txt&amp;sa=D&amp;ust=1605639800265000&amp;usg=AFQjCNGJzuaq9dIqaZkc3HwwHYyv2dJAfg" TargetMode="External"/><Relationship Id="rId1693" Type="http://schemas.openxmlformats.org/officeDocument/2006/relationships/hyperlink" Target="https://www.google.com/url?q=https://szkopul.edu.pl/problemset/problem/kqBM3UKWL-qlFiXIOxPXL35m/site/&amp;sa=D&amp;ust=1605639800495000&amp;usg=AFQjCNH42qk0jH-PFWcURzcjEyGY7FeJkw" TargetMode="External"/><Relationship Id="rId1998" Type="http://schemas.openxmlformats.org/officeDocument/2006/relationships/hyperlink" Target="https://www.google.com/url?q=https://www.acmicpc.net/problem/7058&amp;sa=D&amp;ust=1605639800723000&amp;usg=AFQjCNHc1vnaLMk37BrVNJbWXOH8xpbjZw" TargetMode="External"/><Relationship Id="rId2744" Type="http://schemas.openxmlformats.org/officeDocument/2006/relationships/hyperlink" Target="https://www.google.com/url?q=https://github.com/mostafa-saad/MyCompetitiveProgramming/blob/master/Olympiad/COCI/official/2009/contest6_solutions&amp;sa=D&amp;ust=1605639802090000&amp;usg=AFQjCNFi3j-c2hQtMvvoOTXQzbbDMF4BHA" TargetMode="External"/><Relationship Id="rId2951" Type="http://schemas.openxmlformats.org/officeDocument/2006/relationships/hyperlink" Target="https://www.google.com/url?q=https://dunjudge.me/analysis/problems/1189/&amp;sa=D&amp;ust=1605639802310000&amp;usg=AFQjCNGLF9u_qFKZ5MR2sGvbJ0ovNl4d9w" TargetMode="External"/><Relationship Id="rId716" Type="http://schemas.openxmlformats.org/officeDocument/2006/relationships/hyperlink" Target="https://www.google.com/url?q=https://szkopul.edu.pl/problemset/problem/k-RYEjhwNTo_XdaCidXQUGMU/site/&amp;sa=D&amp;ust=1605639799679000&amp;usg=AFQjCNG2ofwejHmzUTttg7-N5Jql9DU2qQ" TargetMode="External"/><Relationship Id="rId923" Type="http://schemas.openxmlformats.org/officeDocument/2006/relationships/hyperlink" Target="https://www.google.com/url?q=https://training.olinfo.it/contests/oii2018/tasks/cena/description&amp;sa=D&amp;ust=1605639799900000&amp;usg=AFQjCNFD09JKipM0aEcsmFQ6gF-9OrUd3g" TargetMode="External"/><Relationship Id="rId1553" Type="http://schemas.openxmlformats.org/officeDocument/2006/relationships/hyperlink" Target="https://www.google.com/url?q=https://oj.uz/problem/view/JOI18_fences&amp;sa=D&amp;ust=1605639800401000&amp;usg=AFQjCNELmlRJ5pWl56mWh3KpqSqKDO7inQ" TargetMode="External"/><Relationship Id="rId1760" Type="http://schemas.openxmlformats.org/officeDocument/2006/relationships/hyperlink" Target="https://www.google.com/url?q=https://github.com/mostafa-saad/MyCompetitiveProgramming/blob/master/Olympiad/infoarena/infoarena_amici2.txt&amp;sa=D&amp;ust=1605639800571000&amp;usg=AFQjCNGjr2YqjAflaxSSn8L2wZB99JsjWA" TargetMode="External"/><Relationship Id="rId1858" Type="http://schemas.openxmlformats.org/officeDocument/2006/relationships/hyperlink" Target="https://www.google.com/url?q=https://oj.uz/problem/view/JOI19_transportations&amp;sa=D&amp;ust=1605639800669000&amp;usg=AFQjCNGZQ6q-j2v7rSpSYHIxu9IVCelm_A" TargetMode="External"/><Relationship Id="rId2604" Type="http://schemas.openxmlformats.org/officeDocument/2006/relationships/hyperlink" Target="https://www.google.com/url?q=https://cses.fi/problemset/task/1654&amp;sa=D&amp;ust=1605639801904000&amp;usg=AFQjCNGA4CfvMnLVAxu53_ydxYL3yZCBNA" TargetMode="External"/><Relationship Id="rId2811" Type="http://schemas.openxmlformats.org/officeDocument/2006/relationships/hyperlink" Target="https://www.google.com/url?q=https://github.com/mostafa-saad/MyCompetitiveProgramming/blob/master/Olympiad/COCI/official/2015/contest4_solutions&amp;sa=D&amp;ust=1605639802173000&amp;usg=AFQjCNHkJdoUr1eCXdUM5ETVfz0RdJjxxA" TargetMode="External"/><Relationship Id="rId52" Type="http://schemas.openxmlformats.org/officeDocument/2006/relationships/hyperlink" Target="https://www.google.com/url?q=https://oj.uz/problem/view/IOI12_supper&amp;sa=D&amp;ust=1605639798683000&amp;usg=AFQjCNHL5bJcd33RS3FNojLjX_7eU0lgAQ" TargetMode="External"/><Relationship Id="rId1206" Type="http://schemas.openxmlformats.org/officeDocument/2006/relationships/hyperlink" Target="https://www.google.com/url?q=https://github.com/mostafa-saad/MyCompetitiveProgramming/blob/master/Olympiad/COCI/COCI-08-Lubenica.txt&amp;sa=D&amp;ust=1605639800168000&amp;usg=AFQjCNHxxc0xMBKzQRh9cQ94QvRXSgnzUg" TargetMode="External"/><Relationship Id="rId1413" Type="http://schemas.openxmlformats.org/officeDocument/2006/relationships/hyperlink" Target="https://www.google.com/url?q=https://github.com/mostafa-saad/MyCompetitiveProgramming/blob/master/Olympiad/COCI/COCI-18-karte.txt&amp;sa=D&amp;ust=1605639800300000&amp;usg=AFQjCNH-rMqtIMKwEjGN10A3bjpxnrtlWQ" TargetMode="External"/><Relationship Id="rId1620" Type="http://schemas.openxmlformats.org/officeDocument/2006/relationships/hyperlink" Target="https://www.google.com/url?q=https://oj.uz/problem/view/COI18_zagonetka&amp;sa=D&amp;ust=1605639800466000&amp;usg=AFQjCNGxTelTN-4hXvEB6wdSnLWlcUaZgA" TargetMode="External"/><Relationship Id="rId2909" Type="http://schemas.openxmlformats.org/officeDocument/2006/relationships/hyperlink" Target="https://www.google.com/url?q=https://dunjudge.me/analysis/problems/742/&amp;sa=D&amp;ust=1605639802284000&amp;usg=AFQjCNG-5m_mVYoeN9QH8QnY2oxnpv1oiA" TargetMode="External"/><Relationship Id="rId1718" Type="http://schemas.openxmlformats.org/officeDocument/2006/relationships/hyperlink" Target="https://www.google.com/url?q=https://dmoj.ca/problem/dmopc14ce1p4&amp;sa=D&amp;ust=1605639800504000&amp;usg=AFQjCNFlQOm_4lLC3H3cjfcKfsoYI8Ua0g" TargetMode="External"/><Relationship Id="rId1925" Type="http://schemas.openxmlformats.org/officeDocument/2006/relationships/hyperlink" Target="https://www.google.com/url?q=https://oj.uz/problem/view/COCI16_zamjene&amp;sa=D&amp;ust=1605639800699000&amp;usg=AFQjCNGHRmhiqZE0yzHoxEMjVmK95O4V8w" TargetMode="External"/><Relationship Id="rId299" Type="http://schemas.openxmlformats.org/officeDocument/2006/relationships/hyperlink" Target="https://www.google.com/url?q=https://dmoj.ca/problem/coci07c4p1&amp;sa=D&amp;ust=1605639798882000&amp;usg=AFQjCNHNq4RjhG252jdfZXwxYK17SDBC_w" TargetMode="External"/><Relationship Id="rId2187" Type="http://schemas.openxmlformats.org/officeDocument/2006/relationships/hyperlink" Target="https://www.google.com/url?q=https://oj.uz/problem/view/COCI16_tavan&amp;sa=D&amp;ust=1605639800883000&amp;usg=AFQjCNEiFq_WRXkuSJ-FUkcW3tr3cJhdTw" TargetMode="External"/><Relationship Id="rId2394" Type="http://schemas.openxmlformats.org/officeDocument/2006/relationships/hyperlink" Target="https://www.google.com/url?q=https://wcipeg.com/problem/coci093p4&amp;sa=D&amp;ust=1605639801705000&amp;usg=AFQjCNEnJNtvyQXAvErtTLX5v8gZroE_3w" TargetMode="External"/><Relationship Id="rId159" Type="http://schemas.openxmlformats.org/officeDocument/2006/relationships/hyperlink" Target="https://www.google.com/url?q=https://wcipeg.com/problem/coci091p4&amp;sa=D&amp;ust=1605639798775000&amp;usg=AFQjCNFxfXduYJ-2pYWGvgweVuw88faL4A" TargetMode="External"/><Relationship Id="rId366" Type="http://schemas.openxmlformats.org/officeDocument/2006/relationships/hyperlink" Target="https://www.google.com/url?q=https://dmoj.ca/problem/coci07c5p1&amp;sa=D&amp;ust=1605639798910000&amp;usg=AFQjCNEdWl4EsD26JL9P9BP65cwqDG_fFw" TargetMode="External"/><Relationship Id="rId573" Type="http://schemas.openxmlformats.org/officeDocument/2006/relationships/hyperlink" Target="https://www.google.com/url?q=https://github.com/mostafa-saad/MyCompetitiveProgramming/blob/master/Olympiad/IOI/official/2011&amp;sa=D&amp;ust=1605639799117000&amp;usg=AFQjCNE4SMVfaLc438bwJLUVTVD75OkD9g" TargetMode="External"/><Relationship Id="rId780" Type="http://schemas.openxmlformats.org/officeDocument/2006/relationships/hyperlink" Target="https://www.google.com/url?q=https://github.com/Szawinis/CompetitiveProgramming/blob/master/Olympiad/COCI/COCI18-suncanje.cpp&amp;sa=D&amp;ust=1605639799719000&amp;usg=AFQjCNHETpbnCtcFs5pbPhNHXjqphIlSBg" TargetMode="External"/><Relationship Id="rId2047" Type="http://schemas.openxmlformats.org/officeDocument/2006/relationships/hyperlink" Target="https://www.google.com/url?q=https://github.com/mostafa-saad/MyCompetitiveProgramming/blob/master/Olympiad/CEOI/CEOI-17-OneWay.txt&amp;sa=D&amp;ust=1605639800786000&amp;usg=AFQjCNENfNYPnf2aD8sFeb84md6DbCKfcw" TargetMode="External"/><Relationship Id="rId2254" Type="http://schemas.openxmlformats.org/officeDocument/2006/relationships/hyperlink" Target="https://www.google.com/url?q=https://github.com/mostafa-saad/MyCompetitiveProgramming/blob/master/Olympiad/infoarena/infoarena_deletegcd.txt&amp;sa=D&amp;ust=1605639800909000&amp;usg=AFQjCNGVfYs8jps-cjZoTbq9WkrKmePmWw" TargetMode="External"/><Relationship Id="rId2461" Type="http://schemas.openxmlformats.org/officeDocument/2006/relationships/hyperlink" Target="https://www.google.com/url?q=https://dmoj.ca/problem/coci08c5p5&amp;sa=D&amp;ust=1605639801795000&amp;usg=AFQjCNGr05VawubKkv10ir-MqqPRocJfJQ" TargetMode="External"/><Relationship Id="rId2699" Type="http://schemas.openxmlformats.org/officeDocument/2006/relationships/hyperlink" Target="https://www.google.com/url?q=https://cses.fi/187/list/&amp;sa=D&amp;ust=1605639802065000&amp;usg=AFQjCNFHB3lCuuTyQXVFm4uzLwHMpjqdtQ" TargetMode="External"/><Relationship Id="rId3000" Type="http://schemas.openxmlformats.org/officeDocument/2006/relationships/hyperlink" Target="https://www.google.com/url?q=https://szkopul.edu.pl/problemset/problem/eHGwrk9xShVF-z_2f7K4Yyb_/site/&amp;sa=D&amp;ust=1605639802391000&amp;usg=AFQjCNH9SEKonen0l6XeT2F-96ad_y8Kiw" TargetMode="External"/><Relationship Id="rId226" Type="http://schemas.openxmlformats.org/officeDocument/2006/relationships/hyperlink" Target="https://www.google.com/url?q=https://oj.uz/problem/view/NOI18_collectmushrooms&amp;sa=D&amp;ust=1605639798800000&amp;usg=AFQjCNHuA6HgRY7YjuYjbbcJWQI1Kw_3Xg" TargetMode="External"/><Relationship Id="rId433" Type="http://schemas.openxmlformats.org/officeDocument/2006/relationships/hyperlink" Target="https://www.google.com/url?q=https://oj.uz/problems/source/326&amp;sa=D&amp;ust=1605639798998000&amp;usg=AFQjCNEXiC9ew4QCAgnV8ZM4nh2M2xTJ3A" TargetMode="External"/><Relationship Id="rId878" Type="http://schemas.openxmlformats.org/officeDocument/2006/relationships/hyperlink" Target="https://www.google.com/url?q=https://infoarena.ro/problema/xreverse&amp;sa=D&amp;ust=1605639799880000&amp;usg=AFQjCNEWGylAra5l6j1CpZ5Ei3ANf7P1Qg" TargetMode="External"/><Relationship Id="rId1063" Type="http://schemas.openxmlformats.org/officeDocument/2006/relationships/hyperlink" Target="https://www.google.com/url?q=https://github.com/mostafa-saad/MyCompetitiveProgramming/tree/master/Olympiad/COCI/official/2008/contest1_solutions&amp;sa=D&amp;ust=1605639800006000&amp;usg=AFQjCNEp-lM4e8kukHftRrdT9SOQqz1Hcg" TargetMode="External"/><Relationship Id="rId1270" Type="http://schemas.openxmlformats.org/officeDocument/2006/relationships/hyperlink" Target="https://www.google.com/url?q=https://szkopul.edu.pl/problemset/problem/6YiP6JA5U15hY94pLwuHoYPg/site/&amp;sa=D&amp;ust=1605639800192000&amp;usg=AFQjCNEuWiyoBKBrGqztYHECfl6In8JtGw" TargetMode="External"/><Relationship Id="rId2114" Type="http://schemas.openxmlformats.org/officeDocument/2006/relationships/hyperlink" Target="https://www.google.com/url?q=https://www.hackerrank.com/contests/boi-2016/challenges&amp;sa=D&amp;ust=1605639800814000&amp;usg=AFQjCNFFXFAJWLggmO8Vs8PwZy1jOEC8Mw" TargetMode="External"/><Relationship Id="rId2559" Type="http://schemas.openxmlformats.org/officeDocument/2006/relationships/hyperlink" Target="https://www.google.com/url?q=https://github.com/mostafa-saad/MyCompetitiveProgramming/blob/master/Olympiad/POI/POI-13-Price.txt&amp;sa=D&amp;ust=1605639801882000&amp;usg=AFQjCNEhu3H4YFTB1l2CCbJny3kVhcRMNA" TargetMode="External"/><Relationship Id="rId2766" Type="http://schemas.openxmlformats.org/officeDocument/2006/relationships/hyperlink" Target="https://www.google.com/url?q=https://github.com/mostafa-saad/MyCompetitiveProgramming/blob/master/Olympiad/COCI/official/2009/contest2_solutions&amp;sa=D&amp;ust=1605639802101000&amp;usg=AFQjCNE3D39zKThLaNOJVjRX0Qr-X1RHTw" TargetMode="External"/><Relationship Id="rId2973" Type="http://schemas.openxmlformats.org/officeDocument/2006/relationships/hyperlink" Target="https://www.google.com/url?q=https://github.com/mostafa-saad/MyCompetitiveProgramming/blob/master/Olympiad/POI/official/find_editorial_sols_guidelines.txt&amp;sa=D&amp;ust=1605639802375000&amp;usg=AFQjCNGW2ZHpbkU3Nzkjrq5-BHCH52Y7Ow" TargetMode="External"/><Relationship Id="rId640" Type="http://schemas.openxmlformats.org/officeDocument/2006/relationships/hyperlink" Target="https://www.google.com/url?q=https://oj.uz/problem/view/JOI17_railway_trip&amp;sa=D&amp;ust=1605639799639000&amp;usg=AFQjCNEWYARQOw2TTZmJUipyT1FEpRbwWg" TargetMode="External"/><Relationship Id="rId738" Type="http://schemas.openxmlformats.org/officeDocument/2006/relationships/hyperlink" Target="https://www.google.com/url?q=https://oj.uz/problem/view/BOI11_grow&amp;sa=D&amp;ust=1605639799703000&amp;usg=AFQjCNEu176VvhUKkFxjQaQQj-yc8I2sig" TargetMode="External"/><Relationship Id="rId945" Type="http://schemas.openxmlformats.org/officeDocument/2006/relationships/hyperlink" Target="https://www.google.com/url?q=https://contest.yandex.ru/ioi/contest/562/problems/D/&amp;sa=D&amp;ust=1605639799909000&amp;usg=AFQjCNGsjaytixxFMGG6Z2KEEceHo16PPA" TargetMode="External"/><Relationship Id="rId1368" Type="http://schemas.openxmlformats.org/officeDocument/2006/relationships/hyperlink" Target="https://www.google.com/url?q=https://github.com/mostafa-saad/MyCompetitiveProgramming/blob/master/Olympiad/POI/POI-15-Seals-desc.txt&amp;sa=D&amp;ust=1605639800282000&amp;usg=AFQjCNHONovK0vmPK4sWkuBUzmQJgte_Qw" TargetMode="External"/><Relationship Id="rId1575" Type="http://schemas.openxmlformats.org/officeDocument/2006/relationships/hyperlink" Target="https://www.google.com/url?q=https://csacademy.com/contest/ejoi-2017-day-1/task/particles/&amp;sa=D&amp;ust=1605639800409000&amp;usg=AFQjCNFrKIoWGjGBzndNCkOoFAWLCixbsA" TargetMode="External"/><Relationship Id="rId1782" Type="http://schemas.openxmlformats.org/officeDocument/2006/relationships/hyperlink" Target="https://www.google.com/url?q=https://szkopul.edu.pl/problemset/problem/xDISetKx9cPPrOT_t2ZqgEyr/site/&amp;sa=D&amp;ust=1605639800585000&amp;usg=AFQjCNFHKdE2kSJ_52_nxQ3nr_9k9CuS9w" TargetMode="External"/><Relationship Id="rId2321" Type="http://schemas.openxmlformats.org/officeDocument/2006/relationships/hyperlink" Target="https://www.google.com/url?q=https://szkopul.edu.pl/problemset/problem/GqRTa-xd7d9cGS5RL5Os-qTV/site/?key%3Dstatement&amp;sa=D&amp;ust=1605639801604000&amp;usg=AFQjCNFz1BO0h4x4CoUEFUV7w5tnzA41-g" TargetMode="External"/><Relationship Id="rId2419" Type="http://schemas.openxmlformats.org/officeDocument/2006/relationships/hyperlink" Target="https://www.google.com/url?q=https://ideone.com/iw7JBC&amp;sa=D&amp;ust=1605639801779000&amp;usg=AFQjCNE6Wf42KvDs4Z4qNILZ-qIrQuhakQ" TargetMode="External"/><Relationship Id="rId2626" Type="http://schemas.openxmlformats.org/officeDocument/2006/relationships/hyperlink" Target="https://www.google.com/url?q=https://oj.uz/problem/view/CEOI17_museum&amp;sa=D&amp;ust=1605639801978000&amp;usg=AFQjCNFcjzIblkIGzsIIAQ2Ba2Uz3SpEXg" TargetMode="External"/><Relationship Id="rId2833" Type="http://schemas.openxmlformats.org/officeDocument/2006/relationships/hyperlink" Target="https://www.google.com/url?q=https://github.com/mostafa-saad/MyCompetitiveProgramming/blob/master/Olympiad/COCI/official/2009/regional_solutions&amp;sa=D&amp;ust=1605639802186000&amp;usg=AFQjCNEtiZn78BwyFCVFdt4OCBsM5j0pDw" TargetMode="External"/><Relationship Id="rId74" Type="http://schemas.openxmlformats.org/officeDocument/2006/relationships/hyperlink" Target="https://www.google.com/url?q=https://oj.uz/problem/view/COCI19_simfonija&amp;sa=D&amp;ust=1605639798704000&amp;usg=AFQjCNHCpt_HUzzT8RZY4_RYe4zDKhKszg" TargetMode="External"/><Relationship Id="rId500" Type="http://schemas.openxmlformats.org/officeDocument/2006/relationships/hyperlink" Target="https://www.google.com/url?q=https://github.com/Szawinis/CompetitiveProgramming/blob/master/Olympiad/JOI/JOISC19-examination.cpp&amp;sa=D&amp;ust=1605639799087000&amp;usg=AFQjCNFXvCilYRINPcW4-MMJYxHqFu67Sg" TargetMode="External"/><Relationship Id="rId805" Type="http://schemas.openxmlformats.org/officeDocument/2006/relationships/hyperlink" Target="https://www.google.com/url?q=https://github.com/mostafa-saad/MyCompetitiveProgramming/blob/master/Olympiad/CEOI/COCI-06-Tenkici&amp;sa=D&amp;ust=1605639799785000&amp;usg=AFQjCNE64ULIC0tK09gtKfMD56SKqV1FIA" TargetMode="External"/><Relationship Id="rId1130" Type="http://schemas.openxmlformats.org/officeDocument/2006/relationships/hyperlink" Target="https://www.google.com/url?q=https://github.com/koosaga/olympiad/blob/master/Balkan/balkan05_race.cpp&amp;sa=D&amp;ust=1605639800082000&amp;usg=AFQjCNGOuL5qxxgFeD2Y2hF482x4QIb0vw" TargetMode="External"/><Relationship Id="rId1228" Type="http://schemas.openxmlformats.org/officeDocument/2006/relationships/hyperlink" Target="https://www.google.com/url?q=https://github.com/ahmedibrahim404/CompetitiveProgramming/blob/master/EOI/IOI_Quals%2718/18-R2-B/src/main.cpp&amp;sa=D&amp;ust=1605639800177000&amp;usg=AFQjCNEHxKYS38dnGnyajCshi7E3TUq1_w" TargetMode="External"/><Relationship Id="rId1435" Type="http://schemas.openxmlformats.org/officeDocument/2006/relationships/hyperlink" Target="https://www.google.com/url?q=https://github.com/stefdasca/CompetitiveProgramming/blob/master/Infoarena/calorifer.cpp&amp;sa=D&amp;ust=1605639800310000&amp;usg=AFQjCNF65MRVOJ7PDaEeC72r4yIBde62PA" TargetMode="External"/><Relationship Id="rId1642" Type="http://schemas.openxmlformats.org/officeDocument/2006/relationships/hyperlink" Target="https://www.google.com/url?q=https://szkopul.edu.pl/problemset/problem/_qn633f6DVAHRkv0OX3LQaph/site/&amp;sa=D&amp;ust=1605639800477000&amp;usg=AFQjCNEVprEztKhQ5sY09bE7G5bBg6H_Uw" TargetMode="External"/><Relationship Id="rId1947" Type="http://schemas.openxmlformats.org/officeDocument/2006/relationships/hyperlink" Target="https://www.google.com/url?q=https://github.com/mostafa-saad/MyCompetitiveProgramming/blob/master/Olympiad/infoarena/infoarena_matrice2.txt&amp;sa=D&amp;ust=1605639800705000&amp;usg=AFQjCNH1sQ46WrK-2KM8Rrr-pfWymz4U7Q" TargetMode="External"/><Relationship Id="rId2900" Type="http://schemas.openxmlformats.org/officeDocument/2006/relationships/hyperlink" Target="https://www.google.com/url?q=https://joisc2014.contest.atcoder.jp/tasks/joisc2014_i&amp;sa=D&amp;ust=1605639802279000&amp;usg=AFQjCNHk0hSWY055qV4_cgvwReqcP5BzIw" TargetMode="External"/><Relationship Id="rId1502" Type="http://schemas.openxmlformats.org/officeDocument/2006/relationships/hyperlink" Target="https://www.google.com/url?q=https://po.kattis.com/problems/kattis/no&amp;sa=D&amp;ust=1605639800381000&amp;usg=AFQjCNFozrYB6E_m1LmQPZ4F5_wSyvctYQ" TargetMode="External"/><Relationship Id="rId1807" Type="http://schemas.openxmlformats.org/officeDocument/2006/relationships/hyperlink" Target="https://www.google.com/url?q=https://github.com/mostafa-saad/MyCompetitiveProgramming/blob/master/Olympiad/COCI/COCI-14-Police.txt&amp;sa=D&amp;ust=1605639800593000&amp;usg=AFQjCNGqTowoJRzHmjhmr-WXssOraqfAXw" TargetMode="External"/><Relationship Id="rId290" Type="http://schemas.openxmlformats.org/officeDocument/2006/relationships/hyperlink" Target="https://www.google.com/url?q=https://github.com/mostafa-saad/MyCompetitiveProgramming/tree/master/Olympiad/COCI/official/2007/contest4_solutions&amp;sa=D&amp;ust=1605639798878000&amp;usg=AFQjCNEZ48nND17tYrZk5rFsvA9yrQ7V7A" TargetMode="External"/><Relationship Id="rId388" Type="http://schemas.openxmlformats.org/officeDocument/2006/relationships/hyperlink" Target="https://www.google.com/url?q=https://dunjudge.me/analysis/problems/1475/&amp;sa=D&amp;ust=1605639798979000&amp;usg=AFQjCNG04-gHTS_y06b7xrN_tqxHhMVi0Q" TargetMode="External"/><Relationship Id="rId2069" Type="http://schemas.openxmlformats.org/officeDocument/2006/relationships/hyperlink" Target="https://www.google.com/url?q=https://codeforces.com/contest/1192/problem/A&amp;sa=D&amp;ust=1605639800797000&amp;usg=AFQjCNHVQqZvz0BMOcL71JW7gfAIXtbEkQ" TargetMode="External"/><Relationship Id="rId150" Type="http://schemas.openxmlformats.org/officeDocument/2006/relationships/hyperlink" Target="https://www.google.com/url?q=https://github.com/mostafa-saad/MyCompetitiveProgramming/blob/master/Olympiad/COCI/official/2014/contest1_solutions&amp;sa=D&amp;ust=1605639798767000&amp;usg=AFQjCNG2EjKXfI_ikOjgLZOhPrvwtA3Dow" TargetMode="External"/><Relationship Id="rId595" Type="http://schemas.openxmlformats.org/officeDocument/2006/relationships/hyperlink" Target="https://www.google.com/url?q=https://joi2014ho.contest.atcoder.jp/tasks/joi2014ho3&amp;sa=D&amp;ust=1605639799126000&amp;usg=AFQjCNEo7ayqpJjzx-fngU0Hb4sPrlq26w" TargetMode="External"/><Relationship Id="rId2276" Type="http://schemas.openxmlformats.org/officeDocument/2006/relationships/hyperlink" Target="https://www.google.com/url?q=https://oj.uz/problem/view/IZhO12_xor&amp;sa=D&amp;ust=1605639801568000&amp;usg=AFQjCNFl4xeG42hrJyN6T6SVC-faWGl1-w" TargetMode="External"/><Relationship Id="rId2483" Type="http://schemas.openxmlformats.org/officeDocument/2006/relationships/hyperlink" Target="https://www.google.com/url?q=https://github.com/mostafa-saad/MyCompetitiveProgramming/blob/master/Olympiad/NOI/official&amp;sa=D&amp;ust=1605639801804000&amp;usg=AFQjCNGn7LyTPKmxavhx6KJH40EXZBjfmQ" TargetMode="External"/><Relationship Id="rId2690" Type="http://schemas.openxmlformats.org/officeDocument/2006/relationships/hyperlink" Target="https://www.google.com/url?q=https://cses.fi/99/list/&amp;sa=D&amp;ust=1605639802007000&amp;usg=AFQjCNEXaj-UNV0OxGC82bfdgbwA7W_XZg" TargetMode="External"/><Relationship Id="rId248" Type="http://schemas.openxmlformats.org/officeDocument/2006/relationships/hyperlink" Target="https://www.google.com/url?q=https://github.com/mostafa-saad/MyCompetitiveProgramming/blob/master/Olympiad/POI/official/find_editorial_sols_guidelines.txt&amp;sa=D&amp;ust=1605639798807000&amp;usg=AFQjCNEnDKfZZuXw0voDS2kfQPYDfI4bfg" TargetMode="External"/><Relationship Id="rId455" Type="http://schemas.openxmlformats.org/officeDocument/2006/relationships/hyperlink" Target="https://www.google.com/url?q=https://github.com/dolphingarlic/CompetitiveProgramming/blob/master/USACO/USACO%252018-out_of_sorts_gold.cpp&amp;sa=D&amp;ust=1605639799008000&amp;usg=AFQjCNFK35uJH3GWCFHiblxrDYIZk9TdMA" TargetMode="External"/><Relationship Id="rId662" Type="http://schemas.openxmlformats.org/officeDocument/2006/relationships/hyperlink" Target="https://www.google.com/url?q=https://oj.uz/problems/source/316&amp;sa=D&amp;ust=1605639799659000&amp;usg=AFQjCNGmeu-eEtpl3zNYcuySlW2rg0yrHw" TargetMode="External"/><Relationship Id="rId1085" Type="http://schemas.openxmlformats.org/officeDocument/2006/relationships/hyperlink" Target="https://www.google.com/url?q=https://github.com/stefdasca/CompetitiveProgramming/blob/master/Infoarena/panza.cpp&amp;sa=D&amp;ust=1605639800016000&amp;usg=AFQjCNHDORKFZXeN4WcRv6YntnesLXXGUA" TargetMode="External"/><Relationship Id="rId1292" Type="http://schemas.openxmlformats.org/officeDocument/2006/relationships/hyperlink" Target="https://www.google.com/url?q=https://oj.uz/problems/source/60&amp;sa=D&amp;ust=1605639800201000&amp;usg=AFQjCNGjPnD4sloF8jvcs7EHt6_BOvx_gw" TargetMode="External"/><Relationship Id="rId2136" Type="http://schemas.openxmlformats.org/officeDocument/2006/relationships/hyperlink" Target="https://www.google.com/url?q=https://github.com/stefdasca/CompetitiveProgramming/blob/master/Infoarena/meneaito.cpp&amp;sa=D&amp;ust=1605639800822000&amp;usg=AFQjCNFMQaBzdbNQe4ZIhkH-D3vq0y-jfw" TargetMode="External"/><Relationship Id="rId2343" Type="http://schemas.openxmlformats.org/officeDocument/2006/relationships/hyperlink" Target="https://www.google.com/url?q=https://dmoj.ca/problem/coci08c3p4&amp;sa=D&amp;ust=1605639801613000&amp;usg=AFQjCNFLiouxEO7VSDpr-ApER4zM3Io2qg" TargetMode="External"/><Relationship Id="rId2550" Type="http://schemas.openxmlformats.org/officeDocument/2006/relationships/hyperlink" Target="https://www.google.com/url?q=https://github.com/gametothepower8/Solutions-to-OI-problems/blob/master/USACO18Janplat-atlarge.cpp&amp;sa=D&amp;ust=1605639801879000&amp;usg=AFQjCNEUjLNGu4YN5mjeElIZV4HyLa-s3A" TargetMode="External"/><Relationship Id="rId2788" Type="http://schemas.openxmlformats.org/officeDocument/2006/relationships/hyperlink" Target="https://www.google.com/url?q=https://wcipeg.com/problem/coci096p2&amp;sa=D&amp;ust=1605639802110000&amp;usg=AFQjCNGH3jueCS1B0NNAau3hgcICfEpO5Q" TargetMode="External"/><Relationship Id="rId2995" Type="http://schemas.openxmlformats.org/officeDocument/2006/relationships/hyperlink" Target="https://www.google.com/url?q=https://szkopul.edu.pl/problemset/problem/Ng815bt4Fko9lj2-l7eVl3Aw/site/&amp;sa=D&amp;ust=1605639802387000&amp;usg=AFQjCNEeJnfBzMCm8BUjRQuSs7wIKbjsDQ" TargetMode="External"/><Relationship Id="rId108" Type="http://schemas.openxmlformats.org/officeDocument/2006/relationships/hyperlink" Target="https://www.google.com/url?q=https://github.com/mostafa-saad/MyCompetitiveProgramming/blob/master/Olympiad/POI/POI-06-Invasion.txt&amp;sa=D&amp;ust=1605639798717000&amp;usg=AFQjCNEWSTw3yVoklitOSUGuOZAy7rUT5g" TargetMode="External"/><Relationship Id="rId315" Type="http://schemas.openxmlformats.org/officeDocument/2006/relationships/hyperlink" Target="https://www.google.com/url?q=https://oj.uz/problem/view/IOI16_reverse&amp;sa=D&amp;ust=1605639798889000&amp;usg=AFQjCNFeND1VOF3NOoPE9p_yxL_RKnGMMQ" TargetMode="External"/><Relationship Id="rId522" Type="http://schemas.openxmlformats.org/officeDocument/2006/relationships/hyperlink" Target="https://www.google.com/url?q=https://dunjudge.me/analysis/problems/694/&amp;sa=D&amp;ust=1605639799095000&amp;usg=AFQjCNGJlrmvXLg8uXL8jRtOrIPwWePnxQ" TargetMode="External"/><Relationship Id="rId967" Type="http://schemas.openxmlformats.org/officeDocument/2006/relationships/hyperlink" Target="https://www.google.com/url?q=https://github.com/mostafa-saad/MyCompetitiveProgramming/blob/master/Olympiad/infoarena/infoarena-retea3.txt&amp;sa=D&amp;ust=1605639799966000&amp;usg=AFQjCNH2v5pbxXVqyOxmaMHSezmRhnEJ-Q" TargetMode="External"/><Relationship Id="rId1152" Type="http://schemas.openxmlformats.org/officeDocument/2006/relationships/hyperlink" Target="https://www.google.com/url?q=https://dunjudge.me/analysis/problems/1221/&amp;sa=D&amp;ust=1605639800093000&amp;usg=AFQjCNH0IhfRnxfvq7GOMt8tHCHPqvf4gw" TargetMode="External"/><Relationship Id="rId1597" Type="http://schemas.openxmlformats.org/officeDocument/2006/relationships/hyperlink" Target="https://www.google.com/url?q=https://szkopul.edu.pl/problemset/problem/APWi6y6XTt5ujve8ynI_FNJ1/site/&amp;sa=D&amp;ust=1605639800417000&amp;usg=AFQjCNE98vnvPqBVHXcxoTGSk14qZt-t-Q" TargetMode="External"/><Relationship Id="rId2203" Type="http://schemas.openxmlformats.org/officeDocument/2006/relationships/hyperlink" Target="https://www.google.com/url?q=https://github.com/mostafa-saad/MyCompetitiveProgramming/blob/master/Olympiad/NOI/NOI-14-cats.txt&amp;sa=D&amp;ust=1605639800889000&amp;usg=AFQjCNG5rpJjpfpzcKzDzxgKHfJk7RzFiw" TargetMode="External"/><Relationship Id="rId2410" Type="http://schemas.openxmlformats.org/officeDocument/2006/relationships/hyperlink" Target="https://www.google.com/url?q=https://szkopul.edu.pl/problemset/problem/lcU5m2RAICwNHsdzydb8JTQw/site/&amp;sa=D&amp;ust=1605639801774000&amp;usg=AFQjCNEPEI0BNE3HkhWNaEcb38COenIbig" TargetMode="External"/><Relationship Id="rId2648" Type="http://schemas.openxmlformats.org/officeDocument/2006/relationships/hyperlink" Target="https://www.google.com/url?q=https://www.infoarena.ro/problema/arbore7&amp;sa=D&amp;ust=1605639801987000&amp;usg=AFQjCNHlk8yiHQQ126LQxTNN1C7KXQFJ_Q" TargetMode="External"/><Relationship Id="rId2855" Type="http://schemas.openxmlformats.org/officeDocument/2006/relationships/hyperlink" Target="https://www.google.com/url?q=https://oj.uz/problem/view/info1cup18_palindromes&amp;sa=D&amp;ust=1605639802200000&amp;usg=AFQjCNFndPEBHG41QBIBCbph789ZuUwfDg" TargetMode="External"/><Relationship Id="rId96" Type="http://schemas.openxmlformats.org/officeDocument/2006/relationships/hyperlink" Target="https://www.google.com/url?q=https://github.com/mostafa-saad/MyCompetitiveProgramming/blob/master/Olympiad/CEOI/CEOI-10-Tower.txt&amp;sa=D&amp;ust=1605639798713000&amp;usg=AFQjCNEAeDmkApPNEV-AN9P3Lfwx_noToA" TargetMode="External"/><Relationship Id="rId827" Type="http://schemas.openxmlformats.org/officeDocument/2006/relationships/hyperlink" Target="https://www.google.com/url?q=https://github.com/mostafa-saad/MyCompetitiveProgramming/blob/master/Olympiad/Baltic/Baltic-09-Monument.txt&amp;sa=D&amp;ust=1605639799795000&amp;usg=AFQjCNG7-5C99D3yK2ZHZCKe-8DsK5dipQ" TargetMode="External"/><Relationship Id="rId1012" Type="http://schemas.openxmlformats.org/officeDocument/2006/relationships/hyperlink" Target="https://www.google.com/url?q=https://github.com/stefdasca/CompetitiveProgramming/blob/master/Infoarena/amenzi.cpp&amp;sa=D&amp;ust=1605639799986000&amp;usg=AFQjCNF4dXqUGzd-xLwRcbvGjYEpOiIrFQ" TargetMode="External"/><Relationship Id="rId1457" Type="http://schemas.openxmlformats.org/officeDocument/2006/relationships/hyperlink" Target="https://www.google.com/url?q=https://github.com/mostafa-saad/MyCompetitiveProgramming/blob/master/Olympiad/Baltic/Baltic-15-hac.txt&amp;sa=D&amp;ust=1605639800364000&amp;usg=AFQjCNGtQrUGOHBneQ9UUlJs4N6l2NcQrw" TargetMode="External"/><Relationship Id="rId1664" Type="http://schemas.openxmlformats.org/officeDocument/2006/relationships/hyperlink" Target="https://www.google.com/url?q=https://github.com/mostafa-saad/MyCompetitiveProgramming/blob/master/Olympiad/POI/POI-18-Plan_Metra.txt&amp;sa=D&amp;ust=1605639800484000&amp;usg=AFQjCNGJDwqpMniE1h6F1P8S-eaHpoqWfw" TargetMode="External"/><Relationship Id="rId1871" Type="http://schemas.openxmlformats.org/officeDocument/2006/relationships/hyperlink" Target="https://www.google.com/url?q=https://cses.fi/112/list/&amp;sa=D&amp;ust=1605639800676000&amp;usg=AFQjCNGpIC22yFvEfaS6By522GWnxY3rlw" TargetMode="External"/><Relationship Id="rId2508" Type="http://schemas.openxmlformats.org/officeDocument/2006/relationships/hyperlink" Target="https://www.google.com/url?q=https://github.com/Yehezkiel01/CompetitiveProgramming/blob/master/JOIOC/JOIOC-14-factories.cpp&amp;sa=D&amp;ust=1605639801812000&amp;usg=AFQjCNG9Me66mGSfgkgvYrrLKUeyveyVFA" TargetMode="External"/><Relationship Id="rId2715" Type="http://schemas.openxmlformats.org/officeDocument/2006/relationships/hyperlink" Target="https://www.google.com/url?q=https://dmoj.ca/problem/coci06c1p3&amp;sa=D&amp;ust=1605639802076000&amp;usg=AFQjCNHgWojZ92gOu4RloeBqMKLLxs5Ivw" TargetMode="External"/><Relationship Id="rId2922" Type="http://schemas.openxmlformats.org/officeDocument/2006/relationships/hyperlink" Target="https://www.google.com/url?q=https://joisc2016.contest.atcoder.jp/tasks/joisc2016_j&amp;sa=D&amp;ust=1605639802293000&amp;usg=AFQjCNFy_0dDlGdK6QVqmLlNoYCNh01gRg" TargetMode="External"/><Relationship Id="rId1317" Type="http://schemas.openxmlformats.org/officeDocument/2006/relationships/hyperlink" Target="https://www.google.com/url?q=https://oj.uz/problem/view/IZhO13_school&amp;sa=D&amp;ust=1605639800209000&amp;usg=AFQjCNHj-f751SJtREghLG6OZ0842XKkMg" TargetMode="External"/><Relationship Id="rId1524" Type="http://schemas.openxmlformats.org/officeDocument/2006/relationships/hyperlink" Target="https://www.google.com/url?q=https://contest.yandex.ru/ioi/contest/558/enter/&amp;sa=D&amp;ust=1605639800390000&amp;usg=AFQjCNEbgT84wVortTXKC4BDM1AhZZdFQQ" TargetMode="External"/><Relationship Id="rId1731" Type="http://schemas.openxmlformats.org/officeDocument/2006/relationships/hyperlink" Target="https://www.google.com/url?q=https://github.com/stefdasca/CompetitiveProgramming/blob/master/Info1Cup/National%2520Round/Subway%2520(Ro).pdf&amp;sa=D&amp;ust=1605639800508000&amp;usg=AFQjCNEZ4U7gXvZ6YioMKUQEkB0RbdVMLg" TargetMode="External"/><Relationship Id="rId1969" Type="http://schemas.openxmlformats.org/officeDocument/2006/relationships/hyperlink" Target="https://www.google.com/url?q=https://oj.uz/problem/view/COCI18_teoreticar&amp;sa=D&amp;ust=1605639800713000&amp;usg=AFQjCNFeVCIqlDml8YoCMlf3UgTHjqlVDw" TargetMode="External"/><Relationship Id="rId23" Type="http://schemas.openxmlformats.org/officeDocument/2006/relationships/hyperlink" Target="https://www.google.com/url?q=https://github.com/mostafa-saad/MyCompetitiveProgramming/blob/master/Olympiad/COI/COI-14-gta.txt&amp;sa=D&amp;ust=1605639798672000&amp;usg=AFQjCNEzJ-yQWxdHmQjXqUndIlE-sLNMaQ" TargetMode="External"/><Relationship Id="rId1829" Type="http://schemas.openxmlformats.org/officeDocument/2006/relationships/hyperlink" Target="https://www.google.com/url?q=https://joisc2013-day2.contest.atcoder.jp/tasks/joisc2013_spy&amp;sa=D&amp;ust=1605639800600000&amp;usg=AFQjCNG8kjgY2PONyK7zV6LqiS4cFFcRXQ" TargetMode="External"/><Relationship Id="rId2298" Type="http://schemas.openxmlformats.org/officeDocument/2006/relationships/hyperlink" Target="https://www.google.com/url?q=https://dmoj.ca/problem/coci14c5p6&amp;sa=D&amp;ust=1605639801589000&amp;usg=AFQjCNFVOz9M_ulbVbGBya9n124x14eB-A" TargetMode="External"/><Relationship Id="rId172" Type="http://schemas.openxmlformats.org/officeDocument/2006/relationships/hyperlink" Target="https://www.google.com/url?q=https://dmoj.ca/problem/dmpg15s5&amp;sa=D&amp;ust=1605639798779000&amp;usg=AFQjCNHKY0Mjra7f5g_wG8-ZRPWkRtpMEg" TargetMode="External"/><Relationship Id="rId477" Type="http://schemas.openxmlformats.org/officeDocument/2006/relationships/hyperlink" Target="https://www.google.com/url?q=https://github.com/MetalBall887/Competitive-Programming/blob/master/Olympiad/CEOI/CEOI%252009-Logs.cpp&amp;sa=D&amp;ust=1605639799017000&amp;usg=AFQjCNEzHgy1epJv4h-11vIVJenrtuMTFA" TargetMode="External"/><Relationship Id="rId684" Type="http://schemas.openxmlformats.org/officeDocument/2006/relationships/hyperlink" Target="https://www.google.com/url?q=https://wcipeg.com/problem/coci091p6&amp;sa=D&amp;ust=1605639799666000&amp;usg=AFQjCNHJGA2E2FPnjqLftuOxjoVpqRdaBQ" TargetMode="External"/><Relationship Id="rId2060" Type="http://schemas.openxmlformats.org/officeDocument/2006/relationships/hyperlink" Target="https://www.google.com/url?q=https://github.com/updown2/OI-Practice/blob/master/USACO/2014-2015/January/Problem%25203%2520grass.cpp&amp;sa=D&amp;ust=1605639800794000&amp;usg=AFQjCNEwYEkLoi31y21XIHzhVf9W-GhVGA" TargetMode="External"/><Relationship Id="rId2158" Type="http://schemas.openxmlformats.org/officeDocument/2006/relationships/hyperlink" Target="https://www.google.com/url?q=https://github.com/mostafa-saad/MyCompetitiveProgramming/blob/master/Olympiad/COCI/COCI-13-cokolade.txt&amp;sa=D&amp;ust=1605639800871000&amp;usg=AFQjCNGCKti0WWeckLhBkE-aTGNGpDAbUw" TargetMode="External"/><Relationship Id="rId2365" Type="http://schemas.openxmlformats.org/officeDocument/2006/relationships/hyperlink" Target="https://www.google.com/url?q=https://github.com/mostafa-saad/MyCompetitiveProgramming/blob/master/Olympiad/POI/official/find_editorial_sols_guidelines.txt&amp;sa=D&amp;ust=1605639801686000&amp;usg=AFQjCNFKBKlj6Jz6CoqDsSE2c88KOKiLLA" TargetMode="External"/><Relationship Id="rId337" Type="http://schemas.openxmlformats.org/officeDocument/2006/relationships/hyperlink" Target="https://www.google.com/url?q=https://github.com/mostafa-saad/MyCompetitiveProgramming/blob/master/Olympiad/COCI/official/2009/regional_solutions&amp;sa=D&amp;ust=1605639798899000&amp;usg=AFQjCNEHy5NFvnZvLJwnhvMeKad3iYVq_g" TargetMode="External"/><Relationship Id="rId891" Type="http://schemas.openxmlformats.org/officeDocument/2006/relationships/hyperlink" Target="https://www.google.com/url?q=https://github.com/mostafa-saad/MyCompetitiveProgramming/blob/master/Olympiad/POI/POI-16-Messenger.txt&amp;sa=D&amp;ust=1605639799888000&amp;usg=AFQjCNHr75Y__jmL958eDxc4Wuae38bRtg" TargetMode="External"/><Relationship Id="rId989" Type="http://schemas.openxmlformats.org/officeDocument/2006/relationships/hyperlink" Target="https://www.google.com/url?q=https://cses.fi/problemset/task/1112/&amp;sa=D&amp;ust=1605639799978000&amp;usg=AFQjCNGr2NmG1inAR3YIpy8nVNW-wN59ZA" TargetMode="External"/><Relationship Id="rId2018" Type="http://schemas.openxmlformats.org/officeDocument/2006/relationships/hyperlink" Target="https://www.google.com/url?q=https://github.com/tmwilliamlin168/CompetitiveProgramming/blob/master/BkOI/11-Time_Is_Money.cpp&amp;sa=D&amp;ust=1605639800777000&amp;usg=AFQjCNGa5gp9OQHF8UJHQKvkOw3oF9Y8Xw" TargetMode="External"/><Relationship Id="rId2572" Type="http://schemas.openxmlformats.org/officeDocument/2006/relationships/hyperlink" Target="https://www.google.com/url?q=http://usaco.org/index.php?page%3Dviewproblem2%26cpid%3D925&amp;sa=D&amp;ust=1605639801886000&amp;usg=AFQjCNHpGr4EcyPqgpYYBHZlJ4ls6kSe6Q" TargetMode="External"/><Relationship Id="rId2877" Type="http://schemas.openxmlformats.org/officeDocument/2006/relationships/hyperlink" Target="https://www.google.com/url?q=https://dunjudge.me/analysis/problems/1659/&amp;sa=D&amp;ust=1605639802210000&amp;usg=AFQjCNGg3XQNTe_DOiEDSqTbdvsNU2kvuA" TargetMode="External"/><Relationship Id="rId544" Type="http://schemas.openxmlformats.org/officeDocument/2006/relationships/hyperlink" Target="https://www.google.com/url?q=https://oj.uz/problems/source/314&amp;sa=D&amp;ust=1605639799105000&amp;usg=AFQjCNFEobmKxbwptf_gfTEgEg7d1zBllA" TargetMode="External"/><Relationship Id="rId751" Type="http://schemas.openxmlformats.org/officeDocument/2006/relationships/hyperlink" Target="https://www.google.com/url?q=https://joisc2013-day1.contest.atcoder.jp/tasks/joisc2013_collecting&amp;sa=D&amp;ust=1605639799708000&amp;usg=AFQjCNEVmEKxovdmTRZck4XttyaBdQuD1A" TargetMode="External"/><Relationship Id="rId849" Type="http://schemas.openxmlformats.org/officeDocument/2006/relationships/hyperlink" Target="https://www.google.com/url?q=https://github.com/stefdasca/CompetitiveProgramming/blob/master/Infoarena/zuma.cpp&amp;sa=D&amp;ust=1605639799812000&amp;usg=AFQjCNHNODoFBdqL_72j_hbZj7KsVw9siw" TargetMode="External"/><Relationship Id="rId1174" Type="http://schemas.openxmlformats.org/officeDocument/2006/relationships/hyperlink" Target="https://www.google.com/url?q=https://oj.uz/problem/view/APIO13_robots&amp;sa=D&amp;ust=1605639800109000&amp;usg=AFQjCNHk8Dpr_9Ajde_WmLhClZs8job-Wg" TargetMode="External"/><Relationship Id="rId1381" Type="http://schemas.openxmlformats.org/officeDocument/2006/relationships/hyperlink" Target="https://www.google.com/url?q=https://github.com/stefdasca/CompetitiveProgramming/blob/master/Infoarena/borcane.cpp&amp;sa=D&amp;ust=1605639800287000&amp;usg=AFQjCNHo1rdnErqQy2Z4vjMOKUK3NCpN3A" TargetMode="External"/><Relationship Id="rId1479" Type="http://schemas.openxmlformats.org/officeDocument/2006/relationships/hyperlink" Target="https://www.google.com/url?q=https://github.com/mostafa-saad/MyCompetitiveProgramming/blob/master/Olympiad/CEOI/CEOI-04-Clouds.txt&amp;sa=D&amp;ust=1605639800372000&amp;usg=AFQjCNEf8KQzk8uIPmB7Iz-O2y3-jwBOzw" TargetMode="External"/><Relationship Id="rId1686" Type="http://schemas.openxmlformats.org/officeDocument/2006/relationships/hyperlink" Target="https://www.google.com/url?q=https://github.com/mostafa-saad/MyCompetitiveProgramming/blob/master/Olympiad/Baltic/Baltic-17-Railway.txt&amp;sa=D&amp;ust=1605639800493000&amp;usg=AFQjCNFa8ma0AfEdcGD6p_OfP1IfkQPWlg" TargetMode="External"/><Relationship Id="rId2225" Type="http://schemas.openxmlformats.org/officeDocument/2006/relationships/hyperlink" Target="https://www.google.com/url?q=https://github.com/stefdasca/CompetitiveProgramming/blob/master/Infoarena/color.cpp&amp;sa=D&amp;ust=1605639800898000&amp;usg=AFQjCNHb3FsMTeadSMM-gpyqncf7M4levA" TargetMode="External"/><Relationship Id="rId2432" Type="http://schemas.openxmlformats.org/officeDocument/2006/relationships/hyperlink" Target="https://www.google.com/url?q=https://github.com/mostafa-saad/MyCompetitiveProgramming/blob/master/Olympiad/POI/official/find_editorial_sols_guidelines.txt&amp;sa=D&amp;ust=1605639801784000&amp;usg=AFQjCNFpgOupSVMyA7tf-mA2ccaSu-vA_A" TargetMode="External"/><Relationship Id="rId404" Type="http://schemas.openxmlformats.org/officeDocument/2006/relationships/hyperlink" Target="https://www.google.com/url?q=https://github.com/stefdasca/CompetitiveProgramming/blob/master/Infoarena/cartite.cpp&amp;sa=D&amp;ust=1605639798985000&amp;usg=AFQjCNG6BKzg2CU_Z2TvdBR5YGPV80wEKw" TargetMode="External"/><Relationship Id="rId611" Type="http://schemas.openxmlformats.org/officeDocument/2006/relationships/hyperlink" Target="https://www.google.com/url?q=https://dunjudge.me/analysis/problems/146/&amp;sa=D&amp;ust=1605639799167000&amp;usg=AFQjCNE7G1c_7-SodKP7_xdGCO-EBYVz5w" TargetMode="External"/><Relationship Id="rId1034" Type="http://schemas.openxmlformats.org/officeDocument/2006/relationships/hyperlink" Target="https://www.google.com/url?q=https://www.infoarena.ro/problema/nkbiti&amp;sa=D&amp;ust=1605639799992000&amp;usg=AFQjCNFdyiETguUGAlt68aaZYQi8p6nFKg" TargetMode="External"/><Relationship Id="rId1241" Type="http://schemas.openxmlformats.org/officeDocument/2006/relationships/hyperlink" Target="https://www.google.com/url?q=https://dunjudge.me/analysis/problems/1362/&amp;sa=D&amp;ust=1605639800181000&amp;usg=AFQjCNFlR90bbmPQs4QRNi5cRXeOvjh9hA" TargetMode="External"/><Relationship Id="rId1339" Type="http://schemas.openxmlformats.org/officeDocument/2006/relationships/hyperlink" Target="https://www.google.com/url?q=https://oj.uz/problem/view/BOI18_zalmoxis&amp;sa=D&amp;ust=1605639800220000&amp;usg=AFQjCNHMsVfP1cmXrMvop_SmfGRo2JvqSA" TargetMode="External"/><Relationship Id="rId1893" Type="http://schemas.openxmlformats.org/officeDocument/2006/relationships/hyperlink" Target="https://www.google.com/url?q=https://csacademy.com/contest/ioi-2016-training-round-1/task/hallway&amp;sa=D&amp;ust=1605639800686000&amp;usg=AFQjCNEGV9NRCcBpdL_3hfnLZZq0k27K7g" TargetMode="External"/><Relationship Id="rId2737" Type="http://schemas.openxmlformats.org/officeDocument/2006/relationships/hyperlink" Target="https://www.google.com/url?q=https://dmoj.ca/problem/coci07c3p2&amp;sa=D&amp;ust=1605639802088000&amp;usg=AFQjCNEvZ_ZPDawnDHyyrPf_qsadrZnaow" TargetMode="External"/><Relationship Id="rId2944" Type="http://schemas.openxmlformats.org/officeDocument/2006/relationships/hyperlink" Target="https://www.google.com/url?q=https://dunjudge.me/analysis/problems/42/&amp;sa=D&amp;ust=1605639802304000&amp;usg=AFQjCNFP-u4RuSEjU0IZ_RmCK9acL3Yzxw" TargetMode="External"/><Relationship Id="rId709" Type="http://schemas.openxmlformats.org/officeDocument/2006/relationships/hyperlink" Target="https://www.google.com/url?q=https://github.com/mostafa-saad/MyCompetitiveProgramming/blob/master/Olympiad/COI/COI-14-krave.txt&amp;sa=D&amp;ust=1605639799676000&amp;usg=AFQjCNEHnm51JxzAQEX67Z4XnxOKJYBhxQ" TargetMode="External"/><Relationship Id="rId916" Type="http://schemas.openxmlformats.org/officeDocument/2006/relationships/hyperlink" Target="https://www.google.com/url?q=https://github.com/mostafa-saad/MyCompetitiveProgramming/blob/master/Olympiad/COCI/COCI-07-Cestarine.txt&amp;sa=D&amp;ust=1605639799898000&amp;usg=AFQjCNE2sdAnoS4cO_-CGxin3xUr_PzZgQ" TargetMode="External"/><Relationship Id="rId1101" Type="http://schemas.openxmlformats.org/officeDocument/2006/relationships/hyperlink" Target="https://www.google.com/url?q=https://dunjudge.me/analysis/problems/958/&amp;sa=D&amp;ust=1605639800071000&amp;usg=AFQjCNH-92Z3wncjRVgijT8j6MZOb6koPw" TargetMode="External"/><Relationship Id="rId1546" Type="http://schemas.openxmlformats.org/officeDocument/2006/relationships/hyperlink" Target="https://www.google.com/url?q=https://github.com/mostafa-saad/MyCompetitiveProgramming/blob/master/Olympiad/COCI/COCI-06-Straza.txt&amp;sa=D&amp;ust=1605639800397000&amp;usg=AFQjCNGaA9LyhPGgxm9fgAfFa43AS-FETQ" TargetMode="External"/><Relationship Id="rId1753" Type="http://schemas.openxmlformats.org/officeDocument/2006/relationships/hyperlink" Target="https://www.google.com/url?q=https://wcipeg.com/problem/coci092p5&amp;sa=D&amp;ust=1605639800569000&amp;usg=AFQjCNG7oq7xTB4X-6PoXo4k-yZcfVc0Vw" TargetMode="External"/><Relationship Id="rId1960" Type="http://schemas.openxmlformats.org/officeDocument/2006/relationships/hyperlink" Target="https://www.google.com/url?q=https://github.com/stefdasca/CompetitiveProgramming/blob/master/Infoarena/secvmax.cpp&amp;sa=D&amp;ust=1605639800710000&amp;usg=AFQjCNGm0teAuBiyYX1M4GjKNrK_Ko0p1g" TargetMode="External"/><Relationship Id="rId2804" Type="http://schemas.openxmlformats.org/officeDocument/2006/relationships/hyperlink" Target="https://www.google.com/url?q=https://dmoj.ca/problem/coci14c6p4&amp;sa=D&amp;ust=1605639802171000&amp;usg=AFQjCNHN-0QWwvZG8chmMFBzK6a5KOW-4w" TargetMode="External"/><Relationship Id="rId45" Type="http://schemas.openxmlformats.org/officeDocument/2006/relationships/hyperlink" Target="https://www.google.com/url?q=https://csacademy.com/contest/ioi-2016-training-round-3/task/telegraph/&amp;sa=D&amp;ust=1605639798680000&amp;usg=AFQjCNElgUeI7vy33745xxndFCdetRLn1w" TargetMode="External"/><Relationship Id="rId1406" Type="http://schemas.openxmlformats.org/officeDocument/2006/relationships/hyperlink" Target="https://www.google.com/url?q=https://csacademy.com/contest/junior-challenge-2017-day-2/task/set-subtraction&amp;sa=D&amp;ust=1605639800297000&amp;usg=AFQjCNG7pX2UG-3lClF54Ynk86IkYegk9g" TargetMode="External"/><Relationship Id="rId1613" Type="http://schemas.openxmlformats.org/officeDocument/2006/relationships/hyperlink" Target="https://www.google.com/url?q=https://github.com/mostafa-saad/MyCompetitiveProgramming/blob/master/Olympiad/IOI/official/2016&amp;sa=D&amp;ust=1605639800424000&amp;usg=AFQjCNFmt0zeJz42QDlC46z5zM_fYhAcQA" TargetMode="External"/><Relationship Id="rId1820" Type="http://schemas.openxmlformats.org/officeDocument/2006/relationships/hyperlink" Target="https://www.google.com/url?q=https://oj.uz/problem/view/COCI17_usmjeri&amp;sa=D&amp;ust=1605639800597000&amp;usg=AFQjCNEfZvl6KxQiubTO3buB90ww0AilUA" TargetMode="External"/><Relationship Id="rId194" Type="http://schemas.openxmlformats.org/officeDocument/2006/relationships/hyperlink" Target="https://www.google.com/url?q=https://github.com/mostafa-saad/MyCompetitiveProgramming/tree/master/Olympiad/MCO/official&amp;sa=D&amp;ust=1605639798787000&amp;usg=AFQjCNFMPyOtGrdLm0OQOK4cWQat8wlS1w" TargetMode="External"/><Relationship Id="rId1918" Type="http://schemas.openxmlformats.org/officeDocument/2006/relationships/hyperlink" Target="https://www.google.com/url?q=https://github.com/mostafa-saad/MyCompetitiveProgramming/tree/master/Olympiad/MCO/official&amp;sa=D&amp;ust=1605639800695000&amp;usg=AFQjCNE-NmzxM73oQrb6-oUE96517OUtyA" TargetMode="External"/><Relationship Id="rId2082" Type="http://schemas.openxmlformats.org/officeDocument/2006/relationships/hyperlink" Target="https://www.google.com/url?q=https://cses.fi/192/list/&amp;sa=D&amp;ust=1605639800803000&amp;usg=AFQjCNEH73dEIkoVatxM3fxErKKYoJuw7A" TargetMode="External"/><Relationship Id="rId261" Type="http://schemas.openxmlformats.org/officeDocument/2006/relationships/hyperlink" Target="https://www.google.com/url?q=https://wcipeg.com/problem/coci096p1&amp;sa=D&amp;ust=1605639798867000&amp;usg=AFQjCNHVkqJrzNU2WDrp2xexSs0hiKBSbg" TargetMode="External"/><Relationship Id="rId499" Type="http://schemas.openxmlformats.org/officeDocument/2006/relationships/hyperlink" Target="https://www.google.com/url?q=https://oj.uz/problem/view/JOI19_examination&amp;sa=D&amp;ust=1605639799086000&amp;usg=AFQjCNGXw9VaGQNqP0Vp2lAVHaA1kQ4S5g" TargetMode="External"/><Relationship Id="rId2387" Type="http://schemas.openxmlformats.org/officeDocument/2006/relationships/hyperlink" Target="https://www.google.com/url?q=https://github.com/stefdasca/CompetitiveProgramming/blob/master/Info1Cup/National%2520Round/treasure.cpp&amp;sa=D&amp;ust=1605639801702000&amp;usg=AFQjCNFZXGgLhJ6wuik3K5F7QUqtegni3w" TargetMode="External"/><Relationship Id="rId2594" Type="http://schemas.openxmlformats.org/officeDocument/2006/relationships/hyperlink" Target="https://www.google.com/url?q=https://oj.uz/problems/source/213&amp;sa=D&amp;ust=1605639801900000&amp;usg=AFQjCNFeUn_sl2K8LuyK4pmu8vDHKkYnvg" TargetMode="External"/><Relationship Id="rId359" Type="http://schemas.openxmlformats.org/officeDocument/2006/relationships/hyperlink" Target="https://www.google.com/url?q=https://github.com/mostafa-saad/MyCompetitiveProgramming/blob/master/Olympiad/NOI/official/2011.pptx&amp;sa=D&amp;ust=1605639798908000&amp;usg=AFQjCNG3ZJUP3W52w4zyKa0ukb0DFCLMqQ" TargetMode="External"/><Relationship Id="rId566" Type="http://schemas.openxmlformats.org/officeDocument/2006/relationships/hyperlink" Target="https://www.google.com/url?q=https://github.com/mostafa-saad/MyCompetitiveProgramming/blob/master/Olympiad/COI/COI-16-torrent.txt&amp;sa=D&amp;ust=1605639799114000&amp;usg=AFQjCNHH0II0bURxbx63oSJGUUcfX49R3g" TargetMode="External"/><Relationship Id="rId773" Type="http://schemas.openxmlformats.org/officeDocument/2006/relationships/hyperlink" Target="https://www.google.com/url?q=https://oj.uz/problems/source/6&amp;sa=D&amp;ust=1605639799717000&amp;usg=AFQjCNE93ylpmmhVjRReMbJZoBr_hQSWBw" TargetMode="External"/><Relationship Id="rId1196" Type="http://schemas.openxmlformats.org/officeDocument/2006/relationships/hyperlink" Target="https://www.google.com/url?q=https://github.com/mostafa-saad/MyCompetitiveProgramming/blob/master/Olympiad/POI/POI-15-Gluttons.txt&amp;sa=D&amp;ust=1605639800118000&amp;usg=AFQjCNEzaNCFd0GgQ3YB-Gabw70PbZc0sQ" TargetMode="External"/><Relationship Id="rId2247" Type="http://schemas.openxmlformats.org/officeDocument/2006/relationships/hyperlink" Target="https://www.google.com/url?q=https://szkopul.edu.pl/problemset/problem/zKf5Ua8okcS0jngsrTgKVM9L/site/&amp;sa=D&amp;ust=1605639800907000&amp;usg=AFQjCNEJ_kI8sZLWL6nA_SEVM3kegtiaJA" TargetMode="External"/><Relationship Id="rId2454" Type="http://schemas.openxmlformats.org/officeDocument/2006/relationships/hyperlink" Target="https://www.google.com/url?q=https://github.com/mostafa-saad/MyCompetitiveProgramming/blob/master/Olympiad/COI/COI-07-Umnozak.txt&amp;sa=D&amp;ust=1605639801793000&amp;usg=AFQjCNEByf2pZ3ZDvzlq-r-lGdWN0gUYbA" TargetMode="External"/><Relationship Id="rId2899" Type="http://schemas.openxmlformats.org/officeDocument/2006/relationships/hyperlink" Target="https://www.google.com/url?q=https://joisc2014.contest.atcoder.jp/tasks/joisc2014_d&amp;sa=D&amp;ust=1605639802277000&amp;usg=AFQjCNHud7MAkKzJHGcLGaEUZB-dCtMv7A" TargetMode="External"/><Relationship Id="rId121" Type="http://schemas.openxmlformats.org/officeDocument/2006/relationships/hyperlink" Target="https://www.google.com/url?q=https://dunjudge.me/analysis/problems/698/&amp;sa=D&amp;ust=1605639798721000&amp;usg=AFQjCNH-OoMgpi6-fx0uTrs1w1W53QSuNA" TargetMode="External"/><Relationship Id="rId219" Type="http://schemas.openxmlformats.org/officeDocument/2006/relationships/hyperlink" Target="https://www.google.com/url?q=https://www.infoarena.ro/problema/munte4&amp;sa=D&amp;ust=1605639798798000&amp;usg=AFQjCNGpuoBrvslhfmOQOYeCGqV0ff9bIw" TargetMode="External"/><Relationship Id="rId426" Type="http://schemas.openxmlformats.org/officeDocument/2006/relationships/hyperlink" Target="https://www.google.com/url?q=https://cses.fi/204/list/&amp;sa=D&amp;ust=1605639798996000&amp;usg=AFQjCNH4aag0nnT5SNLrnMs0VGiRs3FCzg" TargetMode="External"/><Relationship Id="rId633" Type="http://schemas.openxmlformats.org/officeDocument/2006/relationships/hyperlink" Target="https://www.google.com/url?q=https://github.com/mostafa-saad/MyCompetitiveProgramming/blob/master/Olympiad/IOI/IOI-18-meetings.txt&amp;sa=D&amp;ust=1605639799178000&amp;usg=AFQjCNH-TapBRuoPSVnL28u7BdS7oQ5VtQ" TargetMode="External"/><Relationship Id="rId980" Type="http://schemas.openxmlformats.org/officeDocument/2006/relationships/hyperlink" Target="https://www.google.com/url?q=https://www.infoarena.ro/problema/pitici&amp;sa=D&amp;ust=1605639799972000&amp;usg=AFQjCNEIZjXEdF06tiTaM0kxSqAu97jzbQ" TargetMode="External"/><Relationship Id="rId1056" Type="http://schemas.openxmlformats.org/officeDocument/2006/relationships/hyperlink" Target="https://www.google.com/url?q=https://cses.fi/105/list/&amp;sa=D&amp;ust=1605639800003000&amp;usg=AFQjCNEG5Xf1Mdjr5i7V9Ha52Tj0LPp7Aw" TargetMode="External"/><Relationship Id="rId1263" Type="http://schemas.openxmlformats.org/officeDocument/2006/relationships/hyperlink" Target="https://www.google.com/url?q=https://oj.uz/problem/view/IOI19_job&amp;sa=D&amp;ust=1605639800190000&amp;usg=AFQjCNEzv9RNkF6psfIRE8sKu1uzkauy_Q" TargetMode="External"/><Relationship Id="rId2107" Type="http://schemas.openxmlformats.org/officeDocument/2006/relationships/hyperlink" Target="https://www.google.com/url?q=https://oj.uz/problems/source/314&amp;sa=D&amp;ust=1605639800810000&amp;usg=AFQjCNEa217nnXf_-1CWxGXn9PZAsvUtDg" TargetMode="External"/><Relationship Id="rId2314" Type="http://schemas.openxmlformats.org/officeDocument/2006/relationships/hyperlink" Target="https://www.google.com/url?q=https://joisc2013-day4.contest.atcoder.jp/tasks/joisc2013_spaceships&amp;sa=D&amp;ust=1605639801596000&amp;usg=AFQjCNGsJdlngf4nTcyfPCdtw-3fkrFiJQ" TargetMode="External"/><Relationship Id="rId2661" Type="http://schemas.openxmlformats.org/officeDocument/2006/relationships/hyperlink" Target="https://www.google.com/url?q=https://github.com/mostafa-saad/MyCompetitiveProgramming/blob/master/Olympiad/COCI/COCI-17-osmosmjerka.txt&amp;sa=D&amp;ust=1605639801992000&amp;usg=AFQjCNFgUWIK_e7HJwGJlP9gnZ4BmcEyHQ" TargetMode="External"/><Relationship Id="rId2759" Type="http://schemas.openxmlformats.org/officeDocument/2006/relationships/hyperlink" Target="https://www.google.com/url?q=https://dmoj.ca/problem/coci08c1p3&amp;sa=D&amp;ust=1605639802095000&amp;usg=AFQjCNH77jyLWG_d9TUPySPz4S1WgFurJA" TargetMode="External"/><Relationship Id="rId2966" Type="http://schemas.openxmlformats.org/officeDocument/2006/relationships/hyperlink" Target="https://www.google.com/url?q=https://oj.uz/problem/view/POI11_dyn&amp;sa=D&amp;ust=1605639802373000&amp;usg=AFQjCNHAi_hBmm8SEjLFkLwijcyUIzLk6A" TargetMode="External"/><Relationship Id="rId840" Type="http://schemas.openxmlformats.org/officeDocument/2006/relationships/hyperlink" Target="https://www.google.com/url?q=https://github.com/mostafa-saad/MyCompetitiveProgramming/blob/master/Olympiad/CEOI/CEOI-09-Sorting.txt&amp;sa=D&amp;ust=1605639799800000&amp;usg=AFQjCNFCWVV7OLxLaOzandiyeS3BQhi8vA" TargetMode="External"/><Relationship Id="rId938" Type="http://schemas.openxmlformats.org/officeDocument/2006/relationships/hyperlink" Target="https://www.google.com/url?q=https://github.com/thecodingwizard/competitive-programming/blob/master/IOI/IOIPractice%252016-polygon.cpp&amp;sa=D&amp;ust=1605639799905000&amp;usg=AFQjCNFMX05aMr7SOBhMqW7_uTD39E5o6A" TargetMode="External"/><Relationship Id="rId1470" Type="http://schemas.openxmlformats.org/officeDocument/2006/relationships/hyperlink" Target="https://www.google.com/url?q=https://contest.yandex.ru/ioi/contest/562/problems/E/&amp;sa=D&amp;ust=1605639800369000&amp;usg=AFQjCNGhT1RH86V1XFX25IUd6lps-a7pcQ" TargetMode="External"/><Relationship Id="rId1568" Type="http://schemas.openxmlformats.org/officeDocument/2006/relationships/hyperlink" Target="https://www.google.com/url?q=https://oj.uz/problem/view/CEOI18_tri&amp;sa=D&amp;ust=1605639800406000&amp;usg=AFQjCNFRhDK8HnDk_8pFhLqpS6EW3QUv-w" TargetMode="External"/><Relationship Id="rId1775" Type="http://schemas.openxmlformats.org/officeDocument/2006/relationships/hyperlink" Target="https://www.google.com/url?q=https://dunjudge.me/analysis/problems/150/&amp;sa=D&amp;ust=1605639800577000&amp;usg=AFQjCNFFKu50uYVRSPR9Nqky5jAxKaVFUQ" TargetMode="External"/><Relationship Id="rId2521" Type="http://schemas.openxmlformats.org/officeDocument/2006/relationships/hyperlink" Target="https://www.google.com/url?q=https://szkopul.edu.pl/problemset/problem/X_XFcxCm1xIAk2alKtQLN79O/site/&amp;sa=D&amp;ust=1605639801869000&amp;usg=AFQjCNH3wklpcwRrVnaK_xrlH8VH3J7vnA" TargetMode="External"/><Relationship Id="rId2619" Type="http://schemas.openxmlformats.org/officeDocument/2006/relationships/hyperlink" Target="https://www.google.com/url?q=https://github.com/mostafa-saad/MyCompetitiveProgramming/blob/master/Olympiad/COCI/COCI-15-uzastopni.txt&amp;sa=D&amp;ust=1605639801976000&amp;usg=AFQjCNE-NDiS6OPMW4PUKrz81vH2_VnZ0w" TargetMode="External"/><Relationship Id="rId2826" Type="http://schemas.openxmlformats.org/officeDocument/2006/relationships/hyperlink" Target="https://www.google.com/url?q=https://oj.uz/problem/view/COCI19_kisik&amp;sa=D&amp;ust=1605639802180000&amp;usg=AFQjCNGcLyw0LzD8gVNJfTL1dFIkbrtjlw" TargetMode="External"/><Relationship Id="rId67" Type="http://schemas.openxmlformats.org/officeDocument/2006/relationships/hyperlink" Target="https://www.google.com/url?q=https://github.com/mostafa-saad/MyCompetitiveProgramming/blob/master/Olympiad/OSN/OSN_16-1B.txt&amp;sa=D&amp;ust=1605639798691000&amp;usg=AFQjCNFrBMlGzJFnExsZdMnugGbmepmWMw" TargetMode="External"/><Relationship Id="rId700" Type="http://schemas.openxmlformats.org/officeDocument/2006/relationships/hyperlink" Target="https://www.google.com/url?q=https://codeforces.com/gym/102257/&amp;sa=D&amp;ust=1605639799673000&amp;usg=AFQjCNG1g4yuLzGa9sDiFgkLHck-7zcKxw" TargetMode="External"/><Relationship Id="rId1123" Type="http://schemas.openxmlformats.org/officeDocument/2006/relationships/hyperlink" Target="https://www.google.com/url?q=https://www.infoarena.ro/problema/tablou&amp;sa=D&amp;ust=1605639800079000&amp;usg=AFQjCNE1nTuDRyueL2LohIH_EwHd0lZRlQ" TargetMode="External"/><Relationship Id="rId1330" Type="http://schemas.openxmlformats.org/officeDocument/2006/relationships/hyperlink" Target="https://www.google.com/url?q=https://github.com/mostafa-saad/MyCompetitiveProgramming/blob/master/Olympiad/NOI/NOI-17-rmq.txt&amp;sa=D&amp;ust=1605639800217000&amp;usg=AFQjCNE3eDiv2CP0nQk4zFYEuPcuvlo0XA" TargetMode="External"/><Relationship Id="rId1428" Type="http://schemas.openxmlformats.org/officeDocument/2006/relationships/hyperlink" Target="https://www.google.com/url?q=https://github.com/mostafa-saad/MyCompetitiveProgramming/blob/master/Olympiad/NOI/official&amp;sa=D&amp;ust=1605639800308000&amp;usg=AFQjCNERCg8aKG1FjNoVxco3aF0o32hz1A" TargetMode="External"/><Relationship Id="rId1635" Type="http://schemas.openxmlformats.org/officeDocument/2006/relationships/hyperlink" Target="https://www.google.com/url?q=https://github.com/mostafa-saad/MyCompetitiveProgramming/blob/master/Olympiad/POI/official/find_editorial_sols_guidelines.txt&amp;sa=D&amp;ust=1605639800472000&amp;usg=AFQjCNEKYAlRfnYcwZ8GPqF26RLutKdXiA" TargetMode="External"/><Relationship Id="rId1982" Type="http://schemas.openxmlformats.org/officeDocument/2006/relationships/hyperlink" Target="https://www.google.com/url?q=https://github.com/mostafa-saad/MyCompetitiveProgramming/blob/master/Olympiad/NOI/NOI-14-obelisk.txt&amp;sa=D&amp;ust=1605639800717000&amp;usg=AFQjCNFzIlk_X0X60DpV4yBCLDy507CC8Q" TargetMode="External"/><Relationship Id="rId1842" Type="http://schemas.openxmlformats.org/officeDocument/2006/relationships/hyperlink" Target="https://www.google.com/url?q=https://dunjudge.me/analysis/problems/960/&amp;sa=D&amp;ust=1605639800606000&amp;usg=AFQjCNEUyuNyPrt3T3mUPBTBBhYq-KvD_w" TargetMode="External"/><Relationship Id="rId1702" Type="http://schemas.openxmlformats.org/officeDocument/2006/relationships/hyperlink" Target="https://www.google.com/url?q=https://www.infoarena.ro/problema/color5&amp;sa=D&amp;ust=1605639800498000&amp;usg=AFQjCNGQmVA0g5ce50z4b9kkJogx0A4jNg" TargetMode="External"/><Relationship Id="rId283" Type="http://schemas.openxmlformats.org/officeDocument/2006/relationships/hyperlink" Target="https://www.google.com/url?q=https://dmoj.ca/problem/coci06c2p2&amp;sa=D&amp;ust=1605639798876000&amp;usg=AFQjCNHIw_cYUGdJhIpEqFi6uQ38-80K3g" TargetMode="External"/><Relationship Id="rId490" Type="http://schemas.openxmlformats.org/officeDocument/2006/relationships/hyperlink" Target="https://www.google.com/url?q=https://github.com/mostafa-saad/MyCompetitiveProgramming/blob/master/Olympiad/infoarena/infoarena_regat.txt&amp;sa=D&amp;ust=1605639799081000&amp;usg=AFQjCNFrUKIhcCKVM1O_A4bBN7ntZTin-Q" TargetMode="External"/><Relationship Id="rId2171" Type="http://schemas.openxmlformats.org/officeDocument/2006/relationships/hyperlink" Target="https://www.google.com/url?q=https://infoarena.ro/problema/abx&amp;sa=D&amp;ust=1605639800875000&amp;usg=AFQjCNFJb0A0bk35eQS2nQz68byJygPUGQ" TargetMode="External"/><Relationship Id="rId143" Type="http://schemas.openxmlformats.org/officeDocument/2006/relationships/hyperlink" Target="https://www.google.com/url?q=https://github.com/mostafa-saad/MyCompetitiveProgramming/blob/master/Olympiad/IOI/IOI-16-tetris.txt&amp;sa=D&amp;ust=1605639798764000&amp;usg=AFQjCNENXZYvif8OHxyo-XJplJygVCtm2g" TargetMode="External"/><Relationship Id="rId350" Type="http://schemas.openxmlformats.org/officeDocument/2006/relationships/hyperlink" Target="https://www.google.com/url?q=https://oj.uz/problem/view/COCI17_kartomat&amp;sa=D&amp;ust=1605639798905000&amp;usg=AFQjCNHVdG_6IOKPYf9EFbekoaQ3sbAlZQ" TargetMode="External"/><Relationship Id="rId588" Type="http://schemas.openxmlformats.org/officeDocument/2006/relationships/hyperlink" Target="https://www.google.com/url?q=https://szkopul.edu.pl/problemset/problem/Cs38m8lWFnOfDskXf43HR3lN/site/&amp;sa=D&amp;ust=1605639799122000&amp;usg=AFQjCNG5S-mPiIobOt42Vrwh28mTvMwgog" TargetMode="External"/><Relationship Id="rId795" Type="http://schemas.openxmlformats.org/officeDocument/2006/relationships/hyperlink" Target="https://www.google.com/url?q=https://github.com/mostafa-saad/MyCompetitiveProgramming/blob/master/Olympiad/JOI/COCI/COCI-15-vudu.txt&amp;sa=D&amp;ust=1605639799780000&amp;usg=AFQjCNGO4OsYc80XqTc2KK1_HY7LlrbXZQ" TargetMode="External"/><Relationship Id="rId2031" Type="http://schemas.openxmlformats.org/officeDocument/2006/relationships/hyperlink" Target="https://www.google.com/url?q=https://github.com/zoooma13/Competitive-Programming/blob/master/trail_maintenance.cpp&amp;sa=D&amp;ust=1605639800781000&amp;usg=AFQjCNESF1NhN60i6x3CnpSwrOTs4hmZPw" TargetMode="External"/><Relationship Id="rId2269" Type="http://schemas.openxmlformats.org/officeDocument/2006/relationships/hyperlink" Target="https://www.google.com/url?q=https://github.com/mostafa-saad/MyCompetitiveProgramming/blob/master/Olympiad/COI/COI-15-zarulje.txt&amp;sa=D&amp;ust=1605639801563000&amp;usg=AFQjCNFDBBIeXN0nqaa2dkERRjhRu6HvaA" TargetMode="External"/><Relationship Id="rId2476" Type="http://schemas.openxmlformats.org/officeDocument/2006/relationships/hyperlink" Target="https://www.google.com/url?q=https://oj.uz/problem/view/BOI14_coprobber&amp;sa=D&amp;ust=1605639801800000&amp;usg=AFQjCNGQnb1TW80Fm7Wt9eJvZ_Ns70xnLw" TargetMode="External"/><Relationship Id="rId2683" Type="http://schemas.openxmlformats.org/officeDocument/2006/relationships/hyperlink" Target="https://www.google.com/url?q=https://www.acmicpc.net/problem/7080&amp;sa=D&amp;ust=1605639802004000&amp;usg=AFQjCNEGt8-EX3IIb7nTMG4M7FSbWWTRHQ" TargetMode="External"/><Relationship Id="rId2890" Type="http://schemas.openxmlformats.org/officeDocument/2006/relationships/hyperlink" Target="https://www.google.com/url?q=https://oj.uz/problem/view/JOI15_election_campaign&amp;sa=D&amp;ust=1605639802271000&amp;usg=AFQjCNGf4q0GOt4HFtKui3SDTEwDBWxW2A" TargetMode="External"/><Relationship Id="rId9" Type="http://schemas.openxmlformats.org/officeDocument/2006/relationships/hyperlink" Target="https://www.google.com/url?q=https://github.com/tmwilliamlin168/CompetitiveProgramming/blob/master/APIO/12-Kunai.cpp&amp;sa=D&amp;ust=1605639798667000&amp;usg=AFQjCNHQy_LfvZ3GD3tNPd_zVrOGg1YrNg" TargetMode="External"/><Relationship Id="rId210" Type="http://schemas.openxmlformats.org/officeDocument/2006/relationships/hyperlink" Target="https://www.google.com/url?q=https://ipsc.ksp.sk/2018/real/problems/h.html&amp;sa=D&amp;ust=1605639798793000&amp;usg=AFQjCNFDAX-stYZnZ808WQFqfHml-9e63g" TargetMode="External"/><Relationship Id="rId448" Type="http://schemas.openxmlformats.org/officeDocument/2006/relationships/hyperlink" Target="https://www.google.com/url?q=https://www.infoarena.ro/problema/ssdj&amp;sa=D&amp;ust=1605639799006000&amp;usg=AFQjCNGsNOlBbZjVLSkX8x1CNgFh_OD8nA" TargetMode="External"/><Relationship Id="rId655" Type="http://schemas.openxmlformats.org/officeDocument/2006/relationships/hyperlink" Target="https://www.google.com/url?q=https://oj.uz/problem/view/COI18_svjetlost&amp;sa=D&amp;ust=1605639799646000&amp;usg=AFQjCNGd_UisS_R5iGK15yHwAO74HWUWsQ" TargetMode="External"/><Relationship Id="rId862" Type="http://schemas.openxmlformats.org/officeDocument/2006/relationships/hyperlink" Target="https://www.google.com/url?q=https://oj.uz/problem/view/JOI17_abduction2&amp;sa=D&amp;ust=1605639799872000&amp;usg=AFQjCNHbi7gj7WofQd2uVq0_lTqeH-RJxQ" TargetMode="External"/><Relationship Id="rId1078" Type="http://schemas.openxmlformats.org/officeDocument/2006/relationships/hyperlink" Target="https://www.google.com/url?q=https://github.com/mostafa-saad/MyCompetitiveProgramming/blob/master/Olympiad/IOI/IOI-10-traffic.txt&amp;sa=D&amp;ust=1605639800014000&amp;usg=AFQjCNHOZIkTFM20c0AO67ILK-xbniWlaA" TargetMode="External"/><Relationship Id="rId1285" Type="http://schemas.openxmlformats.org/officeDocument/2006/relationships/hyperlink" Target="https://www.google.com/url?q=https://github.com/arvindr9/CompetitiveProgramming/blob/master/CSAcademy/IOI%2520Training%2520Rounds/IOIPractice%252016-balanced-string.cpp&amp;sa=D&amp;ust=1605639800196000&amp;usg=AFQjCNEXnLzOjTJYKpK493xye3d-NEWoVQ" TargetMode="External"/><Relationship Id="rId1492" Type="http://schemas.openxmlformats.org/officeDocument/2006/relationships/hyperlink" Target="https://www.google.com/url?q=https://szkopul.edu.pl/problemset/problem/WXVRycanis3d1h5p63YZqYKs/site/&amp;sa=D&amp;ust=1605639800378000&amp;usg=AFQjCNE_XqG9VfDZfLYNvoxc9Jx3ANnwpw" TargetMode="External"/><Relationship Id="rId2129" Type="http://schemas.openxmlformats.org/officeDocument/2006/relationships/hyperlink" Target="https://www.google.com/url?q=https://codeforces.com/gym/102257/&amp;sa=D&amp;ust=1605639800819000&amp;usg=AFQjCNGJIxVT1wVOccWtlz5jdSweCagMVQ" TargetMode="External"/><Relationship Id="rId2336" Type="http://schemas.openxmlformats.org/officeDocument/2006/relationships/hyperlink" Target="https://www.google.com/url?q=https://cses.fi/110/list/&amp;sa=D&amp;ust=1605639801611000&amp;usg=AFQjCNEaW9IB8uwKIXePK0K7GRXrxMGxQg" TargetMode="External"/><Relationship Id="rId2543" Type="http://schemas.openxmlformats.org/officeDocument/2006/relationships/hyperlink" Target="https://www.google.com/url?q=https://szkopul.edu.pl/problemset/problem/b0BM0al2crQBt6zovEtJfOc6/site/?key%3Dstatement&amp;sa=D&amp;ust=1605639801875000&amp;usg=AFQjCNE00Ms8uJ7tGprDVoL2TA8FYa_eRg" TargetMode="External"/><Relationship Id="rId2750" Type="http://schemas.openxmlformats.org/officeDocument/2006/relationships/hyperlink" Target="https://www.google.com/url?q=https://github.com/mostafa-saad/MyCompetitiveProgramming/blob/master/Olympiad/COCI/official/2009/contest4_solutions&amp;sa=D&amp;ust=1605639802092000&amp;usg=AFQjCNFgCDiPt03RQ3uzJQH6pPu8NlnHaA" TargetMode="External"/><Relationship Id="rId2988" Type="http://schemas.openxmlformats.org/officeDocument/2006/relationships/hyperlink" Target="https://www.google.com/url?q=https://szkopul.edu.pl/problemset/problem/WLKPphrG7df9acKBOlEMEKY3/site/&amp;sa=D&amp;ust=1605639802384000&amp;usg=AFQjCNGnQdrkJYJsQdhk6C_Lx05BwHdT4Q" TargetMode="External"/><Relationship Id="rId308" Type="http://schemas.openxmlformats.org/officeDocument/2006/relationships/hyperlink" Target="https://www.google.com/url?q=https://github.com/mostafa-saad/MyCompetitiveProgramming/tree/master/Olympiad/COCI/official/2008/regional_solutions&amp;sa=D&amp;ust=1605639798885000&amp;usg=AFQjCNHWbEKUZ28R9vAyNZhU-dTlEomwEg" TargetMode="External"/><Relationship Id="rId515" Type="http://schemas.openxmlformats.org/officeDocument/2006/relationships/hyperlink" Target="https://www.google.com/url?q=https://github.com/nikolapesic2802/Programming-Practice/blob/master/Temperature/main.cpp&amp;sa=D&amp;ust=1605639799092000&amp;usg=AFQjCNGu20SdGV02rLvxrn8cVa8ofkjptQ" TargetMode="External"/><Relationship Id="rId722" Type="http://schemas.openxmlformats.org/officeDocument/2006/relationships/hyperlink" Target="https://www.google.com/url?q=https://www.infoarena.ro/problema/arb&amp;sa=D&amp;ust=1605639799694000&amp;usg=AFQjCNHwdaqVbzRd9PVkuvKTYFFKkr4GNQ" TargetMode="External"/><Relationship Id="rId1145" Type="http://schemas.openxmlformats.org/officeDocument/2006/relationships/hyperlink" Target="https://www.google.com/url?q=https://joi2013ho.contest.atcoder.jp/tasks/joi2013ho2&amp;sa=D&amp;ust=1605639800090000&amp;usg=AFQjCNETa5g3BeM9RfmsXRYQatuY30RHxA" TargetMode="External"/><Relationship Id="rId1352" Type="http://schemas.openxmlformats.org/officeDocument/2006/relationships/hyperlink" Target="https://www.google.com/url?q=https://szkopul.edu.pl/problemset/problem/bNkLWTHzQeDyEuAUiKCwuxnG/site/&amp;sa=D&amp;ust=1605639800268000&amp;usg=AFQjCNGohBg5n4XC2toA_B7XtgWJwU905w" TargetMode="External"/><Relationship Id="rId1797" Type="http://schemas.openxmlformats.org/officeDocument/2006/relationships/hyperlink" Target="https://www.google.com/url?q=https://github.com/mostafa-saad/MyCompetitiveProgramming/blob/master/Olympiad/POI/official/find_editorial_sols_guidelines.txt&amp;sa=D&amp;ust=1605639800590000&amp;usg=AFQjCNGA-Ba27gsN50edlnKMU1QxWuTvZA" TargetMode="External"/><Relationship Id="rId2403" Type="http://schemas.openxmlformats.org/officeDocument/2006/relationships/hyperlink" Target="https://www.google.com/url?q=https://oj.uz/problem/view/COCI18_pismo&amp;sa=D&amp;ust=1605639801708000&amp;usg=AFQjCNHWr11DNYqsoJ5d9guPMyQNRTEIPw" TargetMode="External"/><Relationship Id="rId2848" Type="http://schemas.openxmlformats.org/officeDocument/2006/relationships/hyperlink" Target="https://www.google.com/url?q=https://oj.uz/problem/view/info1cup17_eastereggs&amp;sa=D&amp;ust=1605639802194000&amp;usg=AFQjCNG0BCyUuGR_KyA2-zR4uCZbFXRVAg" TargetMode="External"/><Relationship Id="rId89" Type="http://schemas.openxmlformats.org/officeDocument/2006/relationships/hyperlink" Target="https://www.google.com/url?q=https://oj.uz/problem/view/COI14_css&amp;sa=D&amp;ust=1605639798709000&amp;usg=AFQjCNE8nAIWTk3S0FDmPGM4JOpP7vrQEw" TargetMode="External"/><Relationship Id="rId1005" Type="http://schemas.openxmlformats.org/officeDocument/2006/relationships/hyperlink" Target="https://www.google.com/url?q=https://github.com/Rockbet/Problems/blob/master/COCI/COCI%25202017-2018/Vode.cpp&amp;sa=D&amp;ust=1605639799983000&amp;usg=AFQjCNE445YnErODhfNzw0Yx95lkaxNvTQ" TargetMode="External"/><Relationship Id="rId1212" Type="http://schemas.openxmlformats.org/officeDocument/2006/relationships/hyperlink" Target="https://www.google.com/url?q=https://github.com/mostafa-saad/MyCompetitiveProgramming/blob/master/Olympiad/COCI/official/2017/contest3_solutions&amp;sa=D&amp;ust=1605639800170000&amp;usg=AFQjCNH4ggq5nq_GI1e3Y7E2T2WPY9vUtw" TargetMode="External"/><Relationship Id="rId1657" Type="http://schemas.openxmlformats.org/officeDocument/2006/relationships/hyperlink" Target="https://www.google.com/url?q=https://dmoj.ca/problem/mcco17p3&amp;sa=D&amp;ust=1605639800482000&amp;usg=AFQjCNGKCyxcycYPKQ8YwDytSPA6tz2uKg" TargetMode="External"/><Relationship Id="rId1864" Type="http://schemas.openxmlformats.org/officeDocument/2006/relationships/hyperlink" Target="https://www.google.com/url?q=https://github.com/mostafa-saad/MyCompetitiveProgramming/tree/master/Olympiad/JOI/official/JOI/JOI-17-soccer.txt&amp;sa=D&amp;ust=1605639800673000&amp;usg=AFQjCNEE2Gwi4CCmNFlBPYPcnV4BXun-8g" TargetMode="External"/><Relationship Id="rId2610" Type="http://schemas.openxmlformats.org/officeDocument/2006/relationships/hyperlink" Target="https://www.google.com/url?q=https://oj.uz/problem/view/IOI12_city&amp;sa=D&amp;ust=1605639801973000&amp;usg=AFQjCNG7A2tUZOSWmGCcHkUr13w-xdKDIw" TargetMode="External"/><Relationship Id="rId2708" Type="http://schemas.openxmlformats.org/officeDocument/2006/relationships/hyperlink" Target="https://www.google.com/url?q=https://codeforces.com/blog/entry/68748&amp;sa=D&amp;ust=1605639802075000&amp;usg=AFQjCNGDZkqsWHMU0tVHxdJXT5YTYFs8Ww" TargetMode="External"/><Relationship Id="rId2915" Type="http://schemas.openxmlformats.org/officeDocument/2006/relationships/hyperlink" Target="https://www.google.com/url?q=https://joisc2015.contest.atcoder.jp/tasks/joisc2015_m&amp;sa=D&amp;ust=1605639802288000&amp;usg=AFQjCNFX1bcbZvbEkKoBnmwADNh7d_kFVQ" TargetMode="External"/><Relationship Id="rId1517" Type="http://schemas.openxmlformats.org/officeDocument/2006/relationships/hyperlink" Target="https://www.google.com/url?q=https://github.com/stefdasca/CompetitiveProgramming/blob/master/Infoarena/cuiburi.cpp&amp;sa=D&amp;ust=1605639800387000&amp;usg=AFQjCNFF3enO-YT7L7vcSmV4PE05fShPtg" TargetMode="External"/><Relationship Id="rId1724" Type="http://schemas.openxmlformats.org/officeDocument/2006/relationships/hyperlink" Target="https://www.google.com/url?q=https://oj.uz/problem/view/BOI16_bosses&amp;sa=D&amp;ust=1605639800506000&amp;usg=AFQjCNEENzmoG4iJhddUSjibQ3DWpWlDbQ" TargetMode="External"/><Relationship Id="rId16" Type="http://schemas.openxmlformats.org/officeDocument/2006/relationships/hyperlink" Target="https://www.google.com/url?q=https://dmoj.ca/problem/apio12p2&amp;sa=D&amp;ust=1605639798670000&amp;usg=AFQjCNHcaOH3LbTmvuRg_eg78rI39l-qJg" TargetMode="External"/><Relationship Id="rId1931" Type="http://schemas.openxmlformats.org/officeDocument/2006/relationships/hyperlink" Target="https://www.google.com/url?q=https://oj.uz/problem/view/IOI12_rings&amp;sa=D&amp;ust=1605639800700000&amp;usg=AFQjCNEv3VIv_q7UjvRBuLnrxiIVlVwUAQ" TargetMode="External"/><Relationship Id="rId2193" Type="http://schemas.openxmlformats.org/officeDocument/2006/relationships/hyperlink" Target="https://www.google.com/url?q=https://github.com/mostafa-saad/MyCompetitiveProgramming/blob/master/Olympiad/COCI/official/2017/contest6_solutions&amp;sa=D&amp;ust=1605639800885000&amp;usg=AFQjCNFjUYSTkODxn5q_RQScf628UVotvw" TargetMode="External"/><Relationship Id="rId2498" Type="http://schemas.openxmlformats.org/officeDocument/2006/relationships/hyperlink" Target="https://www.google.com/url?q=https://contest.yandex.ru/roiarchive/contest/3926/problems/8/&amp;sa=D&amp;ust=1605639801809000&amp;usg=AFQjCNHKEGEi8xngxQVfKWvjRC-lV-soAA" TargetMode="External"/><Relationship Id="rId165" Type="http://schemas.openxmlformats.org/officeDocument/2006/relationships/hyperlink" Target="https://www.google.com/url?q=http://blog.brucemerry.org.za/2014/07/&amp;sa=D&amp;ust=1605639798777000&amp;usg=AFQjCNFj4lVq-Stb2TNLgpgZXVj6jDEQTw" TargetMode="External"/><Relationship Id="rId372" Type="http://schemas.openxmlformats.org/officeDocument/2006/relationships/hyperlink" Target="https://www.google.com/url?q=https://dmoj.ca/problem/coci14c5p3&amp;sa=D&amp;ust=1605639798913000&amp;usg=AFQjCNGHYQ7elZFiVp-NCCM3iKVAQE-q4A" TargetMode="External"/><Relationship Id="rId677" Type="http://schemas.openxmlformats.org/officeDocument/2006/relationships/hyperlink" Target="https://www.google.com/url?q=https://github.com/mostafa-saad/MyCompetitiveProgramming/blob/master/Olympiad/POI/POI-06-Tetris_3D.txt&amp;sa=D&amp;ust=1605639799663000&amp;usg=AFQjCNFN9ntcHGY4YfNxyKMsDRWRMTvThw" TargetMode="External"/><Relationship Id="rId2053" Type="http://schemas.openxmlformats.org/officeDocument/2006/relationships/hyperlink" Target="https://www.google.com/url?q=https://github.com/mostafa-saad/MyCompetitiveProgramming/blob/master/Olympiad/Balkan/Balkan-12-Fan_Groups.txt&amp;sa=D&amp;ust=1605639800791000&amp;usg=AFQjCNFQPchrTWffzGua6tmvan1S-rA_dg" TargetMode="External"/><Relationship Id="rId2260" Type="http://schemas.openxmlformats.org/officeDocument/2006/relationships/hyperlink" Target="https://www.google.com/url?q=https://github.com/mostafa-saad/MyCompetitiveProgramming/blob/master/Olympiad/POI/official/find_editorial_sols_guidelines.txt&amp;sa=D&amp;ust=1605639800912000&amp;usg=AFQjCNF1Da0ADFk6inzRUbYlwYHtuTSDKw" TargetMode="External"/><Relationship Id="rId2358" Type="http://schemas.openxmlformats.org/officeDocument/2006/relationships/hyperlink" Target="https://www.google.com/url?q=https://github.com/mostafa-saad/MyCompetitiveProgramming/blob/master/Olympiad/COCI/COCI-15-topovi.txt&amp;sa=D&amp;ust=1605639801666000&amp;usg=AFQjCNH3sNDj5zgpoJ0sb-r56lK2Bt2Hcw" TargetMode="External"/><Relationship Id="rId232" Type="http://schemas.openxmlformats.org/officeDocument/2006/relationships/hyperlink" Target="https://www.google.com/url?q=https://github.com/mostafa-saad/MyCompetitiveProgramming/blob/master/Olympiad/Baltic/official/boi2007_solutions&amp;sa=D&amp;ust=1605639798802000&amp;usg=AFQjCNG_vK-oxU_1wu7NVnuyl4xdCWvDdQ" TargetMode="External"/><Relationship Id="rId884" Type="http://schemas.openxmlformats.org/officeDocument/2006/relationships/hyperlink" Target="https://www.google.com/url?q=https://oj.uz/problem/view/BOI16_swap&amp;sa=D&amp;ust=1605639799883000&amp;usg=AFQjCNGvL6g6CA924j7d7gxow-E4MsD9jA" TargetMode="External"/><Relationship Id="rId2120" Type="http://schemas.openxmlformats.org/officeDocument/2006/relationships/hyperlink" Target="https://www.google.com/url?q=https://github.com/mostafa-saad/MyCompetitiveProgramming/blob/master/Olympiad/POI/POI-16-Arkanoid.txt&amp;sa=D&amp;ust=1605639800816000&amp;usg=AFQjCNG8866K-bh965undpc117U0TZ8MPQ" TargetMode="External"/><Relationship Id="rId2565" Type="http://schemas.openxmlformats.org/officeDocument/2006/relationships/hyperlink" Target="https://www.google.com/url?q=https://github.com/mostafa-saad/MyCompetitiveProgramming/blob/master/Olympiad/POI/POI-16-Christmas.txt&amp;sa=D&amp;ust=1605639801884000&amp;usg=AFQjCNHpfhWr8ejxx3It8OQ3Mi6me_pRAw" TargetMode="External"/><Relationship Id="rId2772" Type="http://schemas.openxmlformats.org/officeDocument/2006/relationships/hyperlink" Target="https://www.google.com/url?q=https://github.com/mostafa-saad/MyCompetitiveProgramming/blob/master/Olympiad/COCI/official/2010/contest4_solutions&amp;sa=D&amp;ust=1605639802103000&amp;usg=AFQjCNHKrEdwDWIQe0F177qicESoByGJIA" TargetMode="External"/><Relationship Id="rId537" Type="http://schemas.openxmlformats.org/officeDocument/2006/relationships/hyperlink" Target="https://www.google.com/url?q=https://github.com/mostafa-saad/MyCompetitiveProgramming/blob/master/Olympiad/Baltic/Baltic-14-sequence.txt&amp;sa=D&amp;ust=1605639799103000&amp;usg=AFQjCNFxIPrnpB-SHdBzTxOpIX6eNAUK2g" TargetMode="External"/><Relationship Id="rId744" Type="http://schemas.openxmlformats.org/officeDocument/2006/relationships/hyperlink" Target="https://www.google.com/url?q=https://dunjudge.me/analysis/problems/1230/&amp;sa=D&amp;ust=1605639799706000&amp;usg=AFQjCNFs0hOJf-t5L4qVHFpEdBC_-kBe0Q" TargetMode="External"/><Relationship Id="rId951" Type="http://schemas.openxmlformats.org/officeDocument/2006/relationships/hyperlink" Target="https://www.google.com/url?q=https://dmoj.ca/problem/ioi02p4&amp;sa=D&amp;ust=1605639799911000&amp;usg=AFQjCNE3ld7LWE5ygAFumiYaeVJ5-ZQLmQ" TargetMode="External"/><Relationship Id="rId1167" Type="http://schemas.openxmlformats.org/officeDocument/2006/relationships/hyperlink" Target="https://www.google.com/url?q=https://github.com/mostafa-saad/MyCompetitiveProgramming/blob/master/Olympiad/APIO/APIO-16-boat.txt&amp;sa=D&amp;ust=1605639800107000&amp;usg=AFQjCNEcDa_ghkLk6PioC3XbE_hLJk9Tig" TargetMode="External"/><Relationship Id="rId1374" Type="http://schemas.openxmlformats.org/officeDocument/2006/relationships/hyperlink" Target="https://www.google.com/url?q=https://oj.uz/problem/view/BOI15_net&amp;sa=D&amp;ust=1605639800284000&amp;usg=AFQjCNF49Tp-HkI7nRImyobGIJqfesCIbg" TargetMode="External"/><Relationship Id="rId1581" Type="http://schemas.openxmlformats.org/officeDocument/2006/relationships/hyperlink" Target="https://www.google.com/url?q=https://github.com/mostafa-saad/MyCompetitiveProgramming/blob/master/Olympiad/POI/JOI/JOISC-17-dragon2.txt&amp;sa=D&amp;ust=1605639800413000&amp;usg=AFQjCNHp7RHE9zrgmSUkCZ24URJAKYJk4g" TargetMode="External"/><Relationship Id="rId1679" Type="http://schemas.openxmlformats.org/officeDocument/2006/relationships/hyperlink" Target="https://www.google.com/url?q=https://oj.uz/problem/view/COI17_ili&amp;sa=D&amp;ust=1605639800491000&amp;usg=AFQjCNHnSq3PggdVBnxShFYpjWHzJSZ51Q" TargetMode="External"/><Relationship Id="rId2218" Type="http://schemas.openxmlformats.org/officeDocument/2006/relationships/hyperlink" Target="https://www.google.com/url?q=http://usaco.org/index.php?page%3Dviewproblem2%26cpid%3D818&amp;sa=D&amp;ust=1605639800896000&amp;usg=AFQjCNFSlDvYkxDK_iX3106eTREJeMA81Q" TargetMode="External"/><Relationship Id="rId2425" Type="http://schemas.openxmlformats.org/officeDocument/2006/relationships/hyperlink" Target="https://www.google.com/url?q=https://cses.fi/106/list/&amp;sa=D&amp;ust=1605639801781000&amp;usg=AFQjCNHvw106LPkvfrKMR7SKUypupCgBOQ" TargetMode="External"/><Relationship Id="rId2632" Type="http://schemas.openxmlformats.org/officeDocument/2006/relationships/hyperlink" Target="https://www.google.com/url?q=https://oj.uz/problem/view/IZhO12_biochips&amp;sa=D&amp;ust=1605639801980000&amp;usg=AFQjCNE5YBhnYnmb3IdZSCgakf6TR9kBTA" TargetMode="External"/><Relationship Id="rId80" Type="http://schemas.openxmlformats.org/officeDocument/2006/relationships/hyperlink" Target="https://www.google.com/url?q=https://open.kattis.com/problem-sources/Baltic%2520Olympiad%2520in%2520Informatics%25202017%252C%2520Day%25202&amp;sa=D&amp;ust=1605639798706000&amp;usg=AFQjCNEh9N-j9DGVo-6v2wr_qiFPWJnbxg" TargetMode="External"/><Relationship Id="rId604" Type="http://schemas.openxmlformats.org/officeDocument/2006/relationships/hyperlink" Target="https://www.google.com/url?q=https://oj.uz/problem/view/IOI07_aliens&amp;sa=D&amp;ust=1605639799129000&amp;usg=AFQjCNGLBK4bRpGRQzJsuG-xhYjZ4ESG3Q" TargetMode="External"/><Relationship Id="rId811" Type="http://schemas.openxmlformats.org/officeDocument/2006/relationships/hyperlink" Target="https://www.google.com/url?q=https://dmoj.ca/problem/ioi01p1&amp;sa=D&amp;ust=1605639799787000&amp;usg=AFQjCNGnDDGAQjbx475MsjOsjlX-Lx9ryA" TargetMode="External"/><Relationship Id="rId1027" Type="http://schemas.openxmlformats.org/officeDocument/2006/relationships/hyperlink" Target="https://www.google.com/url?q=http://usaco.org/index.php?page%3Dviewproblem2%26cpid%3D285&amp;sa=D&amp;ust=1605639799990000&amp;usg=AFQjCNFzdD0HjiQCY4zLzB0RP7ZH1Mekvg" TargetMode="External"/><Relationship Id="rId1234" Type="http://schemas.openxmlformats.org/officeDocument/2006/relationships/hyperlink" Target="https://www.google.com/url?q=https://github.com/mostafa-saad/MyCompetitiveProgramming/blob/master/Olympiad/CEOI/CEOI-11-Similarity.txt&amp;sa=D&amp;ust=1605639800179000&amp;usg=AFQjCNGCuF2rT3Ehuve5PQnR7HjIS8Tzig" TargetMode="External"/><Relationship Id="rId1441" Type="http://schemas.openxmlformats.org/officeDocument/2006/relationships/hyperlink" Target="https://www.google.com/url?q=https://dunjudge.me/analysis/problems/954/&amp;sa=D&amp;ust=1605639800312000&amp;usg=AFQjCNHz1tpUoX2C_zYXJAqC6FUd9gN4Tw" TargetMode="External"/><Relationship Id="rId1886" Type="http://schemas.openxmlformats.org/officeDocument/2006/relationships/hyperlink" Target="https://www.google.com/url?q=https://szkopul.edu.pl/problemset/problem/_L_YGzT5VYJO9zHTfVRwPjwh/site/&amp;sa=D&amp;ust=1605639800681000&amp;usg=AFQjCNGERBLMwkaTtsY47Mh2wM7HfiHogw" TargetMode="External"/><Relationship Id="rId2937" Type="http://schemas.openxmlformats.org/officeDocument/2006/relationships/hyperlink" Target="https://www.google.com/url?q=https://dunjudge.me/analysis/problems/1500/&amp;sa=D&amp;ust=1605639802301000&amp;usg=AFQjCNGBQavxOJlu25T8Bh1epapuJYkdRQ" TargetMode="External"/><Relationship Id="rId909" Type="http://schemas.openxmlformats.org/officeDocument/2006/relationships/hyperlink" Target="https://www.google.com/url?q=https://www.infoarena.ro/problema/aiacubiti&amp;sa=D&amp;ust=1605639799895000&amp;usg=AFQjCNHoINoLugdJMVMmHcV3A2wtMc3X4Q" TargetMode="External"/><Relationship Id="rId1301" Type="http://schemas.openxmlformats.org/officeDocument/2006/relationships/hyperlink" Target="https://www.google.com/url?q=https://oj.uz/problem/view/JOI19_naan&amp;sa=D&amp;ust=1605639800204000&amp;usg=AFQjCNHyCQ_6jyV0Bi5CDNMCImOvOCRKjg" TargetMode="External"/><Relationship Id="rId1539" Type="http://schemas.openxmlformats.org/officeDocument/2006/relationships/hyperlink" Target="https://www.google.com/url?q=https://www.hackerrank.com/contests/ioi-2014-practice-contest-1/challenges&amp;sa=D&amp;ust=1605639800395000&amp;usg=AFQjCNFKHKUlyI0AqJLq528N1HSvwqhcIg" TargetMode="External"/><Relationship Id="rId1746" Type="http://schemas.openxmlformats.org/officeDocument/2006/relationships/hyperlink" Target="https://www.google.com/url?q=https://dunjudge.me/analysis/problems/16/&amp;sa=D&amp;ust=1605639800566000&amp;usg=AFQjCNF1H36u-Q7EzUraDi-iDg3IVcrfZw" TargetMode="External"/><Relationship Id="rId1953" Type="http://schemas.openxmlformats.org/officeDocument/2006/relationships/hyperlink" Target="https://www.google.com/url?q=https://github.com/MohamedAhmed04/Competitive-programming/blob/master/SingaporeNOI/2019-Pilot.cpp&amp;sa=D&amp;ust=1605639800707000&amp;usg=AFQjCNG1AQLJ-vShAZ9N1DAz5PSF6gFwPA" TargetMode="External"/><Relationship Id="rId38" Type="http://schemas.openxmlformats.org/officeDocument/2006/relationships/hyperlink" Target="https://www.google.com/url?q=https://contest.yandex.ru/ioi/contest/566/enter/&amp;sa=D&amp;ust=1605639798678000&amp;usg=AFQjCNFAQcI2jdEq-8HX47n1-xdu8gzieA" TargetMode="External"/><Relationship Id="rId1606" Type="http://schemas.openxmlformats.org/officeDocument/2006/relationships/hyperlink" Target="https://www.google.com/url?q=https://dunjudge.me/analysis/problems/697/&amp;sa=D&amp;ust=1605639800420000&amp;usg=AFQjCNFdbQPILbmxZHaFbrK97X9zB6Ak0A" TargetMode="External"/><Relationship Id="rId1813" Type="http://schemas.openxmlformats.org/officeDocument/2006/relationships/hyperlink" Target="https://www.google.com/url?q=https://github.com/luciocf/OI-Problems/blob/master/USACO/USACO%25202017-2018/Plat/US%2520Open/disrupt.cpp&amp;sa=D&amp;ust=1605639800595000&amp;usg=AFQjCNENVMHyAWRp8CAUaaK9kXCvp0ckew" TargetMode="External"/><Relationship Id="rId187" Type="http://schemas.openxmlformats.org/officeDocument/2006/relationships/hyperlink" Target="https://www.google.com/url?q=https://oj.uz/problem/view/COCI18_kocka&amp;sa=D&amp;ust=1605639798785000&amp;usg=AFQjCNElZgrOeSrtRmbu3yMtuY-I4mSA5w" TargetMode="External"/><Relationship Id="rId394" Type="http://schemas.openxmlformats.org/officeDocument/2006/relationships/hyperlink" Target="https://www.google.com/url?q=https://dunjudge.me/analysis/problems/734/&amp;sa=D&amp;ust=1605639798981000&amp;usg=AFQjCNHKDPrko-U_0-LJ7dDbkaMilKL-Bg" TargetMode="External"/><Relationship Id="rId2075" Type="http://schemas.openxmlformats.org/officeDocument/2006/relationships/hyperlink" Target="https://www.google.com/url?q=https://szkopul.edu.pl/problemset/problem/YY6-3ua-C1rt7q-97laWc0UP/site/&amp;sa=D&amp;ust=1605639800799000&amp;usg=AFQjCNF6YaxCRx76nAa5cIpd4BiFKzynnA" TargetMode="External"/><Relationship Id="rId2282" Type="http://schemas.openxmlformats.org/officeDocument/2006/relationships/hyperlink" Target="https://www.google.com/url?q=https://github.com/mostafa-saad/MyCompetitiveProgramming/blob/master/Olympiad/IOI/IOI-12-scrivener.txt&amp;sa=D&amp;ust=1605639801571000&amp;usg=AFQjCNF-cYzXh0O3uvTfjfA3UqbD6YG_5g" TargetMode="External"/><Relationship Id="rId254" Type="http://schemas.openxmlformats.org/officeDocument/2006/relationships/hyperlink" Target="https://www.google.com/url?q=https://dunjudge.me/analysis/problems/1357/&amp;sa=D&amp;ust=1605639798865000&amp;usg=AFQjCNHB8pl2H8V1I3HmVnkAoM7ocjdw-w" TargetMode="External"/><Relationship Id="rId699" Type="http://schemas.openxmlformats.org/officeDocument/2006/relationships/hyperlink" Target="https://www.google.com/url?q=https://github.com/mostafa-saad/MyCompetitiveProgramming/blob/master/Olympiad/COCI/COCI-15-Nekameleoni.txt&amp;sa=D&amp;ust=1605639799673000&amp;usg=AFQjCNESXlycI7dSJCodRZiprxsvM_HnvA" TargetMode="External"/><Relationship Id="rId1091" Type="http://schemas.openxmlformats.org/officeDocument/2006/relationships/hyperlink" Target="https://www.google.com/url?q=https://github.com/mostafa-saad/MyCompetitiveProgramming/blob/master/Olympiad/NOI/official&amp;sa=D&amp;ust=1605639800065000&amp;usg=AFQjCNHaGBrhlorld1xjgAojZSCajd3U8g" TargetMode="External"/><Relationship Id="rId2587" Type="http://schemas.openxmlformats.org/officeDocument/2006/relationships/hyperlink" Target="https://www.google.com/url?q=https://github.com/stefdasca/CompetitiveProgramming/blob/master/Infoarena/padurari.cpp&amp;sa=D&amp;ust=1605639801898000&amp;usg=AFQjCNHQ-5csH0_Si3O1B1Fx3idd-_mKXQ" TargetMode="External"/><Relationship Id="rId2794" Type="http://schemas.openxmlformats.org/officeDocument/2006/relationships/hyperlink" Target="https://www.google.com/url?q=https://github.com/mostafa-saad/MyCompetitiveProgramming/blob/master/Olympiad/COCI/official/2010/contest3_solutions&amp;sa=D&amp;ust=1605639802112000&amp;usg=AFQjCNEKvuJVG9m2avMAd91sQeWhm5iwBg" TargetMode="External"/><Relationship Id="rId114" Type="http://schemas.openxmlformats.org/officeDocument/2006/relationships/hyperlink" Target="https://www.google.com/url?q=http://usaco.org/index.php?page%3Dviewproblem2%26cpid%3D533&amp;sa=D&amp;ust=1605639798719000&amp;usg=AFQjCNEJn9lswXwj0CfgNq4lJjpMpFtQsg" TargetMode="External"/><Relationship Id="rId461" Type="http://schemas.openxmlformats.org/officeDocument/2006/relationships/hyperlink" Target="https://www.google.com/url?q=https://www.infoarena.ro/problema/cover&amp;sa=D&amp;ust=1605639799010000&amp;usg=AFQjCNFVTDbN8HX3LUMXTu60fUhqhEoteQ" TargetMode="External"/><Relationship Id="rId559" Type="http://schemas.openxmlformats.org/officeDocument/2006/relationships/hyperlink" Target="https://www.google.com/url?q=http://usaco.org/index.php?page%3Dviewproblem2%26cpid%3D674&amp;sa=D&amp;ust=1605639799110000&amp;usg=AFQjCNFcOyOO2G8EE32xaRxFs-qKzZfo5Q" TargetMode="External"/><Relationship Id="rId766" Type="http://schemas.openxmlformats.org/officeDocument/2006/relationships/hyperlink" Target="https://www.google.com/url?q=https://github.com/nikolapesic2802/Programming-Practice/blob/master/Remove%2520Update/main.cpp&amp;sa=D&amp;ust=1605639799715000&amp;usg=AFQjCNGvr7vm7mx26vot-aIVtVsjvNKE2g" TargetMode="External"/><Relationship Id="rId1189" Type="http://schemas.openxmlformats.org/officeDocument/2006/relationships/hyperlink" Target="https://www.google.com/url?q=https://oj.uz/problem/view/COCI16_burza&amp;sa=D&amp;ust=1605639800115000&amp;usg=AFQjCNHe7SCBgei20_1Jz-se_4GpLjU-vg" TargetMode="External"/><Relationship Id="rId1396" Type="http://schemas.openxmlformats.org/officeDocument/2006/relationships/hyperlink" Target="https://www.google.com/url?q=https://github.com/mostafa-saad/MyCompetitiveProgramming/blob/master/Olympiad/Baltic/Baltic-07-Sequence.txt&amp;sa=D&amp;ust=1605639800294000&amp;usg=AFQjCNEsAWN8cX94o_IPnG8T50UzPLL2XA" TargetMode="External"/><Relationship Id="rId2142" Type="http://schemas.openxmlformats.org/officeDocument/2006/relationships/hyperlink" Target="https://www.google.com/url?q=https://szkopul.edu.pl/problemset/problem/y7tXjqVq0gPZjc8kPrscs2CJ/site/&amp;sa=D&amp;ust=1605639800824000&amp;usg=AFQjCNH4eH6PNPyCP0hXDT2b5jb6xLXA-g" TargetMode="External"/><Relationship Id="rId2447" Type="http://schemas.openxmlformats.org/officeDocument/2006/relationships/hyperlink" Target="https://www.google.com/url?q=https://github.com/mostafa-saad/MyCompetitiveProgramming/tree/master/Olympiad/CEOI/official/2003&amp;sa=D&amp;ust=1605639801788000&amp;usg=AFQjCNHUbXagqfUNZTgeagk8uH_5PRAdBA" TargetMode="External"/><Relationship Id="rId321" Type="http://schemas.openxmlformats.org/officeDocument/2006/relationships/hyperlink" Target="https://www.google.com/url?q=https://github.com/mostafa-saad/MyCompetitiveProgramming/blob/master/Olympiad/NOI/official/2011.pptx&amp;sa=D&amp;ust=1605639798891000&amp;usg=AFQjCNEDRtzyLhHXLhYtL_iAJjc9AmcdOA" TargetMode="External"/><Relationship Id="rId419" Type="http://schemas.openxmlformats.org/officeDocument/2006/relationships/hyperlink" Target="https://www.google.com/url?q=https://dmoj.ca/problem/nccc6s2&amp;sa=D&amp;ust=1605639798993000&amp;usg=AFQjCNF3HPHagwVs83XG_9b2cCW-JxGdWw" TargetMode="External"/><Relationship Id="rId626" Type="http://schemas.openxmlformats.org/officeDocument/2006/relationships/hyperlink" Target="https://www.google.com/url?q=https://oj.uz/problem/view/CEOI15_bobek&amp;sa=D&amp;ust=1605639799175000&amp;usg=AFQjCNGHUT3yfsaxMh1XFE3gHGXJPps2Zg" TargetMode="External"/><Relationship Id="rId973" Type="http://schemas.openxmlformats.org/officeDocument/2006/relationships/hyperlink" Target="https://www.google.com/url?q=https://github.com/mostafa-saad/MyCompetitiveProgramming/tree/master/Olympiad/CEOI/official/2006&amp;sa=D&amp;ust=1605639799968000&amp;usg=AFQjCNHRzvfTjgyVZISyT-iWlUoeOTUClA" TargetMode="External"/><Relationship Id="rId1049" Type="http://schemas.openxmlformats.org/officeDocument/2006/relationships/hyperlink" Target="https://www.google.com/url?q=https://github.com/mostafa-saad/MyCompetitiveProgramming/blob/master/Olympiad/IOI/official/2004&amp;sa=D&amp;ust=1605639800000000&amp;usg=AFQjCNEMgaDZj_L7MgurdP9Uh2FwmvCjyA" TargetMode="External"/><Relationship Id="rId1256" Type="http://schemas.openxmlformats.org/officeDocument/2006/relationships/hyperlink" Target="https://www.google.com/url?q=https://github.com/mostafa-saad/MyCompetitiveProgramming/blob/master/Olympiad/IOI/official/2000&amp;sa=D&amp;ust=1605639800186000&amp;usg=AFQjCNHnTz1L3qV55yWo7wtRP6vlU4GJLw" TargetMode="External"/><Relationship Id="rId2002" Type="http://schemas.openxmlformats.org/officeDocument/2006/relationships/hyperlink" Target="https://www.google.com/url?q=http://usaco.org/index.php?page%3Dviewproblem2%26cpid%3D93&amp;sa=D&amp;ust=1605639800767000&amp;usg=AFQjCNFKeKcNpggnjJvOKG4eRh9xn9h2Qw" TargetMode="External"/><Relationship Id="rId2307" Type="http://schemas.openxmlformats.org/officeDocument/2006/relationships/hyperlink" Target="https://www.google.com/url?q=https://oj.uz/problem/view/BOI14_friends&amp;sa=D&amp;ust=1605639801594000&amp;usg=AFQjCNEjSezQXpX8ZSjkKIfSQTjdiRoMMg" TargetMode="External"/><Relationship Id="rId2654" Type="http://schemas.openxmlformats.org/officeDocument/2006/relationships/hyperlink" Target="https://www.google.com/url?q=https://github.com/win11905/submission/blob/master/POI/parade.cpp&amp;sa=D&amp;ust=1605639801989000&amp;usg=AFQjCNECRx_EEWsIqw0N85FYz1vWax8v2Q" TargetMode="External"/><Relationship Id="rId2861" Type="http://schemas.openxmlformats.org/officeDocument/2006/relationships/hyperlink" Target="https://www.google.com/url?q=https://oj.uz/problem/view/innopolis2018_final_D&amp;sa=D&amp;ust=1605639802202000&amp;usg=AFQjCNHDS0pb8qP3RWAXUi59ZN14pShXVA" TargetMode="External"/><Relationship Id="rId2959" Type="http://schemas.openxmlformats.org/officeDocument/2006/relationships/hyperlink" Target="https://www.google.com/url?q=https://dunjudge.me/analysis/problems/1186/&amp;sa=D&amp;ust=1605639802365000&amp;usg=AFQjCNHMgU7RYX8Bf-5U2UsLNEJ9hVG0Hw" TargetMode="External"/><Relationship Id="rId833" Type="http://schemas.openxmlformats.org/officeDocument/2006/relationships/hyperlink" Target="https://www.google.com/url?q=https://github.com/mostafa-saad/MyCompetitiveProgramming/tree/master/Olympiad/Baltic/official/boi2019_solutions&amp;sa=D&amp;ust=1605639799797000&amp;usg=AFQjCNEm8hYU0Ll6pRvi78Hu4ujM3UoPHQ" TargetMode="External"/><Relationship Id="rId1116" Type="http://schemas.openxmlformats.org/officeDocument/2006/relationships/hyperlink" Target="https://www.google.com/url?q=https://github.com/mostafa-saad/MyCompetitiveProgramming/tree/master/Olympiad/COCI/official/2007/contest4_solutions&amp;sa=D&amp;ust=1605639800076000&amp;usg=AFQjCNGC3TKj3VU7h0vpUPZ9uncaxTNT1A" TargetMode="External"/><Relationship Id="rId1463" Type="http://schemas.openxmlformats.org/officeDocument/2006/relationships/hyperlink" Target="https://www.google.com/url?q=https://github.com/mostafa-saad/MyCompetitiveProgramming/blob/master/Olympiad/POI/POI-04-Game.txt&amp;sa=D&amp;ust=1605639800367000&amp;usg=AFQjCNHrwMeOSqOi6eRzV3IOgDfghigwUQ" TargetMode="External"/><Relationship Id="rId1670" Type="http://schemas.openxmlformats.org/officeDocument/2006/relationships/hyperlink" Target="https://www.google.com/url?q=https://github.com/mostafa-saad/MyCompetitiveProgramming/tree/master/Olympiad/COI/official/2014&amp;sa=D&amp;ust=1605639800486000&amp;usg=AFQjCNHx12X2ko6ttf2jlVHP16Mhmk97Tw" TargetMode="External"/><Relationship Id="rId1768" Type="http://schemas.openxmlformats.org/officeDocument/2006/relationships/hyperlink" Target="https://www.google.com/url?q=https://github.com/stefdasca/CompetitiveProgramming/blob/master/Infoarena/grea.cpp&amp;sa=D&amp;ust=1605639800574000&amp;usg=AFQjCNGzRQpW6tw67bGKW856F6pz9ntywg" TargetMode="External"/><Relationship Id="rId2514" Type="http://schemas.openxmlformats.org/officeDocument/2006/relationships/hyperlink" Target="https://www.google.com/url?q=https://github.com/YazanZebak/CompetitiveProgramming/blob/master/Olympiad/COCI/COCI-18-DEBLO.cpp&amp;sa=D&amp;ust=1605639801866000&amp;usg=AFQjCNFGJ_ijSNhqkdlNyYN-WmVv9N17fg" TargetMode="External"/><Relationship Id="rId2721" Type="http://schemas.openxmlformats.org/officeDocument/2006/relationships/hyperlink" Target="https://www.google.com/url?q=https://dmoj.ca/problem/coci06c4p1&amp;sa=D&amp;ust=1605639802077000&amp;usg=AFQjCNFE2XrfVcK6tE_J2m1_ptMKgwG-4Q" TargetMode="External"/><Relationship Id="rId2819" Type="http://schemas.openxmlformats.org/officeDocument/2006/relationships/hyperlink" Target="https://www.google.com/url?q=https://github.com/mostafa-saad/MyCompetitiveProgramming/blob/master/Olympiad/COCI/official/2016/contest3_solutions&amp;sa=D&amp;ust=1605639802176000&amp;usg=AFQjCNFrNLb3pICTZCYb5cztsCg-g8J1cg" TargetMode="External"/><Relationship Id="rId900" Type="http://schemas.openxmlformats.org/officeDocument/2006/relationships/hyperlink" Target="https://www.google.com/url?q=https://oj.uz/problem/view/BOI18_parentrises&amp;sa=D&amp;ust=1605639799891000&amp;usg=AFQjCNFg4KqtM8PNn9kYYO_hm1Y_7gPFXg" TargetMode="External"/><Relationship Id="rId1323" Type="http://schemas.openxmlformats.org/officeDocument/2006/relationships/hyperlink" Target="https://www.google.com/url?q=https://szkopul.edu.pl/problemset/problem/U6ajLqOdhbPOfK02zqN8MmZf/site/&amp;sa=D&amp;ust=1605639800210000&amp;usg=AFQjCNFcazJhikZ2g_cNULPkU0DSVeIrCw" TargetMode="External"/><Relationship Id="rId1530" Type="http://schemas.openxmlformats.org/officeDocument/2006/relationships/hyperlink" Target="https://www.google.com/url?q=https://www.hackerrank.com/contests/ioi-2014-practice-contest-2/challenges&amp;sa=D&amp;ust=1605639800392000&amp;usg=AFQjCNFnrnJCgyPqb2KzW_PdNrosop7h6A" TargetMode="External"/><Relationship Id="rId1628" Type="http://schemas.openxmlformats.org/officeDocument/2006/relationships/hyperlink" Target="https://www.google.com/url?q=https://szkopul.edu.pl/problemset/problem/eC-cABL-jWd4JdZDmfWufeeQ/site/&amp;sa=D&amp;ust=1605639800469000&amp;usg=AFQjCNFiu_M-GtD42ya773HJQv8bAtFmQA" TargetMode="External"/><Relationship Id="rId1975" Type="http://schemas.openxmlformats.org/officeDocument/2006/relationships/hyperlink" Target="https://www.google.com/url?q=https://oj.uz/problem/view/POI11_smi&amp;sa=D&amp;ust=1605639800715000&amp;usg=AFQjCNHNxbyBltRJ8yErrJS507QnXjsxeg" TargetMode="External"/><Relationship Id="rId1835" Type="http://schemas.openxmlformats.org/officeDocument/2006/relationships/hyperlink" Target="https://www.google.com/url?q=https://github.com/mostafa-saad/MyCompetitiveProgramming/blob/master/Olympiad/COCI/official/2017/contest7_solutions&amp;sa=D&amp;ust=1605639800603000&amp;usg=AFQjCNF2_Q1Bo8N6T83d755i9m3XYlWfBA" TargetMode="External"/><Relationship Id="rId1902" Type="http://schemas.openxmlformats.org/officeDocument/2006/relationships/hyperlink" Target="https://www.google.com/url?q=https://www.infoarena.ro/problema/pesaptecarari&amp;sa=D&amp;ust=1605639800689000&amp;usg=AFQjCNHB0wREq7KS8Jis-dmGYGAUiPj5eA" TargetMode="External"/><Relationship Id="rId2097" Type="http://schemas.openxmlformats.org/officeDocument/2006/relationships/hyperlink" Target="https://www.google.com/url?q=https://training.ia-toki.org/problemsets/113/problems&amp;sa=D&amp;ust=1605639800807000&amp;usg=AFQjCNHCz6p1Pm9f-HIEZYw5KYkpkS_IzA" TargetMode="External"/><Relationship Id="rId276" Type="http://schemas.openxmlformats.org/officeDocument/2006/relationships/hyperlink" Target="https://www.google.com/url?q=https://github.com/mostafa-saad/MyCompetitiveProgramming/blob/master/Olympiad/COCI/official/2009/contest5_solutions&amp;sa=D&amp;ust=1605639798872000&amp;usg=AFQjCNGV9rfwiav9NqNE_d5CxLrXYOb0Cw" TargetMode="External"/><Relationship Id="rId483" Type="http://schemas.openxmlformats.org/officeDocument/2006/relationships/hyperlink" Target="https://www.google.com/url?q=https://www.infoarena.ro/problema/struti&amp;sa=D&amp;ust=1605639799019000&amp;usg=AFQjCNHLSLJfQuEB1CC5BC37NwCpfCI_mA" TargetMode="External"/><Relationship Id="rId690" Type="http://schemas.openxmlformats.org/officeDocument/2006/relationships/hyperlink" Target="https://www.google.com/url?q=https://oj.uz/problem/view/COI19_tenis&amp;sa=D&amp;ust=1605639799671000&amp;usg=AFQjCNFo8JqyvQbWRe4d9VCq5I9M3FLwNA" TargetMode="External"/><Relationship Id="rId2164" Type="http://schemas.openxmlformats.org/officeDocument/2006/relationships/hyperlink" Target="https://www.google.com/url?q=https://github.com/SpeedOfMagic/CompetitiveProgramming/blob/master/SNSS/18-R1-A.cpp&amp;sa=D&amp;ust=1605639800873000&amp;usg=AFQjCNFIVpPJN3_q7vFocrADVFTufQ2emg" TargetMode="External"/><Relationship Id="rId2371" Type="http://schemas.openxmlformats.org/officeDocument/2006/relationships/hyperlink" Target="https://www.google.com/url?q=https://github.com/mostafa-saad/MyCompetitiveProgramming/blob/master/Olympiad/COCI/official/2014/contest1_solutions&amp;sa=D&amp;ust=1605639801688000&amp;usg=AFQjCNGgLfDa2ilSm5h62Q979QWG4irkWA" TargetMode="External"/><Relationship Id="rId3008" Type="http://schemas.openxmlformats.org/officeDocument/2006/relationships/hyperlink" Target="https://www.google.com/url?q=https://szkopul.edu.pl/problemset/problem/pxbqUTPy3IuPDul9FdT2_Sth/site/&amp;sa=D&amp;ust=1605639802395000&amp;usg=AFQjCNGOl-xn1N9jD8OCt2Y2Rebob13YOQ" TargetMode="External"/><Relationship Id="rId136" Type="http://schemas.openxmlformats.org/officeDocument/2006/relationships/hyperlink" Target="https://www.google.com/url?q=http://usaco.org/index.php?page%3Dviewproblem2%26cpid%3D720&amp;sa=D&amp;ust=1605639798727000&amp;usg=AFQjCNEJNu-I5CY9r2omxT6nrmNSCRBeEw" TargetMode="External"/><Relationship Id="rId343" Type="http://schemas.openxmlformats.org/officeDocument/2006/relationships/hyperlink" Target="https://www.google.com/url?q=https://github.com/mostafa-saad/MyCompetitiveProgramming/blob/master/Olympiad/COCI/official/2015/contest6_solutions&amp;sa=D&amp;ust=1605639798901000&amp;usg=AFQjCNHq2p4upCnXyHEpXxO-UvStglJIXA" TargetMode="External"/><Relationship Id="rId550" Type="http://schemas.openxmlformats.org/officeDocument/2006/relationships/hyperlink" Target="https://www.google.com/url?q=https://oj.uz/problem/view/CEOI16_icc&amp;sa=D&amp;ust=1605639799107000&amp;usg=AFQjCNEjKdTSoreCSGVbWQvAt57BH-OP_w" TargetMode="External"/><Relationship Id="rId788" Type="http://schemas.openxmlformats.org/officeDocument/2006/relationships/hyperlink" Target="https://www.google.com/url?q=https://github.com/mostafa-saad/MyCompetitiveProgramming/blob/master/Olympiad/IOI/official/2007&amp;sa=D&amp;ust=1605639799776000&amp;usg=AFQjCNGZjkIfav62-Ct_TchSZM0RDdOGPQ" TargetMode="External"/><Relationship Id="rId995" Type="http://schemas.openxmlformats.org/officeDocument/2006/relationships/hyperlink" Target="https://www.google.com/url?q=https://www.infoarena.ro/problema/scara2&amp;sa=D&amp;ust=1605639799980000&amp;usg=AFQjCNG05mcL4qTPnuzhHk-JehifNp5tsg" TargetMode="External"/><Relationship Id="rId1180" Type="http://schemas.openxmlformats.org/officeDocument/2006/relationships/hyperlink" Target="https://www.google.com/url?q=https://szkopul.edu.pl/problemset/problem/xFjhysZvLsUxEXMI-nHXao74/site/&amp;sa=D&amp;ust=1605639800111000&amp;usg=AFQjCNGv-xoVPyr2CLK3DdgCRgfFAQjlIQ" TargetMode="External"/><Relationship Id="rId2024" Type="http://schemas.openxmlformats.org/officeDocument/2006/relationships/hyperlink" Target="https://www.google.com/url?q=https://github.com/mostafa-saad/MyCompetitiveProgramming/blob/master/Olympiad/COCI/COCI-17-sirni.txt&amp;sa=D&amp;ust=1605639800779000&amp;usg=AFQjCNHJT2x5oG1L1qSK3u5eSw6WIbzwMw" TargetMode="External"/><Relationship Id="rId2231" Type="http://schemas.openxmlformats.org/officeDocument/2006/relationships/hyperlink" Target="https://www.google.com/url?q=https://github.com/fyquah95/ioi-malaysia-2016-training-camp&amp;sa=D&amp;ust=1605639800900000&amp;usg=AFQjCNFsgjhpq0o-L9RXTEXnl_yq_Kkcdg" TargetMode="External"/><Relationship Id="rId2469" Type="http://schemas.openxmlformats.org/officeDocument/2006/relationships/hyperlink" Target="https://www.google.com/url?q=https://dmoj.ca/problem/apio10p2&amp;sa=D&amp;ust=1605639801798000&amp;usg=AFQjCNFBuR_Ug9y9D6ljRatticHVww_qEA" TargetMode="External"/><Relationship Id="rId2676" Type="http://schemas.openxmlformats.org/officeDocument/2006/relationships/hyperlink" Target="https://www.google.com/url?q=https://www.acmicpc.net/problem/2336&amp;sa=D&amp;ust=1605639802001000&amp;usg=AFQjCNFlEKzn669NE5M6zwez3JhonIoYwg" TargetMode="External"/><Relationship Id="rId2883" Type="http://schemas.openxmlformats.org/officeDocument/2006/relationships/hyperlink" Target="https://www.google.com/url?q=https://joi2015ho.contest.atcoder.jp/tasks/joi2015ho_d&amp;sa=D&amp;ust=1605639802267000&amp;usg=AFQjCNGFCK13bsQa1uJ2oUvF-cJS0iI2eQ" TargetMode="External"/><Relationship Id="rId203" Type="http://schemas.openxmlformats.org/officeDocument/2006/relationships/hyperlink" Target="https://www.google.com/url?q=https://oj.uz/problem/view/COCI17_igra&amp;sa=D&amp;ust=1605639798790000&amp;usg=AFQjCNFXj-MpV8WamPwoQTxBmwI_a7J1jA" TargetMode="External"/><Relationship Id="rId648" Type="http://schemas.openxmlformats.org/officeDocument/2006/relationships/hyperlink" Target="https://www.google.com/url?q=https://oj.uz/problem/view/IOI08_fish&amp;sa=D&amp;ust=1605639799643000&amp;usg=AFQjCNHVw7W8Z9lgfPdIjhLb4euadRSv5g" TargetMode="External"/><Relationship Id="rId855" Type="http://schemas.openxmlformats.org/officeDocument/2006/relationships/hyperlink" Target="https://www.google.com/url?q=https://github.com/mostafa-saad/MyCompetitiveProgramming/blob/master/Olympiad/COI/COI-08-Izbori.txt&amp;sa=D&amp;ust=1605639799870000&amp;usg=AFQjCNHOmt70cnXLgjZdqTm6smqxcDasow" TargetMode="External"/><Relationship Id="rId1040" Type="http://schemas.openxmlformats.org/officeDocument/2006/relationships/hyperlink" Target="https://www.google.com/url?q=https://www.infoarena.ro/problema/zmeu&amp;sa=D&amp;ust=1605639799997000&amp;usg=AFQjCNG8wyWjApM822XaPnn2_fIDpAWKsw" TargetMode="External"/><Relationship Id="rId1278" Type="http://schemas.openxmlformats.org/officeDocument/2006/relationships/hyperlink" Target="https://www.google.com/url?q=https://cses.fi/109/list/&amp;sa=D&amp;ust=1605639800194000&amp;usg=AFQjCNFQpRrAwJQJXKgZowr3ktw92sNpEw" TargetMode="External"/><Relationship Id="rId1485" Type="http://schemas.openxmlformats.org/officeDocument/2006/relationships/hyperlink" Target="https://www.google.com/url?q=https://github.com/mostafa-saad/MyCompetitiveProgramming/tree/master/Olympiad/CEOI/official/2009&amp;sa=D&amp;ust=1605639800375000&amp;usg=AFQjCNHIBbVfKCUrGMhT4VYmJ4bUU3xOHw" TargetMode="External"/><Relationship Id="rId1692" Type="http://schemas.openxmlformats.org/officeDocument/2006/relationships/hyperlink" Target="https://www.google.com/url?q=https://github.com/mostafa-saad/MyCompetitiveProgramming/blob/master/Olympiad/Balkan/Balkan-16-Conference.txt&amp;sa=D&amp;ust=1605639800495000&amp;usg=AFQjCNEPOC4bB-zBgX5FYCSg6i6eQZN_GA" TargetMode="External"/><Relationship Id="rId2329" Type="http://schemas.openxmlformats.org/officeDocument/2006/relationships/hyperlink" Target="https://www.google.com/url?q=https://csacademy.com/contest/ejoi-2017-day-2/task/camel/&amp;sa=D&amp;ust=1605639801609000&amp;usg=AFQjCNHvhP1kOUKeXF-CGGKuQZgY3XaQvw" TargetMode="External"/><Relationship Id="rId2536" Type="http://schemas.openxmlformats.org/officeDocument/2006/relationships/hyperlink" Target="https://www.google.com/url?q=https://github.com/mostafa-saad/MyCompetitiveProgramming/blob/master/Olympiad/CEOI/CEOI-17-Building.txt&amp;sa=D&amp;ust=1605639801873000&amp;usg=AFQjCNEwjo5WI04n_e2b8Utc5ee5VkB5Sg" TargetMode="External"/><Relationship Id="rId2743" Type="http://schemas.openxmlformats.org/officeDocument/2006/relationships/hyperlink" Target="https://www.google.com/url?q=https://dmoj.ca/problem/coci08c6p1&amp;sa=D&amp;ust=1605639802090000&amp;usg=AFQjCNG3hbG87PHlrRgUGMiES496CNM-Gw" TargetMode="External"/><Relationship Id="rId410" Type="http://schemas.openxmlformats.org/officeDocument/2006/relationships/hyperlink" Target="https://www.google.com/url?q=https://www.infoarena.ro/problema/marceland&amp;sa=D&amp;ust=1605639798990000&amp;usg=AFQjCNFuyQ-goXjtSdIL_HoRanXmct_Ddg" TargetMode="External"/><Relationship Id="rId508" Type="http://schemas.openxmlformats.org/officeDocument/2006/relationships/hyperlink" Target="https://www.google.com/url?q=https://github.com/stefdasca/CompetitiveProgramming/blob/master/Infoarena/omizi.cpp&amp;sa=D&amp;ust=1605639799089000&amp;usg=AFQjCNGt9aEurqRERvzf2pZa-xphcI6Zsw" TargetMode="External"/><Relationship Id="rId715" Type="http://schemas.openxmlformats.org/officeDocument/2006/relationships/hyperlink" Target="https://www.google.com/url?q=https://github.com/mostafa-saad/MyCompetitiveProgramming/blob/master/Olympiad/COCI/official/2018/contest1_solutions&amp;sa=D&amp;ust=1605639799679000&amp;usg=AFQjCNGyx7hVGUjwetuJ0LAAR9NgyZj9zg" TargetMode="External"/><Relationship Id="rId922" Type="http://schemas.openxmlformats.org/officeDocument/2006/relationships/hyperlink" Target="https://www.google.com/url?q=https://github.com/mostafa-saad/MyCompetitiveProgramming/blob/master/Olympiad/Balkan/Balkan-09-Reading.txt&amp;sa=D&amp;ust=1605639799900000&amp;usg=AFQjCNHu5qO8vnbWZZSeu9VgI8KK6W5-5w" TargetMode="External"/><Relationship Id="rId1138" Type="http://schemas.openxmlformats.org/officeDocument/2006/relationships/hyperlink" Target="https://www.google.com/url?q=https://github.com/mostafa-saad/MyCompetitiveProgramming/blob/master/Olympiad/NOI/official&amp;sa=D&amp;ust=1605639800087000&amp;usg=AFQjCNErzq8tEzQqc4UJ0HpUgXDUJShd6g" TargetMode="External"/><Relationship Id="rId1345" Type="http://schemas.openxmlformats.org/officeDocument/2006/relationships/hyperlink" Target="https://www.google.com/url?q=https://oj.uz/problems/source/113&amp;sa=D&amp;ust=1605639800265000&amp;usg=AFQjCNGSk9f1LiZ6XbZGhZzzcTH0JMQyhA" TargetMode="External"/><Relationship Id="rId1552" Type="http://schemas.openxmlformats.org/officeDocument/2006/relationships/hyperlink" Target="https://www.google.com/url?q=https://github.com/mostafa-saad/MyCompetitiveProgramming/blob/master/Olympiad/Baltic/official/boi2011_solutions&amp;sa=D&amp;ust=1605639800400000&amp;usg=AFQjCNH8-jIOaLPvQYQlDBd6Lqtu9v6ZPQ" TargetMode="External"/><Relationship Id="rId1997" Type="http://schemas.openxmlformats.org/officeDocument/2006/relationships/hyperlink" Target="https://www.google.com/url?q=https://github.com/mostafa-saad/MyCompetitiveProgramming/blob/master/Olympiad/POI/POI-11-Contest.txt&amp;sa=D&amp;ust=1605639800723000&amp;usg=AFQjCNHJOGaWm7E2fwYq2VrTOQ86oDuBKQ" TargetMode="External"/><Relationship Id="rId2603" Type="http://schemas.openxmlformats.org/officeDocument/2006/relationships/hyperlink" Target="https://www.google.com/url?q=http://usaco.org/index.php?page%3Dviewproblem2%26cpid%3D515&amp;sa=D&amp;ust=1605639801904000&amp;usg=AFQjCNHs08-iVDG702dSjxzA2fPUDVLKLA" TargetMode="External"/><Relationship Id="rId2950" Type="http://schemas.openxmlformats.org/officeDocument/2006/relationships/hyperlink" Target="https://www.google.com/url?q=https://dunjudge.me/analysis/problems/678/&amp;sa=D&amp;ust=1605639802309000&amp;usg=AFQjCNEAOQMHm4O5uOLpx0eRr0wHDxsIhQ" TargetMode="External"/><Relationship Id="rId1205" Type="http://schemas.openxmlformats.org/officeDocument/2006/relationships/hyperlink" Target="https://www.google.com/url?q=https://dmoj.ca/problem/coci08c5p4&amp;sa=D&amp;ust=1605639800168000&amp;usg=AFQjCNEODMTwkLYM_Jx4BEo5SF6n0jK-ag" TargetMode="External"/><Relationship Id="rId1857" Type="http://schemas.openxmlformats.org/officeDocument/2006/relationships/hyperlink" Target="https://www.google.com/url?q=https://github.com/tmwilliamlin168/CompetitiveProgramming/blob/master/CEOI/14-Wall.cpp&amp;sa=D&amp;ust=1605639800669000&amp;usg=AFQjCNFErgs1hcPLRJ7zlHuaEIcOMM9ZUg" TargetMode="External"/><Relationship Id="rId2810" Type="http://schemas.openxmlformats.org/officeDocument/2006/relationships/hyperlink" Target="https://www.google.com/url?q=https://dmoj.ca/problem/coci14c4p2&amp;sa=D&amp;ust=1605639802173000&amp;usg=AFQjCNHN4ydlTKu0FdfJZ3x7pm7oUigbxw" TargetMode="External"/><Relationship Id="rId2908" Type="http://schemas.openxmlformats.org/officeDocument/2006/relationships/hyperlink" Target="https://www.google.com/url?q=https://joisc2015.contest.atcoder.jp/tasks/joisc2015_a&amp;sa=D&amp;ust=1605639802284000&amp;usg=AFQjCNF8TJantF-iCWJN1UBgjktYh3S9eQ" TargetMode="External"/><Relationship Id="rId51" Type="http://schemas.openxmlformats.org/officeDocument/2006/relationships/hyperlink" Target="https://www.google.com/url?q=https://github.com/stefdasca/CompetitiveProgramming/blob/master/IZhO/IZhO%252019-xoractive.cpp&amp;sa=D&amp;ust=1605639798682000&amp;usg=AFQjCNE0viRfwfOE3oqP1TXyZjZHSM5QJQ" TargetMode="External"/><Relationship Id="rId1412" Type="http://schemas.openxmlformats.org/officeDocument/2006/relationships/hyperlink" Target="https://www.google.com/url?q=https://oj.uz/problem/view/COCI18_karte&amp;sa=D&amp;ust=1605639800300000&amp;usg=AFQjCNFdDPGBFz8w_LPB8Vk888X6j5LZwQ" TargetMode="External"/><Relationship Id="rId1717" Type="http://schemas.openxmlformats.org/officeDocument/2006/relationships/hyperlink" Target="https://www.google.com/url?q=https://dmoj.ca/problem/ccc15s4&amp;sa=D&amp;ust=1605639800504000&amp;usg=AFQjCNFohQlqQi6Ny1oz0D-Hk3PqSLvIrw" TargetMode="External"/><Relationship Id="rId1924" Type="http://schemas.openxmlformats.org/officeDocument/2006/relationships/hyperlink" Target="https://www.google.com/url?q=https://github.com/Szawinis/CompetitiveProgramming/blob/master/Olympiad/USACO/USACO19mar-valleys-plat.cpp&amp;sa=D&amp;ust=1605639800698000&amp;usg=AFQjCNFY2JWhJgxRp6tLwOOTlylPBzcfhg" TargetMode="External"/><Relationship Id="rId298" Type="http://schemas.openxmlformats.org/officeDocument/2006/relationships/hyperlink" Target="https://www.google.com/url?q=https://github.com/mostafa-saad/MyCompetitiveProgramming/tree/master/Olympiad/COCI/official/2008/contest2_solutions&amp;sa=D&amp;ust=1605639798882000&amp;usg=AFQjCNGWLz1L7Vq5tOkqCmyqcSlicKygSw" TargetMode="External"/><Relationship Id="rId158" Type="http://schemas.openxmlformats.org/officeDocument/2006/relationships/hyperlink" Target="https://www.google.com/url?q=https://github.com/mostafa-saad/MyCompetitiveProgramming/blob/master/Olympiad/COCI/official/2016/contest3_solutions&amp;sa=D&amp;ust=1605639798775000&amp;usg=AFQjCNH9df5sJvLvgY_oYq4lx41AFd6mnA" TargetMode="External"/><Relationship Id="rId2186" Type="http://schemas.openxmlformats.org/officeDocument/2006/relationships/hyperlink" Target="https://www.google.com/url?q=https://dmoj.ca/problem/ccc13s5&amp;sa=D&amp;ust=1605639800882000&amp;usg=AFQjCNGiqKRityTp-RwZxq50xiWq6ZBkUA" TargetMode="External"/><Relationship Id="rId2393" Type="http://schemas.openxmlformats.org/officeDocument/2006/relationships/hyperlink" Target="https://www.google.com/url?q=https://github.com/mostafa-saad/MyCompetitiveProgramming/blob/master/Olympiad/COCI/official/2010/contest2_solutions&amp;sa=D&amp;ust=1605639801704000&amp;usg=AFQjCNGT-YxhRexsg6CEjnwGanQV4U_mxA" TargetMode="External"/><Relationship Id="rId2698" Type="http://schemas.openxmlformats.org/officeDocument/2006/relationships/hyperlink" Target="https://www.google.com/url?q=https://cses.fi/188/list/&amp;sa=D&amp;ust=1605639802065000&amp;usg=AFQjCNFtoOW1zIg52xmVAimmVodnBhM3Rg" TargetMode="External"/><Relationship Id="rId365" Type="http://schemas.openxmlformats.org/officeDocument/2006/relationships/hyperlink" Target="https://www.google.com/url?q=https://github.com/mostafa-saad/MyCompetitiveProgramming/tree/master/Olympiad/COCI/official/2008/contest2_solutions&amp;sa=D&amp;ust=1605639798910000&amp;usg=AFQjCNHzBts9qDj2zhq7M8YucphhgfdIHQ" TargetMode="External"/><Relationship Id="rId572" Type="http://schemas.openxmlformats.org/officeDocument/2006/relationships/hyperlink" Target="https://www.google.com/url?q=https://oj.uz/problem/view/IOI11_ricehub&amp;sa=D&amp;ust=1605639799117000&amp;usg=AFQjCNFocZynlGN0qDPaqPrk1R7kYrvM9Q" TargetMode="External"/><Relationship Id="rId2046" Type="http://schemas.openxmlformats.org/officeDocument/2006/relationships/hyperlink" Target="https://www.google.com/url?q=https://csacademy.com/contest/ceoi-2017-day-1/tasks/&amp;sa=D&amp;ust=1605639800786000&amp;usg=AFQjCNGExCd5AywJygFqz9DbLvrGQpTSIQ" TargetMode="External"/><Relationship Id="rId2253" Type="http://schemas.openxmlformats.org/officeDocument/2006/relationships/hyperlink" Target="https://www.google.com/url?q=https://infoarena.ro/problema/deletegcd&amp;sa=D&amp;ust=1605639800909000&amp;usg=AFQjCNEbgJ033OnPTkf-ermnFJCVQZR89Q" TargetMode="External"/><Relationship Id="rId2460" Type="http://schemas.openxmlformats.org/officeDocument/2006/relationships/hyperlink" Target="https://www.google.com/url?q=https://github.com/mostafa-saad/MyCompetitiveProgramming/blob/master/Olympiad/Baltic/Baltic-13-numbers.txt&amp;sa=D&amp;ust=1605639801795000&amp;usg=AFQjCNGScLqh00J_4xOWigIawsgoZai7Uw" TargetMode="External"/><Relationship Id="rId225" Type="http://schemas.openxmlformats.org/officeDocument/2006/relationships/hyperlink" Target="https://www.google.com/url?q=https://github.com/mostafa-saad/MyCompetitiveProgramming/tree/master/Olympiad/COCI/official/2008/contest1_solutions&amp;sa=D&amp;ust=1605639798800000&amp;usg=AFQjCNETg5AjygjEj8aqFkmi1_wFPdgr8g" TargetMode="External"/><Relationship Id="rId432" Type="http://schemas.openxmlformats.org/officeDocument/2006/relationships/hyperlink" Target="https://www.google.com/url?q=https://github.com/mostafa-saad/MyCompetitiveProgramming/blob/master/Olympiad/COI/COI-19-segway.txt&amp;sa=D&amp;ust=1605639798998000&amp;usg=AFQjCNGWIKh5yN38O8gX54-OrTmCy1A93w" TargetMode="External"/><Relationship Id="rId877" Type="http://schemas.openxmlformats.org/officeDocument/2006/relationships/hyperlink" Target="https://www.google.com/url?q=https://github.com/mostafa-saad/MyCompetitiveProgramming/blob/master/Olympiad/IOI/IOIPractice-16-k-consecutive.txt&amp;sa=D&amp;ust=1605639799880000&amp;usg=AFQjCNGMmZZf3tVPkPtxajepTuSK7YaGtQ" TargetMode="External"/><Relationship Id="rId1062" Type="http://schemas.openxmlformats.org/officeDocument/2006/relationships/hyperlink" Target="https://www.google.com/url?q=https://dmoj.ca/problem/coci07c1p4&amp;sa=D&amp;ust=1605639800006000&amp;usg=AFQjCNErvjFJrgAPZ1lHl_xcGdt-jCIMjA" TargetMode="External"/><Relationship Id="rId2113" Type="http://schemas.openxmlformats.org/officeDocument/2006/relationships/hyperlink" Target="https://www.google.com/url?q=https://github.com/mostafa-saad/MyCompetitiveProgramming/blob/master/Olympiad/CEOI/CEOI-16-trick.txt&amp;sa=D&amp;ust=1605639800814000&amp;usg=AFQjCNHaBMU3hjsjFjnJPeQRh54lYWMxfw" TargetMode="External"/><Relationship Id="rId2320" Type="http://schemas.openxmlformats.org/officeDocument/2006/relationships/hyperlink" Target="https://www.google.com/url?q=https://csacademy.com/contest/round-78/task/count-bst/&amp;sa=D&amp;ust=1605639801603000&amp;usg=AFQjCNHKXXr4AiNOXBZ0_JxuZUeT0qL_PA" TargetMode="External"/><Relationship Id="rId2558" Type="http://schemas.openxmlformats.org/officeDocument/2006/relationships/hyperlink" Target="https://www.google.com/url?q=https://szkopul.edu.pl/problemset/problem/FHsx0TDoMNHN-XrWzXtUzzpi/site/&amp;sa=D&amp;ust=1605639801881000&amp;usg=AFQjCNGB_ZHygqlPh9moHil0Jj8pnqmZ2A" TargetMode="External"/><Relationship Id="rId2765" Type="http://schemas.openxmlformats.org/officeDocument/2006/relationships/hyperlink" Target="https://www.google.com/url?q=https://dmoj.ca/problem/coci08c2p2&amp;sa=D&amp;ust=1605639802101000&amp;usg=AFQjCNGNRCK2_1r6YW4hKQSv-nmcvAFw8Q" TargetMode="External"/><Relationship Id="rId2972" Type="http://schemas.openxmlformats.org/officeDocument/2006/relationships/hyperlink" Target="https://www.google.com/url?q=https://szkopul.edu.pl/problemset/problem/xfTByTABS18uZ1lmg4wQkVf2/site/&amp;sa=D&amp;ust=1605639802375000&amp;usg=AFQjCNGII7W_fic_b2u6ST0F6HiC0g8Pzg" TargetMode="External"/><Relationship Id="rId737" Type="http://schemas.openxmlformats.org/officeDocument/2006/relationships/hyperlink" Target="https://www.google.com/url?q=http://www.usaco.org/index.php?page%3Dviewproblem2%26cpid%3D973&amp;sa=D&amp;ust=1605639799702000&amp;usg=AFQjCNF3NlgY3cdJ3tU2poU3rX3ptQL6nw" TargetMode="External"/><Relationship Id="rId944" Type="http://schemas.openxmlformats.org/officeDocument/2006/relationships/hyperlink" Target="https://www.google.com/url?q=https://github.com/mostafa-saad/MyCompetitiveProgramming/blob/master/Olympiad/POI/POI-15-Squares.txt&amp;sa=D&amp;ust=1605639799909000&amp;usg=AFQjCNHnWz_LG4rmxSS05TT5ho7_DFqPgg" TargetMode="External"/><Relationship Id="rId1367" Type="http://schemas.openxmlformats.org/officeDocument/2006/relationships/hyperlink" Target="https://www.google.com/url?q=https://github.com/mostafa-saad/MyCompetitiveProgramming/blob/master/Olympiad/APIO/APIOPractice-14-mcamp.txt&amp;sa=D&amp;ust=1605639800282000&amp;usg=AFQjCNGg63eahrWZKgtyv0J1HkqXDLblRw" TargetMode="External"/><Relationship Id="rId1574" Type="http://schemas.openxmlformats.org/officeDocument/2006/relationships/hyperlink" Target="https://www.google.com/url?q=https://github.com/mostafa-saad/MyCompetitiveProgramming/tree/master/Olympiad/COI/official/2015&amp;sa=D&amp;ust=1605639800409000&amp;usg=AFQjCNHeioHIjpg9vzQTINa9rwqGhNdffA" TargetMode="External"/><Relationship Id="rId1781" Type="http://schemas.openxmlformats.org/officeDocument/2006/relationships/hyperlink" Target="https://www.google.com/url?q=https://github.com/mostafa-saad/MyCompetitiveProgramming/tree/master/Olympiad/COCI/official/2007/contest1_solutions&amp;sa=D&amp;ust=1605639800579000&amp;usg=AFQjCNEb78gI95a4Uv6mZBrK5H7Y_XUDVw" TargetMode="External"/><Relationship Id="rId2418" Type="http://schemas.openxmlformats.org/officeDocument/2006/relationships/hyperlink" Target="https://www.google.com/url?q=https://codeforces.com/group/swEqtABRxe/contest/227531/problem/C&amp;sa=D&amp;ust=1605639801778000&amp;usg=AFQjCNF8dZxMTR5Xz5sPxLYBHZ4DmGcQiw" TargetMode="External"/><Relationship Id="rId2625" Type="http://schemas.openxmlformats.org/officeDocument/2006/relationships/hyperlink" Target="https://www.google.com/url?q=https://github.com/mostafa-saad/MyCompetitiveProgramming/blob/master/Olympiad/infoarena/infoarena-radare.txt&amp;sa=D&amp;ust=1605639801977000&amp;usg=AFQjCNE2X3XJifa8J73U33-QUhr3YmSZUg" TargetMode="External"/><Relationship Id="rId2832" Type="http://schemas.openxmlformats.org/officeDocument/2006/relationships/hyperlink" Target="https://www.google.com/url?q=https://wcipeg.com/problem/coci087p4&amp;sa=D&amp;ust=1605639802186000&amp;usg=AFQjCNFMjysattgIJR5W_GzpQXjDQlWNSQ" TargetMode="External"/><Relationship Id="rId73" Type="http://schemas.openxmlformats.org/officeDocument/2006/relationships/hyperlink" Target="https://www.google.com/url?q=https://github.com/mostafa-saad/MyCompetitiveProgramming/blob/master/Olympiad/POI/POI-05-Points.txt&amp;sa=D&amp;ust=1605639798693000&amp;usg=AFQjCNHBwedlIl0rcNiexTjfA4KRkxXfag" TargetMode="External"/><Relationship Id="rId804" Type="http://schemas.openxmlformats.org/officeDocument/2006/relationships/hyperlink" Target="https://www.google.com/url?q=https://wcipeg.com/problem/coci063p4&amp;sa=D&amp;ust=1605639799785000&amp;usg=AFQjCNFOfpgyC4vDvcYWP93CedGuZ__e2w" TargetMode="External"/><Relationship Id="rId1227" Type="http://schemas.openxmlformats.org/officeDocument/2006/relationships/hyperlink" Target="https://www.google.com/url?q=https://codeforces.com/group/swEqtABRxe/contest/227530/problem/B&amp;sa=D&amp;ust=1605639800177000&amp;usg=AFQjCNE34zy_8zy6KhzfQ_f4A5e8VzuYrQ" TargetMode="External"/><Relationship Id="rId1434" Type="http://schemas.openxmlformats.org/officeDocument/2006/relationships/hyperlink" Target="https://www.google.com/url?q=https://www.infoarena.ro/problema/calorifer&amp;sa=D&amp;ust=1605639800310000&amp;usg=AFQjCNFxNw_A4M9uiBFKRfOai5C61b7niw" TargetMode="External"/><Relationship Id="rId1641" Type="http://schemas.openxmlformats.org/officeDocument/2006/relationships/hyperlink" Target="https://www.google.com/url?q=https://codeforces.com/blog/entry/66506&amp;sa=D&amp;ust=1605639800476000&amp;usg=AFQjCNFZcLmnB8i6LX3iczD2DDuGzO3v_w" TargetMode="External"/><Relationship Id="rId1879" Type="http://schemas.openxmlformats.org/officeDocument/2006/relationships/hyperlink" Target="https://www.google.com/url?q=https://github.com/MohamedAhmed04/Competitive-programming/blob/master/COCI/COCI%252017-Ceste.cpp&amp;sa=D&amp;ust=1605639800679000&amp;usg=AFQjCNET84vaoL6jHMBZVXhXBRwfzfyVIQ" TargetMode="External"/><Relationship Id="rId1501" Type="http://schemas.openxmlformats.org/officeDocument/2006/relationships/hyperlink" Target="https://www.google.com/url?q=https://github.com/mostafa-saad/MyCompetitiveProgramming/blob/master/Olympiad/POI/official/find_editorial_sols_guidelines.txt&amp;sa=D&amp;ust=1605639800381000&amp;usg=AFQjCNFfCveQrQBawo9or38EoozyItioxg" TargetMode="External"/><Relationship Id="rId1739" Type="http://schemas.openxmlformats.org/officeDocument/2006/relationships/hyperlink" Target="https://www.google.com/url?q=https://dunjudge.me/analysis/problems/266/&amp;sa=D&amp;ust=1605639800520000&amp;usg=AFQjCNFSUXAvG2gBjg9ioNF2PmJwyaSfSA" TargetMode="External"/><Relationship Id="rId1946" Type="http://schemas.openxmlformats.org/officeDocument/2006/relationships/hyperlink" Target="https://www.google.com/url?q=https://www.infoarena.ro/problema/matrice2&amp;sa=D&amp;ust=1605639800705000&amp;usg=AFQjCNEHtTrklVkzYstZDcv890PFuV08uA" TargetMode="External"/><Relationship Id="rId1806" Type="http://schemas.openxmlformats.org/officeDocument/2006/relationships/hyperlink" Target="https://www.google.com/url?q=https://dmoj.ca/problem/coci14c7p6&amp;sa=D&amp;ust=1605639800593000&amp;usg=AFQjCNE7j4oirAqr5KAHZISuFapzVVH2Wg" TargetMode="External"/><Relationship Id="rId387" Type="http://schemas.openxmlformats.org/officeDocument/2006/relationships/hyperlink" Target="https://www.google.com/url?q=https://dunjudge.me/analysis/problems/677/&amp;sa=D&amp;ust=1605639798979000&amp;usg=AFQjCNH3t-wUjny2xEua-7fZdAwILRVUQg" TargetMode="External"/><Relationship Id="rId594" Type="http://schemas.openxmlformats.org/officeDocument/2006/relationships/hyperlink" Target="https://www.google.com/url?q=https://joi2013ho.contest.atcoder.jp/tasks/joi2013ho4&amp;sa=D&amp;ust=1605639799126000&amp;usg=AFQjCNEK7Vv2Q78dWy7bTZ4juWJ1KPFyDQ" TargetMode="External"/><Relationship Id="rId2068" Type="http://schemas.openxmlformats.org/officeDocument/2006/relationships/hyperlink" Target="https://www.google.com/url?q=https://github.com/timpostuvan/CompetitiveProgramming/blob/master/Olympiad/COI/Policija2006.cpp&amp;sa=D&amp;ust=1605639800796000&amp;usg=AFQjCNFzAKuXczQL5uKxJ8WZ3iayX2tpPA" TargetMode="External"/><Relationship Id="rId2275" Type="http://schemas.openxmlformats.org/officeDocument/2006/relationships/hyperlink" Target="https://www.google.com/url?q=https://github.com/mostafa-saad/MyCompetitiveProgramming/blob/master/Olympiad/JOI/JOIOC-16-selling_rna.txt&amp;sa=D&amp;ust=1605639801568000&amp;usg=AFQjCNFtjeET907jtZRPm0uzsIjudbV5gA" TargetMode="External"/><Relationship Id="rId247" Type="http://schemas.openxmlformats.org/officeDocument/2006/relationships/hyperlink" Target="https://www.google.com/url?q=https://szkopul.edu.pl/problemset/problem/Z8dyWFvoZuAJMjzLhqu4IH2o/site/&amp;sa=D&amp;ust=1605639798807000&amp;usg=AFQjCNFEYPYDwGQQOke5LqO0_DiUq37J9Q" TargetMode="External"/><Relationship Id="rId899" Type="http://schemas.openxmlformats.org/officeDocument/2006/relationships/hyperlink" Target="https://www.google.com/url?q=https://github.com/stefdasca/CompetitiveProgramming/blob/master/Infoarena/culmi.cpp&amp;sa=D&amp;ust=1605639799891000&amp;usg=AFQjCNGO2SBIsrahkdfhxriIQkFCINYsnw" TargetMode="External"/><Relationship Id="rId1084" Type="http://schemas.openxmlformats.org/officeDocument/2006/relationships/hyperlink" Target="https://www.google.com/url?q=https://www.infoarena.ro/problema/panza&amp;sa=D&amp;ust=1605639800016000&amp;usg=AFQjCNFbnw8FA9H25P0OsrGN-2gziCj0Pg" TargetMode="External"/><Relationship Id="rId2482" Type="http://schemas.openxmlformats.org/officeDocument/2006/relationships/hyperlink" Target="https://www.google.com/url?q=https://dunjudge.me/analysis/problems/274/&amp;sa=D&amp;ust=1605639801804000&amp;usg=AFQjCNGjzyTC3s8D3SDwnrrf7sWdthUpqw" TargetMode="External"/><Relationship Id="rId2787" Type="http://schemas.openxmlformats.org/officeDocument/2006/relationships/hyperlink" Target="https://www.google.com/url?q=https://github.com/mostafa-saad/MyCompetitiveProgramming/blob/master/Olympiad/COCI/official/2010/contest5_solutions&amp;sa=D&amp;ust=1605639802109000&amp;usg=AFQjCNFAkXqeTrLBdqcSwNdk6tZcJdZVzQ" TargetMode="External"/><Relationship Id="rId107" Type="http://schemas.openxmlformats.org/officeDocument/2006/relationships/hyperlink" Target="https://www.google.com/url?q=https://szkopul.edu.pl/problemset/problem/4yTtNIf4H61mJrquuAIhoSh_/site/&amp;sa=D&amp;ust=1605639798717000&amp;usg=AFQjCNGFdu3BaiP9w16LvGN8evhZvusIxA" TargetMode="External"/><Relationship Id="rId454" Type="http://schemas.openxmlformats.org/officeDocument/2006/relationships/hyperlink" Target="https://www.google.com/url?q=http://usaco.org/index.php?page%3Dviewproblem2%26cpid%3D837&amp;sa=D&amp;ust=1605639799008000&amp;usg=AFQjCNH8t0jIkkIms4n1Rdgs9R1S_WQEGg" TargetMode="External"/><Relationship Id="rId661" Type="http://schemas.openxmlformats.org/officeDocument/2006/relationships/hyperlink" Target="https://www.google.com/url?q=http://blog.brucemerry.org.za/2013/07/&amp;sa=D&amp;ust=1605639799658000&amp;usg=AFQjCNEeLWuOKL3xQ3N9cLQ_lxFEfvRQEg" TargetMode="External"/><Relationship Id="rId759" Type="http://schemas.openxmlformats.org/officeDocument/2006/relationships/hyperlink" Target="https://www.google.com/url?q=https://github.com/Shash-Wat/competitive-programming/blob/master/POI/poi_strike.cpp&amp;sa=D&amp;ust=1605639799713000&amp;usg=AFQjCNEfEptXKlYon_STPnBS90Rayu2c5Q" TargetMode="External"/><Relationship Id="rId966" Type="http://schemas.openxmlformats.org/officeDocument/2006/relationships/hyperlink" Target="https://www.google.com/url?q=https://www.infoarena.ro/problema/retea3&amp;sa=D&amp;ust=1605639799966000&amp;usg=AFQjCNG62qvr56ZTCPFutrmBQvT9rgis1A" TargetMode="External"/><Relationship Id="rId1291" Type="http://schemas.openxmlformats.org/officeDocument/2006/relationships/hyperlink" Target="https://www.google.com/url?q=https://github.com/mostafa-saad/MyCompetitiveProgramming/blob/master/Olympiad/APIO/APIO-15-sculpture.txt&amp;sa=D&amp;ust=1605639800198000&amp;usg=AFQjCNFBvMaPDBSr_Kc0thruRL4erNRacA" TargetMode="External"/><Relationship Id="rId1389" Type="http://schemas.openxmlformats.org/officeDocument/2006/relationships/hyperlink" Target="https://www.google.com/url?q=https://csacademy.com/contest/ceoi-2017-day-1/tasks/&amp;sa=D&amp;ust=1605639800292000&amp;usg=AFQjCNFtcDcqnDn0YoGrOfFfyRvP7UTebw" TargetMode="External"/><Relationship Id="rId1596" Type="http://schemas.openxmlformats.org/officeDocument/2006/relationships/hyperlink" Target="https://www.google.com/url?q=https://github.com/mostafa-saad/MyCompetitiveProgramming/blob/master/Olympiad/Baltic/Baltic-12-Fire.txt&amp;sa=D&amp;ust=1605639800417000&amp;usg=AFQjCNFq4dQnL0oPIsO1eMshgvyCuGKDQQ" TargetMode="External"/><Relationship Id="rId2135" Type="http://schemas.openxmlformats.org/officeDocument/2006/relationships/hyperlink" Target="https://www.google.com/url?q=https://www.infoarena.ro/problema/meneaito&amp;sa=D&amp;ust=1605639800822000&amp;usg=AFQjCNE8fZ7ZiO6zZRZIs44RGtyucE1hjQ" TargetMode="External"/><Relationship Id="rId2342" Type="http://schemas.openxmlformats.org/officeDocument/2006/relationships/hyperlink" Target="https://www.google.com/url?q=https://oj.uz/problem/view/COCI18_clickbait&amp;sa=D&amp;ust=1605639801613000&amp;usg=AFQjCNEz3akQ3BH9XH7DJvT9uEKUpVHEfA" TargetMode="External"/><Relationship Id="rId2647" Type="http://schemas.openxmlformats.org/officeDocument/2006/relationships/hyperlink" Target="https://www.google.com/url?q=https://github.com/stefdasca/CompetitiveProgramming/blob/master/Infoarena/arb2.cpp&amp;sa=D&amp;ust=1605639801986000&amp;usg=AFQjCNGiasu1yB9nsZ04ieEYru5zAoTRQQ" TargetMode="External"/><Relationship Id="rId2994" Type="http://schemas.openxmlformats.org/officeDocument/2006/relationships/hyperlink" Target="https://www.google.com/url?q=https://szkopul.edu.pl/problemset/problem/CUjJDGGSEZmO7HvdZU4FKrL6/site/&amp;sa=D&amp;ust=1605639802387000&amp;usg=AFQjCNEqR5r_rzX_mtV1JxUHiiBp0pO43g" TargetMode="External"/><Relationship Id="rId314" Type="http://schemas.openxmlformats.org/officeDocument/2006/relationships/hyperlink" Target="https://www.google.com/url?q=https://oj.uz/problem/view/COCI18_olivander&amp;sa=D&amp;ust=1605639798887000&amp;usg=AFQjCNFhjc0_2ZshBpd2bIE_QzfieTSmkg" TargetMode="External"/><Relationship Id="rId521" Type="http://schemas.openxmlformats.org/officeDocument/2006/relationships/hyperlink" Target="https://www.google.com/url?q=https://github.com/stefdasca/CompetitiveProgramming/blob/master/Infoarena/heavymetal.cpp&amp;sa=D&amp;ust=1605639799094000&amp;usg=AFQjCNEMZ-9-mIqa2g65qcnzYTV0DSNpVA" TargetMode="External"/><Relationship Id="rId619" Type="http://schemas.openxmlformats.org/officeDocument/2006/relationships/hyperlink" Target="https://www.google.com/url?q=https://oj.uz/problem/view/COCI18_cipele&amp;sa=D&amp;ust=1605639799169000&amp;usg=AFQjCNFU9xBSHSuAm5oCxjL4Z526G98K5w" TargetMode="External"/><Relationship Id="rId1151" Type="http://schemas.openxmlformats.org/officeDocument/2006/relationships/hyperlink" Target="https://www.google.com/url?q=https://github.com/stefdasca/CompetitiveProgramming/blob/master/Info1Cup/National%2520Round/mean.cpp&amp;sa=D&amp;ust=1605639800092000&amp;usg=AFQjCNHN1pcvcV1BN_iWaxneGbpJauWefg" TargetMode="External"/><Relationship Id="rId1249" Type="http://schemas.openxmlformats.org/officeDocument/2006/relationships/hyperlink" Target="https://www.google.com/url?q=https://oj.uz/problem/view/IOI17_mountains&amp;sa=D&amp;ust=1605639800184000&amp;usg=AFQjCNHeL8_COhBJdbSuEfrKVa0EdLREEg" TargetMode="External"/><Relationship Id="rId2202" Type="http://schemas.openxmlformats.org/officeDocument/2006/relationships/hyperlink" Target="https://www.google.com/url?q=https://oj.uz/problem/view/NOI14_cats&amp;sa=D&amp;ust=1605639800889000&amp;usg=AFQjCNEgURlQBpNOqbRm2_ooF5hguROjYA" TargetMode="External"/><Relationship Id="rId2854" Type="http://schemas.openxmlformats.org/officeDocument/2006/relationships/hyperlink" Target="https://www.google.com/url?q=https://oj.uz/problem/view/info1cup18_norela&amp;sa=D&amp;ust=1605639802199000&amp;usg=AFQjCNEJCKTQZF8QD2EcTMop4ElLhKUl9w" TargetMode="External"/><Relationship Id="rId95" Type="http://schemas.openxmlformats.org/officeDocument/2006/relationships/hyperlink" Target="https://www.google.com/url?q=https://szkopul.edu.pl/problemset/problem/5TfG0f1dOXc2sUTq9NMM9zSD/site/&amp;sa=D&amp;ust=1605639798713000&amp;usg=AFQjCNFPDHLcAgAwnl7RocDbQ0vloYuZFQ" TargetMode="External"/><Relationship Id="rId826" Type="http://schemas.openxmlformats.org/officeDocument/2006/relationships/hyperlink" Target="https://www.google.com/url?q=https://cses.fi/108/list/&amp;sa=D&amp;ust=1605639799795000&amp;usg=AFQjCNFARIhtxdtC3hVkumowa26ZaW6B9w" TargetMode="External"/><Relationship Id="rId1011" Type="http://schemas.openxmlformats.org/officeDocument/2006/relationships/hyperlink" Target="https://www.google.com/url?q=https://www.infoarena.ro/problema/amenzi&amp;sa=D&amp;ust=1605639799986000&amp;usg=AFQjCNHb1Sj2mabvy68ERpgWG-_uZGye5Q" TargetMode="External"/><Relationship Id="rId1109" Type="http://schemas.openxmlformats.org/officeDocument/2006/relationships/hyperlink" Target="https://www.google.com/url?q=https://oj.uz/problem/view/POI13_mor&amp;sa=D&amp;ust=1605639800074000&amp;usg=AFQjCNEs4Eb8vpwOVeLWNYOCL26_n4hPFQ" TargetMode="External"/><Relationship Id="rId1456" Type="http://schemas.openxmlformats.org/officeDocument/2006/relationships/hyperlink" Target="https://www.google.com/url?q=https://oj.uz/problem/view/BOI15_hac&amp;sa=D&amp;ust=1605639800319000&amp;usg=AFQjCNHlP7vHPVcKho_4XoqbM6RLuLsNOw" TargetMode="External"/><Relationship Id="rId1663" Type="http://schemas.openxmlformats.org/officeDocument/2006/relationships/hyperlink" Target="https://www.google.com/url?q=https://szkopul.edu.pl/problemset/problem/vvd6w7n7EXFVEg3nkqGxEirV/site/?key%3Dstatement&amp;sa=D&amp;ust=1605639800484000&amp;usg=AFQjCNEvu5ZesF_2xYCIaPzKBCt3FlR-4w" TargetMode="External"/><Relationship Id="rId1870" Type="http://schemas.openxmlformats.org/officeDocument/2006/relationships/hyperlink" Target="https://www.google.com/url?q=https://github.com/tmwilliamlin168/CompetitiveProgramming/blob/master/BtOI/16-Cities.cpp&amp;sa=D&amp;ust=1605639800676000&amp;usg=AFQjCNF5SJCuX0YVLq5xnAw2GtyDm8c17g" TargetMode="External"/><Relationship Id="rId1968" Type="http://schemas.openxmlformats.org/officeDocument/2006/relationships/hyperlink" Target="https://www.google.com/url?q=https://dunjudge.me/analysis/problems/422/&amp;sa=D&amp;ust=1605639800712000&amp;usg=AFQjCNEnqPP2muhtJ5iozcxzvd4-406c2w" TargetMode="External"/><Relationship Id="rId2507" Type="http://schemas.openxmlformats.org/officeDocument/2006/relationships/hyperlink" Target="https://www.google.com/url?q=https://oj.uz/problem/view/JOI14_factories&amp;sa=D&amp;ust=1605639801812000&amp;usg=AFQjCNGpidjvRfrD4mfTt1nKwPWaKOFdDA" TargetMode="External"/><Relationship Id="rId2714" Type="http://schemas.openxmlformats.org/officeDocument/2006/relationships/hyperlink" Target="https://www.google.com/url?q=https://github.com/mostafa-saad/MyCompetitiveProgramming/tree/master/Olympiad/COCI/official/2007/contest6_solutions&amp;sa=D&amp;ust=1605639802076000&amp;usg=AFQjCNGedWBzxuTwLvIUm_XXuCOEZeQeFQ" TargetMode="External"/><Relationship Id="rId2921" Type="http://schemas.openxmlformats.org/officeDocument/2006/relationships/hyperlink" Target="https://www.google.com/url?q=https://joisc2016.contest.atcoder.jp/tasks/joisc2016_e&amp;sa=D&amp;ust=1605639802292000&amp;usg=AFQjCNHhNwvyX3qzfkumVURs0gV8uLgQeA" TargetMode="External"/><Relationship Id="rId1316" Type="http://schemas.openxmlformats.org/officeDocument/2006/relationships/hyperlink" Target="https://www.google.com/url?q=https://github.com/mostafa-saad/MyCompetitiveProgramming/blob/master/Olympiad/COCI/official/2010/contest2_solutions&amp;sa=D&amp;ust=1605639800208000&amp;usg=AFQjCNGWhHL6Ozkx0WgEct_CsGNO1K92Qg" TargetMode="External"/><Relationship Id="rId1523" Type="http://schemas.openxmlformats.org/officeDocument/2006/relationships/hyperlink" Target="https://www.google.com/url?q=https://github.com/mostafa-saad/MyCompetitiveProgramming/blob/master/Olympiad/POI/official/find_editorial_sols_guidelines.txt&amp;sa=D&amp;ust=1605639800389000&amp;usg=AFQjCNHjVqJGn6xOKQ7vrdtqgYkkdA_ZWw" TargetMode="External"/><Relationship Id="rId1730" Type="http://schemas.openxmlformats.org/officeDocument/2006/relationships/hyperlink" Target="https://www.google.com/url?q=https://dmoj.ca/problem/dwite11c5p5&amp;sa=D&amp;ust=1605639800508000&amp;usg=AFQjCNHGgwbohPMSkBE_nDVDVpjUlqL_JQ" TargetMode="External"/><Relationship Id="rId22" Type="http://schemas.openxmlformats.org/officeDocument/2006/relationships/hyperlink" Target="https://www.google.com/url?q=https://oj.uz/problem/view/COI14_gta&amp;sa=D&amp;ust=1605639798672000&amp;usg=AFQjCNGgdTBj2iDOm360pZNfxA5aZaq-0Q" TargetMode="External"/><Relationship Id="rId1828" Type="http://schemas.openxmlformats.org/officeDocument/2006/relationships/hyperlink" Target="https://www.google.com/url?q=https://joi2016ho.contest.atcoder.jp/tasks/joi2016ho_c&amp;sa=D&amp;ust=1605639800600000&amp;usg=AFQjCNEqarK16K9ooHQ0iWV-zTU3sLHtOA" TargetMode="External"/><Relationship Id="rId171" Type="http://schemas.openxmlformats.org/officeDocument/2006/relationships/hyperlink" Target="https://www.google.com/url?q=https://github.com/mostafa-saad/MyCompetitiveProgramming/blob/master/Olympiad/IOI/IOIPractice-14-color-grid-ioi14.txt&amp;sa=D&amp;ust=1605639798779000&amp;usg=AFQjCNF8M4mz3FayeAjvPTNfqTmaA5gD5w" TargetMode="External"/><Relationship Id="rId2297" Type="http://schemas.openxmlformats.org/officeDocument/2006/relationships/hyperlink" Target="https://www.google.com/url?q=https://github.com/mostafa-saad/MyCompetitiveProgramming/blob/master/Olympiad/CEOI/official/2011/&amp;sa=D&amp;ust=1605639801578000&amp;usg=AFQjCNGprn5hibT4vInNyWcRY0runFKO7w" TargetMode="External"/><Relationship Id="rId269" Type="http://schemas.openxmlformats.org/officeDocument/2006/relationships/hyperlink" Target="https://www.google.com/url?q=https://oj.uz/problem/view/COCI17_izbori&amp;sa=D&amp;ust=1605639798870000&amp;usg=AFQjCNEtwVEXGHtIeOGSARvb93gybO9Wzw" TargetMode="External"/><Relationship Id="rId476" Type="http://schemas.openxmlformats.org/officeDocument/2006/relationships/hyperlink" Target="https://www.google.com/url?q=https://cses.fi/180/list/&amp;sa=D&amp;ust=1605639799016000&amp;usg=AFQjCNHDmbyXLyOsBq9BZjivEMOINma5rg" TargetMode="External"/><Relationship Id="rId683" Type="http://schemas.openxmlformats.org/officeDocument/2006/relationships/hyperlink" Target="https://www.google.com/url?q=https://github.com/mostafa-saad/MyCompetitiveProgramming/blob/master/Olympiad/Balkan/Balkan-12-BestTeams.txt&amp;sa=D&amp;ust=1605639799666000&amp;usg=AFQjCNGV9xhC09WfYOFD4gS7tjCfN0GyuA" TargetMode="External"/><Relationship Id="rId890" Type="http://schemas.openxmlformats.org/officeDocument/2006/relationships/hyperlink" Target="https://www.google.com/url?q=https://szkopul.edu.pl/problemset/problem/Mk-9GNDtSal6h_8T4n9Ezq9M/site/&amp;sa=D&amp;ust=1605639799887000&amp;usg=AFQjCNG--RQ_gBqxxOk9nsViWWBKq9GqKw" TargetMode="External"/><Relationship Id="rId2157" Type="http://schemas.openxmlformats.org/officeDocument/2006/relationships/hyperlink" Target="https://www.google.com/url?q=https://dunjudge.me/analysis/problems/1413/&amp;sa=D&amp;ust=1605639800871000&amp;usg=AFQjCNFU6NIR7BBbJ-FATT9tvI0nNTqOcA" TargetMode="External"/><Relationship Id="rId2364" Type="http://schemas.openxmlformats.org/officeDocument/2006/relationships/hyperlink" Target="https://www.google.com/url?q=https://szkopul.edu.pl/problemset/problem/NuGiXg5BO8iuLFU7vmhCmNWK/site/&amp;sa=D&amp;ust=1605639801685000&amp;usg=AFQjCNHFRJW3tpH6kzrJZcySBt24mrivUg" TargetMode="External"/><Relationship Id="rId2571" Type="http://schemas.openxmlformats.org/officeDocument/2006/relationships/hyperlink" Target="https://www.google.com/url?q=https://github.com/mostafa-saad/MyCompetitiveProgramming/blob/master/Olympiad/IOI/IOI-09-regions.txt&amp;sa=D&amp;ust=1605639801886000&amp;usg=AFQjCNHxcBOrHu_dOUp9n6IVepoCapIWsg" TargetMode="External"/><Relationship Id="rId129" Type="http://schemas.openxmlformats.org/officeDocument/2006/relationships/hyperlink" Target="https://www.google.com/url?q=https://github.com/mostafa-saad/MyCompetitiveProgramming/blob/master/Olympiad/infoarena/infoarena-interact.txt&amp;sa=D&amp;ust=1605639798725000&amp;usg=AFQjCNHGImHpNt1LlAh6fXu7_liimF9-kA" TargetMode="External"/><Relationship Id="rId336" Type="http://schemas.openxmlformats.org/officeDocument/2006/relationships/hyperlink" Target="https://www.google.com/url?q=https://wcipeg.com/problem/coci087p2&amp;sa=D&amp;ust=1605639798899000&amp;usg=AFQjCNFoXT7lrg1VCll1VgcahncXMzO1CA" TargetMode="External"/><Relationship Id="rId543" Type="http://schemas.openxmlformats.org/officeDocument/2006/relationships/hyperlink" Target="https://www.google.com/url?q=https://github.com/mostafa-saad/MyCompetitiveProgramming/blob/master/Olympiad/JOI/JOISC-17-park.txt&amp;sa=D&amp;ust=1605639799105000&amp;usg=AFQjCNE71Z5_6QmfrDXAo-uH7_NnjmZLtQ" TargetMode="External"/><Relationship Id="rId988" Type="http://schemas.openxmlformats.org/officeDocument/2006/relationships/hyperlink" Target="https://www.google.com/url?q=https://github.com/mostafa-saad/MyCompetitiveProgramming/blob/master/Olympiad/COCI/COCI-17-kas.txt&amp;sa=D&amp;ust=1605639799978000&amp;usg=AFQjCNGB_NuK65AelCFI_sJPccavlK25yA" TargetMode="External"/><Relationship Id="rId1173" Type="http://schemas.openxmlformats.org/officeDocument/2006/relationships/hyperlink" Target="https://www.google.com/url?q=https://github.com/mostafa-saad/MyCompetitiveProgramming/blob/master/Olympiad/COCI/official/2015/contest6_solutions&amp;sa=D&amp;ust=1605639800109000&amp;usg=AFQjCNFdm10uepegSTk5zJTj30QFVCX-7A" TargetMode="External"/><Relationship Id="rId1380" Type="http://schemas.openxmlformats.org/officeDocument/2006/relationships/hyperlink" Target="https://www.google.com/url?q=https://www.infoarena.ro/problema/borcane&amp;sa=D&amp;ust=1605639800287000&amp;usg=AFQjCNEo2aY4qnkMq28WrzRrqYbmHXAJqA" TargetMode="External"/><Relationship Id="rId2017" Type="http://schemas.openxmlformats.org/officeDocument/2006/relationships/hyperlink" Target="https://www.google.com/url?q=https://oj.uz/problem/view/balkan11_timeismoney&amp;sa=D&amp;ust=1605639800776000&amp;usg=AFQjCNGWHnS5yfChlu8r-xgwlzG8Xp3n9A" TargetMode="External"/><Relationship Id="rId2224" Type="http://schemas.openxmlformats.org/officeDocument/2006/relationships/hyperlink" Target="https://www.google.com/url?q=https://www.infoarena.ro/problema/color&amp;sa=D&amp;ust=1605639800898000&amp;usg=AFQjCNEs1DLd5F2Y1tIJbfEMB60_QeouVA" TargetMode="External"/><Relationship Id="rId2669" Type="http://schemas.openxmlformats.org/officeDocument/2006/relationships/hyperlink" Target="https://www.google.com/url?q=https://github.com/mostafa-saad/MyCompetitiveProgramming/blob/master/Olympiad/COCI/COCI-06-Dvaput.txt&amp;sa=D&amp;ust=1605639801994000&amp;usg=AFQjCNEBIyPQMVyJMOlaa39QRcSmV_yGJw" TargetMode="External"/><Relationship Id="rId2876" Type="http://schemas.openxmlformats.org/officeDocument/2006/relationships/hyperlink" Target="https://www.google.com/url?q=https://wcipeg.com/problem/ioi1403&amp;sa=D&amp;ust=1605639802208000&amp;usg=AFQjCNFWZkmOSzBTliuHsKXFnRnPHyoGiQ" TargetMode="External"/><Relationship Id="rId403" Type="http://schemas.openxmlformats.org/officeDocument/2006/relationships/hyperlink" Target="https://www.google.com/url?q=https://www.infoarena.ro/problema/cartite&amp;sa=D&amp;ust=1605639798985000&amp;usg=AFQjCNGK4sG4wSUW1eI5v2wJtXGaKP3JGA" TargetMode="External"/><Relationship Id="rId750" Type="http://schemas.openxmlformats.org/officeDocument/2006/relationships/hyperlink" Target="https://www.google.com/url?q=https://github.com/mostafa-saad/MyCompetitiveProgramming/blob/master/Olympiad/COCI/official/2017/contest5_solutions&amp;sa=D&amp;ust=1605639799707000&amp;usg=AFQjCNGUVO-v8qDOjN5LDuJ3un5BttHOQQ" TargetMode="External"/><Relationship Id="rId848" Type="http://schemas.openxmlformats.org/officeDocument/2006/relationships/hyperlink" Target="https://www.google.com/url?q=https://www.infoarena.ro/problema/zuma&amp;sa=D&amp;ust=1605639799811000&amp;usg=AFQjCNHvH-i2fiNewYL5LUTV2hXBwvwSbg" TargetMode="External"/><Relationship Id="rId1033" Type="http://schemas.openxmlformats.org/officeDocument/2006/relationships/hyperlink" Target="https://www.google.com/url?q=https://github.com/stefdasca/CompetitiveProgramming/blob/master/Infoarena/asmin.cpp&amp;sa=D&amp;ust=1605639799992000&amp;usg=AFQjCNGLPEAbRm5q7OIzxW0TGC61p1PuGg" TargetMode="External"/><Relationship Id="rId1478" Type="http://schemas.openxmlformats.org/officeDocument/2006/relationships/hyperlink" Target="https://www.google.com/url?q=https://szkopul.edu.pl/problemset/problem/qYS15kJB5WGKbGxqJCIEVM1I/site/&amp;sa=D&amp;ust=1605639800372000&amp;usg=AFQjCNHy8-EAKnmbhj_EKHMaSzDcHYMe_w" TargetMode="External"/><Relationship Id="rId1685" Type="http://schemas.openxmlformats.org/officeDocument/2006/relationships/hyperlink" Target="https://www.google.com/url?q=https://open.kattis.com/problem-sources/Baltic%2520Olympiad%2520in%2520Informatics%25202017%252C%2520Day%25201&amp;sa=D&amp;ust=1605639800492000&amp;usg=AFQjCNHF19X_JabkL4IP0TxX4IooVrVubg" TargetMode="External"/><Relationship Id="rId1892" Type="http://schemas.openxmlformats.org/officeDocument/2006/relationships/hyperlink" Target="https://www.google.com/url?q=https://github.com/mostafa-saad/MyCompetitiveProgramming/blob/master/Olympiad/COI/COI-07-Tamnica.txt&amp;sa=D&amp;ust=1605639800684000&amp;usg=AFQjCNHAM8MnuORqPJ-uwmiOd4vIjt4z_A" TargetMode="External"/><Relationship Id="rId2431" Type="http://schemas.openxmlformats.org/officeDocument/2006/relationships/hyperlink" Target="https://www.google.com/url?q=https://szkopul.edu.pl/problemset/problem/SXtZ8jxPUjMD5cLWqCI1EZLT/site/&amp;sa=D&amp;ust=1605639801783000&amp;usg=AFQjCNH4iv9o0ditR46QVWUxRmgCFPdR2A" TargetMode="External"/><Relationship Id="rId2529" Type="http://schemas.openxmlformats.org/officeDocument/2006/relationships/hyperlink" Target="https://www.google.com/url?q=https://dunjudge.me/analysis/problems/964/&amp;sa=D&amp;ust=1605639801871000&amp;usg=AFQjCNGSnGVrz8BhgzpVwpGxrLU3-jYnJg" TargetMode="External"/><Relationship Id="rId2736" Type="http://schemas.openxmlformats.org/officeDocument/2006/relationships/hyperlink" Target="https://www.google.com/url?q=https://github.com/mostafa-saad/MyCompetitiveProgramming/tree/master/Olympiad/COCI/official/2008/regional_solutions&amp;sa=D&amp;ust=1605639802087000&amp;usg=AFQjCNHMZaAkqxBZRf7wCBaPcZX-vN8RJQ" TargetMode="External"/><Relationship Id="rId610" Type="http://schemas.openxmlformats.org/officeDocument/2006/relationships/hyperlink" Target="https://www.google.com/url?q=https://codeforces.com/group/swEqtABRxe/contest/243437/problem/A&amp;sa=D&amp;ust=1605639799166000&amp;usg=AFQjCNFKczDC6-8-P599sVpbnrvNpPfQGg" TargetMode="External"/><Relationship Id="rId708" Type="http://schemas.openxmlformats.org/officeDocument/2006/relationships/hyperlink" Target="https://www.google.com/url?q=https://oj.uz/problem/view/COI14_krave&amp;sa=D&amp;ust=1605639799676000&amp;usg=AFQjCNGpfYS7knES_OKa7Tmc7jLFYMQ1BA" TargetMode="External"/><Relationship Id="rId915" Type="http://schemas.openxmlformats.org/officeDocument/2006/relationships/hyperlink" Target="https://www.google.com/url?q=https://dmoj.ca/problem/coci07c6p6&amp;sa=D&amp;ust=1605639799897000&amp;usg=AFQjCNH89bP1pVYI68SIIYR2nBmzBD9qoQ" TargetMode="External"/><Relationship Id="rId1240" Type="http://schemas.openxmlformats.org/officeDocument/2006/relationships/hyperlink" Target="https://www.google.com/url?q=https://github.com/mostafa-saad/MyCompetitiveProgramming/blob/master/Olympiad/CEOI/CEOI-16-match.txt&amp;sa=D&amp;ust=1605639800181000&amp;usg=AFQjCNF-zd6YZOiJjWGWSlexBLVvKypr0g" TargetMode="External"/><Relationship Id="rId1338" Type="http://schemas.openxmlformats.org/officeDocument/2006/relationships/hyperlink" Target="https://www.google.com/url?q=https://github.com/mostafa-saad/MyCompetitiveProgramming/blob/master/Olympiad/POI/POI-08-BBB.txt&amp;sa=D&amp;ust=1605639800220000&amp;usg=AFQjCNFVr62hbyLVG4_uENXP5dFFYRHqww" TargetMode="External"/><Relationship Id="rId1545" Type="http://schemas.openxmlformats.org/officeDocument/2006/relationships/hyperlink" Target="https://www.google.com/url?q=https://dmoj.ca/problem/coci06c2p6&amp;sa=D&amp;ust=1605639800397000&amp;usg=AFQjCNHh8zJS3JrVsnuEtMM1eCD_dF8brg" TargetMode="External"/><Relationship Id="rId2943" Type="http://schemas.openxmlformats.org/officeDocument/2006/relationships/hyperlink" Target="https://www.google.com/url?q=https://dunjudge.me/analysis/problems/86/&amp;sa=D&amp;ust=1605639802303000&amp;usg=AFQjCNGrXZfkGbwSqy-cYpq-i7RVHX-L6Q" TargetMode="External"/><Relationship Id="rId1100" Type="http://schemas.openxmlformats.org/officeDocument/2006/relationships/hyperlink" Target="https://www.google.com/url?q=https://github.com/mostafa-saad/MyCompetitiveProgramming/blob/master/Olympiad/Baltic/official/boi2006_solutions&amp;sa=D&amp;ust=1605639800069000&amp;usg=AFQjCNH2zRKRuSa1CGjsqJfg9UixSDHsSw" TargetMode="External"/><Relationship Id="rId1405" Type="http://schemas.openxmlformats.org/officeDocument/2006/relationships/hyperlink" Target="https://www.google.com/url?q=https://csacademy.com/contest/round-80/task/shampoo-exchange/&amp;sa=D&amp;ust=1605639800297000&amp;usg=AFQjCNG0kxdc1COXEJYl6XtJSlMCjUo6Kw" TargetMode="External"/><Relationship Id="rId1752" Type="http://schemas.openxmlformats.org/officeDocument/2006/relationships/hyperlink" Target="https://www.google.com/url?q=https://dunjudge.me/analysis/problems/1476/&amp;sa=D&amp;ust=1605639800568000&amp;usg=AFQjCNFOi4NNdjFUdfvPkXm2zi2hTIqxpw" TargetMode="External"/><Relationship Id="rId2803" Type="http://schemas.openxmlformats.org/officeDocument/2006/relationships/hyperlink" Target="https://www.google.com/url?q=https://dmoj.ca/problem/coci14c7p4&amp;sa=D&amp;ust=1605639802170000&amp;usg=AFQjCNF2A9tVkm2WTTpRdFacTw46VTHI0A" TargetMode="External"/><Relationship Id="rId44" Type="http://schemas.openxmlformats.org/officeDocument/2006/relationships/hyperlink" Target="https://www.google.com/url?q=https://oj.uz/problem/view/COCI18_kotrljanje&amp;sa=D&amp;ust=1605639798680000&amp;usg=AFQjCNEUvGJ_4l3OAnKazh7FBGntFlNdUw" TargetMode="External"/><Relationship Id="rId1612" Type="http://schemas.openxmlformats.org/officeDocument/2006/relationships/hyperlink" Target="https://www.google.com/url?q=https://oj.uz/problem/view/IOI16_shortcut&amp;sa=D&amp;ust=1605639800423000&amp;usg=AFQjCNFRytJ38ZxHu16mmr8Q6sv6agtcfg" TargetMode="External"/><Relationship Id="rId1917" Type="http://schemas.openxmlformats.org/officeDocument/2006/relationships/hyperlink" Target="https://www.google.com/url?q=https://codeforces.com/group/R2SERIff4f/contest/213171&amp;sa=D&amp;ust=1605639800695000&amp;usg=AFQjCNG8MzwTGLUOhtd-s1526-Mb98gjOQ" TargetMode="External"/><Relationship Id="rId193" Type="http://schemas.openxmlformats.org/officeDocument/2006/relationships/hyperlink" Target="https://www.google.com/url?q=https://dunjudge.me/analysis/problems/963/&amp;sa=D&amp;ust=1605639798787000&amp;usg=AFQjCNExltq0pzjrR_6vuvetbd3orHaNKA" TargetMode="External"/><Relationship Id="rId498" Type="http://schemas.openxmlformats.org/officeDocument/2006/relationships/hyperlink" Target="https://www.google.com/url?q=https://github.com/mostafa-saad/MyCompetitiveProgramming/blob/master/Olympiad/infoarena/infoarena-permsort.txt&amp;sa=D&amp;ust=1605639799084000&amp;usg=AFQjCNFjI3eJqvUC1cH92_e9ea3T2rfUug" TargetMode="External"/><Relationship Id="rId2081" Type="http://schemas.openxmlformats.org/officeDocument/2006/relationships/hyperlink" Target="https://www.google.com/url?q=https://github.com/win11905/submission/blob/master/TOKI/17/beauty/beauty.cpp&amp;sa=D&amp;ust=1605639800803000&amp;usg=AFQjCNGYrmFAq0yklHsL-NONWnmC9zr5aw" TargetMode="External"/><Relationship Id="rId2179" Type="http://schemas.openxmlformats.org/officeDocument/2006/relationships/hyperlink" Target="https://www.google.com/url?q=https://github.com/mostafa-saad/MyCompetitiveProgramming/tree/master/Olympiad/COCI/official/2008/contest5_solutions&amp;sa=D&amp;ust=1605639800879000&amp;usg=AFQjCNE1yQOgUq87JvNbJYZDjbxX2nIILw" TargetMode="External"/><Relationship Id="rId260" Type="http://schemas.openxmlformats.org/officeDocument/2006/relationships/hyperlink" Target="https://www.google.com/url?q=https://github.com/mostafa-saad/MyCompetitiveProgramming/blob/master/Olympiad/COCI/official/2009/contest4_solutions&amp;sa=D&amp;ust=1605639798867000&amp;usg=AFQjCNGieXUy__Tm4elhHrDACt2DVpC77w" TargetMode="External"/><Relationship Id="rId2386" Type="http://schemas.openxmlformats.org/officeDocument/2006/relationships/hyperlink" Target="https://www.google.com/url?q=https://github.com/stefdasca/CompetitiveProgramming/blob/master/Info1Cup/National%2520Round/Treasure%2520(RO).pdf&amp;sa=D&amp;ust=1605639801700000&amp;usg=AFQjCNGth5xZ1TydsBFK8-sThe0dD_YEEA" TargetMode="External"/><Relationship Id="rId2593" Type="http://schemas.openxmlformats.org/officeDocument/2006/relationships/hyperlink" Target="https://www.google.com/url?q=https://github.com/ihdignite/CompetitiveProgramming/blob/master/USACO/1819_3P/Mowing.cpp&amp;sa=D&amp;ust=1605639801900000&amp;usg=AFQjCNFMc9o1bcTg53T12LOAaiGia5k_XQ" TargetMode="External"/><Relationship Id="rId120" Type="http://schemas.openxmlformats.org/officeDocument/2006/relationships/hyperlink" Target="https://www.google.com/url?q=http://www.usaco.org/index.php?page%3Dviewproblem2%26cpid%3D1021&amp;sa=D&amp;ust=1605639798721000&amp;usg=AFQjCNHkekxtdiKJqn5UwjufnsENWEhPqA" TargetMode="External"/><Relationship Id="rId358" Type="http://schemas.openxmlformats.org/officeDocument/2006/relationships/hyperlink" Target="https://www.google.com/url?q=https://dunjudge.me/analysis/problems/238/&amp;sa=D&amp;ust=1605639798908000&amp;usg=AFQjCNE_U8oqFyOvn-kKzPHdjb5N4JLQxQ" TargetMode="External"/><Relationship Id="rId565" Type="http://schemas.openxmlformats.org/officeDocument/2006/relationships/hyperlink" Target="https://www.google.com/url?q=https://oj.uz/problem/view/COI16_torrent&amp;sa=D&amp;ust=1605639799114000&amp;usg=AFQjCNH5fe8YDdhtwo6if4V3GyiWXYYxEg" TargetMode="External"/><Relationship Id="rId772" Type="http://schemas.openxmlformats.org/officeDocument/2006/relationships/hyperlink" Target="https://www.google.com/url?q=https://csacademy.com/contest/round-80/task/sortall/&amp;sa=D&amp;ust=1605639799717000&amp;usg=AFQjCNHjQO-4dokcWKYhdqwLBF0UuiYI5A" TargetMode="External"/><Relationship Id="rId1195" Type="http://schemas.openxmlformats.org/officeDocument/2006/relationships/hyperlink" Target="https://www.google.com/url?q=https://szkopul.edu.pl/problemset/problem/Hj7Ko64-xPs_FrzJ4WucMde9/site/&amp;sa=D&amp;ust=1605639800118000&amp;usg=AFQjCNGoZUJkeMTK2MJuSJrURRcBsgPbcg" TargetMode="External"/><Relationship Id="rId2039" Type="http://schemas.openxmlformats.org/officeDocument/2006/relationships/hyperlink" Target="https://www.google.com/url?q=https://dunjudge.me/analysis/problems/676/&amp;sa=D&amp;ust=1605639800784000&amp;usg=AFQjCNEJMwS3ScpatFJ-XJ6ZRejrCy7ELw" TargetMode="External"/><Relationship Id="rId2246" Type="http://schemas.openxmlformats.org/officeDocument/2006/relationships/hyperlink" Target="https://www.google.com/url?q=https://github.com/mostafa-saad/MyCompetitiveProgramming/blob/master/Olympiad/COCI/COCI-09-Palacinke.txt&amp;sa=D&amp;ust=1605639800907000&amp;usg=AFQjCNFdeskM6SrTvVnnl9iSEZVqJt521w" TargetMode="External"/><Relationship Id="rId2453" Type="http://schemas.openxmlformats.org/officeDocument/2006/relationships/hyperlink" Target="https://www.google.com/url?q=https://wcipeg.com/problem/coi07p4&amp;sa=D&amp;ust=1605639801793000&amp;usg=AFQjCNFNohNmbtCdIIqjFCnryaNXAgUXVg" TargetMode="External"/><Relationship Id="rId2660" Type="http://schemas.openxmlformats.org/officeDocument/2006/relationships/hyperlink" Target="https://www.google.com/url?q=https://oj.uz/problem/view/COCI17_osmosmjerka&amp;sa=D&amp;ust=1605639801991000&amp;usg=AFQjCNHCYMupdozfS5J_ZM8gWJzUkujRhw" TargetMode="External"/><Relationship Id="rId2898" Type="http://schemas.openxmlformats.org/officeDocument/2006/relationships/hyperlink" Target="https://www.google.com/url?q=https://joisc2014.contest.atcoder.jp/tasks/joisc2014_l&amp;sa=D&amp;ust=1605639802276000&amp;usg=AFQjCNEe9KVJUjvfZ79KV1cytJXsplJM6w" TargetMode="External"/><Relationship Id="rId218" Type="http://schemas.openxmlformats.org/officeDocument/2006/relationships/hyperlink" Target="https://www.google.com/url?q=https://oj.uz/problem/view/IOI17_cup&amp;sa=D&amp;ust=1605639798797000&amp;usg=AFQjCNHG9LWJvgjdLCaWzI8noJssH3trUw" TargetMode="External"/><Relationship Id="rId425" Type="http://schemas.openxmlformats.org/officeDocument/2006/relationships/hyperlink" Target="https://www.google.com/url?q=https://oj.uz/problem/view/COCI15_karte&amp;sa=D&amp;ust=1605639798995000&amp;usg=AFQjCNHVanqAnz_Vj-JMVkCqIz8TMjc-yQ" TargetMode="External"/><Relationship Id="rId632" Type="http://schemas.openxmlformats.org/officeDocument/2006/relationships/hyperlink" Target="https://www.google.com/url?q=https://oj.uz/problem/view/IOI18_meetings&amp;sa=D&amp;ust=1605639799178000&amp;usg=AFQjCNGenxqGQq83k4DaYnXhHdspAR8KgA" TargetMode="External"/><Relationship Id="rId1055" Type="http://schemas.openxmlformats.org/officeDocument/2006/relationships/hyperlink" Target="https://www.google.com/url?q=https://dunjudge.me/analysis/problems/699/&amp;sa=D&amp;ust=1605639800003000&amp;usg=AFQjCNGYJC4XrrRA6MO8vJR13S6oh1Jz4g" TargetMode="External"/><Relationship Id="rId1262" Type="http://schemas.openxmlformats.org/officeDocument/2006/relationships/hyperlink" Target="https://www.google.com/url?q=https://github.com/Szawinis/CompetitiveProgramming/blob/master/Olympiad/Baltic/Baltic09-candy.cpp&amp;sa=D&amp;ust=1605639800189000&amp;usg=AFQjCNEiOspoA5jk_IiB5pI4w78X10ks7A" TargetMode="External"/><Relationship Id="rId2106" Type="http://schemas.openxmlformats.org/officeDocument/2006/relationships/hyperlink" Target="https://www.google.com/url?q=https://csacademy.com/contest/round-78/task/generating-set/&amp;sa=D&amp;ust=1605639800810000&amp;usg=AFQjCNGKLtJQiIvNpGeH1_wbVdujUcZF4A" TargetMode="External"/><Relationship Id="rId2313" Type="http://schemas.openxmlformats.org/officeDocument/2006/relationships/hyperlink" Target="https://www.google.com/url?q=https://github.com/mostafa-saad/MyCompetitiveProgramming/blob/master/Olympiad/Baltic/Baltic-11-grow.txt&amp;sa=D&amp;ust=1605639801596000&amp;usg=AFQjCNEpghnxPqM-LJ3i1Kjrom2Iz-om8g" TargetMode="External"/><Relationship Id="rId2520" Type="http://schemas.openxmlformats.org/officeDocument/2006/relationships/hyperlink" Target="https://www.google.com/url?q=https://github.com/mostafa-saad/MyCompetitiveProgramming/blob/master/Olympiad/IOI/IOI-09-salesman.txt&amp;sa=D&amp;ust=1605639801868000&amp;usg=AFQjCNEYNZ9h9N20PHb_FJDpdR5EN2J7Vg" TargetMode="External"/><Relationship Id="rId2758" Type="http://schemas.openxmlformats.org/officeDocument/2006/relationships/hyperlink" Target="https://www.google.com/url?q=https://github.com/mostafa-saad/MyCompetitiveProgramming/blob/master/Olympiad/COCI/official/2009/contest4_solutions&amp;sa=D&amp;ust=1605639802095000&amp;usg=AFQjCNG7qkyBsu-_foCuJWVlwLyAb3Ns_g" TargetMode="External"/><Relationship Id="rId2965" Type="http://schemas.openxmlformats.org/officeDocument/2006/relationships/hyperlink" Target="https://www.google.com/url?q=https://github.com/mostafa-saad/MyCompetitiveProgramming/blob/master/Olympiad/POI/official/find_editorial_sols_guidelines.txt&amp;sa=D&amp;ust=1605639802373000&amp;usg=AFQjCNGRt34yu9GcTA_ASwhVD6PTxjJQoQ" TargetMode="External"/><Relationship Id="rId937" Type="http://schemas.openxmlformats.org/officeDocument/2006/relationships/hyperlink" Target="https://www.google.com/url?q=https://csacademy.com/contest/ioi-2016-training-round-1/task/polygon_partition&amp;sa=D&amp;ust=1605639799905000&amp;usg=AFQjCNF3n3ZCdEz6F4eDLuW8vktr6gYvMw" TargetMode="External"/><Relationship Id="rId1122" Type="http://schemas.openxmlformats.org/officeDocument/2006/relationships/hyperlink" Target="https://www.google.com/url?q=https://github.com/nikolapesic2802/Programming-Practice/blob/master/Oranges/main.cpp&amp;sa=D&amp;ust=1605639800079000&amp;usg=AFQjCNEGjNV8nu401e05RaQnbU3k6O6UWg" TargetMode="External"/><Relationship Id="rId1567" Type="http://schemas.openxmlformats.org/officeDocument/2006/relationships/hyperlink" Target="https://www.google.com/url?q=https://github.com/mostafa-saad/MyCompetitiveProgramming/blob/master/Olympiad/CEOI/CEOI-08-Fence.txt&amp;sa=D&amp;ust=1605639800406000&amp;usg=AFQjCNG6lH0yA5vjL8sEzYo3cHnqdA4nQw" TargetMode="External"/><Relationship Id="rId1774" Type="http://schemas.openxmlformats.org/officeDocument/2006/relationships/hyperlink" Target="https://www.google.com/url?q=https://github.com/mostafa-saad/MyCompetitiveProgramming/blob/master/Olympiad/Baltic/Baltic-11-Lamp.txt&amp;sa=D&amp;ust=1605639800576000&amp;usg=AFQjCNF24vKuUDNqgzCOexYNZrxyZnl7-A" TargetMode="External"/><Relationship Id="rId1981" Type="http://schemas.openxmlformats.org/officeDocument/2006/relationships/hyperlink" Target="https://www.google.com/url?q=https://oj.uz/problem/view/NOI14_obelisk&amp;sa=D&amp;ust=1605639800717000&amp;usg=AFQjCNGHkBJ_DL7nVkGPJa4Gdq6uefkWVg" TargetMode="External"/><Relationship Id="rId2618" Type="http://schemas.openxmlformats.org/officeDocument/2006/relationships/hyperlink" Target="https://www.google.com/url?q=https://oj.uz/problem/view/COCI15_uzastopni&amp;sa=D&amp;ust=1605639801975000&amp;usg=AFQjCNHL2e0tW1O8jEE-aRO7ZRTtFJeOZA" TargetMode="External"/><Relationship Id="rId2825" Type="http://schemas.openxmlformats.org/officeDocument/2006/relationships/hyperlink" Target="https://www.google.com/url?q=https://oj.uz/problem/view/COCI19_jarvis&amp;sa=D&amp;ust=1605639802178000&amp;usg=AFQjCNFWSbgPF7FdTrmfww9qpFRqvrYRNw" TargetMode="External"/><Relationship Id="rId66" Type="http://schemas.openxmlformats.org/officeDocument/2006/relationships/hyperlink" Target="https://www.google.com/url?q=https://training.ia-toki.org/problemsets/53/problems/255/&amp;sa=D&amp;ust=1605639798690000&amp;usg=AFQjCNGj9qaC-Z4XqQT5IZtLRXz5ZxX20w" TargetMode="External"/><Relationship Id="rId1427" Type="http://schemas.openxmlformats.org/officeDocument/2006/relationships/hyperlink" Target="https://www.google.com/url?q=https://oj.uz/problem/view/NOI18_lightningrod&amp;sa=D&amp;ust=1605639800307000&amp;usg=AFQjCNFY0Bo6EG1BGvFo6S-PQar7sTZgQw" TargetMode="External"/><Relationship Id="rId1634" Type="http://schemas.openxmlformats.org/officeDocument/2006/relationships/hyperlink" Target="https://www.google.com/url?q=https://szkopul.edu.pl/problemset/problem/cKsx92et8fGp6MOzI2HTNmQY/site/&amp;sa=D&amp;ust=1605639800472000&amp;usg=AFQjCNFAzohMqIQzvMb6dtGsZOdtwD6byg" TargetMode="External"/><Relationship Id="rId1841" Type="http://schemas.openxmlformats.org/officeDocument/2006/relationships/hyperlink" Target="https://www.google.com/url?q=https://github.com/mostafa-saad/MyCompetitiveProgramming/blob/master/Olympiad/POI/POI-11-ins.txt&amp;sa=D&amp;ust=1605639800605000&amp;usg=AFQjCNGaISNe_gwJACUp59PC_KlYPzkHlw" TargetMode="External"/><Relationship Id="rId1939" Type="http://schemas.openxmlformats.org/officeDocument/2006/relationships/hyperlink" Target="https://www.google.com/url?q=https://oj.uz/problem/view/IOI14_game&amp;sa=D&amp;ust=1605639800703000&amp;usg=AFQjCNFgHBIb5azFG7JbUz7VUggAwG_TsA" TargetMode="External"/><Relationship Id="rId1701" Type="http://schemas.openxmlformats.org/officeDocument/2006/relationships/hyperlink" Target="https://www.google.com/url?q=https://github.com/mostafa-saad/MyCompetitiveProgramming/blob/master/Olympiad/POI/POI-05-Double_Row.txt&amp;sa=D&amp;ust=1605639800498000&amp;usg=AFQjCNGO13Ouy41mXespVFG2iXoom0xQrw" TargetMode="External"/><Relationship Id="rId282" Type="http://schemas.openxmlformats.org/officeDocument/2006/relationships/hyperlink" Target="https://www.google.com/url?q=https://github.com/mostafa-saad/MyCompetitiveProgramming/tree/master/Olympiad/COCI/official/2007/contest1_solutions&amp;sa=D&amp;ust=1605639798876000&amp;usg=AFQjCNHpgAswOFmhMcaPcEelkz2XOAY6ww" TargetMode="External"/><Relationship Id="rId587" Type="http://schemas.openxmlformats.org/officeDocument/2006/relationships/hyperlink" Target="https://www.google.com/url?q=https://github.com/mostafa-saad/MyCompetitiveProgramming/blob/master/Olympiad/Baltic/Baltic-08-Grid.txt&amp;sa=D&amp;ust=1605639799122000&amp;usg=AFQjCNGGPBl9tLVvLLyelA5s7vVdj58BCg" TargetMode="External"/><Relationship Id="rId2170" Type="http://schemas.openxmlformats.org/officeDocument/2006/relationships/hyperlink" Target="https://www.google.com/url?q=https://github.com/mostafa-saad/MyCompetitiveProgramming/blob/master/Olympiad/NOI/official&amp;sa=D&amp;ust=1605639800875000&amp;usg=AFQjCNE2v2yaqPF5xULo58WomAHeNB9R2w" TargetMode="External"/><Relationship Id="rId2268" Type="http://schemas.openxmlformats.org/officeDocument/2006/relationships/hyperlink" Target="https://www.google.com/url?q=https://oj.uz/problem/view/COI15_zarulje&amp;sa=D&amp;ust=1605639801563000&amp;usg=AFQjCNEZXaS5lUTLzmoK-isT63dVCA5Qfw" TargetMode="External"/><Relationship Id="rId3014" Type="http://schemas.openxmlformats.org/officeDocument/2006/relationships/hyperlink" Target="https://www.google.com/url?q=https://dmoj.ca/problem/utso18p1&amp;sa=D&amp;ust=1605639802398000&amp;usg=AFQjCNEUL5fgyhF0uDWP6fb4PyqUj3_7TQ" TargetMode="External"/><Relationship Id="rId8" Type="http://schemas.openxmlformats.org/officeDocument/2006/relationships/hyperlink" Target="https://www.google.com/url?q=https://dmoj.ca/problem/apio12p3&amp;sa=D&amp;ust=1605639798667000&amp;usg=AFQjCNGf9GiEVs1TMUsc66APUFq8MHPyJw" TargetMode="External"/><Relationship Id="rId142" Type="http://schemas.openxmlformats.org/officeDocument/2006/relationships/hyperlink" Target="https://www.google.com/url?q=https://oj.uz/problem/view/IOI16_tetris&amp;sa=D&amp;ust=1605639798729000&amp;usg=AFQjCNHNObllkVN7M1Lsdur3Sy7ugAaVbA" TargetMode="External"/><Relationship Id="rId447" Type="http://schemas.openxmlformats.org/officeDocument/2006/relationships/hyperlink" Target="https://www.google.com/url?q=https://github.com/mostafa-saad/MyCompetitiveProgramming/blob/master/Olympiad/IOI/IOI-19-rect.txt&amp;sa=D&amp;ust=1605639799005000&amp;usg=AFQjCNFbdndgpJMvmip2bcSOOERGCFQ3KQ" TargetMode="External"/><Relationship Id="rId794" Type="http://schemas.openxmlformats.org/officeDocument/2006/relationships/hyperlink" Target="https://www.google.com/url?q=https://oj.uz/problem/view/COCI15_vudu&amp;sa=D&amp;ust=1605639799780000&amp;usg=AFQjCNGZ7z8WuAnDK8O7gJhpnem6qDmWYA" TargetMode="External"/><Relationship Id="rId1077" Type="http://schemas.openxmlformats.org/officeDocument/2006/relationships/hyperlink" Target="https://www.google.com/url?q=https://contest.yandex.ru/ioi/contest/570/enter/&amp;sa=D&amp;ust=1605639800014000&amp;usg=AFQjCNEvyWiBAluqVf5mIMunGiMFWIOSTg" TargetMode="External"/><Relationship Id="rId2030" Type="http://schemas.openxmlformats.org/officeDocument/2006/relationships/hyperlink" Target="https://www.google.com/url?q=https://contest.yandex.ru/ioi/contest/558/enter/&amp;sa=D&amp;ust=1605639800781000&amp;usg=AFQjCNE15Nmgm81qup8N1ExpNFdqYoZrZQ" TargetMode="External"/><Relationship Id="rId2128" Type="http://schemas.openxmlformats.org/officeDocument/2006/relationships/hyperlink" Target="https://www.google.com/url?q=https://github.com/mostafa-saad/MyCompetitiveProgramming/blob/master/Olympiad/Balkan/Balkan-11-decrypt.txt&amp;sa=D&amp;ust=1605639800819000&amp;usg=AFQjCNEFBRsqHWEskp7WrgD8RVApB1Mqog" TargetMode="External"/><Relationship Id="rId2475" Type="http://schemas.openxmlformats.org/officeDocument/2006/relationships/hyperlink" Target="https://www.google.com/url?q=https://oj.uz/problem/view/IZhO18_sequence&amp;sa=D&amp;ust=1605639801799000&amp;usg=AFQjCNGP2m8VIcke7AWSw_fHs8A3FBawwQ" TargetMode="External"/><Relationship Id="rId2682" Type="http://schemas.openxmlformats.org/officeDocument/2006/relationships/hyperlink" Target="https://www.google.com/url?q=https://www.acmicpc.net/problem/7088&amp;sa=D&amp;ust=1605639802004000&amp;usg=AFQjCNGPm3TYj-guXfDFjA6fgquGBgzCHQ" TargetMode="External"/><Relationship Id="rId2987" Type="http://schemas.openxmlformats.org/officeDocument/2006/relationships/hyperlink" Target="https://www.google.com/url?q=https://szkopul.edu.pl/problemset/problem/-7cqC3RrH4e-Ar7DWy4GKzLv/site/&amp;sa=D&amp;ust=1605639802383000&amp;usg=AFQjCNEir35hqguKbVcfCA7AJ2YTp2dNcg" TargetMode="External"/><Relationship Id="rId654" Type="http://schemas.openxmlformats.org/officeDocument/2006/relationships/hyperlink" Target="https://www.google.com/url?q=https://github.com/nikolapesic2802/Programming-Practice/blob/master/Seats/IOI%25202018%2520Seats.txt&amp;sa=D&amp;ust=1605639799645000&amp;usg=AFQjCNFm7_H0VwDY5GEQljN7cxEqQUFUKQ" TargetMode="External"/><Relationship Id="rId861" Type="http://schemas.openxmlformats.org/officeDocument/2006/relationships/hyperlink" Target="https://www.google.com/url?q=https://github.com/mostafa-saad/MyCompetitiveProgramming/blob/master/Olympiad/infoarena/infoarena_turnuri.txt&amp;sa=D&amp;ust=1605639799872000&amp;usg=AFQjCNEoxzoGmk6NEnMkmo4ZDRnNqNdX9Q" TargetMode="External"/><Relationship Id="rId959" Type="http://schemas.openxmlformats.org/officeDocument/2006/relationships/hyperlink" Target="https://www.google.com/url?q=https://github.com/mostafa-saad/MyCompetitiveProgramming/blob/master/Olympiad/infoarena/infoarena_lcdr.txt&amp;sa=D&amp;ust=1605639799914000&amp;usg=AFQjCNHStNnJlgY7amdmCvAsXIj0PtGoRA" TargetMode="External"/><Relationship Id="rId1284" Type="http://schemas.openxmlformats.org/officeDocument/2006/relationships/hyperlink" Target="https://www.google.com/url?q=https://csacademy.com/contest/ioi-2016-training-round-5/task/balanced-string/&amp;sa=D&amp;ust=1605639800196000&amp;usg=AFQjCNHHKsY50i3NIGeJM3Som27DXBw_PA" TargetMode="External"/><Relationship Id="rId1491" Type="http://schemas.openxmlformats.org/officeDocument/2006/relationships/hyperlink" Target="https://www.google.com/url?q=https://github.com/mostafa-saad/MyCompetitiveProgramming/blob/master/Olympiad/POI/official/find_editorial_sols_guidelines.txt&amp;sa=D&amp;ust=1605639800377000&amp;usg=AFQjCNEcKB5Q0bkphZ4aJIzAqgNA0NddJg" TargetMode="External"/><Relationship Id="rId1589" Type="http://schemas.openxmlformats.org/officeDocument/2006/relationships/hyperlink" Target="https://www.google.com/url?q=https://dmoj.ca/problem/coci06c6p6&amp;sa=D&amp;ust=1605639800415000&amp;usg=AFQjCNEkOWjNz4CmhtRK7unb2NHMtp08iw" TargetMode="External"/><Relationship Id="rId2335" Type="http://schemas.openxmlformats.org/officeDocument/2006/relationships/hyperlink" Target="https://www.google.com/url?q=https://github.com/mostafa-saad/MyCompetitiveProgramming/blob/master/Olympiad/POI/official/find_editorial_sols_guidelines.txt&amp;sa=D&amp;ust=1605639801611000&amp;usg=AFQjCNEmnqgpgurtI4qbfvWHq4eCMJnc-Q" TargetMode="External"/><Relationship Id="rId2542" Type="http://schemas.openxmlformats.org/officeDocument/2006/relationships/hyperlink" Target="https://www.google.com/url?q=https://github.com/aviroop123/CompetitiveProgramming/blob/master/Olympiad/IOI/IOI%252011-race.cpp&amp;sa=D&amp;ust=1605639801875000&amp;usg=AFQjCNEKQBT986oIbYTlzPu-XbR1lTzgOg" TargetMode="External"/><Relationship Id="rId307" Type="http://schemas.openxmlformats.org/officeDocument/2006/relationships/hyperlink" Target="https://www.google.com/url?q=https://dmoj.ca/problem/crci07p1&amp;sa=D&amp;ust=1605639798885000&amp;usg=AFQjCNHAwmRJKxRewHJD8MvQ26F2UPjtPw" TargetMode="External"/><Relationship Id="rId514" Type="http://schemas.openxmlformats.org/officeDocument/2006/relationships/hyperlink" Target="https://www.google.com/url?q=https://oj.uz/problem/view/POI11_tem&amp;sa=D&amp;ust=1605639799092000&amp;usg=AFQjCNHDXw4Uqz_uXgpBbrBVkDC2Y0amQw" TargetMode="External"/><Relationship Id="rId721" Type="http://schemas.openxmlformats.org/officeDocument/2006/relationships/hyperlink" Target="https://www.google.com/url?q=https://github.com/mostafa-saad/MyCompetitiveProgramming/tree/master/Olympiad/COI/official/2015&amp;sa=D&amp;ust=1605639799690000&amp;usg=AFQjCNGLrLlzsbnjyOqvNulpnnzttpjZpA" TargetMode="External"/><Relationship Id="rId1144" Type="http://schemas.openxmlformats.org/officeDocument/2006/relationships/hyperlink" Target="https://www.google.com/url?q=https://www.comp.nus.edu.sg/~noi/2012/2012_soln.pdf&amp;sa=D&amp;ust=1605639800089000&amp;usg=AFQjCNGlkSS5bI4rYYmFXKI2AB368FDlyA" TargetMode="External"/><Relationship Id="rId1351" Type="http://schemas.openxmlformats.org/officeDocument/2006/relationships/hyperlink" Target="https://www.google.com/url?q=https://github.com/mostafa-saad/MyCompetitiveProgramming/blob/master/Olympiad/IOI/IOI-04-farmer.txt&amp;sa=D&amp;ust=1605639800267000&amp;usg=AFQjCNEG8_LDj4DfhDZ_JiDx5_UmVZefaQ" TargetMode="External"/><Relationship Id="rId1449" Type="http://schemas.openxmlformats.org/officeDocument/2006/relationships/hyperlink" Target="https://www.google.com/url?q=https://dunjudge.me/analysis/problems/932/&amp;sa=D&amp;ust=1605639800315000&amp;usg=AFQjCNGWRFGrzty8Hd_YaCsF9f4REA31AQ" TargetMode="External"/><Relationship Id="rId1796" Type="http://schemas.openxmlformats.org/officeDocument/2006/relationships/hyperlink" Target="https://www.google.com/url?q=https://szkopul.edu.pl/problemset/problem/z0rincXf7fi157ycO_Sl0bCb/site/&amp;sa=D&amp;ust=1605639800589000&amp;usg=AFQjCNE9I0Nk_dAOyqvw32pNXIQNpKa4JQ" TargetMode="External"/><Relationship Id="rId2402" Type="http://schemas.openxmlformats.org/officeDocument/2006/relationships/hyperlink" Target="https://www.google.com/url?q=https://oj.uz/problem/view/COCI18_magnus&amp;sa=D&amp;ust=1605639801707000&amp;usg=AFQjCNEc_IldPVsVBgs_ilXO4-R66FbIlg" TargetMode="External"/><Relationship Id="rId2847" Type="http://schemas.openxmlformats.org/officeDocument/2006/relationships/hyperlink" Target="https://www.google.com/url?q=https://oj.uz/problem/view/info1cup17_binary&amp;sa=D&amp;ust=1605639802194000&amp;usg=AFQjCNFe_TfXCtR3s-c-ltn18F6G-N0PSw" TargetMode="External"/><Relationship Id="rId88" Type="http://schemas.openxmlformats.org/officeDocument/2006/relationships/hyperlink" Target="https://www.google.com/url?q=https://codeforces.com/group/swEqtABRxe/contest/243438/problem/D&amp;sa=D&amp;ust=1605639798708000&amp;usg=AFQjCNGEn309p3wWaK06_dNeSVGph5WFYQ" TargetMode="External"/><Relationship Id="rId819" Type="http://schemas.openxmlformats.org/officeDocument/2006/relationships/hyperlink" Target="https://www.google.com/url?q=https://oj.uz/problem/view/BOI13_vim&amp;sa=D&amp;ust=1605639799792000&amp;usg=AFQjCNG0DoYq_WqQYkeWM3t73D-L_gO0Fg" TargetMode="External"/><Relationship Id="rId1004" Type="http://schemas.openxmlformats.org/officeDocument/2006/relationships/hyperlink" Target="https://www.google.com/url?q=https://oj.uz/problem/view/COCI17_vode&amp;sa=D&amp;ust=1605639799983000&amp;usg=AFQjCNGXjAjXTgu3BRREj2S03SKNf1R1Zg" TargetMode="External"/><Relationship Id="rId1211" Type="http://schemas.openxmlformats.org/officeDocument/2006/relationships/hyperlink" Target="https://www.google.com/url?q=https://oj.uz/problem/view/COCI16_kronican&amp;sa=D&amp;ust=1605639800170000&amp;usg=AFQjCNHY21s0NoTApPskAmY_CSfb0ZIn3Q" TargetMode="External"/><Relationship Id="rId1656" Type="http://schemas.openxmlformats.org/officeDocument/2006/relationships/hyperlink" Target="https://www.google.com/url?q=https://github.com/mostafa-saad/MyCompetitiveProgramming/blob/master/Olympiad/IOI/IOI-02-Bus.txt&amp;sa=D&amp;ust=1605639800481000&amp;usg=AFQjCNGoYePFXXx84dCoS0Duuvk7LiVFdg" TargetMode="External"/><Relationship Id="rId1863" Type="http://schemas.openxmlformats.org/officeDocument/2006/relationships/hyperlink" Target="https://www.google.com/url?q=https://oj.uz/problem/view/JOI17_soccer&amp;sa=D&amp;ust=1605639800673000&amp;usg=AFQjCNG8eM2VvOZ4YijVkU3VxCe3s_ifpA" TargetMode="External"/><Relationship Id="rId2707" Type="http://schemas.openxmlformats.org/officeDocument/2006/relationships/hyperlink" Target="https://www.google.com/url?q=https://codeforces.com/contest/1193&amp;sa=D&amp;ust=1605639802068000&amp;usg=AFQjCNGLOVBDnlisTuvhdiHFR26kRI7xAQ" TargetMode="External"/><Relationship Id="rId2914" Type="http://schemas.openxmlformats.org/officeDocument/2006/relationships/hyperlink" Target="https://www.google.com/url?q=https://joisc2015.contest.atcoder.jp/tasks/joisc2015_c&amp;sa=D&amp;ust=1605639802287000&amp;usg=AFQjCNHguEkn9hR1va1D4NDMMIshQ1hfPA" TargetMode="External"/><Relationship Id="rId1309" Type="http://schemas.openxmlformats.org/officeDocument/2006/relationships/hyperlink" Target="https://www.google.com/url?q=https://cses.fi/192/list/&amp;sa=D&amp;ust=1605639800206000&amp;usg=AFQjCNHr72VQ5D_VobVHcqv_wN2W2ACL8g" TargetMode="External"/><Relationship Id="rId1516" Type="http://schemas.openxmlformats.org/officeDocument/2006/relationships/hyperlink" Target="https://www.google.com/url?q=https://www.infoarena.ro/problema/euclid1&amp;sa=D&amp;ust=1605639800387000&amp;usg=AFQjCNF6lKo8N4UZAcTgU8T_tYOeEUlP2g" TargetMode="External"/><Relationship Id="rId1723" Type="http://schemas.openxmlformats.org/officeDocument/2006/relationships/hyperlink" Target="https://www.google.com/url?q=https://github.com/mostafa-saad/MyCompetitiveProgramming/blob/master/Olympiad/POI/official/find_editorial_sols_guidelines.txt&amp;sa=D&amp;ust=1605639800506000&amp;usg=AFQjCNGKpzSVn84I_8bV72YCJPAxfkL-KQ" TargetMode="External"/><Relationship Id="rId1930" Type="http://schemas.openxmlformats.org/officeDocument/2006/relationships/hyperlink" Target="https://www.google.com/url?q=https://github.com/mostafa-saad/MyCompetitiveProgramming/blob/master/Olympiad/NOI/NOI-19-riggedroads.txt&amp;sa=D&amp;ust=1605639800700000&amp;usg=AFQjCNF9pVBWJ23DP-YxH0wba-Ec-5CYvw" TargetMode="External"/><Relationship Id="rId15" Type="http://schemas.openxmlformats.org/officeDocument/2006/relationships/hyperlink" Target="https://www.google.com/url?q=http://www.ioi2011.or.th/hsc/tasks/EN/parrots.pdf&amp;sa=D&amp;ust=1605639798669000&amp;usg=AFQjCNF4TRQzEVfSUPKd3Ei3XAIOfh_GfQ" TargetMode="External"/><Relationship Id="rId2192" Type="http://schemas.openxmlformats.org/officeDocument/2006/relationships/hyperlink" Target="https://www.google.com/url?q=https://oj.uz/problem/view/COCI17_turnir&amp;sa=D&amp;ust=1605639800885000&amp;usg=AFQjCNHSS439Is-JBFYsoTAXoukc6TqqgQ" TargetMode="External"/><Relationship Id="rId164" Type="http://schemas.openxmlformats.org/officeDocument/2006/relationships/hyperlink" Target="https://www.google.com/url?q=https://oj.uz/problem/view/IOI14_gondola&amp;sa=D&amp;ust=1605639798777000&amp;usg=AFQjCNGBToi7jdXtDN9ULNzYu3zjpgP6KA" TargetMode="External"/><Relationship Id="rId371" Type="http://schemas.openxmlformats.org/officeDocument/2006/relationships/hyperlink" Target="https://www.google.com/url?q=https://dmoj.ca/problem/coci14c3p1&amp;sa=D&amp;ust=1605639798913000&amp;usg=AFQjCNEDydGpWcTTM5Rn4RcTHN9MmD4QqA" TargetMode="External"/><Relationship Id="rId2052" Type="http://schemas.openxmlformats.org/officeDocument/2006/relationships/hyperlink" Target="https://www.google.com/url?q=https://www.acmicpc.net/problem/5253&amp;sa=D&amp;ust=1605639800791000&amp;usg=AFQjCNG52wvJmbMori6Mh3e5aUl8yV_KXg" TargetMode="External"/><Relationship Id="rId2497" Type="http://schemas.openxmlformats.org/officeDocument/2006/relationships/hyperlink" Target="https://www.google.com/url?q=https://oj.uz/problem/view/JOI19_designated_cities&amp;sa=D&amp;ust=1605639801809000&amp;usg=AFQjCNHwp2KyuwCyIPqhQyP8p6AfwksbEQ" TargetMode="External"/><Relationship Id="rId469" Type="http://schemas.openxmlformats.org/officeDocument/2006/relationships/hyperlink" Target="https://www.google.com/url?q=https://github.com/Szawinis/CompetitiveProgramming/blob/master/Olympiad/COCI/COCI18-strah.cpp&amp;sa=D&amp;ust=1605639799014000&amp;usg=AFQjCNFarAWBHafXEFQN0SDyAh6yGdQk6w" TargetMode="External"/><Relationship Id="rId676" Type="http://schemas.openxmlformats.org/officeDocument/2006/relationships/hyperlink" Target="https://www.google.com/url?q=https://szkopul.edu.pl/problemset/problem/OQjANSOOD_-c38gh8p6g3Gxp/site/&amp;sa=D&amp;ust=1605639799663000&amp;usg=AFQjCNE6wxLY6IDMVxnOu4QKpBr7lxFMvw" TargetMode="External"/><Relationship Id="rId883" Type="http://schemas.openxmlformats.org/officeDocument/2006/relationships/hyperlink" Target="https://www.google.com/url?q=https://github.com/mostafa-saad/MyCompetitiveProgramming/blob/master/Olympiad/Baltic/Baltic-10-Candies.txt&amp;sa=D&amp;ust=1605639799882000&amp;usg=AFQjCNGxI_xNHAQ8Nh9TVHh8PbYLJL7S_g" TargetMode="External"/><Relationship Id="rId1099" Type="http://schemas.openxmlformats.org/officeDocument/2006/relationships/hyperlink" Target="https://www.google.com/url?q=https://cses.fi/110/list/&amp;sa=D&amp;ust=1605639800068000&amp;usg=AFQjCNFWDa0bHBJ_fr5T5L3F4woSD3wDPw" TargetMode="External"/><Relationship Id="rId2357" Type="http://schemas.openxmlformats.org/officeDocument/2006/relationships/hyperlink" Target="https://www.google.com/url?q=https://oj.uz/problem/view/COCI15_topovi&amp;sa=D&amp;ust=1605639801666000&amp;usg=AFQjCNHFaNFRHCe9oePYe6pS9mMnANwbTA" TargetMode="External"/><Relationship Id="rId2564" Type="http://schemas.openxmlformats.org/officeDocument/2006/relationships/hyperlink" Target="https://www.google.com/url?q=https://szkopul.edu.pl/problemset/problem/cSa80AKpjHR8FlWE4BCpLGT3/site/?key%3Dstatement&amp;sa=D&amp;ust=1605639801883000&amp;usg=AFQjCNHU95Vtm9GYMCok0xr8XafQjhltLA" TargetMode="External"/><Relationship Id="rId231" Type="http://schemas.openxmlformats.org/officeDocument/2006/relationships/hyperlink" Target="https://www.google.com/url?q=https://cses.fi/111/list/&amp;sa=D&amp;ust=1605639798802000&amp;usg=AFQjCNFfQG1XATXqQqHgIFizhV5rrHERfw" TargetMode="External"/><Relationship Id="rId329" Type="http://schemas.openxmlformats.org/officeDocument/2006/relationships/hyperlink" Target="https://www.google.com/url?q=https://oj.uz/problem/view/COCI17_bridz&amp;sa=D&amp;ust=1605639798896000&amp;usg=AFQjCNFfXc9npJiStNCCn-VjZ6uNL-OjxQ" TargetMode="External"/><Relationship Id="rId536" Type="http://schemas.openxmlformats.org/officeDocument/2006/relationships/hyperlink" Target="https://www.google.com/url?q=https://oj.uz/problem/view/BOI14_sequence&amp;sa=D&amp;ust=1605639799102000&amp;usg=AFQjCNFNdOz7yeZIkwcpDMKBZSiagHuXGQ" TargetMode="External"/><Relationship Id="rId1166" Type="http://schemas.openxmlformats.org/officeDocument/2006/relationships/hyperlink" Target="https://www.google.com/url?q=https://oj.uz/problem/view/APIO16_boat&amp;sa=D&amp;ust=1605639800107000&amp;usg=AFQjCNH2PlRT-Dxut8qTk6FiZKtIC_A_VQ" TargetMode="External"/><Relationship Id="rId1373" Type="http://schemas.openxmlformats.org/officeDocument/2006/relationships/hyperlink" Target="https://www.google.com/url?q=https://github.com/mostafa-saad/MyCompetitiveProgramming/blob/master/Olympiad/COCI/official/2017/contest3_solutions&amp;sa=D&amp;ust=1605639800284000&amp;usg=AFQjCNGQ6OlicigFZJzMXgRrSbTAiojXiQ" TargetMode="External"/><Relationship Id="rId2217" Type="http://schemas.openxmlformats.org/officeDocument/2006/relationships/hyperlink" Target="https://www.google.com/url?q=https://cses.fi/187/list/&amp;sa=D&amp;ust=1605639800895000&amp;usg=AFQjCNG1cRLkaNfGQHEcLa2ox7mpn7d-ig" TargetMode="External"/><Relationship Id="rId2771" Type="http://schemas.openxmlformats.org/officeDocument/2006/relationships/hyperlink" Target="https://www.google.com/url?q=https://wcipeg.com/problem/coci094p1&amp;sa=D&amp;ust=1605639802103000&amp;usg=AFQjCNHkLcY9Sc_BuQwBbn25kfzqCIue9Q" TargetMode="External"/><Relationship Id="rId2869" Type="http://schemas.openxmlformats.org/officeDocument/2006/relationships/hyperlink" Target="https://www.google.com/url?q=https://github.com/mostafa-saad/MyCompetitiveProgramming/blob/master/Olympiad/IOI/official/2001&amp;sa=D&amp;ust=1605639802206000&amp;usg=AFQjCNHtLm6YKREPBAlpkmjGhZXQfBAMig" TargetMode="External"/><Relationship Id="rId743" Type="http://schemas.openxmlformats.org/officeDocument/2006/relationships/hyperlink" Target="https://www.google.com/url?q=https://github.com/Coder-Boy1/Others/blob/master/IZHO%252014-divide&amp;sa=D&amp;ust=1605639799705000&amp;usg=AFQjCNE1qKS-wpL_Fo2p4ijNN0z9qqkbbA" TargetMode="External"/><Relationship Id="rId950" Type="http://schemas.openxmlformats.org/officeDocument/2006/relationships/hyperlink" Target="https://www.google.com/url?q=https://github.com/mostafa-saad/MyCompetitiveProgramming/blob/master/Olympiad/IOI/official/2001&amp;sa=D&amp;ust=1605639799911000&amp;usg=AFQjCNFHKJSw1Y2VU9CwCWoN7MyTu0JK4g" TargetMode="External"/><Relationship Id="rId1026" Type="http://schemas.openxmlformats.org/officeDocument/2006/relationships/hyperlink" Target="https://www.google.com/url?q=https://github.com/mostafa-saad/MyCompetitiveProgramming/blob/master/Olympiad/IOI/IOI-02-Frog.txt&amp;sa=D&amp;ust=1605639799990000&amp;usg=AFQjCNHK9RPOZvyaEldHBx-tHmQVVpJpEQ" TargetMode="External"/><Relationship Id="rId1580" Type="http://schemas.openxmlformats.org/officeDocument/2006/relationships/hyperlink" Target="https://www.google.com/url?q=https://oj.uz/problem/view/JOI17_dragon2&amp;sa=D&amp;ust=1605639800411000&amp;usg=AFQjCNFG8oUPhHUb8RdC3nV_9sdNVb75qQ" TargetMode="External"/><Relationship Id="rId1678" Type="http://schemas.openxmlformats.org/officeDocument/2006/relationships/hyperlink" Target="https://www.google.com/url?q=https://github.com/SpeedOfMagic/CompetitiveProgramming/blob/master/CEOI/16-router.txt&amp;sa=D&amp;ust=1605639800490000&amp;usg=AFQjCNGMj0f4aunCAqviS-fh4I5JEG-0QA" TargetMode="External"/><Relationship Id="rId1885" Type="http://schemas.openxmlformats.org/officeDocument/2006/relationships/hyperlink" Target="https://www.google.com/url?q=https://github.com/mostafa-saad/MyCompetitiveProgramming/blob/master/Olympiad/APIO/APIO-15-skyscraper.txt&amp;sa=D&amp;ust=1605639800681000&amp;usg=AFQjCNGBTNJ74tURx-k4UUX6kLpAJvE8OQ" TargetMode="External"/><Relationship Id="rId2424" Type="http://schemas.openxmlformats.org/officeDocument/2006/relationships/hyperlink" Target="https://www.google.com/url?q=https://github.com/Rockbet/Problems/blob/master/EJOI/2017/Day%25202/Game.cpp&amp;sa=D&amp;ust=1605639801781000&amp;usg=AFQjCNGwVyK9mJN17eu_lJm0G7hKdvuYPw" TargetMode="External"/><Relationship Id="rId2631" Type="http://schemas.openxmlformats.org/officeDocument/2006/relationships/hyperlink" Target="https://www.google.com/url?q=https://github.com/samyravitoria/olympics-problems/blob/master/CEOI/2017/chase.cpp&amp;sa=D&amp;ust=1605639801979000&amp;usg=AFQjCNEf_ycRSxR4odmVanzU6wmtF68TEw" TargetMode="External"/><Relationship Id="rId2729" Type="http://schemas.openxmlformats.org/officeDocument/2006/relationships/hyperlink" Target="https://www.google.com/url?q=https://dmoj.ca/problem/coci07c3p1&amp;sa=D&amp;ust=1605639802086000&amp;usg=AFQjCNEanF5FFA8-64deyk1j0dXwMw4v0A" TargetMode="External"/><Relationship Id="rId2936" Type="http://schemas.openxmlformats.org/officeDocument/2006/relationships/hyperlink" Target="https://www.google.com/url?q=https://dunjudge.me/analysis/problems/1498/&amp;sa=D&amp;ust=1605639802300000&amp;usg=AFQjCNFrj2bMxqDGwGNSEMrh5WhpH2XMYw" TargetMode="External"/><Relationship Id="rId603" Type="http://schemas.openxmlformats.org/officeDocument/2006/relationships/hyperlink" Target="https://www.google.com/url?q=https://github.com/mostafa-saad/MyCompetitiveProgramming/tree/master/Olympiad/COCI/official/2008/olympiad_solutions&amp;sa=D&amp;ust=1605639799129000&amp;usg=AFQjCNGDBehXXeeF1V6uQILVYE4LX9wb-w" TargetMode="External"/><Relationship Id="rId810" Type="http://schemas.openxmlformats.org/officeDocument/2006/relationships/hyperlink" Target="https://www.google.com/url?q=https://github.com/stefdasca/CompetitiveProgramming/blob/master/Infoarena/nrsec.cpp&amp;sa=D&amp;ust=1605639799787000&amp;usg=AFQjCNEFmMsKydyoiQFFeV0IqGl02OnNkg" TargetMode="External"/><Relationship Id="rId908" Type="http://schemas.openxmlformats.org/officeDocument/2006/relationships/hyperlink" Target="https://www.google.com/url?q=https://oj.uz/problem/view/COCI18_vrtic&amp;sa=D&amp;ust=1605639799894000&amp;usg=AFQjCNHqosEiME5D2V9qwvkjkyj7xm0B5w" TargetMode="External"/><Relationship Id="rId1233" Type="http://schemas.openxmlformats.org/officeDocument/2006/relationships/hyperlink" Target="https://www.google.com/url?q=https://szkopul.edu.pl/problemset/problem/XZhW8DteK37aYwrB_JoHxd2E/site/&amp;sa=D&amp;ust=1605639800179000&amp;usg=AFQjCNEooQ1y0PwCqQScJhL4y2WNI-TANA" TargetMode="External"/><Relationship Id="rId1440" Type="http://schemas.openxmlformats.org/officeDocument/2006/relationships/hyperlink" Target="https://www.google.com/url?q=https://github.com/mostafa-saad/MyCompetitiveProgramming/blob/master/Olympiad/COCI/official/2013/contest2_solutions&amp;sa=D&amp;ust=1605639800312000&amp;usg=AFQjCNEk_lNnMjii3h0MoAzi64Mjkq8M9w" TargetMode="External"/><Relationship Id="rId1538" Type="http://schemas.openxmlformats.org/officeDocument/2006/relationships/hyperlink" Target="https://www.google.com/url?q=https://github.com/mostafa-saad/MyCompetitiveProgramming/blob/master/Olympiad/COCI/official/2018/contest2_solutions&amp;sa=D&amp;ust=1605639800394000&amp;usg=AFQjCNH98MfryQnSU1aISPwXeU-M05SRyw" TargetMode="External"/><Relationship Id="rId1300" Type="http://schemas.openxmlformats.org/officeDocument/2006/relationships/hyperlink" Target="https://www.google.com/url?q=https://github.com/mostafa-saad/MyCompetitiveProgramming/blob/master/Olympiad/Baltic/Baltic-09-Subway.txt&amp;sa=D&amp;ust=1605639800204000&amp;usg=AFQjCNHhJuRzD2mXdz-zLgVxOlKmV_xhlw" TargetMode="External"/><Relationship Id="rId1745" Type="http://schemas.openxmlformats.org/officeDocument/2006/relationships/hyperlink" Target="https://www.google.com/url?q=https://dunjudge.me/analysis/problems/1479/&amp;sa=D&amp;ust=1605639800565000&amp;usg=AFQjCNHCGXjzW3PlQjmXQZ36eBnbIrKa7A" TargetMode="External"/><Relationship Id="rId1952" Type="http://schemas.openxmlformats.org/officeDocument/2006/relationships/hyperlink" Target="https://www.google.com/url?q=https://dunjudge.me/analysis/problems/1824/&amp;sa=D&amp;ust=1605639800707000&amp;usg=AFQjCNGgHXHDPI4opC1HJK1FVog0FVNEIw" TargetMode="External"/><Relationship Id="rId37" Type="http://schemas.openxmlformats.org/officeDocument/2006/relationships/hyperlink" Target="https://www.google.com/url?q=https://github.com/mostafa-saad/MyCompetitiveProgramming/blob/master/Olympiad/POI/official/find_editorial_sols_guidelines.txt&amp;sa=D&amp;ust=1605639798677000&amp;usg=AFQjCNGV_T7L68OZr4JJnpIR9mTS34tilQ" TargetMode="External"/><Relationship Id="rId1605" Type="http://schemas.openxmlformats.org/officeDocument/2006/relationships/hyperlink" Target="https://www.google.com/url?q=https://csacademy.com/contest/ioi-2016-training-round-5/task/tree-square/&amp;sa=D&amp;ust=1605639800420000&amp;usg=AFQjCNEWN4rPJWAbSerhc4BnniWop_GitA" TargetMode="External"/><Relationship Id="rId1812" Type="http://schemas.openxmlformats.org/officeDocument/2006/relationships/hyperlink" Target="https://www.google.com/url?q=http://usaco.org/index.php?page%3Dviewproblem2%26cpid%3D842&amp;sa=D&amp;ust=1605639800594000&amp;usg=AFQjCNEeNTczCXI9lgCJXNt0hZrnNIJQDw" TargetMode="External"/><Relationship Id="rId186" Type="http://schemas.openxmlformats.org/officeDocument/2006/relationships/hyperlink" Target="https://www.google.com/url?q=https://github.com/mostafa-saad/MyCompetitiveProgramming/tree/master/Olympiad/COCI/official/2008/contest4_solutions&amp;sa=D&amp;ust=1605639798784000&amp;usg=AFQjCNEw5rZqaHprR-hPgUYrP-JBD8O-YQ" TargetMode="External"/><Relationship Id="rId393" Type="http://schemas.openxmlformats.org/officeDocument/2006/relationships/hyperlink" Target="https://www.google.com/url?q=https://github.com/mostafa-saad/MyCompetitiveProgramming/blob/master/Olympiad/POI/official/find_editorial_sols_guidelines.txt&amp;sa=D&amp;ust=1605639798981000&amp;usg=AFQjCNESTuSBB7HTykDCqKMnx4JQqpO8IQ" TargetMode="External"/><Relationship Id="rId2074" Type="http://schemas.openxmlformats.org/officeDocument/2006/relationships/hyperlink" Target="https://www.google.com/url?q=https://github.com/mostafa-saad/MyCompetitiveProgramming/blob/master/Olympiad/POI/POI-16-Hydro.txt&amp;sa=D&amp;ust=1605639800798000&amp;usg=AFQjCNFbBzDUCSoSp1WSiFfttpQpOYNq6g" TargetMode="External"/><Relationship Id="rId2281" Type="http://schemas.openxmlformats.org/officeDocument/2006/relationships/hyperlink" Target="https://www.google.com/url?q=https://oj.uz/problem/view/IOI12_scrivener&amp;sa=D&amp;ust=1605639801571000&amp;usg=AFQjCNGwpsKfrii5h0LXIvuSZo0mVbcF3w" TargetMode="External"/><Relationship Id="rId253" Type="http://schemas.openxmlformats.org/officeDocument/2006/relationships/hyperlink" Target="https://www.google.com/url?q=https://oj.uz/problem/view/COCI17_cezar&amp;sa=D&amp;ust=1605639798865000&amp;usg=AFQjCNGURDDKVWO-bI2AV3kHIX_EKEyFsw" TargetMode="External"/><Relationship Id="rId460" Type="http://schemas.openxmlformats.org/officeDocument/2006/relationships/hyperlink" Target="https://www.google.com/url?q=https://github.com/tmwilliamlin168/CompetitiveProgramming/blob/master/CEOI/13-Tram.cpp&amp;sa=D&amp;ust=1605639799010000&amp;usg=AFQjCNEsxfj3QtAXfLswkL95b525th2oOw" TargetMode="External"/><Relationship Id="rId698" Type="http://schemas.openxmlformats.org/officeDocument/2006/relationships/hyperlink" Target="https://www.google.com/url?q=https://dmoj.ca/problem/coci15c3p5&amp;sa=D&amp;ust=1605639799673000&amp;usg=AFQjCNGkn10EqwHm2B6zXK5LB-9OuSzSjw" TargetMode="External"/><Relationship Id="rId1090" Type="http://schemas.openxmlformats.org/officeDocument/2006/relationships/hyperlink" Target="https://www.google.com/url?q=https://dunjudge.me/analysis/problems/134/&amp;sa=D&amp;ust=1605639800065000&amp;usg=AFQjCNGu2yC39-h4i4TiGsFSNNHd7A6JcQ" TargetMode="External"/><Relationship Id="rId2141" Type="http://schemas.openxmlformats.org/officeDocument/2006/relationships/hyperlink" Target="https://www.google.com/url?q=http://usaco.org/index.php?page%3Dviewproblem2%26cpid%3D924&amp;sa=D&amp;ust=1605639800824000&amp;usg=AFQjCNGcg0T70u_30oIi6tYV9qrHKvQA0g" TargetMode="External"/><Relationship Id="rId2379" Type="http://schemas.openxmlformats.org/officeDocument/2006/relationships/hyperlink" Target="https://www.google.com/url?q=https://infoarena.ro/problema/album2&amp;sa=D&amp;ust=1605639801691000&amp;usg=AFQjCNHwnAg9_jm3A229GtkyKey9D0D67g" TargetMode="External"/><Relationship Id="rId2586" Type="http://schemas.openxmlformats.org/officeDocument/2006/relationships/hyperlink" Target="https://www.google.com/url?q=https://www.infoarena.ro/problema/padurari&amp;sa=D&amp;ust=1605639801898000&amp;usg=AFQjCNHeIMhZgxuFJirmCNSDODBjgVvx3w" TargetMode="External"/><Relationship Id="rId2793" Type="http://schemas.openxmlformats.org/officeDocument/2006/relationships/hyperlink" Target="https://www.google.com/url?q=https://wcipeg.com/problem/coci093p2&amp;sa=D&amp;ust=1605639802111000&amp;usg=AFQjCNFZSokI07We_N3Xw-Nea8SWrLaNbA" TargetMode="External"/><Relationship Id="rId113" Type="http://schemas.openxmlformats.org/officeDocument/2006/relationships/hyperlink" Target="https://www.google.com/url?q=http://usaco.org/index.php?page%3Dviewproblem2%26cpid%3D744&amp;sa=D&amp;ust=1605639798718000&amp;usg=AFQjCNFkQmopsRnk9Y0DknhmPjEY4OgM3g" TargetMode="External"/><Relationship Id="rId320" Type="http://schemas.openxmlformats.org/officeDocument/2006/relationships/hyperlink" Target="https://www.google.com/url?q=https://dunjudge.me/analysis/problems/215/&amp;sa=D&amp;ust=1605639798891000&amp;usg=AFQjCNFsfwsMtb-F6sItIJf2QM0Xis6UNg" TargetMode="External"/><Relationship Id="rId558" Type="http://schemas.openxmlformats.org/officeDocument/2006/relationships/hyperlink" Target="https://www.google.com/url?q=http://www.usaco.org/index.php?page%3Dviewproblem2%26cpid%3D1020&amp;sa=D&amp;ust=1605639799109000&amp;usg=AFQjCNHSBcH7G4mkC2doUktKUSxJKWiB2A" TargetMode="External"/><Relationship Id="rId765" Type="http://schemas.openxmlformats.org/officeDocument/2006/relationships/hyperlink" Target="https://www.google.com/url?q=https://csacademy.com/contest/junior-challenge-2017-day-1/task/remove-update&amp;sa=D&amp;ust=1605639799715000&amp;usg=AFQjCNEHgX8QFIS3eNPbXg87R4WrxHShAA" TargetMode="External"/><Relationship Id="rId972" Type="http://schemas.openxmlformats.org/officeDocument/2006/relationships/hyperlink" Target="https://www.google.com/url?q=https://cses.fi/186/list/&amp;sa=D&amp;ust=1605639799968000&amp;usg=AFQjCNF6ZOSIwCPsDrgWrOKvfmqN_GdQ7g" TargetMode="External"/><Relationship Id="rId1188" Type="http://schemas.openxmlformats.org/officeDocument/2006/relationships/hyperlink" Target="https://www.google.com/url?q=https://github.com/mostafa-saad/MyCompetitiveProgramming/blob/master/Olympiad/CEOI/CEOI-06-Connect.txt&amp;sa=D&amp;ust=1605639800114000&amp;usg=AFQjCNE5WvbxTsnN9JpfEQHe6nU8-39gqg" TargetMode="External"/><Relationship Id="rId1395" Type="http://schemas.openxmlformats.org/officeDocument/2006/relationships/hyperlink" Target="https://www.google.com/url?q=https://cses.fi/112/list/&amp;sa=D&amp;ust=1605639800294000&amp;usg=AFQjCNEhY6Gg6_bTJMV6GKhDhbxnOAVPlA" TargetMode="External"/><Relationship Id="rId2001" Type="http://schemas.openxmlformats.org/officeDocument/2006/relationships/hyperlink" Target="https://www.google.com/url?q=http://blog.brucemerry.org.za/2018/01/coci-20172018-r5-analysis.html&amp;sa=D&amp;ust=1605639800766000&amp;usg=AFQjCNHQkRShQBAaKEGEUllavsrqfuD2ww" TargetMode="External"/><Relationship Id="rId2239" Type="http://schemas.openxmlformats.org/officeDocument/2006/relationships/hyperlink" Target="https://www.google.com/url?q=https://github.com/stefdasca/CompetitiveProgramming/blob/master/Infoarena/porcjoc.cpp&amp;sa=D&amp;ust=1605639800904000&amp;usg=AFQjCNH5B1WUvS1bUDstmY6zFzvu6uY9bQ" TargetMode="External"/><Relationship Id="rId2446" Type="http://schemas.openxmlformats.org/officeDocument/2006/relationships/hyperlink" Target="https://www.google.com/url?q=https://www.acmicpc.net/problem/7054&amp;sa=D&amp;ust=1605639801788000&amp;usg=AFQjCNErHAAA5zEeypoNSJ58gc4RF-_iKw" TargetMode="External"/><Relationship Id="rId2653" Type="http://schemas.openxmlformats.org/officeDocument/2006/relationships/hyperlink" Target="https://www.google.com/url?q=https://szkopul.edu.pl/problemset/problem/1QaUWE_ePAmitZjgAszOVD1U/site/&amp;sa=D&amp;ust=1605639801989000&amp;usg=AFQjCNG73Ylwnn8Q07Lzwyu7k8aQYUKCOA" TargetMode="External"/><Relationship Id="rId2860" Type="http://schemas.openxmlformats.org/officeDocument/2006/relationships/hyperlink" Target="https://www.google.com/url?q=https://oj.uz/problem/view/innopolis2018_final_C&amp;sa=D&amp;ust=1605639802202000&amp;usg=AFQjCNHsPUzCAKcVrHhQRZ4PV6sT4nS-vQ" TargetMode="External"/><Relationship Id="rId418" Type="http://schemas.openxmlformats.org/officeDocument/2006/relationships/hyperlink" Target="https://www.google.com/url?q=https://github.com/dolphingarlic/CompetitiveProgramming/blob/master/COI/COCI%252020-emacs.cpp&amp;sa=D&amp;ust=1605639798992000&amp;usg=AFQjCNGdxj2adhpVFZBDbR8CT22L_h9ByA" TargetMode="External"/><Relationship Id="rId625" Type="http://schemas.openxmlformats.org/officeDocument/2006/relationships/hyperlink" Target="https://www.google.com/url?q=https://github.com/mostafa-saad/MyCompetitiveProgramming/blob/master/Olympiad/CCO/CCO-18-GradientDescent.txt&amp;sa=D&amp;ust=1605639799175000&amp;usg=AFQjCNH2oXue85Q6SzTr8YuhxqFDAGL4Yw" TargetMode="External"/><Relationship Id="rId832" Type="http://schemas.openxmlformats.org/officeDocument/2006/relationships/hyperlink" Target="https://www.google.com/url?q=https://oj.uz/problem/view/BOI19_necklace4&amp;sa=D&amp;ust=1605639799797000&amp;usg=AFQjCNHZHzzlo-qS__Q1ywmDj55DSJoCKg" TargetMode="External"/><Relationship Id="rId1048" Type="http://schemas.openxmlformats.org/officeDocument/2006/relationships/hyperlink" Target="https://www.google.com/url?q=https://contest.yandex.ru/ioi/contest/560/enter/&amp;sa=D&amp;ust=1605639800000000&amp;usg=AFQjCNGWFCDBV4ElwgXe9dTAH3Gvc886fQ" TargetMode="External"/><Relationship Id="rId1255" Type="http://schemas.openxmlformats.org/officeDocument/2006/relationships/hyperlink" Target="https://www.google.com/url?q=http://poj.org/problem?id%3D1160&amp;sa=D&amp;ust=1605639800186000&amp;usg=AFQjCNEENZw5wjGCQ86LVorF95qKKogw-g" TargetMode="External"/><Relationship Id="rId1462" Type="http://schemas.openxmlformats.org/officeDocument/2006/relationships/hyperlink" Target="https://www.google.com/url?q=https://szkopul.edu.pl/problemset/problem/JIRgi7mvHIkqfldzgqILaMqr/site/&amp;sa=D&amp;ust=1605639800366000&amp;usg=AFQjCNFYCF4AiZGUZFQvrh6nP-Fb8sZ2iw" TargetMode="External"/><Relationship Id="rId2306" Type="http://schemas.openxmlformats.org/officeDocument/2006/relationships/hyperlink" Target="https://www.google.com/url?q=https://github.com/mostafa-saad/MyCompetitiveProgramming/blob/master/Olympiad/RMI/RMI-17-D1-Hangman-2.txt&amp;sa=D&amp;ust=1605639801593000&amp;usg=AFQjCNEl4-wRQRsjzGqQ0y3Ol2uZ5vK_3w" TargetMode="External"/><Relationship Id="rId2513" Type="http://schemas.openxmlformats.org/officeDocument/2006/relationships/hyperlink" Target="https://www.google.com/url?q=https://oj.uz/problem/view/COCI18_deblo&amp;sa=D&amp;ust=1605639801866000&amp;usg=AFQjCNHEC7BBVZosVSW3I-gLIgtQzjX1aw" TargetMode="External"/><Relationship Id="rId2958" Type="http://schemas.openxmlformats.org/officeDocument/2006/relationships/hyperlink" Target="https://www.google.com/url?q=https://dunjudge.me/analysis/problems/1173/&amp;sa=D&amp;ust=1605639802365000&amp;usg=AFQjCNHn8VZX4dciE5Z8rjaZxSWzrs6XsA" TargetMode="External"/><Relationship Id="rId1115" Type="http://schemas.openxmlformats.org/officeDocument/2006/relationships/hyperlink" Target="https://www.google.com/url?q=https://dmoj.ca/problem/coci06c4p4&amp;sa=D&amp;ust=1605639800076000&amp;usg=AFQjCNHaihBOEvnRxBeFhOK4R4StIGAVxA" TargetMode="External"/><Relationship Id="rId1322" Type="http://schemas.openxmlformats.org/officeDocument/2006/relationships/hyperlink" Target="https://www.google.com/url?q=https://github.com/mostafa-saad/MyCompetitiveProgramming/blob/master/Olympiad/POI/POI-07-Pipelines.txt&amp;sa=D&amp;ust=1605639800210000&amp;usg=AFQjCNFJDY_kyJm-LG7fffU5FvvKNY3zUg" TargetMode="External"/><Relationship Id="rId1767" Type="http://schemas.openxmlformats.org/officeDocument/2006/relationships/hyperlink" Target="https://www.google.com/url?q=https://www.infoarena.ro/problema/grea&amp;sa=D&amp;ust=1605639800574000&amp;usg=AFQjCNHUTcIE0L5eIrbsEFxuVJnJStNa2g" TargetMode="External"/><Relationship Id="rId1974" Type="http://schemas.openxmlformats.org/officeDocument/2006/relationships/hyperlink" Target="https://www.google.com/url?q=http://usaco.org/index.php?page%3Dviewproblem2%26cpid%3D866&amp;sa=D&amp;ust=1605639800715000&amp;usg=AFQjCNGvSjgIv7IdGQNEjRSzsqLa5AsC3A" TargetMode="External"/><Relationship Id="rId2720" Type="http://schemas.openxmlformats.org/officeDocument/2006/relationships/hyperlink" Target="https://www.google.com/url?q=https://github.com/mostafa-saad/MyCompetitiveProgramming/tree/master/Olympiad/COCI/official/2007/contest6_solutions&amp;sa=D&amp;ust=1605639802077000&amp;usg=AFQjCNHVAe913Ykrs7bOtVNCuuoeDF6MtQ" TargetMode="External"/><Relationship Id="rId2818" Type="http://schemas.openxmlformats.org/officeDocument/2006/relationships/hyperlink" Target="https://www.google.com/url?q=https://dmoj.ca/problem/coci15c3p3&amp;sa=D&amp;ust=1605639802175000&amp;usg=AFQjCNH541-ordezBU54kgD6x8H3TUEL8A" TargetMode="External"/><Relationship Id="rId59" Type="http://schemas.openxmlformats.org/officeDocument/2006/relationships/hyperlink" Target="https://www.google.com/url?q=https://github.com/mostafa-saad/MyCompetitiveProgramming/blob/master/Olympiad/IOI/IOI-19-vision.txt&amp;sa=D&amp;ust=1605639798685000&amp;usg=AFQjCNE_6RYGfgrBGxZuXFyvP4dBKIogsg" TargetMode="External"/><Relationship Id="rId1627" Type="http://schemas.openxmlformats.org/officeDocument/2006/relationships/hyperlink" Target="https://www.google.com/url?q=https://github.com/mostafa-saad/MyCompetitiveProgramming/blob/master/Olympiad/COI/COI-15-cvenk.txt&amp;sa=D&amp;ust=1605639800469000&amp;usg=AFQjCNGvySPkQjoaVcSBD8r_t6HLHIbPjg" TargetMode="External"/><Relationship Id="rId1834" Type="http://schemas.openxmlformats.org/officeDocument/2006/relationships/hyperlink" Target="https://www.google.com/url?q=https://oj.uz/problem/view/COCI17_poklon7&amp;sa=D&amp;ust=1605639800603000&amp;usg=AFQjCNHfUU3VtuHTLmRwqrxrRMNdfWig-g" TargetMode="External"/><Relationship Id="rId2096" Type="http://schemas.openxmlformats.org/officeDocument/2006/relationships/hyperlink" Target="https://www.google.com/url?q=https://github.com/mostafa-saad/MyCompetitiveProgramming/blob/master/Olympiad/IZhO/IZhO-18-treearray.txt&amp;sa=D&amp;ust=1605639800807000&amp;usg=AFQjCNG4FHJCCnef97cufkfY9Ll9rgQdNQ" TargetMode="External"/><Relationship Id="rId1901" Type="http://schemas.openxmlformats.org/officeDocument/2006/relationships/hyperlink" Target="https://www.google.com/url?q=https://github.com/mostafa-saad/MyCompetitiveProgramming/blob/master/Olympiad/NOI/official&amp;sa=D&amp;ust=1605639800689000&amp;usg=AFQjCNFJXiAAaeZZIWj37-R1eUqxEVDmgw" TargetMode="External"/><Relationship Id="rId275" Type="http://schemas.openxmlformats.org/officeDocument/2006/relationships/hyperlink" Target="https://www.google.com/url?q=https://dmoj.ca/problem/coci08c5p1&amp;sa=D&amp;ust=1605639798872000&amp;usg=AFQjCNEHYgoeJtMU16Z6ScWa8hHaMjFrcA" TargetMode="External"/><Relationship Id="rId482" Type="http://schemas.openxmlformats.org/officeDocument/2006/relationships/hyperlink" Target="https://www.google.com/url?q=https://github.com/mostafa-saad/MyCompetitiveProgramming/blob/master/Olympiad/COCI/official/2010/contest3_solutions&amp;sa=D&amp;ust=1605639799018000&amp;usg=AFQjCNErvZhjdBg4ATH5vbyFJ75GA2Ht_Q" TargetMode="External"/><Relationship Id="rId2163" Type="http://schemas.openxmlformats.org/officeDocument/2006/relationships/hyperlink" Target="https://www.google.com/url?q=https://contest.yandex.ru/contest/8699/problems/A&amp;sa=D&amp;ust=1605639800873000&amp;usg=AFQjCNEGB7UGReudJcMcu_xjd1LuuFnMjw" TargetMode="External"/><Relationship Id="rId2370" Type="http://schemas.openxmlformats.org/officeDocument/2006/relationships/hyperlink" Target="https://www.google.com/url?q=https://dmoj.ca/problem/coci13c1p3&amp;sa=D&amp;ust=1605639801688000&amp;usg=AFQjCNFD-GDf8SsBZ6oUocN78XzVtwDaCA" TargetMode="External"/><Relationship Id="rId3007" Type="http://schemas.openxmlformats.org/officeDocument/2006/relationships/hyperlink" Target="https://www.google.com/url?q=https://szkopul.edu.pl/problemset/problem/vvd6w7n7EXFVEg3nkqGxEirV/site/&amp;sa=D&amp;ust=1605639802394000&amp;usg=AFQjCNFUBteWQ-qzjgw4nBoMraw3iELXjA" TargetMode="External"/><Relationship Id="rId135" Type="http://schemas.openxmlformats.org/officeDocument/2006/relationships/hyperlink" Target="https://www.google.com/url?q=https://github.com/Szawinis/CompetitiveProgramming/blob/master/Olympiad/COCI/COCI19-parametriziran.cpp&amp;sa=D&amp;ust=1605639798727000&amp;usg=AFQjCNGDapRKDSnPAyR8Zmb8kvrdD6KC7g" TargetMode="External"/><Relationship Id="rId342" Type="http://schemas.openxmlformats.org/officeDocument/2006/relationships/hyperlink" Target="https://www.google.com/url?q=https://dmoj.ca/problem/coci14c6p1&amp;sa=D&amp;ust=1605639798901000&amp;usg=AFQjCNHiePFSsJsrL0cetAFSsPkxDZkEww" TargetMode="External"/><Relationship Id="rId787" Type="http://schemas.openxmlformats.org/officeDocument/2006/relationships/hyperlink" Target="https://www.google.com/url?q=https://oj.uz/problem/view/IOI07_pairs&amp;sa=D&amp;ust=1605639799776000&amp;usg=AFQjCNHzH9g5BUipErZ_lx_t9IOGoOzSHg" TargetMode="External"/><Relationship Id="rId994" Type="http://schemas.openxmlformats.org/officeDocument/2006/relationships/hyperlink" Target="https://www.google.com/url?q=https://github.com/mostafa-saad/MyCompetitiveProgramming/blob/master/Olympiad/IOI/IOIPractice-14-skwishinese-ioi14.txt&amp;sa=D&amp;ust=1605639799980000&amp;usg=AFQjCNFnrHsLNot8I2cHaQkWWOls8hVDag" TargetMode="External"/><Relationship Id="rId2023" Type="http://schemas.openxmlformats.org/officeDocument/2006/relationships/hyperlink" Target="https://www.google.com/url?q=https://oj.uz/problem/view/COCI17_sirni&amp;sa=D&amp;ust=1605639800778000&amp;usg=AFQjCNFYLi3yAL1pyf-Wuu5u2gIODF3Liw" TargetMode="External"/><Relationship Id="rId2230" Type="http://schemas.openxmlformats.org/officeDocument/2006/relationships/hyperlink" Target="https://www.google.com/url?q=https://dunjudge.me/analysis/problems/975/&amp;sa=D&amp;ust=1605639800900000&amp;usg=AFQjCNFfI-rlMwOp7HM_XBCK5fdYCB9NtA" TargetMode="External"/><Relationship Id="rId2468" Type="http://schemas.openxmlformats.org/officeDocument/2006/relationships/hyperlink" Target="https://www.google.com/url?q=https://github.com/tmwilliamlin168/CompetitiveProgramming/blob/master/APIO/14-Beads.cpp&amp;sa=D&amp;ust=1605639801797000&amp;usg=AFQjCNESzb377r8A9JQTd5U6rrQHv6e36Q" TargetMode="External"/><Relationship Id="rId2675" Type="http://schemas.openxmlformats.org/officeDocument/2006/relationships/hyperlink" Target="https://www.google.com/url?q=https://dunjudge.me/analysis/problems/437/&amp;sa=D&amp;ust=1605639802001000&amp;usg=AFQjCNHXDhv3F5w1okoeAJxMXEWNunRPiQ" TargetMode="External"/><Relationship Id="rId2882" Type="http://schemas.openxmlformats.org/officeDocument/2006/relationships/hyperlink" Target="https://www.google.com/url?q=https://joi2014ho.contest.atcoder.jp/tasks/joi2014ho5&amp;sa=D&amp;ust=1605639802267000&amp;usg=AFQjCNEpGlhxAcxHvOToWnBSd9BrfwLngQ" TargetMode="External"/><Relationship Id="rId202" Type="http://schemas.openxmlformats.org/officeDocument/2006/relationships/hyperlink" Target="https://www.google.com/url?q=https://oj.uz/problem/view/COCI18_preokret&amp;sa=D&amp;ust=1605639798790000&amp;usg=AFQjCNGTE78NqAmcZfswJ3LGfT-TeqZY5Q" TargetMode="External"/><Relationship Id="rId647" Type="http://schemas.openxmlformats.org/officeDocument/2006/relationships/hyperlink" Target="https://www.google.com/url?q=https://github.com/mostafa-saad/MyCompetitiveProgramming/tree/master/Olympiad/Balkan/official/2016&amp;sa=D&amp;ust=1605639799642000&amp;usg=AFQjCNGIhi6PzPa5n31hQbboBAeuBZcuHw" TargetMode="External"/><Relationship Id="rId854" Type="http://schemas.openxmlformats.org/officeDocument/2006/relationships/hyperlink" Target="https://www.google.com/url?q=https://wcipeg.com/problem/coi08p1&amp;sa=D&amp;ust=1605639799870000&amp;usg=AFQjCNE-nl2wB_9rxRy2dqvV4cROm9BXLQ" TargetMode="External"/><Relationship Id="rId1277" Type="http://schemas.openxmlformats.org/officeDocument/2006/relationships/hyperlink" Target="https://www.google.com/url?q=https://github.com/tmwilliamlin168/CompetitiveProgramming/blob/master/CEOI/12-Highway.cpp&amp;sa=D&amp;ust=1605639800194000&amp;usg=AFQjCNGcmTCXJKizrkdVL5yXT6twnbKknw" TargetMode="External"/><Relationship Id="rId1484" Type="http://schemas.openxmlformats.org/officeDocument/2006/relationships/hyperlink" Target="https://www.google.com/url?q=https://cses.fi/180/list/&amp;sa=D&amp;ust=1605639800375000&amp;usg=AFQjCNF6uI9v8RBq2wDNFgmGGUTnqisAbw" TargetMode="External"/><Relationship Id="rId1691" Type="http://schemas.openxmlformats.org/officeDocument/2006/relationships/hyperlink" Target="https://www.google.com/url?q=https://www.hackerrank.com/contests/boi-2016/challenges&amp;sa=D&amp;ust=1605639800495000&amp;usg=AFQjCNGDU7LNAMSYZTYxHfNgM4iDme5uTA" TargetMode="External"/><Relationship Id="rId2328" Type="http://schemas.openxmlformats.org/officeDocument/2006/relationships/hyperlink" Target="https://www.google.com/url?q=https://github.com/mostafa-saad/MyCompetitiveProgramming/blob/master/Olympiad/CEOI/official/2013&amp;sa=D&amp;ust=1605639801608000&amp;usg=AFQjCNHEviKdxep4mrnWAHn9WRyTjeuvdQ" TargetMode="External"/><Relationship Id="rId2535" Type="http://schemas.openxmlformats.org/officeDocument/2006/relationships/hyperlink" Target="https://www.google.com/url?q=https://csacademy.com/contest/ceoi-2017-day-2/&amp;sa=D&amp;ust=1605639801873000&amp;usg=AFQjCNHzHrGBYwZyxJ3WH3yowa-FEbYLWA" TargetMode="External"/><Relationship Id="rId2742" Type="http://schemas.openxmlformats.org/officeDocument/2006/relationships/hyperlink" Target="https://www.google.com/url?q=https://github.com/mostafa-saad/MyCompetitiveProgramming/tree/master/Olympiad/COCI/official/2008/contest1_solutions&amp;sa=D&amp;ust=1605639802090000&amp;usg=AFQjCNGx_hWRM5A7ofC6ibsN2Ltj2BDpOQ" TargetMode="External"/><Relationship Id="rId507" Type="http://schemas.openxmlformats.org/officeDocument/2006/relationships/hyperlink" Target="https://www.google.com/url?q=https://www.infoarena.ro/problema/omizi&amp;sa=D&amp;ust=1605639799089000&amp;usg=AFQjCNEcXw09eD5YmGi1pdHInfF0Egzb9A" TargetMode="External"/><Relationship Id="rId714" Type="http://schemas.openxmlformats.org/officeDocument/2006/relationships/hyperlink" Target="https://www.google.com/url?q=https://oj.uz/problem/view/COCI17_plahte&amp;sa=D&amp;ust=1605639799678000&amp;usg=AFQjCNH3Cyj2LruXsQI4CiWIo9phzKyFhw" TargetMode="External"/><Relationship Id="rId921" Type="http://schemas.openxmlformats.org/officeDocument/2006/relationships/hyperlink" Target="https://www.google.com/url?q=https://www.acmicpc.net/problem/7081&amp;sa=D&amp;ust=1605639799900000&amp;usg=AFQjCNEpvvKc2bBQVPJo1CEiW8Q3BS5P1w" TargetMode="External"/><Relationship Id="rId1137" Type="http://schemas.openxmlformats.org/officeDocument/2006/relationships/hyperlink" Target="https://www.google.com/url?q=https://dunjudge.me/analysis/problems/73/&amp;sa=D&amp;ust=1605639800087000&amp;usg=AFQjCNGnwEeDj2qduKXCkY-kCys3-65U3A" TargetMode="External"/><Relationship Id="rId1344" Type="http://schemas.openxmlformats.org/officeDocument/2006/relationships/hyperlink" Target="https://www.google.com/url?q=https://github.com/mostafa-saad/MyCompetitiveProgramming/blob/master/Olympiad/POI/POI-96-wie.txt&amp;sa=D&amp;ust=1605639800222000&amp;usg=AFQjCNEt1V4kam3necxoqrtbcmyMcdnSwg" TargetMode="External"/><Relationship Id="rId1551" Type="http://schemas.openxmlformats.org/officeDocument/2006/relationships/hyperlink" Target="https://www.google.com/url?q=https://cses.fi/101/list/&amp;sa=D&amp;ust=1605639800400000&amp;usg=AFQjCNF814x5a21sjd_GU9OqLZ7OsSCn6w" TargetMode="External"/><Relationship Id="rId1789" Type="http://schemas.openxmlformats.org/officeDocument/2006/relationships/hyperlink" Target="https://www.google.com/url?q=https://github.com/mostafa-saad/MyCompetitiveProgramming/blob/master/Olympiad/NOI/NOI-18-citymapping.txt&amp;sa=D&amp;ust=1605639800587000&amp;usg=AFQjCNFP3D6nlGAS5q-Q2Ez_a2oKXrvq4Q" TargetMode="External"/><Relationship Id="rId1996" Type="http://schemas.openxmlformats.org/officeDocument/2006/relationships/hyperlink" Target="https://www.google.com/url?q=https://oj.uz/problem/view/POI11_pro&amp;sa=D&amp;ust=1605639800723000&amp;usg=AFQjCNF2HSpCMGGZH3ZTu8FtSrDD1lMtLw" TargetMode="External"/><Relationship Id="rId2602" Type="http://schemas.openxmlformats.org/officeDocument/2006/relationships/hyperlink" Target="https://www.google.com/url?q=https://github.com/mostafa-saad/MyCompetitiveProgramming/blob/master/Olympiad/infoarena/infoarena_xortransform.txt&amp;sa=D&amp;ust=1605639801903000&amp;usg=AFQjCNFWZi5jmuDQsQgru8nbNrSaxarZsQ" TargetMode="External"/><Relationship Id="rId50" Type="http://schemas.openxmlformats.org/officeDocument/2006/relationships/hyperlink" Target="https://www.google.com/url?q=https://oj.uz/problem/view/IZhO19_xoractive&amp;sa=D&amp;ust=1605639798682000&amp;usg=AFQjCNH-5b7ZKkxY1nvbw-i3H8Zl_dxuzQ" TargetMode="External"/><Relationship Id="rId1204" Type="http://schemas.openxmlformats.org/officeDocument/2006/relationships/hyperlink" Target="https://www.google.com/url?q=https://gist.github.com/luciocf/a551e013ef15b77288ff4786276d2dee&amp;sa=D&amp;ust=1605639800167000&amp;usg=AFQjCNFO7MBUPWKSOW4mYA4zN6NSvE1neg" TargetMode="External"/><Relationship Id="rId1411" Type="http://schemas.openxmlformats.org/officeDocument/2006/relationships/hyperlink" Target="https://www.google.com/url?q=https://github.com/stefdasca/CompetitiveProgramming/blob/master/Infoarena/sir42.cpp&amp;sa=D&amp;ust=1605639800299000&amp;usg=AFQjCNHkZopOsEnLkEcANQXGIyQUMe47pQ" TargetMode="External"/><Relationship Id="rId1649" Type="http://schemas.openxmlformats.org/officeDocument/2006/relationships/hyperlink" Target="https://www.google.com/url?q=https://open.kattis.com/problem-sources/Baltic%2520Olympiad%2520in%2520Informatics%25202017%252C%2520Day%25201&amp;sa=D&amp;ust=1605639800479000&amp;usg=AFQjCNHn5AAwBPwSTDXAgCq4e6fx2ej_Qg" TargetMode="External"/><Relationship Id="rId1856" Type="http://schemas.openxmlformats.org/officeDocument/2006/relationships/hyperlink" Target="https://www.google.com/url?q=https://oj.uz/problems/source/121&amp;sa=D&amp;ust=1605639800668000&amp;usg=AFQjCNHhxhmwy87d2stifEQE-Ag8pJSnkg" TargetMode="External"/><Relationship Id="rId2907" Type="http://schemas.openxmlformats.org/officeDocument/2006/relationships/hyperlink" Target="https://www.google.com/url?q=https://joisc2015.contest.atcoder.jp/tasks/joisc2015_i&amp;sa=D&amp;ust=1605639802283000&amp;usg=AFQjCNE96KXb85FBbxzvpEdw-Dq044avJQ" TargetMode="External"/><Relationship Id="rId1509" Type="http://schemas.openxmlformats.org/officeDocument/2006/relationships/hyperlink" Target="https://www.google.com/url?q=https://github.com/mostafa-saad/MyCompetitiveProgramming/blob/master/Olympiad/COCI/COCI-07-Pravokutni.txt&amp;sa=D&amp;ust=1605639800384000&amp;usg=AFQjCNFHROVCjlD0-o_SmUJrWHCueGU5OQ" TargetMode="External"/><Relationship Id="rId1716" Type="http://schemas.openxmlformats.org/officeDocument/2006/relationships/hyperlink" Target="https://www.google.com/url?q=https://github.com/mostafa-saad/MyCompetitiveProgramming/tree/master/Olympiad/COI/official/2016&amp;sa=D&amp;ust=1605639800504000&amp;usg=AFQjCNF3xO59jWqWfropXQAQStrGhfNLsQ" TargetMode="External"/><Relationship Id="rId1923" Type="http://schemas.openxmlformats.org/officeDocument/2006/relationships/hyperlink" Target="https://www.google.com/url?q=http://usaco.org/index.php?page%3Dviewproblem2%26cpid%3D950&amp;sa=D&amp;ust=1605639800698000&amp;usg=AFQjCNHNPHG3oBSbarESxz7x5Ny6JSIyGg" TargetMode="External"/><Relationship Id="rId297" Type="http://schemas.openxmlformats.org/officeDocument/2006/relationships/hyperlink" Target="https://www.google.com/url?q=https://dmoj.ca/problem/coci07c2p3&amp;sa=D&amp;ust=1605639798881000&amp;usg=AFQjCNHbeZQaDMLS3YkJPnonw7o9BsMQLQ" TargetMode="External"/><Relationship Id="rId2185" Type="http://schemas.openxmlformats.org/officeDocument/2006/relationships/hyperlink" Target="https://www.google.com/url?q=https://codeforces.com/group/swEqtABRxe/contest/243430/problem/A&amp;sa=D&amp;ust=1605639800882000&amp;usg=AFQjCNHADZhgwIbW0i1jzbAU98HEy8EBSQ" TargetMode="External"/><Relationship Id="rId2392" Type="http://schemas.openxmlformats.org/officeDocument/2006/relationships/hyperlink" Target="https://www.google.com/url?q=https://wcipeg.com/problem/coci092p2&amp;sa=D&amp;ust=1605639801704000&amp;usg=AFQjCNEvOU-zvALT0w0nK_IaU5a_TaFKPw" TargetMode="External"/><Relationship Id="rId157" Type="http://schemas.openxmlformats.org/officeDocument/2006/relationships/hyperlink" Target="https://www.google.com/url?q=https://dmoj.ca/problem/coci15c3p4&amp;sa=D&amp;ust=1605639798774000&amp;usg=AFQjCNE61-J7Rfj_5sot8oQrywj8npoZ0A" TargetMode="External"/><Relationship Id="rId364" Type="http://schemas.openxmlformats.org/officeDocument/2006/relationships/hyperlink" Target="https://www.google.com/url?q=https://dmoj.ca/problem/coci07c2p1&amp;sa=D&amp;ust=1605639798910000&amp;usg=AFQjCNFceKLLrpXw6fRmyaslGqD-NZyuCw" TargetMode="External"/><Relationship Id="rId2045" Type="http://schemas.openxmlformats.org/officeDocument/2006/relationships/hyperlink" Target="https://www.google.com/url?q=https://github.com/stefdasca/CompetitiveProgramming/blob/master/Infoarena/drumuri5.cpp&amp;sa=D&amp;ust=1605639800786000&amp;usg=AFQjCNEZhpWxXpzzrcpWrHHpdTR1SfSS-g" TargetMode="External"/><Relationship Id="rId2697" Type="http://schemas.openxmlformats.org/officeDocument/2006/relationships/hyperlink" Target="https://www.google.com/url?q=https://www.acmicpc.net/problem/1760&amp;sa=D&amp;ust=1605639802064000&amp;usg=AFQjCNEKKN9xkgpgTjBZ3ZffheP1zPkP2w" TargetMode="External"/><Relationship Id="rId571" Type="http://schemas.openxmlformats.org/officeDocument/2006/relationships/hyperlink" Target="https://www.google.com/url?q=https://csacademy.com/contest/ioi-2016-training-round-1/task/farey_sequence&amp;sa=D&amp;ust=1605639799116000&amp;usg=AFQjCNG-0DFTK8VC-zGTxN_i5MEeWLJIMw" TargetMode="External"/><Relationship Id="rId669" Type="http://schemas.openxmlformats.org/officeDocument/2006/relationships/hyperlink" Target="https://www.google.com/url?q=http://www.usaco.org/index.php?page%3Dviewproblem2%26cpid%3D1022&amp;sa=D&amp;ust=1605639799661000&amp;usg=AFQjCNEPGoRYZ52ZIZtCv3b0LiCkZnWz_g" TargetMode="External"/><Relationship Id="rId876" Type="http://schemas.openxmlformats.org/officeDocument/2006/relationships/hyperlink" Target="https://www.google.com/url?q=https://csacademy.com/contest/ioi-2016-training-round-4/task/k-consecutive/&amp;sa=D&amp;ust=1605639799878000&amp;usg=AFQjCNFzN234bdnQKhLwV_-78juHmsXhoQ" TargetMode="External"/><Relationship Id="rId1299" Type="http://schemas.openxmlformats.org/officeDocument/2006/relationships/hyperlink" Target="https://www.google.com/url?q=https://cses.fi/107/list/&amp;sa=D&amp;ust=1605639800203000&amp;usg=AFQjCNEj0Vefe23V-_EiTEhDR25M8NMiCg" TargetMode="External"/><Relationship Id="rId2252" Type="http://schemas.openxmlformats.org/officeDocument/2006/relationships/hyperlink" Target="https://www.google.com/url?q=https://github.com/fyquah95/ioi-malaysia-2016-training-camp&amp;sa=D&amp;ust=1605639800909000&amp;usg=AFQjCNEWaQJqO_9YOUGeYzY6A6baHyK9VQ" TargetMode="External"/><Relationship Id="rId2557" Type="http://schemas.openxmlformats.org/officeDocument/2006/relationships/hyperlink" Target="https://www.google.com/url?q=https://github.com/mostafa-saad/MyCompetitiveProgramming/blob/master/Olympiad/JOI/JOISC-18-bitaro.txt&amp;sa=D&amp;ust=1605639801881000&amp;usg=AFQjCNEgYqAMcEgu8Qn7ToBSKDdsIXYbIQ" TargetMode="External"/><Relationship Id="rId224" Type="http://schemas.openxmlformats.org/officeDocument/2006/relationships/hyperlink" Target="https://www.google.com/url?q=https://dmoj.ca/problem/coci07c1p5&amp;sa=D&amp;ust=1605639798800000&amp;usg=AFQjCNHdjmcNXlWnr4NSTMjRwJO4zKCFjg" TargetMode="External"/><Relationship Id="rId431" Type="http://schemas.openxmlformats.org/officeDocument/2006/relationships/hyperlink" Target="https://www.google.com/url?q=https://oj.uz/problem/view/COI19_segway&amp;sa=D&amp;ust=1605639798998000&amp;usg=AFQjCNG6UDNHNa6D2mgl2_Hc1ajnRmbuHA" TargetMode="External"/><Relationship Id="rId529" Type="http://schemas.openxmlformats.org/officeDocument/2006/relationships/hyperlink" Target="https://www.google.com/url?q=https://dunjudge.me/analysis/problems/420/&amp;sa=D&amp;ust=1605639799098000&amp;usg=AFQjCNET3r9CFQ-H0yrBR7BXmAg7aInMzA" TargetMode="External"/><Relationship Id="rId736" Type="http://schemas.openxmlformats.org/officeDocument/2006/relationships/hyperlink" Target="https://www.google.com/url?q=https://github.com/stefdasca/CompetitiveProgramming/blob/master/Infoarena/minuni.cpp&amp;sa=D&amp;ust=1605639799702000&amp;usg=AFQjCNFUIQjFMOgftKpCDnqhyBMeFc6Q_g" TargetMode="External"/><Relationship Id="rId1061" Type="http://schemas.openxmlformats.org/officeDocument/2006/relationships/hyperlink" Target="https://www.google.com/url?q=https://github.com/mostafa-saad/MyCompetitiveProgramming/blob/master/Olympiad/COCI/COCI-07-Jednakost.txt&amp;sa=D&amp;ust=1605639800005000&amp;usg=AFQjCNFsIKttwCrOsdnyfdDELRVKqM2Lpw" TargetMode="External"/><Relationship Id="rId1159" Type="http://schemas.openxmlformats.org/officeDocument/2006/relationships/hyperlink" Target="https://www.google.com/url?q=https://dunjudge.me/analysis/problems/414/&amp;sa=D&amp;ust=1605639800096000&amp;usg=AFQjCNHwPh3X6PMc7aVoGcB7LlRTaACpug" TargetMode="External"/><Relationship Id="rId1366" Type="http://schemas.openxmlformats.org/officeDocument/2006/relationships/hyperlink" Target="https://www.google.com/url?q=http://www.spoj.com/problems/MCAMP/&amp;sa=D&amp;ust=1605639800282000&amp;usg=AFQjCNGEWHx9bMe-P4t7zptbd4sVwisJSw" TargetMode="External"/><Relationship Id="rId2112" Type="http://schemas.openxmlformats.org/officeDocument/2006/relationships/hyperlink" Target="https://www.google.com/url?q=https://cses.fi/193/list/&amp;sa=D&amp;ust=1605639800813000&amp;usg=AFQjCNF-ffLP7zNY2QexuCGSEEsxzns_sg" TargetMode="External"/><Relationship Id="rId2417" Type="http://schemas.openxmlformats.org/officeDocument/2006/relationships/hyperlink" Target="https://www.google.com/url?q=https://github.com/mostafa-saad/MyCompetitiveProgramming/blob/master/Olympiad/IOI/official/2016&amp;sa=D&amp;ust=1605639801776000&amp;usg=AFQjCNGkUd4cetLlxesOMPyVVLjGXGRrMg" TargetMode="External"/><Relationship Id="rId2764" Type="http://schemas.openxmlformats.org/officeDocument/2006/relationships/hyperlink" Target="https://www.google.com/url?q=https://github.com/mostafa-saad/MyCompetitiveProgramming/blob/master/Olympiad/COCI/official/2009/contest1_solutions&amp;sa=D&amp;ust=1605639802100000&amp;usg=AFQjCNGkKPYddUHmMMIrRZqV5KcgQpL2bQ" TargetMode="External"/><Relationship Id="rId2971" Type="http://schemas.openxmlformats.org/officeDocument/2006/relationships/hyperlink" Target="https://www.google.com/url?q=https://github.com/mostafa-saad/MyCompetitiveProgramming/blob/master/Olympiad/POI/official/find_editorial_sols_guidelines.txt&amp;sa=D&amp;ust=1605639802375000&amp;usg=AFQjCNGW2ZHpbkU3Nzkjrq5-BHCH52Y7Ow" TargetMode="External"/><Relationship Id="rId943" Type="http://schemas.openxmlformats.org/officeDocument/2006/relationships/hyperlink" Target="https://www.google.com/url?q=https://szkopul.edu.pl/problemset/problem/VeQ6A1Xb8DUSlbUb8eQncsFX/site/&amp;sa=D&amp;ust=1605639799908000&amp;usg=AFQjCNGqlFDQcQkQV6EKJfvGhHT7M4saxg" TargetMode="External"/><Relationship Id="rId1019" Type="http://schemas.openxmlformats.org/officeDocument/2006/relationships/hyperlink" Target="https://www.google.com/url?q=https://joi2015ho.contest.atcoder.jp/tasks/joi2015ho_b&amp;sa=D&amp;ust=1605639799988000&amp;usg=AFQjCNHwMkE4Ie3S0cMCLr2xy9DK_YAoxg" TargetMode="External"/><Relationship Id="rId1573" Type="http://schemas.openxmlformats.org/officeDocument/2006/relationships/hyperlink" Target="https://www.google.com/url?q=https://oj.uz/problem/view/COI15_sir&amp;sa=D&amp;ust=1605639800408000&amp;usg=AFQjCNEQ1biIkSj8YPnEmrEmewlDT9FJRA" TargetMode="External"/><Relationship Id="rId1780" Type="http://schemas.openxmlformats.org/officeDocument/2006/relationships/hyperlink" Target="https://www.google.com/url?q=https://dmoj.ca/problem/coci06c1p4&amp;sa=D&amp;ust=1605639800578000&amp;usg=AFQjCNHUy9L0_QcFLBRQv8BN3xEka3ydKg" TargetMode="External"/><Relationship Id="rId1878" Type="http://schemas.openxmlformats.org/officeDocument/2006/relationships/hyperlink" Target="https://www.google.com/url?q=https://oj.uz/problem/view/COCI17_ceste&amp;sa=D&amp;ust=1605639800679000&amp;usg=AFQjCNEUUiJPNHhOETi5X3awqFFieotAFQ" TargetMode="External"/><Relationship Id="rId2624" Type="http://schemas.openxmlformats.org/officeDocument/2006/relationships/hyperlink" Target="https://www.google.com/url?q=https://infoarena.ro/problema/radare&amp;sa=D&amp;ust=1605639801977000&amp;usg=AFQjCNHUv400LLJLSiQjhAfLOVTTWsr6KQ" TargetMode="External"/><Relationship Id="rId2831" Type="http://schemas.openxmlformats.org/officeDocument/2006/relationships/hyperlink" Target="https://www.google.com/url?q=https://github.com/mostafa-saad/MyCompetitiveProgramming/blob/master/Olympiad/COCI/official/2009/regional_solutions&amp;sa=D&amp;ust=1605639802185000&amp;usg=AFQjCNFNf2f6i-m_15THfZe7Wh1DQoaG4w" TargetMode="External"/><Relationship Id="rId2929" Type="http://schemas.openxmlformats.org/officeDocument/2006/relationships/hyperlink" Target="https://www.google.com/url?q=https://github.com/mostafa-saad/MyCompetitiveProgramming/tree/master/Olympiad/MCO/official/2014&amp;sa=D&amp;ust=1605639802297000&amp;usg=AFQjCNFpcDlSAeCBr8L0b-tBvcX2-AjeYw" TargetMode="External"/><Relationship Id="rId72" Type="http://schemas.openxmlformats.org/officeDocument/2006/relationships/hyperlink" Target="https://www.google.com/url?q=https://szkopul.edu.pl/problemset/problem/w_-1ZgA1RSQ0IpPqx_1BXb6M/site/&amp;sa=D&amp;ust=1605639798693000&amp;usg=AFQjCNEPI9YpWIBOK7b-osJG2KaSJnDROw" TargetMode="External"/><Relationship Id="rId803" Type="http://schemas.openxmlformats.org/officeDocument/2006/relationships/hyperlink" Target="https://www.google.com/url?q=https://oj.uz/problem/view/COCI17_krov&amp;sa=D&amp;ust=1605639799783000&amp;usg=AFQjCNEtfXPo_SZCzA9fd3_Ucauqe734Dg" TargetMode="External"/><Relationship Id="rId1226" Type="http://schemas.openxmlformats.org/officeDocument/2006/relationships/hyperlink" Target="https://www.google.com/url?q=https://github.com/mostafa-saad/MyCompetitiveProgramming/blob/master/Olympiad/APIO/APIO-08-DNA.txt&amp;sa=D&amp;ust=1605639800176000&amp;usg=AFQjCNGAJchBfhiVDmUp3RUqaSN9KkxCWg" TargetMode="External"/><Relationship Id="rId1433" Type="http://schemas.openxmlformats.org/officeDocument/2006/relationships/hyperlink" Target="https://www.google.com/url?q=https://github.com/tmwilliamlin168/CompetitiveProgramming/tree/master/JOI&amp;sa=D&amp;ust=1605639800309000&amp;usg=AFQjCNFARWItWSX5wksKvV0fFpIZpyG7pQ" TargetMode="External"/><Relationship Id="rId1640" Type="http://schemas.openxmlformats.org/officeDocument/2006/relationships/hyperlink" Target="https://www.google.com/url?q=https://oj.uz/problem/view/COI19_izlet&amp;sa=D&amp;ust=1605639800474000&amp;usg=AFQjCNF3LULgpxZfAKPgdZxSGwK70mOOqQ" TargetMode="External"/><Relationship Id="rId1738" Type="http://schemas.openxmlformats.org/officeDocument/2006/relationships/hyperlink" Target="https://www.google.com/url?q=https://github.com/stefdasca/CompetitiveProgramming/blob/master/Infoarena/rfinv.cpp&amp;sa=D&amp;ust=1605639800520000&amp;usg=AFQjCNHdLQfMVZWiXxTlrCMCaM1UoNpm6A" TargetMode="External"/><Relationship Id="rId1500" Type="http://schemas.openxmlformats.org/officeDocument/2006/relationships/hyperlink" Target="https://www.google.com/url?q=https://szkopul.edu.pl/problemset/problem/mjJWZowf-KgF_KX1Hi0bUDZN/site/&amp;sa=D&amp;ust=1605639800381000&amp;usg=AFQjCNFdw87U5m-VYFsWvo8eoxIbJR8nFw" TargetMode="External"/><Relationship Id="rId1945" Type="http://schemas.openxmlformats.org/officeDocument/2006/relationships/hyperlink" Target="https://www.google.com/url?q=https://github.com/mostafa-saad/MyCompetitiveProgramming/blob/master/Olympiad/infoarena/infoarena_mexc.txt&amp;sa=D&amp;ust=1605639800705000&amp;usg=AFQjCNF3HtvwdpKzpWkHaMJCcMoz_WhsAg" TargetMode="External"/><Relationship Id="rId1805" Type="http://schemas.openxmlformats.org/officeDocument/2006/relationships/hyperlink" Target="https://www.google.com/url?q=https://github.com/mostafa-saad/MyCompetitiveProgramming/tree/master/Olympiad/COCI/official/2007/olympiad_solutions&amp;sa=D&amp;ust=1605639800592000&amp;usg=AFQjCNHjw-PqLauUZuQwb-95k2Tv4PfTaQ" TargetMode="External"/><Relationship Id="rId179" Type="http://schemas.openxmlformats.org/officeDocument/2006/relationships/hyperlink" Target="https://www.google.com/url?q=https://cses.fi/115/list/&amp;sa=D&amp;ust=1605639798781000&amp;usg=AFQjCNFD2rKXTee4Gq1kWBv4D092Fu3eBg" TargetMode="External"/><Relationship Id="rId386" Type="http://schemas.openxmlformats.org/officeDocument/2006/relationships/hyperlink" Target="https://www.google.com/url?q=https://dunjudge.me/analysis/problems/1478/&amp;sa=D&amp;ust=1605639798978000&amp;usg=AFQjCNEtV-nqob7RkfzQ54lwH_6igTXY0Q" TargetMode="External"/><Relationship Id="rId593" Type="http://schemas.openxmlformats.org/officeDocument/2006/relationships/hyperlink" Target="https://www.google.com/url?q=https://github.com/mostafa-saad/MyCompetitiveProgramming/tree/master/Olympiad/JOI/CEOI/official/2017&amp;sa=D&amp;ust=1605639799125000&amp;usg=AFQjCNHkvDYiQWn9sgWck3tERvDxdiRDuQ" TargetMode="External"/><Relationship Id="rId2067" Type="http://schemas.openxmlformats.org/officeDocument/2006/relationships/hyperlink" Target="https://www.google.com/url?q=https://dmoj.ca/problem/coi06p2&amp;sa=D&amp;ust=1605639800796000&amp;usg=AFQjCNHRjqhtFqt0Er_tD761mJzvqI5dkg" TargetMode="External"/><Relationship Id="rId2274" Type="http://schemas.openxmlformats.org/officeDocument/2006/relationships/hyperlink" Target="https://www.google.com/url?q=https://oj.uz/problems/source/213&amp;sa=D&amp;ust=1605639801568000&amp;usg=AFQjCNH-Z_7_q6ZnlVz3TGcfjTaGhPPh9g" TargetMode="External"/><Relationship Id="rId2481" Type="http://schemas.openxmlformats.org/officeDocument/2006/relationships/hyperlink" Target="https://www.google.com/url?q=https://github.com/nikolapesic2802/Programming-Practice/blob/master/Cezar/main.cpp&amp;sa=D&amp;ust=1605639801801000&amp;usg=AFQjCNEe1q882qilURYy7Pt702sCHG-sOw" TargetMode="External"/><Relationship Id="rId246" Type="http://schemas.openxmlformats.org/officeDocument/2006/relationships/hyperlink" Target="https://www.google.com/url?q=https://github.com/mostafa-saad/MyCompetitiveProgramming/blob/master/Olympiad/POI/official/find_editorial_sols_guidelines.txt&amp;sa=D&amp;ust=1605639798806000&amp;usg=AFQjCNGOWWGTKCbo5DL6EtLYkNkpBdVY8A" TargetMode="External"/><Relationship Id="rId453" Type="http://schemas.openxmlformats.org/officeDocument/2006/relationships/hyperlink" Target="https://www.google.com/url?q=https://github.com/mostafa-saad/MyCompetitiveProgramming/blob/master/Olympiad/CEOI/CEOI-11-Teams.txt&amp;sa=D&amp;ust=1605639799007000&amp;usg=AFQjCNFZaWW9ntfo9WsRQI-2Uxpkzy9n5Q" TargetMode="External"/><Relationship Id="rId660" Type="http://schemas.openxmlformats.org/officeDocument/2006/relationships/hyperlink" Target="https://www.google.com/url?q=https://oj.uz/problem/view/IOI13_game&amp;sa=D&amp;ust=1605639799658000&amp;usg=AFQjCNEF9J3rW-Rzf3ZcjpskKPsDo26TQw" TargetMode="External"/><Relationship Id="rId898" Type="http://schemas.openxmlformats.org/officeDocument/2006/relationships/hyperlink" Target="https://www.google.com/url?q=https://www.infoarena.ro/problema/culmi&amp;sa=D&amp;ust=1605639799890000&amp;usg=AFQjCNE5kjETLMT8qDkTE4FStxB_FPjUcA" TargetMode="External"/><Relationship Id="rId1083" Type="http://schemas.openxmlformats.org/officeDocument/2006/relationships/hyperlink" Target="https://www.google.com/url?q=https://dunjudge.me/analysis/problems/13/&amp;sa=D&amp;ust=1605639800015000&amp;usg=AFQjCNHw3V62cl37a3xQzXkT0HjDoU2T2Q" TargetMode="External"/><Relationship Id="rId1290" Type="http://schemas.openxmlformats.org/officeDocument/2006/relationships/hyperlink" Target="https://www.google.com/url?q=https://oj.uz/problem/view/APIO15_sculpture&amp;sa=D&amp;ust=1605639800198000&amp;usg=AFQjCNHSiLQkfURiEhJaHCsrOfhTXol5zQ" TargetMode="External"/><Relationship Id="rId2134" Type="http://schemas.openxmlformats.org/officeDocument/2006/relationships/hyperlink" Target="https://www.google.com/url?q=https://github.com/mostafa-saad/MyCompetitiveProgramming/blob/master/Olympiad/infoarena/infoarena-jap2.txt&amp;sa=D&amp;ust=1605639800821000&amp;usg=AFQjCNGWKtJc-qiCM1sYDpFkTOPQvbFoag" TargetMode="External"/><Relationship Id="rId2341" Type="http://schemas.openxmlformats.org/officeDocument/2006/relationships/hyperlink" Target="https://www.google.com/url?q=https://github.com/mostafa-saad/MyCompetitiveProgramming/blob/master/Olympiad/IOI/IOI-03-robots.txt&amp;sa=D&amp;ust=1605639801613000&amp;usg=AFQjCNGGEK3OZrW3vq2eI0zw9iFmVXPIMA" TargetMode="External"/><Relationship Id="rId2579" Type="http://schemas.openxmlformats.org/officeDocument/2006/relationships/hyperlink" Target="https://www.google.com/url?q=https://dmoj.ca/problem/stnbd4&amp;sa=D&amp;ust=1605639801895000&amp;usg=AFQjCNFubrrUl8KLdvGAIm6CdzLBb7BwXQ" TargetMode="External"/><Relationship Id="rId2786" Type="http://schemas.openxmlformats.org/officeDocument/2006/relationships/hyperlink" Target="https://www.google.com/url?q=https://wcipeg.com/problem/coci095p3&amp;sa=D&amp;ust=1605639802109000&amp;usg=AFQjCNGzId77p85BxQSAdmu86E_UnyydBw" TargetMode="External"/><Relationship Id="rId2993" Type="http://schemas.openxmlformats.org/officeDocument/2006/relationships/hyperlink" Target="https://www.google.com/url?q=https://szkopul.edu.pl/problemset/problem/w-dbshXVyRol4LIT9jeP-bNn/site/&amp;sa=D&amp;ust=1605639802386000&amp;usg=AFQjCNHEkBlvuWAQHDpd-_5nGbmGCj4ZbQ" TargetMode="External"/><Relationship Id="rId106" Type="http://schemas.openxmlformats.org/officeDocument/2006/relationships/hyperlink" Target="https://www.google.com/url?q=http://usaco.org/index.php?page%3Dviewproblem2%26cpid%3D947&amp;sa=D&amp;ust=1605639798716000&amp;usg=AFQjCNG_fQoe-U9IkRouv7xKBZzjX3WlTg" TargetMode="External"/><Relationship Id="rId313" Type="http://schemas.openxmlformats.org/officeDocument/2006/relationships/hyperlink" Target="https://www.google.com/url?q=https://wcipeg.com/problem/coci092p3&amp;sa=D&amp;ust=1605639798887000&amp;usg=AFQjCNGrfEnAA1kaUUv74vmtrDXHZx80zw" TargetMode="External"/><Relationship Id="rId758" Type="http://schemas.openxmlformats.org/officeDocument/2006/relationships/hyperlink" Target="https://www.google.com/url?q=https://szkopul.edu.pl/problemset/problem/lR_LabSUC2n7EMmDHpw-wk_b/site/&amp;sa=D&amp;ust=1605639799712000&amp;usg=AFQjCNEie9rb5kWrBerJfsQ8Icxo5rU1eA" TargetMode="External"/><Relationship Id="rId965" Type="http://schemas.openxmlformats.org/officeDocument/2006/relationships/hyperlink" Target="https://www.google.com/url?q=https://github.com/mostafa-saad/MyCompetitiveProgramming/blob/master/Olympiad/COCI/COCI-14-bob.txt&amp;sa=D&amp;ust=1605639799965000&amp;usg=AFQjCNFpvX93L3-4-EbIkj0ENFA5ehd-mg" TargetMode="External"/><Relationship Id="rId1150" Type="http://schemas.openxmlformats.org/officeDocument/2006/relationships/hyperlink" Target="https://www.google.com/url?q=https://github.com/stefdasca/CompetitiveProgramming/blob/master/Info1Cup/National%2520Round/Mean%2520(RO).pdf&amp;sa=D&amp;ust=1605639800092000&amp;usg=AFQjCNFC0syk6iWvf8nug9NWoXXaRA9mYg" TargetMode="External"/><Relationship Id="rId1388" Type="http://schemas.openxmlformats.org/officeDocument/2006/relationships/hyperlink" Target="https://www.google.com/url?q=https://csacademy.com/contest/ceoi-2017-day-2/&amp;sa=D&amp;ust=1605639800290000&amp;usg=AFQjCNEyOf5u0W3KT4_MhOccPw2EupIX3Q" TargetMode="External"/><Relationship Id="rId1595" Type="http://schemas.openxmlformats.org/officeDocument/2006/relationships/hyperlink" Target="https://www.google.com/url?q=https://cses.fi/99/list/&amp;sa=D&amp;ust=1605639800417000&amp;usg=AFQjCNG_ZFHMtZTUvIMkyMcZt6H2kvUiFA" TargetMode="External"/><Relationship Id="rId2439" Type="http://schemas.openxmlformats.org/officeDocument/2006/relationships/hyperlink" Target="https://www.google.com/url?q=https://github.com/mostafa-saad/MyCompetitiveProgramming/blob/master/Olympiad/COCI/official/2017/contest2_solutions&amp;sa=D&amp;ust=1605639801786000&amp;usg=AFQjCNEyPPwC3Mq7rrrVnISjxA6UJp8eEw" TargetMode="External"/><Relationship Id="rId2646" Type="http://schemas.openxmlformats.org/officeDocument/2006/relationships/hyperlink" Target="https://www.google.com/url?q=https://www.infoarena.ro/problema/arb2&amp;sa=D&amp;ust=1605639801986000&amp;usg=AFQjCNHBP9N5iQaN60-FGAXzHHH4g6IxjA" TargetMode="External"/><Relationship Id="rId2853" Type="http://schemas.openxmlformats.org/officeDocument/2006/relationships/hyperlink" Target="https://www.google.com/url?q=https://oj.uz/problem/view/info1cup18_del13&amp;sa=D&amp;ust=1605639802199000&amp;usg=AFQjCNE4nMoYOV6ce13q4-ySZwgxR9ODlg" TargetMode="External"/><Relationship Id="rId94" Type="http://schemas.openxmlformats.org/officeDocument/2006/relationships/hyperlink" Target="https://www.google.com/url?q=http://usaco.org/index.php?page%3Dviewproblem2%26cpid%3D533&amp;sa=D&amp;ust=1605639798712000&amp;usg=AFQjCNEoj3Z46mH5XyQTX1WO-1SnCapi9A" TargetMode="External"/><Relationship Id="rId520" Type="http://schemas.openxmlformats.org/officeDocument/2006/relationships/hyperlink" Target="https://www.google.com/url?q=https://www.infoarena.ro/problema/heavymetal&amp;sa=D&amp;ust=1605639799094000&amp;usg=AFQjCNGSGt82yHQ3aRjmT_wCqtda6Hq8ag" TargetMode="External"/><Relationship Id="rId618" Type="http://schemas.openxmlformats.org/officeDocument/2006/relationships/hyperlink" Target="https://www.google.com/url?q=https://github.com/tmwilliamlin168/CompetitiveProgramming/blob/master/IOI/09-Mecho.cpp&amp;sa=D&amp;ust=1605639799169000&amp;usg=AFQjCNGGr0sM28GQHXT3qjjMZ59lfffzHA" TargetMode="External"/><Relationship Id="rId825" Type="http://schemas.openxmlformats.org/officeDocument/2006/relationships/hyperlink" Target="https://www.google.com/url?q=https://github.com/mostafa-saad/MyCompetitiveProgramming/blob/master/Olympiad/POI/official/find_editorial_sols_guidelines.txt&amp;sa=D&amp;ust=1605639799794000&amp;usg=AFQjCNFqR4pDhXiaBqN21TS41vGvg8RG8g" TargetMode="External"/><Relationship Id="rId1248" Type="http://schemas.openxmlformats.org/officeDocument/2006/relationships/hyperlink" Target="https://www.google.com/url?q=https://github.com/mostafa-saad/MyCompetitiveProgramming/blob/master/Olympiad/Baltic/Baltic-09-Beetles.txt&amp;sa=D&amp;ust=1605639800184000&amp;usg=AFQjCNH0mUfhY8lETPZ4g4E7nMgOLl7pNA" TargetMode="External"/><Relationship Id="rId1455" Type="http://schemas.openxmlformats.org/officeDocument/2006/relationships/hyperlink" Target="https://www.google.com/url?q=https://github.com/tmwilliamlin168/CompetitiveProgramming/blob/master/CEOI/14-007.cpp&amp;sa=D&amp;ust=1605639800319000&amp;usg=AFQjCNGNMspjBcpE4vmiadKp37A5_NUCPw" TargetMode="External"/><Relationship Id="rId1662" Type="http://schemas.openxmlformats.org/officeDocument/2006/relationships/hyperlink" Target="https://www.google.com/url?q=https://github.com/mostafa-saad/MyCompetitiveProgramming/blob/master/Olympiad/POI/official/find_editorial_sols_guidelines.txt&amp;sa=D&amp;ust=1605639800483000&amp;usg=AFQjCNGHdvE1vY-6VCXRgI3phUg9qfKeig" TargetMode="External"/><Relationship Id="rId2201" Type="http://schemas.openxmlformats.org/officeDocument/2006/relationships/hyperlink" Target="https://www.google.com/url?q=https://github.com/mostafa-saad/MyCompetitiveProgramming/blob/master/Olympiad/POI/POI-09-Words.txt&amp;sa=D&amp;ust=1605639800888000&amp;usg=AFQjCNHMngkx7D7EcsjtgtzxwJ2fKGSzjg" TargetMode="External"/><Relationship Id="rId2506" Type="http://schemas.openxmlformats.org/officeDocument/2006/relationships/hyperlink" Target="https://www.google.com/url?q=https://github.com/mostafa-saad/MyCompetitiveProgramming/blob/master/Olympiad/COI/COI-17-zagrade.txt&amp;sa=D&amp;ust=1605639801811000&amp;usg=AFQjCNExk--UVjSGr0-g6yQyiYV0HqCQkA" TargetMode="External"/><Relationship Id="rId1010" Type="http://schemas.openxmlformats.org/officeDocument/2006/relationships/hyperlink" Target="https://www.google.com/url?q=https://www.dropbox.com/s/smryqdsty3vu5br/Bytecomputer.cpp?dl%3D0&amp;sa=D&amp;ust=1605639799986000&amp;usg=AFQjCNFjeV0WJ-U-cF4hx84APVRjcdckbQ" TargetMode="External"/><Relationship Id="rId1108" Type="http://schemas.openxmlformats.org/officeDocument/2006/relationships/hyperlink" Target="https://www.google.com/url?q=https://github.com/mostafa-saad/MyCompetitiveProgramming/blob/master/Olympiad/POI/official/find_editorial_sols_guidelines.txt&amp;sa=D&amp;ust=1605639800074000&amp;usg=AFQjCNFDDlz5l3dORWhIrlki59ViYGKPlQ" TargetMode="External"/><Relationship Id="rId1315" Type="http://schemas.openxmlformats.org/officeDocument/2006/relationships/hyperlink" Target="https://www.google.com/url?q=https://wcipeg.com/problem/coci092p6&amp;sa=D&amp;ust=1605639800208000&amp;usg=AFQjCNGHqigMowJYXl56T_ppQH0fasH9_w" TargetMode="External"/><Relationship Id="rId1967" Type="http://schemas.openxmlformats.org/officeDocument/2006/relationships/hyperlink" Target="https://www.google.com/url?q=https://github.com/mostafa-saad/MyCompetitiveProgramming/blob/master/Olympiad/POI/official/find_editorial_sols_guidelines.txt&amp;sa=D&amp;ust=1605639800712000&amp;usg=AFQjCNGzrhA08qoKA_TdjRGpE3u_1toD_g" TargetMode="External"/><Relationship Id="rId2713" Type="http://schemas.openxmlformats.org/officeDocument/2006/relationships/hyperlink" Target="https://www.google.com/url?q=https://dmoj.ca/problem/coci06c6p3&amp;sa=D&amp;ust=1605639802076000&amp;usg=AFQjCNHrd51ix9OzbagbduBQT7jKyCkVdw" TargetMode="External"/><Relationship Id="rId2920" Type="http://schemas.openxmlformats.org/officeDocument/2006/relationships/hyperlink" Target="https://www.google.com/url?q=https://joisc2016.contest.atcoder.jp/tasks/joisc2016_l&amp;sa=D&amp;ust=1605639802291000&amp;usg=AFQjCNH8hIbGlxSN5mlEKxHGrU3M2DKlvA" TargetMode="External"/><Relationship Id="rId1522" Type="http://schemas.openxmlformats.org/officeDocument/2006/relationships/hyperlink" Target="https://www.google.com/url?q=https://szkopul.edu.pl/problemset/problem/XcJ1RDGPzzspbYBm4xHCVpWM/site/&amp;sa=D&amp;ust=1605639800389000&amp;usg=AFQjCNFfPdwK_VMcJUVTGGSXSqqQpt5iEg" TargetMode="External"/><Relationship Id="rId21" Type="http://schemas.openxmlformats.org/officeDocument/2006/relationships/hyperlink" Target="https://www.google.com/url?q=https://github.com/mostafa-saad/MyCompetitiveProgramming/blob/master/Olympiad/IOI/official/2003&amp;sa=D&amp;ust=1605639798672000&amp;usg=AFQjCNHPDhGAH_bnLtL3yE0fx1abUqeYrA" TargetMode="External"/><Relationship Id="rId2089" Type="http://schemas.openxmlformats.org/officeDocument/2006/relationships/hyperlink" Target="https://www.google.com/url?q=https://github.com/dolphingarlic/CompetitiveProgramming/blob/master/COI/COCI%252020-putovanje.cpp&amp;sa=D&amp;ust=1605639800805000&amp;usg=AFQjCNG-Wv8bitQy67S0p0wjeEYzKlxBFQ" TargetMode="External"/><Relationship Id="rId2296" Type="http://schemas.openxmlformats.org/officeDocument/2006/relationships/hyperlink" Target="https://www.google.com/url?q=https://szkopul.edu.pl/problemset/problem/in7jx1ATY7fnkmK87b9m_Nu_/site/&amp;sa=D&amp;ust=1605639801578000&amp;usg=AFQjCNGzYA_EDVmD-BeMvvw4W2jUsWHgVw" TargetMode="External"/><Relationship Id="rId268" Type="http://schemas.openxmlformats.org/officeDocument/2006/relationships/hyperlink" Target="https://www.google.com/url?q=https://github.com/mostafa-saad/MyCompetitiveProgramming/tree/master/Olympiad/COCI/official/2008/contest3_solutions&amp;sa=D&amp;ust=1605639798870000&amp;usg=AFQjCNGaa9PbpaSqgdoRDOqIzCH193dtGg" TargetMode="External"/><Relationship Id="rId475" Type="http://schemas.openxmlformats.org/officeDocument/2006/relationships/hyperlink" Target="https://www.google.com/url?q=https://github.com/mostafa-saad/MyCompetitiveProgramming/blob/master/Olympiad/IOI/IOI-06-pyramid.txt&amp;sa=D&amp;ust=1605639799016000&amp;usg=AFQjCNGEjkwHOyuHWJ9Vn_JXpoie4Z6oFA" TargetMode="External"/><Relationship Id="rId682" Type="http://schemas.openxmlformats.org/officeDocument/2006/relationships/hyperlink" Target="https://www.google.com/url?q=https://www.acmicpc.net/problem/5252&amp;sa=D&amp;ust=1605639799665000&amp;usg=AFQjCNFySLWiyXYpGUFGDuaG4nvCj9skdA" TargetMode="External"/><Relationship Id="rId2156" Type="http://schemas.openxmlformats.org/officeDocument/2006/relationships/hyperlink" Target="https://www.google.com/url?q=https://github.com/mostafa-saad/MyCompetitiveProgramming/blob/master/Olympiad/COCI/COCI-07-Kemija.txt&amp;sa=D&amp;ust=1605639800870000&amp;usg=AFQjCNEhdBCsRHTmrCztE6GdPSTGL5893A" TargetMode="External"/><Relationship Id="rId2363" Type="http://schemas.openxmlformats.org/officeDocument/2006/relationships/hyperlink" Target="https://www.google.com/url?q=https://codeforces.com/group/swEqtABRxe/contest/243427/problem/C&amp;sa=D&amp;ust=1605639801680000&amp;usg=AFQjCNHDMxwWoueHdbYoVzCwc1dUq9FTQA" TargetMode="External"/><Relationship Id="rId2570" Type="http://schemas.openxmlformats.org/officeDocument/2006/relationships/hyperlink" Target="https://www.google.com/url?q=https://oj.uz/problem/view/IOI09_regions&amp;sa=D&amp;ust=1605639801886000&amp;usg=AFQjCNHmIDJ7B65jgE6t0gM_UqTZczFEuA" TargetMode="External"/><Relationship Id="rId128" Type="http://schemas.openxmlformats.org/officeDocument/2006/relationships/hyperlink" Target="https://www.google.com/url?q=https://www.infoarena.ro/problema/interact&amp;sa=D&amp;ust=1605639798725000&amp;usg=AFQjCNHCMR_sm26AmdrSi1QMacTdE7jkoQ" TargetMode="External"/><Relationship Id="rId335" Type="http://schemas.openxmlformats.org/officeDocument/2006/relationships/hyperlink" Target="https://www.google.com/url?q=https://github.com/mostafa-saad/MyCompetitiveProgramming/blob/master/Olympiad/COCI/official/2009/contest3_solutions&amp;sa=D&amp;ust=1605639798898000&amp;usg=AFQjCNFbY_CBqiFRtvIX-h-hcYC8xlE6Mw" TargetMode="External"/><Relationship Id="rId542" Type="http://schemas.openxmlformats.org/officeDocument/2006/relationships/hyperlink" Target="https://www.google.com/url?q=https://oj.uz/problem/view/JOI17_park&amp;sa=D&amp;ust=1605639799104000&amp;usg=AFQjCNEL4S5XHE7H5j3lTeehxPUysvtkdg" TargetMode="External"/><Relationship Id="rId1172" Type="http://schemas.openxmlformats.org/officeDocument/2006/relationships/hyperlink" Target="https://www.google.com/url?q=https://dmoj.ca/problem/coci14c6p5&amp;sa=D&amp;ust=1605639800109000&amp;usg=AFQjCNFH6sUln-T6_TNqmY54jOZ2-U1B4Q" TargetMode="External"/><Relationship Id="rId2016" Type="http://schemas.openxmlformats.org/officeDocument/2006/relationships/hyperlink" Target="https://www.google.com/url?q=https://github.com/mostafa-saad/MyCompetitiveProgramming/tree/master/Olympiad/CEOI/official/2008&amp;sa=D&amp;ust=1605639800774000&amp;usg=AFQjCNH9QL8lhgKH9vvZCt2NHUdrRp2FFg" TargetMode="External"/><Relationship Id="rId2223" Type="http://schemas.openxmlformats.org/officeDocument/2006/relationships/hyperlink" Target="https://www.google.com/url?q=https://cses.fi/231/task/D&amp;sa=D&amp;ust=1605639800897000&amp;usg=AFQjCNFuEGHpnTynIEO-fWt8jTr4uX4vKw" TargetMode="External"/><Relationship Id="rId2430" Type="http://schemas.openxmlformats.org/officeDocument/2006/relationships/hyperlink" Target="https://www.google.com/url?q=https://github.com/mostafa-saad/MyCompetitiveProgramming/blob/master/Olympiad/USACO/USACO-13jan-lineup.txt&amp;sa=D&amp;ust=1605639801783000&amp;usg=AFQjCNEwB2OTQDd5QiXrlGcOcZEFUN0Daw" TargetMode="External"/><Relationship Id="rId402" Type="http://schemas.openxmlformats.org/officeDocument/2006/relationships/hyperlink" Target="https://www.google.com/url?q=https://github.com/mostafa-saad/MyCompetitiveProgramming/blob/master/Olympiad/COCI/COCI-14-Sabor.txt&amp;sa=D&amp;ust=1605639798984000&amp;usg=AFQjCNEc0f1lgN4C7EamHVoLkIG9g7hNUQ" TargetMode="External"/><Relationship Id="rId1032" Type="http://schemas.openxmlformats.org/officeDocument/2006/relationships/hyperlink" Target="https://www.google.com/url?q=https://www.infoarena.ro/problema/asmin&amp;sa=D&amp;ust=1605639799992000&amp;usg=AFQjCNFAtPugoobWna-PwdY_JIpTmyZBzA" TargetMode="External"/><Relationship Id="rId1989" Type="http://schemas.openxmlformats.org/officeDocument/2006/relationships/hyperlink" Target="https://www.google.com/url?q=https://github.com/mostafa-saad/MyCompetitiveProgramming/blob/master/Olympiad/POI/POI-10-Bridges.txt&amp;sa=D&amp;ust=1605639800720000&amp;usg=AFQjCNH8i6KDHpREh61wFzoyJSxXIgiO3w" TargetMode="External"/><Relationship Id="rId1849" Type="http://schemas.openxmlformats.org/officeDocument/2006/relationships/hyperlink" Target="https://www.google.com/url?q=https://github.com/mostafa-saad/MyCompetitiveProgramming/blob/master/Olympiad/COCI/official/2009/regional_solutions&amp;sa=D&amp;ust=1605639800608000&amp;usg=AFQjCNFjKlPUSp30KHRTikhDqJKkVT_8OQ" TargetMode="External"/><Relationship Id="rId192" Type="http://schemas.openxmlformats.org/officeDocument/2006/relationships/hyperlink" Target="https://www.google.com/url?q=https://github.com/mostafa-saad/MyCompetitiveProgramming/blob/master/Olympiad/POI/official/find_editorial_sols_guidelines.txt&amp;sa=D&amp;ust=1605639798786000&amp;usg=AFQjCNFISueVS5SHkJcH8HMB94wO81JIKw" TargetMode="External"/><Relationship Id="rId1709" Type="http://schemas.openxmlformats.org/officeDocument/2006/relationships/hyperlink" Target="https://www.google.com/url?q=https://szkopul.edu.pl/problemset/problem/TJVrS_hRC8W5Q6ZBW6mETAIm/site/&amp;sa=D&amp;ust=1605639800502000&amp;usg=AFQjCNHQfH6yVollTlTn8qTMSxzhCTzMHQ" TargetMode="External"/><Relationship Id="rId1916" Type="http://schemas.openxmlformats.org/officeDocument/2006/relationships/hyperlink" Target="https://www.google.com/url?q=https://github.com/mostafa-saad/MyCompetitiveProgramming/blob/master/Olympiad/NOI/official&amp;sa=D&amp;ust=1605639800694000&amp;usg=AFQjCNGw2WMKZCTOSw_IUMIVljAaucQXxw" TargetMode="External"/><Relationship Id="rId2080" Type="http://schemas.openxmlformats.org/officeDocument/2006/relationships/hyperlink" Target="https://www.google.com/url?q=https://training.ia-toki.org/problemsets/87/problems/445/&amp;sa=D&amp;ust=1605639800801000&amp;usg=AFQjCNGv1Qn0OVheuVmMg45J4RAtuXK1wg" TargetMode="External"/><Relationship Id="rId2897" Type="http://schemas.openxmlformats.org/officeDocument/2006/relationships/hyperlink" Target="https://www.google.com/url?q=https://joisc2014.contest.atcoder.jp/tasks/joisc2014_h&amp;sa=D&amp;ust=1605639802275000&amp;usg=AFQjCNGgfF0V1xRhbGR0aybEUeCUyBeY2g" TargetMode="External"/><Relationship Id="rId869" Type="http://schemas.openxmlformats.org/officeDocument/2006/relationships/hyperlink" Target="https://www.google.com/url?q=https://github.com/mostafa-saad/MyCompetitiveProgramming/blob/master/Olympiad/POI/POI-07-Quaternary.txt&amp;sa=D&amp;ust=1605639799875000&amp;usg=AFQjCNEBEffS0M9z8klEkuqc5iVCNrD3rQ" TargetMode="External"/><Relationship Id="rId1499" Type="http://schemas.openxmlformats.org/officeDocument/2006/relationships/hyperlink" Target="https://www.google.com/url?q=http://usaco.org/index.php?page%3Dviewproblem2%26cpid%3D514&amp;sa=D&amp;ust=1605639800380000&amp;usg=AFQjCNFbgZK1gzqaTNK126kpm9hyYYPSVA" TargetMode="External"/><Relationship Id="rId729" Type="http://schemas.openxmlformats.org/officeDocument/2006/relationships/hyperlink" Target="https://www.google.com/url?q=https://csacademy.com/contest/ceoi-2018-day-1/task/global-warming/&amp;sa=D&amp;ust=1605639799698000&amp;usg=AFQjCNEmDKhkHGab2t8BRIfnGWqm-95Vhg" TargetMode="External"/><Relationship Id="rId1359" Type="http://schemas.openxmlformats.org/officeDocument/2006/relationships/hyperlink" Target="https://www.google.com/url?q=https://oj.uz/problem/view/POI11_pat&amp;sa=D&amp;ust=1605639800278000&amp;usg=AFQjCNF__mcj4-5Mf_QJTEbw244sMcSdvw" TargetMode="External"/><Relationship Id="rId2757" Type="http://schemas.openxmlformats.org/officeDocument/2006/relationships/hyperlink" Target="https://www.google.com/url?q=https://dmoj.ca/problem/coci08c4p1&amp;sa=D&amp;ust=1605639802095000&amp;usg=AFQjCNH7jQ33NT0OJU8sq-_a7MuVV7YrsQ" TargetMode="External"/><Relationship Id="rId2964" Type="http://schemas.openxmlformats.org/officeDocument/2006/relationships/hyperlink" Target="https://www.google.com/url?q=https://szkopul.edu.pl/problemset/problem/qDH9CkBHZKHY4vbKRBlXPrA7/site/&amp;sa=D&amp;ust=1605639802372000&amp;usg=AFQjCNEugvKSlAaMFc05QiAMO8DR8YLUhw" TargetMode="External"/><Relationship Id="rId936" Type="http://schemas.openxmlformats.org/officeDocument/2006/relationships/hyperlink" Target="https://www.google.com/url?q=https://github.com/mostafa-saad/MyCompetitiveProgramming/blob/master/Olympiad/POI/POI-10-Sheep.txt&amp;sa=D&amp;ust=1605639799905000&amp;usg=AFQjCNFvYMOv-UVqSRENBq3y2SrhMqEmjg" TargetMode="External"/><Relationship Id="rId1219" Type="http://schemas.openxmlformats.org/officeDocument/2006/relationships/hyperlink" Target="https://www.google.com/url?q=https://oj.uz/problems/source/245&amp;sa=D&amp;ust=1605639800173000&amp;usg=AFQjCNEJ91xXxbrZEVVed2eFE9e1xbLfjQ" TargetMode="External"/><Relationship Id="rId1566" Type="http://schemas.openxmlformats.org/officeDocument/2006/relationships/hyperlink" Target="https://www.google.com/url?q=https://cses.fi/190/list/&amp;sa=D&amp;ust=1605639800406000&amp;usg=AFQjCNHdG01-fWcPiR3Z-EOzNFGyxLs5BQ" TargetMode="External"/><Relationship Id="rId1773" Type="http://schemas.openxmlformats.org/officeDocument/2006/relationships/hyperlink" Target="https://www.google.com/url?q=https://cses.fi/100/list/&amp;sa=D&amp;ust=1605639800576000&amp;usg=AFQjCNHcKzTXNfqiTR5T0me4VYjvcWqSMQ" TargetMode="External"/><Relationship Id="rId1980" Type="http://schemas.openxmlformats.org/officeDocument/2006/relationships/hyperlink" Target="https://www.google.com/url?q=https://github.com/mostafa-saad/MyCompetitiveProgramming/blob/master/Olympiad/APIO/APIO-17-merchant.txt&amp;sa=D&amp;ust=1605639800717000&amp;usg=AFQjCNEK_Iedf_olh_X4wCN80v23L3_Zqg" TargetMode="External"/><Relationship Id="rId2617" Type="http://schemas.openxmlformats.org/officeDocument/2006/relationships/hyperlink" Target="https://www.google.com/url?q=https://github.com/mostafa-saad/MyCompetitiveProgramming/tree/master/Olympiad/JOI/official/JOIOC/2018&amp;sa=D&amp;ust=1605639801975000&amp;usg=AFQjCNHmsqRJjx-izbxDkjsXXyNf0T8nRg" TargetMode="External"/><Relationship Id="rId2824" Type="http://schemas.openxmlformats.org/officeDocument/2006/relationships/hyperlink" Target="https://www.google.com/url?q=https://oj.uz/problem/view/COCI19_akvizna&amp;sa=D&amp;ust=1605639802178000&amp;usg=AFQjCNH9Pi-HsdAhvZuX85KbCtffE6OJ5g" TargetMode="External"/><Relationship Id="rId65" Type="http://schemas.openxmlformats.org/officeDocument/2006/relationships/hyperlink" Target="https://www.google.com/url?q=https://github.com/mostafa-saad/MyCompetitiveProgramming/blob/master/Olympiad/IOI/IOI-02-Utopia.txt&amp;sa=D&amp;ust=1605639798690000&amp;usg=AFQjCNEJOk7hO5N492Zs3uN9S0gynLNuQA" TargetMode="External"/><Relationship Id="rId1426" Type="http://schemas.openxmlformats.org/officeDocument/2006/relationships/hyperlink" Target="https://www.google.com/url?q=https://dunjudge.me/analysis/problems/693/&amp;sa=D&amp;ust=1605639800307000&amp;usg=AFQjCNE3YbdFUtw-FjPfxRxs9eNvnByO5g" TargetMode="External"/><Relationship Id="rId1633" Type="http://schemas.openxmlformats.org/officeDocument/2006/relationships/hyperlink" Target="https://www.google.com/url?q=https://github.com/mostafa-saad/MyCompetitiveProgramming/blob/master/Olympiad/Baltic/Baltic-11-Mirroring.txt&amp;sa=D&amp;ust=1605639800471000&amp;usg=AFQjCNE9ozByrcKjDHqhksFa8fkcszYOgA" TargetMode="External"/><Relationship Id="rId1840" Type="http://schemas.openxmlformats.org/officeDocument/2006/relationships/hyperlink" Target="https://www.google.com/url?q=https://oj.uz/problem/view/POI11_ins&amp;sa=D&amp;ust=1605639800605000&amp;usg=AFQjCNEgIQNnXCxSCtrwQfHYlXINSLg2xQ" TargetMode="External"/><Relationship Id="rId1700" Type="http://schemas.openxmlformats.org/officeDocument/2006/relationships/hyperlink" Target="https://www.google.com/url?q=https://szkopul.edu.pl/problemset/problem/cB5m-M5ddsFOWLds2CwcYKge/site/&amp;sa=D&amp;ust=1605639800498000&amp;usg=AFQjCNEmCaGopoppjuRSpcRXFYgM8gBk-Q" TargetMode="External"/><Relationship Id="rId379" Type="http://schemas.openxmlformats.org/officeDocument/2006/relationships/hyperlink" Target="https://www.google.com/url?q=https://dunjudge.me/analysis/problems/39/&amp;sa=D&amp;ust=1605639798976000&amp;usg=AFQjCNHPeEkE5wR88I6vumTZpoGHRpDVAQ" TargetMode="External"/><Relationship Id="rId586" Type="http://schemas.openxmlformats.org/officeDocument/2006/relationships/hyperlink" Target="https://www.google.com/url?q=https://cses.fi/114/list/&amp;sa=D&amp;ust=1605639799121000&amp;usg=AFQjCNFPeVD0LbSVW9ZCAkVm6GUL7jSenw" TargetMode="External"/><Relationship Id="rId793" Type="http://schemas.openxmlformats.org/officeDocument/2006/relationships/hyperlink" Target="https://www.google.com/url?q=http://usaco.org/index.php?page%3Dviewproblem2%26cpid%3D624&amp;sa=D&amp;ust=1605639799778000&amp;usg=AFQjCNFMIZYajyiTRkCOXuEvSz06Pi86_Q" TargetMode="External"/><Relationship Id="rId2267" Type="http://schemas.openxmlformats.org/officeDocument/2006/relationships/hyperlink" Target="https://www.google.com/url?q=https://oj.uz/problem/view/COCI17_sazetak&amp;sa=D&amp;ust=1605639801562000&amp;usg=AFQjCNFMgO0Dq4jeiI7tefTwv-YpFUnG5Q" TargetMode="External"/><Relationship Id="rId2474" Type="http://schemas.openxmlformats.org/officeDocument/2006/relationships/hyperlink" Target="https://www.google.com/url?q=https://github.com/mostafa-saad/MyCompetitiveProgramming/blob/master/Olympiad/CEOI/CEOI-02-Bugs.txt&amp;sa=D&amp;ust=1605639801799000&amp;usg=AFQjCNGTB0Dr2HLn1Iy8m-HQrFzcKRdLcg" TargetMode="External"/><Relationship Id="rId2681" Type="http://schemas.openxmlformats.org/officeDocument/2006/relationships/hyperlink" Target="https://www.google.com/url?q=https://www.acmicpc.net/problem/7087&amp;sa=D&amp;ust=1605639802003000&amp;usg=AFQjCNHQCIjR5p90yqy77bBHJevWwp3npQ" TargetMode="External"/><Relationship Id="rId239" Type="http://schemas.openxmlformats.org/officeDocument/2006/relationships/hyperlink" Target="https://www.google.com/url?q=https://oj.uz/problem/view/COCI18_timovi&amp;sa=D&amp;ust=1605639798804000&amp;usg=AFQjCNGEZIajNGNQRlkfbB6zoOurTCxqOg" TargetMode="External"/><Relationship Id="rId446" Type="http://schemas.openxmlformats.org/officeDocument/2006/relationships/hyperlink" Target="https://www.google.com/url?q=https://oj.uz/problem/view/IOI19_rect&amp;sa=D&amp;ust=1605639799005000&amp;usg=AFQjCNGakz8QDXKsqTuUCdN_JXBms3FXXw" TargetMode="External"/><Relationship Id="rId653" Type="http://schemas.openxmlformats.org/officeDocument/2006/relationships/hyperlink" Target="https://www.google.com/url?q=https://oj.uz/problem/view/IOI18_seats&amp;sa=D&amp;ust=1605639799645000&amp;usg=AFQjCNFcq1HiPE0lWIOREm7CKd9QeJGs1A" TargetMode="External"/><Relationship Id="rId1076" Type="http://schemas.openxmlformats.org/officeDocument/2006/relationships/hyperlink" Target="https://www.google.com/url?q=https://github.com/goar5670/CompetitiveProgramming/blob/master/USACO%252014dec-guard.cpp&amp;sa=D&amp;ust=1605639800013000&amp;usg=AFQjCNEPT4RoX_wj-VpO0W4jXh_KZThvZg" TargetMode="External"/><Relationship Id="rId1283" Type="http://schemas.openxmlformats.org/officeDocument/2006/relationships/hyperlink" Target="https://www.google.com/url?q=https://github.com/mostafa-saad/MyCompetitiveProgramming/blob/master/Olympiad/POI/POI-05-Fibonacci.txt&amp;sa=D&amp;ust=1605639800196000&amp;usg=AFQjCNFKCqxXSMTOYmCHUJg0SYZIhZ3UQQ" TargetMode="External"/><Relationship Id="rId1490" Type="http://schemas.openxmlformats.org/officeDocument/2006/relationships/hyperlink" Target="https://www.google.com/url?q=https://szkopul.edu.pl/problemset/problem/hwbyoUkNFPXQLOPcw3x5huTR/site/&amp;sa=D&amp;ust=1605639800377000&amp;usg=AFQjCNH5XU2OGm_HdYcm4yskqveawgJPMQ" TargetMode="External"/><Relationship Id="rId2127" Type="http://schemas.openxmlformats.org/officeDocument/2006/relationships/hyperlink" Target="https://www.google.com/url?q=https://dunjudge.me/analysis/problems/573/&amp;sa=D&amp;ust=1605639800819000&amp;usg=AFQjCNEmMhOi-DmEstF8psoNH-i5jzf9FQ" TargetMode="External"/><Relationship Id="rId2334" Type="http://schemas.openxmlformats.org/officeDocument/2006/relationships/hyperlink" Target="https://www.google.com/url?q=https://szkopul.edu.pl/problemset/problem/SbvfueoDtZe2DQFHrywTIakc/site/&amp;sa=D&amp;ust=1605639801610000&amp;usg=AFQjCNHIfrbF1RlX_G4GHdog3qhMsVVupg" TargetMode="External"/><Relationship Id="rId306" Type="http://schemas.openxmlformats.org/officeDocument/2006/relationships/hyperlink" Target="https://www.google.com/url?q=https://github.com/mostafa-saad/MyCompetitiveProgramming/tree/master/Olympiad/COCI/official/2008/contest6_solutions&amp;sa=D&amp;ust=1605639798885000&amp;usg=AFQjCNGHr6E7Ig5iVeXc0Kj-UzV018ZiNQ" TargetMode="External"/><Relationship Id="rId860" Type="http://schemas.openxmlformats.org/officeDocument/2006/relationships/hyperlink" Target="https://www.google.com/url?q=https://www.infoarena.ro/problema/turnuri&amp;sa=D&amp;ust=1605639799872000&amp;usg=AFQjCNElgIAvPjDiH7Z2amMD44FdwQrCyQ" TargetMode="External"/><Relationship Id="rId1143" Type="http://schemas.openxmlformats.org/officeDocument/2006/relationships/hyperlink" Target="https://www.google.com/url?q=https://oj.uz/problem/view/NOI12_walking&amp;sa=D&amp;ust=1605639800089000&amp;usg=AFQjCNEnOsvQ8Zbxg2Ie7OU2VL9bEKKN_Q" TargetMode="External"/><Relationship Id="rId2541" Type="http://schemas.openxmlformats.org/officeDocument/2006/relationships/hyperlink" Target="https://www.google.com/url?q=https://oj.uz/problem/view/IOI11_race&amp;sa=D&amp;ust=1605639801875000&amp;usg=AFQjCNFok5sfZ8TxhzWj0B2JQ9pno39xJg" TargetMode="External"/><Relationship Id="rId513" Type="http://schemas.openxmlformats.org/officeDocument/2006/relationships/hyperlink" Target="https://www.google.com/url?q=https://github.com/mostafa-saad/MyCompetitiveProgramming/tree/master/Olympiad/MCO/official&amp;sa=D&amp;ust=1605639799091000&amp;usg=AFQjCNFqe_MysSH2NJXZ2tsFRz2OAhU4Xw" TargetMode="External"/><Relationship Id="rId720" Type="http://schemas.openxmlformats.org/officeDocument/2006/relationships/hyperlink" Target="https://www.google.com/url?q=https://oj.uz/problem/view/COI15_dostava&amp;sa=D&amp;ust=1605639799690000&amp;usg=AFQjCNGXqIYP_Uq67I9WVGmXbJ0NSfMhEQ" TargetMode="External"/><Relationship Id="rId1350" Type="http://schemas.openxmlformats.org/officeDocument/2006/relationships/hyperlink" Target="https://www.google.com/url?q=https://contest.yandex.ru/ioi/contest/560/enter/&amp;sa=D&amp;ust=1605639800267000&amp;usg=AFQjCNEJu2Y4RX7btMEQ-tYvs8BXxwpx5A" TargetMode="External"/><Relationship Id="rId2401" Type="http://schemas.openxmlformats.org/officeDocument/2006/relationships/hyperlink" Target="https://www.google.com/url?q=https://dmoj.ca/problem/coci15c4p1&amp;sa=D&amp;ust=1605639801707000&amp;usg=AFQjCNFlfkyC81Mic_kx1g3xiBO4o1vLig" TargetMode="External"/><Relationship Id="rId1003" Type="http://schemas.openxmlformats.org/officeDocument/2006/relationships/hyperlink" Target="https://www.google.com/url?q=https://github.com/mostafa-saad/MyCompetitiveProgramming/tree/master/Olympiad/Baltic/official/boi2019_solutions&amp;sa=D&amp;ust=1605639799982000&amp;usg=AFQjCNHyW-usaFOUUyHpXIhEOowDQur9JA" TargetMode="External"/><Relationship Id="rId1210" Type="http://schemas.openxmlformats.org/officeDocument/2006/relationships/hyperlink" Target="https://www.google.com/url?q=https://github.com/mostafa-saad/MyCompetitiveProgramming/tree/master/Olympiad/COCI/official/2007/contest1_solutions&amp;sa=D&amp;ust=1605639800169000&amp;usg=AFQjCNE6CTzkHmGHg_upVbSGqwCr_ifusg" TargetMode="External"/><Relationship Id="rId2191" Type="http://schemas.openxmlformats.org/officeDocument/2006/relationships/hyperlink" Target="https://www.google.com/url?q=https://dmoj.ca/problem/nccc6s1&amp;sa=D&amp;ust=1605639800884000&amp;usg=AFQjCNHwteYXk5aHbakT-EcwBFnDVpOuSQ" TargetMode="External"/><Relationship Id="rId163" Type="http://schemas.openxmlformats.org/officeDocument/2006/relationships/hyperlink" Target="https://www.google.com/url?q=http://usaco.org/index.php?page%3Dviewproblem2%26cpid%3D923&amp;sa=D&amp;ust=1605639798776000&amp;usg=AFQjCNFiOgZhhesFTacid-J10qu8K71trw" TargetMode="External"/><Relationship Id="rId370" Type="http://schemas.openxmlformats.org/officeDocument/2006/relationships/hyperlink" Target="https://www.google.com/url?q=https://dmoj.ca/problem/coci14c1p3&amp;sa=D&amp;ust=1605639798912000&amp;usg=AFQjCNH6Z9ivA8CzeSEkk8rEcaHvpHdUHQ" TargetMode="External"/><Relationship Id="rId2051" Type="http://schemas.openxmlformats.org/officeDocument/2006/relationships/hyperlink" Target="https://www.google.com/url?q=https://github.com/mostafa-saad/MyCompetitiveProgramming/blob/master/Olympiad/POI/POI-16-Streets.txt&amp;sa=D&amp;ust=1605639800790000&amp;usg=AFQjCNGvPrk38lltZgxyU8GMRe-pUZRRlw" TargetMode="External"/><Relationship Id="rId230" Type="http://schemas.openxmlformats.org/officeDocument/2006/relationships/hyperlink" Target="https://www.google.com/url?q=https://github.com/dolphingarlic/CompetitiveProgramming/blob/master/JOI/JOI%252020-neckties.cpp&amp;sa=D&amp;ust=1605639798801000&amp;usg=AFQjCNFd50kuMmTMakLytqK6M0o640hJCw" TargetMode="External"/><Relationship Id="rId2868" Type="http://schemas.openxmlformats.org/officeDocument/2006/relationships/hyperlink" Target="https://www.google.com/url?q=http://poj.org/problem?id%3D1196&amp;sa=D&amp;ust=1605639802205000&amp;usg=AFQjCNEqKFES0-AT5ZGpLGRqylDX0np0ig" TargetMode="External"/><Relationship Id="rId1677" Type="http://schemas.openxmlformats.org/officeDocument/2006/relationships/hyperlink" Target="https://www.google.com/url?q=https://cses.fi/194/list/&amp;sa=D&amp;ust=1605639800490000&amp;usg=AFQjCNFuJGjjYDmvpmDC5nG5vKBUr45sXA" TargetMode="External"/><Relationship Id="rId1884" Type="http://schemas.openxmlformats.org/officeDocument/2006/relationships/hyperlink" Target="https://www.google.com/url?q=https://oj.uz/problem/view/APIO15_skyscraper&amp;sa=D&amp;ust=1605639800681000&amp;usg=AFQjCNE0M6eZEmKXaNdcj9-sAbW1lL7kXA" TargetMode="External"/><Relationship Id="rId2728" Type="http://schemas.openxmlformats.org/officeDocument/2006/relationships/hyperlink" Target="https://www.google.com/url?q=https://github.com/mostafa-saad/MyCompetitiveProgramming/tree/master/Olympiad/COCI/official/2007/contest5_solutions&amp;sa=D&amp;ust=1605639802085000&amp;usg=AFQjCNH0HG1Sl-fBtvsp1Tjar5ZGfmg0uQ" TargetMode="External"/><Relationship Id="rId2935" Type="http://schemas.openxmlformats.org/officeDocument/2006/relationships/hyperlink" Target="https://www.google.com/url?q=https://dunjudge.me/analysis/problems/1499/&amp;sa=D&amp;ust=1605639802300000&amp;usg=AFQjCNHLOaEqcqTXAEtFAKf37XehYXbm_Q" TargetMode="External"/><Relationship Id="rId907" Type="http://schemas.openxmlformats.org/officeDocument/2006/relationships/hyperlink" Target="https://www.google.com/url?q=https://github.com/mostafa-saad/MyCompetitiveProgramming/blob/master/Olympiad/NOI/NOI-11-tour.txt&amp;sa=D&amp;ust=1605639799893000&amp;usg=AFQjCNHTXxHatFAbyCzlEjNTLWFzk6R5lA" TargetMode="External"/><Relationship Id="rId1537" Type="http://schemas.openxmlformats.org/officeDocument/2006/relationships/hyperlink" Target="https://www.google.com/url?q=https://oj.uz/problem/view/COCI17_doktor&amp;sa=D&amp;ust=1605639800394000&amp;usg=AFQjCNGZOK9WbGRVTCshyv3FEyiRPqvifQ" TargetMode="External"/><Relationship Id="rId1744" Type="http://schemas.openxmlformats.org/officeDocument/2006/relationships/hyperlink" Target="https://www.google.com/url?q=https://github.com/mostafa-saad/MyCompetitiveProgramming/blob/master/Olympiad/POI/official/find_editorial_sols_guidelines.txt&amp;sa=D&amp;ust=1605639800565000&amp;usg=AFQjCNGsR2wdgGJMie-r1zKTaqKbuZ7qkQ" TargetMode="External"/><Relationship Id="rId1951" Type="http://schemas.openxmlformats.org/officeDocument/2006/relationships/hyperlink" Target="https://www.google.com/url?q=https://github.com/mostafa-saad/MyCompetitiveProgramming/blob/master/Olympiad/CEOI/COCI-14-Suma.txt&amp;sa=D&amp;ust=1605639800706000&amp;usg=AFQjCNH9yVANJGHPl9nuZPxDxYAPwht0sA" TargetMode="External"/><Relationship Id="rId36" Type="http://schemas.openxmlformats.org/officeDocument/2006/relationships/hyperlink" Target="https://www.google.com/url?q=https://szkopul.edu.pl/problemset/problem/YbQn6MpKAzvIhTNUXtp_ypXQ/site/&amp;sa=D&amp;ust=1605639798677000&amp;usg=AFQjCNFRY1MQin59OExqljP_eG26tqaK3g" TargetMode="External"/><Relationship Id="rId1604" Type="http://schemas.openxmlformats.org/officeDocument/2006/relationships/hyperlink" Target="https://www.google.com/url?q=https://github.com/mostafa-saad/MyCompetitiveProgramming/blob/master/Olympiad/COCI/official/2013/contest3_solutions&amp;sa=D&amp;ust=1605639800420000&amp;usg=AFQjCNEqCvXdQFHjF3ora_dS70jNlImGZA" TargetMode="External"/><Relationship Id="rId1811" Type="http://schemas.openxmlformats.org/officeDocument/2006/relationships/hyperlink" Target="https://www.google.com/url?q=https://github.com/mostafa-saad/MyCompetitiveProgramming/blob/master/Olympiad/infoarena/infoarena-paintball.txt&amp;sa=D&amp;ust=1605639800594000&amp;usg=AFQjCNFy9Ht-ClShCbRum9LUO44_bzqdmQ" TargetMode="External"/><Relationship Id="rId697" Type="http://schemas.openxmlformats.org/officeDocument/2006/relationships/hyperlink" Target="https://www.google.com/url?q=https://github.com/mostafa-saad/MyCompetitiveProgramming/blob/master/Olympiad/POI/POI-09-Ice_Skates.txt&amp;sa=D&amp;ust=1605639799673000&amp;usg=AFQjCNGZHmYQx0QSbYQqgLOFnK_iM6d39Q" TargetMode="External"/><Relationship Id="rId2378" Type="http://schemas.openxmlformats.org/officeDocument/2006/relationships/hyperlink" Target="https://www.google.com/url?q=https://codeforces.com/group/swEqtABRxe/contest/227527/problem/B&amp;sa=D&amp;ust=1605639801691000&amp;usg=AFQjCNEljgIKKaSHs4og8fiKhs6L_QCHVQ" TargetMode="External"/><Relationship Id="rId1187" Type="http://schemas.openxmlformats.org/officeDocument/2006/relationships/hyperlink" Target="https://www.google.com/url?q=https://cses.fi/186/list/&amp;sa=D&amp;ust=1605639800114000&amp;usg=AFQjCNH76kzoVd2GNARrgQXbXWhlPeaWPA" TargetMode="External"/><Relationship Id="rId2585" Type="http://schemas.openxmlformats.org/officeDocument/2006/relationships/hyperlink" Target="https://www.google.com/url?q=https://github.com/mostafa-saad/MyCompetitiveProgramming/blob/master/Olympiad/NOI/NOI-19-feast.txt&amp;sa=D&amp;ust=1605639801897000&amp;usg=AFQjCNHAHlaf-1VugwVr4mpdGUixOQApwg" TargetMode="External"/><Relationship Id="rId2792" Type="http://schemas.openxmlformats.org/officeDocument/2006/relationships/hyperlink" Target="https://www.google.com/url?q=https://github.com/mostafa-saad/MyCompetitiveProgramming/blob/master/Olympiad/COCI/official/2010/contest4_solutions&amp;sa=D&amp;ust=1605639802111000&amp;usg=AFQjCNGlgqXi-dIUpNDKzGh9kdnlUbf0sg" TargetMode="External"/><Relationship Id="rId557" Type="http://schemas.openxmlformats.org/officeDocument/2006/relationships/hyperlink" Target="https://www.google.com/url?q=https://github.com/mostafa-saad/MyCompetitiveProgramming/blob/master/Olympiad/IOI/IOI-15-sorting.txt&amp;sa=D&amp;ust=1605639799109000&amp;usg=AFQjCNFGw8S8Z8toclw9J3-8PQ_q9oYiIw" TargetMode="External"/><Relationship Id="rId764" Type="http://schemas.openxmlformats.org/officeDocument/2006/relationships/hyperlink" Target="https://www.google.com/url?q=https://github.com/mostafa-saad/MyCompetitiveProgramming/blob/master/Olympiad/COI/COI-08-Cvjetici.txt&amp;sa=D&amp;ust=1605639799714000&amp;usg=AFQjCNHri6MwNZ9_y8RAL8q98y_BExE4fg" TargetMode="External"/><Relationship Id="rId971" Type="http://schemas.openxmlformats.org/officeDocument/2006/relationships/hyperlink" Target="https://www.google.com/url?q=https://github.com/mostafa-saad/MyCompetitiveProgramming/blob/master/Olympiad/CEOI/COCI-09-Kaboom&amp;sa=D&amp;ust=1605639799967000&amp;usg=AFQjCNFYiUeBS-2Xyib9NmiH-yomW9ko0g" TargetMode="External"/><Relationship Id="rId1394" Type="http://schemas.openxmlformats.org/officeDocument/2006/relationships/hyperlink" Target="https://www.google.com/url?q=https://github.com/stefdasca/CompetitiveProgramming/blob/master/Infoarena/danger.cpp&amp;sa=D&amp;ust=1605639800293000&amp;usg=AFQjCNFPhA80Ap-81Jz6s5H26-P5yNhCYw" TargetMode="External"/><Relationship Id="rId2238" Type="http://schemas.openxmlformats.org/officeDocument/2006/relationships/hyperlink" Target="https://www.google.com/url?q=https://www.infoarena.ro/problema/porcjoc&amp;sa=D&amp;ust=1605639800904000&amp;usg=AFQjCNG3ouEKUhHXCl5nTcwaHGZR4XWMKg" TargetMode="External"/><Relationship Id="rId2445" Type="http://schemas.openxmlformats.org/officeDocument/2006/relationships/hyperlink" Target="https://www.google.com/url?q=https://github.com/mostafa-saad/MyCompetitiveProgramming/blob/master/Olympiad/IOI/IOI-08-linear.txt&amp;sa=D&amp;ust=1605639801787000&amp;usg=AFQjCNHHiuVJERxHrL80_qx5V76cUnHQYw" TargetMode="External"/><Relationship Id="rId2652" Type="http://schemas.openxmlformats.org/officeDocument/2006/relationships/hyperlink" Target="https://www.google.com/url?q=https://github.com/stefdasca/CompetitiveProgramming/blob/master/Infoarena/posta2.cpp&amp;sa=D&amp;ust=1605639801988000&amp;usg=AFQjCNErtjckEuKlQVC3vbwKPGHOBBCkjQ" TargetMode="External"/><Relationship Id="rId417" Type="http://schemas.openxmlformats.org/officeDocument/2006/relationships/hyperlink" Target="https://www.google.com/url?q=https://github.com/mostafa-saad/MyCompetitiveProgramming/blob/master/Olympiad/Baltic/official/boi2011_solutions&amp;sa=D&amp;ust=1605639798992000&amp;usg=AFQjCNGuVR2GO-GBTYSZeSquN8D_lzdnlw" TargetMode="External"/><Relationship Id="rId624" Type="http://schemas.openxmlformats.org/officeDocument/2006/relationships/hyperlink" Target="https://www.google.com/url?q=https://dmoj.ca/contest/cco18d2&amp;sa=D&amp;ust=1605639799171000&amp;usg=AFQjCNGmpZwZw2gq-ZHlPt7vSVfP5sk-Bw" TargetMode="External"/><Relationship Id="rId831" Type="http://schemas.openxmlformats.org/officeDocument/2006/relationships/hyperlink" Target="https://www.google.com/url?q=https://github.com/mostafa-saad/MyCompetitiveProgramming/blob/master/Olympiad/COCI/COCI-08-Krtica.txt&amp;sa=D&amp;ust=1605639799797000&amp;usg=AFQjCNH3tl3SCJq5QkE9bYnQhE0o5ng2fQ" TargetMode="External"/><Relationship Id="rId1047" Type="http://schemas.openxmlformats.org/officeDocument/2006/relationships/hyperlink" Target="https://www.google.com/url?q=https://github.com/mostafa-saad/MyCompetitiveProgramming/blob/master/Olympiad/IOI/official/2004&amp;sa=D&amp;ust=1605639800000000&amp;usg=AFQjCNEMgaDZj_L7MgurdP9Uh2FwmvCjyA" TargetMode="External"/><Relationship Id="rId1254" Type="http://schemas.openxmlformats.org/officeDocument/2006/relationships/hyperlink" Target="https://www.google.com/url?q=https://github.com/luciocf/OI-Problems/blob/master/COCI/COCI%25202017-2018/cover.cpp&amp;sa=D&amp;ust=1605639800186000&amp;usg=AFQjCNE_PVN2GQhlHbQ_1Xtgehz1EkxqLg" TargetMode="External"/><Relationship Id="rId1461" Type="http://schemas.openxmlformats.org/officeDocument/2006/relationships/hyperlink" Target="https://www.google.com/url?q=https://github.com/mostafa-saad/MyCompetitiveProgramming/blob/master/Olympiad/IOI/IOI-05-game.txt&amp;sa=D&amp;ust=1605639800366000&amp;usg=AFQjCNHudfoIs2Xdevzug6z3DvCD03thDg" TargetMode="External"/><Relationship Id="rId2305" Type="http://schemas.openxmlformats.org/officeDocument/2006/relationships/hyperlink" Target="https://www.google.com/url?q=https://csacademy.com/contest/rmi-2017-day-1/task/hangman2/&amp;sa=D&amp;ust=1605639801593000&amp;usg=AFQjCNHoq0RTps90piP7n1hNpvtva4_q4g" TargetMode="External"/><Relationship Id="rId2512" Type="http://schemas.openxmlformats.org/officeDocument/2006/relationships/hyperlink" Target="https://www.google.com/url?q=https://github.com/mostafa-saad/MyCompetitiveProgramming/blob/master/Olympiad/MCO/MCO-16-town_planning.txt&amp;sa=D&amp;ust=1605639801813000&amp;usg=AFQjCNGYPQM9nmsDrNYxRkVDuvi9QBYTOA" TargetMode="External"/><Relationship Id="rId1114" Type="http://schemas.openxmlformats.org/officeDocument/2006/relationships/hyperlink" Target="https://www.google.com/url?q=https://github.com/mostafa-saad/MyCompetitiveProgramming/blob/master/Olympiad/NOI/official&amp;sa=D&amp;ust=1605639800076000&amp;usg=AFQjCNGsXsa_F84TyAM8JQ3zeBit5TN4-g" TargetMode="External"/><Relationship Id="rId1321" Type="http://schemas.openxmlformats.org/officeDocument/2006/relationships/hyperlink" Target="https://www.google.com/url?q=https://szkopul.edu.pl/problemset/problem/zWn2E-v-nn-bozeXQrykmCgD/site/&amp;sa=D&amp;ust=1605639800210000&amp;usg=AFQjCNGCcDFbbRlglTuBpLoltyQgzNJYKg" TargetMode="External"/><Relationship Id="rId2095" Type="http://schemas.openxmlformats.org/officeDocument/2006/relationships/hyperlink" Target="https://www.google.com/url?q=https://oj.uz/problem/view/IZhO18_treearray&amp;sa=D&amp;ust=1605639800807000&amp;usg=AFQjCNHarhunNLljADvOiKdEmIx0P880-A" TargetMode="External"/><Relationship Id="rId274" Type="http://schemas.openxmlformats.org/officeDocument/2006/relationships/hyperlink" Target="https://www.google.com/url?q=https://github.com/mostafa-saad/MyCompetitiveProgramming/blob/master/Olympiad/COCI/official/2009/contest5_solutions&amp;sa=D&amp;ust=1605639798872000&amp;usg=AFQjCNGV9rfwiav9NqNE_d5CxLrXYOb0Cw" TargetMode="External"/><Relationship Id="rId481" Type="http://schemas.openxmlformats.org/officeDocument/2006/relationships/hyperlink" Target="https://www.google.com/url?q=https://wcipeg.com/problem/coci093p5&amp;sa=D&amp;ust=1605639799018000&amp;usg=AFQjCNGn1NFxVWrAVmyf1unghkPB5Q1J_A" TargetMode="External"/><Relationship Id="rId2162" Type="http://schemas.openxmlformats.org/officeDocument/2006/relationships/hyperlink" Target="https://www.google.com/url?q=https://dmoj.ca/problem/fibonacci2&amp;sa=D&amp;ust=1605639800872000&amp;usg=AFQjCNHDB6yLB4ujTy6C12SmFeE3CADBgQ" TargetMode="External"/><Relationship Id="rId3006" Type="http://schemas.openxmlformats.org/officeDocument/2006/relationships/hyperlink" Target="https://www.google.com/url?q=https://szkopul.edu.pl/problemset/problem/NZSCUwz2ACePsBKuVCIVzrRt/site/&amp;sa=D&amp;ust=1605639802394000&amp;usg=AFQjCNHIUKNkhgKrf5c3dvnAbxwMsd-iWQ" TargetMode="External"/><Relationship Id="rId134" Type="http://schemas.openxmlformats.org/officeDocument/2006/relationships/hyperlink" Target="https://www.google.com/url?q=https://oj.uz/problem/view/COCI19_parametriziran&amp;sa=D&amp;ust=1605639798727000&amp;usg=AFQjCNEsCbwIhYjEOZ-O_FE5sngIMTXuFQ" TargetMode="External"/><Relationship Id="rId341" Type="http://schemas.openxmlformats.org/officeDocument/2006/relationships/hyperlink" Target="https://www.google.com/url?q=https://github.com/mostafa-saad/MyCompetitiveProgramming/blob/master/Olympiad/COCI/official/2013/contest1_solutions&amp;sa=D&amp;ust=1605639798901000&amp;usg=AFQjCNFKUOhmqnLYHhM9w_HQprg0DKFsow" TargetMode="External"/><Relationship Id="rId2022" Type="http://schemas.openxmlformats.org/officeDocument/2006/relationships/hyperlink" Target="https://www.google.com/url?q=https://github.com/mostafa-saad/MyCompetitiveProgramming/blob/master/Olympiad/IOI/IOI-10-saveit.txt&amp;sa=D&amp;ust=1605639800778000&amp;usg=AFQjCNG9J7vDYCGhxaBj1KCCR7hSfHI6JA" TargetMode="External"/><Relationship Id="rId2979" Type="http://schemas.openxmlformats.org/officeDocument/2006/relationships/hyperlink" Target="https://www.google.com/url?q=https://szkopul.edu.pl/problemset/problem/2yK6zUTXvAjhxSDfbjE4Zx7k/site/&amp;sa=D&amp;ust=1605639802380000&amp;usg=AFQjCNG7i5NcC-9JYo_ljYY_NfrmUZNkgQ" TargetMode="External"/><Relationship Id="rId201" Type="http://schemas.openxmlformats.org/officeDocument/2006/relationships/hyperlink" Target="https://www.google.com/url?q=https://github.com/stefdasca/CompetitiveProgramming/blob/master/Infoarena/bile6.cpp&amp;sa=D&amp;ust=1605639798790000&amp;usg=AFQjCNGC5fFdJnCXzwDFmCYr3oHZCltjBQ" TargetMode="External"/><Relationship Id="rId1788" Type="http://schemas.openxmlformats.org/officeDocument/2006/relationships/hyperlink" Target="https://www.google.com/url?q=https://oj.uz/problem/view/NOI18_citymapping&amp;sa=D&amp;ust=1605639800587000&amp;usg=AFQjCNGziKHaq5GzygpNouImoIRq4hO7-A" TargetMode="External"/><Relationship Id="rId1995" Type="http://schemas.openxmlformats.org/officeDocument/2006/relationships/hyperlink" Target="https://www.google.com/url?q=https://github.com/LeTrongDat/CompetitiveProgramming/blob/master/IZhO/IZhO14-marriage.cpp&amp;sa=D&amp;ust=1605639800722000&amp;usg=AFQjCNHRB6j4ib52ujFOQw54Hn3iM0UvIA" TargetMode="External"/><Relationship Id="rId2839" Type="http://schemas.openxmlformats.org/officeDocument/2006/relationships/hyperlink" Target="https://www.google.com/url?q=https://dmoj.ca/problem/gfssoc2s4&amp;sa=D&amp;ust=1605639802188000&amp;usg=AFQjCNGOdjNuE4FjDDsgpF1LLPQPslJQJw" TargetMode="External"/><Relationship Id="rId1648" Type="http://schemas.openxmlformats.org/officeDocument/2006/relationships/hyperlink" Target="https://www.google.com/url?q=https://szkopul.edu.pl/problemset/problem/J5f8YHtUsaMdtOdfx0QoHKe0/site/?key%3Dstatement&amp;sa=D&amp;ust=1605639800479000&amp;usg=AFQjCNFXygcO6EgUqubTyaTlVkdsR7AnnQ" TargetMode="External"/><Relationship Id="rId1508" Type="http://schemas.openxmlformats.org/officeDocument/2006/relationships/hyperlink" Target="https://www.google.com/url?q=https://dmoj.ca/problem/coci07c2p6&amp;sa=D&amp;ust=1605639800383000&amp;usg=AFQjCNGzasPXjC8PB7eehiDfj4Y5zFJSow" TargetMode="External"/><Relationship Id="rId1855" Type="http://schemas.openxmlformats.org/officeDocument/2006/relationships/hyperlink" Target="https://www.google.com/url?q=https://dunjudge.me/analysis/problems/188/&amp;sa=D&amp;ust=1605639800668000&amp;usg=AFQjCNFPS0DvqZDPlzF6lytLdMgi9Rraew" TargetMode="External"/><Relationship Id="rId2906" Type="http://schemas.openxmlformats.org/officeDocument/2006/relationships/hyperlink" Target="https://www.google.com/url?q=https://joisc2015.contest.atcoder.jp/tasks/joisc2015_e&amp;sa=D&amp;ust=1605639802283000&amp;usg=AFQjCNGcD0YOBFASNXNeATatTO8RUqjeOA" TargetMode="External"/><Relationship Id="rId1715" Type="http://schemas.openxmlformats.org/officeDocument/2006/relationships/hyperlink" Target="https://www.google.com/url?q=https://oj.uz/problem/view/COI16_dijament&amp;sa=D&amp;ust=1605639800504000&amp;usg=AFQjCNFFF0cI78U1uZtBLhp8iSZlpA-sxw" TargetMode="External"/><Relationship Id="rId1922" Type="http://schemas.openxmlformats.org/officeDocument/2006/relationships/hyperlink" Target="https://www.google.com/url?q=https://github.com/mostafa-saad/MyCompetitiveProgramming/blob/master/Olympiad/IOI/IOI-18-Werewolf.txt&amp;sa=D&amp;ust=1605639800696000&amp;usg=AFQjCNHRO_OpOdYrvaREVSAmmiq4R-sXhg" TargetMode="External"/><Relationship Id="rId2489" Type="http://schemas.openxmlformats.org/officeDocument/2006/relationships/hyperlink" Target="https://www.google.com/url?q=https://github.com/fyquah95/ioi-malaysia-2016-training-camp&amp;sa=D&amp;ust=1605639801806000&amp;usg=AFQjCNF1YT2QIvcf7FafYk_azFuPHx8P_w" TargetMode="External"/><Relationship Id="rId2696" Type="http://schemas.openxmlformats.org/officeDocument/2006/relationships/hyperlink" Target="https://www.google.com/url?q=https://dmoj.ca/contest/cco18d1&amp;sa=D&amp;ust=1605639802010000&amp;usg=AFQjCNESiGM22B7sNs4SLrW9HRVEXIiL5A" TargetMode="External"/><Relationship Id="rId668" Type="http://schemas.openxmlformats.org/officeDocument/2006/relationships/hyperlink" Target="https://www.google.com/url?q=https://oj.uz/problem/view/IZhO12_apple&amp;sa=D&amp;ust=1605639799660000&amp;usg=AFQjCNFMfGKpjuGHrGg4004BnYtewkV3LA" TargetMode="External"/><Relationship Id="rId875" Type="http://schemas.openxmlformats.org/officeDocument/2006/relationships/hyperlink" Target="https://www.google.com/url?q=https://github.com/mostafa-saad/MyCompetitiveProgramming/blob/master/Olympiad/POI/POI-06-Aesthetics.txt&amp;sa=D&amp;ust=1605639799877000&amp;usg=AFQjCNE1jOh1Dphs81QjEXWAKgUUU0vUSQ" TargetMode="External"/><Relationship Id="rId1298" Type="http://schemas.openxmlformats.org/officeDocument/2006/relationships/hyperlink" Target="https://www.google.com/url?q=https://csacademy.com/contest/junior-challenge-2017-day-1/task/palindromic-tree/&amp;sa=D&amp;ust=1605639800203000&amp;usg=AFQjCNHPTS9_BbgD7I3vkGaQM3UR-1gJaA" TargetMode="External"/><Relationship Id="rId2349" Type="http://schemas.openxmlformats.org/officeDocument/2006/relationships/hyperlink" Target="https://www.google.com/url?q=https://github.com/mushisgosuuu/oj-solutions/blob/master/BOI/network2014.cpp&amp;sa=D&amp;ust=1605639801615000&amp;usg=AFQjCNGhEFuCALquauA7rK4F-3c-Xt5lfw" TargetMode="External"/><Relationship Id="rId2556" Type="http://schemas.openxmlformats.org/officeDocument/2006/relationships/hyperlink" Target="https://www.google.com/url?q=https://oj.uz/problems/source/315&amp;sa=D&amp;ust=1605639801881000&amp;usg=AFQjCNEv5AnVIQKqtvZD1pd-mOkOHL4ikg" TargetMode="External"/><Relationship Id="rId2763" Type="http://schemas.openxmlformats.org/officeDocument/2006/relationships/hyperlink" Target="https://www.google.com/url?q=https://dmoj.ca/problem/coci08c1p2&amp;sa=D&amp;ust=1605639802099000&amp;usg=AFQjCNH8UzjqHwS6Vuz3jcA4e5LBuNNmEg" TargetMode="External"/><Relationship Id="rId2970" Type="http://schemas.openxmlformats.org/officeDocument/2006/relationships/hyperlink" Target="https://www.google.com/url?q=https://szkopul.edu.pl/problemset/problem/MZTXfOVnJmac175TTH5Lr9Q3/site/&amp;sa=D&amp;ust=1605639802374000&amp;usg=AFQjCNHF8HrvBSfrAbkvOQE-zyn2ijoNHg" TargetMode="External"/><Relationship Id="rId528" Type="http://schemas.openxmlformats.org/officeDocument/2006/relationships/hyperlink" Target="https://www.google.com/url?q=https://github.com/mostafa-saad/MyCompetitiveProgramming/tree/master/Olympiad/COCI/official/2007/contest2_solutions&amp;sa=D&amp;ust=1605639799098000&amp;usg=AFQjCNEplHKbjkz6rOCv6tUd4oEPT81x-w" TargetMode="External"/><Relationship Id="rId735" Type="http://schemas.openxmlformats.org/officeDocument/2006/relationships/hyperlink" Target="https://www.google.com/url?q=https://www.infoarena.ro/problema/minuni&amp;sa=D&amp;ust=1605639799702000&amp;usg=AFQjCNFCZxzEf2oslFzVC1dUwo7Zd12m8g" TargetMode="External"/><Relationship Id="rId942" Type="http://schemas.openxmlformats.org/officeDocument/2006/relationships/hyperlink" Target="https://www.google.com/url?q=https://github.com/mostafa-saad/MyCompetitiveProgramming/blob/master/Olympiad/Baltic/official/boi2010_solutions&amp;sa=D&amp;ust=1605639799908000&amp;usg=AFQjCNEWpHIDdgg2ugKJXnCYg4WaZ4M7YA" TargetMode="External"/><Relationship Id="rId1158" Type="http://schemas.openxmlformats.org/officeDocument/2006/relationships/hyperlink" Target="https://www.google.com/url?q=https://dunjudge.me/analysis/problems/419/&amp;sa=D&amp;ust=1605639800095000&amp;usg=AFQjCNGDFTRIWUcqPmaR-GK2D7yexARZYQ" TargetMode="External"/><Relationship Id="rId1365" Type="http://schemas.openxmlformats.org/officeDocument/2006/relationships/hyperlink" Target="https://www.google.com/url?q=https://github.com/stefdasca/CompetitiveProgramming/blob/master/IZhO/IZhO%252017-money.cpp&amp;sa=D&amp;ust=1605639800280000&amp;usg=AFQjCNF0LER_wzX3HRO1oXrRKZ5msb4mkw" TargetMode="External"/><Relationship Id="rId1572" Type="http://schemas.openxmlformats.org/officeDocument/2006/relationships/hyperlink" Target="https://www.google.com/url?q=https://github.com/mostafa-saad/MyCompetitiveProgramming/tree/master/Olympiad/Balkan/official/2016&amp;sa=D&amp;ust=1605639800408000&amp;usg=AFQjCNG3ZDQ-eVQfliqtfMVywOG-ZwE-Kw" TargetMode="External"/><Relationship Id="rId2209" Type="http://schemas.openxmlformats.org/officeDocument/2006/relationships/hyperlink" Target="https://www.google.com/url?q=https://szkopul.edu.pl/problemset/problem/oTpPdueVv1-3g247_-ejjcR_/site/&amp;sa=D&amp;ust=1605639800893000&amp;usg=AFQjCNEMV18V-7v829wsCuP0iUaqWfccKA" TargetMode="External"/><Relationship Id="rId2416" Type="http://schemas.openxmlformats.org/officeDocument/2006/relationships/hyperlink" Target="https://www.google.com/url?q=https://oj.uz/problem/view/IOI16_molecules&amp;sa=D&amp;ust=1605639801776000&amp;usg=AFQjCNGM7pFcEEJdpQHpNzqqhx3CvBVBIA" TargetMode="External"/><Relationship Id="rId2623" Type="http://schemas.openxmlformats.org/officeDocument/2006/relationships/hyperlink" Target="https://www.google.com/url?q=https://github.com/mostafa-saad/MyCompetitiveProgramming/blob/master/Olympiad/infoarena/Infoarena_tricolor.txt&amp;sa=D&amp;ust=1605639801977000&amp;usg=AFQjCNGpKzM2zX-ERNg_sKFeqqGsEWL4uQ" TargetMode="External"/><Relationship Id="rId1018" Type="http://schemas.openxmlformats.org/officeDocument/2006/relationships/hyperlink" Target="https://www.google.com/url?q=https://github.com/mostafa-saad/MyCompetitiveProgramming/blob/master/Olympiad/Baltic/Baltic-06-Countries.txt&amp;sa=D&amp;ust=1605639799988000&amp;usg=AFQjCNEzAn1N1PgykQqytXLti9q2llDwzA" TargetMode="External"/><Relationship Id="rId1225" Type="http://schemas.openxmlformats.org/officeDocument/2006/relationships/hyperlink" Target="https://www.google.com/url?q=https://dunjudge.me/analysis/problems/542/&amp;sa=D&amp;ust=1605639800175000&amp;usg=AFQjCNHaVE8vhRY1OP4Xh3QbWBBr7EhXZQ" TargetMode="External"/><Relationship Id="rId1432" Type="http://schemas.openxmlformats.org/officeDocument/2006/relationships/hyperlink" Target="https://www.google.com/url?q=https://oj.uz/problems/source/307&amp;sa=D&amp;ust=1605639800309000&amp;usg=AFQjCNHNOdMIkbcHevx6oyGd1dQFJDv9Kw" TargetMode="External"/><Relationship Id="rId2830" Type="http://schemas.openxmlformats.org/officeDocument/2006/relationships/hyperlink" Target="https://www.google.com/url?q=https://wcipeg.com/problem/coci087p3&amp;sa=D&amp;ust=1605639802185000&amp;usg=AFQjCNFfRmHyBNrd4YgVBXtZtKqY7yeR8Q" TargetMode="External"/><Relationship Id="rId71" Type="http://schemas.openxmlformats.org/officeDocument/2006/relationships/hyperlink" Target="https://www.google.com/url?q=https://github.com/mostafa-saad/MyCompetitiveProgramming/blob/master/Olympiad/IOI/IOI-00-median.txt&amp;sa=D&amp;ust=1605639798692000&amp;usg=AFQjCNHohNOnGWOFd7SO8nj60H-oESXB0w" TargetMode="External"/><Relationship Id="rId802" Type="http://schemas.openxmlformats.org/officeDocument/2006/relationships/hyperlink" Target="https://www.google.com/url?q=https://cses.fi/231/task/C&amp;sa=D&amp;ust=1605639799782000&amp;usg=AFQjCNF04eZRgODw_4yOcITE76hNQA0mlQ" TargetMode="External"/><Relationship Id="rId178" Type="http://schemas.openxmlformats.org/officeDocument/2006/relationships/hyperlink" Target="https://www.google.com/url?q=https://github.com/stefdasca/CompetitiveProgramming/blob/master/Infoarena/greutati.cpp&amp;sa=D&amp;ust=1605639798781000&amp;usg=AFQjCNHq89xrAe51FhCgRG6W2--TQjXf_w" TargetMode="External"/><Relationship Id="rId385" Type="http://schemas.openxmlformats.org/officeDocument/2006/relationships/hyperlink" Target="https://www.google.com/url?q=https://github.com/mostafa-saad/MyCompetitiveProgramming/blob/master/Olympiad/POI/official/find_editorial_sols_guidelines.txt&amp;sa=D&amp;ust=1605639798978000&amp;usg=AFQjCNG3a07YD13wcaVX1ylHdVET7CaDdQ" TargetMode="External"/><Relationship Id="rId592" Type="http://schemas.openxmlformats.org/officeDocument/2006/relationships/hyperlink" Target="https://www.google.com/url?q=https://csacademy.com/contest/ceoi-2017-day-1/tasks/&amp;sa=D&amp;ust=1605639799123000&amp;usg=AFQjCNETQhK5ahjypDuwv6Dnncu8oJeLyg" TargetMode="External"/><Relationship Id="rId2066" Type="http://schemas.openxmlformats.org/officeDocument/2006/relationships/hyperlink" Target="https://www.google.com/url?q=https://github.com/mostafa-saad/MyCompetitiveProgramming/blob/master/Olympiad/Baltic/Baltic-08-Gates.txt&amp;sa=D&amp;ust=1605639800796000&amp;usg=AFQjCNF5mOcpYLeVqR1-D6koqbOr43VSzA" TargetMode="External"/><Relationship Id="rId2273" Type="http://schemas.openxmlformats.org/officeDocument/2006/relationships/hyperlink" Target="https://www.google.com/url?q=https://github.com/mostafa-saad/MyCompetitiveProgramming/tree/master/Olympiad/MCO/official&amp;sa=D&amp;ust=1605639801567000&amp;usg=AFQjCNGNFkWiN60nBj_Xx79xcuDbmTzk2g" TargetMode="External"/><Relationship Id="rId2480" Type="http://schemas.openxmlformats.org/officeDocument/2006/relationships/hyperlink" Target="https://www.google.com/url?q=https://dmoj.ca/problem/coci16c1p3&amp;sa=D&amp;ust=1605639801801000&amp;usg=AFQjCNEecqoUj9MSrs6IBNuutb0EDQobtA" TargetMode="External"/><Relationship Id="rId245" Type="http://schemas.openxmlformats.org/officeDocument/2006/relationships/hyperlink" Target="https://www.google.com/url?q=https://szkopul.edu.pl/problemset/problem/NZhJzNZct1iBas2bPCvlvls5/site/&amp;sa=D&amp;ust=1605639798806000&amp;usg=AFQjCNF6hyHEx3iiZ7VDIIEpt_evHyjizQ" TargetMode="External"/><Relationship Id="rId452" Type="http://schemas.openxmlformats.org/officeDocument/2006/relationships/hyperlink" Target="https://www.google.com/url?q=https://oj.uz/problem/view/CEOI11_tea&amp;sa=D&amp;ust=1605639799007000&amp;usg=AFQjCNFWJZdjZgtjI2ePl4hzoflBqAdq7w" TargetMode="External"/><Relationship Id="rId1082" Type="http://schemas.openxmlformats.org/officeDocument/2006/relationships/hyperlink" Target="https://www.google.com/url?q=https://github.com/mostafa-saad/MyCompetitiveProgramming/tree/master/Olympiad/COCI/official/2007/contest2_solutions&amp;sa=D&amp;ust=1605639800015000&amp;usg=AFQjCNHiGpsm1KAjh7RgPq0vrgxBSkW3sg" TargetMode="External"/><Relationship Id="rId2133" Type="http://schemas.openxmlformats.org/officeDocument/2006/relationships/hyperlink" Target="https://www.google.com/url?q=https://www.infoarena.ro/problema/jap2&amp;sa=D&amp;ust=1605639800821000&amp;usg=AFQjCNHGsAcD9X7qlFHIz78fzwDz5IYS7A" TargetMode="External"/><Relationship Id="rId2340" Type="http://schemas.openxmlformats.org/officeDocument/2006/relationships/hyperlink" Target="https://www.google.com/url?q=https://contest.yandex.ru/ioi/contest/558/enter/&amp;sa=D&amp;ust=1605639801612000&amp;usg=AFQjCNENZVdx-y1pbLeL0aml1nyD1PIb9w" TargetMode="External"/><Relationship Id="rId105" Type="http://schemas.openxmlformats.org/officeDocument/2006/relationships/hyperlink" Target="https://www.google.com/url?q=https://github.com/mostafa-saad/MyCompetitiveProgramming/blob/master/Olympiad/Baltic/Baltic-19-nautilus.txt&amp;sa=D&amp;ust=1605639798716000&amp;usg=AFQjCNGIKmTHTyLWY-hY_-fsn4mgSZ2LIw" TargetMode="External"/><Relationship Id="rId312" Type="http://schemas.openxmlformats.org/officeDocument/2006/relationships/hyperlink" Target="https://www.google.com/url?q=https://github.com/mostafa-saad/MyCompetitiveProgramming/tree/master/Olympiad/MCO/official/2015&amp;sa=D&amp;ust=1605639798886000&amp;usg=AFQjCNHxCbRZNFy7T5rGSF5BkTfvx-bCgw" TargetMode="External"/><Relationship Id="rId2200" Type="http://schemas.openxmlformats.org/officeDocument/2006/relationships/hyperlink" Target="https://www.google.com/url?q=https://szkopul.edu.pl/problemset/problem/CP4mQc-h-Vkg--I1g49xovQj/site/&amp;sa=D&amp;ust=1605639800888000&amp;usg=AFQjCNFAzUdKoHslkJv8SCIGPnwWaAJb9A" TargetMode="External"/><Relationship Id="rId1899" Type="http://schemas.openxmlformats.org/officeDocument/2006/relationships/hyperlink" Target="https://www.google.com/url?q=https://github.com/mostafa-saad/MyCompetitiveProgramming/blob/master/Olympiad/COCI/official/2010/contest2_solutions&amp;sa=D&amp;ust=1605639800688000&amp;usg=AFQjCNGrd2g5Ns6vRVyY5AanKYZuYoyL2A" TargetMode="External"/><Relationship Id="rId1759" Type="http://schemas.openxmlformats.org/officeDocument/2006/relationships/hyperlink" Target="https://www.google.com/url?q=https://github.com/mostafa-saad/MyCompetitiveProgramming/blob/master/Olympiad/infoarena/amici2-statement.txt&amp;sa=D&amp;ust=1605639800570000&amp;usg=AFQjCNF4Dopukj3l26wHe1Ofjtw8am5ExA" TargetMode="External"/><Relationship Id="rId1966" Type="http://schemas.openxmlformats.org/officeDocument/2006/relationships/hyperlink" Target="https://www.google.com/url?q=https://szkopul.edu.pl/problemset/problem/VENspsedQ1oO5IorYs8Ergdn/site/&amp;sa=D&amp;ust=1605639800712000&amp;usg=AFQjCNHlZt6lyfWgCQRqbJEdNgpoGx4rMA" TargetMode="External"/><Relationship Id="rId1619" Type="http://schemas.openxmlformats.org/officeDocument/2006/relationships/hyperlink" Target="https://www.google.com/url?q=https://github.com/mostafa-saad/MyCompetitiveProgramming/blob/master/Olympiad/IOI/official/2017&amp;sa=D&amp;ust=1605639800466000&amp;usg=AFQjCNGFc_ZzT-pgoCCW0Ux86hjvx9pZsA" TargetMode="External"/><Relationship Id="rId1826" Type="http://schemas.openxmlformats.org/officeDocument/2006/relationships/hyperlink" Target="https://www.google.com/url?q=https://szkopul.edu.pl/problemset/problem/kZ-a2gIkpjJEOzq6pJ5jUW7f/site/&amp;sa=D&amp;ust=1605639800599000&amp;usg=AFQjCNEW6cFrjeVzTYVBlxVH3-WpDpCZ5A" TargetMode="External"/><Relationship Id="rId779" Type="http://schemas.openxmlformats.org/officeDocument/2006/relationships/hyperlink" Target="https://www.google.com/url?q=https://oj.uz/problem/view/COCI18_suncanje&amp;sa=D&amp;ust=1605639799719000&amp;usg=AFQjCNGVIvDs44Wta5BW4ONQdE0StXLiOg" TargetMode="External"/><Relationship Id="rId986" Type="http://schemas.openxmlformats.org/officeDocument/2006/relationships/hyperlink" Target="https://www.google.com/url?q=http://usaco.org/index.php?page%3Dviewproblem2%26cpid%3D698&amp;sa=D&amp;ust=1605639799974000&amp;usg=AFQjCNGgyDpvdWTKSnHVjEepOSAH-Ty2xA" TargetMode="External"/><Relationship Id="rId2667" Type="http://schemas.openxmlformats.org/officeDocument/2006/relationships/hyperlink" Target="https://www.google.com/url?q=https://github.com/mostafa-saad/MyCompetitiveProgramming/blob/master/Olympiad/COCI/COCI-06-Debug.txt&amp;sa=D&amp;ust=1605639801994000&amp;usg=AFQjCNEE38EaOSW22GWCub5r_yctbTIMpw" TargetMode="External"/><Relationship Id="rId639" Type="http://schemas.openxmlformats.org/officeDocument/2006/relationships/hyperlink" Target="https://www.google.com/url?q=https://github.com/mostafa-saad/MyCompetitiveProgramming/blob/master/Olympiad/IOI/IOI-14-holiday.txt&amp;sa=D&amp;ust=1605639799638000&amp;usg=AFQjCNGGEv5AxcPNUy7NrrjbMf5pCT-aPw" TargetMode="External"/><Relationship Id="rId1269" Type="http://schemas.openxmlformats.org/officeDocument/2006/relationships/hyperlink" Target="https://www.google.com/url?q=https://github.com/mostafa-saad/MyCompetitiveProgramming/blob/master/Olympiad/COCI/COCI-16-kralj.txt&amp;sa=D&amp;ust=1605639800192000&amp;usg=AFQjCNEpN9rRrdstv093CBLUFnC4RF62qA" TargetMode="External"/><Relationship Id="rId1476" Type="http://schemas.openxmlformats.org/officeDocument/2006/relationships/hyperlink" Target="https://www.google.com/url?q=https://oj.uz/problem/view/balkan11_2circles&amp;sa=D&amp;ust=1605639800371000&amp;usg=AFQjCNEJMSHv7MdzghQKRecBxiIZOzD3cQ" TargetMode="External"/><Relationship Id="rId2874" Type="http://schemas.openxmlformats.org/officeDocument/2006/relationships/hyperlink" Target="https://www.google.com/url?q=https://wcipeg.com/problem/ioi1401&amp;sa=D&amp;ust=1605639802207000&amp;usg=AFQjCNFl9gBsOo-FmlM8FUBpKuzp6dcb0w" TargetMode="External"/><Relationship Id="rId846" Type="http://schemas.openxmlformats.org/officeDocument/2006/relationships/hyperlink" Target="https://www.google.com/url?q=https://www.infoarena.ro/problema/cladiri&amp;sa=D&amp;ust=1605639799811000&amp;usg=AFQjCNEaPYMqZUsjQLVTYHNOgrW74YN3Aw" TargetMode="External"/><Relationship Id="rId1129" Type="http://schemas.openxmlformats.org/officeDocument/2006/relationships/hyperlink" Target="https://www.google.com/url?q=https://www.acmicpc.net/problem/7086&amp;sa=D&amp;ust=1605639800082000&amp;usg=AFQjCNFXgYoxi-RO1Y0Mpjd4qWo0qiwm8g" TargetMode="External"/><Relationship Id="rId1683" Type="http://schemas.openxmlformats.org/officeDocument/2006/relationships/hyperlink" Target="https://www.google.com/url?q=https://oj.uz/problem/view/IZhO14_shymbulak&amp;sa=D&amp;ust=1605639800492000&amp;usg=AFQjCNEIH2dUni2wiJgXcDp-MeYKvxzjNQ" TargetMode="External"/><Relationship Id="rId1890" Type="http://schemas.openxmlformats.org/officeDocument/2006/relationships/hyperlink" Target="https://www.google.com/url?q=https://joisc2013-day1.contest.atcoder.jp/tasks/joisc2013_bustour&amp;sa=D&amp;ust=1605639800683000&amp;usg=AFQjCNFYVERJJEgwaIaQlNgxfqXS_5-kVw" TargetMode="External"/><Relationship Id="rId2527" Type="http://schemas.openxmlformats.org/officeDocument/2006/relationships/hyperlink" Target="https://www.google.com/url?q=https://dmoj.ca/problem/apio10p1&amp;sa=D&amp;ust=1605639801871000&amp;usg=AFQjCNGnivog9cmZSdqBIzkTAy1Lpl_MAg" TargetMode="External"/><Relationship Id="rId2734" Type="http://schemas.openxmlformats.org/officeDocument/2006/relationships/hyperlink" Target="https://www.google.com/url?q=https://github.com/mostafa-saad/MyCompetitiveProgramming/tree/master/Olympiad/COCI/official/2008/contest2_solutions&amp;sa=D&amp;ust=1605639802087000&amp;usg=AFQjCNGsiO957FygpFSiuF0jdOnTK8gJiA" TargetMode="External"/><Relationship Id="rId2941" Type="http://schemas.openxmlformats.org/officeDocument/2006/relationships/hyperlink" Target="https://www.google.com/url?q=https://dunjudge.me/analysis/problems/141/&amp;sa=D&amp;ust=1605639802302000&amp;usg=AFQjCNHHh3bc51se56vsKFDWFxgbLBsQTw" TargetMode="External"/><Relationship Id="rId706" Type="http://schemas.openxmlformats.org/officeDocument/2006/relationships/hyperlink" Target="https://www.google.com/url?q=https://oj.uz/problem/view/balkan11_trapezoid&amp;sa=D&amp;ust=1605639799675000&amp;usg=AFQjCNFepapl5xxvVftxd4ss9v1Z2kKK4w" TargetMode="External"/><Relationship Id="rId913" Type="http://schemas.openxmlformats.org/officeDocument/2006/relationships/hyperlink" Target="https://www.google.com/url?q=https://oj.uz/problems/source/307&amp;sa=D&amp;ust=1605639799897000&amp;usg=AFQjCNEVzedZTR4fYPLHnjxvkx7ao9TNPA" TargetMode="External"/><Relationship Id="rId1336" Type="http://schemas.openxmlformats.org/officeDocument/2006/relationships/hyperlink" Target="https://www.google.com/url?q=https://github.com/tmwilliamlin168/CompetitiveProgramming/blob/master/IOI/19P-Packing.cpp&amp;sa=D&amp;ust=1605639800219000&amp;usg=AFQjCNE1rYU6OpuGcllsxYAJiKeis45FPQ" TargetMode="External"/><Relationship Id="rId1543" Type="http://schemas.openxmlformats.org/officeDocument/2006/relationships/hyperlink" Target="https://www.google.com/url?q=https://open.kattis.com/problem-sources/Baltic%2520Olympiad%2520in%2520Informatics%25202017%252C%2520Warmup&amp;sa=D&amp;ust=1605639800396000&amp;usg=AFQjCNGhHqbtSBVUhzP46LKzCVu4iXhsVw" TargetMode="External"/><Relationship Id="rId1750" Type="http://schemas.openxmlformats.org/officeDocument/2006/relationships/hyperlink" Target="https://www.google.com/url?q=https://dunjudge.me/analysis/problems/952/&amp;sa=D&amp;ust=1605639800567000&amp;usg=AFQjCNG_HTDjN8zfYNDeVnoBqykG8Vxzhg" TargetMode="External"/><Relationship Id="rId2801" Type="http://schemas.openxmlformats.org/officeDocument/2006/relationships/hyperlink" Target="https://www.google.com/url?q=https://dmoj.ca/problem/coci14c3p4&amp;sa=D&amp;ust=1605639802170000&amp;usg=AFQjCNECGNm_PMhPyQZIxS1z3pD9fqIhMQ" TargetMode="External"/><Relationship Id="rId42" Type="http://schemas.openxmlformats.org/officeDocument/2006/relationships/hyperlink" Target="https://www.google.com/url?q=https://github.com/mostafa-saad/MyCompetitiveProgramming/blob/master/Olympiad/IOI/official/2006/ioi06_blackbox_sol.pdf&amp;sa=D&amp;ust=1605639798679000&amp;usg=AFQjCNHXBfJSCP7upHvfZmeDdqpyWSBHjA" TargetMode="External"/><Relationship Id="rId1403" Type="http://schemas.openxmlformats.org/officeDocument/2006/relationships/hyperlink" Target="https://www.google.com/url?q=https://szkopul.edu.pl/problemset/problem/hepq5oWcHLsMo3oOy-dp3OZC/site/&amp;sa=D&amp;ust=1605639800296000&amp;usg=AFQjCNFT_feFSK14DsXyIOiNBszfaIxP3Q" TargetMode="External"/><Relationship Id="rId1610" Type="http://schemas.openxmlformats.org/officeDocument/2006/relationships/hyperlink" Target="https://www.google.com/url?q=https://github.com/mostafa-saad/MyCompetitiveProgramming/blob/master/Olympiad/JOI/JOISC-17-city.txt&amp;sa=D&amp;ust=1605639800423000&amp;usg=AFQjCNGoI39Fay0JP_-dRSM1yCAEshdX7w" TargetMode="External"/><Relationship Id="rId289" Type="http://schemas.openxmlformats.org/officeDocument/2006/relationships/hyperlink" Target="https://www.google.com/url?q=https://dmoj.ca/problem/coci06c4p2&amp;sa=D&amp;ust=1605639798878000&amp;usg=AFQjCNEIhZW7K8TNtywZ5f00yEnSre8Pvw" TargetMode="External"/><Relationship Id="rId496" Type="http://schemas.openxmlformats.org/officeDocument/2006/relationships/hyperlink" Target="https://www.google.com/url?q=https://github.com/mostafa-saad/MyCompetitiveProgramming/blob/master/Olympiad/COI/COI-06-Patrik.txt&amp;sa=D&amp;ust=1605639799084000&amp;usg=AFQjCNH3tpo0kNIEle16hhZR47pbSyGYIQ" TargetMode="External"/><Relationship Id="rId2177" Type="http://schemas.openxmlformats.org/officeDocument/2006/relationships/hyperlink" Target="https://www.google.com/url?q=https://oj.uz/problem/view/IOI17_coins&amp;sa=D&amp;ust=1605639800878000&amp;usg=AFQjCNHVp56NIykLVRFe6o7Aik43ckwxYA" TargetMode="External"/><Relationship Id="rId2384" Type="http://schemas.openxmlformats.org/officeDocument/2006/relationships/hyperlink" Target="https://www.google.com/url?q=https://codeforces.com/group/swEqtABRxe/contest/243435/problem/B&amp;sa=D&amp;ust=1605639801699000&amp;usg=AFQjCNEcEk7b1o2WSkWmbX_jlM2ryDb5bQ" TargetMode="External"/><Relationship Id="rId2591" Type="http://schemas.openxmlformats.org/officeDocument/2006/relationships/hyperlink" Target="https://www.google.com/url?q=https://github.com/mostafa-saad/MyCompetitiveProgramming/blob/master/Olympiad/IOI/IOIPractice-14-guardians-lunatics-ioi14.txt&amp;sa=D&amp;ust=1605639801899000&amp;usg=AFQjCNHVxZs6em3b0oC4nrFEu56itMufeQ" TargetMode="External"/><Relationship Id="rId149" Type="http://schemas.openxmlformats.org/officeDocument/2006/relationships/hyperlink" Target="https://www.google.com/url?q=https://dmoj.ca/problem/coci13c1p2&amp;sa=D&amp;ust=1605639798766000&amp;usg=AFQjCNGA9Y-tSGlt343ch8DsUHH8eIsMWw" TargetMode="External"/><Relationship Id="rId356" Type="http://schemas.openxmlformats.org/officeDocument/2006/relationships/hyperlink" Target="https://www.google.com/url?q=https://dunjudge.me/analysis/problems/144/&amp;sa=D&amp;ust=1605639798907000&amp;usg=AFQjCNFb7Tvqw7ayKTClhRzgodmg1lyP1Q" TargetMode="External"/><Relationship Id="rId563" Type="http://schemas.openxmlformats.org/officeDocument/2006/relationships/hyperlink" Target="https://www.google.com/url?q=https://www.infoarena.ro/problema/password2&amp;sa=D&amp;ust=1605639799113000&amp;usg=AFQjCNEU18rhGgRmvdrjgnxqSC7cUgOBmg" TargetMode="External"/><Relationship Id="rId770" Type="http://schemas.openxmlformats.org/officeDocument/2006/relationships/hyperlink" Target="https://www.google.com/url?q=https://www.e-olymp.com/en/problems/7482&amp;sa=D&amp;ust=1605639799716000&amp;usg=AFQjCNEqkXDqXA0GFj7Sr_T8hnMUjaN5UQ" TargetMode="External"/><Relationship Id="rId1193" Type="http://schemas.openxmlformats.org/officeDocument/2006/relationships/hyperlink" Target="https://www.google.com/url?q=https://www.spoj.com/problems/ZOO/&amp;sa=D&amp;ust=1605639800116000&amp;usg=AFQjCNFUAZxpxAMy18Tovn4NKxh0UPgiwg" TargetMode="External"/><Relationship Id="rId2037" Type="http://schemas.openxmlformats.org/officeDocument/2006/relationships/hyperlink" Target="https://www.google.com/url?q=https://dunjudge.me/analysis/problems/540/&amp;sa=D&amp;ust=1605639800783000&amp;usg=AFQjCNEWm1qPUfnsPbgH5ywjAelLouDZgQ" TargetMode="External"/><Relationship Id="rId2244" Type="http://schemas.openxmlformats.org/officeDocument/2006/relationships/hyperlink" Target="https://www.google.com/url?q=https://github.com/mostafa-saad/MyCompetitiveProgramming/blob/master/Olympiad/COCI/COCI-09-Gremlini.txt&amp;sa=D&amp;ust=1605639800906000&amp;usg=AFQjCNG0ehHEhqoVnddJIWm3gJgDteFkjw" TargetMode="External"/><Relationship Id="rId2451" Type="http://schemas.openxmlformats.org/officeDocument/2006/relationships/hyperlink" Target="https://www.google.com/url?q=https://github.com/thecodingwizard/competitive-programming/blob/master/USACO/2016feb/plat/cbarn.cpp&amp;sa=D&amp;ust=1605639801792000&amp;usg=AFQjCNGKArLGoNpQhCyyKaWuiGlYyKM78g" TargetMode="External"/><Relationship Id="rId216" Type="http://schemas.openxmlformats.org/officeDocument/2006/relationships/hyperlink" Target="https://www.google.com/url?q=https://szkopul.edu.pl/problemset/problem/Arkza0f7GKKb-m1YZJulnlMk/site/&amp;sa=D&amp;ust=1605639798796000&amp;usg=AFQjCNHc9uFZHJnoehnBjVNwfwTwlNtN6A" TargetMode="External"/><Relationship Id="rId423" Type="http://schemas.openxmlformats.org/officeDocument/2006/relationships/hyperlink" Target="https://www.google.com/url?q=https://oj.uz/problem/view/COCI17_baza&amp;sa=D&amp;ust=1605639798994000&amp;usg=AFQjCNEOq-EmSUkGnoO0pQ_2RbfJVuQkFw" TargetMode="External"/><Relationship Id="rId1053" Type="http://schemas.openxmlformats.org/officeDocument/2006/relationships/hyperlink" Target="https://www.google.com/url?q=https://dunjudge.me/analysis/problems/1385/&amp;sa=D&amp;ust=1605639800002000&amp;usg=AFQjCNHVVTQcvd7ZL-KnqEL1ON2nn1lSSg" TargetMode="External"/><Relationship Id="rId1260" Type="http://schemas.openxmlformats.org/officeDocument/2006/relationships/hyperlink" Target="https://www.google.com/url?q=https://github.com/mostafa-saad/MyCompetitiveProgramming/blob/master/Olympiad/APIO/APIO-07-Backup.txt&amp;sa=D&amp;ust=1605639800189000&amp;usg=AFQjCNHz5yEhWCL4B9_3I5030aSB7nHEwg" TargetMode="External"/><Relationship Id="rId2104" Type="http://schemas.openxmlformats.org/officeDocument/2006/relationships/hyperlink" Target="https://www.google.com/url?q=https://dmoj.ca/problem/utso15p5&amp;sa=D&amp;ust=1605639800809000&amp;usg=AFQjCNFAiTZ56IvDR2NJ4hCitR-K9R3xhQ" TargetMode="External"/><Relationship Id="rId630" Type="http://schemas.openxmlformats.org/officeDocument/2006/relationships/hyperlink" Target="https://www.google.com/url?q=https://oj.uz/problem/view/CEOI18_fib&amp;sa=D&amp;ust=1605639799177000&amp;usg=AFQjCNH7PljkdszzWx49dmLJzszMsPT6qQ" TargetMode="External"/><Relationship Id="rId2311" Type="http://schemas.openxmlformats.org/officeDocument/2006/relationships/hyperlink" Target="https://www.google.com/url?q=https://github.com/mostafa-saad/MyCompetitiveProgramming/blob/master/Olympiad/CEOI/COCI-10-upit.txt&amp;sa=D&amp;ust=1605639801595000&amp;usg=AFQjCNGFRhuOX-HLOP_fUYbeaJW0vuBDbw" TargetMode="External"/><Relationship Id="rId1120" Type="http://schemas.openxmlformats.org/officeDocument/2006/relationships/hyperlink" Target="https://www.google.com/url?q=https://github.com/mostafa-saad/MyCompetitiveProgramming/blob/master/Olympiad/Baltic/official/boi2005_solutions&amp;sa=D&amp;ust=1605639800078000&amp;usg=AFQjCNHATzjdxl5O_84VTDquHqCvo55Png" TargetMode="External"/><Relationship Id="rId1937" Type="http://schemas.openxmlformats.org/officeDocument/2006/relationships/hyperlink" Target="https://www.google.com/url?q=https://cses.fi/98/list/&amp;sa=D&amp;ust=1605639800702000&amp;usg=AFQjCNFAKGpeox1eYdDxccAnGDp1AbhzUA" TargetMode="External"/><Relationship Id="rId280" Type="http://schemas.openxmlformats.org/officeDocument/2006/relationships/hyperlink" Target="https://www.google.com/url?q=https://github.com/mostafa-saad/MyCompetitiveProgramming/blob/master/Olympiad/COCI/official/2009/contest6_solutions&amp;sa=D&amp;ust=1605639798874000&amp;usg=AFQjCNH0dSw5wh5lYGKogggONLEDzPpWtQ" TargetMode="External"/><Relationship Id="rId3012" Type="http://schemas.openxmlformats.org/officeDocument/2006/relationships/hyperlink" Target="https://www.google.com/url?q=https://csacademy.com/contest/round-80/task/towns/&amp;sa=D&amp;ust=1605639802397000&amp;usg=AFQjCNFuMVoJSyh00yHd8G1U5J-WE_ej9w" TargetMode="External"/><Relationship Id="rId140" Type="http://schemas.openxmlformats.org/officeDocument/2006/relationships/hyperlink" Target="https://www.google.com/url?q=https://github.com/mostafa-saad/MyCompetitiveProgramming/blob/master/Olympiad/POI/POI-05-Bus.txt&amp;sa=D&amp;ust=1605639798728000&amp;usg=AFQjCNEqu64JWkspRPzQZy6iukqF8rajLg" TargetMode="External"/><Relationship Id="rId6" Type="http://schemas.openxmlformats.org/officeDocument/2006/relationships/hyperlink" Target="https://www.google.com/url?q=https://github.com/mostafa-saad/MyCompetitiveProgramming/tree/master/Olympiad/CEOI/official/2015/day2&amp;sa=D&amp;ust=1605639798666000&amp;usg=AFQjCNHgpnu3DwiwskHreGwvJ25XGg_pYQ" TargetMode="External"/><Relationship Id="rId2778" Type="http://schemas.openxmlformats.org/officeDocument/2006/relationships/hyperlink" Target="https://www.google.com/url?q=https://github.com/mostafa-saad/MyCompetitiveProgramming/blob/master/Olympiad/COCI/official/2010/contest5_solutions&amp;sa=D&amp;ust=1605639802104000&amp;usg=AFQjCNF0AGbtjUML2sCkntPb26O_3pXEnA" TargetMode="External"/><Relationship Id="rId2985" Type="http://schemas.openxmlformats.org/officeDocument/2006/relationships/hyperlink" Target="https://www.google.com/url?q=https://szkopul.edu.pl/problemset/problem/oNnWY6ZuzzhvG-jCmijiXkIk/site/&amp;sa=D&amp;ust=1605639802382000&amp;usg=AFQjCNEJcX8LCTWVh6LeNNWRrvTkDDpOXQ" TargetMode="External"/><Relationship Id="rId957" Type="http://schemas.openxmlformats.org/officeDocument/2006/relationships/hyperlink" Target="https://www.google.com/url?q=https://github.com/mostafa-saad/MyCompetitiveProgramming/blob/master/Olympiad/Baltic/Baltic-05-Bus_Trip.txt&amp;sa=D&amp;ust=1605639799913000&amp;usg=AFQjCNFYEmat13SGdum2E0KQxmfvPVxc_Q" TargetMode="External"/><Relationship Id="rId1587" Type="http://schemas.openxmlformats.org/officeDocument/2006/relationships/hyperlink" Target="https://www.google.com/url?q=https://github.com/mostafa-saad/MyCompetitiveProgramming/blob/master/Olympiad/POI/official/find_editorial_sols_guidelines.txt&amp;sa=D&amp;ust=1605639800414000&amp;usg=AFQjCNFtPVf2vXNpePndnP3JgcjMezrBqQ" TargetMode="External"/><Relationship Id="rId1794" Type="http://schemas.openxmlformats.org/officeDocument/2006/relationships/hyperlink" Target="https://www.google.com/url?q=https://tioj.ck.tp.edu.tw/problems/1748&amp;sa=D&amp;ust=1605639800589000&amp;usg=AFQjCNHfkOWd1C2BLlaLjWnM_-tP6T6_SQ" TargetMode="External"/><Relationship Id="rId2638" Type="http://schemas.openxmlformats.org/officeDocument/2006/relationships/hyperlink" Target="https://www.google.com/url?q=https://dmoj.ca/problem/coci08c3p6&amp;sa=D&amp;ust=1605639801982000&amp;usg=AFQjCNH3D1vDJt0Z2CIigB0kK-_5jOkcWA" TargetMode="External"/><Relationship Id="rId2845" Type="http://schemas.openxmlformats.org/officeDocument/2006/relationships/hyperlink" Target="https://www.google.com/url?q=https://dmoj.ca/problem/dmpg16s4&amp;sa=D&amp;ust=1605639802193000&amp;usg=AFQjCNGefHHX5BmOMz6I3un-SJTy7SUC4A" TargetMode="External"/><Relationship Id="rId86" Type="http://schemas.openxmlformats.org/officeDocument/2006/relationships/hyperlink" Target="https://www.google.com/url?q=https://boi18-day2-open.kattis.com/problems&amp;sa=D&amp;ust=1605639798708000&amp;usg=AFQjCNEc2HnDtDBvcfRZ8Uny-IFuxTCALw" TargetMode="External"/><Relationship Id="rId817" Type="http://schemas.openxmlformats.org/officeDocument/2006/relationships/hyperlink" Target="https://www.google.com/url?q=https://oj.uz/problem/view/APIO16_fireworks&amp;sa=D&amp;ust=1605639799791000&amp;usg=AFQjCNGSPrvyZgEYuuE_fbi2D9aCf-ldcw" TargetMode="External"/><Relationship Id="rId1447" Type="http://schemas.openxmlformats.org/officeDocument/2006/relationships/hyperlink" Target="https://www.google.com/url?q=https://cses.fi/205/list/&amp;sa=D&amp;ust=1605639800314000&amp;usg=AFQjCNGX3uB6gkAHZMbC3fnGPDe5zsD6WQ" TargetMode="External"/><Relationship Id="rId1654" Type="http://schemas.openxmlformats.org/officeDocument/2006/relationships/hyperlink" Target="https://www.google.com/url?q=https://github.com/mostafa-saad/MyCompetitiveProgramming/blob/master/Olympiad/infoarena/infoarena_maxdist.txt&amp;sa=D&amp;ust=1605639800481000&amp;usg=AFQjCNFtMbKN79ynRSrGfzBs1SHI_Pt6Hg" TargetMode="External"/><Relationship Id="rId1861" Type="http://schemas.openxmlformats.org/officeDocument/2006/relationships/hyperlink" Target="https://www.google.com/url?q=https://www.acmicpc.net/problem/5250&amp;sa=D&amp;ust=1605639800672000&amp;usg=AFQjCNHKkwkExd8jIuW67wlvVegg9E6VPg" TargetMode="External"/><Relationship Id="rId2705" Type="http://schemas.openxmlformats.org/officeDocument/2006/relationships/hyperlink" Target="https://www.google.com/url?q=https://cses.fi/197/list/&amp;sa=D&amp;ust=1605639802067000&amp;usg=AFQjCNEdFfm39I8xWw_oZi6NBDftF_4R5g" TargetMode="External"/><Relationship Id="rId2912" Type="http://schemas.openxmlformats.org/officeDocument/2006/relationships/hyperlink" Target="https://www.google.com/url?q=https://dunjudge.me/analysis/problems/801/&amp;sa=D&amp;ust=1605639802286000&amp;usg=AFQjCNFX0ezItK4U0o3YmrhgyEUBbhEjcA" TargetMode="External"/><Relationship Id="rId1307" Type="http://schemas.openxmlformats.org/officeDocument/2006/relationships/hyperlink" Target="https://www.google.com/url?q=https://szkopul.edu.pl/problemset/problem/xfpVU8vFP2RzZ0hrqWq9kTZM/site/&amp;sa=D&amp;ust=1605639800206000&amp;usg=AFQjCNEqJd9r2LIpWPGF3WX2hp4Vaf1UQg" TargetMode="External"/><Relationship Id="rId1514" Type="http://schemas.openxmlformats.org/officeDocument/2006/relationships/hyperlink" Target="https://www.google.com/url?q=https://oj.uz/problems/source/120&amp;sa=D&amp;ust=1605639800385000&amp;usg=AFQjCNGBg48y19I-Y0wkTbTO-eg-fSKNUA" TargetMode="External"/><Relationship Id="rId1721" Type="http://schemas.openxmlformats.org/officeDocument/2006/relationships/hyperlink" Target="https://www.google.com/url?q=http://olympiads.win.tue.nl/ioi/ioi97/contest/index.html&amp;sa=D&amp;ust=1605639800505000&amp;usg=AFQjCNF8hOMeUI4q2WjQ_S1y8CNRUPBnRg" TargetMode="External"/><Relationship Id="rId13" Type="http://schemas.openxmlformats.org/officeDocument/2006/relationships/hyperlink" Target="https://www.google.com/url?q=https://github.com/mostafa-saad/MyCompetitiveProgramming/blob/master/Olympiad/IOI/IOI-14-rail.txt&amp;sa=D&amp;ust=1605639798669000&amp;usg=AFQjCNEWvU0DKjVzclOHJ0SbCDsjdzbiag" TargetMode="External"/><Relationship Id="rId2288" Type="http://schemas.openxmlformats.org/officeDocument/2006/relationships/hyperlink" Target="https://www.google.com/url?q=https://oj.uz/problem/view/COCI17_klavir&amp;sa=D&amp;ust=1605639801574000&amp;usg=AFQjCNGsRQUVQRAEh5ObF6M6xzoIUDRCTA" TargetMode="External"/><Relationship Id="rId2495" Type="http://schemas.openxmlformats.org/officeDocument/2006/relationships/hyperlink" Target="https://www.google.com/url?q=https://github.com/mostafa-saad/MyCompetitiveProgramming/blob/master/Olympiad/COI/COI-08-Otoci.txt&amp;sa=D&amp;ust=1605639801808000&amp;usg=AFQjCNHT9YC4pI3sDE48BA5l-Gy9BjL6fg" TargetMode="External"/><Relationship Id="rId467" Type="http://schemas.openxmlformats.org/officeDocument/2006/relationships/hyperlink" Target="https://www.google.com/url?q=https://github.com/mostafa-saad/MyCompetitiveProgramming/blob/master/Olympiad/CEOI/CEOI-18-Lottery.txt&amp;sa=D&amp;ust=1605639799014000&amp;usg=AFQjCNGf88XfP2mtYCd90hftrjcO-eaPhA" TargetMode="External"/><Relationship Id="rId1097" Type="http://schemas.openxmlformats.org/officeDocument/2006/relationships/hyperlink" Target="https://www.google.com/url?q=https://oj.uz/problem/view/info1cup18_maxcomp&amp;sa=D&amp;ust=1605639800067000&amp;usg=AFQjCNExYWE3-w1_E9aq1_TusEmRU1QPww" TargetMode="External"/><Relationship Id="rId2148" Type="http://schemas.openxmlformats.org/officeDocument/2006/relationships/hyperlink" Target="https://www.google.com/url?q=https://github.com/stefdasca/CompetitiveProgramming/blob/master/Infoarena/penal.cpp&amp;sa=D&amp;ust=1605639800867000&amp;usg=AFQjCNGDaDv5SEb9-YzulxHEjXSbZkIQ0A" TargetMode="External"/><Relationship Id="rId674" Type="http://schemas.openxmlformats.org/officeDocument/2006/relationships/hyperlink" Target="https://www.google.com/url?q=https://oj.uz/problem/view/IOI18_doll&amp;sa=D&amp;ust=1605639799662000&amp;usg=AFQjCNEMn12Jn_2AyHsYySW7k4I3SqhT-Q" TargetMode="External"/><Relationship Id="rId881" Type="http://schemas.openxmlformats.org/officeDocument/2006/relationships/hyperlink" Target="https://www.google.com/url?q=https://github.com/mostafa-saad/MyCompetitiveProgramming/blob/master/Olympiad/POI/POI-04-Maximal.txt&amp;sa=D&amp;ust=1605639799881000&amp;usg=AFQjCNHLGAgH8G32Sl62LDMsGAhfP32wjQ" TargetMode="External"/><Relationship Id="rId2355" Type="http://schemas.openxmlformats.org/officeDocument/2006/relationships/hyperlink" Target="https://www.google.com/url?q=https://joi2014ho.contest.atcoder.jp/tasks/joi2014ho1&amp;sa=D&amp;ust=1605639801665000&amp;usg=AFQjCNF7rry0NFZ0hrTaKgnk6J475NNdGQ" TargetMode="External"/><Relationship Id="rId2562" Type="http://schemas.openxmlformats.org/officeDocument/2006/relationships/hyperlink" Target="https://www.google.com/url?q=https://www.infoarena.ro/problema/bvarcolaci&amp;sa=D&amp;ust=1605639801883000&amp;usg=AFQjCNF_e5M_2OBxoHSmDRRb6QZCiWdtWQ" TargetMode="External"/><Relationship Id="rId327" Type="http://schemas.openxmlformats.org/officeDocument/2006/relationships/hyperlink" Target="https://www.google.com/url?q=https://oj.uz/problem/view/COCI15_esej&amp;sa=D&amp;ust=1605639798895000&amp;usg=AFQjCNGPLgiDZuxj0q5wgsJhgTO-4dVrQA" TargetMode="External"/><Relationship Id="rId534" Type="http://schemas.openxmlformats.org/officeDocument/2006/relationships/hyperlink" Target="https://www.google.com/url?q=https://oj.uz/problem/view/BOI17_friends&amp;sa=D&amp;ust=1605639799102000&amp;usg=AFQjCNFb4TQaMeTEy1We2qlT5DUKngxXzA" TargetMode="External"/><Relationship Id="rId741" Type="http://schemas.openxmlformats.org/officeDocument/2006/relationships/hyperlink" Target="https://www.google.com/url?q=https://szkopul.edu.pl/problemset/problem/BnzEADCfeJFjjev1Y9iHQANg/site/&amp;sa=D&amp;ust=1605639799704000&amp;usg=AFQjCNGePXUWKo0ZSlRSC4dSwJDqgJiYWg" TargetMode="External"/><Relationship Id="rId1164" Type="http://schemas.openxmlformats.org/officeDocument/2006/relationships/hyperlink" Target="https://www.google.com/url?q=https://dunjudge.me/analysis/problems/1461/&amp;sa=D&amp;ust=1605639800106000&amp;usg=AFQjCNGx_c_KTgPuKd2L9n1qwJdLAcSVpg" TargetMode="External"/><Relationship Id="rId1371" Type="http://schemas.openxmlformats.org/officeDocument/2006/relationships/hyperlink" Target="https://www.google.com/url?q=https://github.com/win11905/submission/tree/master/TOKI/17/magic&amp;sa=D&amp;ust=1605639800283000&amp;usg=AFQjCNFEq1CnsTNLb7v8pdJF8h3myJFkFg" TargetMode="External"/><Relationship Id="rId2008" Type="http://schemas.openxmlformats.org/officeDocument/2006/relationships/hyperlink" Target="https://www.google.com/url?q=https://github.com/mostafa-saad/MyCompetitiveProgramming/blob/master/Olympiad/NOI/official&amp;sa=D&amp;ust=1605639800772000&amp;usg=AFQjCNGYSoOWxYwkXWNOt9nDB1qCVjhtIw" TargetMode="External"/><Relationship Id="rId2215" Type="http://schemas.openxmlformats.org/officeDocument/2006/relationships/hyperlink" Target="https://www.google.com/url?q=https://oj.uz/problem/view/COCI17_uzastopni&amp;sa=D&amp;ust=1605639800895000&amp;usg=AFQjCNH4z07RepfRziEnBNWiaf6o_bgVhQ" TargetMode="External"/><Relationship Id="rId2422" Type="http://schemas.openxmlformats.org/officeDocument/2006/relationships/hyperlink" Target="https://www.google.com/url?q=https://github.com/mostafa-saad/MyCompetitiveProgramming/blob/master/Olympiad/Baltic/Baltic-18-MartianDNA.txt&amp;sa=D&amp;ust=1605639801780000&amp;usg=AFQjCNHTxNdQjXfTUxp7Hv4dYRQY8dKOHw" TargetMode="External"/><Relationship Id="rId601" Type="http://schemas.openxmlformats.org/officeDocument/2006/relationships/hyperlink" Target="https://www.google.com/url?q=https://github.com/mostafa-saad/MyCompetitiveProgramming/blob/master/Olympiad/CEOI/CEOI-14-carnival.txt&amp;sa=D&amp;ust=1605639799128000&amp;usg=AFQjCNFEtltQix7zvirnbUclyZ2WNByT-A" TargetMode="External"/><Relationship Id="rId1024" Type="http://schemas.openxmlformats.org/officeDocument/2006/relationships/hyperlink" Target="https://www.google.com/url?q=https://github.com/SpeedOfMagic/CompetitiveProgramming/blob/master/Baltic/13-ballmachine.cpp&amp;sa=D&amp;ust=1605639799990000&amp;usg=AFQjCNGat1QunH6z80wGvTW0iVUQwukzYw" TargetMode="External"/><Relationship Id="rId1231" Type="http://schemas.openxmlformats.org/officeDocument/2006/relationships/hyperlink" Target="https://www.google.com/url?q=https://oj.uz/problem/view/COCI18_maja&amp;sa=D&amp;ust=1605639800178000&amp;usg=AFQjCNFMkfGdXfYVu01q-VkPrDlqx6ylGQ" TargetMode="External"/><Relationship Id="rId184" Type="http://schemas.openxmlformats.org/officeDocument/2006/relationships/hyperlink" Target="https://www.google.com/url?q=https://github.com/mostafa-saad/MyCompetitiveProgramming/tree/master/Olympiad/COCI/official/2007/contest5_solutions&amp;sa=D&amp;ust=1605639798782000&amp;usg=AFQjCNH2m9B5MDA6KCVl4yiYlM97t1hs0g" TargetMode="External"/><Relationship Id="rId391" Type="http://schemas.openxmlformats.org/officeDocument/2006/relationships/hyperlink" Target="https://www.google.com/url?q=https://github.com/mostafa-saad/MyCompetitiveProgramming/blob/master/Olympiad/IOI/IOI-00-Blocks.txt&amp;sa=D&amp;ust=1605639798980000&amp;usg=AFQjCNE3PwY0N1zc_rawZwrj5hpoSegxAw" TargetMode="External"/><Relationship Id="rId1908" Type="http://schemas.openxmlformats.org/officeDocument/2006/relationships/hyperlink" Target="https://www.google.com/url?q=https://github.com/mostafa-saad/MyCompetitiveProgramming/tree/master/Olympiad/MCO/official&amp;sa=D&amp;ust=1605639800691000&amp;usg=AFQjCNHR3tjpB3Khfmm4ptYSTYWt0XUcMA" TargetMode="External"/><Relationship Id="rId2072" Type="http://schemas.openxmlformats.org/officeDocument/2006/relationships/hyperlink" Target="https://www.google.com/url?q=https://github.com/mostafa-saad/MyCompetitiveProgramming/blob/master/Olympiad/APIO/APIO-18-duathlon.txt&amp;sa=D&amp;ust=1605639800798000&amp;usg=AFQjCNH1tSQQdSgwrjgZVJXenOlnK6EMzA" TargetMode="External"/><Relationship Id="rId251" Type="http://schemas.openxmlformats.org/officeDocument/2006/relationships/hyperlink" Target="https://www.google.com/url?q=https://szkopul.edu.pl/problemset/problem/oTsXNiT3SD45VgVS2zqQWj7F/site/&amp;sa=D&amp;ust=1605639798810000&amp;usg=AFQjCNHc8e42TkCX4VjphaAMox-pS1vHqg" TargetMode="External"/><Relationship Id="rId2889" Type="http://schemas.openxmlformats.org/officeDocument/2006/relationships/hyperlink" Target="https://www.google.com/url?q=https://oj.uz/problems/source/214&amp;sa=D&amp;ust=1605639802271000&amp;usg=AFQjCNH8r_HZhxvhyPZp2KMbT7y4lDB-3A" TargetMode="External"/><Relationship Id="rId111" Type="http://schemas.openxmlformats.org/officeDocument/2006/relationships/hyperlink" Target="https://www.google.com/url?q=https://training.ia-toki.org/problemsets/2/problems/6/&amp;sa=D&amp;ust=1605639798718000&amp;usg=AFQjCNEkwS4gD0Plv_nuSo2kuQ_C5R2KUA" TargetMode="External"/><Relationship Id="rId1698" Type="http://schemas.openxmlformats.org/officeDocument/2006/relationships/hyperlink" Target="https://www.google.com/url?q=https://szkopul.edu.pl/problemset/problem/JyanwtKuk_ER10eZ7Yv0q72d/site/&amp;sa=D&amp;ust=1605639800497000&amp;usg=AFQjCNEjRn5TWKWWYNxeqe5k09nET-BVvg" TargetMode="External"/><Relationship Id="rId2749" Type="http://schemas.openxmlformats.org/officeDocument/2006/relationships/hyperlink" Target="https://www.google.com/url?q=https://dmoj.ca/problem/coci08c4p2&amp;sa=D&amp;ust=1605639802092000&amp;usg=AFQjCNFfxpd2OCFp7lYRiHqkU1Vku5nUkQ" TargetMode="External"/><Relationship Id="rId2956" Type="http://schemas.openxmlformats.org/officeDocument/2006/relationships/hyperlink" Target="https://www.google.com/url?q=https://dunjudge.me/analysis/problems/1175/&amp;sa=D&amp;ust=1605639802312000&amp;usg=AFQjCNEe_H6eAr0aRfFLaQpRSctpVrwPfw" TargetMode="External"/><Relationship Id="rId928" Type="http://schemas.openxmlformats.org/officeDocument/2006/relationships/hyperlink" Target="https://www.google.com/url?q=https://github.com/mostafa-saad/MyCompetitiveProgramming/blob/master/Olympiad/Baltic/Baltic-13-brunhilda.txt&amp;sa=D&amp;ust=1605639799902000&amp;usg=AFQjCNFk1C4GlDTHTdiiKjFNrXf9mUIcQA" TargetMode="External"/><Relationship Id="rId1558" Type="http://schemas.openxmlformats.org/officeDocument/2006/relationships/hyperlink" Target="https://www.google.com/url?q=https://github.com/mostafa-saad/MyCompetitiveProgramming/blob/master/Olympiad/COCI/official/2017/contest3_solutions&amp;sa=D&amp;ust=1605639800402000&amp;usg=AFQjCNHqUJTwoGl46RRyoUbfpuhb5PXfyA" TargetMode="External"/><Relationship Id="rId1765" Type="http://schemas.openxmlformats.org/officeDocument/2006/relationships/hyperlink" Target="https://www.google.com/url?q=https://szkopul.edu.pl/problemset/problem/fKO3YZL0f_UM1nHQNDvw7mku/site/&amp;sa=D&amp;ust=1605639800572000&amp;usg=AFQjCNE8_inoHkxgfoWyBU3E69jQCNhwQg" TargetMode="External"/><Relationship Id="rId2609" Type="http://schemas.openxmlformats.org/officeDocument/2006/relationships/hyperlink" Target="https://www.google.com/url?q=https://github.com/LeTrongDat/CompetitiveProgramming/blob/master/IZhO/IZhO17-road.cpp&amp;sa=D&amp;ust=1605639801972000&amp;usg=AFQjCNHqr4Q9moOHlO-rYqU3km3kfmdLLg" TargetMode="External"/><Relationship Id="rId57" Type="http://schemas.openxmlformats.org/officeDocument/2006/relationships/hyperlink" Target="https://www.google.com/url?q=https://github.com/mostafa-saad/MyCompetitiveProgramming/blob/master/Olympiad/POI/official/find_editorial_sols_guidelines.txt&amp;sa=D&amp;ust=1605639798684000&amp;usg=AFQjCNFd-t0P4IOPvL6jVa2Bo4SccezEjg" TargetMode="External"/><Relationship Id="rId1418" Type="http://schemas.openxmlformats.org/officeDocument/2006/relationships/hyperlink" Target="https://www.google.com/url?q=https://www.infoarena.ro/problema/jsched&amp;sa=D&amp;ust=1605639800302000&amp;usg=AFQjCNEVfiATlYjtxDkrToUaVvpi4mrT1A" TargetMode="External"/><Relationship Id="rId1972" Type="http://schemas.openxmlformats.org/officeDocument/2006/relationships/hyperlink" Target="https://www.google.com/url?q=https://cses.fi/191/list/&amp;sa=D&amp;ust=1605639800714000&amp;usg=AFQjCNHEpYFl1-ph01Z5Q62U8G2ak8pItQ" TargetMode="External"/><Relationship Id="rId2816" Type="http://schemas.openxmlformats.org/officeDocument/2006/relationships/hyperlink" Target="https://www.google.com/url?q=https://dmoj.ca/problem/coci14c5p2&amp;sa=D&amp;ust=1605639802175000&amp;usg=AFQjCNHVzu7Kmphr_yeOg89k-3-wDsYrSQ" TargetMode="External"/><Relationship Id="rId1625" Type="http://schemas.openxmlformats.org/officeDocument/2006/relationships/hyperlink" Target="https://www.google.com/url?q=https://github.com/mostafa-saad/MyCompetitiveProgramming/blob/master/Olympiad/POI/POI-14-Supercomputer.txt&amp;sa=D&amp;ust=1605639800468000&amp;usg=AFQjCNHfsitof_8HYRY_BOoVIRcrHgzn3w" TargetMode="External"/><Relationship Id="rId1832" Type="http://schemas.openxmlformats.org/officeDocument/2006/relationships/hyperlink" Target="https://www.google.com/url?q=https://szkopul.edu.pl/problemset/problem/w3YAoAT3ej27YeiaNWjK57_G/site/&amp;sa=D&amp;ust=1605639800602000&amp;usg=AFQjCNG-RY-TKF_ljJlWx8N53fXCN77pmw" TargetMode="External"/><Relationship Id="rId2399" Type="http://schemas.openxmlformats.org/officeDocument/2006/relationships/hyperlink" Target="https://www.google.com/url?q=https://dmoj.ca/problem/coci13c1p1&amp;sa=D&amp;ust=1605639801706000&amp;usg=AFQjCNGizyeWdrTZoNJe13L_0MdtriS4ew" TargetMode="External"/><Relationship Id="rId578" Type="http://schemas.openxmlformats.org/officeDocument/2006/relationships/hyperlink" Target="https://www.google.com/url?q=https://www.infoarena.ro/problema/minim2&amp;sa=D&amp;ust=1605639799119000&amp;usg=AFQjCNFwNKkm4qhnli5UtzKmVMW8wwU7GQ" TargetMode="External"/><Relationship Id="rId785" Type="http://schemas.openxmlformats.org/officeDocument/2006/relationships/hyperlink" Target="https://www.google.com/url?q=https://oj.uz/problem/view/COI15_ruka&amp;sa=D&amp;ust=1605639799768000&amp;usg=AFQjCNFT5BD3N6LeFdJqqy3MvdLcI87vqw" TargetMode="External"/><Relationship Id="rId992" Type="http://schemas.openxmlformats.org/officeDocument/2006/relationships/hyperlink" Target="https://www.google.com/url?q=https://github.com/mostafa-saad/MyCompetitiveProgramming/blob/master/Olympiad/COCI/COCI-08-Slikar.txt&amp;sa=D&amp;ust=1605639799979000&amp;usg=AFQjCNHsKcwmKOaF84bqDndkoEJk0pfE-w" TargetMode="External"/><Relationship Id="rId2259" Type="http://schemas.openxmlformats.org/officeDocument/2006/relationships/hyperlink" Target="https://www.google.com/url?q=https://szkopul.edu.pl/problemset/problem/MVjuhH4JZu17rusHweyEdyJx/site/&amp;sa=D&amp;ust=1605639800911000&amp;usg=AFQjCNF6ODTxkeNsaVGUlwJa7thD9Z7Mdg" TargetMode="External"/><Relationship Id="rId2466" Type="http://schemas.openxmlformats.org/officeDocument/2006/relationships/hyperlink" Target="https://www.google.com/url?q=https://github.com/stefdasca/CompetitiveProgramming/blob/master/Infoarena/cifra4.cpp&amp;sa=D&amp;ust=1605639801797000&amp;usg=AFQjCNGHV-EveIwCj_ZbXFgCY6wqxp0u2A" TargetMode="External"/><Relationship Id="rId2673" Type="http://schemas.openxmlformats.org/officeDocument/2006/relationships/hyperlink" Target="https://www.google.com/url?q=https://github.com/tmwilliamlin168/CompetitiveProgramming/blob/master/POI/25-Polynomial.cpp&amp;sa=D&amp;ust=1605639802000000&amp;usg=AFQjCNEBCzMV6JtuNy6o_xWxeoQygqQQIQ" TargetMode="External"/><Relationship Id="rId2880" Type="http://schemas.openxmlformats.org/officeDocument/2006/relationships/hyperlink" Target="https://www.google.com/url?q=https://dunjudge.me/analysis/problems/1661/&amp;sa=D&amp;ust=1605639802266000&amp;usg=AFQjCNHvaz6ll_e06qd-fCAwy3eKKoytGA" TargetMode="External"/><Relationship Id="rId438" Type="http://schemas.openxmlformats.org/officeDocument/2006/relationships/hyperlink" Target="https://www.google.com/url?q=https://github.com/mostafa-saad/MyCompetitiveProgramming/blob/master/Olympiad/CCO/CCOMock-17-Connection.txt&amp;sa=D&amp;ust=1605639799001000&amp;usg=AFQjCNGSOIOC7EOunlf5jnCXkUJXm3JoHg" TargetMode="External"/><Relationship Id="rId645" Type="http://schemas.openxmlformats.org/officeDocument/2006/relationships/hyperlink" Target="https://www.google.com/url?q=https://github.com/tmwilliamlin168/CompetitiveProgramming/blob/master/JOI/19O-Jumps.cpp&amp;sa=D&amp;ust=1605639799641000&amp;usg=AFQjCNEgQmeujxmF4LhJwQS-cpngWojiEQ" TargetMode="External"/><Relationship Id="rId852" Type="http://schemas.openxmlformats.org/officeDocument/2006/relationships/hyperlink" Target="https://www.google.com/url?q=https://oj.uz/problem/view/BOI15_tug&amp;sa=D&amp;ust=1605639799869000&amp;usg=AFQjCNEj1DLUnsxDXEDXH9oEX3dWq8Q_TA" TargetMode="External"/><Relationship Id="rId1068" Type="http://schemas.openxmlformats.org/officeDocument/2006/relationships/hyperlink" Target="https://www.google.com/url?q=https://dmoj.ca/problem/ccc18s4&amp;sa=D&amp;ust=1605639800008000&amp;usg=AFQjCNFEHVzIKkdXOy2pQvu15zDhhqMU6g" TargetMode="External"/><Relationship Id="rId1275" Type="http://schemas.openxmlformats.org/officeDocument/2006/relationships/hyperlink" Target="https://www.google.com/url?q=https://github.com/mostafa-saad/MyCompetitiveProgramming/blob/master/Olympiad/Balkan/Balkan-18-popa.txt&amp;sa=D&amp;ust=1605639800193000&amp;usg=AFQjCNHhQrCgAot_gha9UOG3IVTiN6lVIA" TargetMode="External"/><Relationship Id="rId1482" Type="http://schemas.openxmlformats.org/officeDocument/2006/relationships/hyperlink" Target="https://www.google.com/url?q=https://oj.uz/problem/view/POI11_wyk&amp;sa=D&amp;ust=1605639800373000&amp;usg=AFQjCNE0lqeBP1FeCigyH373vspjzbvTnA" TargetMode="External"/><Relationship Id="rId2119" Type="http://schemas.openxmlformats.org/officeDocument/2006/relationships/hyperlink" Target="https://www.google.com/url?q=https://szkopul.edu.pl/problemset/problem/O730xgZEVynTWBmscBinhMbD/site/&amp;sa=D&amp;ust=1605639800816000&amp;usg=AFQjCNEPuNBKp-V1L-mUajwWKDwHeE_ydw" TargetMode="External"/><Relationship Id="rId2326" Type="http://schemas.openxmlformats.org/officeDocument/2006/relationships/hyperlink" Target="https://www.google.com/url?q=https://github.com/mostafa-saad/MyCompetitiveProgramming/blob/master/Olympiad/CEOI/official/2013&amp;sa=D&amp;ust=1605639801606000&amp;usg=AFQjCNGTjyO4yN95kDjZt5GqECh6kQSurg" TargetMode="External"/><Relationship Id="rId2533" Type="http://schemas.openxmlformats.org/officeDocument/2006/relationships/hyperlink" Target="https://www.google.com/url?q=https://szkopul.edu.pl/problemset/problem/ovRIpLFK3IhyFPjnVXeZtGxH/site/?key%3Dstatement&amp;sa=D&amp;ust=1605639801872000&amp;usg=AFQjCNG0sOrzfPeoHZQasd_6Ao4QRoQOaw" TargetMode="External"/><Relationship Id="rId2740" Type="http://schemas.openxmlformats.org/officeDocument/2006/relationships/hyperlink" Target="https://www.google.com/url?q=https://github.com/mostafa-saad/MyCompetitiveProgramming/tree/master/Olympiad/COCI/official/2008/contest5_solutions&amp;sa=D&amp;ust=1605639802089000&amp;usg=AFQjCNH2X-yrW5nyausbTap_xM5xC8oMbA" TargetMode="External"/><Relationship Id="rId505" Type="http://schemas.openxmlformats.org/officeDocument/2006/relationships/hyperlink" Target="https://www.google.com/url?q=https://github.com/stefdasca/CompetitiveProgramming/blob/master/Info1Cup/National%2520Round/Simple%2520(Ro)%2520(1).pdf&amp;sa=D&amp;ust=1605639799088000&amp;usg=AFQjCNEz1roCl0C3OUsZrTFy9HL6XH9Wmg" TargetMode="External"/><Relationship Id="rId712" Type="http://schemas.openxmlformats.org/officeDocument/2006/relationships/hyperlink" Target="https://www.google.com/url?q=https://open.kattis.com/problem-sources/Baltic%2520Olympiad%2520in%2520Informatics%25202017%252C%2520Day%25201&amp;sa=D&amp;ust=1605639799678000&amp;usg=AFQjCNHEHIX2SKj572w1o-ByxvwPDECk3w" TargetMode="External"/><Relationship Id="rId1135" Type="http://schemas.openxmlformats.org/officeDocument/2006/relationships/hyperlink" Target="https://www.google.com/url?q=https://oj.uz/problem/view/COCI18_mate&amp;sa=D&amp;ust=1605639800086000&amp;usg=AFQjCNEFW-AGC3mrTiPxZjqLfcR5Y0xRnw" TargetMode="External"/><Relationship Id="rId1342" Type="http://schemas.openxmlformats.org/officeDocument/2006/relationships/hyperlink" Target="https://www.google.com/url?q=https://github.com/mostafa-saad/MyCompetitiveProgramming/tree/master/Olympiad/IOI/official/2019&amp;sa=D&amp;ust=1605639800221000&amp;usg=AFQjCNEmy4j660Rc_3t-AEaIDSsYy0wm7A" TargetMode="External"/><Relationship Id="rId1202" Type="http://schemas.openxmlformats.org/officeDocument/2006/relationships/hyperlink" Target="https://www.google.com/url?q=https://github.com/mostafa-saad/MyCompetitiveProgramming/blob/master/Olympiad/POI/POI-04-Passage.txt&amp;sa=D&amp;ust=1605639800167000&amp;usg=AFQjCNHum-o2d0vxh1Wf1GWRZQW9rKXaKg" TargetMode="External"/><Relationship Id="rId2600" Type="http://schemas.openxmlformats.org/officeDocument/2006/relationships/hyperlink" Target="https://www.google.com/url?q=https://csacademy.com/contest/round-78/task/xor-transform/&amp;sa=D&amp;ust=1605639801902000&amp;usg=AFQjCNGJLk6kin1nhemiUVff-_08Ik8g0Q" TargetMode="External"/><Relationship Id="rId295" Type="http://schemas.openxmlformats.org/officeDocument/2006/relationships/hyperlink" Target="https://www.google.com/url?q=https://wcipeg.com/problem/coci071p2&amp;sa=D&amp;ust=1605639798881000&amp;usg=AFQjCNHB-ciL47cFPUfl_fSVyzLrvGmJ2g" TargetMode="External"/><Relationship Id="rId2183" Type="http://schemas.openxmlformats.org/officeDocument/2006/relationships/hyperlink" Target="https://www.google.com/url?q=https://github.com/mostafa-saad/MyCompetitiveProgramming/blob/master/Olympiad/NOI/official/2011.pptx&amp;sa=D&amp;ust=1605639800881000&amp;usg=AFQjCNHKeldyuvw4a-ch5iOiU4wkYu9TzQ" TargetMode="External"/><Relationship Id="rId2390" Type="http://schemas.openxmlformats.org/officeDocument/2006/relationships/hyperlink" Target="https://www.google.com/url?q=https://contest.yandex.ru/ioi/contest/570/enter/&amp;sa=D&amp;ust=1605639801703000&amp;usg=AFQjCNEXTpArhJuBgcBnkzr_AQoCvse1Bw" TargetMode="External"/><Relationship Id="rId155" Type="http://schemas.openxmlformats.org/officeDocument/2006/relationships/hyperlink" Target="https://www.google.com/url?q=https://oj.uz/problem/view/NOI13_gw&amp;sa=D&amp;ust=1605639798774000&amp;usg=AFQjCNFMNUl-Wb0EaHJ2C2aD52SEPztbIw" TargetMode="External"/><Relationship Id="rId362" Type="http://schemas.openxmlformats.org/officeDocument/2006/relationships/hyperlink" Target="https://www.google.com/url?q=https://dmoj.ca/problem/coci06c2p1&amp;sa=D&amp;ust=1605639798909000&amp;usg=AFQjCNEGrW8e1zTdx-N3_2mR50FROoI9eA" TargetMode="External"/><Relationship Id="rId2043" Type="http://schemas.openxmlformats.org/officeDocument/2006/relationships/hyperlink" Target="https://www.google.com/url?q=https://github.com/tmwilliamlin168/CompetitiveProgramming/blob/master/JOI/19O-Virus.cpp&amp;sa=D&amp;ust=1605639800785000&amp;usg=AFQjCNHlWQP7dDdywpTuchRlJRMiv3-HCQ" TargetMode="External"/><Relationship Id="rId2250" Type="http://schemas.openxmlformats.org/officeDocument/2006/relationships/hyperlink" Target="https://www.google.com/url?q=https://github.com/mostafa-saad/MyCompetitiveProgramming/tree/master/Olympiad/CEOI/official/2003&amp;sa=D&amp;ust=1605639800908000&amp;usg=AFQjCNH79l-CSdG3Cg7RgfvDtctESwM-fg" TargetMode="External"/><Relationship Id="rId222" Type="http://schemas.openxmlformats.org/officeDocument/2006/relationships/hyperlink" Target="https://www.google.com/url?q=https://dunjudge.me/analysis/problems/1411/&amp;sa=D&amp;ust=1605639798799000&amp;usg=AFQjCNGM48uI3Qgrk9Vldaabz2rGNAzHPw" TargetMode="External"/><Relationship Id="rId2110" Type="http://schemas.openxmlformats.org/officeDocument/2006/relationships/hyperlink" Target="https://www.google.com/url?q=https://oj.uz/problem/view/IZhO17_bomb&amp;sa=D&amp;ust=1605639800811000&amp;usg=AFQjCNFzEGfCd9ts_qJv2cR20WHaIepcbw" TargetMode="External"/><Relationship Id="rId1669" Type="http://schemas.openxmlformats.org/officeDocument/2006/relationships/hyperlink" Target="https://www.google.com/url?q=https://oj.uz/problem/view/COI14_mostovi&amp;sa=D&amp;ust=1605639800486000&amp;usg=AFQjCNG6ktnsB4kT86PZUZuJ_-v_0Ol2Dw" TargetMode="External"/><Relationship Id="rId1876" Type="http://schemas.openxmlformats.org/officeDocument/2006/relationships/hyperlink" Target="https://www.google.com/url?q=https://oj.uz/problems/source/307&amp;sa=D&amp;ust=1605639800678000&amp;usg=AFQjCNHsHatg0_3lmF4MkYtIYtxg5VgnNA" TargetMode="External"/><Relationship Id="rId2927" Type="http://schemas.openxmlformats.org/officeDocument/2006/relationships/hyperlink" Target="https://www.google.com/url?q=https://joisc2016.contest.atcoder.jp/tasks/joisc2016_f&amp;sa=D&amp;ust=1605639802296000&amp;usg=AFQjCNETOYmKbJp7hPQHNEvRRJLCdEyOpA" TargetMode="External"/><Relationship Id="rId1529" Type="http://schemas.openxmlformats.org/officeDocument/2006/relationships/hyperlink" Target="https://www.google.com/url?q=https://github.com/mostafa-saad/MyCompetitiveProgramming/blob/master/Olympiad/COCI/official/2017/contest5_solutions&amp;sa=D&amp;ust=1605639800391000&amp;usg=AFQjCNHZ_txAuyMH-_F0zZBsV5ML9xRReg" TargetMode="External"/><Relationship Id="rId1736" Type="http://schemas.openxmlformats.org/officeDocument/2006/relationships/hyperlink" Target="https://www.google.com/url?q=https://github.com/mostafa-saad/MyCompetitiveProgramming/blob/master/Olympiad/POI/official/find_editorial_sols_guidelines.txt&amp;sa=D&amp;ust=1605639800518000&amp;usg=AFQjCNHb1y3ntIRRwd7cYUpRY1EIa2Me5g" TargetMode="External"/><Relationship Id="rId1943" Type="http://schemas.openxmlformats.org/officeDocument/2006/relationships/hyperlink" Target="https://www.google.com/url?q=https://github.com/mostafa-saad/MyCompetitiveProgramming/blob/master/Olympiad/JOI/JOISC-15-inheritance.txt&amp;sa=D&amp;ust=1605639800704000&amp;usg=AFQjCNH0vNEDAFWVofCMXz4lSnpRI7fc8w" TargetMode="External"/><Relationship Id="rId28" Type="http://schemas.openxmlformats.org/officeDocument/2006/relationships/hyperlink" Target="https://www.google.com/url?q=https://oj.uz/problem/view/IOI15_towns&amp;sa=D&amp;ust=1605639798674000&amp;usg=AFQjCNG7U5ihWBFvX-rqThCYZOCdl_QqcA" TargetMode="External"/><Relationship Id="rId1803" Type="http://schemas.openxmlformats.org/officeDocument/2006/relationships/hyperlink" Target="https://www.google.com/url?q=https://github.com/mostafa-saad/MyCompetitiveProgramming/blob/master/Olympiad/Baltic/Baltic-15-fil.txt&amp;sa=D&amp;ust=1605639800592000&amp;usg=AFQjCNFw90nTq7kjSNji0OsLKFVIdN1Aeg" TargetMode="External"/><Relationship Id="rId689" Type="http://schemas.openxmlformats.org/officeDocument/2006/relationships/hyperlink" Target="https://www.google.com/url?q=http://blog.brucemerry.org.za/2014/07/&amp;sa=D&amp;ust=1605639799668000&amp;usg=AFQjCNGYaJYUNb7MKJolWSb_v-hVkjz4XA" TargetMode="External"/><Relationship Id="rId896" Type="http://schemas.openxmlformats.org/officeDocument/2006/relationships/hyperlink" Target="https://www.google.com/url?q=https://github.com/mostafa-saad/MyCompetitiveProgramming/blob/master/Olympiad/Baltic/Baltic-12-Brackets.txt&amp;sa=D&amp;ust=1605639799890000&amp;usg=AFQjCNH4_WyHQnMII63SyS9mNFtupHSsCw" TargetMode="External"/><Relationship Id="rId2577" Type="http://schemas.openxmlformats.org/officeDocument/2006/relationships/hyperlink" Target="https://www.google.com/url?q=https://github.com/mostafa-saad/MyCompetitiveProgramming/blob/master/Olympiad/infoarena/infoarena_arbore.txt&amp;sa=D&amp;ust=1605639801894000&amp;usg=AFQjCNGl10LZgEnCgGW1b6S8Jz-gAVyyIg" TargetMode="External"/><Relationship Id="rId2784" Type="http://schemas.openxmlformats.org/officeDocument/2006/relationships/hyperlink" Target="https://www.google.com/url?q=https://github.com/mostafa-saad/MyCompetitiveProgramming/blob/master/Olympiad/COCI/official/2010/contest3_solutions&amp;sa=D&amp;ust=1605639802106000&amp;usg=AFQjCNGXdhdBWONnj-pHnXu0KcS6O3_3mw" TargetMode="External"/><Relationship Id="rId549" Type="http://schemas.openxmlformats.org/officeDocument/2006/relationships/hyperlink" Target="https://www.google.com/url?q=https://github.com/mostafa-saad/MyCompetitiveProgramming/blob/master/Olympiad/IOI/official/2010&amp;sa=D&amp;ust=1605639799106000&amp;usg=AFQjCNGqsaNXrVCjPepXjAb7jbOaZNJdbw" TargetMode="External"/><Relationship Id="rId756" Type="http://schemas.openxmlformats.org/officeDocument/2006/relationships/hyperlink" Target="https://www.google.com/url?q=https://oj.uz/problem/view/JOI15_sterilizing&amp;sa=D&amp;ust=1605639799712000&amp;usg=AFQjCNGXaEI6Y_nEPAIDmNlHYgtrIzhr8A" TargetMode="External"/><Relationship Id="rId1179" Type="http://schemas.openxmlformats.org/officeDocument/2006/relationships/hyperlink" Target="https://www.google.com/url?q=https://github.com/mostafa-saad/MyCompetitiveProgramming/blob/master/Olympiad/CEOI/CEOI-18-Cloud.txt&amp;sa=D&amp;ust=1605639800111000&amp;usg=AFQjCNGgNoa54fmCUNtJ4eGTuYtnkxcqXw" TargetMode="External"/><Relationship Id="rId1386" Type="http://schemas.openxmlformats.org/officeDocument/2006/relationships/hyperlink" Target="https://www.google.com/url?q=http://usaco.org/index.php?page%3Dviewproblem2%26cpid%3D496&amp;sa=D&amp;ust=1605639800289000&amp;usg=AFQjCNH7Pgt-5SwvdDh_qvSh9wAODe3MxA" TargetMode="External"/><Relationship Id="rId1593" Type="http://schemas.openxmlformats.org/officeDocument/2006/relationships/hyperlink" Target="https://www.google.com/url?q=https://szkopul.edu.pl/problemset/problem/o09s2TblWuB1BP9isQT7VIkG/site/&amp;sa=D&amp;ust=1605639800416000&amp;usg=AFQjCNGN6pavpCCTbbgdsIeXJe2t3KApRg" TargetMode="External"/><Relationship Id="rId2437" Type="http://schemas.openxmlformats.org/officeDocument/2006/relationships/hyperlink" Target="https://www.google.com/url?q=https://codeforces.com/group/swEqtABRxe/contest/243427/problem/B&amp;sa=D&amp;ust=1605639801785000&amp;usg=AFQjCNEs9tHmKmziyOzcOm_00w_ANPqlFA" TargetMode="External"/><Relationship Id="rId2991" Type="http://schemas.openxmlformats.org/officeDocument/2006/relationships/hyperlink" Target="https://www.google.com/url?q=https://szkopul.edu.pl/problemset/problem/0KG8REkSLNnY5sVkm7Aei_R7/site/&amp;sa=D&amp;ust=1605639802385000&amp;usg=AFQjCNG6FEFkgoi_foXjio9qR9QMVoWlHw" TargetMode="External"/><Relationship Id="rId409" Type="http://schemas.openxmlformats.org/officeDocument/2006/relationships/hyperlink" Target="https://www.google.com/url?q=https://oj.uz/problem/view/JOI19_ho_t1&amp;sa=D&amp;ust=1605639798989000&amp;usg=AFQjCNH-aBUCU-sojN0eT6lie8tESIvfEA" TargetMode="External"/><Relationship Id="rId963" Type="http://schemas.openxmlformats.org/officeDocument/2006/relationships/hyperlink" Target="https://www.google.com/url?q=https://github.com/mostafa-saad/MyCompetitiveProgramming/blob/master/Olympiad/IOI/IOI-15-boxes.txt&amp;sa=D&amp;ust=1605639799965000&amp;usg=AFQjCNH0mYxWmqBWmS_HZlcXSAxXqdghrQ" TargetMode="External"/><Relationship Id="rId1039" Type="http://schemas.openxmlformats.org/officeDocument/2006/relationships/hyperlink" Target="https://www.google.com/url?q=https://github.com/stefdasca/CompetitiveProgramming/blob/master/Infoarena/zip.cpp&amp;sa=D&amp;ust=1605639799996000&amp;usg=AFQjCNHYHMlOZxr4UyBhTwAghRfku_IDUg" TargetMode="External"/><Relationship Id="rId1246" Type="http://schemas.openxmlformats.org/officeDocument/2006/relationships/hyperlink" Target="https://www.google.com/url?q=https://github.com/thecodingwizard/competitive-programming/blob/master/USACO/2019dec/pieaters.cpp&amp;sa=D&amp;ust=1605639800183000&amp;usg=AFQjCNEnZBTdyrW9LtFwDFF4xIpg0VDuXQ" TargetMode="External"/><Relationship Id="rId2644" Type="http://schemas.openxmlformats.org/officeDocument/2006/relationships/hyperlink" Target="https://www.google.com/url?q=http://usaco.org/index.php?page%3Dviewproblem2%26cpid%3D213&amp;sa=D&amp;ust=1605639801985000&amp;usg=AFQjCNHbCBax3cf7BHtoZYt-7RipbD6kHA" TargetMode="External"/><Relationship Id="rId2851" Type="http://schemas.openxmlformats.org/officeDocument/2006/relationships/hyperlink" Target="https://www.google.com/url?q=https://oj.uz/problem/view/info1cup18_balancedtree&amp;sa=D&amp;ust=1605639802198000&amp;usg=AFQjCNE3ZaSgogWtlDFWnMWK7w7NjL8dzA" TargetMode="External"/><Relationship Id="rId92" Type="http://schemas.openxmlformats.org/officeDocument/2006/relationships/hyperlink" Target="https://www.google.com/url?q=https://csacademy.com/contest/archive/task/borland&amp;sa=D&amp;ust=1605639798712000&amp;usg=AFQjCNF5jhwnV7D-tcbmnaW3gcX35A2doA" TargetMode="External"/><Relationship Id="rId616" Type="http://schemas.openxmlformats.org/officeDocument/2006/relationships/hyperlink" Target="https://www.google.com/url?q=https://github.com/nikolapesic2802/Programming-Practice/blob/master/Cycle/main.cpp&amp;sa=D&amp;ust=1605639799168000&amp;usg=AFQjCNELcQq6U-0-znTjxfNDZThkSm2DTw" TargetMode="External"/><Relationship Id="rId823" Type="http://schemas.openxmlformats.org/officeDocument/2006/relationships/hyperlink" Target="https://www.google.com/url?q=https://oj.uz/problem/view/JOI19_dishes&amp;sa=D&amp;ust=1605639799794000&amp;usg=AFQjCNEW4yrN8JznPDi6jTaYysLg-q9gKg" TargetMode="External"/><Relationship Id="rId1453" Type="http://schemas.openxmlformats.org/officeDocument/2006/relationships/hyperlink" Target="https://www.google.com/url?q=https://github.com/mostafa-saad/MyCompetitiveProgramming/blob/master/Olympiad/POI/POI-16-Not_Nim.txt&amp;sa=D&amp;ust=1605639800318000&amp;usg=AFQjCNH6HYn_rT3yAREM8h5Uv4ovi-7DGg" TargetMode="External"/><Relationship Id="rId1660" Type="http://schemas.openxmlformats.org/officeDocument/2006/relationships/hyperlink" Target="https://www.google.com/url?q=https://github.com/mostafa-saad/MyCompetitiveProgramming/blob/master/Olympiad/JOI/JOIOC-17-amusementPark.txt&amp;sa=D&amp;ust=1605639800483000&amp;usg=AFQjCNG86r26eyVQa1w5nHuTozfPvsu3fQ" TargetMode="External"/><Relationship Id="rId2504" Type="http://schemas.openxmlformats.org/officeDocument/2006/relationships/hyperlink" Target="https://www.google.com/url?q=http://usaco.org/index.php?page%3Dviewproblem2%26cpid%3D817&amp;sa=D&amp;ust=1605639801811000&amp;usg=AFQjCNE7SzKkSxP8o26gV3ax8_tU_yKbLw" TargetMode="External"/><Relationship Id="rId2711" Type="http://schemas.openxmlformats.org/officeDocument/2006/relationships/hyperlink" Target="https://www.google.com/url?q=https://wcipeg.com/problem/coci065p4&amp;sa=D&amp;ust=1605639802075000&amp;usg=AFQjCNFl6zbgE_r1tI0TDCfVGkSQ1ZatFw" TargetMode="External"/><Relationship Id="rId1106" Type="http://schemas.openxmlformats.org/officeDocument/2006/relationships/hyperlink" Target="https://www.google.com/url?q=https://github.com/mostafa-saad/MyCompetitiveProgramming/blob/master/Olympiad/POI/official/find_editorial_sols_guidelines.txt&amp;sa=D&amp;ust=1605639800073000&amp;usg=AFQjCNFY7-Y9pT6Y_D_27Bs25x6Tr3EuKA" TargetMode="External"/><Relationship Id="rId1313" Type="http://schemas.openxmlformats.org/officeDocument/2006/relationships/hyperlink" Target="https://www.google.com/url?q=https://oj.uz/problem/view/JOI17_long_mansion&amp;sa=D&amp;ust=1605639800207000&amp;usg=AFQjCNF0PYkla7CoN6dT_Dwg1u22i05l7A" TargetMode="External"/><Relationship Id="rId1520" Type="http://schemas.openxmlformats.org/officeDocument/2006/relationships/hyperlink" Target="https://www.google.com/url?q=https://cses.fi/108/list/&amp;sa=D&amp;ust=1605639800388000&amp;usg=AFQjCNHqv6JAWlI9MsWNf1dkSCGp6FbGlQ" TargetMode="External"/><Relationship Id="rId199" Type="http://schemas.openxmlformats.org/officeDocument/2006/relationships/hyperlink" Target="https://www.google.com/url?q=https://github.com/mostafa-saad/MyCompetitiveProgramming/blob/master/Olympiad/COCI/official/2014/contest1_solutions&amp;sa=D&amp;ust=1605639798789000&amp;usg=AFQjCNHROj_HFuZqKZ4cdW9UzI_D3WWETg" TargetMode="External"/><Relationship Id="rId2087" Type="http://schemas.openxmlformats.org/officeDocument/2006/relationships/hyperlink" Target="https://www.google.com/url?q=https://www.infoarena.ro/problema/casute&amp;sa=D&amp;ust=1605639800804000&amp;usg=AFQjCNGN4RzjiRqtcHOp_UfTh3FFcXWl9w" TargetMode="External"/><Relationship Id="rId2294" Type="http://schemas.openxmlformats.org/officeDocument/2006/relationships/hyperlink" Target="https://www.google.com/url?q=https://codeforces.com/group/R2SERIff4f/contest/213171&amp;sa=D&amp;ust=1605639801575000&amp;usg=AFQjCNH-YXYjGmEEi1awVNvp3kUt38oh9w" TargetMode="External"/><Relationship Id="rId266" Type="http://schemas.openxmlformats.org/officeDocument/2006/relationships/hyperlink" Target="https://www.google.com/url?q=https://github.com/mostafa-saad/MyCompetitiveProgramming/blob/master/Olympiad/NOI/official&amp;sa=D&amp;ust=1605639798869000&amp;usg=AFQjCNGdWaFOLhEcTXckYNyTbjwTezHJYg" TargetMode="External"/><Relationship Id="rId473" Type="http://schemas.openxmlformats.org/officeDocument/2006/relationships/hyperlink" Target="https://www.google.com/url?q=https://github.com/mostafa-saad/MyCompetitiveProgramming/blob/master/Olympiad/IOI/IOI-13-robots.txt&amp;sa=D&amp;ust=1605639799015000&amp;usg=AFQjCNErU9qHAvB8BoGM236T5V7pLgiLlA" TargetMode="External"/><Relationship Id="rId680" Type="http://schemas.openxmlformats.org/officeDocument/2006/relationships/hyperlink" Target="https://www.google.com/url?q=https://dunjudge.me/analysis/problems/803/&amp;sa=D&amp;ust=1605639799664000&amp;usg=AFQjCNG9BRDVHenMOx7iaUJ7lMpAFuFM1Q" TargetMode="External"/><Relationship Id="rId2154" Type="http://schemas.openxmlformats.org/officeDocument/2006/relationships/hyperlink" Target="https://www.google.com/url?q=https://github.com/mostafa-saad/MyCompetitiveProgramming/blob/master/Olympiad/CEOI/CEOI-03-Therace.txt&amp;sa=D&amp;ust=1605639800869000&amp;usg=AFQjCNET1KQzK3jX5Nc_tOBIzKSQrHBOeg" TargetMode="External"/><Relationship Id="rId2361" Type="http://schemas.openxmlformats.org/officeDocument/2006/relationships/hyperlink" Target="https://www.google.com/url?q=https://infoarena.ro/problema/poarta2&amp;sa=D&amp;ust=1605639801679000&amp;usg=AFQjCNFfxVPqP3Us1UM6Ao2YvS9GG6gbUg" TargetMode="External"/><Relationship Id="rId126" Type="http://schemas.openxmlformats.org/officeDocument/2006/relationships/hyperlink" Target="https://www.google.com/url?q=https://oj.uz/problems/source/351&amp;sa=D&amp;ust=1605639798724000&amp;usg=AFQjCNHHOkY-UJzKB8ridp2QPzf_uDlncQ" TargetMode="External"/><Relationship Id="rId333" Type="http://schemas.openxmlformats.org/officeDocument/2006/relationships/hyperlink" Target="https://www.google.com/url?q=https://oj.uz/problem/view/IZhO11_triangle&amp;sa=D&amp;ust=1605639798898000&amp;usg=AFQjCNFMPwtwkxocYpV0UvDy6mv-xng9zw" TargetMode="External"/><Relationship Id="rId540" Type="http://schemas.openxmlformats.org/officeDocument/2006/relationships/hyperlink" Target="https://www.google.com/url?q=https://codeforces.com/group/swEqtABRxe/contest/227527/problem/A&amp;sa=D&amp;ust=1605639799104000&amp;usg=AFQjCNHaUcAsL_8aon2fIDTuhXKEP4wi1g" TargetMode="External"/><Relationship Id="rId1170" Type="http://schemas.openxmlformats.org/officeDocument/2006/relationships/hyperlink" Target="https://www.google.com/url?q=https://dmoj.ca/problem/coci14c4p6&amp;sa=D&amp;ust=1605639800108000&amp;usg=AFQjCNEfvTjZay3e2IFTDcubHNCg-vEeWg" TargetMode="External"/><Relationship Id="rId2014" Type="http://schemas.openxmlformats.org/officeDocument/2006/relationships/hyperlink" Target="https://www.google.com/url?q=https://github.com/tsouza0/CompetitiveProgramming/blob/master/Olympiads/Canada/cco/ccoprep4/p3.cpp&amp;sa=D&amp;ust=1605639800774000&amp;usg=AFQjCNG8_qSR3Do9Qp1MrijBJOviZ0JOPQ" TargetMode="External"/><Relationship Id="rId2221" Type="http://schemas.openxmlformats.org/officeDocument/2006/relationships/hyperlink" Target="https://www.google.com/url?q=https://www.infoarena.ro/problema/cifru&amp;sa=D&amp;ust=1605639800897000&amp;usg=AFQjCNF2wq4IhkftjWWSYIa9i6vvfEE2HQ" TargetMode="External"/><Relationship Id="rId1030" Type="http://schemas.openxmlformats.org/officeDocument/2006/relationships/hyperlink" Target="https://www.google.com/url?q=https://boi18-practice-open.kattis.com/problems&amp;sa=D&amp;ust=1605639799991000&amp;usg=AFQjCNHA0mMuG1-0HQDFTkyqdyjrgMtM7Q" TargetMode="External"/><Relationship Id="rId400" Type="http://schemas.openxmlformats.org/officeDocument/2006/relationships/hyperlink" Target="https://www.google.com/url?q=https://contest.yandex.ru/snss2018/contest/8760/problems/B&amp;sa=D&amp;ust=1605639798983000&amp;usg=AFQjCNG2iOnrGAd1463yvUStMnyDICkWAQ" TargetMode="External"/><Relationship Id="rId1987" Type="http://schemas.openxmlformats.org/officeDocument/2006/relationships/hyperlink" Target="https://www.google.com/url?q=https://github.com/mostafa-saad/MyCompetitiveProgramming/tree/master/Olympiad/CEOI/official/2008&amp;sa=D&amp;ust=1605639800720000&amp;usg=AFQjCNEE5mG3QfExgBFjzR6ceOIkG3uwvw" TargetMode="External"/><Relationship Id="rId1847" Type="http://schemas.openxmlformats.org/officeDocument/2006/relationships/hyperlink" Target="https://www.google.com/url?q=https://github.com/mostafa-saad/MyCompetitiveProgramming/blob/master/Olympiad/POI/official/find_editorial_sols_guidelines.txt&amp;sa=D&amp;ust=1605639800607000&amp;usg=AFQjCNE-UQ602fMJyMi0pH8OsldE86lHrw" TargetMode="External"/><Relationship Id="rId1707" Type="http://schemas.openxmlformats.org/officeDocument/2006/relationships/hyperlink" Target="https://www.google.com/url?q=https://dmoj.ca/problem/coci08c3p5&amp;sa=D&amp;ust=1605639800501000&amp;usg=AFQjCNENF8OQQD5VKfcfVts8qk6UORM1SA" TargetMode="External"/><Relationship Id="rId190" Type="http://schemas.openxmlformats.org/officeDocument/2006/relationships/hyperlink" Target="https://www.google.com/url?q=http://usaco.org/index.php?page%3Dviewproblem2%26cpid%3D946&amp;sa=D&amp;ust=1605639798786000&amp;usg=AFQjCNHJbOp8ny8fyZjSPla3ULTyGHkq2w" TargetMode="External"/><Relationship Id="rId1914" Type="http://schemas.openxmlformats.org/officeDocument/2006/relationships/hyperlink" Target="https://www.google.com/url?q=https://joi2013ho.contest.atcoder.jp/tasks/joi2013ho1&amp;sa=D&amp;ust=1605639800694000&amp;usg=AFQjCNG0sd8_9UGMXXw6VF1Qlauet9DSNQ" TargetMode="External"/><Relationship Id="rId2688" Type="http://schemas.openxmlformats.org/officeDocument/2006/relationships/hyperlink" Target="https://www.google.com/url?q=https://cses.fi/110/list/&amp;sa=D&amp;ust=1605639802007000&amp;usg=AFQjCNEuxHTNyXrsGQSZAJTAwFb9UwBq4A" TargetMode="External"/><Relationship Id="rId2895" Type="http://schemas.openxmlformats.org/officeDocument/2006/relationships/hyperlink" Target="https://www.google.com/url?q=https://joisc2014.contest.atcoder.jp/tasks/joisc2014_k&amp;sa=D&amp;ust=1605639802274000&amp;usg=AFQjCNHDON28GWHPHtfa6jRVJv-bI_qSTQ" TargetMode="External"/><Relationship Id="rId867" Type="http://schemas.openxmlformats.org/officeDocument/2006/relationships/hyperlink" Target="https://www.google.com/url?q=https://codeforces.com/blog/entry/58433&amp;sa=D&amp;ust=1605639799874000&amp;usg=AFQjCNGUlP25gObEgzuSlQAlODSBnprAVg" TargetMode="External"/><Relationship Id="rId1497" Type="http://schemas.openxmlformats.org/officeDocument/2006/relationships/hyperlink" Target="https://www.google.com/url?q=https://github.com/mostafa-saad/MyCompetitiveProgramming/blob/master/Olympiad/COCI/official/2012/contest3_solutions&amp;sa=D&amp;ust=1605639800379000&amp;usg=AFQjCNGvoKdNtj1LO-T7ORHyHUMLKkBDdA" TargetMode="External"/><Relationship Id="rId2548" Type="http://schemas.openxmlformats.org/officeDocument/2006/relationships/hyperlink" Target="https://www.google.com/url?q=https://github.com/mostafa-saad/MyCompetitiveProgramming/blob/master/Olympiad/CEOI/CEOI-09-Boxes.txt&amp;sa=D&amp;ust=1605639801878000&amp;usg=AFQjCNEQd-qFvzaIWebrZQQ5-TPvWWbQ1w" TargetMode="External"/><Relationship Id="rId2755" Type="http://schemas.openxmlformats.org/officeDocument/2006/relationships/hyperlink" Target="https://www.google.com/url?q=https://dmoj.ca/problem/coci08c2p1&amp;sa=D&amp;ust=1605639802094000&amp;usg=AFQjCNGXC0CNijWo-yPHcenp4IVy78NTSA" TargetMode="External"/><Relationship Id="rId2962" Type="http://schemas.openxmlformats.org/officeDocument/2006/relationships/hyperlink" Target="https://www.google.com/url?q=https://szkopul.edu.pl/problemset/problem/zQvxlGgoPvqRrAK0TuLeWIRD/site/&amp;sa=D&amp;ust=1605639802371000&amp;usg=AFQjCNF458E_llkTQrZ_IMzMY4yRyIg1ng" TargetMode="External"/><Relationship Id="rId727" Type="http://schemas.openxmlformats.org/officeDocument/2006/relationships/hyperlink" Target="https://www.google.com/url?q=https://www.infoarena.ro/problema/fibo4&amp;sa=D&amp;ust=1605639799698000&amp;usg=AFQjCNH1fYn5a8PfczXL0Ye-HrhjOFtRjg" TargetMode="External"/><Relationship Id="rId934" Type="http://schemas.openxmlformats.org/officeDocument/2006/relationships/hyperlink" Target="https://www.google.com/url?q=https://github.com/mostafa-saad/MyCompetitiveProgramming/blob/master/Olympiad/infoarena/infoarena_sormin.txt&amp;sa=D&amp;ust=1605639799904000&amp;usg=AFQjCNHGAmEc8K-bnqGoA8QUhfcN27Qx7w" TargetMode="External"/><Relationship Id="rId1357" Type="http://schemas.openxmlformats.org/officeDocument/2006/relationships/hyperlink" Target="https://www.google.com/url?q=https://www.infoarena.ro/problema/aranjare&amp;sa=D&amp;ust=1605639800277000&amp;usg=AFQjCNGCNkkhiCfQZJOiasfXbh_vVX6S9A" TargetMode="External"/><Relationship Id="rId1564" Type="http://schemas.openxmlformats.org/officeDocument/2006/relationships/hyperlink" Target="https://www.google.com/url?q=https://github.com/mostafa-saad/MyCompetitiveProgramming/blob/master/Olympiad/POI/official/find_editorial_sols_guidelines.txt&amp;sa=D&amp;ust=1605639800404000&amp;usg=AFQjCNFpHi9bAnESZ_MxKMbUaURcVEp_sw" TargetMode="External"/><Relationship Id="rId1771" Type="http://schemas.openxmlformats.org/officeDocument/2006/relationships/hyperlink" Target="https://www.google.com/url?q=https://szkopul.edu.pl/problemset/problem/gDw3iFkeVm7ZA3j_16-XR7jI/site/&amp;sa=D&amp;ust=1605639800575000&amp;usg=AFQjCNFERaHRChoIqRDluHRTJxVF-lWSkg" TargetMode="External"/><Relationship Id="rId2408" Type="http://schemas.openxmlformats.org/officeDocument/2006/relationships/hyperlink" Target="https://www.google.com/url?q=https://csacademy.com/contest/ioi-2016-training-round-2/task/increasing_subarrays/&amp;sa=D&amp;ust=1605639801710000&amp;usg=AFQjCNHU862F2HBlHY8mMMBmvBpATULfQQ" TargetMode="External"/><Relationship Id="rId2615" Type="http://schemas.openxmlformats.org/officeDocument/2006/relationships/hyperlink" Target="https://www.google.com/url?q=https://github.com/mostafa-saad/MyCompetitiveProgramming/blob/master/Olympiad/POI/POI-04-Cave.txt&amp;sa=D&amp;ust=1605639801974000&amp;usg=AFQjCNHo3SiOF8C09JOSyL6s5hRs_YE6pA" TargetMode="External"/><Relationship Id="rId2822" Type="http://schemas.openxmlformats.org/officeDocument/2006/relationships/hyperlink" Target="https://www.google.com/url?q=https://oj.uz/problem/view/COCI18_prakticni&amp;sa=D&amp;ust=1605639802177000&amp;usg=AFQjCNHpRyR-3uxXKeSxhLKKfCIehBCAqw" TargetMode="External"/><Relationship Id="rId63" Type="http://schemas.openxmlformats.org/officeDocument/2006/relationships/hyperlink" Target="https://www.google.com/url?q=https://github.com/mostafa-saad/MyCompetitiveProgramming/blob/master/Olympiad/IOI/IOI-04-empodia.txt&amp;sa=D&amp;ust=1605639798688000&amp;usg=AFQjCNHc7p_vfHnIckE80druMPPLQRELAg" TargetMode="External"/><Relationship Id="rId1217" Type="http://schemas.openxmlformats.org/officeDocument/2006/relationships/hyperlink" Target="https://www.google.com/url?q=https://dmoj.ca/problem/coci08c4p6&amp;sa=D&amp;ust=1605639800172000&amp;usg=AFQjCNEk84qOl11G8petx8-AlX9Tp5eHOw" TargetMode="External"/><Relationship Id="rId1424" Type="http://schemas.openxmlformats.org/officeDocument/2006/relationships/hyperlink" Target="https://www.google.com/url?q=https://szkopul.edu.pl/problemset/problem/r6tMTfvQFPAEfQioYMCQndQe/site/&amp;sa=D&amp;ust=1605639800306000&amp;usg=AFQjCNGh50j8SG_y8C5YSbPI1iFk0HcC3A" TargetMode="External"/><Relationship Id="rId1631" Type="http://schemas.openxmlformats.org/officeDocument/2006/relationships/hyperlink" Target="https://www.google.com/url?q=https://github.com/mostafa-saad/MyCompetitiveProgramming/blob/master/Olympiad/APIO/APIO-11-Path.txt&amp;sa=D&amp;ust=1605639800470000&amp;usg=AFQjCNFFi15xghQ-14d6iw5cqxtxzNPokA" TargetMode="External"/><Relationship Id="rId2198" Type="http://schemas.openxmlformats.org/officeDocument/2006/relationships/hyperlink" Target="https://www.google.com/url?q=https://dunjudge.me/analysis/problems/933/&amp;sa=D&amp;ust=1605639800887000&amp;usg=AFQjCNGxtzzbZp5jmaBiSi1LkNqn6xGiug" TargetMode="External"/><Relationship Id="rId377" Type="http://schemas.openxmlformats.org/officeDocument/2006/relationships/hyperlink" Target="https://www.google.com/url?q=https://oj.uz/problem/view/COCI15_pot&amp;sa=D&amp;ust=1605639798975000&amp;usg=AFQjCNEi3iOCpAX_UqSXj63f0mrI98_34A" TargetMode="External"/><Relationship Id="rId584" Type="http://schemas.openxmlformats.org/officeDocument/2006/relationships/hyperlink" Target="https://www.google.com/url?q=https://oj.uz/problem/view/IOI16_dna&amp;sa=D&amp;ust=1605639799121000&amp;usg=AFQjCNH_MTeWyLuAZPgyy1txMp_mZ6ezYw" TargetMode="External"/><Relationship Id="rId2058" Type="http://schemas.openxmlformats.org/officeDocument/2006/relationships/hyperlink" Target="https://www.google.com/url?q=https://oj.uz/problems/source/245&amp;sa=D&amp;ust=1605639800793000&amp;usg=AFQjCNEzwBfOC5hODp9GWsly5PDIlPymww" TargetMode="External"/><Relationship Id="rId2265" Type="http://schemas.openxmlformats.org/officeDocument/2006/relationships/hyperlink" Target="https://www.google.com/url?q=https://szkopul.edu.pl/problemset/problem/W54iZIwStF1TYWRxa1bdVPQo/site/&amp;sa=D&amp;ust=1605639801557000&amp;usg=AFQjCNH31Y3gVcRyXAZOGRXuuTazM5FCgA" TargetMode="External"/><Relationship Id="rId237" Type="http://schemas.openxmlformats.org/officeDocument/2006/relationships/hyperlink" Target="https://www.google.com/url?q=https://wcipeg.com/problem/coci067p2&amp;sa=D&amp;ust=1605639798804000&amp;usg=AFQjCNFMpIF9yjQHHp6FGm74oafftaCjAQ" TargetMode="External"/><Relationship Id="rId791" Type="http://schemas.openxmlformats.org/officeDocument/2006/relationships/hyperlink" Target="https://www.google.com/url?q=https://joi2016ho.contest.atcoder.jp/tasks/joi2016ho_e&amp;sa=D&amp;ust=1605639799777000&amp;usg=AFQjCNHDVMk3fPwles39npBtnVdjwBCCdQ" TargetMode="External"/><Relationship Id="rId1074" Type="http://schemas.openxmlformats.org/officeDocument/2006/relationships/hyperlink" Target="https://www.google.com/url?q=https://github.com/mostafa-saad/MyCompetitiveProgramming/blob/master/Olympiad/JOI/JOIOC-13-Watching.txt&amp;sa=D&amp;ust=1605639800013000&amp;usg=AFQjCNEO01vnISp1Z-3mLC5of4kdndhU1g" TargetMode="External"/><Relationship Id="rId2472" Type="http://schemas.openxmlformats.org/officeDocument/2006/relationships/hyperlink" Target="https://www.google.com/url?q=https://github.com/mostafa-saad/MyCompetitiveProgramming/blob/master/Olympiad/Baltic/Baltic-07-Points.txt&amp;sa=D&amp;ust=1605639801798000&amp;usg=AFQjCNGFTqANZZZ6-FQ7GNBhuuaTVVVDAw" TargetMode="External"/><Relationship Id="rId444" Type="http://schemas.openxmlformats.org/officeDocument/2006/relationships/hyperlink" Target="https://www.google.com/url?q=https://oj.uz/problems/source/60&amp;sa=D&amp;ust=1605639799004000&amp;usg=AFQjCNHq4pzkqDavi_RAdmYdUOteBWmJvQ" TargetMode="External"/><Relationship Id="rId651" Type="http://schemas.openxmlformats.org/officeDocument/2006/relationships/hyperlink" Target="https://www.google.com/url?q=https://oj.uz/problem/view/IOI08_pyramid_base&amp;sa=D&amp;ust=1605639799644000&amp;usg=AFQjCNHjMMsriAm_-9oChxKcx_P7dZ1Vxg" TargetMode="External"/><Relationship Id="rId1281" Type="http://schemas.openxmlformats.org/officeDocument/2006/relationships/hyperlink" Target="https://www.google.com/url?q=https://github.com/mostafa-saad/MyCompetitiveProgramming/blob/master/Olympiad/POI/POI-04-Gates.txt&amp;sa=D&amp;ust=1605639800195000&amp;usg=AFQjCNF7rnHX1pIUIA4bVTfdyuSknlGSLQ" TargetMode="External"/><Relationship Id="rId2125" Type="http://schemas.openxmlformats.org/officeDocument/2006/relationships/hyperlink" Target="https://www.google.com/url?q=https://szkopul.edu.pl/problemset/problem/rfG3gSJfUHoOk3t6379xduHr/site/&amp;sa=D&amp;ust=1605639800818000&amp;usg=AFQjCNEIW-xalPkCjo6zHAMT63r1jFZGNA" TargetMode="External"/><Relationship Id="rId2332" Type="http://schemas.openxmlformats.org/officeDocument/2006/relationships/hyperlink" Target="https://www.google.com/url?q=https://szkopul.edu.pl/problemset/problem/4roJ2TqCXhLN6ftK2jiWKlO9/site/&amp;sa=D&amp;ust=1605639801610000&amp;usg=AFQjCNGK-Sf5C-hxgim0Zlmd8LiIPEk6gQ" TargetMode="External"/><Relationship Id="rId304" Type="http://schemas.openxmlformats.org/officeDocument/2006/relationships/hyperlink" Target="https://www.google.com/url?q=https://github.com/mostafa-saad/MyCompetitiveProgramming/tree/master/Olympiad/COCI/official/2008/contest6_solutions&amp;sa=D&amp;ust=1605639798884000&amp;usg=AFQjCNGqePKJf7bcHidHd7upmNQ0_2mGcg" TargetMode="External"/><Relationship Id="rId511" Type="http://schemas.openxmlformats.org/officeDocument/2006/relationships/hyperlink" Target="https://www.google.com/url?q=https://github.com/stefdasca/CompetitiveProgramming/blob/master/Infoarena/troll.cpp&amp;sa=D&amp;ust=1605639799091000&amp;usg=AFQjCNE43Lbub7wCeyUN6_fxkHN1jIwVTQ" TargetMode="External"/><Relationship Id="rId1141" Type="http://schemas.openxmlformats.org/officeDocument/2006/relationships/hyperlink" Target="https://www.google.com/url?q=https://dmoj.ca/contest/cco18d1&amp;sa=D&amp;ust=1605639800088000&amp;usg=AFQjCNGc5m5eJzTWDvTHzXWD2Ko0CYG5Xg" TargetMode="External"/><Relationship Id="rId1001" Type="http://schemas.openxmlformats.org/officeDocument/2006/relationships/hyperlink" Target="https://www.google.com/url?q=https://github.com/mostafa-saad/MyCompetitiveProgramming/blob/master/Olympiad/NOI/official/2011.pptx&amp;sa=D&amp;ust=1605639799982000&amp;usg=AFQjCNGhginJZXDS9JQ5LOXrGiRZxoKkuA" TargetMode="External"/><Relationship Id="rId1958" Type="http://schemas.openxmlformats.org/officeDocument/2006/relationships/hyperlink" Target="https://www.google.com/url?q=https://dmoj.ca/problem/mmcc15p1&amp;sa=D&amp;ust=1605639800709000&amp;usg=AFQjCNEMB7mbdxEnb1SC2cZeQc3kvCYnkA" TargetMode="External"/><Relationship Id="rId1818" Type="http://schemas.openxmlformats.org/officeDocument/2006/relationships/hyperlink" Target="https://www.google.com/url?q=https://oj.uz/problem/view/CEOI18_toy&amp;sa=D&amp;ust=1605639800597000&amp;usg=AFQjCNHjzNBgGkkAAWH-dQZjFP1fpddVWg" TargetMode="External"/><Relationship Id="rId161" Type="http://schemas.openxmlformats.org/officeDocument/2006/relationships/hyperlink" Target="https://www.google.com/url?q=https://dmoj.ca/problem/coci14c5p5&amp;sa=D&amp;ust=1605639798776000&amp;usg=AFQjCNFDW1twOj8mep_KbB_3s1g5UvhQzg" TargetMode="External"/><Relationship Id="rId2799" Type="http://schemas.openxmlformats.org/officeDocument/2006/relationships/hyperlink" Target="https://www.google.com/url?q=https://wcipeg.com/problem/coci097p1&amp;sa=D&amp;ust=1605639802169000&amp;usg=AFQjCNGu0tWaErBqcD8KUUrjwXFrmKyySg" TargetMode="External"/><Relationship Id="rId978" Type="http://schemas.openxmlformats.org/officeDocument/2006/relationships/hyperlink" Target="https://www.google.com/url?q=https://cses.fi/191/list/&amp;sa=D&amp;ust=1605639799971000&amp;usg=AFQjCNH0P9oD4UrTHApAGQ9pAudTUxjV7g" TargetMode="External"/><Relationship Id="rId2659" Type="http://schemas.openxmlformats.org/officeDocument/2006/relationships/hyperlink" Target="https://www.google.com/url?q=https://github.com/mostafa-saad/MyCompetitiveProgramming/blob/master/Olympiad/Baltic/Baltic-19-necklace1.txt&amp;sa=D&amp;ust=1605639801991000&amp;usg=AFQjCNEjL0EJWxC7un0gezymWh8CoDXg8w" TargetMode="External"/><Relationship Id="rId2866" Type="http://schemas.openxmlformats.org/officeDocument/2006/relationships/hyperlink" Target="https://www.google.com/url?q=http://poj.org/problem?id%3D1147&amp;sa=D&amp;ust=1605639802205000&amp;usg=AFQjCNFb0rmdvigkoqenLX4W6igoEk5m8w" TargetMode="External"/><Relationship Id="rId838" Type="http://schemas.openxmlformats.org/officeDocument/2006/relationships/hyperlink" Target="https://www.google.com/url?q=https://csacademy.com/contest/junior-challenge-2017-day-1/task/chromatic-number/&amp;sa=D&amp;ust=1605639799799000&amp;usg=AFQjCNFTSGPNTFlhck0crSOv3T6ahjRhOg" TargetMode="External"/><Relationship Id="rId1468" Type="http://schemas.openxmlformats.org/officeDocument/2006/relationships/hyperlink" Target="https://www.google.com/url?q=https://cses.fi/105/list/&amp;sa=D&amp;ust=1605639800369000&amp;usg=AFQjCNGQHoCQD4AyDnVA9uoGMmghZZnYmw" TargetMode="External"/><Relationship Id="rId1675" Type="http://schemas.openxmlformats.org/officeDocument/2006/relationships/hyperlink" Target="https://www.google.com/url?q=https://oj.uz/problem/view/JOI19_mergers&amp;sa=D&amp;ust=1605639800489000&amp;usg=AFQjCNG7pVZ_wbqrK4YKNbncGyM86j-ngg" TargetMode="External"/><Relationship Id="rId1882" Type="http://schemas.openxmlformats.org/officeDocument/2006/relationships/hyperlink" Target="https://www.google.com/url?q=https://oj.uz/problem/view/IOI11_crocodile&amp;sa=D&amp;ust=1605639800680000&amp;usg=AFQjCNHj6J9_dDUZowmwHnk-4fQ6Wb2Dgg" TargetMode="External"/><Relationship Id="rId2519" Type="http://schemas.openxmlformats.org/officeDocument/2006/relationships/hyperlink" Target="https://www.google.com/url?q=https://oj.uz/problem/view/IOI09_salesman&amp;sa=D&amp;ust=1605639801868000&amp;usg=AFQjCNF4LIgjxjoWZAkYXbhe3J-iy7O-HQ" TargetMode="External"/><Relationship Id="rId2726" Type="http://schemas.openxmlformats.org/officeDocument/2006/relationships/hyperlink" Target="https://www.google.com/url?q=https://github.com/mostafa-saad/MyCompetitiveProgramming/tree/master/Olympiad/COCI/official/2007/contest5_solutions&amp;sa=D&amp;ust=1605639802083000&amp;usg=AFQjCNEJYWW8ciUSWHs2fwDkwht87Mnu2w" TargetMode="External"/><Relationship Id="rId1328" Type="http://schemas.openxmlformats.org/officeDocument/2006/relationships/hyperlink" Target="https://www.google.com/url?q=https://github.com/stefdasca/CompetitiveProgramming/blob/master/Infoarena/kdtree.cpp&amp;sa=D&amp;ust=1605639800216000&amp;usg=AFQjCNElB31QzciEmwp4Bwdm-3PWtxD5Rg" TargetMode="External"/><Relationship Id="rId1535" Type="http://schemas.openxmlformats.org/officeDocument/2006/relationships/hyperlink" Target="https://www.google.com/url?q=https://github.com/stefdasca/CompetitiveProgramming/blob/master/Infoarena/nuke.cpp&amp;sa=D&amp;ust=1605639800393000&amp;usg=AFQjCNHcZoq8eMt37Cr3xvACoSGbntvOfA" TargetMode="External"/><Relationship Id="rId2933" Type="http://schemas.openxmlformats.org/officeDocument/2006/relationships/hyperlink" Target="https://www.google.com/url?q=https://dmoj.ca/problem/mwc15c2p2&amp;sa=D&amp;ust=1605639802299000&amp;usg=AFQjCNGK0g5mGaygOGMblHd0hTjD_69bYg" TargetMode="External"/><Relationship Id="rId905" Type="http://schemas.openxmlformats.org/officeDocument/2006/relationships/hyperlink" Target="https://www.google.com/url?q=https://github.com/stefdasca/CompetitiveProgramming/blob/master/Infoarena/ksecv.cpp&amp;sa=D&amp;ust=1605639799893000&amp;usg=AFQjCNE-JQRPSpvm11WzR6y8x7IIgGivCA" TargetMode="External"/><Relationship Id="rId1742" Type="http://schemas.openxmlformats.org/officeDocument/2006/relationships/hyperlink" Target="https://www.google.com/url?q=https://codeforces.com/blog/entry/58433&amp;sa=D&amp;ust=1605639800521000&amp;usg=AFQjCNFzeWZntMG_iULprzxMQ1vlr0fH2A" TargetMode="External"/><Relationship Id="rId34" Type="http://schemas.openxmlformats.org/officeDocument/2006/relationships/hyperlink" Target="https://www.google.com/url?q=https://oj.uz/problems/source/120&amp;sa=D&amp;ust=1605639798676000&amp;usg=AFQjCNHhnaJse3_It491lR3ll25_MKXdDw" TargetMode="External"/><Relationship Id="rId1602" Type="http://schemas.openxmlformats.org/officeDocument/2006/relationships/hyperlink" Target="https://www.google.com/url?q=http://www.usaco.org/index.php?page%3Dviewproblem2%26cpid%3D645&amp;sa=D&amp;ust=1605639800419000&amp;usg=AFQjCNF_gsgcNSlr22-g5H-PiGqzMDLfrw" TargetMode="External"/><Relationship Id="rId488" Type="http://schemas.openxmlformats.org/officeDocument/2006/relationships/hyperlink" Target="https://www.google.com/url?q=https://github.com/mostafa-saad/MyCompetitiveProgramming/tree/master/Olympiad/COCI/official/2008/contest4_solutions&amp;sa=D&amp;ust=1605639799081000&amp;usg=AFQjCNF7P6Z9FdPqmY4kO8LIeAzsigDKUg" TargetMode="External"/><Relationship Id="rId695" Type="http://schemas.openxmlformats.org/officeDocument/2006/relationships/hyperlink" Target="https://www.google.com/url?q=https://github.com/SpeedOfMagic/CompetitiveProgramming/blob/master/JOIOC/14-pinball.cpp&amp;sa=D&amp;ust=1605639799672000&amp;usg=AFQjCNEbKMJ8FIUThdUXeIcdvfFGdSPRmQ" TargetMode="External"/><Relationship Id="rId2169" Type="http://schemas.openxmlformats.org/officeDocument/2006/relationships/hyperlink" Target="https://www.google.com/url?q=https://dunjudge.me/analysis/problems/705/&amp;sa=D&amp;ust=1605639800875000&amp;usg=AFQjCNHk7oRKvZ7JnBWNbP6Q0nkyz2qaLw" TargetMode="External"/><Relationship Id="rId2376" Type="http://schemas.openxmlformats.org/officeDocument/2006/relationships/hyperlink" Target="https://www.google.com/url?q=https://github.com/stefdasca/CompetitiveProgramming/blob/master/Infoarena/cmmp.cpp&amp;sa=D&amp;ust=1605639801690000&amp;usg=AFQjCNE7NATZUtvJ5FbMx3mbdv7R9Ku5qA" TargetMode="External"/><Relationship Id="rId2583" Type="http://schemas.openxmlformats.org/officeDocument/2006/relationships/hyperlink" Target="https://www.google.com/url?q=https://github.com/mostafa-saad/MyCompetitiveProgramming/blob/master/Olympiad/IOI/IOI-16-aliens.txt&amp;sa=D&amp;ust=1605639801897000&amp;usg=AFQjCNHxht1i-_HYcxNNhhB5Phc8XeJbcw" TargetMode="External"/><Relationship Id="rId2790" Type="http://schemas.openxmlformats.org/officeDocument/2006/relationships/hyperlink" Target="https://www.google.com/url?q=https://dmoj.ca/problem/coci09c1p1&amp;sa=D&amp;ust=1605639802110000&amp;usg=AFQjCNEgN3OTkEvT8ezOlP2mtCorINUJtA" TargetMode="External"/><Relationship Id="rId348" Type="http://schemas.openxmlformats.org/officeDocument/2006/relationships/hyperlink" Target="https://www.google.com/url?q=https://oj.uz/problem/view/COCI16_imena&amp;sa=D&amp;ust=1605639798904000&amp;usg=AFQjCNErM1uLMPP4xtyYzh-m6A1uneK-pA" TargetMode="External"/><Relationship Id="rId555" Type="http://schemas.openxmlformats.org/officeDocument/2006/relationships/hyperlink" Target="https://www.google.com/url?q=https://github.com/stefdasca/CompetitiveProgramming/blob/master/Infoarena/engineer.cpp&amp;sa=D&amp;ust=1605639799108000&amp;usg=AFQjCNGphXX8I9h4oVxSqY-p4mIZcjXdxw" TargetMode="External"/><Relationship Id="rId762" Type="http://schemas.openxmlformats.org/officeDocument/2006/relationships/hyperlink" Target="https://www.google.com/url?q=https://codeforces.com/group/swEqtABRxe/contest/243435/problem/A&amp;sa=D&amp;ust=1605639799714000&amp;usg=AFQjCNEMjNca2P5pMtxRu3J5D-vWDRHCzg" TargetMode="External"/><Relationship Id="rId1185" Type="http://schemas.openxmlformats.org/officeDocument/2006/relationships/hyperlink" Target="https://www.google.com/url?q=https://oj.uz/problem/view/JOI18_snake_escaping&amp;sa=D&amp;ust=1605639800113000&amp;usg=AFQjCNG5B7HQHxXIt_rTL3j5FDFGLLzOsg" TargetMode="External"/><Relationship Id="rId1392" Type="http://schemas.openxmlformats.org/officeDocument/2006/relationships/hyperlink" Target="https://www.google.com/url?q=https://github.com/cacophonix/SPOJ/blob/master/MOBILE2.cpp&amp;sa=D&amp;ust=1605639800293000&amp;usg=AFQjCNFIIm4m7JMKSOGZEfuQm4Ku18Ce4Q" TargetMode="External"/><Relationship Id="rId2029" Type="http://schemas.openxmlformats.org/officeDocument/2006/relationships/hyperlink" Target="https://www.google.com/url?q=https://github.com/mostafa-saad/MyCompetitiveProgramming/blob/master/Olympiad/infoarena/infoarena-karb.txt&amp;sa=D&amp;ust=1605639800780000&amp;usg=AFQjCNETOlLCyqALloUwnQyHidPgctlq5w" TargetMode="External"/><Relationship Id="rId2236" Type="http://schemas.openxmlformats.org/officeDocument/2006/relationships/hyperlink" Target="https://www.google.com/url?q=https://dmoj.ca/problem/coci08c4p5&amp;sa=D&amp;ust=1605639800901000&amp;usg=AFQjCNHUP67_ZJlPoiXRDwsGeGKsxtnQgw" TargetMode="External"/><Relationship Id="rId2443" Type="http://schemas.openxmlformats.org/officeDocument/2006/relationships/hyperlink" Target="https://www.google.com/url?q=https://github.com/mostafa-saad/MyCompetitiveProgramming/blob/master/Olympiad/COI/COI_07-Kolekcija.txt&amp;sa=D&amp;ust=1605639801787000&amp;usg=AFQjCNFaMSxWpBgI1ehBE-oYYzxoaafYng" TargetMode="External"/><Relationship Id="rId2650" Type="http://schemas.openxmlformats.org/officeDocument/2006/relationships/hyperlink" Target="https://www.google.com/url?q=http://usaco.org/index.php?page%3Dviewproblem2%26cpid%3D195&amp;sa=D&amp;ust=1605639801987000&amp;usg=AFQjCNG0xZN7DWZcGi1ChKihOnHB9xxqJw" TargetMode="External"/><Relationship Id="rId208" Type="http://schemas.openxmlformats.org/officeDocument/2006/relationships/hyperlink" Target="https://www.google.com/url?q=https://dunjudge.me/analysis/problems/273/&amp;sa=D&amp;ust=1605639798792000&amp;usg=AFQjCNGposMyyyEVSBf0R6UJBe3QaGJM8g" TargetMode="External"/><Relationship Id="rId415" Type="http://schemas.openxmlformats.org/officeDocument/2006/relationships/hyperlink" Target="https://www.google.com/url?q=https://github.com/mostafa-saad/MyCompetitiveProgramming/blob/master/Olympiad/IOI/official/2016&amp;sa=D&amp;ust=1605639798991000&amp;usg=AFQjCNHBaWve7fQG98KOJMBZukibIk_jsw" TargetMode="External"/><Relationship Id="rId622" Type="http://schemas.openxmlformats.org/officeDocument/2006/relationships/hyperlink" Target="https://www.google.com/url?q=https://dunjudge.me/analysis/problems/1360/&amp;sa=D&amp;ust=1605639799171000&amp;usg=AFQjCNFwqgLQ1KuPhC87zyyRx1Meme67Cg" TargetMode="External"/><Relationship Id="rId1045" Type="http://schemas.openxmlformats.org/officeDocument/2006/relationships/hyperlink" Target="https://www.google.com/url?q=https://github.com/mostafa-saad/MyCompetitiveProgramming/blob/master/Olympiad/COCI/official/2010/contest7_solutions&amp;sa=D&amp;ust=1605639799999000&amp;usg=AFQjCNHNgcFLFeHTKDRL9BD7nSjAZ4ExHw" TargetMode="External"/><Relationship Id="rId1252" Type="http://schemas.openxmlformats.org/officeDocument/2006/relationships/hyperlink" Target="https://www.google.com/url?q=https://github.com/mostafa-saad/MyCompetitiveProgramming/blob/master/Olympiad/COCI/COCI-09-Zuma.txt&amp;sa=D&amp;ust=1605639800185000&amp;usg=AFQjCNHtwUcWdItBvKvyNvaNH4RW-hXDjg" TargetMode="External"/><Relationship Id="rId2303" Type="http://schemas.openxmlformats.org/officeDocument/2006/relationships/hyperlink" Target="https://www.google.com/url?q=https://github.com/mostafa-saad/MyCompetitiveProgramming/tree/master/Olympiad/Balkan/official/2015&amp;sa=D&amp;ust=1605639801592000&amp;usg=AFQjCNHey3-cOMDLXDCus8Q3Qu4jNLhvIg" TargetMode="External"/><Relationship Id="rId2510" Type="http://schemas.openxmlformats.org/officeDocument/2006/relationships/hyperlink" Target="https://www.google.com/url?q=https://github.com/mostafa-saad/MyCompetitiveProgramming/blob/master/Olympiad/Baltic/Baltic-17-Cat.txt&amp;sa=D&amp;ust=1605639801812000&amp;usg=AFQjCNH7732aBMuJ6eg1TE9VMghXZji25g" TargetMode="External"/><Relationship Id="rId1112" Type="http://schemas.openxmlformats.org/officeDocument/2006/relationships/hyperlink" Target="https://www.google.com/url?q=https://dunjudge.me/analysis/problems/700/&amp;sa=D&amp;ust=1605639800075000&amp;usg=AFQjCNFg-eV2GEx05E6EowCVbwvdcr_G5Q" TargetMode="External"/><Relationship Id="rId1929" Type="http://schemas.openxmlformats.org/officeDocument/2006/relationships/hyperlink" Target="https://www.google.com/url?q=https://dunjudge.me/analysis/problems/1827/&amp;sa=D&amp;ust=1605639800700000&amp;usg=AFQjCNHZLIZ8iOTf8p4l4Z7lF6OXecvjow" TargetMode="External"/><Relationship Id="rId2093" Type="http://schemas.openxmlformats.org/officeDocument/2006/relationships/hyperlink" Target="https://www.google.com/url?q=https://github.com/mostafa-saad/MyCompetitiveProgramming/blob/master/Olympiad/Baltic/Baltic-19-valley.txt&amp;sa=D&amp;ust=1605639800806000&amp;usg=AFQjCNEEemLCRU_45kkhHbnxnlWxJWL2ow" TargetMode="External"/><Relationship Id="rId272" Type="http://schemas.openxmlformats.org/officeDocument/2006/relationships/hyperlink" Target="https://www.google.com/url?q=https://github.com/mostafa-saad/MyCompetitiveProgramming/blob/master/Olympiad/COCI/official/2009/contest5_solutions&amp;sa=D&amp;ust=1605639798871000&amp;usg=AFQjCNEc8DZpagaP4bmH83Ioytt6Fz5qnQ" TargetMode="External"/><Relationship Id="rId2160" Type="http://schemas.openxmlformats.org/officeDocument/2006/relationships/hyperlink" Target="https://www.google.com/url?q=https://github.com/mostafa-saad/MyCompetitiveProgramming/blob/master/Olympiad/COCI/official/2017/contest2_solutions&amp;sa=D&amp;ust=1605639800871000&amp;usg=AFQjCNEx1O7-AAd-hoZ8jurl7Icz1LZ0jQ" TargetMode="External"/><Relationship Id="rId3004" Type="http://schemas.openxmlformats.org/officeDocument/2006/relationships/hyperlink" Target="https://www.google.com/url?q=https://szkopul.edu.pl/problemset/problem/GfNdWdsmfgHxoByl0ETuZW9c/site/&amp;sa=D&amp;ust=1605639802393000&amp;usg=AFQjCNG9DFcuAHsli8zICmGdoSjKesGenw" TargetMode="External"/><Relationship Id="rId132" Type="http://schemas.openxmlformats.org/officeDocument/2006/relationships/hyperlink" Target="https://www.google.com/url?q=https://szkopul.edu.pl/problemset/problem/3buviDQZWLE83AxVhvJJurgU/site/&amp;sa=D&amp;ust=1605639798726000&amp;usg=AFQjCNEyYdG3-kctON_G0Qgjz1nWteHF3w" TargetMode="External"/><Relationship Id="rId2020" Type="http://schemas.openxmlformats.org/officeDocument/2006/relationships/hyperlink" Target="https://www.google.com/url?q=https://github.com/mostafa-saad/MyCompetitiveProgramming/blob/master/Olympiad/IOI/official/2016&amp;sa=D&amp;ust=1605639800777000&amp;usg=AFQjCNHIdm0W0as2zUnvBavgQsNYAF1AfA" TargetMode="External"/><Relationship Id="rId1579" Type="http://schemas.openxmlformats.org/officeDocument/2006/relationships/hyperlink" Target="https://www.google.com/url?q=https://github.com/timpostuvan/CompetitiveProgramming/blob/master/Olympiad/APIO/CircleSelection2018.cpp&amp;sa=D&amp;ust=1605639800411000&amp;usg=AFQjCNF6l3Ii-aBiiP9vS-Y82qy6r2l5mQ" TargetMode="External"/><Relationship Id="rId2977" Type="http://schemas.openxmlformats.org/officeDocument/2006/relationships/hyperlink" Target="https://www.google.com/url?q=https://oj.uz/problem/view/POI13_tak&amp;sa=D&amp;ust=1605639802379000&amp;usg=AFQjCNFTDp6AJR5rwpHvYIS3IrcnEWjA0A" TargetMode="External"/><Relationship Id="rId949" Type="http://schemas.openxmlformats.org/officeDocument/2006/relationships/hyperlink" Target="https://www.google.com/url?q=https://dunjudge.me/analysis/problems/753/&amp;sa=D&amp;ust=1605639799911000&amp;usg=AFQjCNG99_UF4nN9e1V-36FPcdH0-0SMdg" TargetMode="External"/><Relationship Id="rId1786" Type="http://schemas.openxmlformats.org/officeDocument/2006/relationships/hyperlink" Target="https://www.google.com/url?q=https://dunjudge.me/analysis/problems/592/&amp;sa=D&amp;ust=1605639800586000&amp;usg=AFQjCNHPseVZ5NdtHWV2C76DSDzi-KANqw" TargetMode="External"/><Relationship Id="rId1993" Type="http://schemas.openxmlformats.org/officeDocument/2006/relationships/hyperlink" Target="https://www.google.com/url?q=https://github.com/mostafa-saad/MyCompetitiveProgramming/blob/master/Olympiad/Balkan/Balkan-18-minmaxtree.txt&amp;sa=D&amp;ust=1605639800722000&amp;usg=AFQjCNHqplYRbUt1Ho02ASTKX2i5N_KsWA" TargetMode="External"/><Relationship Id="rId2837" Type="http://schemas.openxmlformats.org/officeDocument/2006/relationships/hyperlink" Target="https://www.google.com/url?q=https://github.com/mostafa-saad/MyCompetitiveProgramming/tree/master/Olympiad/COI/official/2014&amp;sa=D&amp;ust=1605639802187000&amp;usg=AFQjCNFtX4Od6mrvqllHn_VVGRzhqqkA2g" TargetMode="External"/><Relationship Id="rId78" Type="http://schemas.openxmlformats.org/officeDocument/2006/relationships/hyperlink" Target="https://www.google.com/url?q=https://oj.uz/problem/view/IOI10_languages&amp;sa=D&amp;ust=1605639798705000&amp;usg=AFQjCNGbymm6iALLDdN74PJtBjvxBK_WmA" TargetMode="External"/><Relationship Id="rId809" Type="http://schemas.openxmlformats.org/officeDocument/2006/relationships/hyperlink" Target="https://www.google.com/url?q=https://www.infoarena.ro/problema/nrsec&amp;sa=D&amp;ust=1605639799787000&amp;usg=AFQjCNFivVP2F5qvsvjaD21g9w9bZi9HEg" TargetMode="External"/><Relationship Id="rId1439" Type="http://schemas.openxmlformats.org/officeDocument/2006/relationships/hyperlink" Target="https://www.google.com/url?q=https://dunjudge.me/analysis/problems/1365/&amp;sa=D&amp;ust=1605639800312000&amp;usg=AFQjCNEtnqh7dyFUd9yI-LRAvfiBN4dBEQ" TargetMode="External"/><Relationship Id="rId1646" Type="http://schemas.openxmlformats.org/officeDocument/2006/relationships/hyperlink" Target="https://www.google.com/url?q=https://szkopul.edu.pl/problemset/problem/7Tut6VBMo0evZZ34EhdNuuOm/site/&amp;sa=D&amp;ust=1605639800478000&amp;usg=AFQjCNH2Fji4xFYR3IjbBnaVT78feNPfNQ" TargetMode="External"/><Relationship Id="rId1853" Type="http://schemas.openxmlformats.org/officeDocument/2006/relationships/hyperlink" Target="https://www.google.com/url?q=https://github.com/mostafa-saad/MyCompetitiveProgramming/blob/master/Olympiad/COCI/official/2017/contest1_solutions&amp;sa=D&amp;ust=1605639800666000&amp;usg=AFQjCNF9z-bkdt4RDj2UvL022Idc8gMuYw" TargetMode="External"/><Relationship Id="rId2904" Type="http://schemas.openxmlformats.org/officeDocument/2006/relationships/hyperlink" Target="https://www.google.com/url?q=https://joisc2014.contest.atcoder.jp/tasks/joisc2014_j&amp;sa=D&amp;ust=1605639802281000&amp;usg=AFQjCNFpC9qRKuWPXcNFuRdE9kRv7tJqQA" TargetMode="External"/><Relationship Id="rId1506" Type="http://schemas.openxmlformats.org/officeDocument/2006/relationships/hyperlink" Target="https://www.google.com/url?q=https://cses.fi/114/list/&amp;sa=D&amp;ust=1605639800383000&amp;usg=AFQjCNFGZD3yHE7tUjnGOM-S51je0YQcSw" TargetMode="External"/><Relationship Id="rId1713" Type="http://schemas.openxmlformats.org/officeDocument/2006/relationships/hyperlink" Target="https://www.google.com/url?q=https://dunjudge.me/analysis/problems/1227/&amp;sa=D&amp;ust=1605639800503000&amp;usg=AFQjCNFdPg2T3ZT2tYYoFXhBdGWxQ9H3Tg" TargetMode="External"/><Relationship Id="rId1920" Type="http://schemas.openxmlformats.org/officeDocument/2006/relationships/hyperlink" Target="https://www.google.com/url?q=https://dunjudge.me/analysis/problems/186/&amp;sa=D&amp;ust=1605639800696000&amp;usg=AFQjCNEV91hsK2omgEs0e5KKc1nxck1ODg" TargetMode="External"/><Relationship Id="rId599" Type="http://schemas.openxmlformats.org/officeDocument/2006/relationships/hyperlink" Target="https://www.google.com/url?q=https://github.com/mostafa-saad/MyCompetitiveProgramming/blob/master/Olympiad/IOI/IOI-13-cave.txt&amp;sa=D&amp;ust=1605639799128000&amp;usg=AFQjCNFxMoOTLhhyCU7iSA9xWu0-4MssKg" TargetMode="External"/><Relationship Id="rId2487" Type="http://schemas.openxmlformats.org/officeDocument/2006/relationships/hyperlink" Target="https://www.google.com/url?q=https://github.com/mostafa-saad/MyCompetitiveProgramming/blob/master/Olympiad/Baltic/Baltic-07-Escape.txt&amp;sa=D&amp;ust=1605639801805000&amp;usg=AFQjCNHqv1mGYzgg2OcpaCRq_10AWcR9NA" TargetMode="External"/><Relationship Id="rId2694" Type="http://schemas.openxmlformats.org/officeDocument/2006/relationships/hyperlink" Target="https://www.google.com/url?q=https://dmoj.ca/problem/cco08p5&amp;sa=D&amp;ust=1605639802009000&amp;usg=AFQjCNHFcTFvvlYgLw_LoSmJfn7eRsC9dQ" TargetMode="External"/><Relationship Id="rId459" Type="http://schemas.openxmlformats.org/officeDocument/2006/relationships/hyperlink" Target="https://www.google.com/url?q=https://oj.uz/problems/source/59&amp;sa=D&amp;ust=1605639799010000&amp;usg=AFQjCNHalbQ_0fh1thdAW-wTlg7WuAQLow" TargetMode="External"/><Relationship Id="rId666" Type="http://schemas.openxmlformats.org/officeDocument/2006/relationships/hyperlink" Target="https://www.google.com/url?q=https://www.infoarena.ro/problema/kinder&amp;sa=D&amp;ust=1605639799660000&amp;usg=AFQjCNEW8tkQDSlBGavXuv4xkanZ1ywcow" TargetMode="External"/><Relationship Id="rId873" Type="http://schemas.openxmlformats.org/officeDocument/2006/relationships/hyperlink" Target="https://www.google.com/url?q=https://github.com/mostafa-saad/MyCompetitiveProgramming/blob/master/Olympiad/CEOI/CEOI-19-MagicTree.txt&amp;sa=D&amp;ust=1605639799876000&amp;usg=AFQjCNGAltRU9XkN8E5zH0xi-ibpb7qTpA" TargetMode="External"/><Relationship Id="rId1089" Type="http://schemas.openxmlformats.org/officeDocument/2006/relationships/hyperlink" Target="https://www.google.com/url?q=https://github.com/mostafa-saad/MyCompetitiveProgramming/blob/master/Olympiad/COCI/official/2009/contest2_solutions&amp;sa=D&amp;ust=1605639800017000&amp;usg=AFQjCNEiZQyVAdJmRLlUh7E7-iQFbIEIIw" TargetMode="External"/><Relationship Id="rId1296" Type="http://schemas.openxmlformats.org/officeDocument/2006/relationships/hyperlink" Target="https://www.google.com/url?q=https://szkopul.edu.pl/problemset/problem/z8Vva6nazo2Cy3CF67kT6IWe/site/&amp;sa=D&amp;ust=1605639800202000&amp;usg=AFQjCNHEycW6fGN7zj4kU18lmrRy6Y1j6g" TargetMode="External"/><Relationship Id="rId2347" Type="http://schemas.openxmlformats.org/officeDocument/2006/relationships/hyperlink" Target="https://www.google.com/url?q=https://ivaniscoding.wordpress.com/2018/08/25/communication-3-broken-device/&amp;sa=D&amp;ust=1605639801615000&amp;usg=AFQjCNGVX-ohHfIL2jbl-t1tTYycB9ycBQ" TargetMode="External"/><Relationship Id="rId2554" Type="http://schemas.openxmlformats.org/officeDocument/2006/relationships/hyperlink" Target="https://www.google.com/url?q=https://oj.uz/problem/view/IZhO18_segments&amp;sa=D&amp;ust=1605639801880000&amp;usg=AFQjCNGSRl9iY2teB1mlVHndHDut0gsraQ" TargetMode="External"/><Relationship Id="rId319" Type="http://schemas.openxmlformats.org/officeDocument/2006/relationships/hyperlink" Target="https://www.google.com/url?q=https://github.com/mostafa-saad/MyCompetitiveProgramming/blob/master/Olympiad/NOI/official&amp;sa=D&amp;ust=1605639798890000&amp;usg=AFQjCNFp_yoqqhbDV-K9kBa4p3I7vs0TKQ" TargetMode="External"/><Relationship Id="rId526" Type="http://schemas.openxmlformats.org/officeDocument/2006/relationships/hyperlink" Target="https://www.google.com/url?q=https://oj.uz/problem/view/COCI14_utrka&amp;sa=D&amp;ust=1605639799097000&amp;usg=AFQjCNGgJJ_gWf43k2P8qS0oF1aOmW3vtA" TargetMode="External"/><Relationship Id="rId1156" Type="http://schemas.openxmlformats.org/officeDocument/2006/relationships/hyperlink" Target="https://www.google.com/url?q=https://dunjudge.me/analysis/problems/1496/&amp;sa=D&amp;ust=1605639800094000&amp;usg=AFQjCNFzmdJc3N4aON4KC-uNwbqfhek9ag" TargetMode="External"/><Relationship Id="rId1363" Type="http://schemas.openxmlformats.org/officeDocument/2006/relationships/hyperlink" Target="https://www.google.com/url?q=https://dmoj.ca/problem/cco15p1&amp;sa=D&amp;ust=1605639800279000&amp;usg=AFQjCNFRsM4HxthO6U_L5jfLD3OkAO-qnQ" TargetMode="External"/><Relationship Id="rId2207" Type="http://schemas.openxmlformats.org/officeDocument/2006/relationships/hyperlink" Target="https://www.google.com/url?q=https://wcipeg.com/problem/coci091p5&amp;sa=D&amp;ust=1605639800892000&amp;usg=AFQjCNFo14Ctec_W9G3mn4d8CcEpYOzRqQ" TargetMode="External"/><Relationship Id="rId2761" Type="http://schemas.openxmlformats.org/officeDocument/2006/relationships/hyperlink" Target="https://www.google.com/url?q=https://dmoj.ca/problem/coci08c2p3&amp;sa=D&amp;ust=1605639802096000&amp;usg=AFQjCNE45wshXewLgAADXjXouiD-SHFspQ" TargetMode="External"/><Relationship Id="rId733" Type="http://schemas.openxmlformats.org/officeDocument/2006/relationships/hyperlink" Target="https://www.google.com/url?q=https://dmoj.ca/problem/coci06c4p6&amp;sa=D&amp;ust=1605639799701000&amp;usg=AFQjCNH4aXTtPzReGWwYBBNgqo9Nb4_vyw" TargetMode="External"/><Relationship Id="rId940" Type="http://schemas.openxmlformats.org/officeDocument/2006/relationships/hyperlink" Target="https://www.google.com/url?q=https://github.com/mostafa-saad/MyCompetitiveProgramming/blob/master/Olympiad/COI/COI-19-ljetopica.txt&amp;sa=D&amp;ust=1605639799906000&amp;usg=AFQjCNFKJPG_H70E4Asp5_JrmMryZ8LliQ" TargetMode="External"/><Relationship Id="rId1016" Type="http://schemas.openxmlformats.org/officeDocument/2006/relationships/hyperlink" Target="https://www.google.com/url?q=https://ideone.com/Ejf10T&amp;sa=D&amp;ust=1605639799987000&amp;usg=AFQjCNF9k7UEY3BBEXfUjxdkeT25UM8V_w" TargetMode="External"/><Relationship Id="rId1570" Type="http://schemas.openxmlformats.org/officeDocument/2006/relationships/hyperlink" Target="https://www.google.com/url?q=https://github.com/updown2/OI-Practice/blob/master/USACO/2018-2019/1.%2520December%2520%255BDONE%255D/Balance%2520Beam.cpp&amp;sa=D&amp;ust=1605639800407000&amp;usg=AFQjCNGruBSRraVyd5a9nrzpznhwHXPiNA" TargetMode="External"/><Relationship Id="rId2414" Type="http://schemas.openxmlformats.org/officeDocument/2006/relationships/hyperlink" Target="https://www.google.com/url?q=https://szkopul.edu.pl/problemset/problem/4BL9eUWjrvT7ecMUJcmSuJI3/site/&amp;sa=D&amp;ust=1605639801775000&amp;usg=AFQjCNFzB2y4B6J04dymJmjb6xl45hG2nw" TargetMode="External"/><Relationship Id="rId2621" Type="http://schemas.openxmlformats.org/officeDocument/2006/relationships/hyperlink" Target="https://www.google.com/url?q=https://github.com/mostafa-saad/MyCompetitiveProgramming/blob/master/Olympiad/IOI/IOI-05-rivers.txt&amp;sa=D&amp;ust=1605639801976000&amp;usg=AFQjCNHlqT051yvFtlOUZPMaFHl4Lrkr_g" TargetMode="External"/><Relationship Id="rId800" Type="http://schemas.openxmlformats.org/officeDocument/2006/relationships/hyperlink" Target="https://www.google.com/url?q=https://dmoj.ca/problem/coci07c2p4&amp;sa=D&amp;ust=1605639799782000&amp;usg=AFQjCNEQCZ9hGrcqEx82HSrdfv7JwkL8fA" TargetMode="External"/><Relationship Id="rId1223" Type="http://schemas.openxmlformats.org/officeDocument/2006/relationships/hyperlink" Target="https://www.google.com/url?q=https://oj.uz/problems/source/59&amp;sa=D&amp;ust=1605639800174000&amp;usg=AFQjCNFAIwdQvp26rTUkYStRlPdye7XpbA" TargetMode="External"/><Relationship Id="rId1430" Type="http://schemas.openxmlformats.org/officeDocument/2006/relationships/hyperlink" Target="https://www.google.com/url?q=https://github.com/zoooma13/Competitive-Programming/blob/master/baloni2.cpp&amp;sa=D&amp;ust=1605639800308000&amp;usg=AFQjCNFsFMsSsRPtkdFHii9rqq3JXc2TwQ" TargetMode="External"/><Relationship Id="rId176" Type="http://schemas.openxmlformats.org/officeDocument/2006/relationships/hyperlink" Target="https://www.google.com/url?q=https://github.com/stefdasca/CompetitiveProgramming/blob/master/Infoarena/covor&amp;sa=D&amp;ust=1605639798780000&amp;usg=AFQjCNEVLI9ChPF55yxfsB09Ms0HfHXNAw" TargetMode="External"/><Relationship Id="rId383" Type="http://schemas.openxmlformats.org/officeDocument/2006/relationships/hyperlink" Target="https://www.google.com/url?q=https://github.com/mostafa-saad/MyCompetitiveProgramming/blob/master/Olympiad/POI/official/find_editorial_sols_guidelines.txt&amp;sa=D&amp;ust=1605639798977000&amp;usg=AFQjCNE_2VEEIOSSIO4sGF4mHVNx0n-ybQ" TargetMode="External"/><Relationship Id="rId590" Type="http://schemas.openxmlformats.org/officeDocument/2006/relationships/hyperlink" Target="https://www.google.com/url?q=https://www.hackerrank.com/contests/ioi-2014-practice-contest-2/challenges&amp;sa=D&amp;ust=1605639799123000&amp;usg=AFQjCNEpvSaQXVemQnp3FJXi33O1-uhI6A" TargetMode="External"/><Relationship Id="rId2064" Type="http://schemas.openxmlformats.org/officeDocument/2006/relationships/hyperlink" Target="https://www.google.com/url?q=https://github.com/HeartBlue/CompetitiveProgramming/blob/master/POI/POI%252000-SPO%2520Peaceful%2520Commission.cpp&amp;sa=D&amp;ust=1605639800795000&amp;usg=AFQjCNFAO0R1i57d4ziMWDbmzhLRtp0kNw" TargetMode="External"/><Relationship Id="rId2271" Type="http://schemas.openxmlformats.org/officeDocument/2006/relationships/hyperlink" Target="https://www.google.com/url?q=https://github.com/mostafa-saad/MyCompetitiveProgramming/blob/master/Olympiad/POI/POI-08-Permutation.txt&amp;sa=D&amp;ust=1605639801565000&amp;usg=AFQjCNG4O-bswOsiciHKc7yjUoJI0XmL1g" TargetMode="External"/><Relationship Id="rId243" Type="http://schemas.openxmlformats.org/officeDocument/2006/relationships/hyperlink" Target="https://www.google.com/url?q=https://szkopul.edu.pl/problemset/problem/d5W4-JZbz1vSmQCLIJ91__9N/site/&amp;sa=D&amp;ust=1605639798806000&amp;usg=AFQjCNH-J3EAciUO55DAsTSFwAg5qDLJ_A" TargetMode="External"/><Relationship Id="rId450" Type="http://schemas.openxmlformats.org/officeDocument/2006/relationships/hyperlink" Target="https://www.google.com/url?q=https://oj.uz/problem/view/APIO15_bridge&amp;sa=D&amp;ust=1605639799006000&amp;usg=AFQjCNFhRR6-3qOLHAUbwzLuVfdkQcU-xQ" TargetMode="External"/><Relationship Id="rId1080" Type="http://schemas.openxmlformats.org/officeDocument/2006/relationships/hyperlink" Target="https://www.google.com/url?q=https://github.com/mostafa-saad/MyCompetitiveProgramming/blob/master/Olympiad/JOI/JOI-20-CollectingStamps3.txt&amp;sa=D&amp;ust=1605639800015000&amp;usg=AFQjCNE7xdozgV_GO7knvvigTFMc8DDa6A" TargetMode="External"/><Relationship Id="rId2131" Type="http://schemas.openxmlformats.org/officeDocument/2006/relationships/hyperlink" Target="https://www.google.com/url?q=https://szkopul.edu.pl/problemset/problem/kTJwMBMs_vXtliFNlHAZ0Hcu/site/&amp;sa=D&amp;ust=1605639800820000&amp;usg=AFQjCNHdkPlXy7h77dCvtDnv28Xk6jWSvw" TargetMode="External"/><Relationship Id="rId103" Type="http://schemas.openxmlformats.org/officeDocument/2006/relationships/hyperlink" Target="https://www.google.com/url?q=https://joisc2013-day4.contest.atcoder.jp/tasks/joisc2013_messenger&amp;sa=D&amp;ust=1605639798715000&amp;usg=AFQjCNHHDd4kS5essUcca0iAONUOI87uEQ" TargetMode="External"/><Relationship Id="rId310" Type="http://schemas.openxmlformats.org/officeDocument/2006/relationships/hyperlink" Target="https://www.google.com/url?q=https://github.com/mostafa-saad/MyCompetitiveProgramming/tree/master/Olympiad/MCO/official&amp;sa=D&amp;ust=1605639798886000&amp;usg=AFQjCNFC4hg2l7WEIoMv3jMbBBPi1Sosng" TargetMode="External"/><Relationship Id="rId1897" Type="http://schemas.openxmlformats.org/officeDocument/2006/relationships/hyperlink" Target="https://www.google.com/url?q=https://joi2015ho.contest.atcoder.jp/tasks/joi2015ho_c&amp;sa=D&amp;ust=1605639800687000&amp;usg=AFQjCNEcLiJuGmaJ1Zv3E8v5ldlu4JkAVA" TargetMode="External"/><Relationship Id="rId2948" Type="http://schemas.openxmlformats.org/officeDocument/2006/relationships/hyperlink" Target="https://www.google.com/url?q=https://dunjudge.me/analysis/problems/189/&amp;sa=D&amp;ust=1605639802308000&amp;usg=AFQjCNGIvx3WshRaCEZmS0ajDoa7ilH2IQ" TargetMode="External"/><Relationship Id="rId1757" Type="http://schemas.openxmlformats.org/officeDocument/2006/relationships/hyperlink" Target="https://www.google.com/url?q=https://oj.uz/problem/view/IOI07_flood&amp;sa=D&amp;ust=1605639800570000&amp;usg=AFQjCNG7iynw69LAUbAA_VcxwUrBlDzv3A" TargetMode="External"/><Relationship Id="rId1964" Type="http://schemas.openxmlformats.org/officeDocument/2006/relationships/hyperlink" Target="https://www.google.com/url?q=https://github.com/mostafa-saad/MyCompetitiveProgramming/blob/master/Olympiad/COCI/official/2014/contest5_solutions&amp;sa=D&amp;ust=1605639800711000&amp;usg=AFQjCNFeh1YQ0nQW6splf9y3WugV6HZGYQ" TargetMode="External"/><Relationship Id="rId2808" Type="http://schemas.openxmlformats.org/officeDocument/2006/relationships/hyperlink" Target="https://www.google.com/url?q=https://dmoj.ca/problem/coci14c4p3&amp;sa=D&amp;ust=1605639802172000&amp;usg=AFQjCNHz9fH3xZRwx_qaRaRuns0fkmoHFw" TargetMode="External"/><Relationship Id="rId49" Type="http://schemas.openxmlformats.org/officeDocument/2006/relationships/hyperlink" Target="https://www.google.com/url?q=https://github.com/mostafa-saad/MyCompetitiveProgramming/blob/master/Olympiad/APIO/APIO-16-gap.txt&amp;sa=D&amp;ust=1605639798682000&amp;usg=AFQjCNHc2ox9OErSIKIIYHSw1jROKuExmg" TargetMode="External"/><Relationship Id="rId1617" Type="http://schemas.openxmlformats.org/officeDocument/2006/relationships/hyperlink" Target="https://www.google.com/url?q=https://github.com/mostafa-saad/MyCompetitiveProgramming/blob/master/Olympiad/IOI/official/2006/ioi06_forbidden_sol.pdf&amp;sa=D&amp;ust=1605639800465000&amp;usg=AFQjCNHZb8KcJyP5jFkLlruLlQPDxnet-w" TargetMode="External"/><Relationship Id="rId1824" Type="http://schemas.openxmlformats.org/officeDocument/2006/relationships/hyperlink" Target="https://www.google.com/url?q=https://www.infoarena.ro/problema/treesearch&amp;sa=D&amp;ust=1605639800599000&amp;usg=AFQjCNEajTV3LeFvK8F_RbJUxsZjIsZnoA" TargetMode="External"/><Relationship Id="rId2598" Type="http://schemas.openxmlformats.org/officeDocument/2006/relationships/hyperlink" Target="https://www.google.com/url?q=https://oj.uz/problem/view/CEOI16_kangaroo&amp;sa=D&amp;ust=1605639801902000&amp;usg=AFQjCNE1edVAI-cxpI1_73PehoaPDdslmA" TargetMode="External"/><Relationship Id="rId777" Type="http://schemas.openxmlformats.org/officeDocument/2006/relationships/hyperlink" Target="https://www.google.com/url?q=https://oj.uz/problem/view/COCI16_zoltan&amp;sa=D&amp;ust=1605639799719000&amp;usg=AFQjCNE0JJIovyNLPEKyZgutcmCM7rnlFw" TargetMode="External"/><Relationship Id="rId984" Type="http://schemas.openxmlformats.org/officeDocument/2006/relationships/hyperlink" Target="https://www.google.com/url?q=https://oj.uz/problem/view/IOI16_paint&amp;sa=D&amp;ust=1605639799973000&amp;usg=AFQjCNErd5e5U9klziPCWXGPZH02QbksZA" TargetMode="External"/><Relationship Id="rId2458" Type="http://schemas.openxmlformats.org/officeDocument/2006/relationships/hyperlink" Target="https://www.google.com/url?q=https://github.com/mostafa-saad/MyCompetitiveProgramming/blob/master/Olympiad/COCI/COCI-13-parovi.txt&amp;sa=D&amp;ust=1605639801794000&amp;usg=AFQjCNEnuGB85UMQZl8qJbB18-nVGV8SVw" TargetMode="External"/><Relationship Id="rId2665" Type="http://schemas.openxmlformats.org/officeDocument/2006/relationships/hyperlink" Target="https://www.google.com/url?q=https://github.com/mostafa-saad/MyCompetitiveProgramming/blob/master/Olympiad/infoarena/infoarena_sabin.txt&amp;sa=D&amp;ust=1605639801993000&amp;usg=AFQjCNHFwEdlXpZgG334Sb3XmDbNQg-HXw" TargetMode="External"/><Relationship Id="rId2872" Type="http://schemas.openxmlformats.org/officeDocument/2006/relationships/hyperlink" Target="https://www.google.com/url?q=https://oj.uz/problem/view/IOI19_walk&amp;sa=D&amp;ust=1605639802207000&amp;usg=AFQjCNGp8mVSyToJXtCjwbzAeWOyFqORXg" TargetMode="External"/><Relationship Id="rId637" Type="http://schemas.openxmlformats.org/officeDocument/2006/relationships/hyperlink" Target="https://www.google.com/url?q=https://github.com/mostafa-saad/MyCompetitiveProgramming/blob/master/Olympiad/IOI/official/2009&amp;sa=D&amp;ust=1605639799179000&amp;usg=AFQjCNH3G1QJLFAA7uXnn3NG0Vn0Bj71lg" TargetMode="External"/><Relationship Id="rId844" Type="http://schemas.openxmlformats.org/officeDocument/2006/relationships/hyperlink" Target="https://www.google.com/url?q=https://cses.fi/185/list/&amp;sa=D&amp;ust=1605639799802000&amp;usg=AFQjCNEskFpATqa0kbdkEl6HbmsAjrpqGQ" TargetMode="External"/><Relationship Id="rId1267" Type="http://schemas.openxmlformats.org/officeDocument/2006/relationships/hyperlink" Target="https://www.google.com/url?q=https://github.com/stefdasca/CompetitiveProgramming/blob/master/Infoarena/anagrame.cpp&amp;sa=D&amp;ust=1605639800191000&amp;usg=AFQjCNFgTq458jQRETV0du8otbYVLwZ9rw" TargetMode="External"/><Relationship Id="rId1474" Type="http://schemas.openxmlformats.org/officeDocument/2006/relationships/hyperlink" Target="https://www.google.com/url?q=https://oj.uz/problems/source/270&amp;sa=D&amp;ust=1605639800371000&amp;usg=AFQjCNHFlaBZP2Md1E4KswqFtEHQNZOS8Q" TargetMode="External"/><Relationship Id="rId1681" Type="http://schemas.openxmlformats.org/officeDocument/2006/relationships/hyperlink" Target="https://www.google.com/url?q=https://dmoj.ca/problem/coci14c1p6&amp;sa=D&amp;ust=1605639800491000&amp;usg=AFQjCNFtTKVpDIuSo_P6vrwtm1nwF37LTw" TargetMode="External"/><Relationship Id="rId2318" Type="http://schemas.openxmlformats.org/officeDocument/2006/relationships/hyperlink" Target="https://www.google.com/url?q=https://github.com/tsouza0/CompetitiveProgramming/blob/master/DMOJ/stnbd4.cpp&amp;sa=D&amp;ust=1605639801601000&amp;usg=AFQjCNEUfV9QGgLFcVoOxMdNrSPRuitJ8Q" TargetMode="External"/><Relationship Id="rId2525" Type="http://schemas.openxmlformats.org/officeDocument/2006/relationships/hyperlink" Target="https://www.google.com/url?q=https://oj.uz/problem/view/APIO14_sequence&amp;sa=D&amp;ust=1605639801870000&amp;usg=AFQjCNHxhmMA_L5YiXi-55anLoRR7lnjLg" TargetMode="External"/><Relationship Id="rId2732" Type="http://schemas.openxmlformats.org/officeDocument/2006/relationships/hyperlink" Target="https://www.google.com/url?q=https://github.com/mostafa-saad/MyCompetitiveProgramming/tree/master/Olympiad/COCI/official/2008/contest1_solutions&amp;sa=D&amp;ust=1605639802086000&amp;usg=AFQjCNEk00KdJmGopSY_pGJhFtEq56xpjw" TargetMode="External"/><Relationship Id="rId704" Type="http://schemas.openxmlformats.org/officeDocument/2006/relationships/hyperlink" Target="https://www.google.com/url?q=https://oj.uz/problem/view/COCI17_garaza&amp;sa=D&amp;ust=1605639799675000&amp;usg=AFQjCNE-_hV0x1DX9ne7lFaLGVz5m920uA" TargetMode="External"/><Relationship Id="rId911" Type="http://schemas.openxmlformats.org/officeDocument/2006/relationships/hyperlink" Target="https://www.google.com/url?q=https://www.infoarena.ro/problema/desc&amp;sa=D&amp;ust=1605639799896000&amp;usg=AFQjCNE6eNrPhup_GHuft7RlvngtpSBGDg" TargetMode="External"/><Relationship Id="rId1127" Type="http://schemas.openxmlformats.org/officeDocument/2006/relationships/hyperlink" Target="https://www.google.com/url?q=https://oj.uz/problem/view/COCI14_studentsko&amp;sa=D&amp;ust=1605639800081000&amp;usg=AFQjCNEmDZM9aM0WACtmHSRGIxDpgaoXpQ" TargetMode="External"/><Relationship Id="rId1334" Type="http://schemas.openxmlformats.org/officeDocument/2006/relationships/hyperlink" Target="https://www.google.com/url?q=https://github.com/mostafa-saad/MyCompetitiveProgramming/blob/master/Olympiad/POI/POI-07-Flood.txt&amp;sa=D&amp;ust=1605639800218000&amp;usg=AFQjCNFX1MqdM5ZfkNXo2oMw9ytq_mwpuA" TargetMode="External"/><Relationship Id="rId1541" Type="http://schemas.openxmlformats.org/officeDocument/2006/relationships/hyperlink" Target="https://www.google.com/url?q=https://wcipeg.com/problem/coci067p4&amp;sa=D&amp;ust=1605639800395000&amp;usg=AFQjCNG4u3J7SMr4eIqJPE-HWzo6nOAQ6Q" TargetMode="External"/><Relationship Id="rId40" Type="http://schemas.openxmlformats.org/officeDocument/2006/relationships/hyperlink" Target="https://www.google.com/url?q=https://csacademy.com/contest/round-80/task/anagram-sort&amp;sa=D&amp;ust=1605639798678000&amp;usg=AFQjCNF7HeWRX-h9aSshx_GbFUheP_ZuUQ" TargetMode="External"/><Relationship Id="rId1401" Type="http://schemas.openxmlformats.org/officeDocument/2006/relationships/hyperlink" Target="https://www.google.com/url?q=https://szkopul.edu.pl/problemset/problem/TPo3Eb_q2NKymvHo6kNvd5yx/site/&amp;sa=D&amp;ust=1605639800296000&amp;usg=AFQjCNG1dVvt8vP-ExHUtGf6fzzw1ooFLA" TargetMode="External"/><Relationship Id="rId287" Type="http://schemas.openxmlformats.org/officeDocument/2006/relationships/hyperlink" Target="https://www.google.com/url?q=https://dmoj.ca/problem/coci06c4p3&amp;sa=D&amp;ust=1605639798877000&amp;usg=AFQjCNFgJ7TnHun9vND3FwLjFrIaGOlhjA" TargetMode="External"/><Relationship Id="rId494" Type="http://schemas.openxmlformats.org/officeDocument/2006/relationships/hyperlink" Target="https://www.google.com/url?q=https://github.com/mostafa-saad/MyCompetitiveProgramming/blob/master/Olympiad/ROS/ROJS-17-ultimateorbs.txt&amp;sa=D&amp;ust=1605639799083000&amp;usg=AFQjCNEUae_mac8rzOftL-tyCoa4X4E9Tw" TargetMode="External"/><Relationship Id="rId2175" Type="http://schemas.openxmlformats.org/officeDocument/2006/relationships/hyperlink" Target="https://www.google.com/url?q=https://infoarena.ro/problema/cate3cifre&amp;sa=D&amp;ust=1605639800877000&amp;usg=AFQjCNGu33Iu2xoCvTB0bKDxpcPtygjIhA" TargetMode="External"/><Relationship Id="rId2382" Type="http://schemas.openxmlformats.org/officeDocument/2006/relationships/hyperlink" Target="https://www.google.com/url?q=https://github.com/mostafa-saad/MyCompetitiveProgramming/blob/master/Olympiad/IOI/official/2009&amp;sa=D&amp;ust=1605639801698000&amp;usg=AFQjCNHIZUanLtB7ASkRDKlNTKLJ5LJ6Bw" TargetMode="External"/><Relationship Id="rId147" Type="http://schemas.openxmlformats.org/officeDocument/2006/relationships/hyperlink" Target="https://www.google.com/url?q=https://github.com/mostafa-saad/MyCompetitiveProgramming/blob/master/Olympiad/IOI/IOI-10-quality.txt&amp;sa=D&amp;ust=1605639798766000&amp;usg=AFQjCNF7LiychLk9DBAccKqNnrimIj0Rbw" TargetMode="External"/><Relationship Id="rId354" Type="http://schemas.openxmlformats.org/officeDocument/2006/relationships/hyperlink" Target="https://www.google.com/url?q=https://oj.uz/problem/view/COCI17_telefoni&amp;sa=D&amp;ust=1605639798906000&amp;usg=AFQjCNGa9xdKkkDPvfN3uc3wSIsgmsNo4Q" TargetMode="External"/><Relationship Id="rId1191" Type="http://schemas.openxmlformats.org/officeDocument/2006/relationships/hyperlink" Target="https://www.google.com/url?q=https://oj.uz/problem/view/IZhO17_subsequence&amp;sa=D&amp;ust=1605639800115000&amp;usg=AFQjCNFd-9OjhYPtBKR_aexBth54KfKOPA" TargetMode="External"/><Relationship Id="rId2035" Type="http://schemas.openxmlformats.org/officeDocument/2006/relationships/hyperlink" Target="https://www.google.com/url?q=https://szkopul.edu.pl/problemset/problem/dABzva_j1-BvzKMsyxkuRoue/site/&amp;sa=D&amp;ust=1605639800783000&amp;usg=AFQjCNEdKBK_G5OgSb-aYFDWtWo3jyn-LQ" TargetMode="External"/><Relationship Id="rId561" Type="http://schemas.openxmlformats.org/officeDocument/2006/relationships/hyperlink" Target="https://www.google.com/url?q=https://github.com/mostafa-saad/MyCompetitiveProgramming/blob/master/Olympiad/CEOI/CEOI-08-Snake.txt&amp;sa=D&amp;ust=1605639799112000&amp;usg=AFQjCNEh8seAXwiYgywKzVM1GrWZyVbreg" TargetMode="External"/><Relationship Id="rId2242" Type="http://schemas.openxmlformats.org/officeDocument/2006/relationships/hyperlink" Target="https://www.google.com/url?q=https://github.com/mostafa-saad/MyCompetitiveProgramming/blob/master/Olympiad/CEOI/CEOI%252010-pin.cpp&amp;sa=D&amp;ust=1605639800906000&amp;usg=AFQjCNESA50rz-sYApTCdDZdkmlwchvXjw" TargetMode="External"/><Relationship Id="rId214" Type="http://schemas.openxmlformats.org/officeDocument/2006/relationships/hyperlink" Target="https://www.google.com/url?q=https://dmoj.ca/problem/coci14c7p2&amp;sa=D&amp;ust=1605639798795000&amp;usg=AFQjCNFMbzt6dlyVfqTtPErCbr4xiszACQ" TargetMode="External"/><Relationship Id="rId421" Type="http://schemas.openxmlformats.org/officeDocument/2006/relationships/hyperlink" Target="https://www.google.com/url?q=https://contest.yandex.ru/ioi/contest/568/enter/&amp;sa=D&amp;ust=1605639798994000&amp;usg=AFQjCNHL5rkUeYhcxGRfMp0tKCUgS-IB5g" TargetMode="External"/><Relationship Id="rId1051" Type="http://schemas.openxmlformats.org/officeDocument/2006/relationships/hyperlink" Target="https://www.google.com/url?q=https://github.com/mostafa-saad/MyCompetitiveProgramming/blob/master/Olympiad/COCI/COCI-07-Barica.txt&amp;sa=D&amp;ust=1605639800001000&amp;usg=AFQjCNHKdR1TTNBotaqc5eoQoCJz2EE0_Q" TargetMode="External"/><Relationship Id="rId2102" Type="http://schemas.openxmlformats.org/officeDocument/2006/relationships/hyperlink" Target="https://www.google.com/url?q=https://dmoj.ca/problem/coci14c3p5&amp;sa=D&amp;ust=1605639800809000&amp;usg=AFQjCNHiyW5pKimdDQIWgVQQetA1LcwrfQ" TargetMode="External"/><Relationship Id="rId1868" Type="http://schemas.openxmlformats.org/officeDocument/2006/relationships/hyperlink" Target="https://www.google.com/url?q=https://github.com/mostafa-saad/MyCompetitiveProgramming/blob/master/Olympiad/POI/POI-06-Frogs.txt&amp;sa=D&amp;ust=1605639800675000&amp;usg=AFQjCNEl8GKbjH5-4SInZ6k7Z4ZmfJd9Pg" TargetMode="External"/><Relationship Id="rId2919" Type="http://schemas.openxmlformats.org/officeDocument/2006/relationships/hyperlink" Target="https://www.google.com/url?q=https://joisc2016.contest.atcoder.jp/tasks/joisc2016_b&amp;sa=D&amp;ust=1605639802290000&amp;usg=AFQjCNF7BXDWFlwooGCJvTorA-73rbBH5Q" TargetMode="External"/><Relationship Id="rId1728" Type="http://schemas.openxmlformats.org/officeDocument/2006/relationships/hyperlink" Target="https://www.google.com/url?q=https://www.infoarena.ro/problema/incurcatura&amp;sa=D&amp;ust=1605639800507000&amp;usg=AFQjCNGgCV_zyNo42uf4lGBXWu72xJGmrQ" TargetMode="External"/><Relationship Id="rId1935" Type="http://schemas.openxmlformats.org/officeDocument/2006/relationships/hyperlink" Target="https://www.google.com/url?q=https://dmoj.ca/problem/coci15c4p5&amp;sa=D&amp;ust=1605639800702000&amp;usg=AFQjCNFkEzBVe2nQd9uDnpo7wrW3lIqraQ" TargetMode="External"/><Relationship Id="rId3010" Type="http://schemas.openxmlformats.org/officeDocument/2006/relationships/hyperlink" Target="https://www.google.com/url?q=https://szkopul.edu.pl/problemset/problem/URPMk7vthz60i1J3MT3XbIIO/site/&amp;sa=D&amp;ust=1605639802396000&amp;usg=AFQjCNGe6AZuVdI-4ncpDxVWj4gIqnrFow" TargetMode="External"/><Relationship Id="rId4" Type="http://schemas.openxmlformats.org/officeDocument/2006/relationships/hyperlink" Target="https://www.google.com/url?q=https://github.com/mostafa-saad/MyCompetitiveProgramming/blob/master/Olympiad/IOI/official/2010&amp;sa=D&amp;ust=1605639798666000&amp;usg=AFQjCNEMH6XkfFXc9vRVJa_hTpjWjVUQGg" TargetMode="External"/><Relationship Id="rId888" Type="http://schemas.openxmlformats.org/officeDocument/2006/relationships/hyperlink" Target="https://www.google.com/url?q=https://dmoj.ca/problem/coci08c6p5&amp;sa=D&amp;ust=1605639799887000&amp;usg=AFQjCNHNXSGztTijKzqwWDdMfKjnD-XbGA" TargetMode="External"/><Relationship Id="rId2569" Type="http://schemas.openxmlformats.org/officeDocument/2006/relationships/hyperlink" Target="https://www.google.com/url?q=https://github.com/mostafa-saad/MyCompetitiveProgramming/blob/master/Olympiad/infoarena/infoarena-mindist.txt&amp;sa=D&amp;ust=1605639801886000&amp;usg=AFQjCNFTJma9P0U9GPT4871YnW4ANFQw5g" TargetMode="External"/><Relationship Id="rId2776" Type="http://schemas.openxmlformats.org/officeDocument/2006/relationships/hyperlink" Target="https://www.google.com/url?q=https://github.com/mostafa-saad/MyCompetitiveProgramming/blob/master/Olympiad/COCI/official/2010/contest7_solutions&amp;sa=D&amp;ust=1605639802104000&amp;usg=AFQjCNGlcZNTBiutfr0tzPCuaHQ_BKBmrg" TargetMode="External"/><Relationship Id="rId2983" Type="http://schemas.openxmlformats.org/officeDocument/2006/relationships/hyperlink" Target="https://www.google.com/url?q=https://szkopul.edu.pl/problemset/problem/3Kqkgeapr-W-MBprNjUDGICL/site/&amp;sa=D&amp;ust=1605639802382000&amp;usg=AFQjCNGK5yBBvbmlWNjPZtYAkBB8WpU5Ig" TargetMode="External"/><Relationship Id="rId748" Type="http://schemas.openxmlformats.org/officeDocument/2006/relationships/hyperlink" Target="https://www.google.com/url?q=http://usaco.org/index.php?page%3Dviewproblem2%26cpid%3D900&amp;sa=D&amp;ust=1605639799707000&amp;usg=AFQjCNHD-r7QRB0YTvQ1YEp59LibWm_TPw" TargetMode="External"/><Relationship Id="rId955" Type="http://schemas.openxmlformats.org/officeDocument/2006/relationships/hyperlink" Target="https://www.google.com/url?q=https://github.com/mostafa-saad/MyCompetitiveProgramming/blob/master/Olympiad/infoarena/infoarena-pitici3.txt&amp;sa=D&amp;ust=1605639799913000&amp;usg=AFQjCNHFSwq_M3ucHDTAEvb3GKEc6ymYIg" TargetMode="External"/><Relationship Id="rId1378" Type="http://schemas.openxmlformats.org/officeDocument/2006/relationships/hyperlink" Target="https://www.google.com/url?q=https://tioj.ck.tp.edu.tw/problems/1740&amp;sa=D&amp;ust=1605639800286000&amp;usg=AFQjCNFaBIqlt0PVm_5VriChcO9Lm5FRTg" TargetMode="External"/><Relationship Id="rId1585" Type="http://schemas.openxmlformats.org/officeDocument/2006/relationships/hyperlink" Target="https://www.google.com/url?q=https://github.com/mostafa-saad/MyCompetitiveProgramming/blob/master/Olympiad/JOI/official/JOISC/2017/2017.txt&amp;sa=D&amp;ust=1605639800414000&amp;usg=AFQjCNE9kXdDsPBc25Fnrij9039DqgUWYA" TargetMode="External"/><Relationship Id="rId1792" Type="http://schemas.openxmlformats.org/officeDocument/2006/relationships/hyperlink" Target="https://www.google.com/url?q=https://oj.uz/problem/view/JOI14_space_pirate&amp;sa=D&amp;ust=1605639800588000&amp;usg=AFQjCNHJxigEKjsGscDpPdmq-UODgqJZLA" TargetMode="External"/><Relationship Id="rId2429" Type="http://schemas.openxmlformats.org/officeDocument/2006/relationships/hyperlink" Target="https://www.google.com/url?q=http://usaco.org/index.php?page%3Dviewproblem2%26cpid%3D229&amp;sa=D&amp;ust=1605639801783000&amp;usg=AFQjCNGm7vm23sz8YycEHPOcEwxJJL9AFw" TargetMode="External"/><Relationship Id="rId2636" Type="http://schemas.openxmlformats.org/officeDocument/2006/relationships/hyperlink" Target="https://www.google.com/url?q=https://infoarena.ro/problema/plimbare3&amp;sa=D&amp;ust=1605639801981000&amp;usg=AFQjCNEbOstsY3KcCSDBh_ZqtgJZxCJPrw" TargetMode="External"/><Relationship Id="rId2843" Type="http://schemas.openxmlformats.org/officeDocument/2006/relationships/hyperlink" Target="https://www.google.com/url?q=https://dmoj.ca/problem/dmopc17c1p5&amp;sa=D&amp;ust=1605639802192000&amp;usg=AFQjCNG2z1aIcjp0oLAPlO97WlKZNfhQRQ" TargetMode="External"/><Relationship Id="rId84" Type="http://schemas.openxmlformats.org/officeDocument/2006/relationships/hyperlink" Target="https://www.google.com/url?q=https://dmoj.ca/contest/cco18d1&amp;sa=D&amp;ust=1605639798707000&amp;usg=AFQjCNF7ORIWa1XXV1GdLqk5Lp4l2nkJng" TargetMode="External"/><Relationship Id="rId608" Type="http://schemas.openxmlformats.org/officeDocument/2006/relationships/hyperlink" Target="https://www.google.com/url?q=https://codeforces.com/group/swEqtABRxe/contest/243438/problem/A&amp;sa=D&amp;ust=1605639799165000&amp;usg=AFQjCNGaab-dZwM8rVu7Qwfs7i3l58Sxrg" TargetMode="External"/><Relationship Id="rId815" Type="http://schemas.openxmlformats.org/officeDocument/2006/relationships/hyperlink" Target="https://www.google.com/url?q=https://oj.uz/problem/view/COI17_trapezi&amp;sa=D&amp;ust=1605639799790000&amp;usg=AFQjCNHaQALOLdMVQI-EpnrVYxk8It5GWQ" TargetMode="External"/><Relationship Id="rId1238" Type="http://schemas.openxmlformats.org/officeDocument/2006/relationships/hyperlink" Target="https://www.google.com/url?q=https://github.com/stefdasca/CompetitiveProgramming/blob/master/Infoarena/sms.cpp&amp;sa=D&amp;ust=1605639800180000&amp;usg=AFQjCNHN730FamvGXsgXnpfbVTRHyfjh4g" TargetMode="External"/><Relationship Id="rId1445" Type="http://schemas.openxmlformats.org/officeDocument/2006/relationships/hyperlink" Target="https://www.google.com/url?q=https://oj.uz/problem/view/POI11_imp&amp;sa=D&amp;ust=1605639800314000&amp;usg=AFQjCNGn6b8MfVGhdxIx0NoABqX8D4LPZw" TargetMode="External"/><Relationship Id="rId1652" Type="http://schemas.openxmlformats.org/officeDocument/2006/relationships/hyperlink" Target="https://www.google.com/url?q=https://github.com/mostafa-saad/MyCompetitiveProgramming/blob/master/Olympiad/Baltic/Baltic-16-park.txt&amp;sa=D&amp;ust=1605639800480000&amp;usg=AFQjCNGqivxGs56k7QVpnhi0kkZBUpcZwg" TargetMode="External"/><Relationship Id="rId1305" Type="http://schemas.openxmlformats.org/officeDocument/2006/relationships/hyperlink" Target="https://www.google.com/url?q=https://szkopul.edu.pl/problemset/problem/lo_jOsVfQ4ajCSHxFGZS27W-/site/?key%3Dstatement&amp;sa=D&amp;ust=1605639800205000&amp;usg=AFQjCNGB6344rnaGcl4-fMwRfHY57Y2u0g" TargetMode="External"/><Relationship Id="rId2703" Type="http://schemas.openxmlformats.org/officeDocument/2006/relationships/hyperlink" Target="https://www.google.com/url?q=https://szkopul.edu.pl/problemset/problem/4Pgr_vmxb_fPeFSn1NTJPqQa/site/&amp;sa=D&amp;ust=1605639802067000&amp;usg=AFQjCNGs0J6yhQRB4tj-BRgFGob0PqjuZg" TargetMode="External"/><Relationship Id="rId2910" Type="http://schemas.openxmlformats.org/officeDocument/2006/relationships/hyperlink" Target="https://www.google.com/url?q=https://dunjudge.me/analysis/problems/751/&amp;sa=D&amp;ust=1605639802285000&amp;usg=AFQjCNEwXk_ZrVqwDW7945VQi7TR77FIdg" TargetMode="External"/><Relationship Id="rId1512" Type="http://schemas.openxmlformats.org/officeDocument/2006/relationships/hyperlink" Target="https://www.google.com/url?q=https://contest.yandex.ru/ioi/contest/560/enter/&amp;sa=D&amp;ust=1605639800385000&amp;usg=AFQjCNGK4SSIdWubfesU-LIpL7iMNFbaug" TargetMode="External"/><Relationship Id="rId11" Type="http://schemas.openxmlformats.org/officeDocument/2006/relationships/hyperlink" Target="https://www.google.com/url?q=https://github.com/mostafa-saad/MyCompetitiveProgramming/tree/master/Olympiad/Balkan/official/2015&amp;sa=D&amp;ust=1605639798668000&amp;usg=AFQjCNG-a3Wf9CZxp3h8aFpYPJ2s4xWyzQ" TargetMode="External"/><Relationship Id="rId398" Type="http://schemas.openxmlformats.org/officeDocument/2006/relationships/hyperlink" Target="https://www.google.com/url?q=https://cses.fi/185/list/&amp;sa=D&amp;ust=1605639798983000&amp;usg=AFQjCNHtM6yjoWs6s2Z9x3-lq5B61u6u2A" TargetMode="External"/><Relationship Id="rId2079" Type="http://schemas.openxmlformats.org/officeDocument/2006/relationships/hyperlink" Target="https://www.google.com/url?q=http://usaco.org/index.php?page%3Dviewproblem2%26cpid%3D769&amp;sa=D&amp;ust=1605639800800000&amp;usg=AFQjCNGtX_l8z34aJmVpFenCQJPOcmK71A" TargetMode="External"/><Relationship Id="rId2286" Type="http://schemas.openxmlformats.org/officeDocument/2006/relationships/hyperlink" Target="https://www.google.com/url?q=https://szkopul.edu.pl/problemset/problem/DkPj-ES6glaEwxppbuaxbOO6/site/&amp;sa=D&amp;ust=1605639801573000&amp;usg=AFQjCNHOcR5ra_nc6Ecal35TDw9ezE0Lvw" TargetMode="External"/><Relationship Id="rId2493" Type="http://schemas.openxmlformats.org/officeDocument/2006/relationships/hyperlink" Target="https://www.google.com/url?q=https://github.com/mostafa-saad/MyCompetitiveProgramming/blob/master/Olympiad/infoarena/infoarena-disconnect.txt&amp;sa=D&amp;ust=1605639801807000&amp;usg=AFQjCNEP6RPvPhtF89Fwm2SFZT6i27AC8w" TargetMode="External"/><Relationship Id="rId258" Type="http://schemas.openxmlformats.org/officeDocument/2006/relationships/hyperlink" Target="https://www.google.com/url?q=https://github.com/mostafa-saad/MyCompetitiveProgramming/blob/master/Olympiad/COCI/official/2009/contest3_solutions&amp;sa=D&amp;ust=1605639798866000&amp;usg=AFQjCNFMJBNmBQD2BhqpjPI2qoQjqb1QMA" TargetMode="External"/><Relationship Id="rId465" Type="http://schemas.openxmlformats.org/officeDocument/2006/relationships/hyperlink" Target="https://www.google.com/url?q=https://github.com/mostafa-saad/MyCompetitiveProgramming/tree/master/Olympiad/COI/official/2014&amp;sa=D&amp;ust=1605639799012000&amp;usg=AFQjCNFTqdTMIjLLtJSq_T8jSh0Vp8PPew" TargetMode="External"/><Relationship Id="rId672" Type="http://schemas.openxmlformats.org/officeDocument/2006/relationships/hyperlink" Target="https://www.google.com/url?q=https://oj.uz/problem/view/BOI18_election&amp;sa=D&amp;ust=1605639799662000&amp;usg=AFQjCNEEZ0GvHSxzZfau8ok1tHCrWzSoYQ" TargetMode="External"/><Relationship Id="rId1095" Type="http://schemas.openxmlformats.org/officeDocument/2006/relationships/hyperlink" Target="https://www.google.com/url?q=https://github.com/mostafa-saad/MyCompetitiveProgramming/blob/master/Olympiad/NOI/official&amp;sa=D&amp;ust=1605639800066000&amp;usg=AFQjCNHdEytyZYhLG_0yK593nI77DolgpQ" TargetMode="External"/><Relationship Id="rId2146" Type="http://schemas.openxmlformats.org/officeDocument/2006/relationships/hyperlink" Target="https://www.google.com/url?q=https://github.com/dolphingarlic/CompetitiveProgramming/blob/master/COI/COCI%252020-zapina.cpp&amp;sa=D&amp;ust=1605639800867000&amp;usg=AFQjCNHF20AFNbxTTLkMkaU_p1NZ3QbXsg" TargetMode="External"/><Relationship Id="rId2353" Type="http://schemas.openxmlformats.org/officeDocument/2006/relationships/hyperlink" Target="https://www.google.com/url?q=https://dmoj.ca/problem/coci06c3p6&amp;sa=D&amp;ust=1605639801617000&amp;usg=AFQjCNE0EiscnMggadC3_IXjTKnV8GCX0w" TargetMode="External"/><Relationship Id="rId2560" Type="http://schemas.openxmlformats.org/officeDocument/2006/relationships/hyperlink" Target="https://www.google.com/url?q=https://codeforces.com/gym/102257/&amp;sa=D&amp;ust=1605639801882000&amp;usg=AFQjCNEdRcOxbhDMD6gB3Ckvrhu1eg_CYg" TargetMode="External"/><Relationship Id="rId118" Type="http://schemas.openxmlformats.org/officeDocument/2006/relationships/hyperlink" Target="https://www.google.com/url?q=https://contest.yandex.ru/ioi/contest/558/enter/&amp;sa=D&amp;ust=1605639798720000&amp;usg=AFQjCNGqGvzTxj_JKJRQNHVjsr2mUiFhtg" TargetMode="External"/><Relationship Id="rId325" Type="http://schemas.openxmlformats.org/officeDocument/2006/relationships/hyperlink" Target="https://www.google.com/url?q=https://dmoj.ca/problem/coci14c1p2&amp;sa=D&amp;ust=1605639798892000&amp;usg=AFQjCNGVNY6A5cjoSoUSA0-3LC1tIYafCA" TargetMode="External"/><Relationship Id="rId532" Type="http://schemas.openxmlformats.org/officeDocument/2006/relationships/hyperlink" Target="https://www.google.com/url?q=https://dunjudge.me/analysis/problems/931/&amp;sa=D&amp;ust=1605639799101000&amp;usg=AFQjCNHS-1YFnUTKxeUa8pn6w-0Jot-x5Q" TargetMode="External"/><Relationship Id="rId1162" Type="http://schemas.openxmlformats.org/officeDocument/2006/relationships/hyperlink" Target="https://www.google.com/url?q=https://dunjudge.me/analysis/problems/934/&amp;sa=D&amp;ust=1605639800097000&amp;usg=AFQjCNFRTfana-QtR5pR1VWcJS_P2VSSBg" TargetMode="External"/><Relationship Id="rId2006" Type="http://schemas.openxmlformats.org/officeDocument/2006/relationships/hyperlink" Target="https://www.google.com/url?q=https://github.com/timpostuvan/CompetitiveProgramming/blob/master/Olympiad/TOKI/CellsTour2018.cpp&amp;sa=D&amp;ust=1605639800771000&amp;usg=AFQjCNFyPhc3YWC6KAGR92QTw-Zjqo3eog" TargetMode="External"/><Relationship Id="rId2213" Type="http://schemas.openxmlformats.org/officeDocument/2006/relationships/hyperlink" Target="https://www.google.com/url?q=https://oj.uz/problem/view/JOI16_joiris&amp;sa=D&amp;ust=1605639800894000&amp;usg=AFQjCNG-7JcCh8qAwIlxqR98hjL2FckgyQ" TargetMode="External"/><Relationship Id="rId2420" Type="http://schemas.openxmlformats.org/officeDocument/2006/relationships/hyperlink" Target="https://www.google.com/url?q=https://www.infoarena.ro/problema/drept2&amp;sa=D&amp;ust=1605639801779000&amp;usg=AFQjCNGu_xw95Dy8m1_ZEMhhXYnFLQBYLA" TargetMode="External"/><Relationship Id="rId1022" Type="http://schemas.openxmlformats.org/officeDocument/2006/relationships/hyperlink" Target="https://www.google.com/url?q=https://github.com/mostafa-saad/MyCompetitiveProgramming/blob/master/Olympiad/Baltic/Baltic-11-Meetings.txt&amp;sa=D&amp;ust=1605639799989000&amp;usg=AFQjCNENuGcutGgL5wsJLvvNsB6SojAfhg" TargetMode="External"/><Relationship Id="rId1979" Type="http://schemas.openxmlformats.org/officeDocument/2006/relationships/hyperlink" Target="https://www.google.com/url?q=https://oj.uz/problem/view/APIO17_merchant&amp;sa=D&amp;ust=1605639800716000&amp;usg=AFQjCNHzM_YXw5t7UYUxj3MOS4Yppe6uXw" TargetMode="External"/><Relationship Id="rId1839" Type="http://schemas.openxmlformats.org/officeDocument/2006/relationships/hyperlink" Target="https://www.google.com/url?q=https://github.com/mostafa-saad/MyCompetitiveProgramming/blob/master/Olympiad/Baltic/Baltic-13-tracks.txt&amp;sa=D&amp;ust=1605639800605000&amp;usg=AFQjCNFGxkb-3zNopF2cCqDilGOWjuxUwQ" TargetMode="External"/><Relationship Id="rId182" Type="http://schemas.openxmlformats.org/officeDocument/2006/relationships/hyperlink" Target="https://www.google.com/url?q=https://github.com/mostafa-saad/MyCompetitiveProgramming/blob/master/Olympiad/POI/official/find_editorial_sols_guidelines.txt&amp;sa=D&amp;ust=1605639798782000&amp;usg=AFQjCNGgQjrZ4VnyjzN8pq2v7eSDzrwV7g" TargetMode="External"/><Relationship Id="rId1906" Type="http://schemas.openxmlformats.org/officeDocument/2006/relationships/hyperlink" Target="https://www.google.com/url?q=https://github.com/mostafa-saad/MyCompetitiveProgramming/blob/master/Olympiad/POI/official/find_editorial_sols_guidelines.txt&amp;sa=D&amp;ust=1605639800691000&amp;usg=AFQjCNH1XB0wBYaNjIMjg1AKuDk9lvZSzw" TargetMode="External"/><Relationship Id="rId2070" Type="http://schemas.openxmlformats.org/officeDocument/2006/relationships/hyperlink" Target="https://www.google.com/url?q=https://codeforces.com/blog/entry/68676&amp;sa=D&amp;ust=1605639800797000&amp;usg=AFQjCNFiiTpovJm7VJV68kC4qaMyLxzSGw" TargetMode="External"/><Relationship Id="rId999" Type="http://schemas.openxmlformats.org/officeDocument/2006/relationships/hyperlink" Target="https://www.google.com/url?q=https://github.com/stefdasca/CompetitiveProgramming/blob/master/Infoarena/secvbest.cpp&amp;sa=D&amp;ust=1605639799981000&amp;usg=AFQjCNG7bptfHtU_Km_gNnQr1L2y0-Ci8w" TargetMode="External"/><Relationship Id="rId2887" Type="http://schemas.openxmlformats.org/officeDocument/2006/relationships/hyperlink" Target="https://www.google.com/url?q=https://oj.uz/problems/source/6&amp;sa=D&amp;ust=1605639802269000&amp;usg=AFQjCNEA3DpQDKX4lrnKj1JxrLaovLwIiQ" TargetMode="External"/><Relationship Id="rId859" Type="http://schemas.openxmlformats.org/officeDocument/2006/relationships/hyperlink" Target="https://www.google.com/url?q=https://github.com/mostafa-saad/MyCompetitiveProgramming/blob/master/Olympiad/infoarena/infoarena_fft2d.txt&amp;sa=D&amp;ust=1605639799871000&amp;usg=AFQjCNEHHLHZSSgUsCw75-Qy0BgLvUDcpA" TargetMode="External"/><Relationship Id="rId1489" Type="http://schemas.openxmlformats.org/officeDocument/2006/relationships/hyperlink" Target="https://www.google.com/url?q=https://github.com/mostafa-saad/MyCompetitiveProgramming/blob/master/Olympiad/POI/official/find_editorial_sols_guidelines.txt&amp;sa=D&amp;ust=1605639800377000&amp;usg=AFQjCNEcKB5Q0bkphZ4aJIzAqgNA0NddJg" TargetMode="External"/><Relationship Id="rId1696" Type="http://schemas.openxmlformats.org/officeDocument/2006/relationships/hyperlink" Target="https://www.google.com/url?q=https://github.com/mostafa-saad/MyCompetitiveProgramming/blob/master/Olympiad/COCI/COCI-14-Mafija.txt&amp;sa=D&amp;ust=1605639800496000&amp;usg=AFQjCNGnma_n02NMJ9wj6MjsbZ3VezVv9A" TargetMode="External"/><Relationship Id="rId1349" Type="http://schemas.openxmlformats.org/officeDocument/2006/relationships/hyperlink" Target="https://www.google.com/url?q=https://oj.uz/problem/view/COI18_paprike&amp;sa=D&amp;ust=1605639800266000&amp;usg=AFQjCNGb_V9SInz0ro9Evv3ZD0ktgKdBgQ" TargetMode="External"/><Relationship Id="rId2747" Type="http://schemas.openxmlformats.org/officeDocument/2006/relationships/hyperlink" Target="https://www.google.com/url?q=https://dmoj.ca/problem/coci08c6p4&amp;sa=D&amp;ust=1605639802091000&amp;usg=AFQjCNH8anB57PgmoNTjT2TSpboDhAtH3g" TargetMode="External"/><Relationship Id="rId2954" Type="http://schemas.openxmlformats.org/officeDocument/2006/relationships/hyperlink" Target="https://www.google.com/url?q=https://dunjudge.me/analysis/problems/1170/&amp;sa=D&amp;ust=1605639802311000&amp;usg=AFQjCNHt4zjWnwmu3LvTjBdIqEA9dl438w" TargetMode="External"/><Relationship Id="rId719" Type="http://schemas.openxmlformats.org/officeDocument/2006/relationships/hyperlink" Target="https://www.google.com/url?q=https://github.com/mostafa-saad/MyCompetitiveProgramming/tree/master/Olympiad/CEOI/official/2009&amp;sa=D&amp;ust=1605639799689000&amp;usg=AFQjCNHPqRJ0rEq3WKX4KcgMe_UcXCQIZw" TargetMode="External"/><Relationship Id="rId926" Type="http://schemas.openxmlformats.org/officeDocument/2006/relationships/hyperlink" Target="https://www.google.com/url?q=https://github.com/mostafa-saad/MyCompetitiveProgramming/blob/master/Olympiad/Baltic/Baltic-12-Melody.txt&amp;sa=D&amp;ust=1605639799901000&amp;usg=AFQjCNEZBZWxMISZ69AQKZMAfQV09thxpg" TargetMode="External"/><Relationship Id="rId1556" Type="http://schemas.openxmlformats.org/officeDocument/2006/relationships/hyperlink" Target="https://www.google.com/url?q=https://github.com/mostafa-saad/MyCompetitiveProgramming/blob/master/Olympiad/Baltic/Baltic-05-Polygon.txt&amp;sa=D&amp;ust=1605639800402000&amp;usg=AFQjCNG8iT1RvrRtN3wx3QQsBQYOk3iTVQ" TargetMode="External"/><Relationship Id="rId1763" Type="http://schemas.openxmlformats.org/officeDocument/2006/relationships/hyperlink" Target="https://www.google.com/url?q=https://cses.fi/115/list/&amp;sa=D&amp;ust=1605639800571000&amp;usg=AFQjCNFBjsBJCz5g3LH5krcLXEwtE971HA" TargetMode="External"/><Relationship Id="rId1970" Type="http://schemas.openxmlformats.org/officeDocument/2006/relationships/hyperlink" Target="https://www.google.com/url?q=https://infoarena.ro/problema/ratway&amp;sa=D&amp;ust=1605639800713000&amp;usg=AFQjCNG4swmNpDcAqihR9ihM0lVNoMExLw" TargetMode="External"/><Relationship Id="rId2607" Type="http://schemas.openxmlformats.org/officeDocument/2006/relationships/hyperlink" Target="https://www.google.com/url?q=https://github.com/mostafa-saad/MyCompetitiveProgramming/tree/master/Olympiad/COCI/official/2012/contest6_solutions&amp;sa=D&amp;ust=1605639801905000&amp;usg=AFQjCNEr1qepmx3lcWV-eiIa_uC1KciJrw" TargetMode="External"/><Relationship Id="rId2814" Type="http://schemas.openxmlformats.org/officeDocument/2006/relationships/hyperlink" Target="https://www.google.com/url?q=https://dmoj.ca/problem/coci14c5p4&amp;sa=D&amp;ust=1605639802174000&amp;usg=AFQjCNFB7RBtPZ5ojg12uAsP4ZvteyQo2Q" TargetMode="External"/><Relationship Id="rId55" Type="http://schemas.openxmlformats.org/officeDocument/2006/relationships/hyperlink" Target="https://www.google.com/url?q=https://github.com/mostafa-saad/MyCompetitiveProgramming/blob/master/Olympiad/Info1Cup/Info1Cup_18-Hidden.txt&amp;sa=D&amp;ust=1605639798684000&amp;usg=AFQjCNFJupWjR0xGCYp0FNqKGlQHHwX9ww" TargetMode="External"/><Relationship Id="rId1209" Type="http://schemas.openxmlformats.org/officeDocument/2006/relationships/hyperlink" Target="https://www.google.com/url?q=https://dmoj.ca/problem/coci06c1p5&amp;sa=D&amp;ust=1605639800169000&amp;usg=AFQjCNE4dasscSE5ayQ9aUsKooMuQkLjaw" TargetMode="External"/><Relationship Id="rId1416" Type="http://schemas.openxmlformats.org/officeDocument/2006/relationships/hyperlink" Target="https://www.google.com/url?q=https://oj.uz/problem/view/COCI17_lozinke&amp;sa=D&amp;ust=1605639800301000&amp;usg=AFQjCNGx7OX3hWE6bT1s-Zdk71M-KKFhjQ" TargetMode="External"/><Relationship Id="rId1623" Type="http://schemas.openxmlformats.org/officeDocument/2006/relationships/hyperlink" Target="https://www.google.com/url?q=http://usaco.org/index.php?page%3Dviewproblem2%26cpid%3D901&amp;sa=D&amp;ust=1605639800467000&amp;usg=AFQjCNHPXDYvbV_Q_DGnDWxk7eJR4zYLIQ" TargetMode="External"/><Relationship Id="rId1830" Type="http://schemas.openxmlformats.org/officeDocument/2006/relationships/hyperlink" Target="https://www.google.com/url?q=https://dmoj.ca/problem/coci06c6p4&amp;sa=D&amp;ust=1605639800602000&amp;usg=AFQjCNEpL9Cm6xZZepduAw2ypOTyF-8iyQ" TargetMode="External"/><Relationship Id="rId2397" Type="http://schemas.openxmlformats.org/officeDocument/2006/relationships/hyperlink" Target="https://www.google.com/url?q=https://github.com/mostafa-saad/MyCompetitiveProgramming/blob/master/Olympiad/COCI/official/2010/contest5_solutions&amp;sa=D&amp;ust=1605639801705000&amp;usg=AFQjCNGnrD0e-KdFQuCO53wp6PpNz8YZMg" TargetMode="External"/><Relationship Id="rId369" Type="http://schemas.openxmlformats.org/officeDocument/2006/relationships/hyperlink" Target="https://www.google.com/url?q=https://oj.uz/problem/view/COCI14_mobitel&amp;sa=D&amp;ust=1605639798911000&amp;usg=AFQjCNHEYrV56mknHlF-2sG4CCAMmhe2lQ" TargetMode="External"/><Relationship Id="rId576" Type="http://schemas.openxmlformats.org/officeDocument/2006/relationships/hyperlink" Target="https://www.google.com/url?q=https://tioj.ck.tp.edu.tw/problems/1739&amp;sa=D&amp;ust=1605639799118000&amp;usg=AFQjCNEmaNF_oE91h8f1Tfmffxl_YF_zfQ" TargetMode="External"/><Relationship Id="rId783" Type="http://schemas.openxmlformats.org/officeDocument/2006/relationships/hyperlink" Target="https://www.google.com/url?q=https://github.com/mostafa-saad/MyCompetitiveProgramming/blob/master/Olympiad/JOI/JOI-13-BubbleSort.txt&amp;sa=D&amp;ust=1605639799767000&amp;usg=AFQjCNH7S1H2mi1k6RG9UStf5utatS3lkQ" TargetMode="External"/><Relationship Id="rId990" Type="http://schemas.openxmlformats.org/officeDocument/2006/relationships/hyperlink" Target="https://www.google.com/url?q=https://github.com/nya-nya-meow/CompetitiveProgramming/blob/master/CSES/CSES%25201112%2520-%2520Substrings.cpp&amp;sa=D&amp;ust=1605639799979000&amp;usg=AFQjCNExHSsVBEito6IcPOmag9GHf02U5Q" TargetMode="External"/><Relationship Id="rId2257" Type="http://schemas.openxmlformats.org/officeDocument/2006/relationships/hyperlink" Target="https://www.google.com/url?q=https://dmoj.ca/problem/phantom3&amp;sa=D&amp;ust=1605639800911000&amp;usg=AFQjCNFJXj5906mRMC1BGURQ3Xg4uDnKmQ" TargetMode="External"/><Relationship Id="rId2464" Type="http://schemas.openxmlformats.org/officeDocument/2006/relationships/hyperlink" Target="https://www.google.com/url?q=https://github.com/mostafa-saad/MyCompetitiveProgramming/tree/master/Olympiad/COCI/official/2008/contest3_solutions&amp;sa=D&amp;ust=1605639801796000&amp;usg=AFQjCNGUCwvp8oEKpzR1zDPNTB2IBDhwCQ" TargetMode="External"/><Relationship Id="rId2671" Type="http://schemas.openxmlformats.org/officeDocument/2006/relationships/hyperlink" Target="https://www.google.com/url?q=https://github.com/mostafa-saad/MyCompetitiveProgramming/tree/master/Olympiad/MCO/official/2015&amp;sa=D&amp;ust=1605639801995000&amp;usg=AFQjCNFozj4FxaoWT__aaTYBjXjggQ7imQ" TargetMode="External"/><Relationship Id="rId229" Type="http://schemas.openxmlformats.org/officeDocument/2006/relationships/hyperlink" Target="https://www.google.com/url?q=https://oj.uz/problem/view/JOI20_ho_t1&amp;sa=D&amp;ust=1605639798801000&amp;usg=AFQjCNHBMMW8RFVwuNRGxhYq_0WTSW0DlA" TargetMode="External"/><Relationship Id="rId436" Type="http://schemas.openxmlformats.org/officeDocument/2006/relationships/hyperlink" Target="https://www.google.com/url?q=https://github.com/mostafa-saad/MyCompetitiveProgramming/blob/master/Olympiad/APIO/APIO-09-Convention.txt&amp;sa=D&amp;ust=1605639799001000&amp;usg=AFQjCNG_HonzJdxyG1cvuxHKDJwl1JJ9Pg" TargetMode="External"/><Relationship Id="rId643" Type="http://schemas.openxmlformats.org/officeDocument/2006/relationships/hyperlink" Target="https://www.google.com/url?q=https://github.com/nikolapesic2802/Programming-Practice/blob/master/Two%2520Antennas/main.cpp&amp;sa=D&amp;ust=1605639799640000&amp;usg=AFQjCNGFWZt-aF0mFn3jNoEu4S4Iizct5Q" TargetMode="External"/><Relationship Id="rId1066" Type="http://schemas.openxmlformats.org/officeDocument/2006/relationships/hyperlink" Target="https://www.google.com/url?q=https://ideone.com/xq3cEb&amp;sa=D&amp;ust=1605639800007000&amp;usg=AFQjCNHO3Kt-pG9bV7KO1UKrLhL2cLdFLw" TargetMode="External"/><Relationship Id="rId1273" Type="http://schemas.openxmlformats.org/officeDocument/2006/relationships/hyperlink" Target="https://www.google.com/url?q=https://github.com/dolphingarlic/CompetitiveProgramming/blob/master/infoarena/ROUSelection%252017-rooms.cpp&amp;sa=D&amp;ust=1605639800193000&amp;usg=AFQjCNHgEKodxbVZZIhi3yQm_ApDhOf8Gg" TargetMode="External"/><Relationship Id="rId1480" Type="http://schemas.openxmlformats.org/officeDocument/2006/relationships/hyperlink" Target="https://www.google.com/url?q=https://oj.uz/problem/view/COCI17_paralelogrami&amp;sa=D&amp;ust=1605639800372000&amp;usg=AFQjCNEEYk-LQeH1NUrxx7wPV-7vJ_eWiA" TargetMode="External"/><Relationship Id="rId2117" Type="http://schemas.openxmlformats.org/officeDocument/2006/relationships/hyperlink" Target="https://www.google.com/url?q=https://szkopul.edu.pl/problemset/problem/DKfNUFPEex9M2RZxld6pPcxT/site/&amp;sa=D&amp;ust=1605639800815000&amp;usg=AFQjCNG1mnIoBtu9NwW2B7IszWvoZ6gsxA" TargetMode="External"/><Relationship Id="rId2324" Type="http://schemas.openxmlformats.org/officeDocument/2006/relationships/hyperlink" Target="https://www.google.com/url?q=https://github.com/mostafa-saad/MyCompetitiveProgramming/blob/master/Olympiad/POI/official/find_editorial_sols_guidelines.txt&amp;sa=D&amp;ust=1605639801606000&amp;usg=AFQjCNE0o2fRQ04MH5rTE7b7Xv8vD1knqg" TargetMode="External"/><Relationship Id="rId850" Type="http://schemas.openxmlformats.org/officeDocument/2006/relationships/hyperlink" Target="https://www.google.com/url?q=https://dunjudge.me/analysis/problems/543/&amp;sa=D&amp;ust=1605639799864000&amp;usg=AFQjCNE6f_HrnJAjYFkGjFQB4v9YszR92w" TargetMode="External"/><Relationship Id="rId1133" Type="http://schemas.openxmlformats.org/officeDocument/2006/relationships/hyperlink" Target="https://www.google.com/url?q=https://oj.uz/problem/view/COCI19_slicice&amp;sa=D&amp;ust=1605639800085000&amp;usg=AFQjCNH2awVkJV4ZLAEU7P2cDPFi1_j2iw" TargetMode="External"/><Relationship Id="rId2531" Type="http://schemas.openxmlformats.org/officeDocument/2006/relationships/hyperlink" Target="https://www.google.com/url?q=https://www.acmicpc.net/problem/5254&amp;sa=D&amp;ust=1605639801872000&amp;usg=AFQjCNHgY5YEvxPmPdTlpieA1SHvDCxacg" TargetMode="External"/><Relationship Id="rId503" Type="http://schemas.openxmlformats.org/officeDocument/2006/relationships/hyperlink" Target="https://www.google.com/url?q=http://usaco.org/index.php?page%3Dviewproblem2%26cpid%3D495&amp;sa=D&amp;ust=1605639799088000&amp;usg=AFQjCNF8KoQ6B8L65adIpSFrv6dGD9HxKA" TargetMode="External"/><Relationship Id="rId710" Type="http://schemas.openxmlformats.org/officeDocument/2006/relationships/hyperlink" Target="https://www.google.com/url?q=https://oj.uz/problems/source/121&amp;sa=D&amp;ust=1605639799677000&amp;usg=AFQjCNHRQ729GLIf8UL4Tsf7C1nXikYrrg" TargetMode="External"/><Relationship Id="rId1340" Type="http://schemas.openxmlformats.org/officeDocument/2006/relationships/hyperlink" Target="https://www.google.com/url?q=https://github.com/mostafa-saad/MyCompetitiveProgramming/blob/master/Olympiad/Balkan/Balkan-18-zalmoxis.txt&amp;sa=D&amp;ust=1605639800220000&amp;usg=AFQjCNFvftcvb4dgDbMEhcf1PaLKCsBuFA" TargetMode="External"/><Relationship Id="rId1200" Type="http://schemas.openxmlformats.org/officeDocument/2006/relationships/hyperlink" Target="https://www.google.com/url?q=https://oj.uz/problem/view/IZhO14_bank&amp;sa=D&amp;ust=1605639800166000&amp;usg=AFQjCNEy0zfiLakyYkr8-OYHnfSo9hd1eQ" TargetMode="External"/><Relationship Id="rId293" Type="http://schemas.openxmlformats.org/officeDocument/2006/relationships/hyperlink" Target="https://www.google.com/url?q=https://dmoj.ca/problem/coci06c6p2&amp;sa=D&amp;ust=1605639798880000&amp;usg=AFQjCNHEjJ-7aYiPi9smEeG4-YvCAq93vA" TargetMode="External"/><Relationship Id="rId2181" Type="http://schemas.openxmlformats.org/officeDocument/2006/relationships/hyperlink" Target="https://www.google.com/url?q=https://github.com/mostafa-saad/MyCompetitiveProgramming/blob/master/Olympiad/NOI/official&amp;sa=D&amp;ust=1605639800880000&amp;usg=AFQjCNF_4jt5edC7_GhOdNkeYuXiW5G1jg" TargetMode="External"/><Relationship Id="rId153" Type="http://schemas.openxmlformats.org/officeDocument/2006/relationships/hyperlink" Target="https://www.google.com/url?q=https://www.infoarena.ro/problema/bitcost&amp;sa=D&amp;ust=1605639798773000&amp;usg=AFQjCNFPlQHmVgTF8QER9ot0CYgBbG9LMw" TargetMode="External"/><Relationship Id="rId360" Type="http://schemas.openxmlformats.org/officeDocument/2006/relationships/hyperlink" Target="https://www.google.com/url?q=https://dmoj.ca/problem/coci06c1p1&amp;sa=D&amp;ust=1605639798908000&amp;usg=AFQjCNHIAVaw4XJgOZNDmkofO6ez6IzMwg" TargetMode="External"/><Relationship Id="rId2041" Type="http://schemas.openxmlformats.org/officeDocument/2006/relationships/hyperlink" Target="https://www.google.com/url?q=https://github.com/mostafa-saad/MyCompetitiveProgramming/blob/master/Olympiad/IOI/IOI-17-simurgh.txt&amp;sa=D&amp;ust=1605639800784000&amp;usg=AFQjCNE3dWJoGp--XuApMSRr-AmtmWrkKw" TargetMode="External"/><Relationship Id="rId220" Type="http://schemas.openxmlformats.org/officeDocument/2006/relationships/hyperlink" Target="https://www.google.com/url?q=https://github.com/stefdasca/CompetitiveProgramming/blob/master/Infoarena/munte4.cpp&amp;sa=D&amp;ust=1605639798798000&amp;usg=AFQjCNH5H76WqL7sNt6N1asalt97d1V3hg" TargetMode="External"/><Relationship Id="rId2998" Type="http://schemas.openxmlformats.org/officeDocument/2006/relationships/hyperlink" Target="https://www.google.com/url?q=https://szkopul.edu.pl/problemset/problem/Kmofhbw9cTx06gSZg-C5MiBU/site/&amp;sa=D&amp;ust=1605639802388000&amp;usg=AFQjCNH2RSqZqBnFJJPlal9BfMi-t1xBGA" TargetMode="External"/><Relationship Id="rId2858" Type="http://schemas.openxmlformats.org/officeDocument/2006/relationships/hyperlink" Target="https://www.google.com/url?q=https://oj.uz/problem/view/innopolis2018_final_A&amp;sa=D&amp;ust=1605639802201000&amp;usg=AFQjCNHeFXuNKVCwAOOb5te6H0BqlVp0iQ" TargetMode="External"/><Relationship Id="rId99" Type="http://schemas.openxmlformats.org/officeDocument/2006/relationships/hyperlink" Target="https://www.google.com/url?q=https://oj.uz/problem/view/BOI19_olympiads&amp;sa=D&amp;ust=1605639798714000&amp;usg=AFQjCNH03i2yigUShX5avl-9pqLc7qXjeg" TargetMode="External"/><Relationship Id="rId1667" Type="http://schemas.openxmlformats.org/officeDocument/2006/relationships/hyperlink" Target="https://www.google.com/url?q=https://szkopul.edu.pl/problemset/problem/KiL8P3oSgImWGI5GT4QMCQpO/site/&amp;sa=D&amp;ust=1605639800485000&amp;usg=AFQjCNFZM4FRyKnjlCxLk51Fgw3Kb7oXrg" TargetMode="External"/><Relationship Id="rId1874" Type="http://schemas.openxmlformats.org/officeDocument/2006/relationships/hyperlink" Target="https://www.google.com/url?q=https://github.com/mostafa-saad/MyCompetitiveProgramming/tree/master/Olympiad/JOI/official/JOI/2020&amp;sa=D&amp;ust=1605639800677000&amp;usg=AFQjCNGrV0Xto2KXZ0oRiI5YGt2C2ZHB8A" TargetMode="External"/><Relationship Id="rId2718" Type="http://schemas.openxmlformats.org/officeDocument/2006/relationships/hyperlink" Target="https://www.google.com/url?q=https://github.com/mostafa-saad/MyCompetitiveProgramming/tree/master/Olympiad/COCI/official/2007/contest3_solutions&amp;sa=D&amp;ust=1605639802076000&amp;usg=AFQjCNEDcJsxjqrTTQo4JHHzlF5xKVpvrA" TargetMode="External"/><Relationship Id="rId2925" Type="http://schemas.openxmlformats.org/officeDocument/2006/relationships/hyperlink" Target="https://www.google.com/url?q=https://joisc2016.contest.atcoder.jp/tasks/joisc2016_h&amp;sa=D&amp;ust=1605639802295000&amp;usg=AFQjCNGusqshcXlHVTsItLRhuSrzTK4l-w" TargetMode="External"/><Relationship Id="rId1527" Type="http://schemas.openxmlformats.org/officeDocument/2006/relationships/hyperlink" Target="https://www.google.com/url?q=https://github.com/mostafa-saad/MyCompetitiveProgramming/tree/master/Olympiad/COCI/official/2008/contest3_solutions&amp;sa=D&amp;ust=1605639800391000&amp;usg=AFQjCNGNXYEdFwfmFNTqy7SX5vqAUxK1Rg" TargetMode="External"/><Relationship Id="rId1734" Type="http://schemas.openxmlformats.org/officeDocument/2006/relationships/hyperlink" Target="https://www.google.com/url?q=https://github.com/nikolapesic2802/Programming-Practice/blob/master/Railroad%2520Trip/main.cpp&amp;sa=D&amp;ust=1605639800518000&amp;usg=AFQjCNFsC8ak5GgjXjn0P0G1ITUlRMm6Lw" TargetMode="External"/><Relationship Id="rId1941" Type="http://schemas.openxmlformats.org/officeDocument/2006/relationships/hyperlink" Target="https://www.google.com/url?q=https://joisc2013-day2.contest.atcoder.jp/tasks/joisc2013_construction&amp;sa=D&amp;ust=1605639800704000&amp;usg=AFQjCNEQs1y58JQBOxoy-3eTB1t_eJpOpQ" TargetMode="External"/><Relationship Id="rId26" Type="http://schemas.openxmlformats.org/officeDocument/2006/relationships/hyperlink" Target="https://www.google.com/url?q=https://oj.uz/problems/source/315&amp;sa=D&amp;ust=1605639798673000&amp;usg=AFQjCNE_gvMu62CDAsfqJ6A5i8NgyX29uA" TargetMode="External"/><Relationship Id="rId1801" Type="http://schemas.openxmlformats.org/officeDocument/2006/relationships/hyperlink" Target="https://www.google.com/url?q=https://github.com/mostafa-saad/MyCompetitiveProgramming/blob/master/Olympiad/POI/POI-09-Code.txt&amp;sa=D&amp;ust=1605639800591000&amp;usg=AFQjCNHz53elSkDzxgSgGS_Y8S2GeV7A7Q" TargetMode="External"/><Relationship Id="rId687" Type="http://schemas.openxmlformats.org/officeDocument/2006/relationships/hyperlink" Target="https://www.google.com/url?q=https://github.com/mostafa-saad/MyCompetitiveProgramming/blob/master/Olympiad/IOI/official/2015&amp;sa=D&amp;ust=1605639799667000&amp;usg=AFQjCNED7bFEEOglCj0qaK26YxnE8039Tg" TargetMode="External"/><Relationship Id="rId2368" Type="http://schemas.openxmlformats.org/officeDocument/2006/relationships/hyperlink" Target="https://www.google.com/url?q=https://oj.uz/problem/view/IZhO19_stones&amp;sa=D&amp;ust=1605639801687000&amp;usg=AFQjCNG6b0R6mrS8rWjrOrAGQQPI3xy6jg" TargetMode="External"/><Relationship Id="rId894" Type="http://schemas.openxmlformats.org/officeDocument/2006/relationships/hyperlink" Target="https://www.google.com/url?q=http://usaco.org/index.php?page%3Dviewproblem2%26cpid%3D972%23&amp;sa=D&amp;ust=1605639799889000&amp;usg=AFQjCNHfbN5p6j62DLJsIDLtLtGeJrqmLQ" TargetMode="External"/><Relationship Id="rId1177" Type="http://schemas.openxmlformats.org/officeDocument/2006/relationships/hyperlink" Target="https://www.google.com/url?q=https://github.com/mostafa-saad/MyCompetitiveProgramming/blob/master/Olympiad/POI/POI-16-Stutter.txt&amp;sa=D&amp;ust=1605639800110000&amp;usg=AFQjCNGurSzSxHXuoWdnqHYACoEjd4N5PA" TargetMode="External"/><Relationship Id="rId2575" Type="http://schemas.openxmlformats.org/officeDocument/2006/relationships/hyperlink" Target="https://www.google.com/url?q=https://github.com/luciocf/OI-Problems/blob/master/CCO/CCO%25202018/boring.cpp&amp;sa=D&amp;ust=1605639801887000&amp;usg=AFQjCNGHiJuFfbzT5SErWDEoWaKrIgzsRA" TargetMode="External"/><Relationship Id="rId2782" Type="http://schemas.openxmlformats.org/officeDocument/2006/relationships/hyperlink" Target="https://www.google.com/url?q=https://github.com/mostafa-saad/MyCompetitiveProgramming/blob/master/Olympiad/COCI/official/2010/contest2_solutions&amp;sa=D&amp;ust=1605639802105000&amp;usg=AFQjCNEoySkjK_3iOxhfOMJ_dOrdDobslw" TargetMode="External"/><Relationship Id="rId547" Type="http://schemas.openxmlformats.org/officeDocument/2006/relationships/hyperlink" Target="https://www.google.com/url?q=https://github.com/mostafa-saad/MyCompetitiveProgramming/blob/master/Olympiad/APIO/official/2017&amp;sa=D&amp;ust=1605639799106000&amp;usg=AFQjCNHHy8IlijbT-rcSI243Vz4tDQsfIw" TargetMode="External"/><Relationship Id="rId754" Type="http://schemas.openxmlformats.org/officeDocument/2006/relationships/hyperlink" Target="https://www.google.com/url?q=https://oj.uz/problem/view/COCI17_deda&amp;sa=D&amp;ust=1605639799711000&amp;usg=AFQjCNGU1wQo2W8Gv4tNhmCd-pF7V1DG9Q" TargetMode="External"/><Relationship Id="rId961" Type="http://schemas.openxmlformats.org/officeDocument/2006/relationships/hyperlink" Target="https://www.google.com/url?q=https://github.com/win11905/submission/blob/master/COI/19/ljepotica.cpp&amp;sa=D&amp;ust=1605639799915000&amp;usg=AFQjCNEwB4ZBQCPsBlGKbf3tEaEp5kmAHA" TargetMode="External"/><Relationship Id="rId1384" Type="http://schemas.openxmlformats.org/officeDocument/2006/relationships/hyperlink" Target="https://www.google.com/url?q=https://infoarena.ro/problema/metrouri&amp;sa=D&amp;ust=1605639800288000&amp;usg=AFQjCNHNBWwP-_w3pb4OC9pMG4bkztO1zQ" TargetMode="External"/><Relationship Id="rId1591" Type="http://schemas.openxmlformats.org/officeDocument/2006/relationships/hyperlink" Target="https://www.google.com/url?q=https://dmoj.ca/problem/coci14c3p6&amp;sa=D&amp;ust=1605639800416000&amp;usg=AFQjCNHc-GEnmHzrYaImMLPudI7Np7omwg" TargetMode="External"/><Relationship Id="rId2228" Type="http://schemas.openxmlformats.org/officeDocument/2006/relationships/hyperlink" Target="https://www.google.com/url?q=https://www.infoarena.ro/problema/permsort2&amp;sa=D&amp;ust=1605639800899000&amp;usg=AFQjCNEfvJAr9hncjs572CUCpj0Ni1m3oA" TargetMode="External"/><Relationship Id="rId2435" Type="http://schemas.openxmlformats.org/officeDocument/2006/relationships/hyperlink" Target="https://www.google.com/url?q=https://oj.uz/problem/view/JOI20_ho_t2&amp;sa=D&amp;ust=1605639801785000&amp;usg=AFQjCNG1-TPD14H34-Ml-zUkGYg29vwM8g" TargetMode="External"/><Relationship Id="rId2642" Type="http://schemas.openxmlformats.org/officeDocument/2006/relationships/hyperlink" Target="https://www.google.com/url?q=https://oj.uz/problem/view/IOI12_tournament&amp;sa=D&amp;ust=1605639801985000&amp;usg=AFQjCNGXJagByOZ-CddfMoanhyVRUt4wIw" TargetMode="External"/><Relationship Id="rId90" Type="http://schemas.openxmlformats.org/officeDocument/2006/relationships/hyperlink" Target="https://www.google.com/url?q=https://oj.uz/problem/view/COI18_pick&amp;sa=D&amp;ust=1605639798710000&amp;usg=AFQjCNFcu5yHKyeM7-_6-8gQUwQRvZ2kZA" TargetMode="External"/><Relationship Id="rId407" Type="http://schemas.openxmlformats.org/officeDocument/2006/relationships/hyperlink" Target="https://www.google.com/url?q=https://dmoj.ca/problem/coci07c4p3&amp;sa=D&amp;ust=1605639798988000&amp;usg=AFQjCNG5O7FH57sxlQRImtZ34Tuz6Pf56w" TargetMode="External"/><Relationship Id="rId614" Type="http://schemas.openxmlformats.org/officeDocument/2006/relationships/hyperlink" Target="https://www.google.com/url?q=https://github.com/sofhiasouza/CompetitiveProgramming/blob/master/POI/cash.cpp&amp;sa=D&amp;ust=1605639799167000&amp;usg=AFQjCNHJJEAu_RKwpMUG6fei2w2ydVgYgQ" TargetMode="External"/><Relationship Id="rId821" Type="http://schemas.openxmlformats.org/officeDocument/2006/relationships/hyperlink" Target="https://www.google.com/url?q=https://cses.fi/111/list/&amp;sa=D&amp;ust=1605639799793000&amp;usg=AFQjCNGW16OsiNAipS2uUFGAs8RGXp8Gdw" TargetMode="External"/><Relationship Id="rId1037" Type="http://schemas.openxmlformats.org/officeDocument/2006/relationships/hyperlink" Target="https://www.google.com/url?q=https://github.com/stefdasca/CompetitiveProgramming/blob/master/Infoarena/profit.cpp&amp;sa=D&amp;ust=1605639799993000&amp;usg=AFQjCNGWOlkdgg2PqM3Z72Y_PGoHZpUi0A" TargetMode="External"/><Relationship Id="rId1244" Type="http://schemas.openxmlformats.org/officeDocument/2006/relationships/hyperlink" Target="https://www.google.com/url?q=https://github.com/mostafa-saad/MyCompetitiveProgramming/blob/master/Olympiad/CEOI/CEOI-12-race.txt&amp;sa=D&amp;ust=1605639800182000&amp;usg=AFQjCNEfV-IZ84pYdjnwYr4qdcLWyFc46g" TargetMode="External"/><Relationship Id="rId1451" Type="http://schemas.openxmlformats.org/officeDocument/2006/relationships/hyperlink" Target="https://www.google.com/url?q=https://github.com/mostafa-saad/MyCompetitiveProgramming/blob/master/Olympiad/IOI/IOI-17-toytrain.txt&amp;sa=D&amp;ust=1605639800316000&amp;usg=AFQjCNFcqtVcaU-YTQJQ35nwpyBr0rn0LA" TargetMode="External"/><Relationship Id="rId2502" Type="http://schemas.openxmlformats.org/officeDocument/2006/relationships/hyperlink" Target="https://www.google.com/url?q=https://dmoj.ca/problem/dmopc18c3p4&amp;sa=D&amp;ust=1605639801810000&amp;usg=AFQjCNFqftGkdd4gGUPkfNRmzOytc2hEUg" TargetMode="External"/><Relationship Id="rId1104" Type="http://schemas.openxmlformats.org/officeDocument/2006/relationships/hyperlink" Target="https://www.google.com/url?q=https://github.com/mostafa-saad/MyCompetitiveProgramming/blob/master/Olympiad/POI/official/find_editorial_sols_guidelines.txt&amp;sa=D&amp;ust=1605639800072000&amp;usg=AFQjCNHHYAJ2kB5puif6JcT4HrJ6C719Jw" TargetMode="External"/><Relationship Id="rId1311" Type="http://schemas.openxmlformats.org/officeDocument/2006/relationships/hyperlink" Target="https://www.google.com/url?q=https://contest.yandex.ru/ioi/contest/568/enter/&amp;sa=D&amp;ust=1605639800207000&amp;usg=AFQjCNHTgYPn4Y6f1n0IhA13ej4kokluIQ" TargetMode="External"/><Relationship Id="rId197" Type="http://schemas.openxmlformats.org/officeDocument/2006/relationships/hyperlink" Target="https://www.google.com/url?q=https://dunjudge.me/analysis/problems/701/&amp;sa=D&amp;ust=1605639798788000&amp;usg=AFQjCNFHShzY6CcdyQrEOu_5mJJUalchfg" TargetMode="External"/><Relationship Id="rId2085" Type="http://schemas.openxmlformats.org/officeDocument/2006/relationships/hyperlink" Target="https://www.google.com/url?q=https://github.com/mostafa-saad/MyCompetitiveProgramming/tree/master/Olympiad/COI/official/2014&amp;sa=D&amp;ust=1605639800804000&amp;usg=AFQjCNHsmXAkaAN2GV3PfNBefx6cccvI1A" TargetMode="External"/><Relationship Id="rId2292" Type="http://schemas.openxmlformats.org/officeDocument/2006/relationships/hyperlink" Target="https://www.google.com/url?q=https://szkopul.edu.pl/problemset/problem/PT4yHRX9Mmz85ndhNPGCi_WB/site/&amp;sa=D&amp;ust=1605639801575000&amp;usg=AFQjCNE-zdX5zVVfz9ruqBNjQGJyIZ2vBw" TargetMode="External"/><Relationship Id="rId264" Type="http://schemas.openxmlformats.org/officeDocument/2006/relationships/hyperlink" Target="https://www.google.com/url?q=https://github.com/mostafa-saad/MyCompetitiveProgramming/blob/master/Olympiad/COCI/official/2013/contest6_solutions&amp;sa=D&amp;ust=1605639798868000&amp;usg=AFQjCNEsXQQhbsD_f1tJelJGYY1NhZt1kA" TargetMode="External"/><Relationship Id="rId471" Type="http://schemas.openxmlformats.org/officeDocument/2006/relationships/hyperlink" Target="https://www.google.com/url?q=https://github.com/mostafa-saad/MyCompetitiveProgramming/blob/master/Olympiad/NOI/official&amp;sa=D&amp;ust=1605639799015000&amp;usg=AFQjCNGiqEqiBc8lmohBSEQf4oOhuytyzg" TargetMode="External"/><Relationship Id="rId2152" Type="http://schemas.openxmlformats.org/officeDocument/2006/relationships/hyperlink" Target="https://www.google.com/url?q=https://github.com/mostafa-saad/MyCompetitiveProgramming/blob/master/Olympiad/NOI/official&amp;sa=D&amp;ust=1605639800869000&amp;usg=AFQjCNFyy36LZEt6_A-ogVN3XxRaJ2n6mA" TargetMode="External"/><Relationship Id="rId124" Type="http://schemas.openxmlformats.org/officeDocument/2006/relationships/hyperlink" Target="https://www.google.com/url?q=https://oj.uz/problem/view/IOI18_combo&amp;sa=D&amp;ust=1605639798724000&amp;usg=AFQjCNENHvobef1glcEdIuu_bhk4l_jO8A" TargetMode="External"/><Relationship Id="rId331" Type="http://schemas.openxmlformats.org/officeDocument/2006/relationships/hyperlink" Target="https://www.google.com/url?q=https://oj.uz/problem/view/COCI17_tuna&amp;sa=D&amp;ust=1605639798897000&amp;usg=AFQjCNH4K5NEWZXG1CyhIWQG-axMEqDQrg" TargetMode="External"/><Relationship Id="rId2012" Type="http://schemas.openxmlformats.org/officeDocument/2006/relationships/hyperlink" Target="https://www.google.com/url?q=https://github.com/tmwilliamlin168/CompetitiveProgramming/blob/master/USACO/Contests/1617_4P/grass.cpp&amp;sa=D&amp;ust=1605639800773000&amp;usg=AFQjCNGy95b3srU47CpYLS6NYaTvHVcZdA" TargetMode="External"/><Relationship Id="rId2969" Type="http://schemas.openxmlformats.org/officeDocument/2006/relationships/hyperlink" Target="https://www.google.com/url?q=https://github.com/mostafa-saad/MyCompetitiveProgramming/blob/master/Olympiad/POI/official/find_editorial_sols_guidelines.txt&amp;sa=D&amp;ust=1605639802374000&amp;usg=AFQjCNGF0yRX5htRLr31wl8zRcNRVxbIFA" TargetMode="External"/><Relationship Id="rId1778" Type="http://schemas.openxmlformats.org/officeDocument/2006/relationships/hyperlink" Target="https://www.google.com/url?q=https://www.comp.nus.edu.sg/~noi/2012/2012_soln.pdf&amp;sa=D&amp;ust=1605639800577000&amp;usg=AFQjCNHVQAzqdePwMUUT0aU11DAYayiyWg" TargetMode="External"/><Relationship Id="rId1985" Type="http://schemas.openxmlformats.org/officeDocument/2006/relationships/hyperlink" Target="https://www.google.com/url?q=https://github.com/mostafa-saad/MyCompetitiveProgramming/blob/master/Olympiad/IOI/IOI-00-walls.txt&amp;sa=D&amp;ust=1605639800719000&amp;usg=AFQjCNH3g5c-DutATp71YuNNY7hyTGNgEQ" TargetMode="External"/><Relationship Id="rId2829" Type="http://schemas.openxmlformats.org/officeDocument/2006/relationships/hyperlink" Target="https://www.google.com/url?q=https://oj.uz/problem/view/COCI19_wand&amp;sa=D&amp;ust=1605639802183000&amp;usg=AFQjCNFj7uqGf9M7cFEGlgPrihCyMm4EMg" TargetMode="External"/><Relationship Id="rId1638" Type="http://schemas.openxmlformats.org/officeDocument/2006/relationships/hyperlink" Target="https://www.google.com/url?q=https://wcipeg.com/problem/coci096p5&amp;sa=D&amp;ust=1605639800473000&amp;usg=AFQjCNGCDuBS2R7IJaub8aMuXLF414swpA" TargetMode="External"/><Relationship Id="rId1845" Type="http://schemas.openxmlformats.org/officeDocument/2006/relationships/hyperlink" Target="https://www.google.com/url?q=https://github.com/mostafa-saad/MyCompetitiveProgramming/blob/master/Olympiad/NOI/official/2011.pptx&amp;sa=D&amp;ust=1605639800606000&amp;usg=AFQjCNF-Hr2zLlZAEWzCFztOVyGTOZaurA" TargetMode="External"/><Relationship Id="rId1705" Type="http://schemas.openxmlformats.org/officeDocument/2006/relationships/hyperlink" Target="https://www.google.com/url?q=https://dmoj.ca/problem/coci06c4p5&amp;sa=D&amp;ust=1605639800501000&amp;usg=AFQjCNHmR0SnctcCnSPOEuXKxhdRM2gL3g" TargetMode="External"/><Relationship Id="rId1912" Type="http://schemas.openxmlformats.org/officeDocument/2006/relationships/hyperlink" Target="https://www.google.com/url?q=https://dunjudge.me/analysis/problems/724/&amp;sa=D&amp;ust=1605639800693000&amp;usg=AFQjCNE-3jeJISXrkdHeKddfpXZIlBxR6Q" TargetMode="External"/><Relationship Id="rId798" Type="http://schemas.openxmlformats.org/officeDocument/2006/relationships/hyperlink" Target="https://www.google.com/url?q=http://usaco.org/index.php?page%3Dviewproblem2%26cpid%3D696&amp;sa=D&amp;ust=1605639799781000&amp;usg=AFQjCNEUbt-4vW5WKOkPhZ7b84ksrhIDTw" TargetMode="External"/><Relationship Id="rId2479" Type="http://schemas.openxmlformats.org/officeDocument/2006/relationships/hyperlink" Target="https://www.google.com/url?q=https://github.com/mostafa-saad/MyCompetitiveProgramming/blob/master/Olympiad/Baltic/Baltic-13-pipes.txt&amp;sa=D&amp;ust=1605639801801000&amp;usg=AFQjCNHRT0Tk3pfwTTMR80IwAi4f2ua_Jg" TargetMode="External"/><Relationship Id="rId2686" Type="http://schemas.openxmlformats.org/officeDocument/2006/relationships/hyperlink" Target="https://www.google.com/url?q=https://www.acmicpc.net/problem/11782&amp;sa=D&amp;ust=1605639802005000&amp;usg=AFQjCNEU6xHSpeDG0jhCGwEqWNaksWl7JQ" TargetMode="External"/><Relationship Id="rId2893" Type="http://schemas.openxmlformats.org/officeDocument/2006/relationships/hyperlink" Target="https://www.google.com/url?q=https://joisc2014.contest.atcoder.jp/tasks/joisc2014_e&amp;sa=D&amp;ust=1605639802273000&amp;usg=AFQjCNEv3SvF2cZoLsNqE2I3oCp3R0RSJw" TargetMode="External"/></Relationships>
</file>

<file path=xl/worksheets/_rels/sheet16.xml.rels><?xml version="1.0" encoding="UTF-8" standalone="yes"?>
<Relationships xmlns="http://schemas.openxmlformats.org/package/2006/relationships"><Relationship Id="rId1827" Type="http://schemas.openxmlformats.org/officeDocument/2006/relationships/hyperlink" Target="https://www.google.com/url?q=https://github.com/stefdasca/CompetitiveProgramming/blob/master/Infoarena/omizi.cpp&amp;sa=D&amp;ust=1605639816506000&amp;usg=AFQjCNH51oynHVXyxMEjPyxpFm1axtfyrQ" TargetMode="External"/><Relationship Id="rId170" Type="http://schemas.openxmlformats.org/officeDocument/2006/relationships/hyperlink" Target="https://www.google.com/url?q=https://dunjudge.me/analysis/problems/742/&amp;sa=D&amp;ust=1605639815541000&amp;usg=AFQjCNHslCtFnMvIBDVuLPc9ED-7HCNkXQ" TargetMode="External"/><Relationship Id="rId987" Type="http://schemas.openxmlformats.org/officeDocument/2006/relationships/hyperlink" Target="https://www.google.com/url?q=https://www.acmicpc.net/problem/7056&amp;sa=D&amp;ust=1605639816109000&amp;usg=AFQjCNFi7xXytkdAsRRV6VgdfGX2aMnEiQ" TargetMode="External"/><Relationship Id="rId2668" Type="http://schemas.openxmlformats.org/officeDocument/2006/relationships/hyperlink" Target="https://www.google.com/url?q=http://poj.org/problem?id%3D1159&amp;sa=D&amp;ust=1605639816758000&amp;usg=AFQjCNHILA_BEJBhzeErS3A5MN6DjxDTnA" TargetMode="External"/><Relationship Id="rId2875" Type="http://schemas.openxmlformats.org/officeDocument/2006/relationships/hyperlink" Target="https://www.google.com/url?q=https://szkopul.edu.pl/problemset/problem/eHGwrk9xShVF-z_2f7K4Yyb_/site/&amp;sa=D&amp;ust=1605639816825000&amp;usg=AFQjCNHda_5WiLTktxNRt6IuRit0_4_OCw" TargetMode="External"/><Relationship Id="rId847" Type="http://schemas.openxmlformats.org/officeDocument/2006/relationships/hyperlink" Target="https://www.google.com/url?q=http://usaco.org/index.php?page%3Dviewproblem2%26cpid%3D626&amp;sa=D&amp;ust=1605639816016000&amp;usg=AFQjCNFuO7dNt18udPfdUBvXN_jjpKDyxg" TargetMode="External"/><Relationship Id="rId1477" Type="http://schemas.openxmlformats.org/officeDocument/2006/relationships/hyperlink" Target="https://www.google.com/url?q=https://www.infoarena.ro/problema/struti&amp;sa=D&amp;ust=1605639816390000&amp;usg=AFQjCNHaVGK-gTeG6uGZ3Jo3TDJVIi7tQw" TargetMode="External"/><Relationship Id="rId1684" Type="http://schemas.openxmlformats.org/officeDocument/2006/relationships/hyperlink" Target="https://www.google.com/url?q=https://szkopul.edu.pl/problemset/problem/GqRTa-xd7d9cGS5RL5Os-qTV/site/?key%3Dstatement&amp;sa=D&amp;ust=1605639816454000&amp;usg=AFQjCNGak2p32jZ1tSRVunsZ7l01nnfzPg" TargetMode="External"/><Relationship Id="rId1891" Type="http://schemas.openxmlformats.org/officeDocument/2006/relationships/hyperlink" Target="https://www.google.com/url?q=https://github.com/mostafa-saad/MyCompetitiveProgramming/blob/master/Olympiad/Baltic/Baltic-15-net.txt&amp;sa=D&amp;ust=1605639816527000&amp;usg=AFQjCNFMiKDwNn1IZJai2eOEUUeRNROI1g" TargetMode="External"/><Relationship Id="rId2528" Type="http://schemas.openxmlformats.org/officeDocument/2006/relationships/hyperlink" Target="https://www.google.com/url?q=https://github.com/mostafa-saad/MyCompetitiveProgramming/blob/master/Olympiad/POI/official/find_editorial_sols_guidelines.txt&amp;sa=D&amp;ust=1605639816728000&amp;usg=AFQjCNE0IFj-5UHVWbHgtTHpgUuC60ZjVQ" TargetMode="External"/><Relationship Id="rId2735" Type="http://schemas.openxmlformats.org/officeDocument/2006/relationships/hyperlink" Target="https://www.google.com/url?q=https://github.com/mostafa-saad/MyCompetitiveProgramming/blob/master/Olympiad/COCI/official/2015/contest6_solutions&amp;sa=D&amp;ust=1605639816779000&amp;usg=AFQjCNG2c8du9JZ5fZwliCW91Qz8Llet2w" TargetMode="External"/><Relationship Id="rId2942" Type="http://schemas.openxmlformats.org/officeDocument/2006/relationships/hyperlink" Target="https://www.google.com/url?q=https://dunjudge.me/analysis/problems/46/&amp;sa=D&amp;ust=1605639816874000&amp;usg=AFQjCNHWnZ79VY-bzmjAXNt5o_ZjB0mL7w" TargetMode="External"/><Relationship Id="rId707" Type="http://schemas.openxmlformats.org/officeDocument/2006/relationships/hyperlink" Target="https://www.google.com/url?q=https://github.com/mostafa-saad/MyCompetitiveProgramming/blob/master/Olympiad/IZhO/IZhO-17-subsequence.txt&amp;sa=D&amp;ust=1605639815965000&amp;usg=AFQjCNGp_6dYnyqCeC899RerQl7C4D0w5Q" TargetMode="External"/><Relationship Id="rId914" Type="http://schemas.openxmlformats.org/officeDocument/2006/relationships/hyperlink" Target="https://www.google.com/url?q=https://cses.fi/188/list/&amp;sa=D&amp;ust=1605639816088000&amp;usg=AFQjCNEghoUoupCSJ7W2dES_8JhwR-BKvw" TargetMode="External"/><Relationship Id="rId1337" Type="http://schemas.openxmlformats.org/officeDocument/2006/relationships/hyperlink" Target="https://www.google.com/url?q=https://github.com/mostafa-saad/MyCompetitiveProgramming/blob/master/Olympiad/NOI/NOI-17-rmq.txt&amp;sa=D&amp;ust=1605639816324000&amp;usg=AFQjCNFbxeVVwn1U4voYn42VTSMT4dirhg" TargetMode="External"/><Relationship Id="rId1544" Type="http://schemas.openxmlformats.org/officeDocument/2006/relationships/hyperlink" Target="https://www.google.com/url?q=https://oj.uz/problem/view/IOI08_linear_garden&amp;sa=D&amp;ust=1605639816414000&amp;usg=AFQjCNFuwooUOIO2an9bB1nyWM5YMtQCzg" TargetMode="External"/><Relationship Id="rId1751" Type="http://schemas.openxmlformats.org/officeDocument/2006/relationships/hyperlink" Target="https://www.google.com/url?q=https://joisc2013-day3.contest.atcoder.jp/tasks/joisc2013_mountain&amp;sa=D&amp;ust=1605639816477000&amp;usg=AFQjCNEKOkFiYbTEkfSDde-J3iQBFNqJAw" TargetMode="External"/><Relationship Id="rId2802" Type="http://schemas.openxmlformats.org/officeDocument/2006/relationships/hyperlink" Target="https://www.google.com/url?q=https://wcipeg.com/problem/coci092p1&amp;sa=D&amp;ust=1605639816803000&amp;usg=AFQjCNHi1KH3OE4A0MAXZCia-R-9DFXtWw" TargetMode="External"/><Relationship Id="rId43" Type="http://schemas.openxmlformats.org/officeDocument/2006/relationships/hyperlink" Target="https://www.google.com/url?q=https://szkopul.edu.pl/problemset/problem/-MwFkVBU5fdldohfNl-xSjHa/site/&amp;sa=D&amp;ust=1605639815500000&amp;usg=AFQjCNFJ-QxhdWCQHAXKS2_KXHuBE8W8GQ" TargetMode="External"/><Relationship Id="rId1404" Type="http://schemas.openxmlformats.org/officeDocument/2006/relationships/hyperlink" Target="https://www.google.com/url?q=https://github.com/updown2/OI-Practice/blob/master/USACO/2014-2015/February/Gold/Censoring.cpp&amp;sa=D&amp;ust=1605639816347000&amp;usg=AFQjCNEdRrHpg0kYaa1R3w-3q2MeIybyJw" TargetMode="External"/><Relationship Id="rId1611" Type="http://schemas.openxmlformats.org/officeDocument/2006/relationships/hyperlink" Target="https://www.google.com/url?q=https://www.ioi-jp.org/camp/2018/2018-sp-tasks/index.html&amp;sa=D&amp;ust=1605639816435000&amp;usg=AFQjCNGHu1W3lkCt0CmhGF80gt4UeJZTAw" TargetMode="External"/><Relationship Id="rId497" Type="http://schemas.openxmlformats.org/officeDocument/2006/relationships/hyperlink" Target="https://www.google.com/url?q=https://github.com/mostafa-saad/MyCompetitiveProgramming/blob/master/Olympiad/infoarena/drumuri5-statement.txt&amp;sa=D&amp;ust=1605639815681000&amp;usg=AFQjCNFWyalaSV08LzFyg-tlUWgFtY_sgA" TargetMode="External"/><Relationship Id="rId2178" Type="http://schemas.openxmlformats.org/officeDocument/2006/relationships/hyperlink" Target="https://www.google.com/url?q=https://szkopul.edu.pl/problemset/problem/xfTByTABS18uZ1lmg4wQkVf2/site/&amp;sa=D&amp;ust=1605639816620000&amp;usg=AFQjCNHRny9Ruy_1nB8ngz7F2AXTCKLnuQ" TargetMode="External"/><Relationship Id="rId2385" Type="http://schemas.openxmlformats.org/officeDocument/2006/relationships/hyperlink" Target="https://www.google.com/url?q=https://github.com/mostafa-saad/MyCompetitiveProgramming/blob/master/Olympiad/POI/official/find_editorial_sols_guidelines.txt&amp;sa=D&amp;ust=1605639816678000&amp;usg=AFQjCNFr5MO6i-wfIZqgkBUSKwwlYf6ftQ" TargetMode="External"/><Relationship Id="rId357" Type="http://schemas.openxmlformats.org/officeDocument/2006/relationships/hyperlink" Target="https://www.google.com/url?q=https://oj.uz/problem/view/COCI16_zoltan&amp;sa=D&amp;ust=1605639815600000&amp;usg=AFQjCNG7p4GuLrXhzOUquTwi6F0xDDlFqw" TargetMode="External"/><Relationship Id="rId1194" Type="http://schemas.openxmlformats.org/officeDocument/2006/relationships/hyperlink" Target="https://www.google.com/url?q=https://github.com/stefdasca/CompetitiveProgramming/blob/master/Infoarena/aiacupalindroame.cpp&amp;sa=D&amp;ust=1605639816273000&amp;usg=AFQjCNG9-SB7am61QsUMiodh8QBzyooA8A" TargetMode="External"/><Relationship Id="rId2038" Type="http://schemas.openxmlformats.org/officeDocument/2006/relationships/hyperlink" Target="https://www.google.com/url?q=https://github.com/mostafa-saad/MyCompetitiveProgramming/blob/master/Olympiad/IOI/IOIPractice-14-color-grid-ioi14.txt&amp;sa=D&amp;ust=1605639816573000&amp;usg=AFQjCNFCYtajWQaa-cq495HNFKADLJG4Aw" TargetMode="External"/><Relationship Id="rId2592" Type="http://schemas.openxmlformats.org/officeDocument/2006/relationships/hyperlink" Target="https://www.google.com/url?q=https://github.com/mostafa-saad/MyCompetitiveProgramming/blob/master/Olympiad/COCI/official/2017/contest2_solutions&amp;sa=D&amp;ust=1605639816741000&amp;usg=AFQjCNHk1sz5-a-Qv3dUVC29hfsDnTkzYw" TargetMode="External"/><Relationship Id="rId217" Type="http://schemas.openxmlformats.org/officeDocument/2006/relationships/hyperlink" Target="https://www.google.com/url?q=https://github.com/mostafa-saad/MyCompetitiveProgramming/blob/master/Olympiad/POI/POI-13-Price.txt&amp;sa=D&amp;ust=1605639815554000&amp;usg=AFQjCNFboGzeh7mnZwsWATwNTMD_C1vQnw" TargetMode="External"/><Relationship Id="rId564" Type="http://schemas.openxmlformats.org/officeDocument/2006/relationships/hyperlink" Target="https://www.google.com/url?q=https://szkopul.edu.pl/problemset/problem/_qn633f6DVAHRkv0OX3LQaph/site/&amp;sa=D&amp;ust=1605639815888000&amp;usg=AFQjCNF_H2BVO66N62FEsHdTDNhkVXUw_g" TargetMode="External"/><Relationship Id="rId771" Type="http://schemas.openxmlformats.org/officeDocument/2006/relationships/hyperlink" Target="https://www.google.com/url?q=https://dmoj.ca/problem/coci15c3p5&amp;sa=D&amp;ust=1605639815988000&amp;usg=AFQjCNEcUDexawciDuMir83Cy-DHnwdE1g" TargetMode="External"/><Relationship Id="rId2245" Type="http://schemas.openxmlformats.org/officeDocument/2006/relationships/hyperlink" Target="https://www.google.com/url?q=https://github.com/mostafa-saad/MyCompetitiveProgramming/blob/master/Olympiad/POI/official/find_editorial_sols_guidelines.txt&amp;sa=D&amp;ust=1605639816638000&amp;usg=AFQjCNHDxr5YidAOMi76iiC-QtK_CzgyYw" TargetMode="External"/><Relationship Id="rId2452" Type="http://schemas.openxmlformats.org/officeDocument/2006/relationships/hyperlink" Target="https://www.google.com/url?q=https://dunjudge.me/analysis/problems/540/&amp;sa=D&amp;ust=1605639816703000&amp;usg=AFQjCNEcBoTDiKUb52y3lSV3KAxMwSxebw" TargetMode="External"/><Relationship Id="rId424" Type="http://schemas.openxmlformats.org/officeDocument/2006/relationships/hyperlink" Target="https://www.google.com/url?q=https://github.com/mostafa-saad/MyCompetitiveProgramming/blob/master/Olympiad/Baltic/Baltic-15-bow.txt&amp;sa=D&amp;ust=1605639815626000&amp;usg=AFQjCNEO4VB52BSVAZeWvvwqLeNJgkupYA" TargetMode="External"/><Relationship Id="rId631" Type="http://schemas.openxmlformats.org/officeDocument/2006/relationships/hyperlink" Target="https://www.google.com/url?q=https://github.com/mostafa-saad/MyCompetitiveProgramming/blob/master/Olympiad/IOI/IOI-11-elephants.txt&amp;sa=D&amp;ust=1605639815911000&amp;usg=AFQjCNEnAENl3LYrgHitzvdmjryysy3_-g" TargetMode="External"/><Relationship Id="rId1054" Type="http://schemas.openxmlformats.org/officeDocument/2006/relationships/hyperlink" Target="https://www.google.com/url?q=https://github.com/mostafa-saad/MyCompetitiveProgramming/blob/master/Olympiad/COI/COI-16-torrent.txt&amp;sa=D&amp;ust=1605639816180000&amp;usg=AFQjCNGCYiDXXBRc2tS2MCyBL1cq6_Bm1g" TargetMode="External"/><Relationship Id="rId1261" Type="http://schemas.openxmlformats.org/officeDocument/2006/relationships/hyperlink" Target="https://www.google.com/url?q=https://oj.uz/problem/view/COCI18_pictionary&amp;sa=D&amp;ust=1605639816298000&amp;usg=AFQjCNF4fy6Uj1yhF-EjiIeqR9f22FVSDQ" TargetMode="External"/><Relationship Id="rId2105" Type="http://schemas.openxmlformats.org/officeDocument/2006/relationships/hyperlink" Target="https://www.google.com/url?q=https://oj.uz/problem/view/IZhO17_game&amp;sa=D&amp;ust=1605639816597000&amp;usg=AFQjCNGTuXy5-Rm7bzGdaLbhoWs5RuFeUg" TargetMode="External"/><Relationship Id="rId2312" Type="http://schemas.openxmlformats.org/officeDocument/2006/relationships/hyperlink" Target="https://www.google.com/url?q=https://www.infoarena.ro/problema/tablou&amp;sa=D&amp;ust=1605639816654000&amp;usg=AFQjCNH8ds3NERxgt3jFU9BH9BITRlHzCQ" TargetMode="External"/><Relationship Id="rId1121" Type="http://schemas.openxmlformats.org/officeDocument/2006/relationships/hyperlink" Target="https://www.google.com/url?q=https://cses.fi/192/list/&amp;sa=D&amp;ust=1605639816204000&amp;usg=AFQjCNFMjYvHc4fjs0zoA7MpHgMmO7M9zw" TargetMode="External"/><Relationship Id="rId1938" Type="http://schemas.openxmlformats.org/officeDocument/2006/relationships/hyperlink" Target="https://www.google.com/url?q=https://github.com/stefdasca/CompetitiveProgramming/blob/master/Infoarena/metrouri.cpp&amp;sa=D&amp;ust=1605639816540000&amp;usg=AFQjCNG4ubIglYL-TKx6VaiaT2d8Oph2Cw" TargetMode="External"/><Relationship Id="rId281" Type="http://schemas.openxmlformats.org/officeDocument/2006/relationships/hyperlink" Target="https://www.google.com/url?q=https://github.com/mostafa-saad/MyCompetitiveProgramming/blob/master/Olympiad/POI/POI-08-Robinson.txt&amp;sa=D&amp;ust=1605639815574000&amp;usg=AFQjCNEH2R41sx9N9rzpLJMq_9Fe95LHhA" TargetMode="External"/><Relationship Id="rId3013" Type="http://schemas.openxmlformats.org/officeDocument/2006/relationships/hyperlink" Target="https://www.google.com/url?q=https://dunjudge.me/analysis/problems/676/&amp;sa=D&amp;ust=1605639816908000&amp;usg=AFQjCNGBtPJen1rtRbUI7BhNinXWp7YC2A" TargetMode="External"/><Relationship Id="rId141" Type="http://schemas.openxmlformats.org/officeDocument/2006/relationships/hyperlink" Target="https://www.google.com/url?q=https://oj.uz/problem/view/JOI19_jumps&amp;sa=D&amp;ust=1605639815533000&amp;usg=AFQjCNGCsGRZSICAeXk0i58NzWhVrnVmTA" TargetMode="External"/><Relationship Id="rId7" Type="http://schemas.openxmlformats.org/officeDocument/2006/relationships/hyperlink" Target="https://www.google.com/url?q=https://csacademy.com/contest/round-78/task/generating-set/&amp;sa=D&amp;ust=1605639815487000&amp;usg=AFQjCNGBqlv9oiaYmZva0k0hmV-wuO-QWQ" TargetMode="External"/><Relationship Id="rId2779" Type="http://schemas.openxmlformats.org/officeDocument/2006/relationships/hyperlink" Target="https://www.google.com/url?q=https://oj.uz/problem/view/COCI19_konj&amp;sa=D&amp;ust=1605639816794000&amp;usg=AFQjCNH2SyPtuu7Sm7tsUY7oMpAMUJgQCw" TargetMode="External"/><Relationship Id="rId2986" Type="http://schemas.openxmlformats.org/officeDocument/2006/relationships/hyperlink" Target="https://www.google.com/url?q=https://github.com/mostafa-saad/MyCompetitiveProgramming/tree/master/Olympiad/Baltic/official/boi2018_solutions&amp;sa=D&amp;ust=1605639816896000&amp;usg=AFQjCNEXdDE18uUctP7ErDGqL06a8PCYpw" TargetMode="External"/><Relationship Id="rId958" Type="http://schemas.openxmlformats.org/officeDocument/2006/relationships/hyperlink" Target="https://www.google.com/url?q=https://joi2014ho.contest.atcoder.jp/tasks/joi2014ho4&amp;sa=D&amp;ust=1605639816100000&amp;usg=AFQjCNE5VJdffMfY6CrF9IOzJpPAGqzL3w" TargetMode="External"/><Relationship Id="rId1588" Type="http://schemas.openxmlformats.org/officeDocument/2006/relationships/hyperlink" Target="https://www.google.com/url?q=https://github.com/ahmedibrahim404/CompetitiveProgramming/blob/master/EOI/IOI_Quals%2718/18-R2-B/src/main.cpp&amp;sa=D&amp;ust=1605639816427000&amp;usg=AFQjCNE3HpuSM8MDwwK9HsNl1AXz6-_-bg" TargetMode="External"/><Relationship Id="rId1795" Type="http://schemas.openxmlformats.org/officeDocument/2006/relationships/hyperlink" Target="https://www.google.com/url?q=https://dmoj.ca/problem/dmpg16s4&amp;sa=D&amp;ust=1605639816495000&amp;usg=AFQjCNEMmhw48jAFVvJ-InO5MDZTEQOA9A" TargetMode="External"/><Relationship Id="rId2639" Type="http://schemas.openxmlformats.org/officeDocument/2006/relationships/hyperlink" Target="https://www.google.com/url?q=https://wcipeg.com/problem/coci071p2&amp;sa=D&amp;ust=1605639816752000&amp;usg=AFQjCNGKj2OL0guOK5b3Gc-9JPPRytY2_A" TargetMode="External"/><Relationship Id="rId2846" Type="http://schemas.openxmlformats.org/officeDocument/2006/relationships/hyperlink" Target="https://www.google.com/url?q=https://dunjudge.me/analysis/problems/214/&amp;sa=D&amp;ust=1605639816815000&amp;usg=AFQjCNGdVWNIxCHg91Un_TD0LuTrHJhgHw" TargetMode="External"/><Relationship Id="rId87" Type="http://schemas.openxmlformats.org/officeDocument/2006/relationships/hyperlink" Target="https://www.google.com/url?q=https://github.com/mostafa-saad/MyCompetitiveProgramming/tree/master/Olympiad/Balkan/official/2015&amp;sa=D&amp;ust=1605639815517000&amp;usg=AFQjCNETHLGjBo1lWyx84XceVaUqCsQYxA" TargetMode="External"/><Relationship Id="rId818" Type="http://schemas.openxmlformats.org/officeDocument/2006/relationships/hyperlink" Target="https://www.google.com/url?q=https://github.com/mostafa-saad/MyCompetitiveProgramming/blob/master/Olympiad/infoarena/amici2-statement.txt&amp;sa=D&amp;ust=1605639816006000&amp;usg=AFQjCNF1-xyfyPbz9wLHY48VMTx-SZpvww" TargetMode="External"/><Relationship Id="rId1448" Type="http://schemas.openxmlformats.org/officeDocument/2006/relationships/hyperlink" Target="https://www.google.com/url?q=https://www.infoarena.ro/problema/pitici&amp;sa=D&amp;ust=1605639816378000&amp;usg=AFQjCNFaJ0Wb7D0IPFr8JX99djVvdUE_sA" TargetMode="External"/><Relationship Id="rId1655" Type="http://schemas.openxmlformats.org/officeDocument/2006/relationships/hyperlink" Target="https://www.google.com/url?q=https://oj.uz/problem/view/COI19_segway&amp;sa=D&amp;ust=1605639816446000&amp;usg=AFQjCNFTXLqtAYPYFcTaAHeKWBKeXFi-VA" TargetMode="External"/><Relationship Id="rId2706" Type="http://schemas.openxmlformats.org/officeDocument/2006/relationships/hyperlink" Target="https://www.google.com/url?q=https://oj.uz/problem/view/COCI18_olivander&amp;sa=D&amp;ust=1605639816769000&amp;usg=AFQjCNHXQwXuOGCfGuksEBn0jIv077uhmg" TargetMode="External"/><Relationship Id="rId1308" Type="http://schemas.openxmlformats.org/officeDocument/2006/relationships/hyperlink" Target="https://www.google.com/url?q=https://github.com/ZeyadKhattab/Competitive-Programming/blob/master/Problems/IOI%252017-mountains.cpp&amp;sa=D&amp;ust=1605639816314000&amp;usg=AFQjCNF0OBDOCBHnrw_CfUBcv98R5fK4Rw" TargetMode="External"/><Relationship Id="rId1862" Type="http://schemas.openxmlformats.org/officeDocument/2006/relationships/hyperlink" Target="https://www.google.com/url?q=https://github.com/mostafa-saad/MyCompetitiveProgramming/blob/master/Olympiad/COCI/COCI-06-Jogurt.txt&amp;sa=D&amp;ust=1605639816518000&amp;usg=AFQjCNH_ij95y0q0faCQ-07X_OkY7Fhq8Q" TargetMode="External"/><Relationship Id="rId2913" Type="http://schemas.openxmlformats.org/officeDocument/2006/relationships/hyperlink" Target="https://www.google.com/url?q=https://oj.uz/problem/view/info1cup18_shell&amp;sa=D&amp;ust=1605639816847000&amp;usg=AFQjCNGZs2hXGaKroBF_7wsq_04x8Jjdsw" TargetMode="External"/><Relationship Id="rId1515" Type="http://schemas.openxmlformats.org/officeDocument/2006/relationships/hyperlink" Target="https://www.google.com/url?q=https://www.infoarena.ro/problema/penal&amp;sa=D&amp;ust=1605639816404000&amp;usg=AFQjCNF6PQLbSTU8C3blH929ykJOQn2Tpw" TargetMode="External"/><Relationship Id="rId1722" Type="http://schemas.openxmlformats.org/officeDocument/2006/relationships/hyperlink" Target="https://www.google.com/url?q=https://oj.uz/problem/view/JOI19_examination&amp;sa=D&amp;ust=1605639816466000&amp;usg=AFQjCNELksTl9ODfV1-lVaNTKQTW3_Xmuw" TargetMode="External"/><Relationship Id="rId14" Type="http://schemas.openxmlformats.org/officeDocument/2006/relationships/hyperlink" Target="https://www.google.com/url?q=https://github.com/mostafa-saad/MyCompetitiveProgramming/tree/master/Olympiad/IOI/official/2019&amp;sa=D&amp;ust=1605639815490000&amp;usg=AFQjCNHKvDf-eOh1kKzhR6wmwaRiHDXObA" TargetMode="External"/><Relationship Id="rId2289" Type="http://schemas.openxmlformats.org/officeDocument/2006/relationships/hyperlink" Target="https://www.google.com/url?q=https://contest.yandex.ru/snss2018/contest/8703/problems/A&amp;sa=D&amp;ust=1605639816649000&amp;usg=AFQjCNE-6UlmR8PmD7GCG9xEfA_XX44DPA" TargetMode="External"/><Relationship Id="rId2496" Type="http://schemas.openxmlformats.org/officeDocument/2006/relationships/hyperlink" Target="https://www.google.com/url?q=https://infoarena.ro/problema/album2&amp;sa=D&amp;ust=1605639816717000&amp;usg=AFQjCNFOIkzNkaLsXVqgYOaKXo3QOSA16Q" TargetMode="External"/><Relationship Id="rId468" Type="http://schemas.openxmlformats.org/officeDocument/2006/relationships/hyperlink" Target="https://www.google.com/url?q=https://github.com/mostafa-saad/MyCompetitiveProgramming/blob/master/Olympiad/CEOI/CEOI-04-Clouds.txt&amp;sa=D&amp;ust=1605639815672000&amp;usg=AFQjCNHwhg8w-0D8xrK1AtyTXtwAMwrsKA" TargetMode="External"/><Relationship Id="rId675" Type="http://schemas.openxmlformats.org/officeDocument/2006/relationships/hyperlink" Target="https://www.google.com/url?q=https://oj.uz/problem/view/IOI19_vision&amp;sa=D&amp;ust=1605639815926000&amp;usg=AFQjCNG-MB9jCuv-7Zcg6R9iRE-uqqafPw" TargetMode="External"/><Relationship Id="rId882" Type="http://schemas.openxmlformats.org/officeDocument/2006/relationships/hyperlink" Target="https://www.google.com/url?q=https://boi18-day2-open.kattis.com/problems&amp;sa=D&amp;ust=1605639816075000&amp;usg=AFQjCNGwL6e91k0skkqxytEactUaZ0o7xg" TargetMode="External"/><Relationship Id="rId1098" Type="http://schemas.openxmlformats.org/officeDocument/2006/relationships/hyperlink" Target="https://www.google.com/url?q=https://github.com/mostafa-saad/MyCompetitiveProgramming/blob/master/Olympiad/IOI/IOIPractice-14-guardians-lunatics-ioi14.txt&amp;sa=D&amp;ust=1605639816196000&amp;usg=AFQjCNHkUY-tT8GQpCKJ6QSiDVGdakVhlQ" TargetMode="External"/><Relationship Id="rId2149" Type="http://schemas.openxmlformats.org/officeDocument/2006/relationships/hyperlink" Target="https://www.google.com/url?q=https://github.com/mostafa-saad/MyCompetitiveProgramming/blob/master/Olympiad/POI/official/find_editorial_sols_guidelines.txt&amp;sa=D&amp;ust=1605639816610000&amp;usg=AFQjCNE5XXdn66bByVgeQ_h98OB0x0VG4w" TargetMode="External"/><Relationship Id="rId2356" Type="http://schemas.openxmlformats.org/officeDocument/2006/relationships/hyperlink" Target="https://www.google.com/url?q=https://github.com/mostafa-saad/MyCompetitiveProgramming/blob/master/Olympiad/COCI/official/2015/contest4_solutions&amp;sa=D&amp;ust=1605639816667000&amp;usg=AFQjCNFn20KF91Ak9zPbDqkLY2iqWdWVMg" TargetMode="External"/><Relationship Id="rId2563" Type="http://schemas.openxmlformats.org/officeDocument/2006/relationships/hyperlink" Target="https://www.google.com/url?q=https://github.com/mostafa-saad/MyCompetitiveProgramming/blob/master/Olympiad/POI/official/find_editorial_sols_guidelines.txt&amp;sa=D&amp;ust=1605639816735000&amp;usg=AFQjCNHQPADjx0ft869z2AqHoZ8JgZBGCA" TargetMode="External"/><Relationship Id="rId2770" Type="http://schemas.openxmlformats.org/officeDocument/2006/relationships/hyperlink" Target="https://www.google.com/url?q=https://oj.uz/problem/view/COCI17_hindeks&amp;sa=D&amp;ust=1605639816790000&amp;usg=AFQjCNHbVK3OZA-hA5V1JPAqM3cXrOPrVg" TargetMode="External"/><Relationship Id="rId328" Type="http://schemas.openxmlformats.org/officeDocument/2006/relationships/hyperlink" Target="https://www.google.com/url?q=https://github.com/mostafa-saad/MyCompetitiveProgramming/blob/master/Olympiad/IOI/IOI-16-messy.txt&amp;sa=D&amp;ust=1605639815590000&amp;usg=AFQjCNH_OReSEGZmWLW758pSDK7nqJmeBQ" TargetMode="External"/><Relationship Id="rId535" Type="http://schemas.openxmlformats.org/officeDocument/2006/relationships/hyperlink" Target="https://www.google.com/url?q=https://github.com/mostafa-saad/MyCompetitiveProgramming/blob/master/Olympiad/IOI/IOI-19-rect.txt&amp;sa=D&amp;ust=1605639815838000&amp;usg=AFQjCNH7cvXF_2zzOMo0S5YrzturW86RaA" TargetMode="External"/><Relationship Id="rId742" Type="http://schemas.openxmlformats.org/officeDocument/2006/relationships/hyperlink" Target="https://www.google.com/url?q=https://szkopul.edu.pl/problemset/problem/PT4yHRX9Mmz85ndhNPGCi_WB/site/&amp;sa=D&amp;ust=1605639815977000&amp;usg=AFQjCNEWQW3tTqs5Xmu31xE8TwEVWIU_1g" TargetMode="External"/><Relationship Id="rId1165" Type="http://schemas.openxmlformats.org/officeDocument/2006/relationships/hyperlink" Target="https://www.google.com/url?q=https://szkopul.edu.pl/problemset/problem/kTJwMBMs_vXtliFNlHAZ0Hcu/site/&amp;sa=D&amp;ust=1605639816216000&amp;usg=AFQjCNFCMN7fTZ6ialcxMlf0jSBj6nvSEA" TargetMode="External"/><Relationship Id="rId1372" Type="http://schemas.openxmlformats.org/officeDocument/2006/relationships/hyperlink" Target="https://www.google.com/url?q=https://github.com/mostafa-saad/MyCompetitiveProgramming/blob/master/Olympiad/APIO/APIO-08-DNA.txt&amp;sa=D&amp;ust=1605639816336000&amp;usg=AFQjCNGny4_6stiQR-OlqzzR176AbeU-PQ" TargetMode="External"/><Relationship Id="rId2009" Type="http://schemas.openxmlformats.org/officeDocument/2006/relationships/hyperlink" Target="https://www.google.com/url?q=https://wcipeg.com/problem/coci067p4&amp;sa=D&amp;ust=1605639816562000&amp;usg=AFQjCNFljQ4ZZl91eCUvGAqzRHMWQ9GQ7Q" TargetMode="External"/><Relationship Id="rId2216" Type="http://schemas.openxmlformats.org/officeDocument/2006/relationships/hyperlink" Target="https://www.google.com/url?q=https://github.com/mostafa-saad/MyCompetitiveProgramming/tree/master/Olympiad/MCO/official&amp;sa=D&amp;ust=1605639816631000&amp;usg=AFQjCNFd6ZwUA3zVj9JPIVQA5UBCuyjIaQ" TargetMode="External"/><Relationship Id="rId2423" Type="http://schemas.openxmlformats.org/officeDocument/2006/relationships/hyperlink" Target="https://www.google.com/url?q=https://oj.uz/problem/view/COCI16_kronican&amp;sa=D&amp;ust=1605639816692000&amp;usg=AFQjCNGW5Qs2x8x42cENKxdCY4SSIe0NKw" TargetMode="External"/><Relationship Id="rId2630" Type="http://schemas.openxmlformats.org/officeDocument/2006/relationships/hyperlink" Target="https://www.google.com/url?q=https://github.com/mostafa-saad/MyCompetitiveProgramming/tree/master/Olympiad/COCI/official/2007/contest3_solutions&amp;sa=D&amp;ust=1605639816748000&amp;usg=AFQjCNHfpaa9d5rbUr58jMpw7glXjyDJhA" TargetMode="External"/><Relationship Id="rId602" Type="http://schemas.openxmlformats.org/officeDocument/2006/relationships/hyperlink" Target="https://www.google.com/url?q=https://oj.uz/problem/view/BOI18_popa&amp;sa=D&amp;ust=1605639815901000&amp;usg=AFQjCNGR4sPtM5S_BlnipDlUY68ANhaP0Q" TargetMode="External"/><Relationship Id="rId1025" Type="http://schemas.openxmlformats.org/officeDocument/2006/relationships/hyperlink" Target="https://www.google.com/url?q=https://oj.uz/problems/source/121&amp;sa=D&amp;ust=1605639816167000&amp;usg=AFQjCNFQW7kYOZ_H7_P_6_qPifuwd-TSGA" TargetMode="External"/><Relationship Id="rId1232" Type="http://schemas.openxmlformats.org/officeDocument/2006/relationships/hyperlink" Target="https://www.google.com/url?q=https://oj.uz/problem/view/IZhO18_plan&amp;sa=D&amp;ust=1605639816287000&amp;usg=AFQjCNEq6vrVp9Q9Xww-FQSpGoWJ1OTuAg" TargetMode="External"/><Relationship Id="rId185" Type="http://schemas.openxmlformats.org/officeDocument/2006/relationships/hyperlink" Target="https://www.google.com/url?q=https://cses.fi/189/list/&amp;sa=D&amp;ust=1605639815546000&amp;usg=AFQjCNHw9BXTbfZuzVVdm3eTfbY5eBW4DQ" TargetMode="External"/><Relationship Id="rId1909" Type="http://schemas.openxmlformats.org/officeDocument/2006/relationships/hyperlink" Target="https://www.google.com/url?q=https://cses.fi/106/list/&amp;sa=D&amp;ust=1605639816533000&amp;usg=AFQjCNGfbWcO2HbI7YQLJ4FlA7a-zSbRtw" TargetMode="External"/><Relationship Id="rId392" Type="http://schemas.openxmlformats.org/officeDocument/2006/relationships/hyperlink" Target="https://www.google.com/url?q=https://oj.uz/problem/view/balkan11_2circles&amp;sa=D&amp;ust=1605639815613000&amp;usg=AFQjCNGNi4pdSC2lSMt1TeX_QsKS0voejg" TargetMode="External"/><Relationship Id="rId2073" Type="http://schemas.openxmlformats.org/officeDocument/2006/relationships/hyperlink" Target="https://www.google.com/url?q=https://szkopul.edu.pl/problemset/problem/70I-ks8dXjgq3xwzRzLV1w4p/site/&amp;sa=D&amp;ust=1605639816586000&amp;usg=AFQjCNEdaOe6jhySCnr3MATTw6xfoKEJeA" TargetMode="External"/><Relationship Id="rId2280" Type="http://schemas.openxmlformats.org/officeDocument/2006/relationships/hyperlink" Target="https://www.google.com/url?q=https://github.com/mostafa-saad/MyCompetitiveProgramming/tree/master/Olympiad/COCI/official/2007/contest4_solutions&amp;sa=D&amp;ust=1605639816646000&amp;usg=AFQjCNGVIT9ahce4ODakvmWdkkW8fwKx9g" TargetMode="External"/><Relationship Id="rId252" Type="http://schemas.openxmlformats.org/officeDocument/2006/relationships/hyperlink" Target="https://www.google.com/url?q=https://github.com/mostafa-saad/MyCompetitiveProgramming/blob/master/Olympiad/POI/POI-16-Hydro.txt&amp;sa=D&amp;ust=1605639815563000&amp;usg=AFQjCNGTR2b1wVgK7efDoF0DUkfNGjy-oA" TargetMode="External"/><Relationship Id="rId2140" Type="http://schemas.openxmlformats.org/officeDocument/2006/relationships/hyperlink" Target="https://www.google.com/url?q=https://dunjudge.me/analysis/problems/958/&amp;sa=D&amp;ust=1605639816607000&amp;usg=AFQjCNF4FlgvazZOVA_vB9rdkf_7_7z4Kw" TargetMode="External"/><Relationship Id="rId112" Type="http://schemas.openxmlformats.org/officeDocument/2006/relationships/hyperlink" Target="https://www.google.com/url?q=https://github.com/mostafa-saad/MyCompetitiveProgramming/blob/master/Olympiad/APIO/APIO-18-duathlon.txt&amp;sa=D&amp;ust=1605639815524000&amp;usg=AFQjCNE6e8bIpDf_Z8N31SsVYoQ8VY38bA" TargetMode="External"/><Relationship Id="rId1699" Type="http://schemas.openxmlformats.org/officeDocument/2006/relationships/hyperlink" Target="https://www.google.com/url?q=https://oj.uz/problem/view/COCI17_poklon&amp;sa=D&amp;ust=1605639816459000&amp;usg=AFQjCNE-b0pV6CROSP0rhf56Jq_GT9JpvA" TargetMode="External"/><Relationship Id="rId2000" Type="http://schemas.openxmlformats.org/officeDocument/2006/relationships/hyperlink" Target="https://www.google.com/url?q=https://ideone.com/xq3cEb&amp;sa=D&amp;ust=1605639816559000&amp;usg=AFQjCNFynzKMWE-3kvTaznelfq0zB3JBvw" TargetMode="External"/><Relationship Id="rId2957" Type="http://schemas.openxmlformats.org/officeDocument/2006/relationships/hyperlink" Target="https://www.google.com/url?q=https://dunjudge.me/analysis/problems/1470/&amp;sa=D&amp;ust=1605639816882000&amp;usg=AFQjCNGJLbDYKEJ36TUJEoshhgHMGQd2Zg" TargetMode="External"/><Relationship Id="rId929" Type="http://schemas.openxmlformats.org/officeDocument/2006/relationships/hyperlink" Target="https://www.google.com/url?q=https://oj.uz/problems/source/121&amp;sa=D&amp;ust=1605639816092000&amp;usg=AFQjCNHfPzjOOKw3x9ontL2kuAExhkqVug" TargetMode="External"/><Relationship Id="rId1559" Type="http://schemas.openxmlformats.org/officeDocument/2006/relationships/hyperlink" Target="https://www.google.com/url?q=https://oj.uz/problem/view/IOI19_shoes&amp;sa=D&amp;ust=1605639816418000&amp;usg=AFQjCNEMR_CGsApLE1mn6fN_1F8bWrOpng" TargetMode="External"/><Relationship Id="rId1766" Type="http://schemas.openxmlformats.org/officeDocument/2006/relationships/hyperlink" Target="https://www.google.com/url?q=https://github.com/mostafa-saad/MyCompetitiveProgramming/blob/master/Olympiad/infoarena/infoarena-arbore7.txt&amp;sa=D&amp;ust=1605639816483000&amp;usg=AFQjCNHG7RNazrjYNCiIrgmbLVt0cIaGtQ" TargetMode="External"/><Relationship Id="rId1973" Type="http://schemas.openxmlformats.org/officeDocument/2006/relationships/hyperlink" Target="https://www.google.com/url?q=https://github.com/mostafa-saad/MyCompetitiveProgramming/blob/master/Olympiad/COCI/official/2010/contest1_solutions&amp;sa=D&amp;ust=1605639816552000&amp;usg=AFQjCNGIKOvjjbwJQTl2o6dVBZe6QM1wUA" TargetMode="External"/><Relationship Id="rId2817" Type="http://schemas.openxmlformats.org/officeDocument/2006/relationships/hyperlink" Target="https://www.google.com/url?q=https://github.com/mostafa-saad/MyCompetitiveProgramming/blob/master/Olympiad/COCI/official/2010/contest5_solutions&amp;sa=D&amp;ust=1605639816806000&amp;usg=AFQjCNGzg8co0Yjb1JJNYiCUKR5qZgx5eg" TargetMode="External"/><Relationship Id="rId58" Type="http://schemas.openxmlformats.org/officeDocument/2006/relationships/hyperlink" Target="https://www.google.com/url?q=https://csacademy.com/contest/ejoi-2017-day-2/task/experience/&amp;sa=D&amp;ust=1605639815507000&amp;usg=AFQjCNG-Gg4BZH2x6o1ef1UKrmSd-7U0Lg" TargetMode="External"/><Relationship Id="rId1419" Type="http://schemas.openxmlformats.org/officeDocument/2006/relationships/hyperlink" Target="https://www.google.com/url?q=https://github.com/mostafa-saad/MyCompetitiveProgramming/blob/master/Olympiad/COCI/COCI-08-Matrica&amp;sa=D&amp;ust=1605639816367000&amp;usg=AFQjCNHZOO94E6x7GQs6Oy6TooanX1_XYg" TargetMode="External"/><Relationship Id="rId1626" Type="http://schemas.openxmlformats.org/officeDocument/2006/relationships/hyperlink" Target="https://www.google.com/url?q=https://ideone.com/iOUxs7&amp;sa=D&amp;ust=1605639816438000&amp;usg=AFQjCNEuU4FswcvoX3Thb8nVLf3EDz1j4A" TargetMode="External"/><Relationship Id="rId1833" Type="http://schemas.openxmlformats.org/officeDocument/2006/relationships/hyperlink" Target="https://www.google.com/url?q=https://github.com/mostafa-saad/MyCompetitiveProgramming/blob/master/Olympiad/POI/official/find_editorial_sols_guidelines.txt&amp;sa=D&amp;ust=1605639816508000&amp;usg=AFQjCNGavwH1cVT8MeyKUXB7qLjRP71XPA" TargetMode="External"/><Relationship Id="rId1900" Type="http://schemas.openxmlformats.org/officeDocument/2006/relationships/hyperlink" Target="https://www.google.com/url?q=https://github.com/mostafa-saad/MyCompetitiveProgramming/blob/master/Olympiad/CEOI/CEOI-05-keys.txt&amp;sa=D&amp;ust=1605639816530000&amp;usg=AFQjCNE6LAbGIVdPjgPXkHZtQyKF59cGCQ" TargetMode="External"/><Relationship Id="rId579" Type="http://schemas.openxmlformats.org/officeDocument/2006/relationships/hyperlink" Target="https://www.google.com/url?q=https://github.com/mostafa-saad/MyCompetitiveProgramming/blob/master/Olympiad/IOI/IOI-12-editorials.txt&amp;sa=D&amp;ust=1605639815892000&amp;usg=AFQjCNEiKsVQEjkIKjNOyBi0bKkl1dyi7Q" TargetMode="External"/><Relationship Id="rId786" Type="http://schemas.openxmlformats.org/officeDocument/2006/relationships/hyperlink" Target="https://www.google.com/url?q=https://github.com/mostafa-saad/MyCompetitiveProgramming/blob/master/Olympiad/POI/POI-13-Polarization.txt&amp;sa=D&amp;ust=1605639815994000&amp;usg=AFQjCNEEEHluq13FkzkKhJyfDLWFmg2hAg" TargetMode="External"/><Relationship Id="rId993" Type="http://schemas.openxmlformats.org/officeDocument/2006/relationships/hyperlink" Target="https://www.google.com/url?q=https://szkopul.edu.pl/problemset/problem/vvd6w7n7EXFVEg3nkqGxEirV/site/?key%3Dstatement&amp;sa=D&amp;ust=1605639816111000&amp;usg=AFQjCNEITRQOVpMdBOYlXFGRAfSb69gKIw" TargetMode="External"/><Relationship Id="rId2467" Type="http://schemas.openxmlformats.org/officeDocument/2006/relationships/hyperlink" Target="https://www.google.com/url?q=https://oj.uz/problem/view/COCI15_baloni&amp;sa=D&amp;ust=1605639816707000&amp;usg=AFQjCNHZJA85m3whaEvgAg_7bFyzYNdxlA" TargetMode="External"/><Relationship Id="rId2674" Type="http://schemas.openxmlformats.org/officeDocument/2006/relationships/hyperlink" Target="https://www.google.com/url?q=https://wcipeg.com/problem/coci096p2&amp;sa=D&amp;ust=1605639816759000&amp;usg=AFQjCNHZTlBlPQyPhvIIQlUAVLo5G_n-Iw" TargetMode="External"/><Relationship Id="rId439" Type="http://schemas.openxmlformats.org/officeDocument/2006/relationships/hyperlink" Target="https://www.google.com/url?q=https://oj.uz/problem/view/BOI18_homecoming&amp;sa=D&amp;ust=1605639815632000&amp;usg=AFQjCNH6-Bisa-loPCT806xsL9pyux2fCw" TargetMode="External"/><Relationship Id="rId646" Type="http://schemas.openxmlformats.org/officeDocument/2006/relationships/hyperlink" Target="https://www.google.com/url?q=https://oj.uz/problems/source/351&amp;sa=D&amp;ust=1605639815916000&amp;usg=AFQjCNELxMPHu8rzt-WxrQFlDiP2s3592w" TargetMode="External"/><Relationship Id="rId1069" Type="http://schemas.openxmlformats.org/officeDocument/2006/relationships/hyperlink" Target="https://www.google.com/url?q=https://oj.uz/problems/source/59&amp;sa=D&amp;ust=1605639816186000&amp;usg=AFQjCNFd4jWN0oCXMZf_ckbrMnKunRXH9g" TargetMode="External"/><Relationship Id="rId1276" Type="http://schemas.openxmlformats.org/officeDocument/2006/relationships/hyperlink" Target="https://www.google.com/url?q=https://github.com/mostafa-saad/MyCompetitiveProgramming/blob/master/Olympiad/MCO/MCO-17-NewbieHacker.txt&amp;sa=D&amp;ust=1605639816302000&amp;usg=AFQjCNEfbgrGwan4KXHES0OuhxizbR0EYg" TargetMode="External"/><Relationship Id="rId1483" Type="http://schemas.openxmlformats.org/officeDocument/2006/relationships/hyperlink" Target="https://www.google.com/url?q=http://www.infoarena.ro/problema/copaci&amp;sa=D&amp;ust=1605639816392000&amp;usg=AFQjCNEk_Pi1uY8v4zdbq0ZwZBR2AOXd8Q" TargetMode="External"/><Relationship Id="rId2327" Type="http://schemas.openxmlformats.org/officeDocument/2006/relationships/hyperlink" Target="https://www.google.com/url?q=https://www.infoarena.ro/problema/sir42&amp;sa=D&amp;ust=1605639816658000&amp;usg=AFQjCNELDYfHJ8p-5UIekOv_HeoklkQ-fA" TargetMode="External"/><Relationship Id="rId2881" Type="http://schemas.openxmlformats.org/officeDocument/2006/relationships/hyperlink" Target="https://www.google.com/url?q=https://www.acmicpc.net/problem/7088&amp;sa=D&amp;ust=1605639816828000&amp;usg=AFQjCNEi9rUhXZgRbf7P0sIbi7QBt37nSg" TargetMode="External"/><Relationship Id="rId506" Type="http://schemas.openxmlformats.org/officeDocument/2006/relationships/hyperlink" Target="https://www.google.com/url?q=https://github.com/mostafa-saad/MyCompetitiveProgramming/blob/master/Olympiad/COCI/COCI-16-kralj.txt&amp;sa=D&amp;ust=1605639815684000&amp;usg=AFQjCNGXDgT7jMmSvf7D2UDXNvETM35yRw" TargetMode="External"/><Relationship Id="rId853" Type="http://schemas.openxmlformats.org/officeDocument/2006/relationships/hyperlink" Target="https://www.google.com/url?q=https://contest.yandex.ru/ioi/contest/558/problems/B/&amp;sa=D&amp;ust=1605639816018000&amp;usg=AFQjCNF_lPsaadLNkBc6iAi7bT8wWjYxcg" TargetMode="External"/><Relationship Id="rId1136" Type="http://schemas.openxmlformats.org/officeDocument/2006/relationships/hyperlink" Target="https://www.google.com/url?q=https://www.acmicpc.net/problem/5253&amp;sa=D&amp;ust=1605639816209000&amp;usg=AFQjCNGZYHIti-WHbWrHgcVMka_ETp83rQ" TargetMode="External"/><Relationship Id="rId1690" Type="http://schemas.openxmlformats.org/officeDocument/2006/relationships/hyperlink" Target="https://www.google.com/url?q=https://www.acmicpc.net/problem/7054&amp;sa=D&amp;ust=1605639816456000&amp;usg=AFQjCNHn1ZeE6-dfWyWzm7wiLE3eH6J-bg" TargetMode="External"/><Relationship Id="rId2534" Type="http://schemas.openxmlformats.org/officeDocument/2006/relationships/hyperlink" Target="https://www.google.com/url?q=https://github.com/mostafa-saad/MyCompetitiveProgramming/blob/master/Olympiad/IOI/official/2009&amp;sa=D&amp;ust=1605639816729000&amp;usg=AFQjCNE7a-MoWFqR5jLODx6AYH31Re-0ZA" TargetMode="External"/><Relationship Id="rId2741" Type="http://schemas.openxmlformats.org/officeDocument/2006/relationships/hyperlink" Target="https://www.google.com/url?q=https://github.com/mostafa-saad/MyCompetitiveProgramming/blob/master/Olympiad/COCI/official/2017/contest3_solutions&amp;sa=D&amp;ust=1605639816781000&amp;usg=AFQjCNHInbkt8x5otUovOgTG2AvcUQrA4w" TargetMode="External"/><Relationship Id="rId713" Type="http://schemas.openxmlformats.org/officeDocument/2006/relationships/hyperlink" Target="https://www.google.com/url?q=https://github.com/mostafa-saad/MyCompetitiveProgramming/blob/master/Olympiad/POI/POI-05-Fibonacci.txt&amp;sa=D&amp;ust=1605639815967000&amp;usg=AFQjCNEuaIPnqzOmFE797GScosbjY7pubQ" TargetMode="External"/><Relationship Id="rId920" Type="http://schemas.openxmlformats.org/officeDocument/2006/relationships/hyperlink" Target="https://www.google.com/url?q=https://oj.uz/problem/view/APIO15_sculpture&amp;sa=D&amp;ust=1605639816090000&amp;usg=AFQjCNHN_j7TtkYWaoYUm3Q1rgn9k0j-mQ" TargetMode="External"/><Relationship Id="rId1343" Type="http://schemas.openxmlformats.org/officeDocument/2006/relationships/hyperlink" Target="https://www.google.com/url?q=https://github.com/mostafa-saad/MyCompetitiveProgramming/blob/master/Olympiad/OSN/OSN_15-1C.txt&amp;sa=D&amp;ust=1605639816326000&amp;usg=AFQjCNF01iTHMyKHqxW1g8q6iig2KbFJcA" TargetMode="External"/><Relationship Id="rId1550" Type="http://schemas.openxmlformats.org/officeDocument/2006/relationships/hyperlink" Target="https://www.google.com/url?q=https://github.com/mostafa-saad/MyCompetitiveProgramming/blob/master/Olympiad/COCI/COCI-17-kas.txt&amp;sa=D&amp;ust=1605639816416000&amp;usg=AFQjCNF5Pg6VC6LIfQpWC5wIm3VzFtXL_w" TargetMode="External"/><Relationship Id="rId2601" Type="http://schemas.openxmlformats.org/officeDocument/2006/relationships/hyperlink" Target="https://www.google.com/url?q=https://dmoj.ca/problem/coci08c3p3&amp;sa=D&amp;ust=1605639816744000&amp;usg=AFQjCNFIHi5n82TWfN3wEFrcXObwTDW7QA" TargetMode="External"/><Relationship Id="rId1203" Type="http://schemas.openxmlformats.org/officeDocument/2006/relationships/hyperlink" Target="https://www.google.com/url?q=https://joisc2016.contest.atcoder.jp/tasks/joisc2016_h&amp;sa=D&amp;ust=1605639816276000&amp;usg=AFQjCNG3cv8FoPHufdQHdvT2lAFJ3mVUIQ" TargetMode="External"/><Relationship Id="rId1410" Type="http://schemas.openxmlformats.org/officeDocument/2006/relationships/hyperlink" Target="https://www.google.com/url?q=https://dunjudge.me/analysis/problems/698/&amp;sa=D&amp;ust=1605639816350000&amp;usg=AFQjCNF_jfjIzkXUY5Vwgx1Fx6Jj3v8KZg" TargetMode="External"/><Relationship Id="rId296" Type="http://schemas.openxmlformats.org/officeDocument/2006/relationships/hyperlink" Target="https://www.google.com/url?q=https://szkopul.edu.pl/problemset/problem/YY6-3ua-C1rt7q-97laWc0UP/site/&amp;sa=D&amp;ust=1605639815578000&amp;usg=AFQjCNFEZbBN7OAHORklPGUn1SqCSf-QgQ" TargetMode="External"/><Relationship Id="rId2184" Type="http://schemas.openxmlformats.org/officeDocument/2006/relationships/hyperlink" Target="https://www.google.com/url?q=https://joisc2014.contest.atcoder.jp/tasks/joisc2014_b&amp;sa=D&amp;ust=1605639816622000&amp;usg=AFQjCNGivUCyyYPpw_mPvDB4QgPSowuV_w" TargetMode="External"/><Relationship Id="rId2391" Type="http://schemas.openxmlformats.org/officeDocument/2006/relationships/hyperlink" Target="https://www.google.com/url?q=https://codeforces.com/group/swEqtABRxe/contest/227524/problem/C&amp;sa=D&amp;ust=1605639816680000&amp;usg=AFQjCNF8rlyQQ-2HGjm_g38GS77SsMo9qw" TargetMode="External"/><Relationship Id="rId156" Type="http://schemas.openxmlformats.org/officeDocument/2006/relationships/hyperlink" Target="https://www.google.com/url?q=https://github.com/mostafa-saad/MyCompetitiveProgramming/tree/master/Olympiad/Balkan/official/2016&amp;sa=D&amp;ust=1605639815538000&amp;usg=AFQjCNFeAJkozklwpQS-7r0OMHwAgUF6QA" TargetMode="External"/><Relationship Id="rId363" Type="http://schemas.openxmlformats.org/officeDocument/2006/relationships/hyperlink" Target="https://www.google.com/url?q=https://infoarena.ro/problema/sms&amp;sa=D&amp;ust=1605639815602000&amp;usg=AFQjCNEiEuaSC9fUg3qVbmOIA-qn2psIBQ" TargetMode="External"/><Relationship Id="rId570" Type="http://schemas.openxmlformats.org/officeDocument/2006/relationships/hyperlink" Target="https://www.google.com/url?q=https://oj.uz/problem/view/IZhO19_segments&amp;sa=D&amp;ust=1605639815890000&amp;usg=AFQjCNFG77pbQ97YN7MWh5rNPX1BPznVOg" TargetMode="External"/><Relationship Id="rId2044" Type="http://schemas.openxmlformats.org/officeDocument/2006/relationships/hyperlink" Target="https://www.google.com/url?q=https://www.infoarena.ro/problema/greutati&amp;sa=D&amp;ust=1605639816575000&amp;usg=AFQjCNEbP3S4Pg9RqbaAHQLz4n2QyADrfw" TargetMode="External"/><Relationship Id="rId2251" Type="http://schemas.openxmlformats.org/officeDocument/2006/relationships/hyperlink" Target="https://www.google.com/url?q=https://szkopul.edu.pl/problemset/problem/G-ZVHDa7y3xWk2PQM27uNq3n/site/&amp;sa=D&amp;ust=1605639816640000&amp;usg=AFQjCNHVJWM5IXSaF46vVn6dRQcugyoBMQ" TargetMode="External"/><Relationship Id="rId223" Type="http://schemas.openxmlformats.org/officeDocument/2006/relationships/hyperlink" Target="https://www.google.com/url?q=https://github.com/mostafa-saad/MyCompetitiveProgramming/blob/master/Olympiad/IOI/IOI-17-toytrain.txt&amp;sa=D&amp;ust=1605639815555000&amp;usg=AFQjCNEaLRqDVul2-vx2FuHp5uVAlU5Aqw" TargetMode="External"/><Relationship Id="rId430" Type="http://schemas.openxmlformats.org/officeDocument/2006/relationships/hyperlink" Target="https://www.google.com/url?q=https://github.com/mostafa-saad/MyCompetitiveProgramming/tree/master/Olympiad/Balkan/official/2015&amp;sa=D&amp;ust=1605639815628000&amp;usg=AFQjCNEkiVV9PpKbRa1XXgz-P-RqV-FqKg" TargetMode="External"/><Relationship Id="rId1060" Type="http://schemas.openxmlformats.org/officeDocument/2006/relationships/hyperlink" Target="https://www.google.com/url?q=https://github.com/mostafa-saad/MyCompetitiveProgramming/tree/master/Olympiad/CEOI/official/2002&amp;sa=D&amp;ust=1605639816182000&amp;usg=AFQjCNEsmNJgaBqo4X6Pe35lLhiFbGLqqg" TargetMode="External"/><Relationship Id="rId2111" Type="http://schemas.openxmlformats.org/officeDocument/2006/relationships/hyperlink" Target="https://www.google.com/url?q=https://github.com/mostafa-saad/MyCompetitiveProgramming/blob/master/Olympiad/Baltic/Baltic-18-Paths.txt&amp;sa=D&amp;ust=1605639816599000&amp;usg=AFQjCNFmKINxqFoAhr2jNl-4iw2fTO2OpQ" TargetMode="External"/><Relationship Id="rId1877" Type="http://schemas.openxmlformats.org/officeDocument/2006/relationships/hyperlink" Target="https://www.google.com/url?q=https://dunjudge.me/analysis/problems/699/&amp;sa=D&amp;ust=1605639816523000&amp;usg=AFQjCNEV5venZ-BB6Vlb0MBzDTlaFqsd_Q" TargetMode="External"/><Relationship Id="rId2928" Type="http://schemas.openxmlformats.org/officeDocument/2006/relationships/hyperlink" Target="https://www.google.com/url?q=https://joi2015ho.contest.atcoder.jp/tasks/joi2015ho_e&amp;sa=D&amp;ust=1605639816869000&amp;usg=AFQjCNGbPQzvk9FGIRgZa3YTVrS40jEw0A" TargetMode="External"/><Relationship Id="rId1737" Type="http://schemas.openxmlformats.org/officeDocument/2006/relationships/hyperlink" Target="https://www.google.com/url?q=https://github.com/stefdasca/CompetitiveProgramming/blob/master/Infoarena/cifru.cpp&amp;sa=D&amp;ust=1605639816472000&amp;usg=AFQjCNHN6WIqNfMrwyRz3fwogTr7r41ilw" TargetMode="External"/><Relationship Id="rId1944" Type="http://schemas.openxmlformats.org/officeDocument/2006/relationships/hyperlink" Target="https://www.google.com/url?q=https://github.com/mostafa-saad/MyCompetitiveProgramming/blob/master/Olympiad/COCI/official/2017/contest5_solutions&amp;sa=D&amp;ust=1605639816543000&amp;usg=AFQjCNGH6jdfiThxSs6w4rADtc_yItfn8Q" TargetMode="External"/><Relationship Id="rId29" Type="http://schemas.openxmlformats.org/officeDocument/2006/relationships/hyperlink" Target="https://www.google.com/url?q=https://github.com/mostafa-saad/MyCompetitiveProgramming/blob/master/Olympiad/IOI/official/2010&amp;sa=D&amp;ust=1605639815495000&amp;usg=AFQjCNE3UtDH8iTjWiVYopcW3AEeeEcklw" TargetMode="External"/><Relationship Id="rId1804" Type="http://schemas.openxmlformats.org/officeDocument/2006/relationships/hyperlink" Target="https://www.google.com/url?q=https://dmoj.ca/problem/coci08c5p4&amp;sa=D&amp;ust=1605639816498000&amp;usg=AFQjCNEDCTsxeOB9vtld4e69-o70hDmZBQ" TargetMode="External"/><Relationship Id="rId897" Type="http://schemas.openxmlformats.org/officeDocument/2006/relationships/hyperlink" Target="https://www.google.com/url?q=https://github.com/Evilandrew228/CompetitiveProgramming/blob/master/APIO%252019-street_lamps&amp;sa=D&amp;ust=1605639816082000&amp;usg=AFQjCNE8gkzy1D18wR3kdOLA1e89ZX3ccA" TargetMode="External"/><Relationship Id="rId2578" Type="http://schemas.openxmlformats.org/officeDocument/2006/relationships/hyperlink" Target="https://www.google.com/url?q=https://dunjudge.me/analysis/problems/1375/&amp;sa=D&amp;ust=1605639816739000&amp;usg=AFQjCNH3DFGKBKbh0GH2KozNJQKwDHj2UA" TargetMode="External"/><Relationship Id="rId2785" Type="http://schemas.openxmlformats.org/officeDocument/2006/relationships/hyperlink" Target="https://www.google.com/url?q=https://oj.uz/problem/view/COCI15_karte&amp;sa=D&amp;ust=1605639816796000&amp;usg=AFQjCNG8tWCqIefA2C0I3WRRpzTXiLFvYQ" TargetMode="External"/><Relationship Id="rId2992" Type="http://schemas.openxmlformats.org/officeDocument/2006/relationships/hyperlink" Target="https://www.google.com/url?q=https://dunjudge.me/analysis/problems/682/&amp;sa=D&amp;ust=1605639816899000&amp;usg=AFQjCNGJ1D8IEdFkz6t_u6hCii5LO-jltA" TargetMode="External"/><Relationship Id="rId757" Type="http://schemas.openxmlformats.org/officeDocument/2006/relationships/hyperlink" Target="https://www.google.com/url?q=https://codeforces.com/group/R2SERIff4f/contest/213171&amp;sa=D&amp;ust=1605639815983000&amp;usg=AFQjCNEkq5UVsed7ggBUcqsR-KtzmEP61w" TargetMode="External"/><Relationship Id="rId964" Type="http://schemas.openxmlformats.org/officeDocument/2006/relationships/hyperlink" Target="https://www.google.com/url?q=https://github.com/goar5670/CompetitiveProgramming/blob/master/APIO%252009-ATM.cpp&amp;sa=D&amp;ust=1605639816102000&amp;usg=AFQjCNH-HKzetV7dK8qwvLCt8sEDO2tq0w" TargetMode="External"/><Relationship Id="rId1387" Type="http://schemas.openxmlformats.org/officeDocument/2006/relationships/hyperlink" Target="https://www.google.com/url?q=https://github.com/mostafa-saad/MyCompetitiveProgramming/blob/master/Olympiad/infoarena/infoarena_matrice2.txt&amp;sa=D&amp;ust=1605639816342000&amp;usg=AFQjCNEy-JVqIJlMET6NXhCjrotGxwCDHw" TargetMode="External"/><Relationship Id="rId1594" Type="http://schemas.openxmlformats.org/officeDocument/2006/relationships/hyperlink" Target="https://www.google.com/url?q=https://github.com/mostafa-saad/MyCompetitiveProgramming/blob/master/Olympiad/POI/POI-09-Fire.txt&amp;sa=D&amp;ust=1605639816430000&amp;usg=AFQjCNHB0N2Czcp5Q7thxCidHv4PjJkdpw" TargetMode="External"/><Relationship Id="rId2438" Type="http://schemas.openxmlformats.org/officeDocument/2006/relationships/hyperlink" Target="https://www.google.com/url?q=https://github.com/stefdasca/CompetitiveProgramming/blob/master/Info1Cup/National%2520Round/subway.cpp&amp;sa=D&amp;ust=1605639816697000&amp;usg=AFQjCNHHxFJccykPC9w_3nTcrvxSej7Nkg" TargetMode="External"/><Relationship Id="rId2645" Type="http://schemas.openxmlformats.org/officeDocument/2006/relationships/hyperlink" Target="https://www.google.com/url?q=https://dmoj.ca/problem/coci07c4p2&amp;sa=D&amp;ust=1605639816753000&amp;usg=AFQjCNGWUstgP52mKcB48SekL8zik3qWxw" TargetMode="External"/><Relationship Id="rId2852" Type="http://schemas.openxmlformats.org/officeDocument/2006/relationships/hyperlink" Target="https://www.google.com/url?q=https://github.com/mostafa-saad/MyCompetitiveProgramming/blob/master/Olympiad/POI/official/find_editorial_sols_guidelines.txt&amp;sa=D&amp;ust=1605639816817000&amp;usg=AFQjCNFV8bnEkRJxkdz8clVp6Uua-mLtdA" TargetMode="External"/><Relationship Id="rId93" Type="http://schemas.openxmlformats.org/officeDocument/2006/relationships/hyperlink" Target="https://www.google.com/url?q=https://oj.uz/problem/view/APIO13_toll&amp;sa=D&amp;ust=1605639815519000&amp;usg=AFQjCNFg9bQJuHjDWLaAOIyfKO15laNL4A" TargetMode="External"/><Relationship Id="rId617" Type="http://schemas.openxmlformats.org/officeDocument/2006/relationships/hyperlink" Target="https://www.google.com/url?q=https://github.com/mostafa-saad/MyCompetitiveProgramming/blob/master/Olympiad/POI/POI-11-sej.txt&amp;sa=D&amp;ust=1605639815906000&amp;usg=AFQjCNE5wqXeUI65RFgldgZwMi2b45DnNA" TargetMode="External"/><Relationship Id="rId824" Type="http://schemas.openxmlformats.org/officeDocument/2006/relationships/hyperlink" Target="https://www.google.com/url?q=https://cses.fi/191/list/&amp;sa=D&amp;ust=1605639816008000&amp;usg=AFQjCNF3TLTgzCsOk17MufrCqpWfdvjk8w" TargetMode="External"/><Relationship Id="rId1247" Type="http://schemas.openxmlformats.org/officeDocument/2006/relationships/hyperlink" Target="https://www.google.com/url?q=https://dunjudge.me/analysis/problems/153/&amp;sa=D&amp;ust=1605639816293000&amp;usg=AFQjCNFCHBNrkYSmaakmhMJO7_4EgcORJA" TargetMode="External"/><Relationship Id="rId1454" Type="http://schemas.openxmlformats.org/officeDocument/2006/relationships/hyperlink" Target="https://www.google.com/url?q=https://dmoj.ca/problem/coci14c7p4&amp;sa=D&amp;ust=1605639816380000&amp;usg=AFQjCNEckiroBjdVNoq1ARh7NJ1Gx6g4AQ" TargetMode="External"/><Relationship Id="rId1661" Type="http://schemas.openxmlformats.org/officeDocument/2006/relationships/hyperlink" Target="https://www.google.com/url?q=https://szkopul.edu.pl/problemset/problem/a9Oxizbg6JUS3CkEZr9BOd_H/site/?key%3Dstatement&amp;sa=D&amp;ust=1605639816448000&amp;usg=AFQjCNHcOOBIVszfzhTeASvnZ0Ljvy7rSA" TargetMode="External"/><Relationship Id="rId2505" Type="http://schemas.openxmlformats.org/officeDocument/2006/relationships/hyperlink" Target="https://www.google.com/url?q=https://github.com/mostafa-saad/MyCompetitiveProgramming/blob/master/Olympiad/COCI/official/2015/contest1_solutions&amp;sa=D&amp;ust=1605639816721000&amp;usg=AFQjCNETkNy-NbQ6b9ULqbeYM1heTVI_MQ" TargetMode="External"/><Relationship Id="rId2712" Type="http://schemas.openxmlformats.org/officeDocument/2006/relationships/hyperlink" Target="https://www.google.com/url?q=https://dunjudge.me/analysis/problems/215/&amp;sa=D&amp;ust=1605639816771000&amp;usg=AFQjCNF0ID6wXjgZBmXic5w4FkdhMEHiXw" TargetMode="External"/><Relationship Id="rId1107" Type="http://schemas.openxmlformats.org/officeDocument/2006/relationships/hyperlink" Target="https://www.google.com/url?q=https://cses.fi/99/list/&amp;sa=D&amp;ust=1605639816200000&amp;usg=AFQjCNHZ8vd1dLqbHh1EQulNSIVCuYBFRQ" TargetMode="External"/><Relationship Id="rId1314" Type="http://schemas.openxmlformats.org/officeDocument/2006/relationships/hyperlink" Target="https://www.google.com/url?q=https://github.com/mostafa-saad/MyCompetitiveProgramming/blob/master/Olympiad/IOI/IOI-06-pyramid.txt&amp;sa=D&amp;ust=1605639816316000&amp;usg=AFQjCNEeCGYsRBpK2StX-10Mk6s4K7IJSw" TargetMode="External"/><Relationship Id="rId1521" Type="http://schemas.openxmlformats.org/officeDocument/2006/relationships/hyperlink" Target="https://www.google.com/url?q=https://github.com/stefdasca/CompetitiveProgramming/blob/master/Infoarena/porcjoc.cpp&amp;sa=D&amp;ust=1605639816406000&amp;usg=AFQjCNE-FQX4wjYrzU0TlFaA6iMchKMQ3g" TargetMode="External"/><Relationship Id="rId20" Type="http://schemas.openxmlformats.org/officeDocument/2006/relationships/hyperlink" Target="https://www.google.com/url?q=http://usaco.org/index.php?page%3Dviewproblem2%26cpid%3D926&amp;sa=D&amp;ust=1605639815492000&amp;usg=AFQjCNE73Q8kUVzIyqFAkWk-75G-WEa4mQ" TargetMode="External"/><Relationship Id="rId2088" Type="http://schemas.openxmlformats.org/officeDocument/2006/relationships/hyperlink" Target="https://www.google.com/url?q=https://codeforces.com/group/swEqtABRxe/contest/243435/problem/A&amp;sa=D&amp;ust=1605639816591000&amp;usg=AFQjCNEjVqbmqBc631tenm3Hsjt3DhX1cw" TargetMode="External"/><Relationship Id="rId2295" Type="http://schemas.openxmlformats.org/officeDocument/2006/relationships/hyperlink" Target="https://www.google.com/url?q=https://github.com/mostafa-saad/MyCompetitiveProgramming/blob/master/Olympiad/COCI/official/2009/regional_solutions&amp;sa=D&amp;ust=1605639816650000&amp;usg=AFQjCNHmXZfWZN9pJudaF9QOFjjigHjSDQ" TargetMode="External"/><Relationship Id="rId267" Type="http://schemas.openxmlformats.org/officeDocument/2006/relationships/hyperlink" Target="https://www.google.com/url?q=https://oj.uz/problem/view/COI18_zagonetka&amp;sa=D&amp;ust=1605639815568000&amp;usg=AFQjCNHHjNbmbeL42mvokSRlmruKIoEb7w" TargetMode="External"/><Relationship Id="rId474" Type="http://schemas.openxmlformats.org/officeDocument/2006/relationships/hyperlink" Target="https://www.google.com/url?q=https://github.com/mostafa-saad/MyCompetitiveProgramming/tree/master/Olympiad/CEOI/official/2009&amp;sa=D&amp;ust=1605639815673000&amp;usg=AFQjCNFFCeeBKHtHVo4jHEkcdpdQtjt-_w" TargetMode="External"/><Relationship Id="rId2155" Type="http://schemas.openxmlformats.org/officeDocument/2006/relationships/hyperlink" Target="https://www.google.com/url?q=https://github.com/mostafa-saad/MyCompetitiveProgramming/blob/master/Olympiad/COCI/official/2009/contest5_solutions&amp;sa=D&amp;ust=1605639816612000&amp;usg=AFQjCNFWPy1Ncxo22sx6BRQ7ONSm-2RNGw" TargetMode="External"/><Relationship Id="rId127" Type="http://schemas.openxmlformats.org/officeDocument/2006/relationships/hyperlink" Target="https://www.google.com/url?q=https://github.com/mostafa-saad/MyCompetitiveProgramming/blob/master/Olympiad/CCO/CCOMock-17-Connection.txt&amp;sa=D&amp;ust=1605639815529000&amp;usg=AFQjCNE0F6nPzlZzQiDlLBt5Gt2CNxFKsA" TargetMode="External"/><Relationship Id="rId681" Type="http://schemas.openxmlformats.org/officeDocument/2006/relationships/hyperlink" Target="https://www.google.com/url?q=https://codeforces.com/contest/1193&amp;sa=D&amp;ust=1605639815927000&amp;usg=AFQjCNGgE7aXFEnG79g_cbYKm9hkO0GuFg" TargetMode="External"/><Relationship Id="rId2362" Type="http://schemas.openxmlformats.org/officeDocument/2006/relationships/hyperlink" Target="https://www.google.com/url?q=https://github.com/koosaga/olympiad/blob/master/Balkan/balkan05_race.cpp&amp;sa=D&amp;ust=1605639816669000&amp;usg=AFQjCNFtvu3QJP_lrr_FWedF3ii_sW85zA" TargetMode="External"/><Relationship Id="rId334" Type="http://schemas.openxmlformats.org/officeDocument/2006/relationships/hyperlink" Target="https://www.google.com/url?q=https://github.com/mostafa-saad/MyCompetitiveProgramming/blob/master/Olympiad/COCI/COCI-12-mars.txt&amp;sa=D&amp;ust=1605639815592000&amp;usg=AFQjCNEUnbLJrQn4V7s_unYRtXWA2iHlDg" TargetMode="External"/><Relationship Id="rId541" Type="http://schemas.openxmlformats.org/officeDocument/2006/relationships/hyperlink" Target="https://www.google.com/url?q=https://github.com/mostafa-saad/MyCompetitiveProgramming/blob/master/Olympiad/POI/POI-09-Code.txt&amp;sa=D&amp;ust=1605639815879000&amp;usg=AFQjCNFwVC5SuWrZoWrrxwFCcNkfQjsU9Q" TargetMode="External"/><Relationship Id="rId1171" Type="http://schemas.openxmlformats.org/officeDocument/2006/relationships/hyperlink" Target="https://www.google.com/url?q=https://oj.uz/problem/view/COI17_zagrade&amp;sa=D&amp;ust=1605639816218000&amp;usg=AFQjCNFMIjMudTCMfYyL3OKVCxS2W1Pbyg" TargetMode="External"/><Relationship Id="rId2015" Type="http://schemas.openxmlformats.org/officeDocument/2006/relationships/hyperlink" Target="https://www.google.com/url?q=https://dunjudge.me/analysis/problems/1228/&amp;sa=D&amp;ust=1605639816563000&amp;usg=AFQjCNFkY1Dk1AhG7Fey5TNLFc-AeCTRYg" TargetMode="External"/><Relationship Id="rId2222" Type="http://schemas.openxmlformats.org/officeDocument/2006/relationships/hyperlink" Target="https://www.google.com/url?q=https://szkopul.edu.pl/problemset/problem/Phel_x2Ny30OUh7z1RhCtzEG/site/&amp;sa=D&amp;ust=1605639816633000&amp;usg=AFQjCNERttRWTX3mUmGVzLludjUAU3FTmQ" TargetMode="External"/><Relationship Id="rId401" Type="http://schemas.openxmlformats.org/officeDocument/2006/relationships/hyperlink" Target="https://www.google.com/url?q=https://github.com/timpostuvan/CompetitiveProgramming/blob/master/Olympiad/COI/Policija2006.cpp&amp;sa=D&amp;ust=1605639815616000&amp;usg=AFQjCNFtdIsUqw_ez0vjJqMTWnmVvIeYgw" TargetMode="External"/><Relationship Id="rId1031" Type="http://schemas.openxmlformats.org/officeDocument/2006/relationships/hyperlink" Target="https://www.google.com/url?q=https://szkopul.edu.pl/problemset/problem/xfpVU8vFP2RzZ0hrqWq9kTZM/site/&amp;sa=D&amp;ust=1605639816173000&amp;usg=AFQjCNHlte1VmxC_v84grHtfNS-9HwU9kg" TargetMode="External"/><Relationship Id="rId1988" Type="http://schemas.openxmlformats.org/officeDocument/2006/relationships/hyperlink" Target="https://www.google.com/url?q=https://github.com/SpeedOfMagic/CompetitiveProgramming/blob/master/JOIOC/15-sterilizing.cpp&amp;sa=D&amp;ust=1605639816556000&amp;usg=AFQjCNFUTKiOdeKNUJCpLLmKolwi71IG4w" TargetMode="External"/><Relationship Id="rId1848" Type="http://schemas.openxmlformats.org/officeDocument/2006/relationships/hyperlink" Target="https://www.google.com/url?q=https://oj.uz/problem/view/IOI16_tetris&amp;sa=D&amp;ust=1605639816513000&amp;usg=AFQjCNHclOT3jGwH3JMiImLfbrMoQSXjMQ" TargetMode="External"/><Relationship Id="rId191" Type="http://schemas.openxmlformats.org/officeDocument/2006/relationships/hyperlink" Target="https://www.google.com/url?q=https://github.com/mostafa-saad/MyCompetitiveProgramming/blob/master/Olympiad/Baltic/official/boi2010_solutions&amp;sa=D&amp;ust=1605639815547000&amp;usg=AFQjCNGK6n1-7VcYEEm0FlG0ou9BiXnTQA" TargetMode="External"/><Relationship Id="rId1708" Type="http://schemas.openxmlformats.org/officeDocument/2006/relationships/hyperlink" Target="https://www.google.com/url?q=https://contest.yandex.ru/ioi/contest/560/enter/&amp;sa=D&amp;ust=1605639816461000&amp;usg=AFQjCNHce-dIvFbD1X2cq010gnf0cP7s3w" TargetMode="External"/><Relationship Id="rId1915" Type="http://schemas.openxmlformats.org/officeDocument/2006/relationships/hyperlink" Target="https://www.google.com/url?q=https://github.com/mostafa-saad/MyCompetitiveProgramming/blob/master/Olympiad/Baltic/Baltic-10-PCB.txt&amp;sa=D&amp;ust=1605639816534000&amp;usg=AFQjCNEb-S2KOz7CMPxRMo2lL_kzJ80qHw" TargetMode="External"/><Relationship Id="rId2689" Type="http://schemas.openxmlformats.org/officeDocument/2006/relationships/hyperlink" Target="https://www.google.com/url?q=https://www.hackerrank.com/contests/ioi-2014-practice-contest-2/challenges&amp;sa=D&amp;ust=1605639816762000&amp;usg=AFQjCNHBusPFDB0aBxCuqbgefplqRHehOg" TargetMode="External"/><Relationship Id="rId2896" Type="http://schemas.openxmlformats.org/officeDocument/2006/relationships/hyperlink" Target="https://www.google.com/url?q=https://oj.uz/problem/view/COCI19_akvizna&amp;sa=D&amp;ust=1605639816840000&amp;usg=AFQjCNEon5hCfRPQ_46SpCbABQpb5I0b5Q" TargetMode="External"/><Relationship Id="rId868" Type="http://schemas.openxmlformats.org/officeDocument/2006/relationships/hyperlink" Target="https://www.google.com/url?q=http://www.usaco.org/index.php?page%3Dviewproblem2%26cpid%3D972&amp;sa=D&amp;ust=1605639816023000&amp;usg=AFQjCNGaL1hSF5kCgxaHlXZtr1S--z9edQ" TargetMode="External"/><Relationship Id="rId1498" Type="http://schemas.openxmlformats.org/officeDocument/2006/relationships/hyperlink" Target="https://www.google.com/url?q=https://oj.uz/problem/view/BOI14_portals&amp;sa=D&amp;ust=1605639816397000&amp;usg=AFQjCNGFrLlc0qlSEB7ZGPGDl87geBUaFg" TargetMode="External"/><Relationship Id="rId2549" Type="http://schemas.openxmlformats.org/officeDocument/2006/relationships/hyperlink" Target="https://www.google.com/url?q=https://github.com/mostafa-saad/MyCompetitiveProgramming/blob/master/Olympiad/Baltic/official/boi2011_solutions&amp;sa=D&amp;ust=1605639816732000&amp;usg=AFQjCNE3t8M_SD8Dw0Fzz4EUFY5SeTN5og" TargetMode="External"/><Relationship Id="rId2756" Type="http://schemas.openxmlformats.org/officeDocument/2006/relationships/hyperlink" Target="https://www.google.com/url?q=https://dmoj.ca/problem/coci07c2p1&amp;sa=D&amp;ust=1605639816784000&amp;usg=AFQjCNFpVKDF5iDJNS5iWk-JjtSFHZEa_Q" TargetMode="External"/><Relationship Id="rId2963" Type="http://schemas.openxmlformats.org/officeDocument/2006/relationships/hyperlink" Target="https://www.google.com/url?q=https://szkopul.edu.pl/problemset/problem/cSnlafnvkbirhnQrS9CQ9MEw/site/&amp;sa=D&amp;ust=1605639816885000&amp;usg=AFQjCNEVTkvIabYyaxnVhoI3m71Gp0TgQQ" TargetMode="External"/><Relationship Id="rId728" Type="http://schemas.openxmlformats.org/officeDocument/2006/relationships/hyperlink" Target="https://www.google.com/url?q=https://dunjudge.me/analysis/problems/734/&amp;sa=D&amp;ust=1605639815973000&amp;usg=AFQjCNGnoCTgzDQ6jh_lHvUuBRZdLjrciQ" TargetMode="External"/><Relationship Id="rId935" Type="http://schemas.openxmlformats.org/officeDocument/2006/relationships/hyperlink" Target="https://www.google.com/url?q=https://github.com/mostafa-saad/MyCompetitiveProgramming/blob/master/Olympiad/IOI/official/2015&amp;sa=D&amp;ust=1605639816094000&amp;usg=AFQjCNFZc0tHGiCDeu38ajc_fgy8BHn_-A" TargetMode="External"/><Relationship Id="rId1358" Type="http://schemas.openxmlformats.org/officeDocument/2006/relationships/hyperlink" Target="https://www.google.com/url?q=https://dmoj.ca/problem/coci06c1p6&amp;sa=D&amp;ust=1605639816332000&amp;usg=AFQjCNFiTW6vr0IhjtNUMk8iJ6_-I0xwyQ" TargetMode="External"/><Relationship Id="rId1565" Type="http://schemas.openxmlformats.org/officeDocument/2006/relationships/hyperlink" Target="https://www.google.com/url?q=https://wcipeg.com/problem/coi07p3&amp;sa=D&amp;ust=1605639816421000&amp;usg=AFQjCNFyippslAxUABbdZTNfpbrq_zPd8A" TargetMode="External"/><Relationship Id="rId1772" Type="http://schemas.openxmlformats.org/officeDocument/2006/relationships/hyperlink" Target="https://www.google.com/url?q=https://www.acmicpc.net/problem/1752&amp;sa=D&amp;ust=1605639816486000&amp;usg=AFQjCNFQYzEfcbRNBmCSHDogRF2oWjSL1A" TargetMode="External"/><Relationship Id="rId2409" Type="http://schemas.openxmlformats.org/officeDocument/2006/relationships/hyperlink" Target="https://www.google.com/url?q=https://github.com/mostafa-saad/MyCompetitiveProgramming/blob/master/Olympiad/NOI/official&amp;sa=D&amp;ust=1605639816686000&amp;usg=AFQjCNH-zvs_mKNWR_7T_5EAgdq03zPgmw" TargetMode="External"/><Relationship Id="rId2616" Type="http://schemas.openxmlformats.org/officeDocument/2006/relationships/hyperlink" Target="https://www.google.com/url?q=https://github.com/mostafa-saad/MyCompetitiveProgramming/blob/master/Olympiad/COCI/official/2009/contest5_solutions&amp;sa=D&amp;ust=1605639816746000&amp;usg=AFQjCNH72TPz1VxeGAu7uZyYH9lQYsuu6A" TargetMode="External"/><Relationship Id="rId64" Type="http://schemas.openxmlformats.org/officeDocument/2006/relationships/hyperlink" Target="https://www.google.com/url?q=https://oj.uz/problems/source/197&amp;sa=D&amp;ust=1605639815510000&amp;usg=AFQjCNF6JvGE6zOzUBZ3iq3wd5uuK3iUkg" TargetMode="External"/><Relationship Id="rId1218" Type="http://schemas.openxmlformats.org/officeDocument/2006/relationships/hyperlink" Target="https://www.google.com/url?q=https://contest.yandex.ru/roiarchive/contest/2170/problems/8&amp;sa=D&amp;ust=1605639816280000&amp;usg=AFQjCNFv8-sG0PXKh-H1X3tZk1Q46Hf28w" TargetMode="External"/><Relationship Id="rId1425" Type="http://schemas.openxmlformats.org/officeDocument/2006/relationships/hyperlink" Target="https://www.google.com/url?q=https://github.com/mostafa-saad/MyCompetitiveProgramming/blob/master/Olympiad/MCO/MCO-16-town_planning.txt&amp;sa=D&amp;ust=1605639816369000&amp;usg=AFQjCNGph9GMMq8UYP6vSI5A8NY9FVhIoA" TargetMode="External"/><Relationship Id="rId2823" Type="http://schemas.openxmlformats.org/officeDocument/2006/relationships/hyperlink" Target="https://www.google.com/url?q=https://github.com/mostafa-saad/MyCompetitiveProgramming/tree/master/Olympiad/COCI/official/2007/contest3_solutions&amp;sa=D&amp;ust=1605639816808000&amp;usg=AFQjCNEKrnGxJMsn-7a8cc2MmJxDyS4lTQ" TargetMode="External"/><Relationship Id="rId1632" Type="http://schemas.openxmlformats.org/officeDocument/2006/relationships/hyperlink" Target="https://www.google.com/url?q=https://github.com/mostafa-saad/MyCompetitiveProgramming/blob/master/Olympiad/NOI/NOI-17-very_best_pokemon.txt&amp;sa=D&amp;ust=1605639816441000&amp;usg=AFQjCNHkv7qxQUkIZ3KJB6nBmsKrO6NftA" TargetMode="External"/><Relationship Id="rId2199" Type="http://schemas.openxmlformats.org/officeDocument/2006/relationships/hyperlink" Target="https://www.google.com/url?q=https://szkopul.edu.pl/problemset/problem/TPo3Eb_q2NKymvHo6kNvd5yx/site/&amp;sa=D&amp;ust=1605639816627000&amp;usg=AFQjCNHAUV3rnBrCPJqpfAwJKnjre-xclA" TargetMode="External"/><Relationship Id="rId378" Type="http://schemas.openxmlformats.org/officeDocument/2006/relationships/hyperlink" Target="https://www.google.com/url?q=https://github.com/mostafa-saad/MyCompetitiveProgramming/blob/master/Olympiad/COCI/COCI-09-Gremlini.txt&amp;sa=D&amp;ust=1605639815608000&amp;usg=AFQjCNFvevO0pJTuMl81hnEu8oMLfp_r6Q" TargetMode="External"/><Relationship Id="rId585" Type="http://schemas.openxmlformats.org/officeDocument/2006/relationships/hyperlink" Target="https://www.google.com/url?q=https://github.com/SpeedOfMagic/CompetitiveProgramming/blob/master/RusOI-reg/13-capitals.cpp&amp;sa=D&amp;ust=1605639815894000&amp;usg=AFQjCNEzn1s62AwS94Dvz--wZglC-654Lg" TargetMode="External"/><Relationship Id="rId792" Type="http://schemas.openxmlformats.org/officeDocument/2006/relationships/hyperlink" Target="https://www.google.com/url?q=https://github.com/arvindr9/CompetitiveProgramming/blob/master/CSAcademy/IOI%2520Training%2520Rounds/IOIPractice%252016-balanced-string.cpp&amp;sa=D&amp;ust=1605639815996000&amp;usg=AFQjCNE1tmRy1Z9JJ3fH0tFA6i660Pxa3w" TargetMode="External"/><Relationship Id="rId2059" Type="http://schemas.openxmlformats.org/officeDocument/2006/relationships/hyperlink" Target="https://www.google.com/url?q=https://github.com/mostafa-saad/MyCompetitiveProgramming/blob/master/Olympiad/POI/official/find_editorial_sols_guidelines.txt&amp;sa=D&amp;ust=1605639816580000&amp;usg=AFQjCNFD8KhMQ759AFX_CIsAk2aKUxO1sA" TargetMode="External"/><Relationship Id="rId2266" Type="http://schemas.openxmlformats.org/officeDocument/2006/relationships/hyperlink" Target="https://www.google.com/url?q=https://www.acmicpc.net/problem/7053&amp;sa=D&amp;ust=1605639816643000&amp;usg=AFQjCNGwoWYOblFrsP8wBGPnocu74VrgWw" TargetMode="External"/><Relationship Id="rId2473" Type="http://schemas.openxmlformats.org/officeDocument/2006/relationships/hyperlink" Target="https://www.google.com/url?q=https://github.com/stefdasca/CompetitiveProgramming/blob/master/Infoarena/pm2.cpp&amp;sa=D&amp;ust=1605639816710000&amp;usg=AFQjCNGb5V2PoHu2kvbBcgcTO5KJ3JxNJw" TargetMode="External"/><Relationship Id="rId2680" Type="http://schemas.openxmlformats.org/officeDocument/2006/relationships/hyperlink" Target="https://www.google.com/url?q=https://github.com/mostafa-saad/MyCompetitiveProgramming/blob/master/Olympiad/COCI/official/2015/contest4_solutions&amp;sa=D&amp;ust=1605639816760000&amp;usg=AFQjCNGLlF6C9oVneW6rp0rwE0mS-KZoFg" TargetMode="External"/><Relationship Id="rId238" Type="http://schemas.openxmlformats.org/officeDocument/2006/relationships/hyperlink" Target="https://www.google.com/url?q=https://wcipeg.com/problem/coi09p3&amp;sa=D&amp;ust=1605639815559000&amp;usg=AFQjCNEFoMLSOck5pS_Z7TTF3o0DPjJKoQ" TargetMode="External"/><Relationship Id="rId445" Type="http://schemas.openxmlformats.org/officeDocument/2006/relationships/hyperlink" Target="https://www.google.com/url?q=https://github.com/stefdasca/CompetitiveProgramming/blob/master/Infoarena/zuma.cpp&amp;sa=D&amp;ust=1605639815634000&amp;usg=AFQjCNFexJOjJuw_LYcuD8UPCzD92PC33g" TargetMode="External"/><Relationship Id="rId652" Type="http://schemas.openxmlformats.org/officeDocument/2006/relationships/hyperlink" Target="https://www.google.com/url?q=https://szkopul.edu.pl/problemset/problem/5UgslCU-C5vsermqgJGm_C5A/site/&amp;sa=D&amp;ust=1605639815918000&amp;usg=AFQjCNHn0ZGHHxleOdp0yLUVf06o87hRTA" TargetMode="External"/><Relationship Id="rId1075" Type="http://schemas.openxmlformats.org/officeDocument/2006/relationships/hyperlink" Target="https://www.google.com/url?q=https://oj.uz/problem/view/POI11_pio&amp;sa=D&amp;ust=1605639816188000&amp;usg=AFQjCNHefDATFzDL1K9w5eAxC6II9v4D0g" TargetMode="External"/><Relationship Id="rId1282" Type="http://schemas.openxmlformats.org/officeDocument/2006/relationships/hyperlink" Target="https://www.google.com/url?q=https://github.com/mostafa-saad/MyCompetitiveProgramming/blob/master/Olympiad/MCO/MCO-16-acorn.txt&amp;sa=D&amp;ust=1605639816304000&amp;usg=AFQjCNGAiVHFKb_mNYF4OG_uAOj8sAB7sw" TargetMode="External"/><Relationship Id="rId2126" Type="http://schemas.openxmlformats.org/officeDocument/2006/relationships/hyperlink" Target="https://www.google.com/url?q=https://github.com/mostafa-saad/MyCompetitiveProgramming/blob/master/Olympiad/Baltic/official/boi2008_solutions&amp;sa=D&amp;ust=1605639816603000&amp;usg=AFQjCNH4MA1oMjOUGuGEtKWuctnVzpFCnQ" TargetMode="External"/><Relationship Id="rId2333" Type="http://schemas.openxmlformats.org/officeDocument/2006/relationships/hyperlink" Target="https://www.google.com/url?q=https://dunjudge.me/analysis/problems/552/&amp;sa=D&amp;ust=1605639816660000&amp;usg=AFQjCNFPkFBs8FBy3f9QnI42r6tGQSB5dA" TargetMode="External"/><Relationship Id="rId2540" Type="http://schemas.openxmlformats.org/officeDocument/2006/relationships/hyperlink" Target="https://www.google.com/url?q=https://github.com/stefdasca/CompetitiveProgramming/blob/master/Info1Cup/National%2520Round/Mean%2520(RO).pdf&amp;sa=D&amp;ust=1605639816731000&amp;usg=AFQjCNGD53vKrymwyLZSxsYeomDsUHMlPg" TargetMode="External"/><Relationship Id="rId305" Type="http://schemas.openxmlformats.org/officeDocument/2006/relationships/hyperlink" Target="https://www.google.com/url?q=https://codeforces.com/gym/102436?locale%3Den&amp;sa=D&amp;ust=1605639815581000&amp;usg=AFQjCNFo0r40i2FTBjwResXYVkC7RInV2A" TargetMode="External"/><Relationship Id="rId512" Type="http://schemas.openxmlformats.org/officeDocument/2006/relationships/hyperlink" Target="https://www.google.com/url?q=https://github.com/mostafa-saad/MyCompetitiveProgramming/blob/master/Olympiad/JOI/JOI-13-BubbleSort.txt&amp;sa=D&amp;ust=1605639815685000&amp;usg=AFQjCNGDBPCPIT6NZVusEKmc6CHgyp9B1Q" TargetMode="External"/><Relationship Id="rId1142" Type="http://schemas.openxmlformats.org/officeDocument/2006/relationships/hyperlink" Target="https://www.google.com/url?q=https://oj.uz/problem/view/IOI11_crocodile&amp;sa=D&amp;ust=1605639816210000&amp;usg=AFQjCNEMfYTLBoair1ai6PFpD-Q-xOAujg" TargetMode="External"/><Relationship Id="rId2400" Type="http://schemas.openxmlformats.org/officeDocument/2006/relationships/hyperlink" Target="https://www.google.com/url?q=https://oj.uz/problem/view/IOI07_miners&amp;sa=D&amp;ust=1605639816683000&amp;usg=AFQjCNHjk0X8ICSyh_TEpEwxiZQy1GyK2Q" TargetMode="External"/><Relationship Id="rId1002" Type="http://schemas.openxmlformats.org/officeDocument/2006/relationships/hyperlink" Target="https://www.google.com/url?q=https://github.com/mostafa-saad/MyCompetitiveProgramming/blob/master/Olympiad/IOI/IOI-09-regions.txt&amp;sa=D&amp;ust=1605639816115000&amp;usg=AFQjCNF7xwB9bYj2IOSsN2l7b_8ftFiClw" TargetMode="External"/><Relationship Id="rId1959" Type="http://schemas.openxmlformats.org/officeDocument/2006/relationships/hyperlink" Target="https://www.google.com/url?q=https://github.com/win11905/submission/blob/61c76f8b073e5e5446e7688626c487a4dcbfcd9e/Dmoj/utso15p5.cpp&amp;sa=D&amp;ust=1605639816547000&amp;usg=AFQjCNEwCsLgMGxk7YuDgTsXPIdv2_Nd4A" TargetMode="External"/><Relationship Id="rId1819" Type="http://schemas.openxmlformats.org/officeDocument/2006/relationships/hyperlink" Target="https://www.google.com/url?q=https://github.com/mostafa-saad/MyCompetitiveProgramming/blob/master/Olympiad/IOI/IOI-05-game.txt&amp;sa=D&amp;ust=1605639816504000&amp;usg=AFQjCNFXL6ObnNqPY1Az2lAmVJg1oSbyKQ" TargetMode="External"/><Relationship Id="rId2190" Type="http://schemas.openxmlformats.org/officeDocument/2006/relationships/hyperlink" Target="https://www.google.com/url?q=https://github.com/cacophonix/SPOJ/blob/master/MOBILE2.cpp&amp;sa=D&amp;ust=1605639816625000&amp;usg=AFQjCNEJUVTd8X4e1DS0DhWgbNyv5PT0QQ" TargetMode="External"/><Relationship Id="rId162" Type="http://schemas.openxmlformats.org/officeDocument/2006/relationships/hyperlink" Target="https://www.google.com/url?q=https://oj.uz/problem/view/COCI17_dojave&amp;sa=D&amp;ust=1605639815539000&amp;usg=AFQjCNEezgr4VN7JW8SHHuXc_RLbmkJqXQ" TargetMode="External"/><Relationship Id="rId2050" Type="http://schemas.openxmlformats.org/officeDocument/2006/relationships/hyperlink" Target="https://www.google.com/url?q=https://dmoj.ca/problem/coci06c5p5&amp;sa=D&amp;ust=1605639816577000&amp;usg=AFQjCNFhhfKQD_tSZWQyMpexbDvXERjJ0Q" TargetMode="External"/><Relationship Id="rId979" Type="http://schemas.openxmlformats.org/officeDocument/2006/relationships/hyperlink" Target="https://www.google.com/url?q=https://csacademy.com/contest/ioi-2016-training-round-2/task/increasing_subarrays/&amp;sa=D&amp;ust=1605639816108000&amp;usg=AFQjCNG1jwWZKvtTUmtPo9YcXfdHgp2oWQ" TargetMode="External"/><Relationship Id="rId839" Type="http://schemas.openxmlformats.org/officeDocument/2006/relationships/hyperlink" Target="https://www.google.com/url?q=https://oj.uz/problems/source/245&amp;sa=D&amp;ust=1605639816012000&amp;usg=AFQjCNHX07LLp2ym89AWjyVneOX2IcU3qw" TargetMode="External"/><Relationship Id="rId1469" Type="http://schemas.openxmlformats.org/officeDocument/2006/relationships/hyperlink" Target="https://www.google.com/url?q=https://szkopul.edu.pl/problemset/problem/uE3dNVOWuXj4SSOrCrNoFSgF/site/&amp;sa=D&amp;ust=1605639816388000&amp;usg=AFQjCNGXWEPvBVqZZT4WgUzktwFDiCd4Gg" TargetMode="External"/><Relationship Id="rId2867" Type="http://schemas.openxmlformats.org/officeDocument/2006/relationships/hyperlink" Target="https://www.google.com/url?q=https://dunjudge.me/analysis/problems/1461/&amp;sa=D&amp;ust=1605639816822000&amp;usg=AFQjCNFcTCpzJCzirFUrZ0sQuVCs0YYbFA" TargetMode="External"/><Relationship Id="rId1676" Type="http://schemas.openxmlformats.org/officeDocument/2006/relationships/hyperlink" Target="https://www.google.com/url?q=https://cses.fi/114/list/&amp;sa=D&amp;ust=1605639816452000&amp;usg=AFQjCNGfH9Op8B8hiKNXGmb-8GukiabjgQ" TargetMode="External"/><Relationship Id="rId1883" Type="http://schemas.openxmlformats.org/officeDocument/2006/relationships/hyperlink" Target="https://www.google.com/url?q=https://github.com/mostafa-saad/MyCompetitiveProgramming/blob/master/Olympiad/COCI/COCI-08-BST.txt&amp;sa=D&amp;ust=1605639816525000&amp;usg=AFQjCNHFyxwOynHBxwcnAZ3AP8MLhFVQGQ" TargetMode="External"/><Relationship Id="rId2727" Type="http://schemas.openxmlformats.org/officeDocument/2006/relationships/hyperlink" Target="https://www.google.com/url?q=https://github.com/mostafa-saad/MyCompetitiveProgramming/blob/master/Olympiad/COCI/official/2009/contest3_solutions&amp;sa=D&amp;ust=1605639816776000&amp;usg=AFQjCNGw-hb6UYV2NG4ikYz2SNqoD7zR2w" TargetMode="External"/><Relationship Id="rId2934" Type="http://schemas.openxmlformats.org/officeDocument/2006/relationships/hyperlink" Target="https://www.google.com/url?q=https://dunjudge.me/analysis/problems/1499/&amp;sa=D&amp;ust=1605639816871000&amp;usg=AFQjCNEXmX0-a3BZCYkqT3cjeKX5r-n99g" TargetMode="External"/><Relationship Id="rId906" Type="http://schemas.openxmlformats.org/officeDocument/2006/relationships/hyperlink" Target="https://www.google.com/url?q=https://github.com/mostafa-saad/MyCompetitiveProgramming/blob/master/Olympiad/Balkan/official/2018/&amp;sa=D&amp;ust=1605639816086000&amp;usg=AFQjCNHJN-o51_FXojs5kuXiTDOBCD75Aw" TargetMode="External"/><Relationship Id="rId1329" Type="http://schemas.openxmlformats.org/officeDocument/2006/relationships/hyperlink" Target="https://www.google.com/url?q=https://szkopul.edu.pl/problemset/problem/pWnFB3uRHH0y29PwkMBS2T0Z/site/&amp;sa=D&amp;ust=1605639816321000&amp;usg=AFQjCNFgCEL9JXc0lypYcIE-WlHnWHYXEA" TargetMode="External"/><Relationship Id="rId1536" Type="http://schemas.openxmlformats.org/officeDocument/2006/relationships/hyperlink" Target="https://www.google.com/url?q=https://szkopul.edu.pl/problemset/problem/Fej8rGpqWzXEi_qjK2Cmfe4Y/site/&amp;sa=D&amp;ust=1605639816412000&amp;usg=AFQjCNG6LhJ6sL_n6YZVkf0y8gapVB6iMA" TargetMode="External"/><Relationship Id="rId1743" Type="http://schemas.openxmlformats.org/officeDocument/2006/relationships/hyperlink" Target="https://www.google.com/url?q=https://oj.uz/problem/view/BOI14_network&amp;sa=D&amp;ust=1605639816474000&amp;usg=AFQjCNEhZ0jutCMPSzG99J6-WPKX_fLJ0Q" TargetMode="External"/><Relationship Id="rId1950" Type="http://schemas.openxmlformats.org/officeDocument/2006/relationships/hyperlink" Target="https://www.google.com/url?q=https://github.com/win11905/submission/blob/61c76f8b073e5e5446e7688626c487a4dcbfcd9e/CCO/14/RoadConstruction.cpp&amp;sa=D&amp;ust=1605639816544000&amp;usg=AFQjCNFPSSZ_ON5z3mzMppw8vIuBBjNyIw" TargetMode="External"/><Relationship Id="rId35" Type="http://schemas.openxmlformats.org/officeDocument/2006/relationships/hyperlink" Target="https://www.google.com/url?q=https://github.com/mostafa-saad/MyCompetitiveProgramming/blob/master/Olympiad/POI/official/find_editorial_sols_guidelines.txt&amp;sa=D&amp;ust=1605639815497000&amp;usg=AFQjCNGWF9-jEy3rb2q84DiYP9B8ByhP7w" TargetMode="External"/><Relationship Id="rId1603" Type="http://schemas.openxmlformats.org/officeDocument/2006/relationships/hyperlink" Target="https://www.google.com/url?q=https://csacademy.com/contest/junior-challenge-2017-day-2/task/ultimateorbs&amp;sa=D&amp;ust=1605639816433000&amp;usg=AFQjCNF_MIVsXn1AnblXvMuFy9e7wFE3Kw" TargetMode="External"/><Relationship Id="rId1810" Type="http://schemas.openxmlformats.org/officeDocument/2006/relationships/hyperlink" Target="https://www.google.com/url?q=http://www.spoj.com/problems/MCAMP/&amp;sa=D&amp;ust=1605639816500000&amp;usg=AFQjCNFTxRp6hNFzCNFgRddEKNUbfInhdQ" TargetMode="External"/><Relationship Id="rId489" Type="http://schemas.openxmlformats.org/officeDocument/2006/relationships/hyperlink" Target="https://www.google.com/url?q=https://github.com/mostafa-saad/MyCompetitiveProgramming/blob/master/Olympiad/COCI/official/2010/contest6_solutions&amp;sa=D&amp;ust=1605639815677000&amp;usg=AFQjCNHwV5doqhvJn-BXB2QVRv0ND62mpg" TargetMode="External"/><Relationship Id="rId696" Type="http://schemas.openxmlformats.org/officeDocument/2006/relationships/hyperlink" Target="https://www.google.com/url?q=https://cses.fi/109/list/&amp;sa=D&amp;ust=1605639815933000&amp;usg=AFQjCNFMvLykt-8JmH5P-BGhcTbRVdh5VQ" TargetMode="External"/><Relationship Id="rId2377" Type="http://schemas.openxmlformats.org/officeDocument/2006/relationships/hyperlink" Target="https://www.google.com/url?q=https://github.com/mostafa-saad/MyCompetitiveProgramming/tree/master/Olympiad/COCI/official/2008/contest5_solutions&amp;sa=D&amp;ust=1605639816674000&amp;usg=AFQjCNHt110oJF9SOno1GFEJgvzlyzMC1Q" TargetMode="External"/><Relationship Id="rId2584" Type="http://schemas.openxmlformats.org/officeDocument/2006/relationships/hyperlink" Target="https://www.google.com/url?q=https://oj.uz/problem/view/COCI16_jetpack&amp;sa=D&amp;ust=1605639816740000&amp;usg=AFQjCNEWABsEBD2iWGnd-lMfKmXkYa0nrw" TargetMode="External"/><Relationship Id="rId2791" Type="http://schemas.openxmlformats.org/officeDocument/2006/relationships/hyperlink" Target="https://www.google.com/url?q=https://github.com/mostafa-saad/MyCompetitiveProgramming/blob/master/Olympiad/COCI/official/2009/contest2_solutions&amp;sa=D&amp;ust=1605639816800000&amp;usg=AFQjCNGpKQUpA48Z2XkBoaXSVyh7p3XuPg" TargetMode="External"/><Relationship Id="rId349" Type="http://schemas.openxmlformats.org/officeDocument/2006/relationships/hyperlink" Target="https://www.google.com/url?q=https://oj.uz/problems/source/213&amp;sa=D&amp;ust=1605639815597000&amp;usg=AFQjCNGbAaMkzG5Q00c9bHMnHG7kIDtR1A" TargetMode="External"/><Relationship Id="rId556" Type="http://schemas.openxmlformats.org/officeDocument/2006/relationships/hyperlink" Target="https://www.google.com/url?q=https://dmoj.ca/problem/coci08c4p6&amp;sa=D&amp;ust=1605639815885000&amp;usg=AFQjCNHJW8XNElcM9NHnzoqkY77JU-7vlA" TargetMode="External"/><Relationship Id="rId763" Type="http://schemas.openxmlformats.org/officeDocument/2006/relationships/hyperlink" Target="https://www.google.com/url?q=https://oj.uz/problem/view/COCI19_simfonija&amp;sa=D&amp;ust=1605639815985000&amp;usg=AFQjCNG_CclrVWWukiH3VPLxwwi54a0EWQ" TargetMode="External"/><Relationship Id="rId1186" Type="http://schemas.openxmlformats.org/officeDocument/2006/relationships/hyperlink" Target="https://www.google.com/url?q=https://github.com/mostafa-saad/MyCompetitiveProgramming/tree/master/Olympiad/COI/official/2015&amp;sa=D&amp;ust=1605639816221000&amp;usg=AFQjCNHXjvngiSiE8gMLYMNziwRg3TvCnA" TargetMode="External"/><Relationship Id="rId1393" Type="http://schemas.openxmlformats.org/officeDocument/2006/relationships/hyperlink" Target="https://www.google.com/url?q=https://github.com/stefdasca/CompetitiveProgramming/blob/master/Infoarena/matrice.cpp&amp;sa=D&amp;ust=1605639816344000&amp;usg=AFQjCNG3XcUIxFQtt0iF6J_WWPB1umF74g" TargetMode="External"/><Relationship Id="rId2237" Type="http://schemas.openxmlformats.org/officeDocument/2006/relationships/hyperlink" Target="https://www.google.com/url?q=https://oj.uz/problem/view/NOI12_forensic&amp;sa=D&amp;ust=1605639816636000&amp;usg=AFQjCNF4odscYWoIGWBPfaHz7MlbVxm2mg" TargetMode="External"/><Relationship Id="rId2444" Type="http://schemas.openxmlformats.org/officeDocument/2006/relationships/hyperlink" Target="https://www.google.com/url?q=https://github.com/mostafa-saad/MyCompetitiveProgramming/blob/master/Olympiad/POI/official/find_editorial_sols_guidelines.txt&amp;sa=D&amp;ust=1605639816700000&amp;usg=AFQjCNHrMzIZc8FtLgeuFxxFhKEu9xmvKg" TargetMode="External"/><Relationship Id="rId209" Type="http://schemas.openxmlformats.org/officeDocument/2006/relationships/hyperlink" Target="https://www.google.com/url?q=https://github.com/mostafa-saad/MyCompetitiveProgramming/blob/master/Olympiad/POI/POI-12-Prefixuffix.txt&amp;sa=D&amp;ust=1605639815551000&amp;usg=AFQjCNHQTsKKWwQFJI9wvshklNDfpx4L0g" TargetMode="External"/><Relationship Id="rId416" Type="http://schemas.openxmlformats.org/officeDocument/2006/relationships/hyperlink" Target="https://www.google.com/url?q=https://github.com/mostafa-saad/MyCompetitiveProgramming/blob/master/Olympiad/IOI/official/2006/ioi06_blackbox_sol.pdf&amp;sa=D&amp;ust=1605639815624000&amp;usg=AFQjCNHUqnfPdvrer78v1ik3s7ECJ5Jq-g" TargetMode="External"/><Relationship Id="rId970" Type="http://schemas.openxmlformats.org/officeDocument/2006/relationships/hyperlink" Target="https://www.google.com/url?q=https://oj.uz/problems/source/55&amp;sa=D&amp;ust=1605639816105000&amp;usg=AFQjCNH9YfujbXy9AdTYAN26Er3xVWdyrg" TargetMode="External"/><Relationship Id="rId1046" Type="http://schemas.openxmlformats.org/officeDocument/2006/relationships/hyperlink" Target="https://www.google.com/url?q=https://github.com/mostafa-saad/MyCompetitiveProgramming/blob/master/Olympiad/Baltic/Baltic-19-valley.txt&amp;sa=D&amp;ust=1605639816177000&amp;usg=AFQjCNFa1aV1M2fKL4NRnUV9It5LPf6qTA" TargetMode="External"/><Relationship Id="rId1253" Type="http://schemas.openxmlformats.org/officeDocument/2006/relationships/hyperlink" Target="https://www.google.com/url?q=https://oj.uz/problem/view/COCI16_vjestica&amp;sa=D&amp;ust=1605639816296000&amp;usg=AFQjCNHwKA8MG7NzlF2CzgH3T5Dzb9tAYA" TargetMode="External"/><Relationship Id="rId2651" Type="http://schemas.openxmlformats.org/officeDocument/2006/relationships/hyperlink" Target="https://www.google.com/url?q=https://dmoj.ca/problem/crci07p1&amp;sa=D&amp;ust=1605639816754000&amp;usg=AFQjCNFCyeyHpGPdCEUFs2MgdRdDSPbLqA" TargetMode="External"/><Relationship Id="rId623" Type="http://schemas.openxmlformats.org/officeDocument/2006/relationships/hyperlink" Target="https://www.google.com/url?q=https://github.com/mostafa-saad/MyCompetitiveProgramming/blob/master/Olympiad/COCI/COCI-09-Aladin.txt&amp;sa=D&amp;ust=1605639815909000&amp;usg=AFQjCNHHc-_M-rYiLQaaTQediP02_rqJCQ" TargetMode="External"/><Relationship Id="rId830" Type="http://schemas.openxmlformats.org/officeDocument/2006/relationships/hyperlink" Target="https://www.google.com/url?q=https://github.com/dolphingarlic/CompetitiveProgramming/blob/master/COI/COCI%252020-putovanje.cpp&amp;sa=D&amp;ust=1605639816010000&amp;usg=AFQjCNFzdbtmvuy900idU1YY7QIjV1ffAA" TargetMode="External"/><Relationship Id="rId1460" Type="http://schemas.openxmlformats.org/officeDocument/2006/relationships/hyperlink" Target="https://www.google.com/url?q=https://joisc2015.contest.atcoder.jp/tasks/joisc2015_c&amp;sa=D&amp;ust=1605639816383000&amp;usg=AFQjCNGIH5H6cb2Z7pECu7ebXukFComIUA" TargetMode="External"/><Relationship Id="rId2304" Type="http://schemas.openxmlformats.org/officeDocument/2006/relationships/hyperlink" Target="https://www.google.com/url?q=https://www.infoarena.ro/problema/nrsec&amp;sa=D&amp;ust=1605639816652000&amp;usg=AFQjCNHU4xkp-vDSrA5KjHK-FqyN510KNQ" TargetMode="External"/><Relationship Id="rId2511" Type="http://schemas.openxmlformats.org/officeDocument/2006/relationships/hyperlink" Target="https://www.google.com/url?q=https://cses.fi/111/list/&amp;sa=D&amp;ust=1605639816723000&amp;usg=AFQjCNHYT8XOIbxflajb7UvipX2clshdog" TargetMode="External"/><Relationship Id="rId1113" Type="http://schemas.openxmlformats.org/officeDocument/2006/relationships/hyperlink" Target="https://www.google.com/url?q=https://codeforces.com/contest/1192/problem/C&amp;sa=D&amp;ust=1605639816201000&amp;usg=AFQjCNGmpHqCyzLZ13WaRgZ4UkJlqEFlQA" TargetMode="External"/><Relationship Id="rId1320" Type="http://schemas.openxmlformats.org/officeDocument/2006/relationships/hyperlink" Target="https://www.google.com/url?q=https://github.com/mostafa-saad/MyCompetitiveProgramming/blob/master/Olympiad/APIO/APIO-12-Dispatching.txt&amp;sa=D&amp;ust=1605639816319000&amp;usg=AFQjCNE8rfVBmpxq0hlO0qvYTysjUVgfFw" TargetMode="External"/><Relationship Id="rId2094" Type="http://schemas.openxmlformats.org/officeDocument/2006/relationships/hyperlink" Target="https://www.google.com/url?q=https://dmoj.ca/problem/dmopc18c4p4&amp;sa=D&amp;ust=1605639816593000&amp;usg=AFQjCNGfswiLLoI8w5lvE-Xsgg2DqAaYGw" TargetMode="External"/><Relationship Id="rId273" Type="http://schemas.openxmlformats.org/officeDocument/2006/relationships/hyperlink" Target="https://www.google.com/url?q=https://github.com/mostafa-saad/MyCompetitiveProgramming/blob/master/Olympiad/POI/official/find_editorial_sols_guidelines.txt&amp;sa=D&amp;ust=1605639815570000&amp;usg=AFQjCNF1dluWrmGIfX5pQzp9bEBLcAjiDQ" TargetMode="External"/><Relationship Id="rId480" Type="http://schemas.openxmlformats.org/officeDocument/2006/relationships/hyperlink" Target="https://www.google.com/url?q=https://github.com/mostafa-saad/MyCompetitiveProgramming/blob/master/Olympiad/JOI/official/JOISC/2017/2017.txt&amp;sa=D&amp;ust=1605639815675000&amp;usg=AFQjCNGOyBNbpzeltRLvEMnwya-zsG3HfA" TargetMode="External"/><Relationship Id="rId2161" Type="http://schemas.openxmlformats.org/officeDocument/2006/relationships/hyperlink" Target="https://www.google.com/url?q=https://wcipeg.com/problem/coci095p3&amp;sa=D&amp;ust=1605639816615000&amp;usg=AFQjCNEyJzi3gsI2fVV971ohGTQ9RMOnoA" TargetMode="External"/><Relationship Id="rId3005" Type="http://schemas.openxmlformats.org/officeDocument/2006/relationships/hyperlink" Target="https://www.google.com/url?q=https://dunjudge.me/analysis/problems/1462/&amp;sa=D&amp;ust=1605639816905000&amp;usg=AFQjCNHwhuFsAfyGOYy35WXsy7LYRfazIQ" TargetMode="External"/><Relationship Id="rId133" Type="http://schemas.openxmlformats.org/officeDocument/2006/relationships/hyperlink" Target="https://www.google.com/url?q=https://oj.uz/problem/view/JOI19_virus&amp;sa=D&amp;ust=1605639815531000&amp;usg=AFQjCNEHhZixZ2WOFO7O2-SOnNaMqPvmEA" TargetMode="External"/><Relationship Id="rId340" Type="http://schemas.openxmlformats.org/officeDocument/2006/relationships/hyperlink" Target="https://www.google.com/url?q=https://github.com/mostafa-saad/MyCompetitiveProgramming/blob/master/Olympiad/POI/POI-05-Parties.txt&amp;sa=D&amp;ust=1605639815595000&amp;usg=AFQjCNGDZc8ZlpQqIcZDuhv0WLtvu5gkDg" TargetMode="External"/><Relationship Id="rId2021" Type="http://schemas.openxmlformats.org/officeDocument/2006/relationships/hyperlink" Target="https://www.google.com/url?q=https://contest.yandex.ru/contest/8699/problems/A&amp;sa=D&amp;ust=1605639816566000&amp;usg=AFQjCNF9JXZmdvBeREUsn5SgRLgdF-OeqA" TargetMode="External"/><Relationship Id="rId200" Type="http://schemas.openxmlformats.org/officeDocument/2006/relationships/hyperlink" Target="https://www.google.com/url?q=https://cses.fi/105/list/&amp;sa=D&amp;ust=1605639815549000&amp;usg=AFQjCNETqC_8Mp12pwckBY1dmwYTrI5fvA" TargetMode="External"/><Relationship Id="rId2978" Type="http://schemas.openxmlformats.org/officeDocument/2006/relationships/hyperlink" Target="https://www.google.com/url?q=https://szkopul.edu.pl/problemset/problem/NZSCUwz2ACePsBKuVCIVzrRt/site/&amp;sa=D&amp;ust=1605639816893000&amp;usg=AFQjCNFi8xbXXv6xpKS2wF9wbtGNW-WQ7Q" TargetMode="External"/><Relationship Id="rId1787" Type="http://schemas.openxmlformats.org/officeDocument/2006/relationships/hyperlink" Target="https://www.google.com/url?q=https://www.infoarena.ro/problema/zmeu&amp;sa=D&amp;ust=1605639816492000&amp;usg=AFQjCNGnN376SCBO6joceTxCQ9XZHFZUCA" TargetMode="External"/><Relationship Id="rId1994" Type="http://schemas.openxmlformats.org/officeDocument/2006/relationships/hyperlink" Target="https://www.google.com/url?q=https://wcipeg.com/problem/coci077p4&amp;sa=D&amp;ust=1605639816557000&amp;usg=AFQjCNGDPIexQjh6Kp1RrENcb4Cn5S75GQ" TargetMode="External"/><Relationship Id="rId2838" Type="http://schemas.openxmlformats.org/officeDocument/2006/relationships/hyperlink" Target="https://www.google.com/url?q=https://dmoj.ca/problem/coci07c3p2&amp;sa=D&amp;ust=1605639816813000&amp;usg=AFQjCNFNHm6Wj3n0FX1Ep95JqO3x4UZipQ" TargetMode="External"/><Relationship Id="rId79" Type="http://schemas.openxmlformats.org/officeDocument/2006/relationships/hyperlink" Target="https://www.google.com/url?q=https://github.com/mostafa-saad/MyCompetitiveProgramming/blob/master/Olympiad/IOI/IOI-17-simurgh.txt&amp;sa=D&amp;ust=1605639815514000&amp;usg=AFQjCNHtuLIjwcsBbkx9ma28psFSx9_Uew" TargetMode="External"/><Relationship Id="rId1647" Type="http://schemas.openxmlformats.org/officeDocument/2006/relationships/hyperlink" Target="https://www.google.com/url?q=https://www.infoarena.ro/problema/amenzi&amp;sa=D&amp;ust=1605639816444000&amp;usg=AFQjCNGDGuSzM7xGeVyxfkw5T8G9_TG3Ug" TargetMode="External"/><Relationship Id="rId1854" Type="http://schemas.openxmlformats.org/officeDocument/2006/relationships/hyperlink" Target="https://www.google.com/url?q=https://contest.yandex.ru/ioi/contest/560/enter/&amp;sa=D&amp;ust=1605639816515000&amp;usg=AFQjCNGyZoFOEmYyIbrIom8URmEWuBpOXw" TargetMode="External"/><Relationship Id="rId2905" Type="http://schemas.openxmlformats.org/officeDocument/2006/relationships/hyperlink" Target="https://www.google.com/url?q=https://oj.uz/problem/view/info1cup17_eastereggs&amp;sa=D&amp;ust=1605639816844000&amp;usg=AFQjCNGztAVSqYVMucDd6DEO5Z_l_w2rYQ" TargetMode="External"/><Relationship Id="rId1507" Type="http://schemas.openxmlformats.org/officeDocument/2006/relationships/hyperlink" Target="https://www.google.com/url?q=https://szkopul.edu.pl/problemset/problem/p9uJo01RR9ouMLLAYroFuQ-7/site/&amp;sa=D&amp;ust=1605639816402000&amp;usg=AFQjCNEb6c-8ZLXGLZxQT7bXYu8DmPJPuw" TargetMode="External"/><Relationship Id="rId1714" Type="http://schemas.openxmlformats.org/officeDocument/2006/relationships/hyperlink" Target="https://www.google.com/url?q=http://usaco.org/index.php?page%3Dviewproblem2%26cpid%3D577&amp;sa=D&amp;ust=1605639816463000&amp;usg=AFQjCNHltFUG4q68Q4v_FlhPc2F3YV-SiQ" TargetMode="External"/><Relationship Id="rId1921" Type="http://schemas.openxmlformats.org/officeDocument/2006/relationships/hyperlink" Target="https://www.google.com/url?q=https://dmoj.ca/problem/dmopc17c5p4&amp;sa=D&amp;ust=1605639816536000&amp;usg=AFQjCNFhXAk7FXjJDlYa_R2P_S1z07pNaQ" TargetMode="External"/><Relationship Id="rId2488" Type="http://schemas.openxmlformats.org/officeDocument/2006/relationships/hyperlink" Target="https://www.google.com/url?q=https://github.com/mostafa-saad/MyCompetitiveProgramming/blob/master/Olympiad/COCI/official/2017/contest5_solutions&amp;sa=D&amp;ust=1605639816715000&amp;usg=AFQjCNHaLluF7JTpdeJvvrfp7NsovWU0UQ" TargetMode="External"/><Relationship Id="rId1297" Type="http://schemas.openxmlformats.org/officeDocument/2006/relationships/hyperlink" Target="https://www.google.com/url?q=https://www.infoarena.ro/problema/pitici3&amp;sa=D&amp;ust=1605639816310000&amp;usg=AFQjCNGut_Q69SHBHopPkyLVmjwejNwLiA" TargetMode="External"/><Relationship Id="rId2695" Type="http://schemas.openxmlformats.org/officeDocument/2006/relationships/hyperlink" Target="https://www.google.com/url?q=https://github.com/mostafa-saad/MyCompetitiveProgramming/blob/master/Olympiad/COCI/official/2013/contest3_solutions&amp;sa=D&amp;ust=1605639816764000&amp;usg=AFQjCNH8Gkips9hDzFrUyrYDc0uoSjcsIg" TargetMode="External"/><Relationship Id="rId667" Type="http://schemas.openxmlformats.org/officeDocument/2006/relationships/hyperlink" Target="https://www.google.com/url?q=https://szkopul.edu.pl/problemset/problem/J5f8YHtUsaMdtOdfx0QoHKe0/site/?key%3Dstatement&amp;sa=D&amp;ust=1605639815923000&amp;usg=AFQjCNH4vnCZx54SfqykuqlGOG2AxBZBCw" TargetMode="External"/><Relationship Id="rId874" Type="http://schemas.openxmlformats.org/officeDocument/2006/relationships/hyperlink" Target="https://www.google.com/url?q=https://oj.uz/problem/view/IOI10_languages&amp;sa=D&amp;ust=1605639816025000&amp;usg=AFQjCNF7RUOUMWdrcsRWtx4yF2iNToU1uA" TargetMode="External"/><Relationship Id="rId2348" Type="http://schemas.openxmlformats.org/officeDocument/2006/relationships/hyperlink" Target="https://www.google.com/url?q=https://infoarena.ro/problema/cate3cifre&amp;sa=D&amp;ust=1605639816664000&amp;usg=AFQjCNG-SYnyiMzfo8xHuHvFExjgzwbdGQ" TargetMode="External"/><Relationship Id="rId2555" Type="http://schemas.openxmlformats.org/officeDocument/2006/relationships/hyperlink" Target="https://www.google.com/url?q=https://github.com/mostafa-saad/MyCompetitiveProgramming/blob/master/Olympiad/COCI/official/2009/contest2_solutions&amp;sa=D&amp;ust=1605639816733000&amp;usg=AFQjCNFltyDcZEmYpxTtrgEWTv5YHrPGNQ" TargetMode="External"/><Relationship Id="rId2762" Type="http://schemas.openxmlformats.org/officeDocument/2006/relationships/hyperlink" Target="https://www.google.com/url?q=https://dmoj.ca/problem/coci14c1p3&amp;sa=D&amp;ust=1605639816787000&amp;usg=AFQjCNFlv79ntAYY0066vrNCQi4kjrplhw" TargetMode="External"/><Relationship Id="rId527" Type="http://schemas.openxmlformats.org/officeDocument/2006/relationships/hyperlink" Target="https://www.google.com/url?q=http://usaco.org/index.php?page%3Dviewproblem2%26cpid%3D840&amp;sa=D&amp;ust=1605639815835000&amp;usg=AFQjCNE43BHOsEwztIcWRLvE_ZRWAuU1Jg" TargetMode="External"/><Relationship Id="rId734" Type="http://schemas.openxmlformats.org/officeDocument/2006/relationships/hyperlink" Target="https://www.google.com/url?q=https://oj.uz/problem/view/BOI16_cities&amp;sa=D&amp;ust=1605639815975000&amp;usg=AFQjCNGLN9auWvzZo6Xr73R3l-B4-g9s8Q" TargetMode="External"/><Relationship Id="rId941" Type="http://schemas.openxmlformats.org/officeDocument/2006/relationships/hyperlink" Target="https://www.google.com/url?q=https://oj.uz/problem/view/COI14_kosta&amp;sa=D&amp;ust=1605639816096000&amp;usg=AFQjCNGE-QYxScCfSxOasqvScLExA4Bruw" TargetMode="External"/><Relationship Id="rId1157" Type="http://schemas.openxmlformats.org/officeDocument/2006/relationships/hyperlink" Target="https://www.google.com/url?q=https://dmoj.ca/problem/coci14c1p6&amp;sa=D&amp;ust=1605639816214000&amp;usg=AFQjCNG0KwR_ht_ryLd90itTxe8Xw8zoiQ" TargetMode="External"/><Relationship Id="rId1364" Type="http://schemas.openxmlformats.org/officeDocument/2006/relationships/hyperlink" Target="https://www.google.com/url?q=https://www.infoarena.ro/problema/retea3&amp;sa=D&amp;ust=1605639816334000&amp;usg=AFQjCNHWDWlKBT_Et-DoT0CettgT3sn8lA" TargetMode="External"/><Relationship Id="rId1571" Type="http://schemas.openxmlformats.org/officeDocument/2006/relationships/hyperlink" Target="https://www.google.com/url?q=https://github.com/nikolapesic2802/Programming-Practice/blob/master/Cezar/main.cpp&amp;sa=D&amp;ust=1605639816422000&amp;usg=AFQjCNHSD4dRpiqdZiQG2Vhx0iK6PNruZQ" TargetMode="External"/><Relationship Id="rId2208" Type="http://schemas.openxmlformats.org/officeDocument/2006/relationships/hyperlink" Target="https://www.google.com/url?q=https://contest.yandex.ru/ioi/contest/558/enter/&amp;sa=D&amp;ust=1605639816629000&amp;usg=AFQjCNEsmgMU-gmfMYbdSJ4f3UTxutPVaQ" TargetMode="External"/><Relationship Id="rId2415" Type="http://schemas.openxmlformats.org/officeDocument/2006/relationships/hyperlink" Target="https://www.google.com/url?q=https://oj.uz/problem/view/JOI19_ho_t1&amp;sa=D&amp;ust=1605639816690000&amp;usg=AFQjCNGaSZM5hvuizYhRu8Ybru4PLigMEQ" TargetMode="External"/><Relationship Id="rId2622" Type="http://schemas.openxmlformats.org/officeDocument/2006/relationships/hyperlink" Target="https://www.google.com/url?q=https://github.com/mostafa-saad/MyCompetitiveProgramming/blob/master/Olympiad/COCI/official/2009/contest6_solutions&amp;sa=D&amp;ust=1605639816747000&amp;usg=AFQjCNHNjyeNepbLJ6gMRx9kn8jAI6HXZQ" TargetMode="External"/><Relationship Id="rId70" Type="http://schemas.openxmlformats.org/officeDocument/2006/relationships/hyperlink" Target="https://www.google.com/url?q=https://cses.fi/179/list/&amp;sa=D&amp;ust=1605639815512000&amp;usg=AFQjCNFmnMNXkNI5ZhbDv8taK6HiSuzzrg" TargetMode="External"/><Relationship Id="rId801" Type="http://schemas.openxmlformats.org/officeDocument/2006/relationships/hyperlink" Target="https://www.google.com/url?q=http://usaco.org/index.php?page%3Dviewproblem2%26cpid%3D672&amp;sa=D&amp;ust=1605639815999000&amp;usg=AFQjCNFAryWRFb7O24p5HIIxN-dADFpv-A" TargetMode="External"/><Relationship Id="rId1017" Type="http://schemas.openxmlformats.org/officeDocument/2006/relationships/hyperlink" Target="https://www.google.com/url?q=https://www.spoj.com/problems/ZOO/&amp;sa=D&amp;ust=1605639816165000&amp;usg=AFQjCNEj2VXVvRJ5IBBbEJCEcz9tJnxwTA" TargetMode="External"/><Relationship Id="rId1224" Type="http://schemas.openxmlformats.org/officeDocument/2006/relationships/hyperlink" Target="https://www.google.com/url?q=https://github.com/mostafa-saad/MyCompetitiveProgramming/blob/master/Olympiad/APIO/APIO-15-skyscraper.txt&amp;sa=D&amp;ust=1605639816285000&amp;usg=AFQjCNF-7eiaLt1ictKZPAEl3Dt6ZPJV_g" TargetMode="External"/><Relationship Id="rId1431" Type="http://schemas.openxmlformats.org/officeDocument/2006/relationships/hyperlink" Target="https://www.google.com/url?q=https://github.com/stefdasca/CompetitiveProgramming/blob/master/Infoarena/padurari.cpp&amp;sa=D&amp;ust=1605639816371000&amp;usg=AFQjCNHr8l2TZGRkvkRb6L40c8iEILDBFQ" TargetMode="External"/><Relationship Id="rId177" Type="http://schemas.openxmlformats.org/officeDocument/2006/relationships/hyperlink" Target="https://www.google.com/url?q=https://oj.uz/problem/view/BOI14_demarcation&amp;sa=D&amp;ust=1605639815543000&amp;usg=AFQjCNGBakGZeHKWd9rC3MT58xOqiuUDEA" TargetMode="External"/><Relationship Id="rId384" Type="http://schemas.openxmlformats.org/officeDocument/2006/relationships/hyperlink" Target="https://www.google.com/url?q=https://github.com/mostafa-saad/MyCompetitiveProgramming/blob/master/Olympiad/JOI/JOISC-18-wildboar.txt&amp;sa=D&amp;ust=1605639815610000&amp;usg=AFQjCNFM9Wu5EX8zUsPsAOGc1O24mpqkPg" TargetMode="External"/><Relationship Id="rId591" Type="http://schemas.openxmlformats.org/officeDocument/2006/relationships/hyperlink" Target="https://www.google.com/url?q=https://github.com/mostafa-saad/MyCompetitiveProgramming/blob/master/Olympiad/COCI/COCI-14-norma.txt&amp;sa=D&amp;ust=1605639815898000&amp;usg=AFQjCNGsKJhRGZ-eFWPC01nIhScEmKQBiQ" TargetMode="External"/><Relationship Id="rId2065" Type="http://schemas.openxmlformats.org/officeDocument/2006/relationships/hyperlink" Target="https://www.google.com/url?q=https://oj.uz/problem/view/BOI11_grow&amp;sa=D&amp;ust=1605639816582000&amp;usg=AFQjCNGgZXaUJadguxt_2PxFBcADPo63FQ" TargetMode="External"/><Relationship Id="rId2272" Type="http://schemas.openxmlformats.org/officeDocument/2006/relationships/hyperlink" Target="https://www.google.com/url?q=https://github.com/mostafa-saad/MyCompetitiveProgramming/blob/master/Olympiad/POI/official/find_editorial_sols_guidelines.txt&amp;sa=D&amp;ust=1605639816644000&amp;usg=AFQjCNFSGxz9af2nKfHplog-9gYRprNekQ" TargetMode="External"/><Relationship Id="rId244" Type="http://schemas.openxmlformats.org/officeDocument/2006/relationships/hyperlink" Target="https://www.google.com/url?q=https://oj.uz/problem/view/BOI15_edi&amp;sa=D&amp;ust=1605639815561000&amp;usg=AFQjCNE0E5QgvVhsDr3wwfoIgE-CAxxwGw" TargetMode="External"/><Relationship Id="rId1081" Type="http://schemas.openxmlformats.org/officeDocument/2006/relationships/hyperlink" Target="https://www.google.com/url?q=https://www.acmicpc.net/problem/7081&amp;sa=D&amp;ust=1605639816190000&amp;usg=AFQjCNFyI14sKNOkFuvn0xScHe2eKQlRWA" TargetMode="External"/><Relationship Id="rId451" Type="http://schemas.openxmlformats.org/officeDocument/2006/relationships/hyperlink" Target="https://www.google.com/url?q=https://github.com/mostafa-saad/MyCompetitiveProgramming/blob/master/Olympiad/POI/official/find_editorial_sols_guidelines.txt&amp;sa=D&amp;ust=1605639815635000&amp;usg=AFQjCNG_SeCv9Gpzlrv7e6p_jfIB9kZSiw" TargetMode="External"/><Relationship Id="rId2132" Type="http://schemas.openxmlformats.org/officeDocument/2006/relationships/hyperlink" Target="https://www.google.com/url?q=https://github.com/mostafa-saad/MyCompetitiveProgramming/blob/master/Olympiad/NOI/official&amp;sa=D&amp;ust=1605639816605000&amp;usg=AFQjCNFGQuRJniYeukB0pUVEcAGgOU5VQA" TargetMode="External"/><Relationship Id="rId104" Type="http://schemas.openxmlformats.org/officeDocument/2006/relationships/hyperlink" Target="https://www.google.com/url?q=https://github.com/mostafa-saad/MyCompetitiveProgramming/blob/master/Olympiad/JOI/JOIOC-13-synchronization.txt&amp;sa=D&amp;ust=1605639815522000&amp;usg=AFQjCNGrK_52bdvUmzlLHFGLU-0Qzq6t4g" TargetMode="External"/><Relationship Id="rId311" Type="http://schemas.openxmlformats.org/officeDocument/2006/relationships/hyperlink" Target="https://www.google.com/url?q=https://szkopul.edu.pl/problemset/problem/e9ycK_efBDBt4aPs-QeqYpwR/site/&amp;sa=D&amp;ust=1605639815584000&amp;usg=AFQjCNFNbYFLCdJ96sRqYRSsCdW50TVfjA" TargetMode="External"/><Relationship Id="rId1898" Type="http://schemas.openxmlformats.org/officeDocument/2006/relationships/hyperlink" Target="https://www.google.com/url?q=https://github.com/mostafa-saad/MyCompetitiveProgramming/blob/master/Olympiad/COCI/official/2014/contest1_solutions&amp;sa=D&amp;ust=1605639816529000&amp;usg=AFQjCNETcEByBRbeznYRjGWB9rnq58ZpzA" TargetMode="External"/><Relationship Id="rId2949" Type="http://schemas.openxmlformats.org/officeDocument/2006/relationships/hyperlink" Target="https://www.google.com/url?q=https://dunjudge.me/analysis/problems/1174/&amp;sa=D&amp;ust=1605639816877000&amp;usg=AFQjCNEpVviG0jo_h5lfOt950M8i2ErfYw" TargetMode="External"/><Relationship Id="rId1758" Type="http://schemas.openxmlformats.org/officeDocument/2006/relationships/hyperlink" Target="https://www.google.com/url?q=https://oj.uz/problem/view/JOI17_semiexpress&amp;sa=D&amp;ust=1605639816480000&amp;usg=AFQjCNHR5QiLtOuis5Wv7uKUcEAIaMHe2g" TargetMode="External"/><Relationship Id="rId2809" Type="http://schemas.openxmlformats.org/officeDocument/2006/relationships/hyperlink" Target="https://www.google.com/url?q=https://github.com/mostafa-saad/MyCompetitiveProgramming/blob/master/Olympiad/COCI/official/2010/contest3_solutions&amp;sa=D&amp;ust=1605639816804000&amp;usg=AFQjCNHUS66qsv6iTuTHDyUHIDQCgzt-tw" TargetMode="External"/><Relationship Id="rId1965" Type="http://schemas.openxmlformats.org/officeDocument/2006/relationships/hyperlink" Target="https://www.google.com/url?q=https://github.com/mostafa-saad/MyCompetitiveProgramming/tree/master/Olympiad/COCI/official/2008/olympiad_solutions&amp;sa=D&amp;ust=1605639816549000&amp;usg=AFQjCNH_4KgYN3ccEUlv6ZlDr3UodgHAKQ" TargetMode="External"/><Relationship Id="rId1618" Type="http://schemas.openxmlformats.org/officeDocument/2006/relationships/hyperlink" Target="https://www.google.com/url?q=https://github.com/mostafa-saad/MyCompetitiveProgramming/blob/master/Olympiad/CCO/CCO-18-GradientDescent.txt&amp;sa=D&amp;ust=1605639816436000&amp;usg=AFQjCNFpiQhwzzkwp81iJnHmS1OQCPi0QQ" TargetMode="External"/><Relationship Id="rId1825" Type="http://schemas.openxmlformats.org/officeDocument/2006/relationships/hyperlink" Target="https://www.google.com/url?q=https://github.com/stefdasca/CompetitiveProgramming/blob/master/Info1Cup/National%2520Round/simple.cpp&amp;sa=D&amp;ust=1605639816506000&amp;usg=AFQjCNFui3vuMqqF70f89t1hYkVgMdDHkA" TargetMode="External"/><Relationship Id="rId2599" Type="http://schemas.openxmlformats.org/officeDocument/2006/relationships/hyperlink" Target="https://www.google.com/url?q=https://github.com/stefdasca/CompetitiveProgramming/blob/master/Info1Cup/National%2520Round/treasure.cpp&amp;sa=D&amp;ust=1605639816743000&amp;usg=AFQjCNGtCk0wl5cMW3eWtZGOLYTbt86ixw" TargetMode="External"/><Relationship Id="rId778" Type="http://schemas.openxmlformats.org/officeDocument/2006/relationships/hyperlink" Target="https://www.google.com/url?q=https://github.com/mostafa-saad/MyCompetitiveProgramming/blob/master/Olympiad/Baltic/Baltic-16-swap.txt&amp;sa=D&amp;ust=1605639815990000&amp;usg=AFQjCNH1B-DVNC6FsdpSqZ7sc4yG9CV5iw" TargetMode="External"/><Relationship Id="rId985" Type="http://schemas.openxmlformats.org/officeDocument/2006/relationships/hyperlink" Target="https://www.google.com/url?q=https://oj.uz/problem/view/JOI19_naan&amp;sa=D&amp;ust=1605639816109000&amp;usg=AFQjCNG2ockQfTJ328NMKtbEJLpI8XXloA" TargetMode="External"/><Relationship Id="rId2459" Type="http://schemas.openxmlformats.org/officeDocument/2006/relationships/hyperlink" Target="https://www.google.com/url?q=https://wcipeg.com/problem/coci091p5&amp;sa=D&amp;ust=1605639816705000&amp;usg=AFQjCNED27ndtL2mrqCj02-poGbKZcVsgQ" TargetMode="External"/><Relationship Id="rId2666" Type="http://schemas.openxmlformats.org/officeDocument/2006/relationships/hyperlink" Target="https://www.google.com/url?q=https://wcipeg.com/problem/coci095p5&amp;sa=D&amp;ust=1605639816757000&amp;usg=AFQjCNEpEt_pyN2leJ947vybBc9ikxruQg" TargetMode="External"/><Relationship Id="rId2873" Type="http://schemas.openxmlformats.org/officeDocument/2006/relationships/hyperlink" Target="https://www.google.com/url?q=https://cses.fi/109/list/&amp;sa=D&amp;ust=1605639816824000&amp;usg=AFQjCNF6Z0NS_j3HcqmA9-DcxTB3uRKI2g" TargetMode="External"/><Relationship Id="rId638" Type="http://schemas.openxmlformats.org/officeDocument/2006/relationships/hyperlink" Target="https://www.google.com/url?q=https://oj.uz/problem/view/COCI17_klavir&amp;sa=D&amp;ust=1605639815914000&amp;usg=AFQjCNHuIrIw91ue_vJ_10OCt-FscBvy8g" TargetMode="External"/><Relationship Id="rId845" Type="http://schemas.openxmlformats.org/officeDocument/2006/relationships/hyperlink" Target="https://www.google.com/url?q=https://wcipeg.com/problem/coi08p3&amp;sa=D&amp;ust=1605639816015000&amp;usg=AFQjCNGeR5ejTiymPD8VO_TqDV70k5lleg" TargetMode="External"/><Relationship Id="rId1268" Type="http://schemas.openxmlformats.org/officeDocument/2006/relationships/hyperlink" Target="https://www.google.com/url?q=https://github.com/mostafa-saad/MyCompetitiveProgramming/blob/master/Olympiad/POI/POI-07-Pipelines.txt&amp;sa=D&amp;ust=1605639816300000&amp;usg=AFQjCNHZJuJiR7MTERC7OfgSCihb3cV_YA" TargetMode="External"/><Relationship Id="rId1475" Type="http://schemas.openxmlformats.org/officeDocument/2006/relationships/hyperlink" Target="https://www.google.com/url?q=https://wcipeg.com/problem/coci093p5&amp;sa=D&amp;ust=1605639816390000&amp;usg=AFQjCNHV_I_rBkOtpAnYNdOrZp9VQMdKeA" TargetMode="External"/><Relationship Id="rId1682" Type="http://schemas.openxmlformats.org/officeDocument/2006/relationships/hyperlink" Target="https://www.google.com/url?q=https://oj.uz/problem/view/BOI14_friends&amp;sa=D&amp;ust=1605639816454000&amp;usg=AFQjCNGtBvuuD5wkxbvxyZF6m3jCxVhV4g" TargetMode="External"/><Relationship Id="rId2319" Type="http://schemas.openxmlformats.org/officeDocument/2006/relationships/hyperlink" Target="https://www.google.com/url?q=https://github.com/mostafa-saad/MyCompetitiveProgramming/blob/master/Olympiad/COCI/official/2009/contest1_solutions&amp;sa=D&amp;ust=1605639816657000&amp;usg=AFQjCNHoM3h67DJQvJUt5bhn0-Ure3Jd6A" TargetMode="External"/><Relationship Id="rId2526" Type="http://schemas.openxmlformats.org/officeDocument/2006/relationships/hyperlink" Target="https://www.google.com/url?q=https://github.com/mostafa-saad/MyCompetitiveProgramming/blob/master/Olympiad/POI/official/find_editorial_sols_guidelines.txt&amp;sa=D&amp;ust=1605639816728000&amp;usg=AFQjCNE0IFj-5UHVWbHgtTHpgUuC60ZjVQ" TargetMode="External"/><Relationship Id="rId2733" Type="http://schemas.openxmlformats.org/officeDocument/2006/relationships/hyperlink" Target="https://www.google.com/url?q=https://github.com/mostafa-saad/MyCompetitiveProgramming/blob/master/Olympiad/COCI/official/2013/contest1_solutions&amp;sa=D&amp;ust=1605639816779000&amp;usg=AFQjCNEqxn2n9NogshEDilkKqCRWyELamA" TargetMode="External"/><Relationship Id="rId705" Type="http://schemas.openxmlformats.org/officeDocument/2006/relationships/hyperlink" Target="https://www.google.com/url?q=https://github.com/mostafa-saad/MyCompetitiveProgramming/blob/master/Olympiad/IOI/IOI-07-sails.txt&amp;sa=D&amp;ust=1605639815934000&amp;usg=AFQjCNGQIAZTLmOPqbxfBOYnAWQ7D7szpQ" TargetMode="External"/><Relationship Id="rId1128" Type="http://schemas.openxmlformats.org/officeDocument/2006/relationships/hyperlink" Target="https://www.google.com/url?q=https://github.com/Szawinis/CompetitiveProgramming/blob/master/Olympiad/COCI/COCI18-strah.cpp&amp;sa=D&amp;ust=1605639816207000&amp;usg=AFQjCNG-e4iYToQBBWPTUzF4zDZ3JAlRgg" TargetMode="External"/><Relationship Id="rId1335" Type="http://schemas.openxmlformats.org/officeDocument/2006/relationships/hyperlink" Target="https://www.google.com/url?q=https://github.com/peon-pasado/CompetitiveProgramming/blob/master/szkoput/POI_07-Weights.cpp&amp;sa=D&amp;ust=1605639816324000&amp;usg=AFQjCNFvXjwEN-Jhd8uW3bwB1hNxrq93Zw" TargetMode="External"/><Relationship Id="rId1542" Type="http://schemas.openxmlformats.org/officeDocument/2006/relationships/hyperlink" Target="https://www.google.com/url?q=https://oj.uz/problem/view/BOI18_zalmoxis&amp;sa=D&amp;ust=1605639816413000&amp;usg=AFQjCNGNlGUhRo9egk860DHYGADo4ZaSwg" TargetMode="External"/><Relationship Id="rId2940" Type="http://schemas.openxmlformats.org/officeDocument/2006/relationships/hyperlink" Target="https://www.google.com/url?q=https://dunjudge.me/analysis/problems/42/&amp;sa=D&amp;ust=1605639816873000&amp;usg=AFQjCNHsAzrcFnsGvRSNGVyzuj_04hbQcg" TargetMode="External"/><Relationship Id="rId912" Type="http://schemas.openxmlformats.org/officeDocument/2006/relationships/hyperlink" Target="https://www.google.com/url?q=https://github.com/mostafa-saad/MyCompetitiveProgramming/blob/master/Olympiad/NOI/NOI-11-tour.txt&amp;sa=D&amp;ust=1605639816087000&amp;usg=AFQjCNE9o66sl4G2tk5y9ZVoJ8TXHa67pA" TargetMode="External"/><Relationship Id="rId2800" Type="http://schemas.openxmlformats.org/officeDocument/2006/relationships/hyperlink" Target="https://www.google.com/url?q=https://dmoj.ca/problem/coci09c1p2&amp;sa=D&amp;ust=1605639816802000&amp;usg=AFQjCNH8xMrMCpq74TpSTKxFxg1n3oWBeg" TargetMode="External"/><Relationship Id="rId41" Type="http://schemas.openxmlformats.org/officeDocument/2006/relationships/hyperlink" Target="https://www.google.com/url?q=https://dunjudge.me/analysis/problems/974/&amp;sa=D&amp;ust=1605639815499000&amp;usg=AFQjCNEr_wMdVuyYIajtIqeAukD3l3zDtA" TargetMode="External"/><Relationship Id="rId1402" Type="http://schemas.openxmlformats.org/officeDocument/2006/relationships/hyperlink" Target="https://www.google.com/url?q=https://github.com/mostafa-saad/MyCompetitiveProgramming/tree/master/Olympiad/CEOI/official/2006&amp;sa=D&amp;ust=1605639816347000&amp;usg=AFQjCNHPFqf5MFDD-8AddXL75wTVIDC5jQ" TargetMode="External"/><Relationship Id="rId288" Type="http://schemas.openxmlformats.org/officeDocument/2006/relationships/hyperlink" Target="https://www.google.com/url?q=https://oj.uz/problem/view/IOI07_training&amp;sa=D&amp;ust=1605639815576000&amp;usg=AFQjCNGIXP67DSi4-pZrR-Ehkvy-_NMWaQ" TargetMode="External"/><Relationship Id="rId495" Type="http://schemas.openxmlformats.org/officeDocument/2006/relationships/hyperlink" Target="https://www.google.com/url?q=https://github.com/Szawinis/CompetitiveProgramming/blob/master/Olympiad/USACO/USACO19mar-valleys-plat.cpp&amp;sa=D&amp;ust=1605639815680000&amp;usg=AFQjCNFKW9P4DObeHwmYfAJYsIiNI_Lgpg" TargetMode="External"/><Relationship Id="rId2176" Type="http://schemas.openxmlformats.org/officeDocument/2006/relationships/hyperlink" Target="https://www.google.com/url?q=https://wcipeg.com/problem/coci087p4&amp;sa=D&amp;ust=1605639816619000&amp;usg=AFQjCNHSn6iCUPcsVNd03vJ4YLR6vzHQYA" TargetMode="External"/><Relationship Id="rId2383" Type="http://schemas.openxmlformats.org/officeDocument/2006/relationships/hyperlink" Target="https://www.google.com/url?q=https://github.com/mostafa-saad/MyCompetitiveProgramming/blob/master/Olympiad/COCI/official/2015/contest7_solutions&amp;sa=D&amp;ust=1605639816677000&amp;usg=AFQjCNEN3v4NvIEonmluwM72E-0gBbEfSg" TargetMode="External"/><Relationship Id="rId2590" Type="http://schemas.openxmlformats.org/officeDocument/2006/relationships/hyperlink" Target="https://www.google.com/url?q=https://dmoj.ca/problem/ccc13s5&amp;sa=D&amp;ust=1605639816741000&amp;usg=AFQjCNEA6STT7o0nvvD4LC_7cZ4eHhR48g" TargetMode="External"/><Relationship Id="rId148" Type="http://schemas.openxmlformats.org/officeDocument/2006/relationships/hyperlink" Target="https://www.google.com/url?q=https://oj.uz/problem/view/IOI19_line&amp;sa=D&amp;ust=1605639815535000&amp;usg=AFQjCNGwlUYy7EZbOAkMaAyBPta4CbFiOw" TargetMode="External"/><Relationship Id="rId355" Type="http://schemas.openxmlformats.org/officeDocument/2006/relationships/hyperlink" Target="https://www.google.com/url?q=https://szkopul.edu.pl/problemset/problem/5Z9PRRPP-R90WhmbSY_qHd-1/site/&amp;sa=D&amp;ust=1605639815599000&amp;usg=AFQjCNFjYvvLoehzhslcSZceZsG7CYSb3g" TargetMode="External"/><Relationship Id="rId562" Type="http://schemas.openxmlformats.org/officeDocument/2006/relationships/hyperlink" Target="https://www.google.com/url?q=https://dmoj.ca/problem/coci06c6p6&amp;sa=D&amp;ust=1605639815887000&amp;usg=AFQjCNHLMM5IvjNo3TzcxZQPRIhEE7u5iA" TargetMode="External"/><Relationship Id="rId1192" Type="http://schemas.openxmlformats.org/officeDocument/2006/relationships/hyperlink" Target="https://www.google.com/url?q=https://github.com/mostafa-saad/MyCompetitiveProgramming/blob/master/Olympiad/IOI/official/2006/ioi06_mexico_sol.pdf&amp;sa=D&amp;ust=1605639816272000&amp;usg=AFQjCNHLKF39YQCYqI515AsrsaBeFYVIYg" TargetMode="External"/><Relationship Id="rId2036" Type="http://schemas.openxmlformats.org/officeDocument/2006/relationships/hyperlink" Target="https://www.google.com/url?q=https://github.com/peon-pasado/CompetitiveProgramming/blob/master/szkoput/POI-10-Beads.cpp&amp;sa=D&amp;ust=1605639816572000&amp;usg=AFQjCNFFceIt6NY0s2lLdPxdD_p1w66fWw" TargetMode="External"/><Relationship Id="rId2243" Type="http://schemas.openxmlformats.org/officeDocument/2006/relationships/hyperlink" Target="https://www.google.com/url?q=https://oj.uz/problem/view/NOI13_ferries&amp;sa=D&amp;ust=1605639816637000&amp;usg=AFQjCNGJRvxBC9mA8AoYN3eNq4ETiO_OQQ" TargetMode="External"/><Relationship Id="rId2450" Type="http://schemas.openxmlformats.org/officeDocument/2006/relationships/hyperlink" Target="https://www.google.com/url?q=https://github.com/mostafa-saad/MyCompetitiveProgramming/tree/master/Olympiad/MCO/official/2015&amp;sa=D&amp;ust=1605639816702000&amp;usg=AFQjCNGGMfVjqd69Rx6LrLebheGFj7h2Ew" TargetMode="External"/><Relationship Id="rId215" Type="http://schemas.openxmlformats.org/officeDocument/2006/relationships/hyperlink" Target="https://www.google.com/url?q=https://github.com/mostafa-saad/MyCompetitiveProgramming/blob/master/Olympiad/JOI/JOISC-18-bitaro.txt&amp;sa=D&amp;ust=1605639815553000&amp;usg=AFQjCNF4i02D0-VTHE4KrYLxAlsmuPw4tA" TargetMode="External"/><Relationship Id="rId422" Type="http://schemas.openxmlformats.org/officeDocument/2006/relationships/hyperlink" Target="https://www.google.com/url?q=https://github.com/mostafa-saad/MyCompetitiveProgramming/blob/master/Olympiad/POI/official/find_editorial_sols_guidelines.txt&amp;sa=D&amp;ust=1605639815625000&amp;usg=AFQjCNG6QlTVMYMaBjoV6bpF2KzX-jaJBw" TargetMode="External"/><Relationship Id="rId1052" Type="http://schemas.openxmlformats.org/officeDocument/2006/relationships/hyperlink" Target="https://www.google.com/url?q=https://github.com/mostafa-saad/MyCompetitiveProgramming/blob/master/Olympiad/infoarena/infoarena-password2.txt&amp;sa=D&amp;ust=1605639816179000&amp;usg=AFQjCNHi0uY5Vnl8m7hms46uTOBogx-uCA" TargetMode="External"/><Relationship Id="rId2103" Type="http://schemas.openxmlformats.org/officeDocument/2006/relationships/hyperlink" Target="https://www.google.com/url?q=https://dunjudge.me/analysis/problems/725/&amp;sa=D&amp;ust=1605639816597000&amp;usg=AFQjCNEMN4rKrE6E6avQYijxSgEzDdF9mg" TargetMode="External"/><Relationship Id="rId2310" Type="http://schemas.openxmlformats.org/officeDocument/2006/relationships/hyperlink" Target="https://www.google.com/url?q=https://joi2016ho.contest.atcoder.jp/tasks/joi2016ho_a&amp;sa=D&amp;ust=1605639816654000&amp;usg=AFQjCNEvupGb38Im8bJLZyvaV22D3U5iyw" TargetMode="External"/><Relationship Id="rId1869" Type="http://schemas.openxmlformats.org/officeDocument/2006/relationships/hyperlink" Target="https://www.google.com/url?q=https://cses.fi/231/task/D&amp;sa=D&amp;ust=1605639816520000&amp;usg=AFQjCNHhDrJIOj8iS55KEIFW8cpcKRA2oA" TargetMode="External"/><Relationship Id="rId1729" Type="http://schemas.openxmlformats.org/officeDocument/2006/relationships/hyperlink" Target="https://www.google.com/url?q=https://github.com/luciocf/OI-Problems/blob/master/COCI/COCI%25202017-2018/portals.cpp&amp;sa=D&amp;ust=1605639816469000&amp;usg=AFQjCNF_fzs6djYm5baHQ2jv2AqNTgpgyQ" TargetMode="External"/><Relationship Id="rId1936" Type="http://schemas.openxmlformats.org/officeDocument/2006/relationships/hyperlink" Target="https://www.google.com/url?q=https://github.com/mostafa-saad/MyCompetitiveProgramming/tree/master/Olympiad/COCI/official/2008/contest5_solutions&amp;sa=D&amp;ust=1605639816540000&amp;usg=AFQjCNEbtwW6yVnv5Td0jB3yfCMUhO68pg" TargetMode="External"/><Relationship Id="rId3011" Type="http://schemas.openxmlformats.org/officeDocument/2006/relationships/hyperlink" Target="https://www.google.com/url?q=https://dunjudge.me/analysis/problems/186/&amp;sa=D&amp;ust=1605639816907000&amp;usg=AFQjCNEVF8mjRfWV1RMnXi3gd2rJJfkafQ" TargetMode="External"/><Relationship Id="rId5" Type="http://schemas.openxmlformats.org/officeDocument/2006/relationships/hyperlink" Target="https://www.google.com/url?q=https://csacademy.com/contest/ioi-2016-training-round-5/task/tree-square/&amp;sa=D&amp;ust=1605639815487000&amp;usg=AFQjCNG1FH7b7R9Hep6pnWqQgqOatfZgNA" TargetMode="External"/><Relationship Id="rId889" Type="http://schemas.openxmlformats.org/officeDocument/2006/relationships/hyperlink" Target="https://www.google.com/url?q=https://github.com/mostafa-saad/MyCompetitiveProgramming/tree/master/Olympiad/Balkan/official/2015&amp;sa=D&amp;ust=1605639816078000&amp;usg=AFQjCNGUo4wPHGWYCETVDXVVFXIK-gbsPQ" TargetMode="External"/><Relationship Id="rId2777" Type="http://schemas.openxmlformats.org/officeDocument/2006/relationships/hyperlink" Target="https://www.google.com/url?q=https://oj.uz/problem/view/COCI18_pismo&amp;sa=D&amp;ust=1605639816793000&amp;usg=AFQjCNE1RzMJWLAtGgX0mZPF7zSg9Gqn0Q" TargetMode="External"/><Relationship Id="rId749" Type="http://schemas.openxmlformats.org/officeDocument/2006/relationships/hyperlink" Target="https://www.google.com/url?q=https://github.com/mostafa-saad/MyCompetitiveProgramming/blob/master/Olympiad/Baltic/Baltic-10-Candies.txt&amp;sa=D&amp;ust=1605639815980000&amp;usg=AFQjCNFozpg7Zl9pBILnM4GRVUHCW-27dA" TargetMode="External"/><Relationship Id="rId1379" Type="http://schemas.openxmlformats.org/officeDocument/2006/relationships/hyperlink" Target="https://www.google.com/url?q=https://szkopul.edu.pl/problemset/problem/XcxwG3EBHwd-6_fIF1NG3Wfg/site/?key%3Dstatement&amp;sa=D&amp;ust=1605639816338000&amp;usg=AFQjCNG0Nt8FzjojQzzM10vnq-_lw9s23w" TargetMode="External"/><Relationship Id="rId1586" Type="http://schemas.openxmlformats.org/officeDocument/2006/relationships/hyperlink" Target="https://www.google.com/url?q=https://github.com/mostafa-saad/MyCompetitiveProgramming/blob/master/Olympiad/NOI/official/2011.pptx&amp;sa=D&amp;ust=1605639816427000&amp;usg=AFQjCNF82PLZ2rKytr-AF35R6SgfyPKdSA" TargetMode="External"/><Relationship Id="rId2984" Type="http://schemas.openxmlformats.org/officeDocument/2006/relationships/hyperlink" Target="https://www.google.com/url?q=https://github.com/mostafa-saad/MyCompetitiveProgramming/blob/master/Olympiad/POI/official/find_editorial_sols_guidelines.txt&amp;sa=D&amp;ust=1605639816896000&amp;usg=AFQjCNH5rTR5iLFk_PJGV0M5Opj0MY9K8w" TargetMode="External"/><Relationship Id="rId609" Type="http://schemas.openxmlformats.org/officeDocument/2006/relationships/hyperlink" Target="https://www.google.com/url?q=https://github.com/mostafa-saad/MyCompetitiveProgramming/blob/master/Olympiad/COCI/COCI-16-zamjene.txt&amp;sa=D&amp;ust=1605639815903000&amp;usg=AFQjCNHfmuR81BvBH8Jrn82yKHrqin3kTw" TargetMode="External"/><Relationship Id="rId956" Type="http://schemas.openxmlformats.org/officeDocument/2006/relationships/hyperlink" Target="https://www.google.com/url?q=https://oj.uz/problem/view/JOI20_ho_t4&amp;sa=D&amp;ust=1605639816100000&amp;usg=AFQjCNG4krnKdHOPxhADcCxJ2Fi99_7Eow" TargetMode="External"/><Relationship Id="rId1239" Type="http://schemas.openxmlformats.org/officeDocument/2006/relationships/hyperlink" Target="https://www.google.com/url?q=https://oj.uz/problem/view/IZhO14_shymbulak&amp;sa=D&amp;ust=1605639816290000&amp;usg=AFQjCNGAIY6JJR_4T01f4i27wFvIAIPYzQ" TargetMode="External"/><Relationship Id="rId1793" Type="http://schemas.openxmlformats.org/officeDocument/2006/relationships/hyperlink" Target="https://www.google.com/url?q=https://dmoj.ca/problem/gfssoc2s4&amp;sa=D&amp;ust=1605639816494000&amp;usg=AFQjCNFCZLxh2Ybo9IWP63atT7CcZN6-6w" TargetMode="External"/><Relationship Id="rId2637" Type="http://schemas.openxmlformats.org/officeDocument/2006/relationships/hyperlink" Target="https://www.google.com/url?q=https://dmoj.ca/problem/coci06c6p2&amp;sa=D&amp;ust=1605639816751000&amp;usg=AFQjCNHLt-owIpD4anpOrtNcrrRPLSxBdQ" TargetMode="External"/><Relationship Id="rId2844" Type="http://schemas.openxmlformats.org/officeDocument/2006/relationships/hyperlink" Target="https://www.google.com/url?q=https://github.com/mostafa-saad/MyCompetitiveProgramming/blob/master/Olympiad/NOI/official&amp;sa=D&amp;ust=1605639816814000&amp;usg=AFQjCNGfuazxe9IkPgBFr1gZJriz7yTboA" TargetMode="External"/><Relationship Id="rId85" Type="http://schemas.openxmlformats.org/officeDocument/2006/relationships/hyperlink" Target="https://www.google.com/url?q=https://github.com/tmwilliamlin168/CompetitiveProgramming/blob/master/APIO/12-Kunai.cpp&amp;sa=D&amp;ust=1605639815516000&amp;usg=AFQjCNFToVnv-JnJ6MLnF6bGbp79R2SEfQ" TargetMode="External"/><Relationship Id="rId816" Type="http://schemas.openxmlformats.org/officeDocument/2006/relationships/hyperlink" Target="https://www.google.com/url?q=https://dmoj.ca/problem/mcco17p3&amp;sa=D&amp;ust=1605639816005000&amp;usg=AFQjCNHkaD9sodGXmOMgyzmLS46XT-SdQA" TargetMode="External"/><Relationship Id="rId1446" Type="http://schemas.openxmlformats.org/officeDocument/2006/relationships/hyperlink" Target="https://www.google.com/url?q=https://cses.fi/191/list/&amp;sa=D&amp;ust=1605639816377000&amp;usg=AFQjCNEP3usiAPHEoVoBhzAWrZK5EOmUbA" TargetMode="External"/><Relationship Id="rId1653" Type="http://schemas.openxmlformats.org/officeDocument/2006/relationships/hyperlink" Target="https://www.google.com/url?q=https://csacademy.com/contest/archive/task/circuits/&amp;sa=D&amp;ust=1605639816446000&amp;usg=AFQjCNFKyHkM28VfP1SgOghfufQMFLz7pg" TargetMode="External"/><Relationship Id="rId1860" Type="http://schemas.openxmlformats.org/officeDocument/2006/relationships/hyperlink" Target="https://www.google.com/url?q=https://github.com/mostafa-saad/MyCompetitiveProgramming/tree/master/Olympiad/COCI/official/2008/contest6_solutions&amp;sa=D&amp;ust=1605639816517000&amp;usg=AFQjCNFCsfktlayFyzIzM6H_f3-RC0Oh-w" TargetMode="External"/><Relationship Id="rId2704" Type="http://schemas.openxmlformats.org/officeDocument/2006/relationships/hyperlink" Target="https://www.google.com/url?q=https://dunjudge.me/analysis/problems/1360/&amp;sa=D&amp;ust=1605639816768000&amp;usg=AFQjCNFQP3znwcfQMZwm0CT1_bnxKj1nfg" TargetMode="External"/><Relationship Id="rId2911" Type="http://schemas.openxmlformats.org/officeDocument/2006/relationships/hyperlink" Target="https://www.google.com/url?q=https://oj.uz/problem/view/info1cup18_norela&amp;sa=D&amp;ust=1605639816846000&amp;usg=AFQjCNHv7vjrYjAWraEhWe5yZbdyx6rCRg" TargetMode="External"/><Relationship Id="rId1306" Type="http://schemas.openxmlformats.org/officeDocument/2006/relationships/hyperlink" Target="https://www.google.com/url?q=https://github.com/mostafa-saad/MyCompetitiveProgramming/blob/master/Olympiad/CEOI/CEOI-18-Cloud.txt&amp;sa=D&amp;ust=1605639816313000&amp;usg=AFQjCNFLQufNI57lH2s5PuuHhci15LzG3w" TargetMode="External"/><Relationship Id="rId1513" Type="http://schemas.openxmlformats.org/officeDocument/2006/relationships/hyperlink" Target="https://www.google.com/url?q=https://github.com/mostafa-saad/MyCompetitiveProgramming/blob/master/Olympiad/Baltic/Baltic-08-Gates.txt&amp;sa=D&amp;ust=1605639816404000&amp;usg=AFQjCNEXVYgWhdmfYUUlqY3pZn9AASRspw" TargetMode="External"/><Relationship Id="rId1720" Type="http://schemas.openxmlformats.org/officeDocument/2006/relationships/hyperlink" Target="https://www.google.com/url?q=https://github.com/nikolapesic2802/Programming-Practice/blob/master/Sparklersd/main.cpp&amp;sa=D&amp;ust=1605639816465000&amp;usg=AFQjCNFjdkiHobLAhrgr9q1cDDgxs4K77w" TargetMode="External"/><Relationship Id="rId12" Type="http://schemas.openxmlformats.org/officeDocument/2006/relationships/hyperlink" Target="https://www.google.com/url?q=https://codeforces.com/blog/entry/68748&amp;sa=D&amp;ust=1605639815489000&amp;usg=AFQjCNFrMyzb8CMekJBlRynKequm-w53Fg" TargetMode="External"/><Relationship Id="rId399" Type="http://schemas.openxmlformats.org/officeDocument/2006/relationships/hyperlink" Target="https://www.google.com/url?q=https://github.com/mostafa-saad/MyCompetitiveProgramming/blob/master/Olympiad/Baltic/Baltic-11-Mirroring.txt&amp;sa=D&amp;ust=1605639815616000&amp;usg=AFQjCNGlJVQTFI5f_shvzSGe2weqJj7ScQ" TargetMode="External"/><Relationship Id="rId2287" Type="http://schemas.openxmlformats.org/officeDocument/2006/relationships/hyperlink" Target="https://www.google.com/url?q=https://dmoj.ca/problem/coci13c1p3&amp;sa=D&amp;ust=1605639816648000&amp;usg=AFQjCNH2HZL8nEbrTFJKmqjlW0rPTKF15w" TargetMode="External"/><Relationship Id="rId2494" Type="http://schemas.openxmlformats.org/officeDocument/2006/relationships/hyperlink" Target="https://www.google.com/url?q=https://cses.fi/101/list/&amp;sa=D&amp;ust=1605639816717000&amp;usg=AFQjCNEG37JAu93UCrcseN-FAyw7G3qOJQ" TargetMode="External"/><Relationship Id="rId259" Type="http://schemas.openxmlformats.org/officeDocument/2006/relationships/hyperlink" Target="https://www.google.com/url?q=https://github.com/mostafa-saad/MyCompetitiveProgramming/tree/master/Olympiad/Baltic/official/boi2019_solutions&amp;sa=D&amp;ust=1605639815565000&amp;usg=AFQjCNG8w-mGmA4c_Lf7JFMyaXuhyMdzlQ" TargetMode="External"/><Relationship Id="rId466" Type="http://schemas.openxmlformats.org/officeDocument/2006/relationships/hyperlink" Target="https://www.google.com/url?q=https://github.com/stefdasca/CompetitiveProgramming/blob/master/Infoarena/anagrame.cpp&amp;sa=D&amp;ust=1605639815671000&amp;usg=AFQjCNEK9O7vE4PD_ZoNVLZ6kWFCO9hw7Q" TargetMode="External"/><Relationship Id="rId673" Type="http://schemas.openxmlformats.org/officeDocument/2006/relationships/hyperlink" Target="https://www.google.com/url?q=https://github.com/mostafa-saad/MyCompetitiveProgramming/blob/master/Olympiad/IOI/IOI-15-sorting.txt&amp;sa=D&amp;ust=1605639815925000&amp;usg=AFQjCNEr9720mB5NwacvqYXFpzeoKD8JgA" TargetMode="External"/><Relationship Id="rId880" Type="http://schemas.openxmlformats.org/officeDocument/2006/relationships/hyperlink" Target="https://www.google.com/url?q=https://dmoj.ca/contest/cco18d1&amp;sa=D&amp;ust=1605639816074000&amp;usg=AFQjCNGwEORr75Y3UB_DtRDz2zLcm4aQUQ" TargetMode="External"/><Relationship Id="rId1096" Type="http://schemas.openxmlformats.org/officeDocument/2006/relationships/hyperlink" Target="https://www.google.com/url?q=https://github.com/luciocf/OI-Problems/blob/master/CCO/CCO%25202018/boring.cpp&amp;sa=D&amp;ust=1605639816196000&amp;usg=AFQjCNHmuWkGsb2mOEmDbtdW_SOFgjKg9g" TargetMode="External"/><Relationship Id="rId2147" Type="http://schemas.openxmlformats.org/officeDocument/2006/relationships/hyperlink" Target="https://www.google.com/url?q=https://github.com/mostafa-saad/MyCompetitiveProgramming/blob/master/Olympiad/POI/official/find_editorial_sols_guidelines.txt&amp;sa=D&amp;ust=1605639816609000&amp;usg=AFQjCNF8R0TqnFcAKub6Tk74ukYQzMu1_g" TargetMode="External"/><Relationship Id="rId2354" Type="http://schemas.openxmlformats.org/officeDocument/2006/relationships/hyperlink" Target="https://www.google.com/url?q=https://github.com/nikolapesic2802/Programming-Practice/blob/master/Cycle/main.cpp&amp;sa=D&amp;ust=1605639816666000&amp;usg=AFQjCNECy_6dHwcMfcYaGdm6Y9dVwIGlAQ" TargetMode="External"/><Relationship Id="rId2561" Type="http://schemas.openxmlformats.org/officeDocument/2006/relationships/hyperlink" Target="https://www.google.com/url?q=https://github.com/mostafa-saad/MyCompetitiveProgramming/blob/master/Olympiad/IOI/official/2001&amp;sa=D&amp;ust=1605639816734000&amp;usg=AFQjCNEmVuryc8PBj2NGZOm3eeIJNwgpaA" TargetMode="External"/><Relationship Id="rId119" Type="http://schemas.openxmlformats.org/officeDocument/2006/relationships/hyperlink" Target="https://www.google.com/url?q=https://github.com/mostafa-saad/MyCompetitiveProgramming/blob/master/Olympiad/JOI/JOISC-17-railway_trip.txt&amp;sa=D&amp;ust=1605639815527000&amp;usg=AFQjCNHfF5M8JBwsYNYm_cNYINOsj4m8CA" TargetMode="External"/><Relationship Id="rId326" Type="http://schemas.openxmlformats.org/officeDocument/2006/relationships/hyperlink" Target="https://www.google.com/url?q=https://github.com/mostafa-saad/MyCompetitiveProgramming/blob/master/Olympiad/Balkan/Balkan-12-ShortestPaths.txt&amp;sa=D&amp;ust=1605639815589000&amp;usg=AFQjCNG1uSszmNLXGA4iY_CE9yAOQAN3kA" TargetMode="External"/><Relationship Id="rId533" Type="http://schemas.openxmlformats.org/officeDocument/2006/relationships/hyperlink" Target="https://www.google.com/url?q=https://github.com/mostafa-saad/MyCompetitiveProgramming/blob/master/Olympiad/POI/POI-16-Nim.txt&amp;sa=D&amp;ust=1605639815837000&amp;usg=AFQjCNED3GHmednYa9N_wr7ZYMyz0K61DA" TargetMode="External"/><Relationship Id="rId1163" Type="http://schemas.openxmlformats.org/officeDocument/2006/relationships/hyperlink" Target="https://www.google.com/url?q=https://oj.uz/problem/view/BOI14_postmen&amp;sa=D&amp;ust=1605639816216000&amp;usg=AFQjCNGlmhQRo1nO-r80BJrp9_IKhZIELw" TargetMode="External"/><Relationship Id="rId1370" Type="http://schemas.openxmlformats.org/officeDocument/2006/relationships/hyperlink" Target="https://www.google.com/url?q=http://usaco.org/index.php?page%3Dviewproblem2%26cpid%3D92&amp;sa=D&amp;ust=1605639816335000&amp;usg=AFQjCNGwEDvYDD6qKd2UaCJgdJnE21wOTg" TargetMode="External"/><Relationship Id="rId2007" Type="http://schemas.openxmlformats.org/officeDocument/2006/relationships/hyperlink" Target="https://www.google.com/url?q=https://www.hackerrank.com/contests/ioi-2014-practice-contest-1/challenges&amp;sa=D&amp;ust=1605639816562000&amp;usg=AFQjCNH4OnDRRUcBlNEY0fRWMA9AIl-N1g" TargetMode="External"/><Relationship Id="rId2214" Type="http://schemas.openxmlformats.org/officeDocument/2006/relationships/hyperlink" Target="https://www.google.com/url?q=https://github.com/stefdasca/CompetitiveProgramming/blob/master/Infoarena/troll.cpp&amp;sa=D&amp;ust=1605639816630000&amp;usg=AFQjCNH77qxNlqrP2s-UzoiT0QdWcxWALA" TargetMode="External"/><Relationship Id="rId740" Type="http://schemas.openxmlformats.org/officeDocument/2006/relationships/hyperlink" Target="https://www.google.com/url?q=http://poj.org/problem?id%3D1148&amp;sa=D&amp;ust=1605639815977000&amp;usg=AFQjCNHK1irNAqRRFU3aRPp_Pffav0su1g" TargetMode="External"/><Relationship Id="rId1023" Type="http://schemas.openxmlformats.org/officeDocument/2006/relationships/hyperlink" Target="https://www.google.com/url?q=https://oj.uz/problem/view/COI14_krave&amp;sa=D&amp;ust=1605639816166000&amp;usg=AFQjCNGUmamsLK0pEdjkZj7b529mlb9tIw" TargetMode="External"/><Relationship Id="rId2421" Type="http://schemas.openxmlformats.org/officeDocument/2006/relationships/hyperlink" Target="https://www.google.com/url?q=https://github.com/mostafa-saad/MyCompetitiveProgramming/tree/master/Olympiad/COI/official/2014&amp;sa=D&amp;ust=1605639816692000&amp;usg=AFQjCNFYyXQOMH06SPbRLNaZ24_6fuuidw" TargetMode="External"/><Relationship Id="rId600" Type="http://schemas.openxmlformats.org/officeDocument/2006/relationships/hyperlink" Target="https://www.google.com/url?q=https://oj.uz/problem/view/CEOI12_race&amp;sa=D&amp;ust=1605639815900000&amp;usg=AFQjCNGZYzDys6arrVnnimOF2Bm_ZbKboA" TargetMode="External"/><Relationship Id="rId1230" Type="http://schemas.openxmlformats.org/officeDocument/2006/relationships/hyperlink" Target="https://www.google.com/url?q=https://wcipeg.com/problem/coci096p4&amp;sa=D&amp;ust=1605639816287000&amp;usg=AFQjCNEunZrFh2kwO5-Y4h98-K6fvQh3sg" TargetMode="External"/><Relationship Id="rId183" Type="http://schemas.openxmlformats.org/officeDocument/2006/relationships/hyperlink" Target="https://www.google.com/url?q=https://contest.yandex.ru/ioi/contest/562/problems/C/&amp;sa=D&amp;ust=1605639815545000&amp;usg=AFQjCNHwH2JgoT8IT66q-BgyXB_w69Aaow" TargetMode="External"/><Relationship Id="rId390" Type="http://schemas.openxmlformats.org/officeDocument/2006/relationships/hyperlink" Target="https://www.google.com/url?q=https://wcipeg.com/problem/coci074p6&amp;sa=D&amp;ust=1605639815613000&amp;usg=AFQjCNETou3vmZHUrd23-v3jg2K3KMd4qg" TargetMode="External"/><Relationship Id="rId1907" Type="http://schemas.openxmlformats.org/officeDocument/2006/relationships/hyperlink" Target="https://www.google.com/url?q=https://csacademy.com/contest/ejoi-2017-day-2/task/game/&amp;sa=D&amp;ust=1605639816532000&amp;usg=AFQjCNHhdBlNZ6Qf0FQIURzsX0q9fGi05A" TargetMode="External"/><Relationship Id="rId2071" Type="http://schemas.openxmlformats.org/officeDocument/2006/relationships/hyperlink" Target="https://www.google.com/url?q=https://szkopul.edu.pl/problemset/problem/NuGiXg5BO8iuLFU7vmhCmNWK/site/&amp;sa=D&amp;ust=1605639816586000&amp;usg=AFQjCNG31duDsCPScDcIYwFiFmJ-NmJEfw" TargetMode="External"/><Relationship Id="rId250" Type="http://schemas.openxmlformats.org/officeDocument/2006/relationships/hyperlink" Target="https://www.google.com/url?q=https://github.com/mostafa-saad/MyCompetitiveProgramming/blob/master/Olympiad/POI/official/find_editorial_sols_guidelines.txt&amp;sa=D&amp;ust=1605639815562000&amp;usg=AFQjCNEG9FAp0kbZQch5s82IhcUcuOTJuw" TargetMode="External"/><Relationship Id="rId110" Type="http://schemas.openxmlformats.org/officeDocument/2006/relationships/hyperlink" Target="https://www.google.com/url?q=https://github.com/mostafa-saad/MyCompetitiveProgramming/blob/master/Olympiad/JOI/JOISC-17-city.txt&amp;sa=D&amp;ust=1605639815524000&amp;usg=AFQjCNFrIDd0I2PJj8C3ZSRQnwHpWaqJfg" TargetMode="External"/><Relationship Id="rId2888" Type="http://schemas.openxmlformats.org/officeDocument/2006/relationships/hyperlink" Target="https://www.google.com/url?q=https://github.com/mostafa-saad/MyCompetitiveProgramming/blob/master/Olympiad/POI/official/find_editorial_sols_guidelines.txt&amp;sa=D&amp;ust=1605639816830000&amp;usg=AFQjCNF-vaPkvk16i3FPu4q5Jwoy7Op6ng" TargetMode="External"/><Relationship Id="rId1697" Type="http://schemas.openxmlformats.org/officeDocument/2006/relationships/hyperlink" Target="https://www.google.com/url?q=https://github.com/mostafa-saad/MyCompetitiveProgramming/tree/master/Olympiad/COCI/official/2008/contest3_solutions&amp;sa=D&amp;ust=1605639816458000&amp;usg=AFQjCNE05iq-KxRko1uQ03Swn5lbwiiFKQ" TargetMode="External"/><Relationship Id="rId2748" Type="http://schemas.openxmlformats.org/officeDocument/2006/relationships/hyperlink" Target="https://www.google.com/url?q=https://dunjudge.me/analysis/problems/144/&amp;sa=D&amp;ust=1605639816782000&amp;usg=AFQjCNFOsnoJiZVirkEnN2naBAKPS35BtQ" TargetMode="External"/><Relationship Id="rId2955" Type="http://schemas.openxmlformats.org/officeDocument/2006/relationships/hyperlink" Target="https://www.google.com/url?q=https://dunjudge.me/analysis/problems/1186/&amp;sa=D&amp;ust=1605639816881000&amp;usg=AFQjCNFBEvb4Xb0SB2CAMzLekmcpamoXxA" TargetMode="External"/><Relationship Id="rId927" Type="http://schemas.openxmlformats.org/officeDocument/2006/relationships/hyperlink" Target="https://www.google.com/url?q=https://github.com/mostafa-saad/MyCompetitiveProgramming/blob/master/Olympiad/POI/POI-16-Necklace.txt&amp;sa=D&amp;ust=1605639816091000&amp;usg=AFQjCNHWHvOcAa09Rxsgl8Bl6rtlJ7JGBg" TargetMode="External"/><Relationship Id="rId1557" Type="http://schemas.openxmlformats.org/officeDocument/2006/relationships/hyperlink" Target="https://www.google.com/url?q=https://www.infoarena.ro/problema/scara2&amp;sa=D&amp;ust=1605639816418000&amp;usg=AFQjCNEhVLViL0nLt7ZlLVcNAsg_-nMV6w" TargetMode="External"/><Relationship Id="rId1764" Type="http://schemas.openxmlformats.org/officeDocument/2006/relationships/hyperlink" Target="https://www.google.com/url?q=https://joisc2013-day1.contest.atcoder.jp/tasks/joisc2013_collecting&amp;sa=D&amp;ust=1605639816482000&amp;usg=AFQjCNHCkoS99xIiFqWVYjQdJM8SuOsSGg" TargetMode="External"/><Relationship Id="rId1971" Type="http://schemas.openxmlformats.org/officeDocument/2006/relationships/hyperlink" Target="https://www.google.com/url?q=https://github.com/mostafa-saad/MyCompetitiveProgramming/blob/master/Olympiad/COCI/official/2016/contest3_solutions&amp;sa=D&amp;ust=1605639816551000&amp;usg=AFQjCNGbnxbZGdQf9GDNgcjcmOtye2-Sig" TargetMode="External"/><Relationship Id="rId2608" Type="http://schemas.openxmlformats.org/officeDocument/2006/relationships/hyperlink" Target="https://www.google.com/url?q=https://github.com/mostafa-saad/MyCompetitiveProgramming/blob/master/Olympiad/COCI/official/2013/contest6_solutions&amp;sa=D&amp;ust=1605639816745000&amp;usg=AFQjCNGPAj-aXaBWHMvsoxl29r4tl5w9Iw" TargetMode="External"/><Relationship Id="rId2815" Type="http://schemas.openxmlformats.org/officeDocument/2006/relationships/hyperlink" Target="https://www.google.com/url?q=https://github.com/mostafa-saad/MyCompetitiveProgramming/blob/master/Olympiad/COCI/official/2010/contest5_solutions&amp;sa=D&amp;ust=1605639816806000&amp;usg=AFQjCNGzg8co0Yjb1JJNYiCUKR5qZgx5eg" TargetMode="External"/><Relationship Id="rId56" Type="http://schemas.openxmlformats.org/officeDocument/2006/relationships/hyperlink" Target="https://www.google.com/url?q=https://oj.uz/problem/view/BOI17_friends&amp;sa=D&amp;ust=1605639815507000&amp;usg=AFQjCNEmSyk0NdDGL9aERYvRBK-DEBG35Q" TargetMode="External"/><Relationship Id="rId1417" Type="http://schemas.openxmlformats.org/officeDocument/2006/relationships/hyperlink" Target="https://www.google.com/url?q=https://dmoj.ca/problem/dmopc16c4p4&amp;sa=D&amp;ust=1605639816367000&amp;usg=AFQjCNHhTsw8xoK1Lp3EBOr3EymHdvpokQ" TargetMode="External"/><Relationship Id="rId1624" Type="http://schemas.openxmlformats.org/officeDocument/2006/relationships/hyperlink" Target="https://www.google.com/url?q=https://ideone.com/iyHw7X&amp;sa=D&amp;ust=1605639816438000&amp;usg=AFQjCNEJWiGTYNDKewXABRjT9-faFNJbzw" TargetMode="External"/><Relationship Id="rId1831" Type="http://schemas.openxmlformats.org/officeDocument/2006/relationships/hyperlink" Target="https://www.google.com/url?q=https://github.com/stefdasca/CompetitiveProgramming/blob/master/Infoarena/grea.cpp&amp;sa=D&amp;ust=1605639816507000&amp;usg=AFQjCNFaGtCgf6fPP6vqL_2ZJ8OLgqGSHA" TargetMode="External"/><Relationship Id="rId2398" Type="http://schemas.openxmlformats.org/officeDocument/2006/relationships/hyperlink" Target="https://www.google.com/url?q=https://dunjudge.me/analysis/problems/274/&amp;sa=D&amp;ust=1605639816683000&amp;usg=AFQjCNHVSeu-5E22yO7ecZjuuyFGRlPQhg" TargetMode="External"/><Relationship Id="rId577" Type="http://schemas.openxmlformats.org/officeDocument/2006/relationships/hyperlink" Target="https://www.google.com/url?q=https://github.com/stefdasca/CompetitiveProgramming/blob/master/IZhO/IZhO%252019-xoractive.cpp&amp;sa=D&amp;ust=1605639815892000&amp;usg=AFQjCNFsdEGY6WD6JHoRYIAXD_WWAiB2tg" TargetMode="External"/><Relationship Id="rId2258" Type="http://schemas.openxmlformats.org/officeDocument/2006/relationships/hyperlink" Target="https://www.google.com/url?q=https://www.oi.edu.pl/old/ioi/downloads/ioi2005-tasks-and-solutions-a5.pdf&amp;sa=D&amp;ust=1605639816641000&amp;usg=AFQjCNHmAxMY0NMS9LSWQJA8FtG-21udTg" TargetMode="External"/><Relationship Id="rId784" Type="http://schemas.openxmlformats.org/officeDocument/2006/relationships/hyperlink" Target="https://www.google.com/url?q=https://github.com/mostafa-saad/MyCompetitiveProgramming/blob/master/Olympiad/POI/POI-16-Messenger.txt&amp;sa=D&amp;ust=1605639815993000&amp;usg=AFQjCNE23pBPunbNaiIYjcIUBKdLiPd6QA" TargetMode="External"/><Relationship Id="rId991" Type="http://schemas.openxmlformats.org/officeDocument/2006/relationships/hyperlink" Target="https://www.google.com/url?q=https://po.kattis.com/problems/kattis/no&amp;sa=D&amp;ust=1605639816110000&amp;usg=AFQjCNGbFAAyPY0zaD0K8Q2fVAAy1kNC9Q" TargetMode="External"/><Relationship Id="rId1067" Type="http://schemas.openxmlformats.org/officeDocument/2006/relationships/hyperlink" Target="https://www.google.com/url?q=https://szkopul.edu.pl/problemset/problem/4CirgBfxbj9tIAS2C7DWCCd7/site/?key%3Dstatement&amp;sa=D&amp;ust=1605639816185000&amp;usg=AFQjCNGG7JHHswQ-eUFC-RBu1jn8nw4xmA" TargetMode="External"/><Relationship Id="rId2465" Type="http://schemas.openxmlformats.org/officeDocument/2006/relationships/hyperlink" Target="https://www.google.com/url?q=https://oj.uz/problem/view/NOI18_lightningrod&amp;sa=D&amp;ust=1605639816707000&amp;usg=AFQjCNGLzu-32Tk-uArhv1N0A9cCwjw0ag" TargetMode="External"/><Relationship Id="rId2672" Type="http://schemas.openxmlformats.org/officeDocument/2006/relationships/hyperlink" Target="https://www.google.com/url?q=https://dmoj.ca/problem/nccc6s2&amp;sa=D&amp;ust=1605639816759000&amp;usg=AFQjCNEiP-2P68QwFFMl4uPoRgess6JwJA" TargetMode="External"/><Relationship Id="rId437" Type="http://schemas.openxmlformats.org/officeDocument/2006/relationships/hyperlink" Target="https://www.google.com/url?q=https://csacademy.com/contest/round-78/task/xor-transform/&amp;sa=D&amp;ust=1605639815631000&amp;usg=AFQjCNFofuAKe2VDHPjsJb7reF6DhHm0Qw" TargetMode="External"/><Relationship Id="rId644" Type="http://schemas.openxmlformats.org/officeDocument/2006/relationships/hyperlink" Target="https://www.google.com/url?q=https://oj.uz/problem/view/IOI14_wall&amp;sa=D&amp;ust=1605639815915000&amp;usg=AFQjCNGwGfrmsB3Yr8CoFLACSOlD9qlZEQ" TargetMode="External"/><Relationship Id="rId851" Type="http://schemas.openxmlformats.org/officeDocument/2006/relationships/hyperlink" Target="https://www.google.com/url?q=https://infoarena.ro/problema/mindist&amp;sa=D&amp;ust=1605639816017000&amp;usg=AFQjCNHafcR3z11ZXXPtyU5ZFGpEN-j__w" TargetMode="External"/><Relationship Id="rId1274" Type="http://schemas.openxmlformats.org/officeDocument/2006/relationships/hyperlink" Target="https://www.google.com/url?q=https://github.com/mostafa-saad/MyCompetitiveProgramming/blob/master/Olympiad/POI/POI-06-Invasion.txt&amp;sa=D&amp;ust=1605639816301000&amp;usg=AFQjCNHu13abEIS1cFJJNJxUs1uurpaCTA" TargetMode="External"/><Relationship Id="rId1481" Type="http://schemas.openxmlformats.org/officeDocument/2006/relationships/hyperlink" Target="https://www.google.com/url?q=https://dmoj.ca/problem/coci07c4p5&amp;sa=D&amp;ust=1605639816392000&amp;usg=AFQjCNF08qcI3FHEXCGWoDgzGOdmPOUO5g" TargetMode="External"/><Relationship Id="rId2118" Type="http://schemas.openxmlformats.org/officeDocument/2006/relationships/hyperlink" Target="https://www.google.com/url?q=https://oj.uz/problem/view/JOI20_ho_t3&amp;sa=D&amp;ust=1605639816600000&amp;usg=AFQjCNHtiPQE1LA_Bk_FDabNffUQUMuMXg" TargetMode="External"/><Relationship Id="rId2325" Type="http://schemas.openxmlformats.org/officeDocument/2006/relationships/hyperlink" Target="https://www.google.com/url?q=https://www.infoarena.ro/problema/copii2&amp;sa=D&amp;ust=1605639816658000&amp;usg=AFQjCNHLck8UbMoPzHl7-Cr7gMJM7f7nHQ" TargetMode="External"/><Relationship Id="rId2532" Type="http://schemas.openxmlformats.org/officeDocument/2006/relationships/hyperlink" Target="https://www.google.com/url?q=https://github.com/mostafa-saad/MyCompetitiveProgramming/blob/master/Olympiad/POI/official/find_editorial_sols_guidelines.txt&amp;sa=D&amp;ust=1605639816728000&amp;usg=AFQjCNE0IFj-5UHVWbHgtTHpgUuC60ZjVQ" TargetMode="External"/><Relationship Id="rId504" Type="http://schemas.openxmlformats.org/officeDocument/2006/relationships/hyperlink" Target="https://www.google.com/url?q=https://github.com/mostafa-saad/MyCompetitiveProgramming/blob/master/Olympiad/infoarena/infoarena_xortransform.txt&amp;sa=D&amp;ust=1605639815683000&amp;usg=AFQjCNGVD8PrUIH1RZUXeNC_ZqAJFuXHkA" TargetMode="External"/><Relationship Id="rId711" Type="http://schemas.openxmlformats.org/officeDocument/2006/relationships/hyperlink" Target="https://www.google.com/url?q=https://github.com/mostafa-saad/MyCompetitiveProgramming/blob/master/Olympiad/infoarena/infoarena_ratway.txt&amp;sa=D&amp;ust=1605639815966000&amp;usg=AFQjCNEwwCQ6czdqGHeXIhLhG4OTJoT3Yw" TargetMode="External"/><Relationship Id="rId1134" Type="http://schemas.openxmlformats.org/officeDocument/2006/relationships/hyperlink" Target="https://www.google.com/url?q=https://github.com/mostafa-saad/MyCompetitiveProgramming/blob/master/Olympiad/COI/COI+17-ili.txt&amp;sa=D&amp;ust=1605639816208000&amp;usg=AFQjCNGn7Esyi1bOjrAvKO2s8huGXj11PQ" TargetMode="External"/><Relationship Id="rId1341" Type="http://schemas.openxmlformats.org/officeDocument/2006/relationships/hyperlink" Target="https://www.google.com/url?q=https://github.com/mostafa-saad/MyCompetitiveProgramming/blob/master/Olympiad/CEOI/CEOI-08-Dominance.txt&amp;sa=D&amp;ust=1605639816325000&amp;usg=AFQjCNHdgpJ6p5879-X4r7PTA_J6dt7Stw" TargetMode="External"/><Relationship Id="rId1201" Type="http://schemas.openxmlformats.org/officeDocument/2006/relationships/hyperlink" Target="https://www.google.com/url?q=https://joisc2016.contest.atcoder.jp/tasks/joisc2016_j&amp;sa=D&amp;ust=1605639816275000&amp;usg=AFQjCNFKbTnw1PN76oYP6hghHZATYuyfFw" TargetMode="External"/><Relationship Id="rId294" Type="http://schemas.openxmlformats.org/officeDocument/2006/relationships/hyperlink" Target="https://www.google.com/url?q=https://dmoj.ca/problem/coci15c3p6&amp;sa=D&amp;ust=1605639815578000&amp;usg=AFQjCNFNyHivj2W4aXxL1WNKIsK8kHPLHA" TargetMode="External"/><Relationship Id="rId2182" Type="http://schemas.openxmlformats.org/officeDocument/2006/relationships/hyperlink" Target="https://www.google.com/url?q=https://joisc2014.contest.atcoder.jp/tasks/joisc2014_a&amp;sa=D&amp;ust=1605639816621000&amp;usg=AFQjCNG0cKVztvKcLpDw94hQG_SYCiznGg" TargetMode="External"/><Relationship Id="rId154" Type="http://schemas.openxmlformats.org/officeDocument/2006/relationships/hyperlink" Target="https://www.google.com/url?q=https://github.com/mostafa-saad/MyCompetitiveProgramming/tree/master/Olympiad/JOI/official/JOIOC/2018&amp;sa=D&amp;ust=1605639815537000&amp;usg=AFQjCNHzEpHZv_QWuaosTUHeNhP1xcEOfA" TargetMode="External"/><Relationship Id="rId361" Type="http://schemas.openxmlformats.org/officeDocument/2006/relationships/hyperlink" Target="https://www.google.com/url?q=http://oj.uz/problem/view/LMIO19_bulves&amp;sa=D&amp;ust=1605639815601000&amp;usg=AFQjCNEuMmxEjkq1MDDCn_sO4ji4PdBPwQ" TargetMode="External"/><Relationship Id="rId2042" Type="http://schemas.openxmlformats.org/officeDocument/2006/relationships/hyperlink" Target="https://www.google.com/url?q=https://www.infoarena.ro/problema/covor&amp;sa=D&amp;ust=1605639816575000&amp;usg=AFQjCNHqW6LO1zC5p5ssqIFvRMXGwGwbuw" TargetMode="External"/><Relationship Id="rId2999" Type="http://schemas.openxmlformats.org/officeDocument/2006/relationships/hyperlink" Target="https://www.google.com/url?q=https://dunjudge.me/analysis/problems/1479/&amp;sa=D&amp;ust=1605639816901000&amp;usg=AFQjCNGqxZaqwoRPj37i2mVlKgCXZlpRCA" TargetMode="External"/><Relationship Id="rId221" Type="http://schemas.openxmlformats.org/officeDocument/2006/relationships/hyperlink" Target="https://www.google.com/url?q=https://github.com/tmwilliamlin168/CompetitiveProgramming/blob/master/USACO/Contests/1819_1P/Itout.cpp&amp;sa=D&amp;ust=1605639815555000&amp;usg=AFQjCNEZN5qf8L4RC0zSGmaopRiTYRKg9w" TargetMode="External"/><Relationship Id="rId2859" Type="http://schemas.openxmlformats.org/officeDocument/2006/relationships/hyperlink" Target="https://www.google.com/url?q=https://dunjudge.me/analysis/problems/1496/&amp;sa=D&amp;ust=1605639816820000&amp;usg=AFQjCNHfVYpQzjDkLa_zY7B1w-hgDZsTug" TargetMode="External"/><Relationship Id="rId1668" Type="http://schemas.openxmlformats.org/officeDocument/2006/relationships/hyperlink" Target="https://www.google.com/url?q=https://github.com/mostafa-saad/MyCompetitiveProgramming/blob/master/Olympiad/CEOI/CEOI-06-Antenna.txt&amp;sa=D&amp;ust=1605639816450000&amp;usg=AFQjCNG8YVESR3QB6zARbP6xf40QwpzbMQ" TargetMode="External"/><Relationship Id="rId1875" Type="http://schemas.openxmlformats.org/officeDocument/2006/relationships/hyperlink" Target="https://www.google.com/url?q=https://dunjudge.me/analysis/problems/1385/&amp;sa=D&amp;ust=1605639816523000&amp;usg=AFQjCNEVCAML5u3p-pr4G6D-4w7f8mgjvA" TargetMode="External"/><Relationship Id="rId2719" Type="http://schemas.openxmlformats.org/officeDocument/2006/relationships/hyperlink" Target="https://www.google.com/url?q=https://oj.uz/problem/view/COCI15_esej&amp;sa=D&amp;ust=1605639816773000&amp;usg=AFQjCNGnOOoPep5zw9Dn7e1T_3EYeK_jeg" TargetMode="External"/><Relationship Id="rId1528" Type="http://schemas.openxmlformats.org/officeDocument/2006/relationships/hyperlink" Target="https://www.google.com/url?q=https://www.infoarena.ro/problema/minim2&amp;sa=D&amp;ust=1605639816408000&amp;usg=AFQjCNFZMOjkcpRGEsa_86ypd8Q3A5nyzQ" TargetMode="External"/><Relationship Id="rId2926" Type="http://schemas.openxmlformats.org/officeDocument/2006/relationships/hyperlink" Target="https://www.google.com/url?q=https://joi2014ho.contest.atcoder.jp/tasks/joi2014ho5&amp;sa=D&amp;ust=1605639816866000&amp;usg=AFQjCNHMc0m78kT01hnlREKHCbl1OUZHQw" TargetMode="External"/><Relationship Id="rId1735" Type="http://schemas.openxmlformats.org/officeDocument/2006/relationships/hyperlink" Target="https://www.google.com/url?q=https://github.com/updown2/OI-Practice/blob/master/USACO/2014-2015/January/Problem%25203%2520grass.cpp&amp;sa=D&amp;ust=1605639816471000&amp;usg=AFQjCNHKIp4SLqdDKn07yIUdBzh-nj3s9g" TargetMode="External"/><Relationship Id="rId1942" Type="http://schemas.openxmlformats.org/officeDocument/2006/relationships/hyperlink" Target="https://www.google.com/url?q=https://github.com/mostafa-saad/MyCompetitiveProgramming/blob/master/Olympiad/POI/POI-07-Megalopolis.txt&amp;sa=D&amp;ust=1605639816542000&amp;usg=AFQjCNFD5oLOcW5Ei6qBT8AgK8fnlMUqGg" TargetMode="External"/><Relationship Id="rId27" Type="http://schemas.openxmlformats.org/officeDocument/2006/relationships/hyperlink" Target="https://www.google.com/url?q=https://github.com/mostafa-saad/MyCompetitiveProgramming/blob/master/Olympiad/IOI/IOI-12-editorials.txt&amp;sa=D&amp;ust=1605639815494000&amp;usg=AFQjCNF4MUlSxF-EaehXFgdqp_nwO8YnTg" TargetMode="External"/><Relationship Id="rId1802" Type="http://schemas.openxmlformats.org/officeDocument/2006/relationships/hyperlink" Target="https://www.google.com/url?q=https://joisc2015.contest.atcoder.jp/tasks/joisc2015_g&amp;sa=D&amp;ust=1605639816498000&amp;usg=AFQjCNFwkpMnQS0bmrhHhLuxCsXiCwiU1w" TargetMode="External"/><Relationship Id="rId688" Type="http://schemas.openxmlformats.org/officeDocument/2006/relationships/hyperlink" Target="https://www.google.com/url?q=https://github.com/mostafa-saad/MyCompetitiveProgramming/blob/master/Olympiad/COCI/COCI-09-Palacinke.txt&amp;sa=D&amp;ust=1605639815930000&amp;usg=AFQjCNGSZFkyzltpcJn9ZvxYi73R_VQEGA" TargetMode="External"/><Relationship Id="rId895" Type="http://schemas.openxmlformats.org/officeDocument/2006/relationships/hyperlink" Target="https://www.google.com/url?q=https://github.com/mostafa-saad/MyCompetitiveProgramming/blob/master/Olympiad/CEOI/CEOI-02-Bugs.txt&amp;sa=D&amp;ust=1605639816081000&amp;usg=AFQjCNE7n_E275tSCWQ6iw52e0pWN2NMuQ" TargetMode="External"/><Relationship Id="rId2369" Type="http://schemas.openxmlformats.org/officeDocument/2006/relationships/hyperlink" Target="https://www.google.com/url?q=https://dunjudge.me/analysis/problems/272/&amp;sa=D&amp;ust=1605639816671000&amp;usg=AFQjCNE1TEPxYe2jueZF4Ty4yRWV_Bjc1Q" TargetMode="External"/><Relationship Id="rId2576" Type="http://schemas.openxmlformats.org/officeDocument/2006/relationships/hyperlink" Target="https://www.google.com/url?q=https://boi18-practice-open.kattis.com/problems&amp;sa=D&amp;ust=1605639816738000&amp;usg=AFQjCNGriE58ze_ZRs7HKxcOUDF0A8cq5A" TargetMode="External"/><Relationship Id="rId2783" Type="http://schemas.openxmlformats.org/officeDocument/2006/relationships/hyperlink" Target="https://www.google.com/url?q=https://oj.uz/problem/view/COCI17_baza&amp;sa=D&amp;ust=1605639816795000&amp;usg=AFQjCNGeFK6CN_FYHsbwRWBrdIqSDHrQjg" TargetMode="External"/><Relationship Id="rId2990" Type="http://schemas.openxmlformats.org/officeDocument/2006/relationships/hyperlink" Target="https://www.google.com/url?q=https://dunjudge.me/analysis/problems/420/&amp;sa=D&amp;ust=1605639816898000&amp;usg=AFQjCNEBYZiLCsZV2moVFgN4sHXJODx1Bw" TargetMode="External"/><Relationship Id="rId548" Type="http://schemas.openxmlformats.org/officeDocument/2006/relationships/hyperlink" Target="https://www.google.com/url?q=https://szkopul.edu.pl/problemset/problem/ci05UTAWBFeYYWnidnK1zzQl/site/&amp;sa=D&amp;ust=1605639815881000&amp;usg=AFQjCNF3Ii5AgfLpa1dzcY1SFbnRcgyA-Q" TargetMode="External"/><Relationship Id="rId755" Type="http://schemas.openxmlformats.org/officeDocument/2006/relationships/hyperlink" Target="https://www.google.com/url?q=https://training.ia-toki.org/problemsets/53/problems/255/&amp;sa=D&amp;ust=1605639815983000&amp;usg=AFQjCNEh-ujxOKrsqvGYhHWZYBPcAWhLQw" TargetMode="External"/><Relationship Id="rId962" Type="http://schemas.openxmlformats.org/officeDocument/2006/relationships/hyperlink" Target="https://www.google.com/url?q=https://github.com/nikolapesic2802/Programming-Practice/blob/master/Garbage/main.cpp&amp;sa=D&amp;ust=1605639816102000&amp;usg=AFQjCNH-KFaTHc3brVl3UfhmxzEz6YD59w" TargetMode="External"/><Relationship Id="rId1178" Type="http://schemas.openxmlformats.org/officeDocument/2006/relationships/hyperlink" Target="https://www.google.com/url?q=https://github.com/Szawinis/CompetitiveProgramming/blob/master/Olympiad/Baltic/Baltic17-toll.cpp&amp;sa=D&amp;ust=1605639816219000&amp;usg=AFQjCNHWUeru1u7EtJL-jNPtZ3VW_KI8AA" TargetMode="External"/><Relationship Id="rId1385" Type="http://schemas.openxmlformats.org/officeDocument/2006/relationships/hyperlink" Target="https://www.google.com/url?q=https://github.com/Shash-Wat/competitive-programming/blob/master/POI/poi_sport.cpp&amp;sa=D&amp;ust=1605639816342000&amp;usg=AFQjCNErF-0MTiMRBO1TNYGqEgfea3Sxlg" TargetMode="External"/><Relationship Id="rId1592" Type="http://schemas.openxmlformats.org/officeDocument/2006/relationships/hyperlink" Target="https://www.google.com/url?q=https://github.com/mostafa-saad/MyCompetitiveProgramming/blob/master/Olympiad/NOI/official&amp;sa=D&amp;ust=1605639816429000&amp;usg=AFQjCNEXkcmnFdc3jFZWORM5czVAgzo-6w" TargetMode="External"/><Relationship Id="rId2229" Type="http://schemas.openxmlformats.org/officeDocument/2006/relationships/hyperlink" Target="https://www.google.com/url?q=https://codeforces.com/group/swEqtABRxe/contest/227527/problem/A&amp;sa=D&amp;ust=1605639816635000&amp;usg=AFQjCNHBNI1wLBzTnFlQ2KIWaS0wMEhOaA" TargetMode="External"/><Relationship Id="rId2436" Type="http://schemas.openxmlformats.org/officeDocument/2006/relationships/hyperlink" Target="https://www.google.com/url?q=https://dunjudge.me/analysis/problems/694/&amp;sa=D&amp;ust=1605639816696000&amp;usg=AFQjCNEgqt6or9TWRWtc1OOPTFNs5zhLqQ" TargetMode="External"/><Relationship Id="rId2643" Type="http://schemas.openxmlformats.org/officeDocument/2006/relationships/hyperlink" Target="https://www.google.com/url?q=https://dmoj.ca/problem/coci07c4p1&amp;sa=D&amp;ust=1605639816753000&amp;usg=AFQjCNEpdFiJ8J1O99P2FK-ZcZIMqlTeNw" TargetMode="External"/><Relationship Id="rId2850" Type="http://schemas.openxmlformats.org/officeDocument/2006/relationships/hyperlink" Target="https://www.google.com/url?q=https://github.com/mostafa-saad/MyCompetitiveProgramming/blob/master/Olympiad/IOI/official/2002&amp;sa=D&amp;ust=1605639816816000&amp;usg=AFQjCNGRLil9vu42pXYOz1MHGXsn-h5lrg" TargetMode="External"/><Relationship Id="rId91" Type="http://schemas.openxmlformats.org/officeDocument/2006/relationships/hyperlink" Target="https://www.google.com/url?q=https://codeforces.com/blog/entry/51198&amp;sa=D&amp;ust=1605639815518000&amp;usg=AFQjCNHnStBqVRLUhCzIr7gYb6MO9AvXaA" TargetMode="External"/><Relationship Id="rId408" Type="http://schemas.openxmlformats.org/officeDocument/2006/relationships/hyperlink" Target="https://www.google.com/url?q=https://oj.uz/problems/source/120&amp;sa=D&amp;ust=1605639815621000&amp;usg=AFQjCNFd6vyWy_YzOChnWK4EGFYVTKYH1w" TargetMode="External"/><Relationship Id="rId615" Type="http://schemas.openxmlformats.org/officeDocument/2006/relationships/hyperlink" Target="https://www.google.com/url?q=https://github.com/mostafa-saad/MyCompetitiveProgramming/blob/master/Olympiad/CEOI/CEOI-04-Sweets.txt&amp;sa=D&amp;ust=1605639815905000&amp;usg=AFQjCNG_ZLywueMm1CwHApncqgR5LQ-mLw" TargetMode="External"/><Relationship Id="rId822" Type="http://schemas.openxmlformats.org/officeDocument/2006/relationships/hyperlink" Target="https://www.google.com/url?q=https://cses.fi/112/list/&amp;sa=D&amp;ust=1605639816007000&amp;usg=AFQjCNFO7eeLnm_pEph-85VbDfdaSQ5yNA" TargetMode="External"/><Relationship Id="rId1038" Type="http://schemas.openxmlformats.org/officeDocument/2006/relationships/hyperlink" Target="https://www.google.com/url?q=https://github.com/mostafa-saad/MyCompetitiveProgramming/blob/master/Olympiad/POI/POI-04-East_West.txt&amp;sa=D&amp;ust=1605639816175000&amp;usg=AFQjCNFU2uaZNGGsVKTg8hWyqITfhdWxFw" TargetMode="External"/><Relationship Id="rId1245" Type="http://schemas.openxmlformats.org/officeDocument/2006/relationships/hyperlink" Target="https://www.google.com/url?q=https://csacademy.com/contest/rmi-2017-day-1/task/hangman2/&amp;sa=D&amp;ust=1605639816292000&amp;usg=AFQjCNH_0A3fbjVAKShc-cgkwZo3EQ1fuA" TargetMode="External"/><Relationship Id="rId1452" Type="http://schemas.openxmlformats.org/officeDocument/2006/relationships/hyperlink" Target="https://www.google.com/url?q=https://oj.uz/problem/view/COCI18_sajam&amp;sa=D&amp;ust=1605639816379000&amp;usg=AFQjCNEFH1vYD4VJB2ou-PB8IyVcBqwTew" TargetMode="External"/><Relationship Id="rId2503" Type="http://schemas.openxmlformats.org/officeDocument/2006/relationships/hyperlink" Target="https://www.google.com/url?q=https://github.com/mostafa-saad/MyCompetitiveProgramming/tree/master/Olympiad/COCI/official/2008/contest1_solutions&amp;sa=D&amp;ust=1605639816719000&amp;usg=AFQjCNGoc73gn8icW-XpVXNHAUH6aBRG9Q" TargetMode="External"/><Relationship Id="rId1105" Type="http://schemas.openxmlformats.org/officeDocument/2006/relationships/hyperlink" Target="https://www.google.com/url?q=https://training.olinfo.it/contests/oii2018/tasks/cena/description&amp;sa=D&amp;ust=1605639816199000&amp;usg=AFQjCNHnBO6RfU9zsdy6SsC6OM9I64RHGw" TargetMode="External"/><Relationship Id="rId1312" Type="http://schemas.openxmlformats.org/officeDocument/2006/relationships/hyperlink" Target="https://www.google.com/url?q=https://github.com/stefdasca/CompetitiveProgramming/blob/master/Infoarena/kdtree.cpp&amp;sa=D&amp;ust=1605639816315000&amp;usg=AFQjCNErUA8DE2_9sOtwmLJfLqeA2z8YGA" TargetMode="External"/><Relationship Id="rId2710" Type="http://schemas.openxmlformats.org/officeDocument/2006/relationships/hyperlink" Target="https://www.google.com/url?q=https://dunjudge.me/analysis/problems/237/&amp;sa=D&amp;ust=1605639816770000&amp;usg=AFQjCNF9sM2gRULGi9F1HTZNs2_fTYAlgg" TargetMode="External"/><Relationship Id="rId198" Type="http://schemas.openxmlformats.org/officeDocument/2006/relationships/hyperlink" Target="https://www.google.com/url?q=https://oj.uz/problem/view/IZhO18_segments&amp;sa=D&amp;ust=1605639815549000&amp;usg=AFQjCNGvV6Xra7yU2qj4ujWLqbUZoWfP3w" TargetMode="External"/><Relationship Id="rId2086" Type="http://schemas.openxmlformats.org/officeDocument/2006/relationships/hyperlink" Target="https://www.google.com/url?q=https://dmoj.ca/problem/coci07c3p6&amp;sa=D&amp;ust=1605639816590000&amp;usg=AFQjCNF5fgXMfoFQ3HssKIX1EKSM2LKoow" TargetMode="External"/><Relationship Id="rId2293" Type="http://schemas.openxmlformats.org/officeDocument/2006/relationships/hyperlink" Target="https://www.google.com/url?q=https://github.com/mostafa-saad/MyCompetitiveProgramming/blob/master/Olympiad/NOI/official&amp;sa=D&amp;ust=1605639816650000&amp;usg=AFQjCNHqn-JaCvPgX17ddH2mEtrj474ilQ" TargetMode="External"/><Relationship Id="rId265" Type="http://schemas.openxmlformats.org/officeDocument/2006/relationships/hyperlink" Target="https://www.google.com/url?q=https://github.com/mostafa-saad/MyCompetitiveProgramming/blob/master/Olympiad/Baltic/official/boi2011_solutions&amp;sa=D&amp;ust=1605639815567000&amp;usg=AFQjCNExabmyUwDtcPJVS6epLrZPE4tyqg" TargetMode="External"/><Relationship Id="rId472" Type="http://schemas.openxmlformats.org/officeDocument/2006/relationships/hyperlink" Target="https://www.google.com/url?q=https://github.com/mostafa-saad/MyCompetitiveProgramming/blob/master/Olympiad/POI/official/find_editorial_sols_guidelines.txt&amp;sa=D&amp;ust=1605639815673000&amp;usg=AFQjCNEszTNHmmRrCQfcQTALp2VYw24iZw" TargetMode="External"/><Relationship Id="rId2153" Type="http://schemas.openxmlformats.org/officeDocument/2006/relationships/hyperlink" Target="https://www.google.com/url?q=https://github.com/stefdasca/CompetitiveProgramming/blob/master/Infoarena/cartite.cpp&amp;sa=D&amp;ust=1605639816611000&amp;usg=AFQjCNFPVkVf7KZoMEky60KLZUW5yNW68w" TargetMode="External"/><Relationship Id="rId2360" Type="http://schemas.openxmlformats.org/officeDocument/2006/relationships/hyperlink" Target="https://www.google.com/url?q=https://ipsc.ksp.sk/2018/real/problems/j.html&amp;sa=D&amp;ust=1605639816668000&amp;usg=AFQjCNFIjWCBgeKz-gSAgcwgPl0dHoTBZQ" TargetMode="External"/><Relationship Id="rId125" Type="http://schemas.openxmlformats.org/officeDocument/2006/relationships/hyperlink" Target="https://www.google.com/url?q=http://www.usaco.org/index.php?page%3Dviewproblem2%26cpid%3D974&amp;sa=D&amp;ust=1605639815529000&amp;usg=AFQjCNFB3BVt0twoUHC6TsqKhwEHi-MzOw" TargetMode="External"/><Relationship Id="rId332" Type="http://schemas.openxmlformats.org/officeDocument/2006/relationships/hyperlink" Target="https://www.google.com/url?q=https://github.com/mostafa-saad/MyCompetitiveProgramming/tree/master/Olympiad/MCO/official&amp;sa=D&amp;ust=1605639815591000&amp;usg=AFQjCNFXmScHWUgfGbJ-ZW-2H6O8mx7qQA" TargetMode="External"/><Relationship Id="rId2013" Type="http://schemas.openxmlformats.org/officeDocument/2006/relationships/hyperlink" Target="https://www.google.com/url?q=https://oj.uz/problem/view/COI16_dijament&amp;sa=D&amp;ust=1605639816563000&amp;usg=AFQjCNEY05k1QlGbQ_5MKm2VaFjEqJlu3Q" TargetMode="External"/><Relationship Id="rId2220" Type="http://schemas.openxmlformats.org/officeDocument/2006/relationships/hyperlink" Target="https://www.google.com/url?q=https://dmoj.ca/problem/ioi97p1&amp;sa=D&amp;ust=1605639816633000&amp;usg=AFQjCNEDzjQIwRUYJ7TA7603zGkImTiIcg" TargetMode="External"/><Relationship Id="rId1779" Type="http://schemas.openxmlformats.org/officeDocument/2006/relationships/hyperlink" Target="https://www.google.com/url?q=https://www.infoarena.ro/problema/asmin&amp;sa=D&amp;ust=1605639816488000&amp;usg=AFQjCNGB5UIiBgHFDozUYqvFPxQSz2UdHA" TargetMode="External"/><Relationship Id="rId1986" Type="http://schemas.openxmlformats.org/officeDocument/2006/relationships/hyperlink" Target="https://www.google.com/url?q=https://github.com/mostafa-saad/MyCompetitiveProgramming/blob/master/Olympiad/COCI/COCI-17-deda.txt&amp;sa=D&amp;ust=1605639816555000&amp;usg=AFQjCNEUC9iX-E-A_kujQKgitQFtuhuc1w" TargetMode="External"/><Relationship Id="rId1639" Type="http://schemas.openxmlformats.org/officeDocument/2006/relationships/hyperlink" Target="https://www.google.com/url?q=https://github.com/mostafa-saad/MyCompetitiveProgramming/tree/master/Olympiad/Baltic/official/boi2019_solutions&amp;sa=D&amp;ust=1605639816443000&amp;usg=AFQjCNG8H-mT26L1yOBWIygiYiDt0HHW5A" TargetMode="External"/><Relationship Id="rId1846" Type="http://schemas.openxmlformats.org/officeDocument/2006/relationships/hyperlink" Target="https://www.google.com/url?q=https://joi2013ho.contest.atcoder.jp/tasks/joi2013ho4&amp;sa=D&amp;ust=1605639816513000&amp;usg=AFQjCNFzaAy6ZblykMyxU-VPdKpOHmvTEw" TargetMode="External"/><Relationship Id="rId1706" Type="http://schemas.openxmlformats.org/officeDocument/2006/relationships/hyperlink" Target="https://www.google.com/url?q=https://github.com/mostafa-saad/MyCompetitiveProgramming/blob/master/Olympiad/Baltic/Baltic-11-Meetings.txt&amp;sa=D&amp;ust=1605639816461000&amp;usg=AFQjCNGjpuNdEl0uLAxb16EqqellGmqAFg" TargetMode="External"/><Relationship Id="rId1913" Type="http://schemas.openxmlformats.org/officeDocument/2006/relationships/hyperlink" Target="https://www.google.com/url?q=https://cses.fi/231/task/C&amp;sa=D&amp;ust=1605639816534000&amp;usg=AFQjCNG3hkAE76KmnfxONIqNvZJi_5A6JA" TargetMode="External"/><Relationship Id="rId799" Type="http://schemas.openxmlformats.org/officeDocument/2006/relationships/hyperlink" Target="https://www.google.com/url?q=https://dunjudge.me/analysis/problems/752/&amp;sa=D&amp;ust=1605639815998000&amp;usg=AFQjCNG66sEkncXyz8aSjnjxfgpMDx2i6A" TargetMode="External"/><Relationship Id="rId2687" Type="http://schemas.openxmlformats.org/officeDocument/2006/relationships/hyperlink" Target="https://www.google.com/url?q=https://dunjudge.me/analysis/problems/1365/&amp;sa=D&amp;ust=1605639816762000&amp;usg=AFQjCNEr4Yds6goHHRq9BzTRAnxGnp9u9w" TargetMode="External"/><Relationship Id="rId2894" Type="http://schemas.openxmlformats.org/officeDocument/2006/relationships/hyperlink" Target="https://www.google.com/url?q=https://oj.uz/problem/view/COCI18_nlo&amp;sa=D&amp;ust=1605639816839000&amp;usg=AFQjCNGeBIKqbfLb3-QtNxFMxSI3laLP_g" TargetMode="External"/><Relationship Id="rId659" Type="http://schemas.openxmlformats.org/officeDocument/2006/relationships/hyperlink" Target="https://www.google.com/url?q=https://github.com/tmwilliamlin168/CompetitiveProgramming/blob/master/CEOI/12-Highway.cpp&amp;sa=D&amp;ust=1605639815921000&amp;usg=AFQjCNHBWk54Imqb0IOJvsY_G45bumULlQ" TargetMode="External"/><Relationship Id="rId866" Type="http://schemas.openxmlformats.org/officeDocument/2006/relationships/hyperlink" Target="https://www.google.com/url?q=https://github.com/mostafa-saad/MyCompetitiveProgramming/blob/master/Olympiad/Baltic/Baltic-05-Polygon.txt&amp;sa=D&amp;ust=1605639816022000&amp;usg=AFQjCNFWc2rtsrw-68Qt3LJVEaEG4GOBkw" TargetMode="External"/><Relationship Id="rId1289" Type="http://schemas.openxmlformats.org/officeDocument/2006/relationships/hyperlink" Target="https://www.google.com/url?q=https://infoarena.ro/problema/plimbare3&amp;sa=D&amp;ust=1605639816307000&amp;usg=AFQjCNFW7b9qBgwv-1zZTJBVP7RKYOfkHw" TargetMode="External"/><Relationship Id="rId1496" Type="http://schemas.openxmlformats.org/officeDocument/2006/relationships/hyperlink" Target="https://www.google.com/url?q=https://www.infoarena.ro/problema/treesearch&amp;sa=D&amp;ust=1605639816396000&amp;usg=AFQjCNHKDdy5eJVJqIfVooPlT4CgWHWXAQ" TargetMode="External"/><Relationship Id="rId2547" Type="http://schemas.openxmlformats.org/officeDocument/2006/relationships/hyperlink" Target="https://www.google.com/url?q=https://github.com/mostafa-saad/MyCompetitiveProgramming/blob/master/Olympiad/IOI/official/2016&amp;sa=D&amp;ust=1605639816732000&amp;usg=AFQjCNHWbeu47iEvj4rT4KYnAH2osxNOjA" TargetMode="External"/><Relationship Id="rId519" Type="http://schemas.openxmlformats.org/officeDocument/2006/relationships/hyperlink" Target="https://www.google.com/url?q=https://dunjudge.me/analysis/problems/762/&amp;sa=D&amp;ust=1605639815687000&amp;usg=AFQjCNFacVpwbAXDMEweSiAjGnk1Gxa01g" TargetMode="External"/><Relationship Id="rId1149" Type="http://schemas.openxmlformats.org/officeDocument/2006/relationships/hyperlink" Target="https://www.google.com/url?q=https://oj.uz/problem/view/COI19_ljetopica&amp;sa=D&amp;ust=1605639816212000&amp;usg=AFQjCNFS_EsNCGmdURAA5ASRzDwHDBCVFw" TargetMode="External"/><Relationship Id="rId1356" Type="http://schemas.openxmlformats.org/officeDocument/2006/relationships/hyperlink" Target="https://www.google.com/url?q=https://csacademy.com/contest/balkan-oi-2017-day-2/&amp;sa=D&amp;ust=1605639816332000&amp;usg=AFQjCNGnTDc8BtzPIcBhh_2-MaSs5rPanQ" TargetMode="External"/><Relationship Id="rId2754" Type="http://schemas.openxmlformats.org/officeDocument/2006/relationships/hyperlink" Target="https://www.google.com/url?q=https://dmoj.ca/problem/coci06c2p1&amp;sa=D&amp;ust=1605639816783000&amp;usg=AFQjCNE4COcIafiOH69F3IhInswrPQQwTQ" TargetMode="External"/><Relationship Id="rId2961" Type="http://schemas.openxmlformats.org/officeDocument/2006/relationships/hyperlink" Target="https://www.google.com/url?q=https://szkopul.edu.pl/problemset/problem/-7cqC3RrH4e-Ar7DWy4GKzLv/site/&amp;sa=D&amp;ust=1605639816884000&amp;usg=AFQjCNFGsFcloiGW-nyaRFNx_Xe-up6I9A" TargetMode="External"/><Relationship Id="rId726" Type="http://schemas.openxmlformats.org/officeDocument/2006/relationships/hyperlink" Target="https://www.google.com/url?q=https://oj.uz/problem/view/POI11_pro&amp;sa=D&amp;ust=1605639815972000&amp;usg=AFQjCNGWMxzYz8yPQiaDaMpGYVdrV8e_FQ" TargetMode="External"/><Relationship Id="rId933" Type="http://schemas.openxmlformats.org/officeDocument/2006/relationships/hyperlink" Target="https://www.google.com/url?q=https://github.com/mostafa-saad/MyCompetitiveProgramming/blob/master/Olympiad/POI/official/find_editorial_sols_guidelines.txt&amp;sa=D&amp;ust=1605639816093000&amp;usg=AFQjCNFBWOa9trTFRLPZlgDXgr85vgNGFA" TargetMode="External"/><Relationship Id="rId1009" Type="http://schemas.openxmlformats.org/officeDocument/2006/relationships/hyperlink" Target="https://www.google.com/url?q=https://oj.uz/problem/view/COCI19_transport&amp;sa=D&amp;ust=1605639816116000&amp;usg=AFQjCNEXewocP5LQyTbCfi7OlV68VLLjJg" TargetMode="External"/><Relationship Id="rId1563" Type="http://schemas.openxmlformats.org/officeDocument/2006/relationships/hyperlink" Target="https://www.google.com/url?q=https://oj.uz/problem/view/IOI13_dreaming&amp;sa=D&amp;ust=1605639816421000&amp;usg=AFQjCNFqNAYgHQ363p0Jz2twnlbXKS8-qQ" TargetMode="External"/><Relationship Id="rId1770" Type="http://schemas.openxmlformats.org/officeDocument/2006/relationships/hyperlink" Target="https://www.google.com/url?q=https://oj.uz/problem/view/BOI13_ballmachine&amp;sa=D&amp;ust=1605639816485000&amp;usg=AFQjCNHdp1sNpikbSXY7rqjDsI64Oxoa0A" TargetMode="External"/><Relationship Id="rId2407" Type="http://schemas.openxmlformats.org/officeDocument/2006/relationships/hyperlink" Target="https://www.google.com/url?q=https://github.com/mostafa-saad/MyCompetitiveProgramming/blob/master/Olympiad/NOI/official&amp;sa=D&amp;ust=1605639816686000&amp;usg=AFQjCNH-zvs_mKNWR_7T_5EAgdq03zPgmw" TargetMode="External"/><Relationship Id="rId2614" Type="http://schemas.openxmlformats.org/officeDocument/2006/relationships/hyperlink" Target="https://www.google.com/url?q=https://oj.uz/problem/view/COCI17_rasvjeta&amp;sa=D&amp;ust=1605639816746000&amp;usg=AFQjCNESBnUUgSfBDRxGrteuPhjEMcN-SA" TargetMode="External"/><Relationship Id="rId2821" Type="http://schemas.openxmlformats.org/officeDocument/2006/relationships/hyperlink" Target="https://www.google.com/url?q=https://github.com/mostafa-saad/MyCompetitiveProgramming/blob/master/Olympiad/COCI/official/2010/contest7_solutions&amp;sa=D&amp;ust=1605639816808000&amp;usg=AFQjCNEeT-Y5Uu9VIs2m9X3AZE9O5_qGCg" TargetMode="External"/><Relationship Id="rId62" Type="http://schemas.openxmlformats.org/officeDocument/2006/relationships/hyperlink" Target="https://www.google.com/url?q=https://dunjudge.me/analysis/problems/975/&amp;sa=D&amp;ust=1605639815509000&amp;usg=AFQjCNFYrPnwm_9cLN_OFMYE1fbWEnVa7g" TargetMode="External"/><Relationship Id="rId1216" Type="http://schemas.openxmlformats.org/officeDocument/2006/relationships/hyperlink" Target="https://www.google.com/url?q=https://www.infoarena.ro/problema/meneaito&amp;sa=D&amp;ust=1605639816280000&amp;usg=AFQjCNEg7T4BDaAjxXXQ6sZYudX0_FABog" TargetMode="External"/><Relationship Id="rId1423" Type="http://schemas.openxmlformats.org/officeDocument/2006/relationships/hyperlink" Target="https://www.google.com/url?q=https://codeforces.com/group/swEqtABRxe/contest/243429/problem/A&amp;sa=D&amp;ust=1605639816369000&amp;usg=AFQjCNEGjrDjLdl9812EY32qxjP7b3vRvQ" TargetMode="External"/><Relationship Id="rId1630" Type="http://schemas.openxmlformats.org/officeDocument/2006/relationships/hyperlink" Target="https://www.google.com/url?q=https://github.com/Coder-Boy1/Others/blob/master/IZHO%252014-divide&amp;sa=D&amp;ust=1605639816440000&amp;usg=AFQjCNHXsKy1vMlEMvhQhColkBSKLCqSSQ" TargetMode="External"/><Relationship Id="rId2197" Type="http://schemas.openxmlformats.org/officeDocument/2006/relationships/hyperlink" Target="https://www.google.com/url?q=https://cses.fi/115/list/&amp;sa=D&amp;ust=1605639816626000&amp;usg=AFQjCNFRrD0ryhYSVvU7Nav7VFNVhYmTCw" TargetMode="External"/><Relationship Id="rId169" Type="http://schemas.openxmlformats.org/officeDocument/2006/relationships/hyperlink" Target="https://www.google.com/url?q=https://joisc2014.contest.atcoder.jp/tasks/joisc2014_k&amp;sa=D&amp;ust=1605639815541000&amp;usg=AFQjCNFMqyChH7NcCtc_7X_Blj6GfM693w" TargetMode="External"/><Relationship Id="rId376" Type="http://schemas.openxmlformats.org/officeDocument/2006/relationships/hyperlink" Target="https://www.google.com/url?q=https://github.com/mostafa-saad/MyCompetitiveProgramming/blob/master/Olympiad/infoarena/infoarena_countfefete.txt&amp;sa=D&amp;ust=1605639815608000&amp;usg=AFQjCNF09aUTr1941sb2ux1Yd0nstmYxEA" TargetMode="External"/><Relationship Id="rId583" Type="http://schemas.openxmlformats.org/officeDocument/2006/relationships/hyperlink" Target="https://www.google.com/url?q=https://github.com/mostafa-saad/MyCompetitiveProgramming/blob/master/Olympiad/COI/COI-15-nafta.txt&amp;sa=D&amp;ust=1605639815894000&amp;usg=AFQjCNGAQQxUCkuz9WBUxYgwutHVLc21Nw" TargetMode="External"/><Relationship Id="rId790" Type="http://schemas.openxmlformats.org/officeDocument/2006/relationships/hyperlink" Target="https://www.google.com/url?q=https://github.com/mostafa-saad/MyCompetitiveProgramming/blob/master/Olympiad/Baltic/Baltic-08-Game.txt&amp;sa=D&amp;ust=1605639815995000&amp;usg=AFQjCNHbu3ML8uU5CTGB5bZ-PxlZIox1sQ" TargetMode="External"/><Relationship Id="rId2057" Type="http://schemas.openxmlformats.org/officeDocument/2006/relationships/hyperlink" Target="https://www.google.com/url?q=http://usaco.org/index.php?page%3Dviewproblem2%26cpid%3D946&amp;sa=D&amp;ust=1605639816579000&amp;usg=AFQjCNFU0PokGPSQnoVpS_KaWq_5XJc51Q" TargetMode="External"/><Relationship Id="rId2264" Type="http://schemas.openxmlformats.org/officeDocument/2006/relationships/hyperlink" Target="https://www.google.com/url?q=https://github.com/ahmedibrahim404/CompetitiveProgramming/blob/master/EOI/IOI_Quals%2719/D2_A/main.cpp&amp;sa=D&amp;ust=1605639816642000&amp;usg=AFQjCNGOlvY0csRMxvOQO9UBfhbj7qcuow" TargetMode="External"/><Relationship Id="rId2471" Type="http://schemas.openxmlformats.org/officeDocument/2006/relationships/hyperlink" Target="https://www.google.com/url?q=https://dmoj.ca/problem/coci15c4p2&amp;sa=D&amp;ust=1605639816709000&amp;usg=AFQjCNHtMUg0za08Y1WTk6D9KK-2so834Q" TargetMode="External"/><Relationship Id="rId236" Type="http://schemas.openxmlformats.org/officeDocument/2006/relationships/hyperlink" Target="https://www.google.com/url?q=https://cses.fi/108/list/&amp;sa=D&amp;ust=1605639815558000&amp;usg=AFQjCNG64NKd9jAPVW_ylIoU4Uh5OB20Zw" TargetMode="External"/><Relationship Id="rId443" Type="http://schemas.openxmlformats.org/officeDocument/2006/relationships/hyperlink" Target="https://www.google.com/url?q=https://github.com/stefdasca/CompetitiveProgramming/blob/master/Infoarena/cladiri.cpp&amp;sa=D&amp;ust=1605639815633000&amp;usg=AFQjCNH-FrI5Ykg1QuCkwMJvSnmYrhS3tg" TargetMode="External"/><Relationship Id="rId650" Type="http://schemas.openxmlformats.org/officeDocument/2006/relationships/hyperlink" Target="https://www.google.com/url?q=https://oj.uz/problems/source/313&amp;sa=D&amp;ust=1605639815917000&amp;usg=AFQjCNF0GaYP9ILD-wlZqHE0sgkhoqjTqQ" TargetMode="External"/><Relationship Id="rId1073" Type="http://schemas.openxmlformats.org/officeDocument/2006/relationships/hyperlink" Target="https://www.google.com/url?q=http://usaco.org/index.php?page%3Dviewproblem2%26cpid%3D533&amp;sa=D&amp;ust=1605639816187000&amp;usg=AFQjCNFkRSZLLODCcjEfn2mtqobLm1pD7w" TargetMode="External"/><Relationship Id="rId1280" Type="http://schemas.openxmlformats.org/officeDocument/2006/relationships/hyperlink" Target="https://www.google.com/url?q=https://github.com/Yehezkiel01/CompetitiveProgramming/blob/master/JOIOC/JOIOC-14-factories.cpp&amp;sa=D&amp;ust=1605639816303000&amp;usg=AFQjCNEGQbbEcgmziHrNb4s7SpOJddnaAQ" TargetMode="External"/><Relationship Id="rId2124" Type="http://schemas.openxmlformats.org/officeDocument/2006/relationships/hyperlink" Target="https://www.google.com/url?q=https://github.com/stefdasca/CompetitiveProgramming/blob/master/Infoarena/panza.cpp&amp;sa=D&amp;ust=1605639816602000&amp;usg=AFQjCNGAGVyHm9pGPHG1B1dYq2oCIAY1rQ" TargetMode="External"/><Relationship Id="rId2331" Type="http://schemas.openxmlformats.org/officeDocument/2006/relationships/hyperlink" Target="https://www.google.com/url?q=https://infoarena.ro/problema/abx&amp;sa=D&amp;ust=1605639816659000&amp;usg=AFQjCNHJ9fdA2PVZ7pfWYL13XP9tGpDxyQ" TargetMode="External"/><Relationship Id="rId303" Type="http://schemas.openxmlformats.org/officeDocument/2006/relationships/hyperlink" Target="https://www.google.com/url?q=https://github.com/mostafa-saad/MyCompetitiveProgramming/blob/master/Olympiad/APIO/APIO-16-boat.txt&amp;sa=D&amp;ust=1605639815580000&amp;usg=AFQjCNFubCP1GFRrPLCoyAOiAcq_ObVJOw" TargetMode="External"/><Relationship Id="rId1140" Type="http://schemas.openxmlformats.org/officeDocument/2006/relationships/hyperlink" Target="https://www.google.com/url?q=https://www.infoarena.ro/problema/permsort2&amp;sa=D&amp;ust=1605639816210000&amp;usg=AFQjCNFa5g5kJJfuXTvIUultLwwyqXcfbQ" TargetMode="External"/><Relationship Id="rId510" Type="http://schemas.openxmlformats.org/officeDocument/2006/relationships/hyperlink" Target="https://www.google.com/url?q=https://github.com/mostafa-saad/MyCompetitiveProgramming/blob/master/Olympiad/Balkan/Balkan-18-election.txt&amp;sa=D&amp;ust=1605639815685000&amp;usg=AFQjCNGrZGMfCUUmLFZfCxXkbOrkU_RzXQ" TargetMode="External"/><Relationship Id="rId1000" Type="http://schemas.openxmlformats.org/officeDocument/2006/relationships/hyperlink" Target="https://www.google.com/url?q=https://github.com/mostafa-saad/MyCompetitiveProgramming/blob/master/Olympiad/POI/POI-16-Streets.txt&amp;sa=D&amp;ust=1605639816114000&amp;usg=AFQjCNGil4IW6OHuJekL1NMBe6XKptpuew" TargetMode="External"/><Relationship Id="rId1957" Type="http://schemas.openxmlformats.org/officeDocument/2006/relationships/hyperlink" Target="https://www.google.com/url?q=https://github.com/mostafa-saad/MyCompetitiveProgramming/blob/master/Olympiad/COCI/COCI-14-Stogovi.txt&amp;sa=D&amp;ust=1605639816546000&amp;usg=AFQjCNGTWwaeq4Liq-YTS1chFwt5agPWlg" TargetMode="External"/><Relationship Id="rId1817" Type="http://schemas.openxmlformats.org/officeDocument/2006/relationships/hyperlink" Target="https://www.google.com/url?q=https://github.com/mostafa-saad/MyCompetitiveProgramming/blob/master/Olympiad/COCI/official/2017/contest3_solutions&amp;sa=D&amp;ust=1605639816503000&amp;usg=AFQjCNHa1bKaoOz0tu6f8ACQkmMr05usug" TargetMode="External"/><Relationship Id="rId160" Type="http://schemas.openxmlformats.org/officeDocument/2006/relationships/hyperlink" Target="https://www.google.com/url?q=https://szkopul.edu.pl/problemset/problem/kYVp05sX8lzHWNwn93xjcYwH/site/&amp;sa=D&amp;ust=1605639815539000&amp;usg=AFQjCNEap7DeMywa-O2eAv_8m8kqWmNq6g" TargetMode="External"/><Relationship Id="rId2798" Type="http://schemas.openxmlformats.org/officeDocument/2006/relationships/hyperlink" Target="https://www.google.com/url?q=https://dmoj.ca/problem/coci08c6p1&amp;sa=D&amp;ust=1605639816802000&amp;usg=AFQjCNGSCY99-bxoOBUtMvzq4P7PFqaUzQ" TargetMode="External"/><Relationship Id="rId977" Type="http://schemas.openxmlformats.org/officeDocument/2006/relationships/hyperlink" Target="https://www.google.com/url?q=https://oj.uz/problem/view/NOI14_cats&amp;sa=D&amp;ust=1605639816107000&amp;usg=AFQjCNGYGwc9sJUGoybVHRrhtLoGtlXg_A" TargetMode="External"/><Relationship Id="rId2658" Type="http://schemas.openxmlformats.org/officeDocument/2006/relationships/hyperlink" Target="https://www.google.com/url?q=https://contest.yandex.ru/ioi/contest/570/enter/&amp;sa=D&amp;ust=1605639816755000&amp;usg=AFQjCNGLMrBv0cKTEdyRGyvwSr18tRA76Q" TargetMode="External"/><Relationship Id="rId2865" Type="http://schemas.openxmlformats.org/officeDocument/2006/relationships/hyperlink" Target="https://www.google.com/url?q=https://dunjudge.me/analysis/problems/934/&amp;sa=D&amp;ust=1605639816822000&amp;usg=AFQjCNFdku0x-mrp19f0OYe_q9vlbnSHhg" TargetMode="External"/><Relationship Id="rId837" Type="http://schemas.openxmlformats.org/officeDocument/2006/relationships/hyperlink" Target="https://www.google.com/url?q=https://szkopul.edu.pl/problemset/problem/etwe8b5zlM4uVn4dpxr32ua8/site/&amp;sa=D&amp;ust=1605639816012000&amp;usg=AFQjCNHzc13rUBIMU_44uLiD35joOSmbMg" TargetMode="External"/><Relationship Id="rId1467" Type="http://schemas.openxmlformats.org/officeDocument/2006/relationships/hyperlink" Target="https://www.google.com/url?q=https://github.com/mostafa-saad/MyCompetitiveProgramming/blob/master/Olympiad/POI/POI-06-Teddies.txt&amp;sa=D&amp;ust=1605639816387000&amp;usg=AFQjCNF5DXZiXbzXmTNWKZhIlvwD43fVtw" TargetMode="External"/><Relationship Id="rId1674" Type="http://schemas.openxmlformats.org/officeDocument/2006/relationships/hyperlink" Target="https://www.google.com/url?q=https://dmoj.ca/problem/coci07c6p3&amp;sa=D&amp;ust=1605639816451000&amp;usg=AFQjCNHED37fcRmE5WPqusO84giJ9ytRJg" TargetMode="External"/><Relationship Id="rId1881" Type="http://schemas.openxmlformats.org/officeDocument/2006/relationships/hyperlink" Target="https://www.google.com/url?q=https://github.com/mostafa-saad/MyCompetitiveProgramming/blob/master/Olympiad/COCI/official/2009/contest2_solutions&amp;sa=D&amp;ust=1605639816524000&amp;usg=AFQjCNG4U5mWM8AR3s0O6DujOxfV_XVDjQ" TargetMode="External"/><Relationship Id="rId2518" Type="http://schemas.openxmlformats.org/officeDocument/2006/relationships/hyperlink" Target="https://www.google.com/url?q=https://github.com/mostafa-saad/MyCompetitiveProgramming/tree/master/Olympiad/COCI/official/2007/regional_solutions&amp;sa=D&amp;ust=1605639816725000&amp;usg=AFQjCNEZ68uWvB_8QCikKVVGufXLlG6BaA" TargetMode="External"/><Relationship Id="rId2725" Type="http://schemas.openxmlformats.org/officeDocument/2006/relationships/hyperlink" Target="https://www.google.com/url?q=https://oj.uz/problem/view/IZhO11_triangle&amp;sa=D&amp;ust=1605639816776000&amp;usg=AFQjCNHaHNMVhDE2rMeI5rrBjnC9aiyVyg" TargetMode="External"/><Relationship Id="rId2932" Type="http://schemas.openxmlformats.org/officeDocument/2006/relationships/hyperlink" Target="https://www.google.com/url?q=https://oj.uz/problems/source/214&amp;sa=D&amp;ust=1605639816870000&amp;usg=AFQjCNGmfc67jH35ef0J2EoKyYwvCGjvzg" TargetMode="External"/><Relationship Id="rId904" Type="http://schemas.openxmlformats.org/officeDocument/2006/relationships/hyperlink" Target="https://www.google.com/url?q=https://joi2016ho.contest.atcoder.jp/tasks/joi2016ho_e&amp;sa=D&amp;ust=1605639816084000&amp;usg=AFQjCNGbCkYiw7sATe4uhKaH4J-9l76VlA" TargetMode="External"/><Relationship Id="rId1327" Type="http://schemas.openxmlformats.org/officeDocument/2006/relationships/hyperlink" Target="https://www.google.com/url?q=https://www.infoarena.ro/problema/karb&amp;sa=D&amp;ust=1605639816321000&amp;usg=AFQjCNFpGyrp9UzR7HB0UJdivAOTMJ4a4w" TargetMode="External"/><Relationship Id="rId1534" Type="http://schemas.openxmlformats.org/officeDocument/2006/relationships/hyperlink" Target="https://www.google.com/url?q=https://wcipeg.com/problem/coci095p4&amp;sa=D&amp;ust=1605639816411000&amp;usg=AFQjCNF3hsdSUpNU8FBUpGGuPG-hWqKkXQ" TargetMode="External"/><Relationship Id="rId1741" Type="http://schemas.openxmlformats.org/officeDocument/2006/relationships/hyperlink" Target="https://www.google.com/url?q=https://dmoj.ca/problem/phantom3&amp;sa=D&amp;ust=1605639816473000&amp;usg=AFQjCNEZcdy5KP2U2UyB1cUBewAiEH9Xiw" TargetMode="External"/><Relationship Id="rId33" Type="http://schemas.openxmlformats.org/officeDocument/2006/relationships/hyperlink" Target="https://www.google.com/url?q=https://csacademy.com/contest/balkan-oi-2017-day-1/&amp;sa=D&amp;ust=1605639815497000&amp;usg=AFQjCNH0U6DSRl_PNtS9-hlfeK57-3N95w" TargetMode="External"/><Relationship Id="rId1601" Type="http://schemas.openxmlformats.org/officeDocument/2006/relationships/hyperlink" Target="https://www.google.com/url?q=https://csacademy.com/contest/balkan-oi-2017-day-2/&amp;sa=D&amp;ust=1605639816432000&amp;usg=AFQjCNExqyBnMervIPYUIvcwWQYtfJRUUQ" TargetMode="External"/><Relationship Id="rId487" Type="http://schemas.openxmlformats.org/officeDocument/2006/relationships/hyperlink" Target="https://www.google.com/url?q=https://github.com/mostafa-saad/MyCompetitiveProgramming/tree/master/Olympiad/Balkan/official/2016&amp;sa=D&amp;ust=1605639815677000&amp;usg=AFQjCNHV68AyZeNG6Fg5_bkn_vFCr83guQ" TargetMode="External"/><Relationship Id="rId694" Type="http://schemas.openxmlformats.org/officeDocument/2006/relationships/hyperlink" Target="https://www.google.com/url?q=https://szkopul.edu.pl/problemset/problem/lGqKS9urITMjTXhpdaHqyoEL/site/&amp;sa=D&amp;ust=1605639815932000&amp;usg=AFQjCNGT_lQHz40qqVukK_hYGr6dPNJD9g" TargetMode="External"/><Relationship Id="rId2168" Type="http://schemas.openxmlformats.org/officeDocument/2006/relationships/hyperlink" Target="https://www.google.com/url?q=https://github.com/mostafa-saad/MyCompetitiveProgramming/blob/master/Olympiad/NOI/official&amp;sa=D&amp;ust=1605639816617000&amp;usg=AFQjCNFFf4KlBegDeCCgybLl0M2Pb7MjBQ" TargetMode="External"/><Relationship Id="rId2375" Type="http://schemas.openxmlformats.org/officeDocument/2006/relationships/hyperlink" Target="https://www.google.com/url?q=https://github.com/mostafa-saad/MyCompetitiveProgramming/tree/master/Olympiad/COCI/official/2007/contest1_solutions&amp;sa=D&amp;ust=1605639816673000&amp;usg=AFQjCNEY68qPyvVtBReSGCOzmBFG5bA_FA" TargetMode="External"/><Relationship Id="rId347" Type="http://schemas.openxmlformats.org/officeDocument/2006/relationships/hyperlink" Target="https://www.google.com/url?q=https://oj.uz/problem/view/IOI15_towns&amp;sa=D&amp;ust=1605639815597000&amp;usg=AFQjCNGj-6G8Cd8t8O4n6Vn_S5qzK63yag" TargetMode="External"/><Relationship Id="rId1184" Type="http://schemas.openxmlformats.org/officeDocument/2006/relationships/hyperlink" Target="https://www.google.com/url?q=https://github.com/mostafa-saad/MyCompetitiveProgramming/tree/master/Olympiad/CEOI/official/2009&amp;sa=D&amp;ust=1605639816220000&amp;usg=AFQjCNFa7nYFRBQQz8c1D5Aw5Jgwixx-tg" TargetMode="External"/><Relationship Id="rId2028" Type="http://schemas.openxmlformats.org/officeDocument/2006/relationships/hyperlink" Target="https://www.google.com/url?q=https://github.com/mostafa-saad/MyCompetitiveProgramming/blob/master/Olympiad/IOI/IOI-00-walls.txt&amp;sa=D&amp;ust=1605639816568000&amp;usg=AFQjCNHWfocVAbA6jpAl6B4mLvisPtUk7A" TargetMode="External"/><Relationship Id="rId2582" Type="http://schemas.openxmlformats.org/officeDocument/2006/relationships/hyperlink" Target="https://www.google.com/url?q=https://dunjudge.me/analysis/problems/1380/&amp;sa=D&amp;ust=1605639816740000&amp;usg=AFQjCNG_Wa6IqwPWnTdAJlq5Syfk_g66Tw" TargetMode="External"/><Relationship Id="rId554" Type="http://schemas.openxmlformats.org/officeDocument/2006/relationships/hyperlink" Target="https://www.google.com/url?q=https://wcipeg.com/problem/coi07p4&amp;sa=D&amp;ust=1605639815884000&amp;usg=AFQjCNF4rSzE9LFJ54HUJldmvvX-rQruWg" TargetMode="External"/><Relationship Id="rId761" Type="http://schemas.openxmlformats.org/officeDocument/2006/relationships/hyperlink" Target="https://www.google.com/url?q=https://szkopul.edu.pl/problemset/problem/w_-1ZgA1RSQ0IpPqx_1BXb6M/site/&amp;sa=D&amp;ust=1605639815984000&amp;usg=AFQjCNFdqgUxT9QKuMBOalo-qQ_V9X7YAg" TargetMode="External"/><Relationship Id="rId1391" Type="http://schemas.openxmlformats.org/officeDocument/2006/relationships/hyperlink" Target="https://www.google.com/url?q=https://github.com/mostafa-saad/MyCompetitiveProgramming/blob/master/Olympiad/Baltic/Baltic-09-Triangulate.txt&amp;sa=D&amp;ust=1605639816343000&amp;usg=AFQjCNFZhT7D_DvvcjFW1vMN3F-DHpZL1g" TargetMode="External"/><Relationship Id="rId2235" Type="http://schemas.openxmlformats.org/officeDocument/2006/relationships/hyperlink" Target="https://www.google.com/url?q=https://dunjudge.me/analysis/problems/960/&amp;sa=D&amp;ust=1605639816636000&amp;usg=AFQjCNEeSlKGUr7lcTbs2qLsRkJOWvciCQ" TargetMode="External"/><Relationship Id="rId2442" Type="http://schemas.openxmlformats.org/officeDocument/2006/relationships/hyperlink" Target="https://www.google.com/url?q=https://github.com/mostafa-saad/MyCompetitiveProgramming/blob/master/Olympiad/POI/official/find_editorial_sols_guidelines.txt&amp;sa=D&amp;ust=1605639816699000&amp;usg=AFQjCNFhazA50T5GrExj4htDggzMWNTEdA" TargetMode="External"/><Relationship Id="rId207" Type="http://schemas.openxmlformats.org/officeDocument/2006/relationships/hyperlink" Target="https://www.google.com/url?q=https://github.com/tmwilliamlin168/CompetitiveProgramming/blob/master/BkOI/11-Time_Is_Money.cpp&amp;sa=D&amp;ust=1605639815551000&amp;usg=AFQjCNElDMGrX7VpuIa5wFpOUlWxfalvKg" TargetMode="External"/><Relationship Id="rId414" Type="http://schemas.openxmlformats.org/officeDocument/2006/relationships/hyperlink" Target="https://www.google.com/url?q=https://csacademy.com/contest/round-80/task/anagram-sort&amp;sa=D&amp;ust=1605639815623000&amp;usg=AFQjCNEgwKbvDrREq--U0ZRYyoxAgAx92g" TargetMode="External"/><Relationship Id="rId621" Type="http://schemas.openxmlformats.org/officeDocument/2006/relationships/hyperlink" Target="https://www.google.com/url?q=https://github.com/mostafa-saad/MyCompetitiveProgramming/blob/master/Olympiad/Balkan/Balkan-12-BestTeams.txt&amp;sa=D&amp;ust=1605639815908000&amp;usg=AFQjCNFnfuIaRY3qO_M06QY-CDR5MofLUg" TargetMode="External"/><Relationship Id="rId1044" Type="http://schemas.openxmlformats.org/officeDocument/2006/relationships/hyperlink" Target="https://www.google.com/url?q=https://github.com/mostafa-saad/MyCompetitiveProgramming/blob/master/Olympiad/Baltic/Baltic-12-Peaks.txt&amp;sa=D&amp;ust=1605639816177000&amp;usg=AFQjCNHN3wDMSmoaz-CBFvKNeC3-5y8wKQ" TargetMode="External"/><Relationship Id="rId1251" Type="http://schemas.openxmlformats.org/officeDocument/2006/relationships/hyperlink" Target="https://www.google.com/url?q=https://oj.uz/problem/view/COCI15_vudu&amp;sa=D&amp;ust=1605639816295000&amp;usg=AFQjCNGyKbLoAdwLYoblzNTXhWgnkYwNPA" TargetMode="External"/><Relationship Id="rId2302" Type="http://schemas.openxmlformats.org/officeDocument/2006/relationships/hyperlink" Target="https://www.google.com/url?q=https://www.e-olymp.com/en/problems/7482&amp;sa=D&amp;ust=1605639816652000&amp;usg=AFQjCNE2bpvS88xABBMjhhsOmMeoEOd9gw" TargetMode="External"/><Relationship Id="rId1111" Type="http://schemas.openxmlformats.org/officeDocument/2006/relationships/hyperlink" Target="https://www.google.com/url?q=http://usaco.org/index.php?page%3Dviewproblem2%26cpid%3D792&amp;sa=D&amp;ust=1605639816201000&amp;usg=AFQjCNFtt9aqMtnhJrbWEJOHZQREs6uakQ" TargetMode="External"/><Relationship Id="rId1928" Type="http://schemas.openxmlformats.org/officeDocument/2006/relationships/hyperlink" Target="https://www.google.com/url?q=https://github.com/mostafa-saad/MyCompetitiveProgramming/blob/master/Olympiad/CEOI/CEOI-11-Similarity.txt&amp;sa=D&amp;ust=1605639816538000&amp;usg=AFQjCNF2mYtniK1sX-nxkBUxeHrlno8pBA" TargetMode="External"/><Relationship Id="rId2092" Type="http://schemas.openxmlformats.org/officeDocument/2006/relationships/hyperlink" Target="https://www.google.com/url?q=https://github.com/nikolapesic2802/Programming-Practice/blob/master/Remove%2520Update/main.cpp&amp;sa=D&amp;ust=1605639816592000&amp;usg=AFQjCNEcbMEArVriGhyZVjLxCbVgKNpvaA" TargetMode="External"/><Relationship Id="rId271" Type="http://schemas.openxmlformats.org/officeDocument/2006/relationships/hyperlink" Target="https://www.google.com/url?q=https://github.com/mostafa-saad/MyCompetitiveProgramming/tree/master/Olympiad/CEOI/official/2008&amp;sa=D&amp;ust=1605639815569000&amp;usg=AFQjCNGr4Yy8pOUEpB7qHb73FXPkXyGeXw" TargetMode="External"/><Relationship Id="rId3003" Type="http://schemas.openxmlformats.org/officeDocument/2006/relationships/hyperlink" Target="https://www.google.com/url?q=https://dunjudge.me/analysis/problems/935/&amp;sa=D&amp;ust=1605639816904000&amp;usg=AFQjCNEJrbDhNNnpjF_esOO1oTI11HdESw" TargetMode="External"/><Relationship Id="rId131" Type="http://schemas.openxmlformats.org/officeDocument/2006/relationships/hyperlink" Target="https://www.google.com/url?q=http://usaco.org/index.php?page%3Dviewproblem2%26cpid%3D745&amp;sa=D&amp;ust=1605639815531000&amp;usg=AFQjCNH68mvOE9tSMj67ElKDVefiGL-kyQ" TargetMode="External"/><Relationship Id="rId2769" Type="http://schemas.openxmlformats.org/officeDocument/2006/relationships/hyperlink" Target="https://www.google.com/url?q=https://oj.uz/problem/view/COCI15_pot&amp;sa=D&amp;ust=1605639816790000&amp;usg=AFQjCNEhtfTv9Tr0iHK9JPn4Ak_JMu2Knw" TargetMode="External"/><Relationship Id="rId2976" Type="http://schemas.openxmlformats.org/officeDocument/2006/relationships/hyperlink" Target="https://www.google.com/url?q=https://szkopul.edu.pl/problemset/problem/GfNdWdsmfgHxoByl0ETuZW9c/site/&amp;sa=D&amp;ust=1605639816893000&amp;usg=AFQjCNGzV_r6e-kIP0YvcTZiADal2EuDbw" TargetMode="External"/><Relationship Id="rId948" Type="http://schemas.openxmlformats.org/officeDocument/2006/relationships/hyperlink" Target="https://www.google.com/url?q=https://github.com/mostafa-saad/MyCompetitiveProgramming/tree/master/Olympiad/Balkan/official/2016&amp;sa=D&amp;ust=1605639816098000&amp;usg=AFQjCNHVcIU-42R6ZIY1DLxPq41swD8icA" TargetMode="External"/><Relationship Id="rId1578" Type="http://schemas.openxmlformats.org/officeDocument/2006/relationships/hyperlink" Target="https://www.google.com/url?q=https://github.com/mostafa-saad/MyCompetitiveProgramming/blob/master/Olympiad/COCI/official/2015/contest6_solutions&amp;sa=D&amp;ust=1605639816424000&amp;usg=AFQjCNH8Oux9a04kMTw0eHRlfFLhSzue8g" TargetMode="External"/><Relationship Id="rId1785" Type="http://schemas.openxmlformats.org/officeDocument/2006/relationships/hyperlink" Target="https://www.google.com/url?q=https://www.infoarena.ro/problema/zip&amp;sa=D&amp;ust=1605639816491000&amp;usg=AFQjCNEZFZUnCMcKZ-cLbH8DIsclA-1nTw" TargetMode="External"/><Relationship Id="rId1992" Type="http://schemas.openxmlformats.org/officeDocument/2006/relationships/hyperlink" Target="https://www.google.com/url?q=https://wcipeg.com/problem/coci063p4&amp;sa=D&amp;ust=1605639816557000&amp;usg=AFQjCNEhLwK-DfSYoJ56shQ-g6x0gOpNPg" TargetMode="External"/><Relationship Id="rId2629" Type="http://schemas.openxmlformats.org/officeDocument/2006/relationships/hyperlink" Target="https://www.google.com/url?q=https://dmoj.ca/problem/coci06c3p2&amp;sa=D&amp;ust=1605639816748000&amp;usg=AFQjCNEKs2gTeLGgfXjAKUZ_ci8OA2PBLw" TargetMode="External"/><Relationship Id="rId2836" Type="http://schemas.openxmlformats.org/officeDocument/2006/relationships/hyperlink" Target="https://www.google.com/url?q=https://dmoj.ca/problem/coci07c3p1&amp;sa=D&amp;ust=1605639816812000&amp;usg=AFQjCNHM0DVZzmzNf2Olxs2XlevAH6ZqoQ" TargetMode="External"/><Relationship Id="rId77" Type="http://schemas.openxmlformats.org/officeDocument/2006/relationships/hyperlink" Target="https://www.google.com/url?q=https://github.com/mostafa-saad/MyCompetitiveProgramming/blob/master/Olympiad/IOI/official/2009&amp;sa=D&amp;ust=1605639815514000&amp;usg=AFQjCNG5AswdXe_6WcCJX_ucsvyZStjlyg" TargetMode="External"/><Relationship Id="rId808" Type="http://schemas.openxmlformats.org/officeDocument/2006/relationships/hyperlink" Target="https://www.google.com/url?q=https://cses.fi/99/list/&amp;sa=D&amp;ust=1605639816001000&amp;usg=AFQjCNG7-D6YVEOypfU3eqT7A7OIxDF6_w" TargetMode="External"/><Relationship Id="rId1438" Type="http://schemas.openxmlformats.org/officeDocument/2006/relationships/hyperlink" Target="https://www.google.com/url?q=http://usaco.org/index.php?page%3Dviewproblem2%26cpid%3D213&amp;sa=D&amp;ust=1605639816374000&amp;usg=AFQjCNGw1kTZa5QzQYkjInjXVYE-Fdn9Mg" TargetMode="External"/><Relationship Id="rId1645" Type="http://schemas.openxmlformats.org/officeDocument/2006/relationships/hyperlink" Target="https://www.google.com/url?q=https://szkopul.edu.pl/problemset/problem/i3cF1qQtiXwmwOc_5qRB0ufC/site/&amp;sa=D&amp;ust=1605639816444000&amp;usg=AFQjCNG0tug_b_oCKyjwg-UJfHJmcN4Brg" TargetMode="External"/><Relationship Id="rId1852" Type="http://schemas.openxmlformats.org/officeDocument/2006/relationships/hyperlink" Target="https://www.google.com/url?q=https://wcipeg.com/problem/coci097p5&amp;sa=D&amp;ust=1605639816515000&amp;usg=AFQjCNFN7V1oFww_GWiLCJMIs1eEMlV5bw" TargetMode="External"/><Relationship Id="rId2903" Type="http://schemas.openxmlformats.org/officeDocument/2006/relationships/hyperlink" Target="https://www.google.com/url?q=https://dunjudge.me/analysis/problems/1243/&amp;sa=D&amp;ust=1605639816843000&amp;usg=AFQjCNFU0Siygznc5Hvh5z0zG6IIjWJG7A" TargetMode="External"/><Relationship Id="rId1505" Type="http://schemas.openxmlformats.org/officeDocument/2006/relationships/hyperlink" Target="https://www.google.com/url?q=https://github.com/zoooma13/Competitive-Programming/blob/master/trail_maintenance.cpp&amp;sa=D&amp;ust=1605639816401000&amp;usg=AFQjCNFAkcmRrmHLQlUaGnNdjoYTXCUBbQ" TargetMode="External"/><Relationship Id="rId1712" Type="http://schemas.openxmlformats.org/officeDocument/2006/relationships/hyperlink" Target="https://www.google.com/url?q=https://oj.uz/problem/view/POI13_usu&amp;sa=D&amp;ust=1605639816462000&amp;usg=AFQjCNET13o5CTBNmvMxUOiwFDuaKsTOKw" TargetMode="External"/><Relationship Id="rId598" Type="http://schemas.openxmlformats.org/officeDocument/2006/relationships/hyperlink" Target="https://www.google.com/url?q=https://www.infoarena.ro/problema/matcnt&amp;sa=D&amp;ust=1605639815900000&amp;usg=AFQjCNHC7jHg0tO_3ISMCpLW0t1XET1EVw" TargetMode="External"/><Relationship Id="rId2279" Type="http://schemas.openxmlformats.org/officeDocument/2006/relationships/hyperlink" Target="https://www.google.com/url?q=https://dmoj.ca/problem/coci06c4p4&amp;sa=D&amp;ust=1605639816646000&amp;usg=AFQjCNGwZBwvRtG52WN9jjItwstZSNR2kg" TargetMode="External"/><Relationship Id="rId2486" Type="http://schemas.openxmlformats.org/officeDocument/2006/relationships/hyperlink" Target="https://www.google.com/url?q=https://codeforces.com/group/swEqtABRxe/contest/227524/problem/B&amp;sa=D&amp;ust=1605639816714000&amp;usg=AFQjCNG86R7l4mJHFrix_utlvpNLcM4fXA" TargetMode="External"/><Relationship Id="rId2693" Type="http://schemas.openxmlformats.org/officeDocument/2006/relationships/hyperlink" Target="https://www.google.com/url?q=https://github.com/mostafa-saad/MyCompetitiveProgramming/tree/master/Olympiad/COCI/official/2007/contest2_solutions&amp;sa=D&amp;ust=1605639816763000&amp;usg=AFQjCNHQlyWW3G6pKqg2OHDLdoZ0z8e9Lw" TargetMode="External"/><Relationship Id="rId458" Type="http://schemas.openxmlformats.org/officeDocument/2006/relationships/hyperlink" Target="https://www.google.com/url?q=https://joisc2013-day3.contest.atcoder.jp/tasks/joisc2013_cake&amp;sa=D&amp;ust=1605639815667000&amp;usg=AFQjCNGPy8nrA45LdIDBgHkUSNjYDvqxSw" TargetMode="External"/><Relationship Id="rId665" Type="http://schemas.openxmlformats.org/officeDocument/2006/relationships/hyperlink" Target="https://www.google.com/url?q=https://github.com/mostafa-saad/MyCompetitiveProgramming/blob/master/Olympiad/POI/official/find_editorial_sols_guidelines.txt&amp;sa=D&amp;ust=1605639815923000&amp;usg=AFQjCNEejjkLkq8a2OQPKjIMMAmnOk7Dtg" TargetMode="External"/><Relationship Id="rId872" Type="http://schemas.openxmlformats.org/officeDocument/2006/relationships/hyperlink" Target="https://www.google.com/url?q=https://oj.uz/problem/view/IOI12_rings&amp;sa=D&amp;ust=1605639816024000&amp;usg=AFQjCNFEM_bHiHeYUBrb2hgGEuw4dt63-Q" TargetMode="External"/><Relationship Id="rId1088" Type="http://schemas.openxmlformats.org/officeDocument/2006/relationships/hyperlink" Target="https://www.google.com/url?q=https://github.com/mostafa-saad/MyCompetitiveProgramming/blob/master/Olympiad/IOI/IOI-05-birthday.txt&amp;sa=D&amp;ust=1605639816192000&amp;usg=AFQjCNFFm1hA3PnTMz3o8On1oKglFF1Bkg" TargetMode="External"/><Relationship Id="rId1295" Type="http://schemas.openxmlformats.org/officeDocument/2006/relationships/hyperlink" Target="https://www.google.com/url?q=http://usaco.org/index.php?page%3Dviewproblem2%26cpid%3D722&amp;sa=D&amp;ust=1605639816309000&amp;usg=AFQjCNFkzi43l9QU-Z1JvGk9wv5SRv5w0A" TargetMode="External"/><Relationship Id="rId2139" Type="http://schemas.openxmlformats.org/officeDocument/2006/relationships/hyperlink" Target="https://www.google.com/url?q=https://github.com/mostafa-saad/MyCompetitiveProgramming/blob/master/Olympiad/Baltic/official/boi2006_solutions&amp;sa=D&amp;ust=1605639816607000&amp;usg=AFQjCNHCR8iIzVaCC0DCsYfVUX69DSyw-A" TargetMode="External"/><Relationship Id="rId2346" Type="http://schemas.openxmlformats.org/officeDocument/2006/relationships/hyperlink" Target="https://www.google.com/url?q=https://dunjudge.me/analysis/problems/777/&amp;sa=D&amp;ust=1605639816663000&amp;usg=AFQjCNFNK1BTBLiedrsr75oaKUQXHVLnNA" TargetMode="External"/><Relationship Id="rId2553" Type="http://schemas.openxmlformats.org/officeDocument/2006/relationships/hyperlink" Target="https://www.google.com/url?q=https://github.com/mostafa-saad/MyCompetitiveProgramming/blob/master/Olympiad/COCI/official/2009/contest1_solutions&amp;sa=D&amp;ust=1605639816733000&amp;usg=AFQjCNFax6Ncsbma1p9to71M2v5NxRv0wg" TargetMode="External"/><Relationship Id="rId2760" Type="http://schemas.openxmlformats.org/officeDocument/2006/relationships/hyperlink" Target="https://www.google.com/url?q=https://dmoj.ca/problem/coci14c4p1&amp;sa=D&amp;ust=1605639816785000&amp;usg=AFQjCNFqiNaiVgWSR-cnmBD3jVHeJbTswA" TargetMode="External"/><Relationship Id="rId318" Type="http://schemas.openxmlformats.org/officeDocument/2006/relationships/hyperlink" Target="https://www.google.com/url?q=https://github.com/tmwilliamlin168/CompetitiveProgramming/blob/master/APIO/14-Beads.cpp&amp;sa=D&amp;ust=1605639815586000&amp;usg=AFQjCNEb_43zIbS49_wYRC1P9nvPt8nFMw" TargetMode="External"/><Relationship Id="rId525" Type="http://schemas.openxmlformats.org/officeDocument/2006/relationships/hyperlink" Target="https://www.google.com/url?q=https://szkopul.edu.pl/problemset/problem/X_XFcxCm1xIAk2alKtQLN79O/site/&amp;sa=D&amp;ust=1605639815835000&amp;usg=AFQjCNHLi7NNehPjuY3omznzyoNtP6nj7A" TargetMode="External"/><Relationship Id="rId732" Type="http://schemas.openxmlformats.org/officeDocument/2006/relationships/hyperlink" Target="https://www.google.com/url?q=https://oj.uz/problem/view/CEOI11_tea&amp;sa=D&amp;ust=1605639815974000&amp;usg=AFQjCNFQqpoD8m3N7O08qNQT8fzuNArqlA" TargetMode="External"/><Relationship Id="rId1155" Type="http://schemas.openxmlformats.org/officeDocument/2006/relationships/hyperlink" Target="https://www.google.com/url?q=https://dmoj.ca/problem/coci07c2p6&amp;sa=D&amp;ust=1605639816213000&amp;usg=AFQjCNFBACJGLTwgd597ZRli1w0i5delFw" TargetMode="External"/><Relationship Id="rId1362" Type="http://schemas.openxmlformats.org/officeDocument/2006/relationships/hyperlink" Target="https://www.google.com/url?q=https://oj.uz/problem/view/COCI14_bob&amp;sa=D&amp;ust=1605639816333000&amp;usg=AFQjCNGnRQvtDQaEPHjhE9j_-viorRXWAQ" TargetMode="External"/><Relationship Id="rId2206" Type="http://schemas.openxmlformats.org/officeDocument/2006/relationships/hyperlink" Target="https://www.google.com/url?q=https://szkopul.edu.pl/problemset/problem/XcJ1RDGPzzspbYBm4xHCVpWM/site/&amp;sa=D&amp;ust=1605639816628000&amp;usg=AFQjCNF0Iadnzos7_E3mjYPm7x7xz-EGYw" TargetMode="External"/><Relationship Id="rId2413" Type="http://schemas.openxmlformats.org/officeDocument/2006/relationships/hyperlink" Target="https://www.google.com/url?q=https://www.comp.nus.edu.sg/~noi/2012/2012_soln.pdf&amp;sa=D&amp;ust=1605639816689000&amp;usg=AFQjCNGr48vjE-WHZtqXrRp6e4UrSAm91A" TargetMode="External"/><Relationship Id="rId2620" Type="http://schemas.openxmlformats.org/officeDocument/2006/relationships/hyperlink" Target="https://www.google.com/url?q=https://github.com/mostafa-saad/MyCompetitiveProgramming/blob/master/Olympiad/COCI/official/2009/contest5_solutions&amp;sa=D&amp;ust=1605639816747000&amp;usg=AFQjCNF3tjv6vVqG-0p1aHDToIsH9h125w" TargetMode="External"/><Relationship Id="rId1015" Type="http://schemas.openxmlformats.org/officeDocument/2006/relationships/hyperlink" Target="https://www.google.com/url?q=https://wcipeg.com/problem/coi07p2&amp;sa=D&amp;ust=1605639816164000&amp;usg=AFQjCNEdATjHrWr_3VzwkDYYWgs3N8cUPA" TargetMode="External"/><Relationship Id="rId1222" Type="http://schemas.openxmlformats.org/officeDocument/2006/relationships/hyperlink" Target="https://www.google.com/url?q=https://github.com/mostafa-saad/MyCompetitiveProgramming/blob/master/Olympiad/IOI/IOIPractice-17-coins.txt&amp;sa=D&amp;ust=1605639816284000&amp;usg=AFQjCNH5QLaNGERBaL_rCO01QUsuzY-fkQ" TargetMode="External"/><Relationship Id="rId175" Type="http://schemas.openxmlformats.org/officeDocument/2006/relationships/hyperlink" Target="https://www.google.com/url?q=https://github.com/mostafa-saad/MyCompetitiveProgramming/blob/master/Olympiad/Baltic/official/boi2016_solutions&amp;sa=D&amp;ust=1605639815543000&amp;usg=AFQjCNGDDKbTjV0S6Id3HuHFPIeUe6L6HQ" TargetMode="External"/><Relationship Id="rId382" Type="http://schemas.openxmlformats.org/officeDocument/2006/relationships/hyperlink" Target="https://www.google.com/url?q=http://blog.brucemerry.org.za/2013/07/&amp;sa=D&amp;ust=1605639815610000&amp;usg=AFQjCNG5LTZc0_3iYxXxjzlXFSjBG1ngiA" TargetMode="External"/><Relationship Id="rId2063" Type="http://schemas.openxmlformats.org/officeDocument/2006/relationships/hyperlink" Target="https://www.google.com/url?q=https://github.com/mostafa-saad/MyCompetitiveProgramming/tree/master/Olympiad/MCO/official/2014&amp;sa=D&amp;ust=1605639816581000&amp;usg=AFQjCNE-m8GSvonTa8F4e5l1fR54H9q3NQ" TargetMode="External"/><Relationship Id="rId2270" Type="http://schemas.openxmlformats.org/officeDocument/2006/relationships/hyperlink" Target="https://www.google.com/url?q=https://github.com/mostafa-saad/MyCompetitiveProgramming/blob/master/Olympiad/POI/official/find_editorial_sols_guidelines.txt&amp;sa=D&amp;ust=1605639816644000&amp;usg=AFQjCNFSGxz9af2nKfHplog-9gYRprNekQ" TargetMode="External"/><Relationship Id="rId242" Type="http://schemas.openxmlformats.org/officeDocument/2006/relationships/hyperlink" Target="https://www.google.com/url?q=https://oj.uz/problem/view/NOI18_safety&amp;sa=D&amp;ust=1605639815559000&amp;usg=AFQjCNGyTD1tlhNZVF-fNQyC6CPCQV-aKA" TargetMode="External"/><Relationship Id="rId2130" Type="http://schemas.openxmlformats.org/officeDocument/2006/relationships/hyperlink" Target="https://www.google.com/url?q=https://github.com/mostafa-saad/MyCompetitiveProgramming/blob/master/Olympiad/NOI/official&amp;sa=D&amp;ust=1605639816604000&amp;usg=AFQjCNG2AauRK-S1zWkI_5oo2WfH8tKLQg" TargetMode="External"/><Relationship Id="rId102" Type="http://schemas.openxmlformats.org/officeDocument/2006/relationships/hyperlink" Target="https://www.google.com/url?q=https://github.com/LeTrongDat/CompetitiveProgramming/blob/master/IZhO/IZhO17-road.cpp&amp;sa=D&amp;ust=1605639815521000&amp;usg=AFQjCNGmVWPc4nPatQbdnUUL9IJRVaQueQ" TargetMode="External"/><Relationship Id="rId1689" Type="http://schemas.openxmlformats.org/officeDocument/2006/relationships/hyperlink" Target="https://www.google.com/url?q=https://ideone.com/iw7JBC&amp;sa=D&amp;ust=1605639816455000&amp;usg=AFQjCNHF9goWTsjryZN-FyZuPJ41z49QiQ" TargetMode="External"/><Relationship Id="rId1896" Type="http://schemas.openxmlformats.org/officeDocument/2006/relationships/hyperlink" Target="https://www.google.com/url?q=http://usaco.org/index.php?page%3Dviewproblem2%26cpid%3D100&amp;sa=D&amp;ust=1605639816529000&amp;usg=AFQjCNFxJo7N5oaMyf9qqpFqAbVTwHNZ1g" TargetMode="External"/><Relationship Id="rId2947" Type="http://schemas.openxmlformats.org/officeDocument/2006/relationships/hyperlink" Target="https://www.google.com/url?q=https://dunjudge.me/analysis/problems/1189/&amp;sa=D&amp;ust=1605639816876000&amp;usg=AFQjCNGxOvzUZXyj_iUEuOi7QAB3hC2_yQ" TargetMode="External"/><Relationship Id="rId919" Type="http://schemas.openxmlformats.org/officeDocument/2006/relationships/hyperlink" Target="https://www.google.com/url?q=https://csacademy.com/contest/round-80/task/towns/&amp;sa=D&amp;ust=1605639816089000&amp;usg=AFQjCNFzwfs5QoG4bdW0WqiSUfw-9apKog" TargetMode="External"/><Relationship Id="rId1549" Type="http://schemas.openxmlformats.org/officeDocument/2006/relationships/hyperlink" Target="https://www.google.com/url?q=https://oj.uz/problem/view/COCI17_kas&amp;sa=D&amp;ust=1605639816415000&amp;usg=AFQjCNGmk1BRJt0CkhRuzI4_yDC86GFYvw" TargetMode="External"/><Relationship Id="rId1756" Type="http://schemas.openxmlformats.org/officeDocument/2006/relationships/hyperlink" Target="https://www.google.com/url?q=https://github.com/tsouza0/CompetitiveProgramming/blob/master/Olympiads/COCI/lista.cpp&amp;sa=D&amp;ust=1605639816480000&amp;usg=AFQjCNHNy1XkYXRnrNRvZmbz5bSfyOsa4w" TargetMode="External"/><Relationship Id="rId1963" Type="http://schemas.openxmlformats.org/officeDocument/2006/relationships/hyperlink" Target="https://www.google.com/url?q=https://github.com/mostafa-saad/MyCompetitiveProgramming/blob/master/Olympiad/CEOI/CEOI-14-carnival.txt&amp;sa=D&amp;ust=1605639816549000&amp;usg=AFQjCNE_13D_7EiXIet4fHdALULF7NitVg" TargetMode="External"/><Relationship Id="rId2807" Type="http://schemas.openxmlformats.org/officeDocument/2006/relationships/hyperlink" Target="https://www.google.com/url?q=https://github.com/mostafa-saad/MyCompetitiveProgramming/blob/master/Olympiad/COCI/official/2010/contest3_solutions&amp;sa=D&amp;ust=1605639816804000&amp;usg=AFQjCNHUS66qsv6iTuTHDyUHIDQCgzt-tw" TargetMode="External"/><Relationship Id="rId48" Type="http://schemas.openxmlformats.org/officeDocument/2006/relationships/hyperlink" Target="https://www.google.com/url?q=https://dunjudge.me/analysis/problems/771/&amp;sa=D&amp;ust=1605639815502000&amp;usg=AFQjCNHR8oQWuoSspoL_aaD_g4e37Dj0PA" TargetMode="External"/><Relationship Id="rId1409" Type="http://schemas.openxmlformats.org/officeDocument/2006/relationships/hyperlink" Target="https://www.google.com/url?q=http://www.usaco.org/index.php?page%3Dviewproblem2%26cpid%3D1021&amp;sa=D&amp;ust=1605639816349000&amp;usg=AFQjCNEPVp3cc8hzUel2lCSm5VlMP4GzNg" TargetMode="External"/><Relationship Id="rId1616" Type="http://schemas.openxmlformats.org/officeDocument/2006/relationships/hyperlink" Target="https://www.google.com/url?q=https://github.com/Szawinis/CompetitiveProgramming/blob/master/Olympiad/COCI/COCI19-parametriziran.cpp&amp;sa=D&amp;ust=1605639816436000&amp;usg=AFQjCNGqVD4fZ99G5WMRm2hQA-T_XTUQmg" TargetMode="External"/><Relationship Id="rId1823" Type="http://schemas.openxmlformats.org/officeDocument/2006/relationships/hyperlink" Target="https://www.google.com/url?q=https://github.com/SpeedOfMagic/CompetitiveProgramming/blob/master/USACO/USACO%252014dec-marathon.cpp&amp;sa=D&amp;ust=1605639816505000&amp;usg=AFQjCNGVuGfcy3uwRkvb3OmVn9kq_Jviwg" TargetMode="External"/><Relationship Id="rId2597" Type="http://schemas.openxmlformats.org/officeDocument/2006/relationships/hyperlink" Target="https://www.google.com/url?q=https://github.com/mostafa-saad/MyCompetitiveProgramming/blob/master/Olympiad/COCI/official/2013/contest3_solutions&amp;sa=D&amp;ust=1605639816742000&amp;usg=AFQjCNEQ6EyFWfBlgWlxKNgaNqadZ60kYg" TargetMode="External"/><Relationship Id="rId569" Type="http://schemas.openxmlformats.org/officeDocument/2006/relationships/hyperlink" Target="https://www.google.com/url?q=https://github.com/mostafa-saad/MyCompetitiveProgramming/blob/master/Olympiad/JOI/JOISC-17-PortFacility.txt&amp;sa=D&amp;ust=1605639815889000&amp;usg=AFQjCNH4_zMXbSO6N2w12ZidD2G9F-hwWw" TargetMode="External"/><Relationship Id="rId776" Type="http://schemas.openxmlformats.org/officeDocument/2006/relationships/hyperlink" Target="https://www.google.com/url?q=https://github.com/mostafa-saad/MyCompetitiveProgramming/blob/master/Olympiad/infoarena/infoarena-radare.txt&amp;sa=D&amp;ust=1605639815989000&amp;usg=AFQjCNE6FzwIregV-asIyarVIhICa0DPrg" TargetMode="External"/><Relationship Id="rId983" Type="http://schemas.openxmlformats.org/officeDocument/2006/relationships/hyperlink" Target="https://www.google.com/url?q=https://cses.fi/107/list/&amp;sa=D&amp;ust=1605639816109000&amp;usg=AFQjCNHo4RjvxEgaaNbhr-_ldeodQ5u3iQ" TargetMode="External"/><Relationship Id="rId1199" Type="http://schemas.openxmlformats.org/officeDocument/2006/relationships/hyperlink" Target="https://www.google.com/url?q=https://joisc2014.contest.atcoder.jp/tasks/joisc2014_j&amp;sa=D&amp;ust=1605639816274000&amp;usg=AFQjCNGWZ7RzqrYMbwrdJRv5n7DwrNu6lg" TargetMode="External"/><Relationship Id="rId2457" Type="http://schemas.openxmlformats.org/officeDocument/2006/relationships/hyperlink" Target="https://www.google.com/url?q=https://github.com/mostafa-saad/MyCompetitiveProgramming/blob/master/Olympiad/NOI/official/2011.pptx&amp;sa=D&amp;ust=1605639816704000&amp;usg=AFQjCNG-wQEu6lvvrSciSX3ZRpS9dHKPpw" TargetMode="External"/><Relationship Id="rId2664" Type="http://schemas.openxmlformats.org/officeDocument/2006/relationships/hyperlink" Target="https://www.google.com/url?q=https://wcipeg.com/problem/coci093p4&amp;sa=D&amp;ust=1605639816756000&amp;usg=AFQjCNFvRH8KREMy5Ku1un45AiSPc3Zt6w" TargetMode="External"/><Relationship Id="rId429" Type="http://schemas.openxmlformats.org/officeDocument/2006/relationships/hyperlink" Target="https://www.google.com/url?q=https://www.acmicpc.net/problem/11783&amp;sa=D&amp;ust=1605639815628000&amp;usg=AFQjCNHHRwi1Of1V4_BdulAOS7ycmjuUDg" TargetMode="External"/><Relationship Id="rId636" Type="http://schemas.openxmlformats.org/officeDocument/2006/relationships/hyperlink" Target="https://www.google.com/url?q=https://szkopul.edu.pl/problemset/problem/ttMOxHYN1BPMG8oXYiIzIXB9/site/&amp;sa=D&amp;ust=1605639815913000&amp;usg=AFQjCNE91zDaC1Y99_B-PELN3_k9iezH-Q" TargetMode="External"/><Relationship Id="rId1059" Type="http://schemas.openxmlformats.org/officeDocument/2006/relationships/hyperlink" Target="https://www.google.com/url?q=http://poj.org/problem?id%3D1912&amp;sa=D&amp;ust=1605639816182000&amp;usg=AFQjCNGhqXmUJTQaZ3OR-HEwc3ds3lVc0g" TargetMode="External"/><Relationship Id="rId1266" Type="http://schemas.openxmlformats.org/officeDocument/2006/relationships/hyperlink" Target="https://www.google.com/url?q=https://github.com/mostafa-saad/MyCompetitiveProgramming/blob/master/Olympiad/Baltic/Baltic-09-Beetles.txt&amp;sa=D&amp;ust=1605639816299000&amp;usg=AFQjCNGuTUSY4n255cTaV2TWZj9rdRULpA" TargetMode="External"/><Relationship Id="rId1473" Type="http://schemas.openxmlformats.org/officeDocument/2006/relationships/hyperlink" Target="https://www.google.com/url?q=https://oj.uz/problems/source/120&amp;sa=D&amp;ust=1605639816389000&amp;usg=AFQjCNFJqkfQ1QYB4WILZOUODXpFiRcsvQ" TargetMode="External"/><Relationship Id="rId2317" Type="http://schemas.openxmlformats.org/officeDocument/2006/relationships/hyperlink" Target="https://www.google.com/url?q=https://github.com/mostafa-saad/MyCompetitiveProgramming/tree/master/Olympiad/COCI/official/2007/contest5_solutions&amp;sa=D&amp;ust=1605639816656000&amp;usg=AFQjCNEtwHIp5SWsrXemHssl_plCGBo4-Q" TargetMode="External"/><Relationship Id="rId2871" Type="http://schemas.openxmlformats.org/officeDocument/2006/relationships/hyperlink" Target="https://www.google.com/url?q=https://dunjudge.me/analysis/problems/421/&amp;sa=D&amp;ust=1605639816824000&amp;usg=AFQjCNHkdhlpxXC786b9OvkVnMzeXO2mVA" TargetMode="External"/><Relationship Id="rId843" Type="http://schemas.openxmlformats.org/officeDocument/2006/relationships/hyperlink" Target="https://www.google.com/url?q=https://oj.uz/problem/view/IOI17_prize&amp;sa=D&amp;ust=1605639816014000&amp;usg=AFQjCNEG1hQOsZhCB3luxlEBBZTihct7qA" TargetMode="External"/><Relationship Id="rId1126" Type="http://schemas.openxmlformats.org/officeDocument/2006/relationships/hyperlink" Target="https://www.google.com/url?q=https://github.com/mostafa-saad/MyCompetitiveProgramming/blob/master/Olympiad/CEOI/CEOI-18-Lottery.txt&amp;sa=D&amp;ust=1605639816205000&amp;usg=AFQjCNGgA-oU6SUgTGIP7cPAcTpDSA96eA" TargetMode="External"/><Relationship Id="rId1680" Type="http://schemas.openxmlformats.org/officeDocument/2006/relationships/hyperlink" Target="https://www.google.com/url?q=https://oj.uz/problem/view/IOI08_printer&amp;sa=D&amp;ust=1605639816453000&amp;usg=AFQjCNG0zFgot77xngxiTfTU0_Mdv42rvg" TargetMode="External"/><Relationship Id="rId2524" Type="http://schemas.openxmlformats.org/officeDocument/2006/relationships/hyperlink" Target="https://www.google.com/url?q=https://github.com/mostafa-saad/MyCompetitiveProgramming/blob/master/Olympiad/POI/official/find_editorial_sols_guidelines.txt&amp;sa=D&amp;ust=1605639816727000&amp;usg=AFQjCNEcvxPlYXfJrA5Jfisy1RypWoqOnQ" TargetMode="External"/><Relationship Id="rId2731" Type="http://schemas.openxmlformats.org/officeDocument/2006/relationships/hyperlink" Target="https://www.google.com/url?q=https://github.com/mostafa-saad/MyCompetitiveProgramming/blob/master/Olympiad/COCI/official/2009/regional_solutions&amp;sa=D&amp;ust=1605639816778000&amp;usg=AFQjCNFmBRUEAHdnf_BZk93nQuvRSohK5g" TargetMode="External"/><Relationship Id="rId703" Type="http://schemas.openxmlformats.org/officeDocument/2006/relationships/hyperlink" Target="https://www.google.com/url?q=https://github.com/mostafa-saad/MyCompetitiveProgramming/blob/master/Olympiad/NOI/NOI-14-obelisk.txt&amp;sa=D&amp;ust=1605639815934000&amp;usg=AFQjCNHaBb-sv-f0vpamWh-3vDWT5EbH3A" TargetMode="External"/><Relationship Id="rId910" Type="http://schemas.openxmlformats.org/officeDocument/2006/relationships/hyperlink" Target="https://www.google.com/url?q=https://github.com/stefdasca/CompetitiveProgramming/blob/master/Infoarena/ksecv.cpp&amp;sa=D&amp;ust=1605639816087000&amp;usg=AFQjCNGYbqZUQP4moY0lWCBmJGbQKHUo_Q" TargetMode="External"/><Relationship Id="rId1333" Type="http://schemas.openxmlformats.org/officeDocument/2006/relationships/hyperlink" Target="https://www.google.com/url?q=http://usaco.org/index.php?page%3Dviewproblem2%26cpid%3D924&amp;sa=D&amp;ust=1605639816323000&amp;usg=AFQjCNES-VYreAbKi4a2jClIgqDpKeptsg" TargetMode="External"/><Relationship Id="rId1540" Type="http://schemas.openxmlformats.org/officeDocument/2006/relationships/hyperlink" Target="https://www.google.com/url?q=https://oj.uz/problem/view/IOI16_paint&amp;sa=D&amp;ust=1605639816413000&amp;usg=AFQjCNEGr9FEmy424ort3m-hUAzQMfvKiQ" TargetMode="External"/><Relationship Id="rId1400" Type="http://schemas.openxmlformats.org/officeDocument/2006/relationships/hyperlink" Target="https://www.google.com/url?q=https://github.com/mostafa-saad/MyCompetitiveProgramming/blob/master/Olympiad/CEOI/COCI-09-Kaboom&amp;sa=D&amp;ust=1605639816346000&amp;usg=AFQjCNGLayg-u_d4oAWH0a4Tr3yL3lxhKA" TargetMode="External"/><Relationship Id="rId286" Type="http://schemas.openxmlformats.org/officeDocument/2006/relationships/hyperlink" Target="https://www.google.com/url?q=https://oj.uz/problem/view/IOI12_city&amp;sa=D&amp;ust=1605639815576000&amp;usg=AFQjCNEVMqQEIJaYsaKpgRXmMz_3tINTOg" TargetMode="External"/><Relationship Id="rId493" Type="http://schemas.openxmlformats.org/officeDocument/2006/relationships/hyperlink" Target="https://www.google.com/url?q=https://github.com/mostafa-saad/MyCompetitiveProgramming/blob/master/Olympiad/NOI/official&amp;sa=D&amp;ust=1605639815680000&amp;usg=AFQjCNEd3hhmUv-sj2_Fj_V2iHHTBHRrTQ" TargetMode="External"/><Relationship Id="rId2174" Type="http://schemas.openxmlformats.org/officeDocument/2006/relationships/hyperlink" Target="https://www.google.com/url?q=https://wcipeg.com/problem/coi09p1&amp;sa=D&amp;ust=1605639816619000&amp;usg=AFQjCNHlEKBqXcvDPe2QbTgtL9T0u9a3og" TargetMode="External"/><Relationship Id="rId2381" Type="http://schemas.openxmlformats.org/officeDocument/2006/relationships/hyperlink" Target="https://www.google.com/url?q=https://github.com/mostafa-saad/MyCompetitiveProgramming/blob/master/Olympiad/IOI/official/2006/ioi06_writing_sol.pdf&amp;sa=D&amp;ust=1605639816676000&amp;usg=AFQjCNFGTaYvpoqff0ComNiHBybXt7-NdA" TargetMode="External"/><Relationship Id="rId3018" Type="http://schemas.openxmlformats.org/officeDocument/2006/relationships/hyperlink" Target="https://www.google.com/url?q=https://dunjudge.me/analysis/problems/933/&amp;sa=D&amp;ust=1605639816910000&amp;usg=AFQjCNFRInab4lrTtbu-lamlVR-_25ib2Q" TargetMode="External"/><Relationship Id="rId146" Type="http://schemas.openxmlformats.org/officeDocument/2006/relationships/hyperlink" Target="https://www.google.com/url?q=http://www.ioi2011.or.th/hsc/tasks/EN/parrots.pdf&amp;sa=D&amp;ust=1605639815534000&amp;usg=AFQjCNEnkSVFyA-b8BNvkmg3OLEQWxTTjA" TargetMode="External"/><Relationship Id="rId353" Type="http://schemas.openxmlformats.org/officeDocument/2006/relationships/hyperlink" Target="https://www.google.com/url?q=https://codeforces.com/gym/102257/&amp;sa=D&amp;ust=1605639815599000&amp;usg=AFQjCNH2ZSlqMHfSu9jZ7Q8IyQbwvXPggA" TargetMode="External"/><Relationship Id="rId560" Type="http://schemas.openxmlformats.org/officeDocument/2006/relationships/hyperlink" Target="https://www.google.com/url?q=https://csacademy.com/contest/romanian-ioi-2017-selection-1/task/rooms/&amp;sa=D&amp;ust=1605639815886000&amp;usg=AFQjCNE-PJtNNjMEb79536nW9FPLJ18gnw" TargetMode="External"/><Relationship Id="rId1190" Type="http://schemas.openxmlformats.org/officeDocument/2006/relationships/hyperlink" Target="https://www.google.com/url?q=https://github.com/mostafa-saad/MyCompetitiveProgramming/blob/master/Olympiad/POI/POI-15-Squares.txt&amp;sa=D&amp;ust=1605639816222000&amp;usg=AFQjCNFNuYsuz4x-O0a6luH5KOD5_vy9WA" TargetMode="External"/><Relationship Id="rId2034" Type="http://schemas.openxmlformats.org/officeDocument/2006/relationships/hyperlink" Target="https://www.google.com/url?q=https://github.com/Yehezkiel01/CompetitiveProgramming/blob/master/JOIOC/JOIOC-14-secret.cpp&amp;sa=D&amp;ust=1605639816572000&amp;usg=AFQjCNGkrInUlfHWLdGr0Wjej8jhVX78pQ" TargetMode="External"/><Relationship Id="rId2241" Type="http://schemas.openxmlformats.org/officeDocument/2006/relationships/hyperlink" Target="https://www.google.com/url?q=https://www.infoarena.ro/problema/pesaptecarari&amp;sa=D&amp;ust=1605639816637000&amp;usg=AFQjCNF8WqLPqeZmsRqd0p-CWJFTV9azEw" TargetMode="External"/><Relationship Id="rId213" Type="http://schemas.openxmlformats.org/officeDocument/2006/relationships/hyperlink" Target="https://www.google.com/url?q=https://github.com/tmwilliamlin168/CompetitiveProgramming/blob/master/JOI/17SC-Coach.cpp&amp;sa=D&amp;ust=1605639815553000&amp;usg=AFQjCNFis9ZCdQoIXaw8vc5BZu8hK1MQvA" TargetMode="External"/><Relationship Id="rId420" Type="http://schemas.openxmlformats.org/officeDocument/2006/relationships/hyperlink" Target="https://www.google.com/url?q=https://oj.uz/problem/view/IZhO12_xor&amp;sa=D&amp;ust=1605639815625000&amp;usg=AFQjCNEmSk2lW7lm8XghdIpCFhNP195E3A" TargetMode="External"/><Relationship Id="rId1050" Type="http://schemas.openxmlformats.org/officeDocument/2006/relationships/hyperlink" Target="https://www.google.com/url?q=https://github.com/mostafa-saad/MyCompetitiveProgramming/blob/master/Olympiad/COCI/COCI-08-Trezor.txt&amp;sa=D&amp;ust=1605639816179000&amp;usg=AFQjCNG-MYlb74syGhRsKMMGHIEyc0v30Q" TargetMode="External"/><Relationship Id="rId2101" Type="http://schemas.openxmlformats.org/officeDocument/2006/relationships/hyperlink" Target="https://www.google.com/url?q=https://github.com/win11905/submission/blob/master/POI/parade.cpp&amp;sa=D&amp;ust=1605639816596000&amp;usg=AFQjCNEsX5BCu4SHPPgjR5-YuXuRmIboGQ" TargetMode="External"/><Relationship Id="rId518" Type="http://schemas.openxmlformats.org/officeDocument/2006/relationships/hyperlink" Target="https://www.google.com/url?q=https://github.com/mostafa-saad/MyCompetitiveProgramming/blob/master/Olympiad/POI/POI-09-Walk.txt&amp;sa=D&amp;ust=1605639815687000&amp;usg=AFQjCNGMQHNnGxjcwkinw90qQ1m-sUgdxw" TargetMode="External"/><Relationship Id="rId725" Type="http://schemas.openxmlformats.org/officeDocument/2006/relationships/hyperlink" Target="https://www.google.com/url?q=https://github.com/mostafa-saad/MyCompetitiveProgramming/blob/master/Olympiad/COCI/COCI-14-Police.txt&amp;sa=D&amp;ust=1605639815972000&amp;usg=AFQjCNEN2xOgMCkWVAt-eUX5-8f3QilZlw" TargetMode="External"/><Relationship Id="rId932" Type="http://schemas.openxmlformats.org/officeDocument/2006/relationships/hyperlink" Target="https://www.google.com/url?q=https://szkopul.edu.pl/problemset/problem/mjJWZowf-KgF_KX1Hi0bUDZN/site/&amp;sa=D&amp;ust=1605639816093000&amp;usg=AFQjCNGFtECsJrRGnWydNq7eYxnWzd0xxQ" TargetMode="External"/><Relationship Id="rId1148" Type="http://schemas.openxmlformats.org/officeDocument/2006/relationships/hyperlink" Target="https://www.google.com/url?q=http://usaco.org/index.php?page%3Dviewproblem2%26cpid%3D817&amp;sa=D&amp;ust=1605639816211000&amp;usg=AFQjCNFh3wsOcLUj3TDvgbUBbH3yOBss5w" TargetMode="External"/><Relationship Id="rId1355" Type="http://schemas.openxmlformats.org/officeDocument/2006/relationships/hyperlink" Target="https://www.google.com/url?q=https://github.com/stefdasca/CompetitiveProgramming/blob/master/Infoarena/minuni.cpp&amp;sa=D&amp;ust=1605639816331000&amp;usg=AFQjCNFmGIR6LHVOkLJN_6EzvoiDEwuJuw" TargetMode="External"/><Relationship Id="rId1562" Type="http://schemas.openxmlformats.org/officeDocument/2006/relationships/hyperlink" Target="https://www.google.com/url?q=https://github.com/mostafa-saad/MyCompetitiveProgramming/blob/master/Olympiad/infoarena/infoarena_regat.txt&amp;sa=D&amp;ust=1605639816420000&amp;usg=AFQjCNHpsH5vv_l2_4-C8mwSLuvpgntt9g" TargetMode="External"/><Relationship Id="rId2406" Type="http://schemas.openxmlformats.org/officeDocument/2006/relationships/hyperlink" Target="https://www.google.com/url?q=https://dunjudge.me/analysis/problems/73/&amp;sa=D&amp;ust=1605639816685000&amp;usg=AFQjCNFQjAY4CbeGl_WPNaoYF3NiUaQVeQ" TargetMode="External"/><Relationship Id="rId2613" Type="http://schemas.openxmlformats.org/officeDocument/2006/relationships/hyperlink" Target="https://www.google.com/url?q=https://oj.uz/problem/view/COCI17_izbori&amp;sa=D&amp;ust=1605639816746000&amp;usg=AFQjCNE65dWhx2c_sn31tWBADMmHFPQ1UQ" TargetMode="External"/><Relationship Id="rId1008" Type="http://schemas.openxmlformats.org/officeDocument/2006/relationships/hyperlink" Target="https://www.google.com/url?q=https://github.com/mostafa-saad/MyCompetitiveProgramming/blob/master/Olympiad/JOI/JOI-18-Dangomaker.txt&amp;sa=D&amp;ust=1605639816116000&amp;usg=AFQjCNFzgyKLqBnnBlVUTRql1YtexW2kdg" TargetMode="External"/><Relationship Id="rId1215" Type="http://schemas.openxmlformats.org/officeDocument/2006/relationships/hyperlink" Target="https://www.google.com/url?q=https://github.com/mostafa-saad/MyCompetitiveProgramming/blob/master/Olympiad/infoarena/infoarena-jap2.txt&amp;sa=D&amp;ust=1605639816280000&amp;usg=AFQjCNFu50Js2ETMVTHjMYSW-vKNvJ7hlw" TargetMode="External"/><Relationship Id="rId1422" Type="http://schemas.openxmlformats.org/officeDocument/2006/relationships/hyperlink" Target="https://www.google.com/url?q=https://ivaniscoding.wordpress.com/2018/08/25/communication-3-broken-device/&amp;sa=D&amp;ust=1605639816368000&amp;usg=AFQjCNEZe2jaAd8dZdUnqOetl-P4FeOmRg" TargetMode="External"/><Relationship Id="rId1867" Type="http://schemas.openxmlformats.org/officeDocument/2006/relationships/hyperlink" Target="https://www.google.com/url?q=https://szkopul.edu.pl/problemset/problem/w3YAoAT3ej27YeiaNWjK57_G/site/&amp;sa=D&amp;ust=1605639816519000&amp;usg=AFQjCNEE0ws3Hod5Kl6iE0ja12w_jFwGjw" TargetMode="External"/><Relationship Id="rId2820" Type="http://schemas.openxmlformats.org/officeDocument/2006/relationships/hyperlink" Target="https://www.google.com/url?q=https://wcipeg.com/problem/coci097p1&amp;sa=D&amp;ust=1605639816808000&amp;usg=AFQjCNE-Rg3K5fjFM2iwt3CrpP5PWg49Tw" TargetMode="External"/><Relationship Id="rId2918" Type="http://schemas.openxmlformats.org/officeDocument/2006/relationships/hyperlink" Target="https://www.google.com/url?q=https://oj.uz/problem/view/innopolis2018_final_D&amp;sa=D&amp;ust=1605639816848000&amp;usg=AFQjCNFc6vXOrV6mfTf87GBJxl7IEQNc3g" TargetMode="External"/><Relationship Id="rId61" Type="http://schemas.openxmlformats.org/officeDocument/2006/relationships/hyperlink" Target="https://www.google.com/url?q=https://oj.uz/problem/view/COCI17_gauss&amp;sa=D&amp;ust=1605639815509000&amp;usg=AFQjCNHEy3Rn7JjdwfIQ4xbaY11PryeaOA" TargetMode="External"/><Relationship Id="rId1727" Type="http://schemas.openxmlformats.org/officeDocument/2006/relationships/hyperlink" Target="https://www.google.com/url?q=https://www.infoarena.ro/problema/color5&amp;sa=D&amp;ust=1605639816469000&amp;usg=AFQjCNFdEyGIMf5vxU-sRdjOnSwKLTqwaA" TargetMode="External"/><Relationship Id="rId1934" Type="http://schemas.openxmlformats.org/officeDocument/2006/relationships/hyperlink" Target="https://www.google.com/url?q=https://github.com/stefdasca/CompetitiveProgramming/blob/master/Infoarena/borcane.cpp&amp;sa=D&amp;ust=1605639816539000&amp;usg=AFQjCNGHCYiXgSdRZDusCBE_TiKTiA06tg" TargetMode="External"/><Relationship Id="rId19" Type="http://schemas.openxmlformats.org/officeDocument/2006/relationships/hyperlink" Target="https://www.google.com/url?q=https://github.com/mostafa-saad/MyCompetitiveProgramming/blob/master/Olympiad/IOI/IOI-18-meetings.txt&amp;sa=D&amp;ust=1605639815492000&amp;usg=AFQjCNEFUWkWoi_n7OLfpON0HBqJLqn0tQ" TargetMode="External"/><Relationship Id="rId2196" Type="http://schemas.openxmlformats.org/officeDocument/2006/relationships/hyperlink" Target="https://www.google.com/url?q=https://github.com/mostafa-saad/MyCompetitiveProgramming/blob/master/Olympiad/COCI/official/2018/contest1_solutions&amp;sa=D&amp;ust=1605639816626000&amp;usg=AFQjCNH8rM0M-h60kj9oCf-sr0Ctt13c9A" TargetMode="External"/><Relationship Id="rId168" Type="http://schemas.openxmlformats.org/officeDocument/2006/relationships/hyperlink" Target="https://www.google.com/url?q=https://dunjudge.me/analysis/problems/1661/&amp;sa=D&amp;ust=1605639815541000&amp;usg=AFQjCNHP6UN5QKw-dL4c7qIZ3RCBdGxPDQ" TargetMode="External"/><Relationship Id="rId375" Type="http://schemas.openxmlformats.org/officeDocument/2006/relationships/hyperlink" Target="https://www.google.com/url?q=https://www.infoarena.ro/problema/countfefete&amp;sa=D&amp;ust=1605639815607000&amp;usg=AFQjCNHIEhwZTxpDB3ZXhIHfCYFYLcwYzQ" TargetMode="External"/><Relationship Id="rId582" Type="http://schemas.openxmlformats.org/officeDocument/2006/relationships/hyperlink" Target="https://www.google.com/url?q=https://oj.uz/problem/view/COI15_nafta&amp;sa=D&amp;ust=1605639815893000&amp;usg=AFQjCNEnsj65k51Y0PfgfYvyhiYoMVJSSg" TargetMode="External"/><Relationship Id="rId2056" Type="http://schemas.openxmlformats.org/officeDocument/2006/relationships/hyperlink" Target="https://www.google.com/url?q=https://dmoj.ca/problem/ccc16s5&amp;sa=D&amp;ust=1605639816579000&amp;usg=AFQjCNE2Gn2UbCAZLE4weGc1dHWi6gJkog" TargetMode="External"/><Relationship Id="rId2263" Type="http://schemas.openxmlformats.org/officeDocument/2006/relationships/hyperlink" Target="https://www.google.com/url?q=https://codeforces.com/group/swEqtABRxe/contest/243438/problem/A&amp;sa=D&amp;ust=1605639816642000&amp;usg=AFQjCNFZlztAMk6zT8HjfwwCWwXTqKOLRg" TargetMode="External"/><Relationship Id="rId2470" Type="http://schemas.openxmlformats.org/officeDocument/2006/relationships/hyperlink" Target="https://www.google.com/url?q=https://github.com/stefdasca/CompetitiveProgramming/blob/master/Infoarena/munte4.cpp&amp;sa=D&amp;ust=1605639816708000&amp;usg=AFQjCNGIukTXPy6CeWH5FqBcvR6bkBmR4w" TargetMode="External"/><Relationship Id="rId3" Type="http://schemas.openxmlformats.org/officeDocument/2006/relationships/hyperlink" Target="https://www.google.com/url?q=https://oj.uz/problems/source/56&amp;sa=D&amp;ust=1605639815486000&amp;usg=AFQjCNH34RrOLB2qbct0cNP13zc-ed_rdw" TargetMode="External"/><Relationship Id="rId235" Type="http://schemas.openxmlformats.org/officeDocument/2006/relationships/hyperlink" Target="https://www.google.com/url?q=https://github.com/nikolapesic2802/Programming-Practice/blob/master/Seats/IOI%25202018%2520Seats.txt&amp;sa=D&amp;ust=1605639815558000&amp;usg=AFQjCNHYro_OjFVx2x6P_dOamanqwl9eEg" TargetMode="External"/><Relationship Id="rId442" Type="http://schemas.openxmlformats.org/officeDocument/2006/relationships/hyperlink" Target="https://www.google.com/url?q=https://www.infoarena.ro/problema/cladiri&amp;sa=D&amp;ust=1605639815633000&amp;usg=AFQjCNGmcuIJWNApp4LOk03CXaxxzQuFWg" TargetMode="External"/><Relationship Id="rId887" Type="http://schemas.openxmlformats.org/officeDocument/2006/relationships/hyperlink" Target="https://www.google.com/url?q=https://oj.uz/problem/view/IZhO19_lyuboyn&amp;sa=D&amp;ust=1605639816077000&amp;usg=AFQjCNHsAexIp26aCQ49EmWKUNB6bAm17g" TargetMode="External"/><Relationship Id="rId1072" Type="http://schemas.openxmlformats.org/officeDocument/2006/relationships/hyperlink" Target="https://www.google.com/url?q=https://github.com/mostafa-saad/MyCompetitiveProgramming/blob/master/Olympiad/IOI/IOI-14-friend.txt&amp;sa=D&amp;ust=1605639816187000&amp;usg=AFQjCNG0cWVVS9QdDhaYaNaCo1qMwHZnLQ" TargetMode="External"/><Relationship Id="rId2123" Type="http://schemas.openxmlformats.org/officeDocument/2006/relationships/hyperlink" Target="https://www.google.com/url?q=https://www.infoarena.ro/problema/panza&amp;sa=D&amp;ust=1605639816602000&amp;usg=AFQjCNGoFVOypP0TNEq65CC12a3LFJ7SuQ" TargetMode="External"/><Relationship Id="rId2330" Type="http://schemas.openxmlformats.org/officeDocument/2006/relationships/hyperlink" Target="https://www.google.com/url?q=https://github.com/stefdasca/CompetitiveProgramming/blob/master/Infoarena/incurcatura.cpp&amp;sa=D&amp;ust=1605639816659000&amp;usg=AFQjCNF_o1j7pG36UV4OhXh4A2KPqRf4Iw" TargetMode="External"/><Relationship Id="rId2568" Type="http://schemas.openxmlformats.org/officeDocument/2006/relationships/hyperlink" Target="https://www.google.com/url?q=https://wcipeg.com/problem/coci067p1&amp;sa=D&amp;ust=1605639816735000&amp;usg=AFQjCNE9S7nlRfLfzif2jzd2zQxPzEsXcg" TargetMode="External"/><Relationship Id="rId2775" Type="http://schemas.openxmlformats.org/officeDocument/2006/relationships/hyperlink" Target="https://www.google.com/url?q=https://dmoj.ca/problem/coci15c4p1&amp;sa=D&amp;ust=1605639816792000&amp;usg=AFQjCNE8KGL3OihQQ0Mk2n-6Nvh4xKLnMQ" TargetMode="External"/><Relationship Id="rId2982" Type="http://schemas.openxmlformats.org/officeDocument/2006/relationships/hyperlink" Target="https://www.google.com/url?q=https://szkopul.edu.pl/problemset/problem/URPMk7vthz60i1J3MT3XbIIO/site/&amp;sa=D&amp;ust=1605639816895000&amp;usg=AFQjCNG_yEzxOA1BURAeMuU-0X6-vTPhqQ" TargetMode="External"/><Relationship Id="rId302" Type="http://schemas.openxmlformats.org/officeDocument/2006/relationships/hyperlink" Target="https://www.google.com/url?q=https://oj.uz/problem/view/APIO16_boat&amp;sa=D&amp;ust=1605639815580000&amp;usg=AFQjCNE7htvEz7LKsaNvmctVxOuFQrZKZQ" TargetMode="External"/><Relationship Id="rId747" Type="http://schemas.openxmlformats.org/officeDocument/2006/relationships/hyperlink" Target="https://www.google.com/url?q=https://github.com/mostafa-saad/MyCompetitiveProgramming/blob/master/Olympiad/IOI/IOI-05-rivers.txt&amp;sa=D&amp;ust=1605639815979000&amp;usg=AFQjCNGy6mEg5kWNj4PRcrAcAOf09CxPTQ" TargetMode="External"/><Relationship Id="rId954" Type="http://schemas.openxmlformats.org/officeDocument/2006/relationships/hyperlink" Target="https://www.google.com/url?q=https://szkopul.edu.pl/problemset/problem/YXgT8J1eHCc3h8z5RW69thmy/site/?key%3Dstatement&amp;sa=D&amp;ust=1605639816099000&amp;usg=AFQjCNFu-lf98RkZlF3mMeEvhJLtN0J22g" TargetMode="External"/><Relationship Id="rId1377" Type="http://schemas.openxmlformats.org/officeDocument/2006/relationships/hyperlink" Target="https://www.google.com/url?q=https://oj.uz/problem/view/IOI19_packing&amp;sa=D&amp;ust=1605639816338000&amp;usg=AFQjCNFIgMrlrQvak7JJHBa0WzLEhb9gkA" TargetMode="External"/><Relationship Id="rId1584" Type="http://schemas.openxmlformats.org/officeDocument/2006/relationships/hyperlink" Target="https://www.google.com/url?q=https://contest.yandex.com/roiarchive/contest/2012/problems/D&amp;sa=D&amp;ust=1605639816426000&amp;usg=AFQjCNHgIX_KLT1iZpti_kKKrIhStMVHSA" TargetMode="External"/><Relationship Id="rId1791" Type="http://schemas.openxmlformats.org/officeDocument/2006/relationships/hyperlink" Target="https://www.google.com/url?q=https://szkopul.edu.pl/problemset/problem/qDH9CkBHZKHY4vbKRBlXPrA7/site/&amp;sa=D&amp;ust=1605639816493000&amp;usg=AFQjCNEshkLUy4QhAxM2ZvJeD5xPAy37iQ" TargetMode="External"/><Relationship Id="rId2428" Type="http://schemas.openxmlformats.org/officeDocument/2006/relationships/hyperlink" Target="https://www.google.com/url?q=https://github.com/stefdasca/CompetitiveProgramming/blob/master/Infoarena/kcover.cpp&amp;sa=D&amp;ust=1605639816694000&amp;usg=AFQjCNFfNhV8KRdPW12ZUeCK6t9E7yK32g" TargetMode="External"/><Relationship Id="rId2635" Type="http://schemas.openxmlformats.org/officeDocument/2006/relationships/hyperlink" Target="https://www.google.com/url?q=https://dmoj.ca/problem/coci06c5p2&amp;sa=D&amp;ust=1605639816751000&amp;usg=AFQjCNGWx8BX8ZcAwiSE8VnRPI3j5GJWOg" TargetMode="External"/><Relationship Id="rId2842" Type="http://schemas.openxmlformats.org/officeDocument/2006/relationships/hyperlink" Target="https://www.google.com/url?q=https://dmoj.ca/problem/coci09c1p1&amp;sa=D&amp;ust=1605639816814000&amp;usg=AFQjCNFqp3f1OLyF1Ig4uY1ZBMN9_Fevdw" TargetMode="External"/><Relationship Id="rId83" Type="http://schemas.openxmlformats.org/officeDocument/2006/relationships/hyperlink" Target="https://www.google.com/url?q=https://github.com/mostafa-saad/MyCompetitiveProgramming/blob/master/Olympiad/APIO/APIO-09-Convention.txt&amp;sa=D&amp;ust=1605639815516000&amp;usg=AFQjCNFGoxjJb5vOC_LECg5T4HpDx3cc6g" TargetMode="External"/><Relationship Id="rId607" Type="http://schemas.openxmlformats.org/officeDocument/2006/relationships/hyperlink" Target="https://www.google.com/url?q=https://github.com/mostafa-saad/MyCompetitiveProgramming/blob/master/Olympiad/infoarena/infoarena_shgraf.txt&amp;sa=D&amp;ust=1605639815902000&amp;usg=AFQjCNGuZMqNGkoEVyR3poj-yj_ROpQA9Q" TargetMode="External"/><Relationship Id="rId814" Type="http://schemas.openxmlformats.org/officeDocument/2006/relationships/hyperlink" Target="https://www.google.com/url?q=https://www.acmicpc.net/problem/2209&amp;sa=D&amp;ust=1605639816004000&amp;usg=AFQjCNGJIveNz4FTbSDNBBKTgxgivbxs-w" TargetMode="External"/><Relationship Id="rId1237" Type="http://schemas.openxmlformats.org/officeDocument/2006/relationships/hyperlink" Target="https://www.google.com/url?q=https://szkopul.edu.pl/problemset/problem/Hj7Ko64-xPs_FrzJ4WucMde9/site/&amp;sa=D&amp;ust=1605639816289000&amp;usg=AFQjCNGpEAqNtIjQZ2CWVf1qaP2c8XySlA" TargetMode="External"/><Relationship Id="rId1444" Type="http://schemas.openxmlformats.org/officeDocument/2006/relationships/hyperlink" Target="https://www.google.com/url?q=https://oj.uz/problem/view/IZhO17_bootfall&amp;sa=D&amp;ust=1605639816377000&amp;usg=AFQjCNGiTdT0vXbNx-rhIdCYQNp2_Yo-Pg" TargetMode="External"/><Relationship Id="rId1651" Type="http://schemas.openxmlformats.org/officeDocument/2006/relationships/hyperlink" Target="https://www.google.com/url?q=https://oj.uz/problem/view/COCI17_automobil&amp;sa=D&amp;ust=1605639816445000&amp;usg=AFQjCNFeilCXjqC8YVEFlhtv16V7lYSZYA" TargetMode="External"/><Relationship Id="rId1889" Type="http://schemas.openxmlformats.org/officeDocument/2006/relationships/hyperlink" Target="https://www.google.com/url?q=https://github.com/mostafa-saad/MyCompetitiveProgramming/blob/master/Olympiad/IOI/IOI-10-quality.txt&amp;sa=D&amp;ust=1605639816527000&amp;usg=AFQjCNHZGDx19uY4Mh4R0_Kd99vN-1PkFg" TargetMode="External"/><Relationship Id="rId2702" Type="http://schemas.openxmlformats.org/officeDocument/2006/relationships/hyperlink" Target="https://www.google.com/url?q=https://oj.uz/problem/view/COCI17_turnir&amp;sa=D&amp;ust=1605639816768000&amp;usg=AFQjCNFBoKRKkYgqMquvH2EqyWuPyUlnVQ" TargetMode="External"/><Relationship Id="rId1304" Type="http://schemas.openxmlformats.org/officeDocument/2006/relationships/hyperlink" Target="https://www.google.com/url?q=https://github.com/win11905/submission/blob/master/COI/19/ljepotica.cpp&amp;sa=D&amp;ust=1605639816312000&amp;usg=AFQjCNFngBgtxwi_Av1bZGm9XJ1dXdq7Sw" TargetMode="External"/><Relationship Id="rId1511" Type="http://schemas.openxmlformats.org/officeDocument/2006/relationships/hyperlink" Target="https://www.google.com/url?q=https://github.com/HeartBlue/CompetitiveProgramming/blob/master/POI/POI%252000-SPO%2520Peaceful%2520Commission.cpp&amp;sa=D&amp;ust=1605639816403000&amp;usg=AFQjCNEGz9sXhawFEbBKORj-IUxVh0MFrQ" TargetMode="External"/><Relationship Id="rId1749" Type="http://schemas.openxmlformats.org/officeDocument/2006/relationships/hyperlink" Target="https://www.google.com/url?q=https://szkopul.edu.pl/problemset/problem/Syg2bcb2gzeOcCBXcL4ap80b/site/&amp;sa=D&amp;ust=1605639816476000&amp;usg=AFQjCNEyQbWGgNcEQrdb6-T3GpXlQJ41xQ" TargetMode="External"/><Relationship Id="rId1956" Type="http://schemas.openxmlformats.org/officeDocument/2006/relationships/hyperlink" Target="https://www.google.com/url?q=https://dmoj.ca/problem/coci14c3p5&amp;sa=D&amp;ust=1605639816546000&amp;usg=AFQjCNHfTmGcwYqloM7n6TnWT5rtD3-rgQ" TargetMode="External"/><Relationship Id="rId1609" Type="http://schemas.openxmlformats.org/officeDocument/2006/relationships/hyperlink" Target="https://www.google.com/url?q=https://www.infoarena.ro/problema/interact&amp;sa=D&amp;ust=1605639816434000&amp;usg=AFQjCNGAf7HmCj_vUU8o1w2rn-o3EafuXw" TargetMode="External"/><Relationship Id="rId1816" Type="http://schemas.openxmlformats.org/officeDocument/2006/relationships/hyperlink" Target="https://www.google.com/url?q=https://oj.uz/problem/view/COCI16_kvalitetni&amp;sa=D&amp;ust=1605639816503000&amp;usg=AFQjCNEedUXfXyixLXSceR-fTMa6MYW9vw" TargetMode="External"/><Relationship Id="rId10" Type="http://schemas.openxmlformats.org/officeDocument/2006/relationships/hyperlink" Target="https://www.google.com/url?q=https://csacademy.com/contest/round-80/task/sortall/&amp;sa=D&amp;ust=1605639815489000&amp;usg=AFQjCNGDzcKdBGDM8AX6NflE-waqghoHuw" TargetMode="External"/><Relationship Id="rId397" Type="http://schemas.openxmlformats.org/officeDocument/2006/relationships/hyperlink" Target="https://www.google.com/url?q=https://github.com/tmwilliamlin168/CompetitiveProgramming/blob/master/JOI/18SC-Fences.cpp&amp;sa=D&amp;ust=1605639815615000&amp;usg=AFQjCNHnY4tHDZGPCRhdlBmRk9DVL0TnaQ" TargetMode="External"/><Relationship Id="rId2078" Type="http://schemas.openxmlformats.org/officeDocument/2006/relationships/hyperlink" Target="https://www.google.com/url?q=http://usaco.org/index.php?page%3Dviewproblem2%26cpid%3D229&amp;sa=D&amp;ust=1605639816588000&amp;usg=AFQjCNEWRlFBxRTuv-F2GAkehm1g8NGyEg" TargetMode="External"/><Relationship Id="rId2285" Type="http://schemas.openxmlformats.org/officeDocument/2006/relationships/hyperlink" Target="https://www.google.com/url?q=https://dunjudge.me/analysis/problems/146/&amp;sa=D&amp;ust=1605639816648000&amp;usg=AFQjCNGZLDd4g0qRURZKuZYjONpizuu5Cw" TargetMode="External"/><Relationship Id="rId2492" Type="http://schemas.openxmlformats.org/officeDocument/2006/relationships/hyperlink" Target="https://www.google.com/url?q=https://codeforces.com/group/swEqtABRxe/contest/243430/problem/A&amp;sa=D&amp;ust=1605639816716000&amp;usg=AFQjCNG97vfoUWbXI512qqkdIvZ5E58XMg" TargetMode="External"/><Relationship Id="rId257" Type="http://schemas.openxmlformats.org/officeDocument/2006/relationships/hyperlink" Target="https://www.google.com/url?q=https://github.com/mostafa-saad/MyCompetitiveProgramming/blob/master/Olympiad/COCI/COCI-08-Krtica.txt&amp;sa=D&amp;ust=1605639815564000&amp;usg=AFQjCNGwyub-sGSgcIf2D-d6UEOxSFzhNw" TargetMode="External"/><Relationship Id="rId464" Type="http://schemas.openxmlformats.org/officeDocument/2006/relationships/hyperlink" Target="https://www.google.com/url?q=https://github.com/mostafa-saad/MyCompetitiveProgramming/blob/master/Olympiad/CEOI/CEOI-06-Connect.txt&amp;sa=D&amp;ust=1605639815671000&amp;usg=AFQjCNE0a8mEiRihHP8JoDvKN-adgFlTFA" TargetMode="External"/><Relationship Id="rId1094" Type="http://schemas.openxmlformats.org/officeDocument/2006/relationships/hyperlink" Target="https://www.google.com/url?q=https://github.com/thecodingwizard/competitive-programming/blob/master/USACO/2019feb/plat/mooriokart.cpp&amp;sa=D&amp;ust=1605639816194000&amp;usg=AFQjCNHvPzOC3-BHGFFuCIXk7XmRih5xPw" TargetMode="External"/><Relationship Id="rId2145" Type="http://schemas.openxmlformats.org/officeDocument/2006/relationships/hyperlink" Target="https://www.google.com/url?q=https://github.com/mostafa-saad/MyCompetitiveProgramming/blob/master/Olympiad/POI/official/find_editorial_sols_guidelines.txt&amp;sa=D&amp;ust=1605639816608000&amp;usg=AFQjCNHdgToeyiSb5AsM-D3hQD2RxvG5GA" TargetMode="External"/><Relationship Id="rId2797" Type="http://schemas.openxmlformats.org/officeDocument/2006/relationships/hyperlink" Target="https://www.google.com/url?q=https://github.com/mostafa-saad/MyCompetitiveProgramming/blob/master/Olympiad/COCI/official/2009/contest4_solutions&amp;sa=D&amp;ust=1605639816802000&amp;usg=AFQjCNE5_ZkcYdtaLrPFcbxyU9OYC-kHWg" TargetMode="External"/><Relationship Id="rId117" Type="http://schemas.openxmlformats.org/officeDocument/2006/relationships/hyperlink" Target="https://www.google.com/url?q=http://usaco.org/index.php?page%3Dviewproblem2%26cpid%3D841&amp;sa=D&amp;ust=1605639815526000&amp;usg=AFQjCNG4e6k07P6KwnFV1mZ4cf4rvf6IGQ" TargetMode="External"/><Relationship Id="rId671" Type="http://schemas.openxmlformats.org/officeDocument/2006/relationships/hyperlink" Target="https://www.google.com/url?q=https://github.com/mostafa-saad/MyCompetitiveProgramming/tree/master/Olympiad/COCI/official/2007/olympiad_solutions&amp;sa=D&amp;ust=1605639815925000&amp;usg=AFQjCNElf33cswvh3ZOw4RlqCGTi1NmVhA" TargetMode="External"/><Relationship Id="rId769" Type="http://schemas.openxmlformats.org/officeDocument/2006/relationships/hyperlink" Target="https://www.google.com/url?q=https://szkopul.edu.pl/problemset/problem/EwpbJWZPly_zZ5i4ytg_8fDE/site/&amp;sa=D&amp;ust=1605639815987000&amp;usg=AFQjCNETaQDILz-3hHrq-qSY8UsqhcMNUw" TargetMode="External"/><Relationship Id="rId976" Type="http://schemas.openxmlformats.org/officeDocument/2006/relationships/hyperlink" Target="https://www.google.com/url?q=https://github.com/mostafa-saad/MyCompetitiveProgramming/blob/master/Olympiad/COCI/COCI-15-galaksija.txt&amp;sa=D&amp;ust=1605639816107000&amp;usg=AFQjCNHtLv5i0LCDCIgjRKvhV70hyDCdEQ" TargetMode="External"/><Relationship Id="rId1399" Type="http://schemas.openxmlformats.org/officeDocument/2006/relationships/hyperlink" Target="https://www.google.com/url?q=https://wcipeg.com/problem/coci094p5&amp;sa=D&amp;ust=1605639816346000&amp;usg=AFQjCNGR7fsBaBNf8XcI2h1DHA4sWxTtGA" TargetMode="External"/><Relationship Id="rId2352" Type="http://schemas.openxmlformats.org/officeDocument/2006/relationships/hyperlink" Target="https://www.google.com/url?q=https://github.com/AhmedElsisy/CompetitiveProgramming/blob/master/Olympiad/COCI/COCI%252017-uzastopni.cpp&amp;sa=D&amp;ust=1605639816666000&amp;usg=AFQjCNFBQrjOb6wdiKhMECxIu6nid7Rrsg" TargetMode="External"/><Relationship Id="rId2657" Type="http://schemas.openxmlformats.org/officeDocument/2006/relationships/hyperlink" Target="https://www.google.com/url?q=https://wcipeg.com/problem/coci092p3&amp;sa=D&amp;ust=1605639816755000&amp;usg=AFQjCNHjxL3cTek5EYyjB0E_ZA9woCxE5A" TargetMode="External"/><Relationship Id="rId324" Type="http://schemas.openxmlformats.org/officeDocument/2006/relationships/hyperlink" Target="https://www.google.com/url?q=https://github.com/mostafa-saad/MyCompetitiveProgramming/blob/master/Olympiad/APIO/APIO-11-Color.txt&amp;sa=D&amp;ust=1605639815588000&amp;usg=AFQjCNGamz_6s_6nU_paHBkL9Xq8o-S9ZQ" TargetMode="External"/><Relationship Id="rId531" Type="http://schemas.openxmlformats.org/officeDocument/2006/relationships/hyperlink" Target="https://www.google.com/url?q=https://github.com/mostafa-saad/MyCompetitiveProgramming/blob/master/Olympiad/COI/COI-08-Izbori.txt&amp;sa=D&amp;ust=1605639815836000&amp;usg=AFQjCNEpI3kq19D_cCIG3XkyOCpQMK1xyg" TargetMode="External"/><Relationship Id="rId629" Type="http://schemas.openxmlformats.org/officeDocument/2006/relationships/hyperlink" Target="https://www.google.com/url?q=https://github.com/mostafa-saad/MyCompetitiveProgramming/blob/master/Olympiad/IOI/official/2015&amp;sa=D&amp;ust=1605639815911000&amp;usg=AFQjCNHUJa3LO3vsA6UgT4yJJU3o-dVCMQ" TargetMode="External"/><Relationship Id="rId1161" Type="http://schemas.openxmlformats.org/officeDocument/2006/relationships/hyperlink" Target="https://www.google.com/url?q=https://oj.uz/problem/view/IOI14_game&amp;sa=D&amp;ust=1605639816215000&amp;usg=AFQjCNE2xXEAAGzC7_WgYAAvhWKGqD6XWw" TargetMode="External"/><Relationship Id="rId1259" Type="http://schemas.openxmlformats.org/officeDocument/2006/relationships/hyperlink" Target="https://www.google.com/url?q=https://dunjudge.me/analysis/problems/732/&amp;sa=D&amp;ust=1605639816298000&amp;usg=AFQjCNH2S2NQChN1Eu28GMFwyI6K9-xoIw" TargetMode="External"/><Relationship Id="rId1466" Type="http://schemas.openxmlformats.org/officeDocument/2006/relationships/hyperlink" Target="https://www.google.com/url?q=https://szkopul.edu.pl/problemset/problem/xFjhysZvLsUxEXMI-nHXao74/site/&amp;sa=D&amp;ust=1605639816386000&amp;usg=AFQjCNGbe54v9U1VVSAX6CRolZvFGgS9Mw" TargetMode="External"/><Relationship Id="rId2005" Type="http://schemas.openxmlformats.org/officeDocument/2006/relationships/hyperlink" Target="https://www.google.com/url?q=http://usaco.org/index.php?page%3Dviewproblem2%26cpid%3D496&amp;sa=D&amp;ust=1605639816561000&amp;usg=AFQjCNHIG8uvYM9-Jo-Cwe1YolfSHyMBAQ" TargetMode="External"/><Relationship Id="rId2212" Type="http://schemas.openxmlformats.org/officeDocument/2006/relationships/hyperlink" Target="https://www.google.com/url?q=https://dmoj.ca/problem/dmopc15c1p6&amp;sa=D&amp;ust=1605639816630000&amp;usg=AFQjCNEyGWY2_oVol9COULSFfxwNdyw9uA" TargetMode="External"/><Relationship Id="rId2864" Type="http://schemas.openxmlformats.org/officeDocument/2006/relationships/hyperlink" Target="https://www.google.com/url?q=https://dunjudge.me/analysis/problems/675/&amp;sa=D&amp;ust=1605639816821000&amp;usg=AFQjCNEUxcSyRIYHPrYePHCg_nW-hP7J9w" TargetMode="External"/><Relationship Id="rId836" Type="http://schemas.openxmlformats.org/officeDocument/2006/relationships/hyperlink" Target="https://www.google.com/url?q=https://github.com/mostafa-saad/MyCompetitiveProgramming/blob/master/Olympiad/COI/COI-09-Kolo.txt&amp;sa=D&amp;ust=1605639816011000&amp;usg=AFQjCNHy44LnBiDGKAvvENWa9l4tGB1SZQ" TargetMode="External"/><Relationship Id="rId1021" Type="http://schemas.openxmlformats.org/officeDocument/2006/relationships/hyperlink" Target="https://www.google.com/url?q=https://dmoj.ca/problem/dmopc18c3p4&amp;sa=D&amp;ust=1605639816166000&amp;usg=AFQjCNFv4ZFeYIpJCMk8DU0R19dZG9e6eA" TargetMode="External"/><Relationship Id="rId1119" Type="http://schemas.openxmlformats.org/officeDocument/2006/relationships/hyperlink" Target="https://www.google.com/url?q=https://csacademy.com/contest/ioi-2016-training-round-1/task/polygon_partition&amp;sa=D&amp;ust=1605639816203000&amp;usg=AFQjCNH9h0viZ0aOTeJgn6NPsuExBKE2_w" TargetMode="External"/><Relationship Id="rId1673" Type="http://schemas.openxmlformats.org/officeDocument/2006/relationships/hyperlink" Target="https://www.google.com/url?q=https://github.com/mostafa-saad/MyCompetitiveProgramming/blob/master/Olympiad/COCI/COCI-07-Kemija.txt&amp;sa=D&amp;ust=1605639816451000&amp;usg=AFQjCNFx2c42MqBDC9Sajb4EhFMkGN23tw" TargetMode="External"/><Relationship Id="rId1880" Type="http://schemas.openxmlformats.org/officeDocument/2006/relationships/hyperlink" Target="https://www.google.com/url?q=https://dmoj.ca/problem/coci08c2p4&amp;sa=D&amp;ust=1605639816524000&amp;usg=AFQjCNEldYPar2eikm90NYX8_j5FogotOQ" TargetMode="External"/><Relationship Id="rId1978" Type="http://schemas.openxmlformats.org/officeDocument/2006/relationships/hyperlink" Target="https://www.google.com/url?q=https://github.com/mostafa-saad/MyCompetitiveProgramming/blob/master/Olympiad/NOI/official&amp;sa=D&amp;ust=1605639816553000&amp;usg=AFQjCNEK64cqj8nZy9u8hQEBB6Sx_YbF_A" TargetMode="External"/><Relationship Id="rId2517" Type="http://schemas.openxmlformats.org/officeDocument/2006/relationships/hyperlink" Target="https://www.google.com/url?q=https://wcipeg.com/problem/coci067p2&amp;sa=D&amp;ust=1605639816725000&amp;usg=AFQjCNGu46vFYk7GJOJzx21HSvmIFTb5vA" TargetMode="External"/><Relationship Id="rId2724" Type="http://schemas.openxmlformats.org/officeDocument/2006/relationships/hyperlink" Target="https://www.google.com/url?q=https://oj.uz/problem/view/COCI18_spirale&amp;sa=D&amp;ust=1605639816775000&amp;usg=AFQjCNETDLD7Re2of1rYyHmjkOJ8s9qDOA" TargetMode="External"/><Relationship Id="rId2931" Type="http://schemas.openxmlformats.org/officeDocument/2006/relationships/hyperlink" Target="https://www.google.com/url?q=https://oj.uz/problems/source/6&amp;sa=D&amp;ust=1605639816870000&amp;usg=AFQjCNH2Zem0mMC_y4PmbbrUsum3HAlwhQ" TargetMode="External"/><Relationship Id="rId903" Type="http://schemas.openxmlformats.org/officeDocument/2006/relationships/hyperlink" Target="https://www.google.com/url?q=https://github.com/mostafa-saad/MyCompetitiveProgramming/tree/master/Olympiad/JOI/official/JOI/2020&amp;sa=D&amp;ust=1605639816084000&amp;usg=AFQjCNFVx14UTyfXJGjTmYENN_r3iL4uyA" TargetMode="External"/><Relationship Id="rId1326" Type="http://schemas.openxmlformats.org/officeDocument/2006/relationships/hyperlink" Target="https://www.google.com/url?q=https://github.com/mostafa-saad/MyCompetitiveProgramming/blob/master/Olympiad/infoarena/infoarena_mexc.txt&amp;sa=D&amp;ust=1605639816320000&amp;usg=AFQjCNFBTvj9DEf9fA0_vZCflXe0SvEGtg" TargetMode="External"/><Relationship Id="rId1533" Type="http://schemas.openxmlformats.org/officeDocument/2006/relationships/hyperlink" Target="https://www.google.com/url?q=https://github.com/mostafa-saad/MyCompetitiveProgramming/tree/master/Olympiad/MCO/official&amp;sa=D&amp;ust=1605639816411000&amp;usg=AFQjCNFtIEc-lkPsJT0CnIgbaKwQ75eaxg" TargetMode="External"/><Relationship Id="rId1740" Type="http://schemas.openxmlformats.org/officeDocument/2006/relationships/hyperlink" Target="https://www.google.com/url?q=https://github.com/Yehezkiel01/CompetitiveProgramming/blob/master/IOIPractice/IOIPractice-14-questions-i-ask-myself-ioi14.cpp&amp;sa=D&amp;ust=1605639816473000&amp;usg=AFQjCNEXCSIG3HeuOEQk4C-WYTn4YA8dUA" TargetMode="External"/><Relationship Id="rId32" Type="http://schemas.openxmlformats.org/officeDocument/2006/relationships/hyperlink" Target="https://www.google.com/url?q=https://csacademy.com/contest/balkan-oi-2017-day-1/&amp;sa=D&amp;ust=1605639815496000&amp;usg=AFQjCNGZ6T62WYW2gfxjpOnP680bnmtdHA" TargetMode="External"/><Relationship Id="rId1600" Type="http://schemas.openxmlformats.org/officeDocument/2006/relationships/hyperlink" Target="https://www.google.com/url?q=https://codeforces.com/blog/entry/46525?%23comment-310021&amp;sa=D&amp;ust=1605639816432000&amp;usg=AFQjCNGg_bZK4ons8yRbq2Uk2ou_VhYH_A" TargetMode="External"/><Relationship Id="rId1838" Type="http://schemas.openxmlformats.org/officeDocument/2006/relationships/hyperlink" Target="https://www.google.com/url?q=https://joi2015ho.contest.atcoder.jp/tasks/joi2015ho_c&amp;sa=D&amp;ust=1605639816510000&amp;usg=AFQjCNG-B4uf_UVQmVzGt2bXngg32DAVJA" TargetMode="External"/><Relationship Id="rId181" Type="http://schemas.openxmlformats.org/officeDocument/2006/relationships/hyperlink" Target="https://www.google.com/url?q=https://www.acmicpc.net/problem/12017&amp;sa=D&amp;ust=1605639815545000&amp;usg=AFQjCNFYPEJKCHyLD463_RuuAesqVfrLlw" TargetMode="External"/><Relationship Id="rId1905" Type="http://schemas.openxmlformats.org/officeDocument/2006/relationships/hyperlink" Target="https://www.google.com/url?q=https://boi18-day1-open.kattis.com/problems&amp;sa=D&amp;ust=1605639816531000&amp;usg=AFQjCNH9h7G3wnhy9322Y_d_90kEWFgGyg" TargetMode="External"/><Relationship Id="rId279" Type="http://schemas.openxmlformats.org/officeDocument/2006/relationships/hyperlink" Target="https://www.google.com/url?q=https://github.com/mostafa-saad/MyCompetitiveProgramming/blob/master/Olympiad/COI/COI-14-gta.txt&amp;sa=D&amp;ust=1605639815574000&amp;usg=AFQjCNHKn2fNWWJRlgUPLC06Geyfk0HWEA" TargetMode="External"/><Relationship Id="rId486" Type="http://schemas.openxmlformats.org/officeDocument/2006/relationships/hyperlink" Target="https://www.google.com/url?q=https://www.hackerrank.com/contests/boi-2016/challenges&amp;sa=D&amp;ust=1605639815676000&amp;usg=AFQjCNH--ixh5eNFP6BXdSeGaAFvDaJrNQ" TargetMode="External"/><Relationship Id="rId693" Type="http://schemas.openxmlformats.org/officeDocument/2006/relationships/hyperlink" Target="https://www.google.com/url?q=https://github.com/mostafa-saad/MyCompetitiveProgramming/blob/master/Olympiad/infoarena/infoarena_xreverse.txt&amp;sa=D&amp;ust=1605639815932000&amp;usg=AFQjCNG8d4hv34c3lqjXrkEbAwcIVWsRrg" TargetMode="External"/><Relationship Id="rId2167" Type="http://schemas.openxmlformats.org/officeDocument/2006/relationships/hyperlink" Target="https://www.google.com/url?q=https://dunjudge.me/analysis/problems/957/&amp;sa=D&amp;ust=1605639816616000&amp;usg=AFQjCNE_85XqrKS1cgPusLXghGIjC0yzoQ" TargetMode="External"/><Relationship Id="rId2374" Type="http://schemas.openxmlformats.org/officeDocument/2006/relationships/hyperlink" Target="https://www.google.com/url?q=https://dmoj.ca/problem/coci06c1p4&amp;sa=D&amp;ust=1605639816673000&amp;usg=AFQjCNG-N1oB9YFNNj7q4JNkhmmt_Wmvwg" TargetMode="External"/><Relationship Id="rId2581" Type="http://schemas.openxmlformats.org/officeDocument/2006/relationships/hyperlink" Target="https://www.google.com/url?q=https://github.com/mostafa-saad/MyCompetitiveProgramming/blob/master/Olympiad/POI/official/find_editorial_sols_guidelines.txt&amp;sa=D&amp;ust=1605639816739000&amp;usg=AFQjCNHtnYm4KngZFicRf1Pg59FBewgGvQ" TargetMode="External"/><Relationship Id="rId139" Type="http://schemas.openxmlformats.org/officeDocument/2006/relationships/hyperlink" Target="https://www.google.com/url?q=https://szkopul.edu.pl/problemset/problem/CP4mQc-h-Vkg--I1g49xovQj/site/&amp;sa=D&amp;ust=1605639815532000&amp;usg=AFQjCNHz4jcNaSP7OSi1esFdqsYoBe6eTw" TargetMode="External"/><Relationship Id="rId346" Type="http://schemas.openxmlformats.org/officeDocument/2006/relationships/hyperlink" Target="https://www.google.com/url?q=https://github.com/mostafa-saad/MyCompetitiveProgramming/blob/master/Olympiad/IOI/IOI-10-saveit.txt&amp;sa=D&amp;ust=1605639815596000&amp;usg=AFQjCNFfBc4NxRyeUIYCTw3uUSrzbES8nQ" TargetMode="External"/><Relationship Id="rId553" Type="http://schemas.openxmlformats.org/officeDocument/2006/relationships/hyperlink" Target="https://www.google.com/url?q=https://github.com/mostafa-saad/MyCompetitiveProgramming/blob/master/Olympiad/POI/POI-06-Tetris_3D.txt&amp;sa=D&amp;ust=1605639815883000&amp;usg=AFQjCNE_DFFeY0ObsBzb2c-obQBITzHq9g" TargetMode="External"/><Relationship Id="rId760" Type="http://schemas.openxmlformats.org/officeDocument/2006/relationships/hyperlink" Target="https://www.google.com/url?q=https://github.com/mostafa-saad/MyCompetitiveProgramming/blob/master/Olympiad/IOI/IOI-00-median.txt&amp;sa=D&amp;ust=1605639815984000&amp;usg=AFQjCNF39VLUY0ARYEtpjos6xmdyiH5foA" TargetMode="External"/><Relationship Id="rId998" Type="http://schemas.openxmlformats.org/officeDocument/2006/relationships/hyperlink" Target="https://www.google.com/url?q=https://github.com/mostafa-saad/MyCompetitiveProgramming/blob/master/Olympiad/JOI/JOI-18-commuterpass.txt&amp;sa=D&amp;ust=1605639816114000&amp;usg=AFQjCNEYAqMwlI9WX-3SqKeWjimlCzWDEA" TargetMode="External"/><Relationship Id="rId1183" Type="http://schemas.openxmlformats.org/officeDocument/2006/relationships/hyperlink" Target="https://www.google.com/url?q=https://cses.fi/179/list/&amp;sa=D&amp;ust=1605639816220000&amp;usg=AFQjCNF4nfUwWvkiNVBTyFPtIGvowr5qkA" TargetMode="External"/><Relationship Id="rId1390" Type="http://schemas.openxmlformats.org/officeDocument/2006/relationships/hyperlink" Target="https://www.google.com/url?q=https://cses.fi/108/list/&amp;sa=D&amp;ust=1605639816343000&amp;usg=AFQjCNH29M28_HPsNyx78uEuNSIfWnMbcA" TargetMode="External"/><Relationship Id="rId2027" Type="http://schemas.openxmlformats.org/officeDocument/2006/relationships/hyperlink" Target="https://www.google.com/url?q=http://poj.org/problem?id%3D1161&amp;sa=D&amp;ust=1605639816568000&amp;usg=AFQjCNFq5C4R3a6wiOiWbI_stDe2ePpetA" TargetMode="External"/><Relationship Id="rId2234" Type="http://schemas.openxmlformats.org/officeDocument/2006/relationships/hyperlink" Target="https://www.google.com/url?q=https://github.com/mostafa-saad/MyCompetitiveProgramming/blob/master/Olympiad/POI/POI-11-ins.txt&amp;sa=D&amp;ust=1605639816636000&amp;usg=AFQjCNGLS_3ioPVeNwUePEIfiITpof7YUA" TargetMode="External"/><Relationship Id="rId2441" Type="http://schemas.openxmlformats.org/officeDocument/2006/relationships/hyperlink" Target="https://www.google.com/url?q=https://szkopul.edu.pl/problemset/problem/KC7c6nYfAXCbCGszqhIeOGxP/site/&amp;sa=D&amp;ust=1605639816699000&amp;usg=AFQjCNEAhz4Yu1ay-qFFii3_4dp2zNG0DQ" TargetMode="External"/><Relationship Id="rId2679" Type="http://schemas.openxmlformats.org/officeDocument/2006/relationships/hyperlink" Target="https://www.google.com/url?q=https://dmoj.ca/problem/coci14c4p3&amp;sa=D&amp;ust=1605639816760000&amp;usg=AFQjCNF_FeNODcIBN_kZZi9gAQU3BkW3Eg" TargetMode="External"/><Relationship Id="rId2886" Type="http://schemas.openxmlformats.org/officeDocument/2006/relationships/hyperlink" Target="https://www.google.com/url?q=https://www.acmicpc.net/problem/2336&amp;sa=D&amp;ust=1605639816829000&amp;usg=AFQjCNH0w5T3tjiy18wPkasr4mqimXQ6CA" TargetMode="External"/><Relationship Id="rId206" Type="http://schemas.openxmlformats.org/officeDocument/2006/relationships/hyperlink" Target="https://www.google.com/url?q=https://oj.uz/problem/view/balkan11_timeismoney&amp;sa=D&amp;ust=1605639815551000&amp;usg=AFQjCNGTTGt17yfUs41m_A4kfkmgn93w-Q" TargetMode="External"/><Relationship Id="rId413" Type="http://schemas.openxmlformats.org/officeDocument/2006/relationships/hyperlink" Target="https://www.google.com/url?q=https://www.oi.edu.pl/old/ioi/downloads/ioi2005-tasks-and-solutions-a5.pdf&amp;sa=D&amp;ust=1605639815623000&amp;usg=AFQjCNFy7_z7tGMBxU9TFHKj20HbHgdbxw" TargetMode="External"/><Relationship Id="rId858" Type="http://schemas.openxmlformats.org/officeDocument/2006/relationships/hyperlink" Target="https://www.google.com/url?q=https://cses.fi/98/list/&amp;sa=D&amp;ust=1605639816020000&amp;usg=AFQjCNFyJcQA8lfB43KQ2xXy5ogBhfnknw" TargetMode="External"/><Relationship Id="rId1043" Type="http://schemas.openxmlformats.org/officeDocument/2006/relationships/hyperlink" Target="https://www.google.com/url?q=https://cses.fi/98/list/&amp;sa=D&amp;ust=1605639816177000&amp;usg=AFQjCNFIybyS5KoXzFFacvktyKIHXHF2pA" TargetMode="External"/><Relationship Id="rId1488" Type="http://schemas.openxmlformats.org/officeDocument/2006/relationships/hyperlink" Target="https://www.google.com/url?q=https://cses.fi/115/list/&amp;sa=D&amp;ust=1605639816394000&amp;usg=AFQjCNFyZjhllAHaoRLCEwDhgvbu0vp8Hg" TargetMode="External"/><Relationship Id="rId1695" Type="http://schemas.openxmlformats.org/officeDocument/2006/relationships/hyperlink" Target="https://www.google.com/url?q=https://github.com/mostafa-saad/MyCompetitiveProgramming/blob/master/Olympiad/COCI/COCI-08-Tresnja.txt&amp;sa=D&amp;ust=1605639816458000&amp;usg=AFQjCNFAsJdMBmAwaQ33BiRElpGNzr-Yww" TargetMode="External"/><Relationship Id="rId2539" Type="http://schemas.openxmlformats.org/officeDocument/2006/relationships/hyperlink" Target="https://www.google.com/url?q=https://github.com/mostafa-saad/MyCompetitiveProgramming/blob/master/Olympiad/COCI/official/2017/contest2_solutions&amp;sa=D&amp;ust=1605639816731000&amp;usg=AFQjCNG285GbNjowT8GIy3U__eAME5Td3w" TargetMode="External"/><Relationship Id="rId2746" Type="http://schemas.openxmlformats.org/officeDocument/2006/relationships/hyperlink" Target="https://www.google.com/url?q=https://oj.uz/problem/view/COCI17_telefoni&amp;sa=D&amp;ust=1605639816782000&amp;usg=AFQjCNHVcDIETapQKFL908fPNWoWvmJHOw" TargetMode="External"/><Relationship Id="rId2953" Type="http://schemas.openxmlformats.org/officeDocument/2006/relationships/hyperlink" Target="https://www.google.com/url?q=https://dunjudge.me/analysis/problems/1188/&amp;sa=D&amp;ust=1605639816880000&amp;usg=AFQjCNGxcJfjMNjZCmGRAa4DBiOTmswzWA" TargetMode="External"/><Relationship Id="rId620" Type="http://schemas.openxmlformats.org/officeDocument/2006/relationships/hyperlink" Target="https://www.google.com/url?q=https://www.acmicpc.net/problem/5252&amp;sa=D&amp;ust=1605639815908000&amp;usg=AFQjCNEpe1UpZlcwUK4BX6RIRXkWwaV2qg" TargetMode="External"/><Relationship Id="rId718" Type="http://schemas.openxmlformats.org/officeDocument/2006/relationships/hyperlink" Target="https://www.google.com/url?q=https://oj.uz/problem/view/COCI17_osmosmjerka&amp;sa=D&amp;ust=1605639815970000&amp;usg=AFQjCNGHHGsMltrIkw_OILFtWb379huwwA" TargetMode="External"/><Relationship Id="rId925" Type="http://schemas.openxmlformats.org/officeDocument/2006/relationships/hyperlink" Target="https://www.google.com/url?q=https://github.com/mostafa-saad/MyCompetitiveProgramming/blob/master/Olympiad/IOI/official/2008&amp;sa=D&amp;ust=1605639816091000&amp;usg=AFQjCNG4vuzTwhYWscKvpYjFB4a4PiglMA" TargetMode="External"/><Relationship Id="rId1250" Type="http://schemas.openxmlformats.org/officeDocument/2006/relationships/hyperlink" Target="https://www.google.com/url?q=https://github.com/mostafa-saad/MyCompetitiveProgramming/blob/master/Olympiad/Baltic/Baltic-13-pipes.txt&amp;sa=D&amp;ust=1605639816294000&amp;usg=AFQjCNG6zhxwqTqSoa1UIJ7L5XDIH4ZdNw" TargetMode="External"/><Relationship Id="rId1348" Type="http://schemas.openxmlformats.org/officeDocument/2006/relationships/hyperlink" Target="https://www.google.com/url?q=https://csacademy.com/contest/ceoi-2018-day-1/task/global-warming/&amp;sa=D&amp;ust=1605639816329000&amp;usg=AFQjCNGO9HVJNGPtb0f9k6yzEi7ogqAtyg" TargetMode="External"/><Relationship Id="rId1555" Type="http://schemas.openxmlformats.org/officeDocument/2006/relationships/hyperlink" Target="https://www.google.com/url?q=https://www.hackerrank.com/contests/ioi-2014-practice-contest-1/challenges&amp;sa=D&amp;ust=1605639816417000&amp;usg=AFQjCNEhQ1gH3ex5JuDP6kwU83XDZH-jOw" TargetMode="External"/><Relationship Id="rId1762" Type="http://schemas.openxmlformats.org/officeDocument/2006/relationships/hyperlink" Target="https://www.google.com/url?q=https://szkopul.edu.pl/problemset/problem/b0BM0al2crQBt6zovEtJfOc6/site/?key%3Dstatement&amp;sa=D&amp;ust=1605639816482000&amp;usg=AFQjCNEc_o04_X-M_Wsj4F-DqiVaIvbd3g" TargetMode="External"/><Relationship Id="rId2301" Type="http://schemas.openxmlformats.org/officeDocument/2006/relationships/hyperlink" Target="https://www.google.com/url?q=https://codeforces.com/group/swEqtABRxe/contest/243427/problem/A&amp;sa=D&amp;ust=1605639816652000&amp;usg=AFQjCNENJBnWVOrSZfVHnwfFbvOUUppBAA" TargetMode="External"/><Relationship Id="rId2606" Type="http://schemas.openxmlformats.org/officeDocument/2006/relationships/hyperlink" Target="https://www.google.com/url?q=https://github.com/mostafa-saad/MyCompetitiveProgramming/blob/master/Olympiad/COCI/official/2010/contest6_solutions&amp;sa=D&amp;ust=1605639816744000&amp;usg=AFQjCNH3vMvv8yMNIr37G4GBtMqBv0DG1w" TargetMode="External"/><Relationship Id="rId1110" Type="http://schemas.openxmlformats.org/officeDocument/2006/relationships/hyperlink" Target="https://www.google.com/url?q=https://github.com/mostafa-saad/MyCompetitiveProgramming/blob/master/Olympiad/Baltic/Baltic-13-brunhilda.txt&amp;sa=D&amp;ust=1605639816200000&amp;usg=AFQjCNHFZfQdWMekOlebwjEp2cv-r0UBqA" TargetMode="External"/><Relationship Id="rId1208" Type="http://schemas.openxmlformats.org/officeDocument/2006/relationships/hyperlink" Target="https://www.google.com/url?q=https://github.com/nikolapesic2802/Programming-Practice/blob/master/Long%2520Mansion/main.cpp&amp;sa=D&amp;ust=1605639816278000&amp;usg=AFQjCNEgPU_s8-WoRDu1Y-7HsOWqj5Ju1g" TargetMode="External"/><Relationship Id="rId1415" Type="http://schemas.openxmlformats.org/officeDocument/2006/relationships/hyperlink" Target="https://www.google.com/url?q=https://dmoj.ca/problem/stnbd4&amp;sa=D&amp;ust=1605639816366000&amp;usg=AFQjCNG9dl3ZVetX96Ap-MXYtcF1ERJGcg" TargetMode="External"/><Relationship Id="rId2813" Type="http://schemas.openxmlformats.org/officeDocument/2006/relationships/hyperlink" Target="https://www.google.com/url?q=https://github.com/mostafa-saad/MyCompetitiveProgramming/blob/master/Olympiad/COCI/official/2010/contest4_solutions&amp;sa=D&amp;ust=1605639816805000&amp;usg=AFQjCNEnme7pCIRuGC5_ozuekpr94tqpXQ" TargetMode="External"/><Relationship Id="rId54" Type="http://schemas.openxmlformats.org/officeDocument/2006/relationships/hyperlink" Target="https://www.google.com/url?q=https://csacademy.com/contest/ioi-2016-training-round-2/task/cograph_clique/&amp;sa=D&amp;ust=1605639815504000&amp;usg=AFQjCNGsufUtrg7nxjRPGxkTCZ7SQBWGlw" TargetMode="External"/><Relationship Id="rId1622" Type="http://schemas.openxmlformats.org/officeDocument/2006/relationships/hyperlink" Target="https://www.google.com/url?q=https://github.com/mostafa-saad/MyCompetitiveProgramming/blob/master/Olympiad/COCI/official/2018/contest2_solutions&amp;sa=D&amp;ust=1605639816437000&amp;usg=AFQjCNE4vQbGswwMsdBNkGwDVzN20resuQ" TargetMode="External"/><Relationship Id="rId1927" Type="http://schemas.openxmlformats.org/officeDocument/2006/relationships/hyperlink" Target="https://www.google.com/url?q=https://szkopul.edu.pl/problemset/problem/XZhW8DteK37aYwrB_JoHxd2E/site/&amp;sa=D&amp;ust=1605639816538000&amp;usg=AFQjCNGabDiIrkze0k0cDl-CzcUWx9-4qw" TargetMode="External"/><Relationship Id="rId2091" Type="http://schemas.openxmlformats.org/officeDocument/2006/relationships/hyperlink" Target="https://www.google.com/url?q=https://csacademy.com/contest/junior-challenge-2017-day-1/task/remove-update&amp;sa=D&amp;ust=1605639816592000&amp;usg=AFQjCNFfNV9V8_0Stz_Y3MxMqxz0iroJuw" TargetMode="External"/><Relationship Id="rId2189" Type="http://schemas.openxmlformats.org/officeDocument/2006/relationships/hyperlink" Target="https://www.google.com/url?q=http://www.spoj.com/problems/MOBILE2/&amp;sa=D&amp;ust=1605639816625000&amp;usg=AFQjCNFAq_InQis1rePCG8CwoYamnjzrWg" TargetMode="External"/><Relationship Id="rId270" Type="http://schemas.openxmlformats.org/officeDocument/2006/relationships/hyperlink" Target="https://www.google.com/url?q=https://cses.fi/190/list/&amp;sa=D&amp;ust=1605639815569000&amp;usg=AFQjCNEvVrl4KTgVbXZ84RiQRH3lUbYjRg" TargetMode="External"/><Relationship Id="rId2396" Type="http://schemas.openxmlformats.org/officeDocument/2006/relationships/hyperlink" Target="https://www.google.com/url?q=https://github.com/dolphingarlic/CompetitiveProgramming/blob/master/JOI/JOI%252020-jjooii.cpp&amp;sa=D&amp;ust=1605639816682000&amp;usg=AFQjCNFo8qaNRh0Y3ZMRv65neKlAZAeqMw" TargetMode="External"/><Relationship Id="rId3002" Type="http://schemas.openxmlformats.org/officeDocument/2006/relationships/hyperlink" Target="https://www.google.com/url?q=https://dunjudge.me/analysis/problems/423/&amp;sa=D&amp;ust=1605639816904000&amp;usg=AFQjCNHFa3uQUypOT1mnZJDJ2yGE3Njktw" TargetMode="External"/><Relationship Id="rId130" Type="http://schemas.openxmlformats.org/officeDocument/2006/relationships/hyperlink" Target="https://www.google.com/url?q=https://oj.uz/problem/view/JOI19_transportations&amp;sa=D&amp;ust=1605639815530000&amp;usg=AFQjCNH5WqfIzoStEd81duP-Us6L8Zf8Uw" TargetMode="External"/><Relationship Id="rId368" Type="http://schemas.openxmlformats.org/officeDocument/2006/relationships/hyperlink" Target="https://www.google.com/url?q=https://github.com/mostafa-saad/MyCompetitiveProgramming/blob/master/Olympiad/NOI/NOI-18-citymapping.txt&amp;sa=D&amp;ust=1605639815603000&amp;usg=AFQjCNHHE4a_lm7-LABcqCFoVE0qual0LA" TargetMode="External"/><Relationship Id="rId575" Type="http://schemas.openxmlformats.org/officeDocument/2006/relationships/hyperlink" Target="https://www.google.com/url?q=https://github.com/mostafa-saad/MyCompetitiveProgramming/blob/master/Olympiad/APIO/APIO-16-gap.txt&amp;sa=D&amp;ust=1605639815891000&amp;usg=AFQjCNGzy78l_C0mNcQ95C1VR97ph1Gnfg" TargetMode="External"/><Relationship Id="rId782" Type="http://schemas.openxmlformats.org/officeDocument/2006/relationships/hyperlink" Target="https://www.google.com/url?q=https://github.com/mostafa-saad/MyCompetitiveProgramming/blob/master/Olympiad/COCI/COCI-08-Dostava.txt&amp;sa=D&amp;ust=1605639815992000&amp;usg=AFQjCNE2BdnmlfqVsOzTY7u2jlMKZ3Z2gg" TargetMode="External"/><Relationship Id="rId2049" Type="http://schemas.openxmlformats.org/officeDocument/2006/relationships/hyperlink" Target="https://www.google.com/url?q=https://github.com/mostafa-saad/MyCompetitiveProgramming/blob/master/Olympiad/POI/official/find_editorial_sols_guidelines.txt&amp;sa=D&amp;ust=1605639816577000&amp;usg=AFQjCNFiyfCtK3O82JadjB2Hn5uTAhJ3nw" TargetMode="External"/><Relationship Id="rId2256" Type="http://schemas.openxmlformats.org/officeDocument/2006/relationships/hyperlink" Target="https://www.google.com/url?q=https://github.com/mostafa-saad/MyCompetitiveProgramming/tree/master/Olympiad/COCI/official/2008/regional_solutions&amp;sa=D&amp;ust=1605639816641000&amp;usg=AFQjCNH-wn-JERoKF9J0zxE1xMRwgHLdhQ" TargetMode="External"/><Relationship Id="rId2463" Type="http://schemas.openxmlformats.org/officeDocument/2006/relationships/hyperlink" Target="https://www.google.com/url?q=https://oj.uz/problem/view/IOI09_mecho&amp;sa=D&amp;ust=1605639816706000&amp;usg=AFQjCNG4KgD61uLlZdNKxtlTadX1BVUUGA" TargetMode="External"/><Relationship Id="rId2670" Type="http://schemas.openxmlformats.org/officeDocument/2006/relationships/hyperlink" Target="https://www.google.com/url?q=https://oj.uz/problem/view/COCI20_emacs&amp;sa=D&amp;ust=1605639816758000&amp;usg=AFQjCNF13rCxhQQt5nF4usI8U4DFeNkOpQ" TargetMode="External"/><Relationship Id="rId228" Type="http://schemas.openxmlformats.org/officeDocument/2006/relationships/hyperlink" Target="https://www.google.com/url?q=https://oj.uz/problem/view/IOI17_books&amp;sa=D&amp;ust=1605639815556000&amp;usg=AFQjCNHBEfqxB3KGQW8t0IQ1EAXgiq_E-A" TargetMode="External"/><Relationship Id="rId435" Type="http://schemas.openxmlformats.org/officeDocument/2006/relationships/hyperlink" Target="https://www.google.com/url?q=https://www.acmicpc.net/problem/5251&amp;sa=D&amp;ust=1605639815630000&amp;usg=AFQjCNFCkR3r-1AlyG7izpe3eN2SRi890Q" TargetMode="External"/><Relationship Id="rId642" Type="http://schemas.openxmlformats.org/officeDocument/2006/relationships/hyperlink" Target="https://www.google.com/url?q=https://cses.fi/113/list/&amp;sa=D&amp;ust=1605639815915000&amp;usg=AFQjCNEy3Tiela0tJRcQOuhXk1o_Rq2aQA" TargetMode="External"/><Relationship Id="rId1065" Type="http://schemas.openxmlformats.org/officeDocument/2006/relationships/hyperlink" Target="https://www.google.com/url?q=https://training.ia-toki.org/problemsets/113/problems/629/&amp;sa=D&amp;ust=1605639816185000&amp;usg=AFQjCNGh_jQFWXUwvUDXWrIBZoQJOm8bVw" TargetMode="External"/><Relationship Id="rId1272" Type="http://schemas.openxmlformats.org/officeDocument/2006/relationships/hyperlink" Target="https://www.google.com/url?q=https://github.com/mostafa-saad/MyCompetitiveProgramming/blob/master/Olympiad/Baltic/Baltic-17-Railway.txt&amp;sa=D&amp;ust=1605639816301000&amp;usg=AFQjCNGAEfYklvw2TVckOVUAUGB_ZMsJyQ" TargetMode="External"/><Relationship Id="rId2116" Type="http://schemas.openxmlformats.org/officeDocument/2006/relationships/hyperlink" Target="https://www.google.com/url?q=https://contest.yandex.ru/ioi/contest/570/enter/&amp;sa=D&amp;ust=1605639816600000&amp;usg=AFQjCNEpTs-a0C3Ph8thIGqTjYevXq0c8Q" TargetMode="External"/><Relationship Id="rId2323" Type="http://schemas.openxmlformats.org/officeDocument/2006/relationships/hyperlink" Target="https://www.google.com/url?q=https://github.com/mostafa-saad/MyCompetitiveProgramming/tree/master/Olympiad/COCI/official/2007/contest5_solutions&amp;sa=D&amp;ust=1605639816657000&amp;usg=AFQjCNESX_lIponwBr7_e6lnMEtMzpwpFw" TargetMode="External"/><Relationship Id="rId2530" Type="http://schemas.openxmlformats.org/officeDocument/2006/relationships/hyperlink" Target="https://www.google.com/url?q=https://github.com/mostafa-saad/MyCompetitiveProgramming/blob/master/Olympiad/POI/official/find_editorial_sols_guidelines.txt&amp;sa=D&amp;ust=1605639816728000&amp;usg=AFQjCNE0IFj-5UHVWbHgtTHpgUuC60ZjVQ" TargetMode="External"/><Relationship Id="rId2768" Type="http://schemas.openxmlformats.org/officeDocument/2006/relationships/hyperlink" Target="https://www.google.com/url?q=https://oj.uz/problem/view/COCI15_marko&amp;sa=D&amp;ust=1605639816790000&amp;usg=AFQjCNEGB5pm-3x65TJQPRo-uvAmBeGEuA" TargetMode="External"/><Relationship Id="rId2975" Type="http://schemas.openxmlformats.org/officeDocument/2006/relationships/hyperlink" Target="https://www.google.com/url?q=https://szkopul.edu.pl/problemset/problem/xCiDtZ0ZX70fyac1Sav8d37J/site/&amp;sa=D&amp;ust=1605639816892000&amp;usg=AFQjCNE-Ye1XngSc2Drb-CxjJ4EM2Ut2mg" TargetMode="External"/><Relationship Id="rId502" Type="http://schemas.openxmlformats.org/officeDocument/2006/relationships/hyperlink" Target="https://www.google.com/url?q=https://github.com/mostafa-saad/MyCompetitiveProgramming/blob/master/Olympiad/POI/POI-04-Tournament.txt&amp;sa=D&amp;ust=1605639815682000&amp;usg=AFQjCNGDHkadTTtS_c-ZDnYlg7EVg3uoDw" TargetMode="External"/><Relationship Id="rId947" Type="http://schemas.openxmlformats.org/officeDocument/2006/relationships/hyperlink" Target="https://www.google.com/url?q=https://www.hackerrank.com/contests/boi-2016/challenges&amp;sa=D&amp;ust=1605639816098000&amp;usg=AFQjCNHid4Ely1Nf4XK5FyAGOeHOdX-QFg" TargetMode="External"/><Relationship Id="rId1132" Type="http://schemas.openxmlformats.org/officeDocument/2006/relationships/hyperlink" Target="https://www.google.com/url?q=https://github.com/SpeedOfMagic/CompetitiveProgramming/blob/master/CEOI/16-router.txt&amp;sa=D&amp;ust=1605639816207000&amp;usg=AFQjCNHdoac5WdO5QlKXZ-BUk_SzF-gH9w" TargetMode="External"/><Relationship Id="rId1577" Type="http://schemas.openxmlformats.org/officeDocument/2006/relationships/hyperlink" Target="https://www.google.com/url?q=https://dmoj.ca/problem/coci14c6p5&amp;sa=D&amp;ust=1605639816424000&amp;usg=AFQjCNFK8WCweWsWKFBrH2-ETNq2Pw3fRQ" TargetMode="External"/><Relationship Id="rId1784" Type="http://schemas.openxmlformats.org/officeDocument/2006/relationships/hyperlink" Target="https://www.google.com/url?q=https://github.com/stefdasca/CompetitiveProgramming/blob/master/Infoarena/profit.cpp&amp;sa=D&amp;ust=1605639816490000&amp;usg=AFQjCNHMLY4dz_luHqunyV7PIUrhUak8uA" TargetMode="External"/><Relationship Id="rId1991" Type="http://schemas.openxmlformats.org/officeDocument/2006/relationships/hyperlink" Target="https://www.google.com/url?q=https://oj.uz/problem/view/COCI17_krov&amp;sa=D&amp;ust=1605639816557000&amp;usg=AFQjCNGr8y4hUFu1BVAN9jsEhhR2p3ED1g" TargetMode="External"/><Relationship Id="rId2628" Type="http://schemas.openxmlformats.org/officeDocument/2006/relationships/hyperlink" Target="https://www.google.com/url?q=https://github.com/mostafa-saad/MyCompetitiveProgramming/tree/master/Olympiad/COCI/official/2007/contest2_solutions&amp;sa=D&amp;ust=1605639816748000&amp;usg=AFQjCNGTsOvjEKPpB8q9VKEuMNftfsGcqg" TargetMode="External"/><Relationship Id="rId2835" Type="http://schemas.openxmlformats.org/officeDocument/2006/relationships/hyperlink" Target="https://www.google.com/url?q=https://github.com/mostafa-saad/MyCompetitiveProgramming/tree/master/Olympiad/COCI/official/2008/contest2_solutions&amp;sa=D&amp;ust=1605639816812000&amp;usg=AFQjCNH8ncc1GXmJtwpadl9AnGnxhScq-A" TargetMode="External"/><Relationship Id="rId76" Type="http://schemas.openxmlformats.org/officeDocument/2006/relationships/hyperlink" Target="https://www.google.com/url?q=https://contest.yandex.ru/ioi/contest/568/enter/&amp;sa=D&amp;ust=1605639815513000&amp;usg=AFQjCNFqrV12ie7SEKcLUOcZS94eXCfNqw" TargetMode="External"/><Relationship Id="rId807" Type="http://schemas.openxmlformats.org/officeDocument/2006/relationships/hyperlink" Target="https://www.google.com/url?q=https://github.com/mostafa-saad/MyCompetitiveProgramming/blob/master/Olympiad/POI/POI-04-Islands.txt&amp;sa=D&amp;ust=1605639816001000&amp;usg=AFQjCNFkH-BeYB1_1GBdXiJ-qxmM9peX_g" TargetMode="External"/><Relationship Id="rId1437" Type="http://schemas.openxmlformats.org/officeDocument/2006/relationships/hyperlink" Target="https://www.google.com/url?q=https://github.com/mostafa-saad/MyCompetitiveProgramming/blob/master/Olympiad/IOI/IOI-12-tournament.txt&amp;sa=D&amp;ust=1605639816373000&amp;usg=AFQjCNGeJmrta_USrj56fF62KSyeTKtSlQ" TargetMode="External"/><Relationship Id="rId1644" Type="http://schemas.openxmlformats.org/officeDocument/2006/relationships/hyperlink" Target="https://www.google.com/url?q=https://github.com/mostafa-saad/MyCompetitiveProgramming/blob/master/Olympiad/POI/POI-05-Banknote.txt&amp;sa=D&amp;ust=1605639816444000&amp;usg=AFQjCNHDRhSa7ar6-n0YBnCE1cWYtB2UGA" TargetMode="External"/><Relationship Id="rId1851" Type="http://schemas.openxmlformats.org/officeDocument/2006/relationships/hyperlink" Target="https://www.google.com/url?q=https://github.com/mostafa-saad/MyCompetitiveProgramming/tree/master/Olympiad/COCI/official/2008/contest2_solutions&amp;sa=D&amp;ust=1605639816514000&amp;usg=AFQjCNHBRsCJ57S2vfVxPYYw3BWALytfXg" TargetMode="External"/><Relationship Id="rId2902" Type="http://schemas.openxmlformats.org/officeDocument/2006/relationships/hyperlink" Target="https://www.google.com/url?q=https://dmoj.ca/problem/bf3&amp;sa=D&amp;ust=1605639816842000&amp;usg=AFQjCNG2jJIYUxCZGF9P8KJdBwAB2vEDTQ" TargetMode="External"/><Relationship Id="rId1504" Type="http://schemas.openxmlformats.org/officeDocument/2006/relationships/hyperlink" Target="https://www.google.com/url?q=https://contest.yandex.ru/ioi/contest/558/enter/&amp;sa=D&amp;ust=1605639816400000&amp;usg=AFQjCNHbr6oSYV4lnevJLVwoCCGX0JZWQw" TargetMode="External"/><Relationship Id="rId1711" Type="http://schemas.openxmlformats.org/officeDocument/2006/relationships/hyperlink" Target="https://www.google.com/url?q=https://github.com/mostafa-saad/MyCompetitiveProgramming/blob/master/Olympiad/CEOI/CEOI-04-Trips.txt&amp;sa=D&amp;ust=1605639816462000&amp;usg=AFQjCNHxjIFAJ4_zO8c1bGjfeTXLoOcKHg" TargetMode="External"/><Relationship Id="rId1949" Type="http://schemas.openxmlformats.org/officeDocument/2006/relationships/hyperlink" Target="https://www.google.com/url?q=https://dmoj.ca/problem/cco07p6&amp;sa=D&amp;ust=1605639816544000&amp;usg=AFQjCNEKlCplYUvLcRnFqpOnXdkVZ6CRZw" TargetMode="External"/><Relationship Id="rId292" Type="http://schemas.openxmlformats.org/officeDocument/2006/relationships/hyperlink" Target="https://www.google.com/url?q=https://cses.fi/107/list/&amp;sa=D&amp;ust=1605639815577000&amp;usg=AFQjCNEVbIZfg6f6gEebxn5UzTGkM-KFrw" TargetMode="External"/><Relationship Id="rId1809" Type="http://schemas.openxmlformats.org/officeDocument/2006/relationships/hyperlink" Target="https://www.google.com/url?q=https://github.com/stefdasca/CompetitiveProgramming/blob/master/IZhO/IZhO%252017-money.cpp&amp;sa=D&amp;ust=1605639816500000&amp;usg=AFQjCNHUiNK_evRC1461pLYThQ40f6txbg" TargetMode="External"/><Relationship Id="rId597" Type="http://schemas.openxmlformats.org/officeDocument/2006/relationships/hyperlink" Target="https://www.google.com/url?q=https://github.com/mostafa-saad/MyCompetitiveProgramming/blob/master/Olympiad/JOI/JOISC-17-abduction2.txt&amp;sa=D&amp;ust=1605639815900000&amp;usg=AFQjCNEflJOmANUJRvL7TWBOVMeJxpkQKA" TargetMode="External"/><Relationship Id="rId2180" Type="http://schemas.openxmlformats.org/officeDocument/2006/relationships/hyperlink" Target="https://www.google.com/url?q=https://dunjudge.me/analysis/problems/723/&amp;sa=D&amp;ust=1605639816620000&amp;usg=AFQjCNHxg2QtDQgHVUEFLyErVjw3Dmza3A" TargetMode="External"/><Relationship Id="rId2278" Type="http://schemas.openxmlformats.org/officeDocument/2006/relationships/hyperlink" Target="https://www.google.com/url?q=https://github.com/mostafa-saad/MyCompetitiveProgramming/blob/master/Olympiad/COCI/official/2014/contest1_solutions&amp;sa=D&amp;ust=1605639816646000&amp;usg=AFQjCNFDu6v8XHpfkUelbXghaM4Qev0mvA" TargetMode="External"/><Relationship Id="rId2485" Type="http://schemas.openxmlformats.org/officeDocument/2006/relationships/hyperlink" Target="https://www.google.com/url?q=https://github.com/mostafa-saad/MyCompetitiveProgramming/blob/master/Olympiad/COCI/official/2015/contest6_solutions&amp;sa=D&amp;ust=1605639816714000&amp;usg=AFQjCNHEU1mT_AVyuw1d1i2Jr2ym7mh_tQ" TargetMode="External"/><Relationship Id="rId152" Type="http://schemas.openxmlformats.org/officeDocument/2006/relationships/hyperlink" Target="https://www.google.com/url?q=https://github.com/mostafa-saad/MyCompetitiveProgramming/blob/master/Olympiad/POI/official/find_editorial_sols_guidelines.txt&amp;sa=D&amp;ust=1605639815537000&amp;usg=AFQjCNGQpIKros1fTVzim6xv9XEnbY3fyg" TargetMode="External"/><Relationship Id="rId457" Type="http://schemas.openxmlformats.org/officeDocument/2006/relationships/hyperlink" Target="https://www.google.com/url?q=https://dunjudge.me/analysis/problems/1659/&amp;sa=D&amp;ust=1605639815666000&amp;usg=AFQjCNE_Mout-NyClfVg8oCg7e3PMseC9A" TargetMode="External"/><Relationship Id="rId1087" Type="http://schemas.openxmlformats.org/officeDocument/2006/relationships/hyperlink" Target="https://www.google.com/url?q=https://contest.yandex.ru/ioi/contest/566/enter/&amp;sa=D&amp;ust=1605639816192000&amp;usg=AFQjCNFgPNqoPsHeYusCDIxopvk_nj-Iag" TargetMode="External"/><Relationship Id="rId1294" Type="http://schemas.openxmlformats.org/officeDocument/2006/relationships/hyperlink" Target="https://www.google.com/url?q=https://github.com/mostafa-saad/MyCompetitiveProgramming/blob/master/Olympiad/infoarena/infoarena_sabin.txt&amp;sa=D&amp;ust=1605639816309000&amp;usg=AFQjCNEPb3vg4rxC12UfuKrhJSyby9lnUw" TargetMode="External"/><Relationship Id="rId2040" Type="http://schemas.openxmlformats.org/officeDocument/2006/relationships/hyperlink" Target="https://www.google.com/url?q=https://www.hackerrank.com/contests/ioi-2014-practice-contest-1/challenges&amp;sa=D&amp;ust=1605639816574000&amp;usg=AFQjCNFmLZKuEcGPSGQNcSuH0N9vuGGOSw" TargetMode="External"/><Relationship Id="rId2138" Type="http://schemas.openxmlformats.org/officeDocument/2006/relationships/hyperlink" Target="https://www.google.com/url?q=https://cses.fi/110/list/&amp;sa=D&amp;ust=1605639816607000&amp;usg=AFQjCNHDeY8mLGi2YffeADHYCQf6EDuxfg" TargetMode="External"/><Relationship Id="rId2692" Type="http://schemas.openxmlformats.org/officeDocument/2006/relationships/hyperlink" Target="https://www.google.com/url?q=https://dmoj.ca/problem/coci06c2p3&amp;sa=D&amp;ust=1605639816763000&amp;usg=AFQjCNGbmLIvxIQiA5OygEJypU_GZFt1DA" TargetMode="External"/><Relationship Id="rId2997" Type="http://schemas.openxmlformats.org/officeDocument/2006/relationships/hyperlink" Target="https://www.google.com/url?q=https://oj.uz/problem/view/POI13_spa&amp;sa=D&amp;ust=1605639816901000&amp;usg=AFQjCNGERsm4-qKsnzUMzE1el_p3wEr3-Q" TargetMode="External"/><Relationship Id="rId664" Type="http://schemas.openxmlformats.org/officeDocument/2006/relationships/hyperlink" Target="https://www.google.com/url?q=https://szkopul.edu.pl/problemset/problem/WXVRycanis3d1h5p63YZqYKs/site/&amp;sa=D&amp;ust=1605639815923000&amp;usg=AFQjCNG19t545N1FskbaYimRbh5vivzocQ" TargetMode="External"/><Relationship Id="rId871" Type="http://schemas.openxmlformats.org/officeDocument/2006/relationships/hyperlink" Target="https://www.google.com/url?q=https://github.com/mostafa-saad/MyCompetitiveProgramming/blob/master/Olympiad/COCI/COCI-07-Baza.txt&amp;sa=D&amp;ust=1605639816024000&amp;usg=AFQjCNERhwaLZ67GTm0JLBHnkW9QfTzNZg" TargetMode="External"/><Relationship Id="rId969" Type="http://schemas.openxmlformats.org/officeDocument/2006/relationships/hyperlink" Target="https://www.google.com/url?q=https://github.com/stefdasca/CompetitiveProgramming/blob/master/Infoarena/hacker2.cpp&amp;sa=D&amp;ust=1605639816105000&amp;usg=AFQjCNHZom4Dg_63u0CtTtMQnlzLNFEAEA" TargetMode="External"/><Relationship Id="rId1599" Type="http://schemas.openxmlformats.org/officeDocument/2006/relationships/hyperlink" Target="https://www.google.com/url?q=https://oj.uz/problem/view/IOI16_dna&amp;sa=D&amp;ust=1605639816431000&amp;usg=AFQjCNF5qVUQQNf9OzamaGQndN4f15dUZA" TargetMode="External"/><Relationship Id="rId2345" Type="http://schemas.openxmlformats.org/officeDocument/2006/relationships/hyperlink" Target="https://www.google.com/url?q=https://github.com/nikolapesic2802/Programming-Practice/blob/master/Temperature/main.cpp&amp;sa=D&amp;ust=1605639816663000&amp;usg=AFQjCNFrO38dqbkRE6qdvIYp5E-cHtrAHg" TargetMode="External"/><Relationship Id="rId2552" Type="http://schemas.openxmlformats.org/officeDocument/2006/relationships/hyperlink" Target="https://www.google.com/url?q=https://dmoj.ca/problem/coci08c1p1&amp;sa=D&amp;ust=1605639816733000&amp;usg=AFQjCNEJ4n0_HMjA4NOrmVxUQcvj22u9bg" TargetMode="External"/><Relationship Id="rId317" Type="http://schemas.openxmlformats.org/officeDocument/2006/relationships/hyperlink" Target="https://www.google.com/url?q=https://oj.uz/problem/view/APIO14_beads&amp;sa=D&amp;ust=1605639815586000&amp;usg=AFQjCNFkvZ6BDDuPMjTQtY3TBJYdl9rLYA" TargetMode="External"/><Relationship Id="rId524" Type="http://schemas.openxmlformats.org/officeDocument/2006/relationships/hyperlink" Target="https://www.google.com/url?q=https://github.com/mostafa-saad/MyCompetitiveProgramming/blob/master/Olympiad/IOI/IOI-09-salesman.txt&amp;sa=D&amp;ust=1605639815834000&amp;usg=AFQjCNGu3s9EqaxWIyoLYBcovuKN0Y6T6g" TargetMode="External"/><Relationship Id="rId731" Type="http://schemas.openxmlformats.org/officeDocument/2006/relationships/hyperlink" Target="https://www.google.com/url?q=https://github.com/mostafa-saad/MyCompetitiveProgramming/blob/master/Olympiad/CEOI/CEOI-08-Snake.txt&amp;sa=D&amp;ust=1605639815974000&amp;usg=AFQjCNEZDeN9Ux9XpQWLInkGIYnoZJWR6w" TargetMode="External"/><Relationship Id="rId1154" Type="http://schemas.openxmlformats.org/officeDocument/2006/relationships/hyperlink" Target="https://www.google.com/url?q=https://github.com/mostafa-saad/MyCompetitiveProgramming/blob/master/Olympiad/IOI/official/2009&amp;sa=D&amp;ust=1605639816213000&amp;usg=AFQjCNFs7Jm4D9xfJ76p1Y8foTYbVh1Q9Q" TargetMode="External"/><Relationship Id="rId1361" Type="http://schemas.openxmlformats.org/officeDocument/2006/relationships/hyperlink" Target="https://www.google.com/url?q=https://github.com/mostafa-saad/MyCompetitiveProgramming/blob/master/Olympiad/IOI/IOI-15-boxes.txt&amp;sa=D&amp;ust=1605639816333000&amp;usg=AFQjCNEzr-sH9rIl5tG3rkZpbPCEUCxv-Q" TargetMode="External"/><Relationship Id="rId1459" Type="http://schemas.openxmlformats.org/officeDocument/2006/relationships/hyperlink" Target="https://www.google.com/url?q=https://joisc2015.contest.atcoder.jp/tasks/joisc2015_i&amp;sa=D&amp;ust=1605639816383000&amp;usg=AFQjCNH4u-4TIiz_Q2_nBAVIFxFlvP6HjA" TargetMode="External"/><Relationship Id="rId2205" Type="http://schemas.openxmlformats.org/officeDocument/2006/relationships/hyperlink" Target="https://www.google.com/url?q=https://github.com/mostafa-saad/MyCompetitiveProgramming/blob/master/Olympiad/Baltic/Baltic-09-Rectangle.txt&amp;sa=D&amp;ust=1605639816628000&amp;usg=AFQjCNEF1mLSgmBiAD06iACP1RhpC1KcDw" TargetMode="External"/><Relationship Id="rId2412" Type="http://schemas.openxmlformats.org/officeDocument/2006/relationships/hyperlink" Target="https://www.google.com/url?q=https://oj.uz/problem/view/NOI12_walking&amp;sa=D&amp;ust=1605639816688000&amp;usg=AFQjCNG5aYfCt2hnRf2w2hAgbeNKJRNzPg" TargetMode="External"/><Relationship Id="rId2857" Type="http://schemas.openxmlformats.org/officeDocument/2006/relationships/hyperlink" Target="https://www.google.com/url?q=https://dunjudge.me/analysis/problems/1475/&amp;sa=D&amp;ust=1605639816819000&amp;usg=AFQjCNHlOwElVsxe7UfBrpVWymyN2Tk7nQ" TargetMode="External"/><Relationship Id="rId98" Type="http://schemas.openxmlformats.org/officeDocument/2006/relationships/hyperlink" Target="https://www.google.com/url?q=https://github.com/mostafa-saad/MyCompetitiveProgramming/blob/master/Olympiad/IOI/IOI-14-holiday.txt&amp;sa=D&amp;ust=1605639815520000&amp;usg=AFQjCNFRcDOXr_D3huT4rSmSJT8UWS-d0g" TargetMode="External"/><Relationship Id="rId829" Type="http://schemas.openxmlformats.org/officeDocument/2006/relationships/hyperlink" Target="https://www.google.com/url?q=https://github.com/mostafa-saad/MyCompetitiveProgramming/blob/master/Olympiad/infoarena/infoarena_casute.txt&amp;sa=D&amp;ust=1605639816009000&amp;usg=AFQjCNGfa1asou6fMZrGP0T9e3HDksbw8w" TargetMode="External"/><Relationship Id="rId1014" Type="http://schemas.openxmlformats.org/officeDocument/2006/relationships/hyperlink" Target="https://www.google.com/url?q=http://blog.brucemerry.org.za/2018/01/coci-20172018-r5-analysis.html&amp;sa=D&amp;ust=1605639816117000&amp;usg=AFQjCNEoZX1BkWEwBdtI-jpj0EgFLm1gbA" TargetMode="External"/><Relationship Id="rId1221" Type="http://schemas.openxmlformats.org/officeDocument/2006/relationships/hyperlink" Target="https://www.google.com/url?q=https://dunjudge.me/analysis/problems/1663/&amp;sa=D&amp;ust=1605639816284000&amp;usg=AFQjCNH1J4-FBYlGhF1-ux_Y2GUKw-9Miw" TargetMode="External"/><Relationship Id="rId1666" Type="http://schemas.openxmlformats.org/officeDocument/2006/relationships/hyperlink" Target="https://www.google.com/url?q=https://github.com/mostafa-saad/MyCompetitiveProgramming/blob/master/Olympiad/infoarena/infoarena-permsort.txt&amp;sa=D&amp;ust=1605639816450000&amp;usg=AFQjCNFSWXtQc3BUTHvPp6d3ej-Cmn7xtw" TargetMode="External"/><Relationship Id="rId1873" Type="http://schemas.openxmlformats.org/officeDocument/2006/relationships/hyperlink" Target="https://www.google.com/url?q=https://github.com/mostafa-saad/MyCompetitiveProgramming/blob/master/Olympiad/NOI/official&amp;sa=D&amp;ust=1605639816521000&amp;usg=AFQjCNH2bTbZjhcwA-wUJRzAGiUdFXw2mQ" TargetMode="External"/><Relationship Id="rId2717" Type="http://schemas.openxmlformats.org/officeDocument/2006/relationships/hyperlink" Target="https://www.google.com/url?q=https://dmoj.ca/problem/coci14c1p2&amp;sa=D&amp;ust=1605639816772000&amp;usg=AFQjCNECzSoEwE3_UbX_3CE0lpxYTslH6g" TargetMode="External"/><Relationship Id="rId2924" Type="http://schemas.openxmlformats.org/officeDocument/2006/relationships/hyperlink" Target="https://www.google.com/url?q=http://ioi2017.org/contest/practice/&amp;sa=D&amp;ust=1605639816865000&amp;usg=AFQjCNFPPC8YhzySz_YLiZJj7FEHWtwH3A" TargetMode="External"/><Relationship Id="rId1319" Type="http://schemas.openxmlformats.org/officeDocument/2006/relationships/hyperlink" Target="https://www.google.com/url?q=https://dmoj.ca/problem/apio12p1&amp;sa=D&amp;ust=1605639816318000&amp;usg=AFQjCNFgE3c4kgnioxDtQ0U_H38M3Qa-PQ" TargetMode="External"/><Relationship Id="rId1526" Type="http://schemas.openxmlformats.org/officeDocument/2006/relationships/hyperlink" Target="https://www.google.com/url?q=https://tioj.ck.tp.edu.tw/problems/1739&amp;sa=D&amp;ust=1605639816408000&amp;usg=AFQjCNEmjv9zyOrpkSWUZrSGu28tqcnKtw" TargetMode="External"/><Relationship Id="rId1733" Type="http://schemas.openxmlformats.org/officeDocument/2006/relationships/hyperlink" Target="https://www.google.com/url?q=https://github.com/farmerboy95/CompetitiveProgramming/blob/master/COCI/COCI%252018-priglavci.cpp&amp;sa=D&amp;ust=1605639816471000&amp;usg=AFQjCNGr8TFQKNy7uu5LOic-yWqKGYUPqA" TargetMode="External"/><Relationship Id="rId1940" Type="http://schemas.openxmlformats.org/officeDocument/2006/relationships/hyperlink" Target="https://www.google.com/url?q=https://github.com/mostafa-saad/MyCompetitiveProgramming/blob/master/Olympiad/COCI/official/2018/contest2_solutions&amp;sa=D&amp;ust=1605639816542000&amp;usg=AFQjCNEWy0_UnyQal2-paHegPd_3dI3Qwg" TargetMode="External"/><Relationship Id="rId25" Type="http://schemas.openxmlformats.org/officeDocument/2006/relationships/hyperlink" Target="https://www.google.com/url?q=https://codeforces.com/blog/entry/68676&amp;sa=D&amp;ust=1605639815494000&amp;usg=AFQjCNHHZPzBPd7YPHbp0cKmFqzt7v38Pg" TargetMode="External"/><Relationship Id="rId1800" Type="http://schemas.openxmlformats.org/officeDocument/2006/relationships/hyperlink" Target="https://www.google.com/url?q=https://joisc2014.contest.atcoder.jp/tasks/joisc2014_f&amp;sa=D&amp;ust=1605639816497000&amp;usg=AFQjCNGp2myX8DETJP1XpTOHvjuUxYEAbg" TargetMode="External"/><Relationship Id="rId174" Type="http://schemas.openxmlformats.org/officeDocument/2006/relationships/hyperlink" Target="https://www.google.com/url?q=https://oj.uz/problem/view/BOI16_spiral&amp;sa=D&amp;ust=1605639815543000&amp;usg=AFQjCNGIfYexg50EzJ1bWMK3Quoixt3B9Q" TargetMode="External"/><Relationship Id="rId381" Type="http://schemas.openxmlformats.org/officeDocument/2006/relationships/hyperlink" Target="https://www.google.com/url?q=https://oj.uz/problem/view/IOI13_game&amp;sa=D&amp;ust=1605639815609000&amp;usg=AFQjCNEFB4p1NsdIERXsLe25CwO7o4V7vA" TargetMode="External"/><Relationship Id="rId2062" Type="http://schemas.openxmlformats.org/officeDocument/2006/relationships/hyperlink" Target="https://www.google.com/url?q=https://dunjudge.me/analysis/problems/553/&amp;sa=D&amp;ust=1605639816581000&amp;usg=AFQjCNFh3k2R_oPapSmOnFmEKOiWCOt3CQ" TargetMode="External"/><Relationship Id="rId241" Type="http://schemas.openxmlformats.org/officeDocument/2006/relationships/hyperlink" Target="https://www.google.com/url?q=https://github.com/mostafa-saad/MyCompetitiveProgramming/blob/master/Olympiad/JOI/JOI-18-snakeescaping.txt&amp;sa=D&amp;ust=1605639815559000&amp;usg=AFQjCNH3Bsk7p1RoSh7gHRxxW6SnI2Va4A" TargetMode="External"/><Relationship Id="rId479" Type="http://schemas.openxmlformats.org/officeDocument/2006/relationships/hyperlink" Target="https://www.google.com/url?q=https://oj.uz/problem/view/JOI17_cultivation&amp;sa=D&amp;ust=1605639815675000&amp;usg=AFQjCNGXJApf4d2fkoFrleq36PmiRikrnQ" TargetMode="External"/><Relationship Id="rId686" Type="http://schemas.openxmlformats.org/officeDocument/2006/relationships/hyperlink" Target="https://www.google.com/url?q=https://github.com/mostafa-saad/MyCompetitiveProgramming/blob/master/Olympiad/APIO/APIO-17-merchant.txt&amp;sa=D&amp;ust=1605639815930000&amp;usg=AFQjCNGng4ZHnG6VkL_lj8yu3nFixh9DYQ" TargetMode="External"/><Relationship Id="rId893" Type="http://schemas.openxmlformats.org/officeDocument/2006/relationships/hyperlink" Target="https://www.google.com/url?q=https://infoarena.ro/problema/calancea&amp;sa=D&amp;ust=1605639816080000&amp;usg=AFQjCNEIlF1dnU4IX-Ftla3s9KG13cwlKA" TargetMode="External"/><Relationship Id="rId2367" Type="http://schemas.openxmlformats.org/officeDocument/2006/relationships/hyperlink" Target="https://www.google.com/url?q=https://dmoj.ca/problem/coci07c3p4&amp;sa=D&amp;ust=1605639816671000&amp;usg=AFQjCNEhz6ZRZkNNU52cjMPhE3a704isAA" TargetMode="External"/><Relationship Id="rId2574" Type="http://schemas.openxmlformats.org/officeDocument/2006/relationships/hyperlink" Target="https://www.google.com/url?q=https://dunjudge.me/analysis/problems/18/&amp;sa=D&amp;ust=1605639816738000&amp;usg=AFQjCNH9ysyXwknxNwGItc9G2YJEDmGlEA" TargetMode="External"/><Relationship Id="rId2781" Type="http://schemas.openxmlformats.org/officeDocument/2006/relationships/hyperlink" Target="https://www.google.com/url?q=https://contest.yandex.ru/ioi/contest/568/enter/&amp;sa=D&amp;ust=1605639816795000&amp;usg=AFQjCNEO9lj4M-RqLzClv1kj5l_LZfrIFA" TargetMode="External"/><Relationship Id="rId339" Type="http://schemas.openxmlformats.org/officeDocument/2006/relationships/hyperlink" Target="https://www.google.com/url?q=https://szkopul.edu.pl/problemset/problem/eC-cABL-jWd4JdZDmfWufeeQ/site/&amp;sa=D&amp;ust=1605639815594000&amp;usg=AFQjCNGqzzwZPrU2zAJV-brzwPOEh6zBww" TargetMode="External"/><Relationship Id="rId546" Type="http://schemas.openxmlformats.org/officeDocument/2006/relationships/hyperlink" Target="https://www.google.com/url?q=https://szkopul.edu.pl/problemset/problem/0EGjXu64CRLc5S2-EQOZ0eR1/site/&amp;sa=D&amp;ust=1605639815881000&amp;usg=AFQjCNEsi7AQubS0oooHNPEXD4PuGMo_7A" TargetMode="External"/><Relationship Id="rId753" Type="http://schemas.openxmlformats.org/officeDocument/2006/relationships/hyperlink" Target="https://www.google.com/url?q=https://oj.uz/problem/view/IOI07_flood&amp;sa=D&amp;ust=1605639815982000&amp;usg=AFQjCNG2BCYByN2Ol6NPOW1ygVQC9KszZA" TargetMode="External"/><Relationship Id="rId1176" Type="http://schemas.openxmlformats.org/officeDocument/2006/relationships/hyperlink" Target="https://www.google.com/url?q=https://github.com/timpostuvan/CompetitiveProgramming/blob/master/Olympiad/APIO/Commando2010.cpp&amp;sa=D&amp;ust=1605639816219000&amp;usg=AFQjCNGCHBL43E5qAg_1Vth2l4JewXvDSQ" TargetMode="External"/><Relationship Id="rId1383" Type="http://schemas.openxmlformats.org/officeDocument/2006/relationships/hyperlink" Target="https://www.google.com/url?q=https://github.com/mostafa-saad/MyCompetitiveProgramming/blob/master/Olympiad/Balkan/Balkan-16-Conference.txt&amp;sa=D&amp;ust=1605639816341000&amp;usg=AFQjCNEoHKYTt0J_rjN_9SognV6pSe_9XQ" TargetMode="External"/><Relationship Id="rId2227" Type="http://schemas.openxmlformats.org/officeDocument/2006/relationships/hyperlink" Target="https://www.google.com/url?q=https://www.comp.nus.edu.sg/~noi/2012/2012_soln.pdf&amp;sa=D&amp;ust=1605639816634000&amp;usg=AFQjCNEdzjmQMAm2CaSv7fVKj_UUBWdZjQ" TargetMode="External"/><Relationship Id="rId2434" Type="http://schemas.openxmlformats.org/officeDocument/2006/relationships/hyperlink" Target="https://www.google.com/url?q=https://www.infoarena.ro/problema/heavymetal&amp;sa=D&amp;ust=1605639816696000&amp;usg=AFQjCNF8lvpNBkf2a1QUmF1gkuxRYCKfYg" TargetMode="External"/><Relationship Id="rId2879" Type="http://schemas.openxmlformats.org/officeDocument/2006/relationships/hyperlink" Target="https://www.google.com/url?q=https://www.acmicpc.net/problem/7084&amp;sa=D&amp;ust=1605639816827000&amp;usg=AFQjCNHd3c249gPeVW_VT8Zke2uFzK-IvQ" TargetMode="External"/><Relationship Id="rId101" Type="http://schemas.openxmlformats.org/officeDocument/2006/relationships/hyperlink" Target="https://www.google.com/url?q=https://oj.uz/problem/view/IZhO17_road&amp;sa=D&amp;ust=1605639815521000&amp;usg=AFQjCNEYQANMWsLgZWF-3Q6GGhOpn22G-w" TargetMode="External"/><Relationship Id="rId406" Type="http://schemas.openxmlformats.org/officeDocument/2006/relationships/hyperlink" Target="https://www.google.com/url?q=https://szkopul.edu.pl/problemset/problem/qQGtOc61vnHgCrs01ORC7iD1/site/&amp;sa=D&amp;ust=1605639815619000&amp;usg=AFQjCNG0YFhvw3Z7Tc7O08b5G4uHioYrSw" TargetMode="External"/><Relationship Id="rId960" Type="http://schemas.openxmlformats.org/officeDocument/2006/relationships/hyperlink" Target="https://www.google.com/url?q=https://joisc2013-day1.contest.atcoder.jp/tasks/joisc2013_communication&amp;sa=D&amp;ust=1605639816101000&amp;usg=AFQjCNEEMPy_LtGhzrn2NhIRiAu4SYM9zQ" TargetMode="External"/><Relationship Id="rId1036" Type="http://schemas.openxmlformats.org/officeDocument/2006/relationships/hyperlink" Target="https://www.google.com/url?q=https://github.com/mostafa-saad/MyCompetitiveProgramming/blob/master/Olympiad/COCI/COCI-16-mag.txt&amp;sa=D&amp;ust=1605639816174000&amp;usg=AFQjCNGBYFiTZjyRkO-GgtbLK9KYIN-BNw" TargetMode="External"/><Relationship Id="rId1243" Type="http://schemas.openxmlformats.org/officeDocument/2006/relationships/hyperlink" Target="https://www.google.com/url?q=https://oj.uz/problem/view/IOI13_robots&amp;sa=D&amp;ust=1605639816291000&amp;usg=AFQjCNFZBMlKQ9WNonbxE5lCN8p7cfP4Dw" TargetMode="External"/><Relationship Id="rId1590" Type="http://schemas.openxmlformats.org/officeDocument/2006/relationships/hyperlink" Target="https://www.google.com/url?q=https://github.com/mostafa-saad/MyCompetitiveProgramming/blob/master/Olympiad/POI/official/find_editorial_sols_guidelines.txt&amp;sa=D&amp;ust=1605639816428000&amp;usg=AFQjCNFWJf0CH9nD8vY3y5WiVjcxhbj_4Q" TargetMode="External"/><Relationship Id="rId1688" Type="http://schemas.openxmlformats.org/officeDocument/2006/relationships/hyperlink" Target="https://www.google.com/url?q=https://codeforces.com/group/swEqtABRxe/contest/227531/problem/C&amp;sa=D&amp;ust=1605639816455000&amp;usg=AFQjCNGHZXNCeNwOvG7ZBdZENhoOaP8SZQ" TargetMode="External"/><Relationship Id="rId1895" Type="http://schemas.openxmlformats.org/officeDocument/2006/relationships/hyperlink" Target="https://www.google.com/url?q=https://github.com/mostafa-saad/MyCompetitiveProgramming/blob/master/Olympiad/POI/POI-12-WarehouseStore.txt&amp;sa=D&amp;ust=1605639816528000&amp;usg=AFQjCNG1kckBiqXmvFBYkrwj5bHwg-eq2w" TargetMode="External"/><Relationship Id="rId2641" Type="http://schemas.openxmlformats.org/officeDocument/2006/relationships/hyperlink" Target="https://www.google.com/url?q=https://dmoj.ca/problem/coci07c2p3&amp;sa=D&amp;ust=1605639816752000&amp;usg=AFQjCNHBMyT990ayn1yziTyFsdtbtKUdsw" TargetMode="External"/><Relationship Id="rId2739" Type="http://schemas.openxmlformats.org/officeDocument/2006/relationships/hyperlink" Target="https://www.google.com/url?q=https://github.com/mostafa-saad/MyCompetitiveProgramming/blob/master/Olympiad/COCI/official/2017/contest2_solutions&amp;sa=D&amp;ust=1605639816780000&amp;usg=AFQjCNFc991kEuUpYzHxPGA9S_H37yCmDQ" TargetMode="External"/><Relationship Id="rId2946" Type="http://schemas.openxmlformats.org/officeDocument/2006/relationships/hyperlink" Target="https://www.google.com/url?q=https://dunjudge.me/analysis/problems/678/&amp;sa=D&amp;ust=1605639816876000&amp;usg=AFQjCNGBX3TLLbF24DLVizg5KiaAN166uw" TargetMode="External"/><Relationship Id="rId613" Type="http://schemas.openxmlformats.org/officeDocument/2006/relationships/hyperlink" Target="https://www.google.com/url?q=https://github.com/mostafa-saad/MyCompetitiveProgramming/blob/master/Olympiad/NOI/NOI-19-riggedroads.txt&amp;sa=D&amp;ust=1605639815905000&amp;usg=AFQjCNEuDwvG_G3LzoUizYKy_ZeU9NX8SA" TargetMode="External"/><Relationship Id="rId820" Type="http://schemas.openxmlformats.org/officeDocument/2006/relationships/hyperlink" Target="https://www.google.com/url?q=https://oj.uz/problems/source/245&amp;sa=D&amp;ust=1605639816006000&amp;usg=AFQjCNGgoUCjECA559s0FkzDZ4VJ_PakYQ" TargetMode="External"/><Relationship Id="rId918" Type="http://schemas.openxmlformats.org/officeDocument/2006/relationships/hyperlink" Target="https://www.google.com/url?q=https://oj.uz/problem/view/POI13_mul&amp;sa=D&amp;ust=1605639816089000&amp;usg=AFQjCNFia6RMlUS0AC2giCNgwZR0RbW34g" TargetMode="External"/><Relationship Id="rId1450" Type="http://schemas.openxmlformats.org/officeDocument/2006/relationships/hyperlink" Target="https://www.google.com/url?q=https://www.infoarena.ro/problema/v2d&amp;sa=D&amp;ust=1605639816379000&amp;usg=AFQjCNHSpxCbgxVHav9jtojaxCs9J9M4Kg" TargetMode="External"/><Relationship Id="rId1548" Type="http://schemas.openxmlformats.org/officeDocument/2006/relationships/hyperlink" Target="https://www.google.com/url?q=http://usaco.org/index.php?page%3Dviewproblem2%26cpid%3D698&amp;sa=D&amp;ust=1605639816415000&amp;usg=AFQjCNFY62rzNppVCsQnLmNM3Vd-hH3g2A" TargetMode="External"/><Relationship Id="rId1755" Type="http://schemas.openxmlformats.org/officeDocument/2006/relationships/hyperlink" Target="https://www.google.com/url?q=https://dmoj.ca/problem/coci06c3p6&amp;sa=D&amp;ust=1605639816479000&amp;usg=AFQjCNFt5ctBiycn8bmk1HKfI0izwunZUA" TargetMode="External"/><Relationship Id="rId2501" Type="http://schemas.openxmlformats.org/officeDocument/2006/relationships/hyperlink" Target="https://www.google.com/url?q=https://github.com/mostafa-saad/MyCompetitiveProgramming/blob/master/Olympiad/COCI/official/2014/contest4_solutions&amp;sa=D&amp;ust=1605639816719000&amp;usg=AFQjCNHlsUzDo1tToFNEBxBW48LcsOCgwQ" TargetMode="External"/><Relationship Id="rId1103" Type="http://schemas.openxmlformats.org/officeDocument/2006/relationships/hyperlink" Target="https://www.google.com/url?q=http://usaco.org/index.php?page%3Dviewproblem2%26cpid%3D532&amp;sa=D&amp;ust=1605639816198000&amp;usg=AFQjCNEegO-lEOEhwzqZN5JU_IcNfubGog" TargetMode="External"/><Relationship Id="rId1310" Type="http://schemas.openxmlformats.org/officeDocument/2006/relationships/hyperlink" Target="https://www.google.com/url?q=https://github.com/mostafa-saad/MyCompetitiveProgramming/blob/master/Olympiad/COCI/COCI-09-Ograda.txt&amp;sa=D&amp;ust=1605639816314000&amp;usg=AFQjCNGokSJQeb0RGIGyFo5Z18MEScEUCg" TargetMode="External"/><Relationship Id="rId1408" Type="http://schemas.openxmlformats.org/officeDocument/2006/relationships/hyperlink" Target="https://www.google.com/url?q=https://github.com/mostafa-saad/MyCompetitiveProgramming/blob/master/Olympiad/IOI/IOI-03-guess.txt&amp;sa=D&amp;ust=1605639816349000&amp;usg=AFQjCNE1AJ-orf6eHtjtLDK47mgrS-hsUQ" TargetMode="External"/><Relationship Id="rId1962" Type="http://schemas.openxmlformats.org/officeDocument/2006/relationships/hyperlink" Target="https://www.google.com/url?q=https://oj.uz/problems/source/120&amp;sa=D&amp;ust=1605639816548000&amp;usg=AFQjCNFRvnyzAerVqca8h9tac7W8ggt3fg" TargetMode="External"/><Relationship Id="rId2806" Type="http://schemas.openxmlformats.org/officeDocument/2006/relationships/hyperlink" Target="https://www.google.com/url?q=https://wcipeg.com/problem/coci093p2&amp;sa=D&amp;ust=1605639816804000&amp;usg=AFQjCNG8ez6Wq5XmHAB0X_3DBOEZp5933Q" TargetMode="External"/><Relationship Id="rId47" Type="http://schemas.openxmlformats.org/officeDocument/2006/relationships/hyperlink" Target="https://www.google.com/url?q=https://oj.uz/problems/source/270&amp;sa=D&amp;ust=1605639815501000&amp;usg=AFQjCNGMm3CHVk3HrhR_OBKivGc1jNiUvQ" TargetMode="External"/><Relationship Id="rId1615" Type="http://schemas.openxmlformats.org/officeDocument/2006/relationships/hyperlink" Target="https://www.google.com/url?q=https://oj.uz/problem/view/COCI19_parametriziran&amp;sa=D&amp;ust=1605639816436000&amp;usg=AFQjCNGmp-YrQvhAugGAGLEWCyg8dcSrCg" TargetMode="External"/><Relationship Id="rId1822" Type="http://schemas.openxmlformats.org/officeDocument/2006/relationships/hyperlink" Target="https://www.google.com/url?q=http://usaco.org/index.php?page%3Dviewproblem2%26cpid%3D495&amp;sa=D&amp;ust=1605639816505000&amp;usg=AFQjCNHD4xPdLD-b5qi_4AeDkg2jE-4LbA" TargetMode="External"/><Relationship Id="rId196" Type="http://schemas.openxmlformats.org/officeDocument/2006/relationships/hyperlink" Target="https://www.google.com/url?q=https://oj.uz/problem/view/IOI10_hottercolder&amp;sa=D&amp;ust=1605639815548000&amp;usg=AFQjCNFgwTTGOSiWMGFh74EnwF80CxHWyQ" TargetMode="External"/><Relationship Id="rId2084" Type="http://schemas.openxmlformats.org/officeDocument/2006/relationships/hyperlink" Target="https://www.google.com/url?q=http://usaco.org/index.php?page%3Dviewproblem2%26cpid%3D921&amp;sa=D&amp;ust=1605639816590000&amp;usg=AFQjCNFgWnQZUcPxPL1Q2pd2EZLXTaBu4g" TargetMode="External"/><Relationship Id="rId2291" Type="http://schemas.openxmlformats.org/officeDocument/2006/relationships/hyperlink" Target="https://www.google.com/url?q=https://csacademy.com/contest/junior-challenge-2017-day-2/task/set-subtraction&amp;sa=D&amp;ust=1605639816649000&amp;usg=AFQjCNHMeESLM7laGLlVbeRl6ZqOAbTcCw" TargetMode="External"/><Relationship Id="rId263" Type="http://schemas.openxmlformats.org/officeDocument/2006/relationships/hyperlink" Target="https://www.google.com/url?q=https://github.com/mostafa-saad/MyCompetitiveProgramming/blob/master/Olympiad/COCI/official/2016/contest2_solutions&amp;sa=D&amp;ust=1605639815566000&amp;usg=AFQjCNFCNXDmFg11hRD4P89_6tgw8CUv2w" TargetMode="External"/><Relationship Id="rId470" Type="http://schemas.openxmlformats.org/officeDocument/2006/relationships/hyperlink" Target="https://www.google.com/url?q=https://github.com/mostafa-saad/MyCompetitiveProgramming/blob/master/Olympiad/COCI/official/2017/contest7_solutions&amp;sa=D&amp;ust=1605639815673000&amp;usg=AFQjCNFGiMFfG4PcwNi5fZmOC0LyM3Qg9w" TargetMode="External"/><Relationship Id="rId2151" Type="http://schemas.openxmlformats.org/officeDocument/2006/relationships/hyperlink" Target="https://www.google.com/url?q=https://dunjudge.me/analysis/problems/700/&amp;sa=D&amp;ust=1605639816610000&amp;usg=AFQjCNEDSYWtd0oH-hcbAsj-DFkgaDDTEg" TargetMode="External"/><Relationship Id="rId2389" Type="http://schemas.openxmlformats.org/officeDocument/2006/relationships/hyperlink" Target="https://www.google.com/url?q=https://www.infoarena.ro/problema/cmmp&amp;sa=D&amp;ust=1605639816679000&amp;usg=AFQjCNGbXcvfBa6fOsNCGdjcyzecxx-39A" TargetMode="External"/><Relationship Id="rId2596" Type="http://schemas.openxmlformats.org/officeDocument/2006/relationships/hyperlink" Target="https://www.google.com/url?q=https://dunjudge.me/analysis/problems/1357/&amp;sa=D&amp;ust=1605639816742000&amp;usg=AFQjCNHj_JNt4MijkEq8fyTQtcWhQ9lymQ" TargetMode="External"/><Relationship Id="rId123" Type="http://schemas.openxmlformats.org/officeDocument/2006/relationships/hyperlink" Target="https://www.google.com/url?q=https://codeforces.com/contest/1193&amp;sa=D&amp;ust=1605639815528000&amp;usg=AFQjCNFo66xCe2BmoObXAJGyabOf_EL5rQ" TargetMode="External"/><Relationship Id="rId330" Type="http://schemas.openxmlformats.org/officeDocument/2006/relationships/hyperlink" Target="https://www.google.com/url?q=https://github.com/mostafa-saad/MyCompetitiveProgramming/blob/master/Olympiad/JOI/JOISC-18-airline.txt&amp;sa=D&amp;ust=1605639815590000&amp;usg=AFQjCNGvptEInVZ3LZQkFnZQmsAFk4Tv6Q" TargetMode="External"/><Relationship Id="rId568" Type="http://schemas.openxmlformats.org/officeDocument/2006/relationships/hyperlink" Target="https://www.google.com/url?q=https://oj.uz/problem/view/JOI17_port_facility&amp;sa=D&amp;ust=1605639815889000&amp;usg=AFQjCNHLKQVUpIIJ91bPAtHf-lsYXQpeVA" TargetMode="External"/><Relationship Id="rId775" Type="http://schemas.openxmlformats.org/officeDocument/2006/relationships/hyperlink" Target="https://www.google.com/url?q=https://infoarena.ro/problema/radare&amp;sa=D&amp;ust=1605639815989000&amp;usg=AFQjCNFYGSFp556cuvKKr92Ck4_WQ5IzFA" TargetMode="External"/><Relationship Id="rId982" Type="http://schemas.openxmlformats.org/officeDocument/2006/relationships/hyperlink" Target="https://www.google.com/url?q=https://github.com/mostafa-saad/MyCompetitiveProgramming/blob/master/Olympiad/infoarena/Infoarena_Desc.txt&amp;sa=D&amp;ust=1605639816108000&amp;usg=AFQjCNGJxphKBHVaWSx4Ompv-tFEyGDcjQ" TargetMode="External"/><Relationship Id="rId1198" Type="http://schemas.openxmlformats.org/officeDocument/2006/relationships/hyperlink" Target="https://www.google.com/url?q=https://cses.fi/187/list/&amp;sa=D&amp;ust=1605639816274000&amp;usg=AFQjCNGbHaUsD_8D99WZegdKVK1WsxzjcQ" TargetMode="External"/><Relationship Id="rId2011" Type="http://schemas.openxmlformats.org/officeDocument/2006/relationships/hyperlink" Target="https://www.google.com/url?q=https://dunjudge.me/analysis/problems/1227/&amp;sa=D&amp;ust=1605639816562000&amp;usg=AFQjCNFWuI7ya9ydGE5vPOIxWZnr3HoQ4g" TargetMode="External"/><Relationship Id="rId2249" Type="http://schemas.openxmlformats.org/officeDocument/2006/relationships/hyperlink" Target="https://www.google.com/url?q=https://www.infoarena.ro/problema/secvmax&amp;sa=D&amp;ust=1605639816639000&amp;usg=AFQjCNEmYhf8Ot1LeRiUBiZJLDS3qCgsQw" TargetMode="External"/><Relationship Id="rId2456" Type="http://schemas.openxmlformats.org/officeDocument/2006/relationships/hyperlink" Target="https://www.google.com/url?q=https://dunjudge.me/analysis/problems/27/&amp;sa=D&amp;ust=1605639816704000&amp;usg=AFQjCNE7FfT_SYqGxPUwooMR_nQ1d_3SHw" TargetMode="External"/><Relationship Id="rId2663" Type="http://schemas.openxmlformats.org/officeDocument/2006/relationships/hyperlink" Target="https://www.google.com/url?q=https://github.com/mostafa-saad/MyCompetitiveProgramming/blob/master/Olympiad/COCI/official/2010/contest2_solutions&amp;sa=D&amp;ust=1605639816756000&amp;usg=AFQjCNH6akmI48K7eqt-xi4943cRyuzz2A" TargetMode="External"/><Relationship Id="rId2870" Type="http://schemas.openxmlformats.org/officeDocument/2006/relationships/hyperlink" Target="https://www.google.com/url?q=https://github.com/mostafa-saad/MyCompetitiveProgramming/tree/master/Olympiad/Baltic/official/boi2018_solutions&amp;sa=D&amp;ust=1605639816823000&amp;usg=AFQjCNGSEOsdYMROHsZBLsU9cxn4XPVwZw" TargetMode="External"/><Relationship Id="rId428" Type="http://schemas.openxmlformats.org/officeDocument/2006/relationships/hyperlink" Target="https://www.google.com/url?q=https://github.com/stefdasca/CompetitiveProgramming/blob/master/Infoarena/bvarcolaci.cpp&amp;sa=D&amp;ust=1605639815627000&amp;usg=AFQjCNG8pLUxoxM56aRCdVaYgdd790L0pg" TargetMode="External"/><Relationship Id="rId635" Type="http://schemas.openxmlformats.org/officeDocument/2006/relationships/hyperlink" Target="https://www.google.com/url?q=https://github.com/LeTrongDat/CompetitiveProgramming/blob/master/IZhO/IZhO14-marriage.cpp&amp;sa=D&amp;ust=1605639815913000&amp;usg=AFQjCNHEfmULeUJ-aJfPHQjt1X3rnEiGaw" TargetMode="External"/><Relationship Id="rId842" Type="http://schemas.openxmlformats.org/officeDocument/2006/relationships/hyperlink" Target="https://www.google.com/url?q=https://github.com/mostafa-saad/MyCompetitiveProgramming/blob/master/Olympiad/infoarena/infoarena-paintball.txt&amp;sa=D&amp;ust=1605639816013000&amp;usg=AFQjCNFRU9J64C4DOWOv_Ch8fbNJ0u6gAA" TargetMode="External"/><Relationship Id="rId1058" Type="http://schemas.openxmlformats.org/officeDocument/2006/relationships/hyperlink" Target="https://www.google.com/url?q=https://github.com/MetalBall887/Competitive-Programming/blob/master/CSAcademy/ROJS%252017-borland.cpp&amp;sa=D&amp;ust=1605639816181000&amp;usg=AFQjCNGTkCy-xDq53H2wMxelAt11T1KE7g" TargetMode="External"/><Relationship Id="rId1265" Type="http://schemas.openxmlformats.org/officeDocument/2006/relationships/hyperlink" Target="https://www.google.com/url?q=https://github.com/mostafa-saad/MyCompetitiveProgramming/blob/master/Olympiad/Baltic/Baltic-09-Beetles.txt&amp;sa=D&amp;ust=1605639816299000&amp;usg=AFQjCNGuTUSY4n255cTaV2TWZj9rdRULpA" TargetMode="External"/><Relationship Id="rId1472" Type="http://schemas.openxmlformats.org/officeDocument/2006/relationships/hyperlink" Target="https://www.google.com/url?q=https://github.com/mostafa-saad/MyCompetitiveProgramming/blob/master/Olympiad/IOI/IOI-04-artemis.txt&amp;sa=D&amp;ust=1605639816389000&amp;usg=AFQjCNG9LG7zZyvKf7ptOSebzieH0LB4Cw" TargetMode="External"/><Relationship Id="rId2109" Type="http://schemas.openxmlformats.org/officeDocument/2006/relationships/hyperlink" Target="https://www.google.com/url?q=https://github.com/updown2/OI-Practice/blob/master/JOI/2018/Art.cpp&amp;sa=D&amp;ust=1605639816598000&amp;usg=AFQjCNGxnggDN9QCiLSKTJwPrG8nGu4zsQ" TargetMode="External"/><Relationship Id="rId2316" Type="http://schemas.openxmlformats.org/officeDocument/2006/relationships/hyperlink" Target="https://www.google.com/url?q=https://dmoj.ca/problem/coci06c5p3&amp;sa=D&amp;ust=1605639816656000&amp;usg=AFQjCNERQuOJ-krXBl37mFo_lIyuX9q0Gw" TargetMode="External"/><Relationship Id="rId2523" Type="http://schemas.openxmlformats.org/officeDocument/2006/relationships/hyperlink" Target="https://www.google.com/url?q=https://szkopul.edu.pl/problemset/problem/d5W4-JZbz1vSmQCLIJ91__9N/site/&amp;sa=D&amp;ust=1605639816727000&amp;usg=AFQjCNFJUgT6ChdqdDMylo8i3i1xNN1YtQ" TargetMode="External"/><Relationship Id="rId2730" Type="http://schemas.openxmlformats.org/officeDocument/2006/relationships/hyperlink" Target="https://www.google.com/url?q=https://wcipeg.com/problem/coci087p1&amp;sa=D&amp;ust=1605639816778000&amp;usg=AFQjCNGgbj8jMEmBJv1aeQFqYjQCXTrMMQ" TargetMode="External"/><Relationship Id="rId2968" Type="http://schemas.openxmlformats.org/officeDocument/2006/relationships/hyperlink" Target="https://www.google.com/url?q=https://szkopul.edu.pl/problemset/problem/CUjJDGGSEZmO7HvdZU4FKrL6/site/&amp;sa=D&amp;ust=1605639816887000&amp;usg=AFQjCNErP7sG3gCug9KfcPjAFqyA0g9OOg" TargetMode="External"/><Relationship Id="rId702" Type="http://schemas.openxmlformats.org/officeDocument/2006/relationships/hyperlink" Target="https://www.google.com/url?q=https://oj.uz/problem/view/NOI14_obelisk&amp;sa=D&amp;ust=1605639815934000&amp;usg=AFQjCNElnRazvjkt7chLIwWtitqlYEygWw" TargetMode="External"/><Relationship Id="rId1125" Type="http://schemas.openxmlformats.org/officeDocument/2006/relationships/hyperlink" Target="https://www.google.com/url?q=https://csacademy.com/contest/ceoi-2018-day-1/task/lottery/&amp;sa=D&amp;ust=1605639816205000&amp;usg=AFQjCNHnP2M-ZleS-scjqdjExDE_QdCG7A" TargetMode="External"/><Relationship Id="rId1332" Type="http://schemas.openxmlformats.org/officeDocument/2006/relationships/hyperlink" Target="https://www.google.com/url?q=https://github.com/mostafa-saad/MyCompetitiveProgramming/blob/master/Olympiad/TOKI/TOKIOpen-18-TileCovering.txt&amp;sa=D&amp;ust=1605639816322000&amp;usg=AFQjCNFnwZPfLFfnlUgfI8VPsfBjIUcAdA" TargetMode="External"/><Relationship Id="rId1777" Type="http://schemas.openxmlformats.org/officeDocument/2006/relationships/hyperlink" Target="https://www.google.com/url?q=https://boi18-practice-open.kattis.com/problems&amp;sa=D&amp;ust=1605639816487000&amp;usg=AFQjCNGQ1gKy2ncxuYvlWSFApuUaBpiz5A" TargetMode="External"/><Relationship Id="rId1984" Type="http://schemas.openxmlformats.org/officeDocument/2006/relationships/hyperlink" Target="https://www.google.com/url?q=https://dmoj.ca/problem/ccoprep16c2q3&amp;sa=D&amp;ust=1605639816555000&amp;usg=AFQjCNFGC3HQnS3rRT_ckEttd-SWSwiI-w" TargetMode="External"/><Relationship Id="rId2828" Type="http://schemas.openxmlformats.org/officeDocument/2006/relationships/hyperlink" Target="https://www.google.com/url?q=https://dmoj.ca/problem/coci06c6p1&amp;sa=D&amp;ust=1605639816810000&amp;usg=AFQjCNGKPSIeB3V0xnJxmkeLXdV5-Qkkyw" TargetMode="External"/><Relationship Id="rId69" Type="http://schemas.openxmlformats.org/officeDocument/2006/relationships/hyperlink" Target="https://www.google.com/url?q=https://github.com/tmwilliamlin168/CompetitiveProgramming/blob/master/CEOI/14-Wall.cpp&amp;sa=D&amp;ust=1605639815511000&amp;usg=AFQjCNEtmGjeGtjVXTMPG828NRjt04d-GA" TargetMode="External"/><Relationship Id="rId1637" Type="http://schemas.openxmlformats.org/officeDocument/2006/relationships/hyperlink" Target="https://www.google.com/url?q=https://github.com/nikolapesic2802/Programming-Practice/blob/master/Bit%2520problem/main.cpp&amp;sa=D&amp;ust=1605639816442000&amp;usg=AFQjCNHC-JiMQOZuT2aPuWdgTxRHLeOqkQ" TargetMode="External"/><Relationship Id="rId1844" Type="http://schemas.openxmlformats.org/officeDocument/2006/relationships/hyperlink" Target="https://www.google.com/url?q=https://csacademy.com/contest/ceoi-2017-day-1/tasks/&amp;sa=D&amp;ust=1605639816512000&amp;usg=AFQjCNHWfZd21rvi9Fmgt_iY6yovyrjWRw" TargetMode="External"/><Relationship Id="rId1704" Type="http://schemas.openxmlformats.org/officeDocument/2006/relationships/hyperlink" Target="https://www.google.com/url?q=https://github.com/nikolapesic2802/Programming-Practice/blob/master/Cake%2520Division2/main.cpp&amp;sa=D&amp;ust=1605639816460000&amp;usg=AFQjCNH2vS6eTssRKGx6GhsNC9IOy0G-lA" TargetMode="External"/><Relationship Id="rId285" Type="http://schemas.openxmlformats.org/officeDocument/2006/relationships/hyperlink" Target="https://www.google.com/url?q=https://github.com/mostafa-saad/MyCompetitiveProgramming/blob/master/Olympiad/APIO/APIO-17-rainbow.txt&amp;sa=D&amp;ust=1605639815575000&amp;usg=AFQjCNFCakU_4zr1auV3ucVAPngJEPRATA" TargetMode="External"/><Relationship Id="rId1911" Type="http://schemas.openxmlformats.org/officeDocument/2006/relationships/hyperlink" Target="https://www.google.com/url?q=https://oj.uz/problem/view/JOI17_foehn_phenomena&amp;sa=D&amp;ust=1605639816533000&amp;usg=AFQjCNGz2jhj6uJy9x2qJ0AxcHb1MxfRlA" TargetMode="External"/><Relationship Id="rId492" Type="http://schemas.openxmlformats.org/officeDocument/2006/relationships/hyperlink" Target="https://www.google.com/url?q=https://dunjudge.me/analysis/problems/706/&amp;sa=D&amp;ust=1605639815680000&amp;usg=AFQjCNHM7YrnagsgJRPVuOgiUQqOQPWCiQ" TargetMode="External"/><Relationship Id="rId797" Type="http://schemas.openxmlformats.org/officeDocument/2006/relationships/hyperlink" Target="https://www.google.com/url?q=https://cses.fi/192/list/&amp;sa=D&amp;ust=1605639815997000&amp;usg=AFQjCNGOKZ8yOTRoBzkH0CI6AciLfnSj7A" TargetMode="External"/><Relationship Id="rId2173" Type="http://schemas.openxmlformats.org/officeDocument/2006/relationships/hyperlink" Target="https://www.google.com/url?q=https://oj.uz/problem/view/COCI20_trener&amp;sa=D&amp;ust=1605639816619000&amp;usg=AFQjCNHNsC4ShkOd5qQPv7gmls7jDDIUEw" TargetMode="External"/><Relationship Id="rId2380" Type="http://schemas.openxmlformats.org/officeDocument/2006/relationships/hyperlink" Target="https://www.google.com/url?q=https://contest.yandex.ru/ioi/contest/562/problems/A/&amp;sa=D&amp;ust=1605639816676000&amp;usg=AFQjCNHAuKLR3ODN9goG-E1mpw3HAJa0dQ" TargetMode="External"/><Relationship Id="rId2478" Type="http://schemas.openxmlformats.org/officeDocument/2006/relationships/hyperlink" Target="https://www.google.com/url?q=https://dmoj.ca/problem/crci07p2&amp;sa=D&amp;ust=1605639816712000&amp;usg=AFQjCNFVIAtLH-jgmpjNfjGYrus-iiOICg" TargetMode="External"/><Relationship Id="rId3017" Type="http://schemas.openxmlformats.org/officeDocument/2006/relationships/hyperlink" Target="https://www.google.com/url?q=https://dunjudge.me/analysis/problems/953/&amp;sa=D&amp;ust=1605639816910000&amp;usg=AFQjCNHXcT0_X36C-s-uXiPkjvwuCcDhqA" TargetMode="External"/><Relationship Id="rId145" Type="http://schemas.openxmlformats.org/officeDocument/2006/relationships/hyperlink" Target="https://www.google.com/url?q=https://oj.uz/problem/view/IOI11_parrots&amp;sa=D&amp;ust=1605639815534000&amp;usg=AFQjCNHYyjrjqL2ESQUvNokVKVF2zDi9BA" TargetMode="External"/><Relationship Id="rId352" Type="http://schemas.openxmlformats.org/officeDocument/2006/relationships/hyperlink" Target="https://www.google.com/url?q=https://github.com/mostafa-saad/MyCompetitiveProgramming/blob/master/Olympiad/infoarena/infoarena-disconnect.txt&amp;sa=D&amp;ust=1605639815598000&amp;usg=AFQjCNG7qpM8m0Eln4aEas3NWzD8n9NeGg" TargetMode="External"/><Relationship Id="rId1287" Type="http://schemas.openxmlformats.org/officeDocument/2006/relationships/hyperlink" Target="https://www.google.com/url?q=https://www.infoarena.ro/problema/fibo4&amp;sa=D&amp;ust=1605639816307000&amp;usg=AFQjCNEriPRhyV88p39-Gmyu8YcGWKx6LA" TargetMode="External"/><Relationship Id="rId2033" Type="http://schemas.openxmlformats.org/officeDocument/2006/relationships/hyperlink" Target="https://www.google.com/url?q=https://oj.uz/problems/source/56&amp;sa=D&amp;ust=1605639816570000&amp;usg=AFQjCNFD1s5jiHHzBwcyRyV7dv3lDx0XhA" TargetMode="External"/><Relationship Id="rId2240" Type="http://schemas.openxmlformats.org/officeDocument/2006/relationships/hyperlink" Target="https://www.google.com/url?q=https://github.com/mostafa-saad/MyCompetitiveProgramming/blob/master/Olympiad/POI/official/find_editorial_sols_guidelines.txt&amp;sa=D&amp;ust=1605639816637000&amp;usg=AFQjCNHC1ga7SUVsnaM-cG9Hj_YcemDiww" TargetMode="External"/><Relationship Id="rId2685" Type="http://schemas.openxmlformats.org/officeDocument/2006/relationships/hyperlink" Target="https://www.google.com/url?q=https://dunjudge.me/analysis/problems/551/&amp;sa=D&amp;ust=1605639816761000&amp;usg=AFQjCNGY4HsZfKOJLlQvREvYjyqO1sdnZA" TargetMode="External"/><Relationship Id="rId2892" Type="http://schemas.openxmlformats.org/officeDocument/2006/relationships/hyperlink" Target="https://www.google.com/url?q=https://open.kattis.com/problem-sources/Baltic%2520Olympiad%2520in%2520Informatics%25202017%252C%2520Warmup&amp;sa=D&amp;ust=1605639816831000&amp;usg=AFQjCNEdOVLQmyAehACEoDQblKDoX4jT6A" TargetMode="External"/><Relationship Id="rId212" Type="http://schemas.openxmlformats.org/officeDocument/2006/relationships/hyperlink" Target="https://www.google.com/url?q=https://oj.uz/problem/view/JOI17_coach&amp;sa=D&amp;ust=1605639815553000&amp;usg=AFQjCNFmeTJ3-b_Se0q8tkeYEBRf2Qj3qQ" TargetMode="External"/><Relationship Id="rId657" Type="http://schemas.openxmlformats.org/officeDocument/2006/relationships/hyperlink" Target="https://www.google.com/url?q=https://szkopul.edu.pl/problemset/problem/2yK6zUTXvAjhxSDfbjE4Zx7k/site/&amp;sa=D&amp;ust=1605639815921000&amp;usg=AFQjCNG7RUUQlX282thuuc581pN2PlBzew" TargetMode="External"/><Relationship Id="rId864" Type="http://schemas.openxmlformats.org/officeDocument/2006/relationships/hyperlink" Target="https://www.google.com/url?q=https://github.com/mostafa-saad/MyCompetitiveProgramming/blob/master/Olympiad/JOI/JOI-19-Coin.txt&amp;sa=D&amp;ust=1605639816022000&amp;usg=AFQjCNHlM1d6UXrxbN4G0ZGjWl9cj5GUXQ" TargetMode="External"/><Relationship Id="rId1494" Type="http://schemas.openxmlformats.org/officeDocument/2006/relationships/hyperlink" Target="https://www.google.com/url?q=https://boi18-day1-open.kattis.com/problems&amp;sa=D&amp;ust=1605639816396000&amp;usg=AFQjCNFiWYe-eeA2NPb8G6QM2_uDgRmA2A" TargetMode="External"/><Relationship Id="rId1799" Type="http://schemas.openxmlformats.org/officeDocument/2006/relationships/hyperlink" Target="https://www.google.com/url?q=https://github.com/mostafa-saad/MyCompetitiveProgramming/blob/master/Olympiad/POI/official/find_editorial_sols_guidelines.txt&amp;sa=D&amp;ust=1605639816496000&amp;usg=AFQjCNGctO2RuLbeQb45fyLepD1vQn174g" TargetMode="External"/><Relationship Id="rId2100" Type="http://schemas.openxmlformats.org/officeDocument/2006/relationships/hyperlink" Target="https://www.google.com/url?q=https://szkopul.edu.pl/problemset/problem/1QaUWE_ePAmitZjgAszOVD1U/site/&amp;sa=D&amp;ust=1605639816596000&amp;usg=AFQjCNEjrLUd9TOu0BmVrIWhWwKm-GVgKA" TargetMode="External"/><Relationship Id="rId2338" Type="http://schemas.openxmlformats.org/officeDocument/2006/relationships/hyperlink" Target="https://www.google.com/url?q=https://github.com/mostafa-saad/MyCompetitiveProgramming/blob/master/Olympiad/COCI/COCI-18-karte.txt&amp;sa=D&amp;ust=1605639816661000&amp;usg=AFQjCNEtyssvRsHZChpmbssK38wqL0-A4A" TargetMode="External"/><Relationship Id="rId2545" Type="http://schemas.openxmlformats.org/officeDocument/2006/relationships/hyperlink" Target="https://www.google.com/url?q=https://github.com/mostafa-saad/MyCompetitiveProgramming/blob/master/Olympiad/COCI/official/2015/contest6_solutions&amp;sa=D&amp;ust=1605639816732000&amp;usg=AFQjCNHXWqMOoiYk-k7S4gIOZ7Y3HNjb6Q" TargetMode="External"/><Relationship Id="rId2752" Type="http://schemas.openxmlformats.org/officeDocument/2006/relationships/hyperlink" Target="https://www.google.com/url?q=https://dmoj.ca/problem/coci06c1p1&amp;sa=D&amp;ust=1605639816783000&amp;usg=AFQjCNGoQgKfCIt_Q52LoGWvSe1BpMW-1Q" TargetMode="External"/><Relationship Id="rId517" Type="http://schemas.openxmlformats.org/officeDocument/2006/relationships/hyperlink" Target="https://www.google.com/url?q=https://szkopul.edu.pl/problemset/problem/F_PC7j8VzjiPwlNqg9Jr_tFg/site/&amp;sa=D&amp;ust=1605639815686000&amp;usg=AFQjCNHsNLJBIHtE3DG_cpj_nZJgfYmoUw" TargetMode="External"/><Relationship Id="rId724" Type="http://schemas.openxmlformats.org/officeDocument/2006/relationships/hyperlink" Target="https://www.google.com/url?q=https://dmoj.ca/problem/coci14c7p6&amp;sa=D&amp;ust=1605639815972000&amp;usg=AFQjCNH5HyKCF-1D5vEXU99g9fWA-kvMMA" TargetMode="External"/><Relationship Id="rId931" Type="http://schemas.openxmlformats.org/officeDocument/2006/relationships/hyperlink" Target="https://www.google.com/url?q=http://usaco.org/index.php?page%3Dviewproblem2%26cpid%3D514&amp;sa=D&amp;ust=1605639816092000&amp;usg=AFQjCNGgcr56f-0w-I02Bi_Ik1OOqrsZ8Q" TargetMode="External"/><Relationship Id="rId1147" Type="http://schemas.openxmlformats.org/officeDocument/2006/relationships/hyperlink" Target="https://www.google.com/url?q=https://github.com/mostafa-saad/MyCompetitiveProgramming/blob/master/Olympiad/Baltic/Baltic-19-olympiads.txt&amp;sa=D&amp;ust=1605639816211000&amp;usg=AFQjCNGfOJpiHKVWUQjQe1zSkc8iUidscg" TargetMode="External"/><Relationship Id="rId1354" Type="http://schemas.openxmlformats.org/officeDocument/2006/relationships/hyperlink" Target="https://www.google.com/url?q=https://www.infoarena.ro/problema/minuni&amp;sa=D&amp;ust=1605639816331000&amp;usg=AFQjCNFM3KER86C4Tn5iVkJfeV1r-fgoDA" TargetMode="External"/><Relationship Id="rId1561" Type="http://schemas.openxmlformats.org/officeDocument/2006/relationships/hyperlink" Target="https://www.google.com/url?q=https://www.infoarena.ro/problema/regat&amp;sa=D&amp;ust=1605639816419000&amp;usg=AFQjCNGIjtHzsKmtpEJZBDYKh602VViPAw" TargetMode="External"/><Relationship Id="rId2405" Type="http://schemas.openxmlformats.org/officeDocument/2006/relationships/hyperlink" Target="https://www.google.com/url?q=https://codeforces.com/group/swEqtABRxe/contest/243431/problem/B&amp;sa=D&amp;ust=1605639816685000&amp;usg=AFQjCNGAsjCqwulA-KFmYwGOAZtJnK86ZA" TargetMode="External"/><Relationship Id="rId2612" Type="http://schemas.openxmlformats.org/officeDocument/2006/relationships/hyperlink" Target="https://www.google.com/url?q=https://github.com/mostafa-saad/MyCompetitiveProgramming/tree/master/Olympiad/COCI/official/2008/contest3_solutions&amp;sa=D&amp;ust=1605639816745000&amp;usg=AFQjCNHic11hsdqkqkFj2RoZuR1id-gFig" TargetMode="External"/><Relationship Id="rId60" Type="http://schemas.openxmlformats.org/officeDocument/2006/relationships/hyperlink" Target="https://www.google.com/url?q=https://github.com/tmwilliamlin168/CompetitiveProgramming/blob/master/JOI/18SC-Asceticism.cpp&amp;sa=D&amp;ust=1605639815508000&amp;usg=AFQjCNE4l3zCtcGUOv5WrY9Grrn0U1o05A" TargetMode="External"/><Relationship Id="rId1007" Type="http://schemas.openxmlformats.org/officeDocument/2006/relationships/hyperlink" Target="https://www.google.com/url?q=https://oj.uz/problems/source/307&amp;sa=D&amp;ust=1605639816116000&amp;usg=AFQjCNHao78sK98nSKLJQpExz5TO0KrT_Q" TargetMode="External"/><Relationship Id="rId1214" Type="http://schemas.openxmlformats.org/officeDocument/2006/relationships/hyperlink" Target="https://www.google.com/url?q=https://www.infoarena.ro/problema/jap2&amp;sa=D&amp;ust=1605639816279000&amp;usg=AFQjCNHoiQxCNhSHTWDREd4yt7bawMiIuA" TargetMode="External"/><Relationship Id="rId1421" Type="http://schemas.openxmlformats.org/officeDocument/2006/relationships/hyperlink" Target="https://www.google.com/url?q=https://oj.uz/problem/view/JOI17_broken_device&amp;sa=D&amp;ust=1605639816368000&amp;usg=AFQjCNHviQ7689QBwW1bugavtEh1SYgkCQ" TargetMode="External"/><Relationship Id="rId1659" Type="http://schemas.openxmlformats.org/officeDocument/2006/relationships/hyperlink" Target="https://www.google.com/url?q=https://oj.uz/problems/source/113&amp;sa=D&amp;ust=1605639816447000&amp;usg=AFQjCNEAusrm7X2_tYuoxpv095oQ4d8DyQ" TargetMode="External"/><Relationship Id="rId1866" Type="http://schemas.openxmlformats.org/officeDocument/2006/relationships/hyperlink" Target="https://www.google.com/url?q=https://github.com/mostafa-saad/MyCompetitiveProgramming/blob/master/Olympiad/CEOI/COCI-06-Kamen.txt&amp;sa=D&amp;ust=1605639816519000&amp;usg=AFQjCNHURpRcL41uEOWdAug2qo7D_dYQ3Q" TargetMode="External"/><Relationship Id="rId2917" Type="http://schemas.openxmlformats.org/officeDocument/2006/relationships/hyperlink" Target="https://www.google.com/url?q=https://oj.uz/problem/view/innopolis2018_final_C&amp;sa=D&amp;ust=1605639816848000&amp;usg=AFQjCNHOIl_BqOMwzyMxvTmCtaEOLc1yQQ" TargetMode="External"/><Relationship Id="rId1519" Type="http://schemas.openxmlformats.org/officeDocument/2006/relationships/hyperlink" Target="https://www.google.com/url?q=https://cses.fi/187/list/&amp;sa=D&amp;ust=1605639816406000&amp;usg=AFQjCNGajw4zD0uWU36OYTlz6nLeCUuN9w" TargetMode="External"/><Relationship Id="rId1726" Type="http://schemas.openxmlformats.org/officeDocument/2006/relationships/hyperlink" Target="https://www.google.com/url?q=http://www.usaco.org/index.php?page%3Dviewproblem2%26cpid%3D645&amp;sa=D&amp;ust=1605639816468000&amp;usg=AFQjCNEeTj5R84uASpp7KLcw0ozPRdpo7Q" TargetMode="External"/><Relationship Id="rId1933" Type="http://schemas.openxmlformats.org/officeDocument/2006/relationships/hyperlink" Target="https://www.google.com/url?q=https://www.infoarena.ro/problema/borcane&amp;sa=D&amp;ust=1605639816539000&amp;usg=AFQjCNHUae91bAusL5Yo5xwgCLlShGEklA" TargetMode="External"/><Relationship Id="rId18" Type="http://schemas.openxmlformats.org/officeDocument/2006/relationships/hyperlink" Target="https://www.google.com/url?q=https://oj.uz/problem/view/IOI18_meetings&amp;sa=D&amp;ust=1605639815491000&amp;usg=AFQjCNHK1fGKHH5tawwZR0GCtmBgWuaOoQ" TargetMode="External"/><Relationship Id="rId2195" Type="http://schemas.openxmlformats.org/officeDocument/2006/relationships/hyperlink" Target="https://www.google.com/url?q=https://oj.uz/problem/view/COCI17_hokej&amp;sa=D&amp;ust=1605639816626000&amp;usg=AFQjCNEOop6lSbCTJaAD5nRyZHtEfEBWaQ" TargetMode="External"/><Relationship Id="rId167" Type="http://schemas.openxmlformats.org/officeDocument/2006/relationships/hyperlink" Target="https://www.google.com/url?q=https://dmoj.ca/contest/cco18d2&amp;sa=D&amp;ust=1605639815540000&amp;usg=AFQjCNHaEeKY3bQNEc5AYNluCqSj_cPGxw" TargetMode="External"/><Relationship Id="rId374" Type="http://schemas.openxmlformats.org/officeDocument/2006/relationships/hyperlink" Target="https://www.google.com/url?q=https://github.com/mostafa-saad/MyCompetitiveProgramming/blob/master/Olympiad/POI/POI-16-Arkanoid.txt&amp;sa=D&amp;ust=1605639815607000&amp;usg=AFQjCNGfny9Xf2uqizTBap1jq10cnzwLEA" TargetMode="External"/><Relationship Id="rId581" Type="http://schemas.openxmlformats.org/officeDocument/2006/relationships/hyperlink" Target="https://www.google.com/url?q=https://github.com/mostafa-saad/MyCompetitiveProgramming/blob/master/Olympiad/Info1Cup/Info1Cup_18-Hidden.txt&amp;sa=D&amp;ust=1605639815893000&amp;usg=AFQjCNHvOtTk9SEagf8S0-j4rx_pxWD56w" TargetMode="External"/><Relationship Id="rId2055" Type="http://schemas.openxmlformats.org/officeDocument/2006/relationships/hyperlink" Target="https://www.google.com/url?q=https://github.com/ZeyadKhattab/Competitive-Programming/blob/master/Problems/COCI%252019-kocka.java&amp;sa=D&amp;ust=1605639816579000&amp;usg=AFQjCNEGQ_xcMhTXLSVb-VlA2Bl71v9ePQ" TargetMode="External"/><Relationship Id="rId2262" Type="http://schemas.openxmlformats.org/officeDocument/2006/relationships/hyperlink" Target="https://www.google.com/url?q=https://github.com/mostafa-saad/MyCompetitiveProgramming/blob/master/Olympiad/CEOI/CEOI%252010-pin.cpp&amp;sa=D&amp;ust=1605639816642000&amp;usg=AFQjCNE8rpjJuFmoJmgrSfUJJhXlblynaQ" TargetMode="External"/><Relationship Id="rId234" Type="http://schemas.openxmlformats.org/officeDocument/2006/relationships/hyperlink" Target="https://www.google.com/url?q=https://oj.uz/problem/view/IOI18_seats&amp;sa=D&amp;ust=1605639815558000&amp;usg=AFQjCNF5KvJ8JfveveQSBCusRuSMufU7Fw" TargetMode="External"/><Relationship Id="rId679" Type="http://schemas.openxmlformats.org/officeDocument/2006/relationships/hyperlink" Target="https://www.google.com/url?q=https://oj.uz/problem/view/COI15_ruka&amp;sa=D&amp;ust=1605639815927000&amp;usg=AFQjCNH5Pw-87HOdo5WiuLe8XRO5Jp2gBA" TargetMode="External"/><Relationship Id="rId886" Type="http://schemas.openxmlformats.org/officeDocument/2006/relationships/hyperlink" Target="https://www.google.com/url?q=https://oj.uz/problem/view/COI18_pick&amp;sa=D&amp;ust=1605639816077000&amp;usg=AFQjCNFgYhfcb_KT0h9uOAqJ-DPTs9JkSw" TargetMode="External"/><Relationship Id="rId2567" Type="http://schemas.openxmlformats.org/officeDocument/2006/relationships/hyperlink" Target="https://www.google.com/url?q=https://github.com/mostafa-saad/MyCompetitiveProgramming/tree/master/Olympiad/COCI/official/2007/contest6_solutions&amp;sa=D&amp;ust=1605639816735000&amp;usg=AFQjCNGya5fQFpHUxvCLrvONaa0s-g6iCw" TargetMode="External"/><Relationship Id="rId2774" Type="http://schemas.openxmlformats.org/officeDocument/2006/relationships/hyperlink" Target="https://www.google.com/url?q=https://github.com/mostafa-saad/MyCompetitiveProgramming/blob/master/Olympiad/COCI/official/2014/contest1_solutions&amp;sa=D&amp;ust=1605639816792000&amp;usg=AFQjCNHHg817-Q_nCZ57xb1Yq3l_PMpI3Q" TargetMode="External"/><Relationship Id="rId2" Type="http://schemas.openxmlformats.org/officeDocument/2006/relationships/hyperlink" Target="https://www.google.com/url?q=https://www.hackerrank.com/contests/boi-2016/challenges&amp;sa=D&amp;ust=1605639815485000&amp;usg=AFQjCNGDPhTHFz_bXKKlBWCs9a7DMtOUYg" TargetMode="External"/><Relationship Id="rId441" Type="http://schemas.openxmlformats.org/officeDocument/2006/relationships/hyperlink" Target="https://www.google.com/url?q=https://github.com/mostafa-saad/MyCompetitiveProgramming/blob/master/Olympiad/CEOI/CEOI-06-Walk.txt&amp;sa=D&amp;ust=1605639815633000&amp;usg=AFQjCNGhzsKZL9_gvThWnTE46aE4gn-Vpg" TargetMode="External"/><Relationship Id="rId539" Type="http://schemas.openxmlformats.org/officeDocument/2006/relationships/hyperlink" Target="https://www.google.com/url?q=https://codeforces.com/blog/entry/66506&amp;sa=D&amp;ust=1605639815839000&amp;usg=AFQjCNGP5TfX1Bu17JOAWBSvpeN8rdOKhA" TargetMode="External"/><Relationship Id="rId746" Type="http://schemas.openxmlformats.org/officeDocument/2006/relationships/hyperlink" Target="https://www.google.com/url?q=https://contest.yandex.ru/ioi/contest/566/enter/&amp;sa=D&amp;ust=1605639815978000&amp;usg=AFQjCNFofIP0pfCDCmsxa4neAlOBebQXCQ" TargetMode="External"/><Relationship Id="rId1071" Type="http://schemas.openxmlformats.org/officeDocument/2006/relationships/hyperlink" Target="https://www.google.com/url?q=https://oj.uz/problem/view/IOI14_friend&amp;sa=D&amp;ust=1605639816187000&amp;usg=AFQjCNHlUgruhgQxd1dwND44awgXCk8nEA" TargetMode="External"/><Relationship Id="rId1169" Type="http://schemas.openxmlformats.org/officeDocument/2006/relationships/hyperlink" Target="https://www.google.com/url?q=https://joisc2013-day4.contest.atcoder.jp/tasks/joisc2013_messenger&amp;sa=D&amp;ust=1605639816217000&amp;usg=AFQjCNG5djOztOpWUAlUrxVUZCyygiCU3g" TargetMode="External"/><Relationship Id="rId1376" Type="http://schemas.openxmlformats.org/officeDocument/2006/relationships/hyperlink" Target="https://www.google.com/url?q=https://github.com/mostafa-saad/MyCompetitiveProgramming/blob/master/Olympiad/POI/POI-07-Flood.txt&amp;sa=D&amp;ust=1605639816337000&amp;usg=AFQjCNHucjn5i_Do2sgMEG7sddnZi9foPA" TargetMode="External"/><Relationship Id="rId1583" Type="http://schemas.openxmlformats.org/officeDocument/2006/relationships/hyperlink" Target="https://www.google.com/url?q=https://github.com/mostafa-saad/MyCompetitiveProgramming/blob/master/Olympiad/CEOI/CEOI-03-Hanoi.txt&amp;sa=D&amp;ust=1605639816426000&amp;usg=AFQjCNHNNAiNZcvq0QtfyK-rogyp3NwoiQ" TargetMode="External"/><Relationship Id="rId2122" Type="http://schemas.openxmlformats.org/officeDocument/2006/relationships/hyperlink" Target="https://www.google.com/url?q=https://dunjudge.me/analysis/problems/13/&amp;sa=D&amp;ust=1605639816601000&amp;usg=AFQjCNGobnNXpa2u1qP-qZUTCTWFSbeQcg" TargetMode="External"/><Relationship Id="rId2427" Type="http://schemas.openxmlformats.org/officeDocument/2006/relationships/hyperlink" Target="https://www.google.com/url?q=https://www.infoarena.ro/problema/kcover&amp;sa=D&amp;ust=1605639816694000&amp;usg=AFQjCNEi1VIUAn0wPmzS7t6RKygtXJfpkw" TargetMode="External"/><Relationship Id="rId2981" Type="http://schemas.openxmlformats.org/officeDocument/2006/relationships/hyperlink" Target="https://www.google.com/url?q=https://szkopul.edu.pl/problemset/problem/GmAagCBetbskP0qiKlgVd-6A/site/&amp;sa=D&amp;ust=1605639816895000&amp;usg=AFQjCNFHAxF0TojDp7mtzf1IdglBNKOjLw" TargetMode="External"/><Relationship Id="rId301" Type="http://schemas.openxmlformats.org/officeDocument/2006/relationships/hyperlink" Target="https://www.google.com/url?q=https://github.com/mostafa-saad/MyCompetitiveProgramming/blob/master/Olympiad/IOI/IOI-17-wiring.txt&amp;sa=D&amp;ust=1605639815579000&amp;usg=AFQjCNFSIk5RVGPEHayTi6xoYLbKThHrbg" TargetMode="External"/><Relationship Id="rId953" Type="http://schemas.openxmlformats.org/officeDocument/2006/relationships/hyperlink" Target="https://www.google.com/url?q=https://github.com/mostafa-saad/MyCompetitiveProgramming/blob/master/Olympiad/JOI/JOIOC-17-amusementPark.txt&amp;sa=D&amp;ust=1605639816099000&amp;usg=AFQjCNGt_iDfizbcTimaMBGzf__3om218w" TargetMode="External"/><Relationship Id="rId1029" Type="http://schemas.openxmlformats.org/officeDocument/2006/relationships/hyperlink" Target="https://www.google.com/url?q=https://szkopul.edu.pl/problemset/problem/lo_jOsVfQ4ajCSHxFGZS27W-/site/?key%3Dstatement&amp;sa=D&amp;ust=1605639816171000&amp;usg=AFQjCNFK2H97Dj1Z4AiJu-NCkiUFUFEMRQ" TargetMode="External"/><Relationship Id="rId1236" Type="http://schemas.openxmlformats.org/officeDocument/2006/relationships/hyperlink" Target="https://www.google.com/url?q=https://dmoj.ca/problem/utso15p3&amp;sa=D&amp;ust=1605639816289000&amp;usg=AFQjCNFT_95TlWKi4WtWRzTb8VFcDmc2wg" TargetMode="External"/><Relationship Id="rId1790" Type="http://schemas.openxmlformats.org/officeDocument/2006/relationships/hyperlink" Target="https://www.google.com/url?q=https://joisc2013-day2.contest.atcoder.jp/tasks/joisc2013_mascots&amp;sa=D&amp;ust=1605639816493000&amp;usg=AFQjCNFlUKoB0hAksMENTXXh3TdTmhgopA" TargetMode="External"/><Relationship Id="rId1888" Type="http://schemas.openxmlformats.org/officeDocument/2006/relationships/hyperlink" Target="https://www.google.com/url?q=https://contest.yandex.ru/ioi/contest/570/problems/C/&amp;sa=D&amp;ust=1605639816526000&amp;usg=AFQjCNFkmsjzDbtRWUvj05HQ4HTDqxfzJw" TargetMode="External"/><Relationship Id="rId2634" Type="http://schemas.openxmlformats.org/officeDocument/2006/relationships/hyperlink" Target="https://www.google.com/url?q=https://github.com/mostafa-saad/MyCompetitiveProgramming/tree/master/Olympiad/COCI/official/2007/contest4_solutions&amp;sa=D&amp;ust=1605639816750000&amp;usg=AFQjCNH8MIx7K8ujRew9yImcSCsoDO4ZYg" TargetMode="External"/><Relationship Id="rId2841" Type="http://schemas.openxmlformats.org/officeDocument/2006/relationships/hyperlink" Target="https://www.google.com/url?q=https://github.com/mostafa-saad/MyCompetitiveProgramming/tree/master/Olympiad/COCI/official/2008/contest5_solutions&amp;sa=D&amp;ust=1605639816813000&amp;usg=AFQjCNHeiLuo-empQGtvbnEFAHj-cIasGQ" TargetMode="External"/><Relationship Id="rId2939" Type="http://schemas.openxmlformats.org/officeDocument/2006/relationships/hyperlink" Target="https://www.google.com/url?q=https://dunjudge.me/analysis/problems/86/&amp;sa=D&amp;ust=1605639816873000&amp;usg=AFQjCNHXCJPJkcpJUJVVAjPFtQ3lWoRN9w" TargetMode="External"/><Relationship Id="rId82" Type="http://schemas.openxmlformats.org/officeDocument/2006/relationships/hyperlink" Target="https://www.google.com/url?q=https://dunjudge.me/analysis/problems/559/&amp;sa=D&amp;ust=1605639815515000&amp;usg=AFQjCNEBOGUYGGGef9DA-N_qgPH8ln02ww" TargetMode="External"/><Relationship Id="rId606" Type="http://schemas.openxmlformats.org/officeDocument/2006/relationships/hyperlink" Target="https://www.google.com/url?q=https://www.infoarena.ro/problema/shgraf&amp;sa=D&amp;ust=1605639815902000&amp;usg=AFQjCNGu93ZO-a6DDj51_zjFd43OD7Ta4A" TargetMode="External"/><Relationship Id="rId813" Type="http://schemas.openxmlformats.org/officeDocument/2006/relationships/hyperlink" Target="https://www.google.com/url?q=https://github.com/mostafa-saad/MyCompetitiveProgramming/blob/master/Olympiad/infoarena/infoarena_maxdist.txt&amp;sa=D&amp;ust=1605639816004000&amp;usg=AFQjCNGek57r7EtWcEaNRWQhpPqRJuL6lg" TargetMode="External"/><Relationship Id="rId1443" Type="http://schemas.openxmlformats.org/officeDocument/2006/relationships/hyperlink" Target="https://www.google.com/url?q=https://github.com/mostafa-saad/MyCompetitiveProgramming/blob/master/Olympiad/IOI/official/2009&amp;sa=D&amp;ust=1605639816376000&amp;usg=AFQjCNHG-zsQuhS8SFQX3n5NZq_wLEBcng" TargetMode="External"/><Relationship Id="rId1650" Type="http://schemas.openxmlformats.org/officeDocument/2006/relationships/hyperlink" Target="https://www.google.com/url?q=https://github.com/stefdasca/CompetitiveProgramming/blob/master/Infoarena/peri.cpp&amp;sa=D&amp;ust=1605639816445000&amp;usg=AFQjCNE6jwLvE-8aZcsvmMSOsG3NF8XRig" TargetMode="External"/><Relationship Id="rId1748" Type="http://schemas.openxmlformats.org/officeDocument/2006/relationships/hyperlink" Target="https://www.google.com/url?q=https://github.com/tmwilliamlin168/CompetitiveProgramming/blob/master/IOI/19P-Transfer.cpp&amp;sa=D&amp;ust=1605639816476000&amp;usg=AFQjCNFF2fcPlqkwiuIV9uS0d2xoVUGFRw" TargetMode="External"/><Relationship Id="rId2701" Type="http://schemas.openxmlformats.org/officeDocument/2006/relationships/hyperlink" Target="https://www.google.com/url?q=https://dmoj.ca/problem/nccc6s1&amp;sa=D&amp;ust=1605639816767000&amp;usg=AFQjCNGGAHBd01HKN3dhTxaCle1yAABvhw" TargetMode="External"/><Relationship Id="rId1303" Type="http://schemas.openxmlformats.org/officeDocument/2006/relationships/hyperlink" Target="https://www.google.com/url?q=http://www.usaco.org/index.php?page%3Dviewproblem2%26cpid%3D994&amp;sa=D&amp;ust=1605639816312000&amp;usg=AFQjCNFGPLjSFH3jZASrbjjxfpqgsMeqhg" TargetMode="External"/><Relationship Id="rId1510" Type="http://schemas.openxmlformats.org/officeDocument/2006/relationships/hyperlink" Target="https://www.google.com/url?q=https://szkopul.edu.pl/problemset/problem/1ACC1pIG2nDGZefi1v5BVSmw/site/?key%3Dstatement&amp;sa=D&amp;ust=1605639816403000&amp;usg=AFQjCNGcxHaCczYMLn6Sp6Wu0wWHSVHsBQ" TargetMode="External"/><Relationship Id="rId1955" Type="http://schemas.openxmlformats.org/officeDocument/2006/relationships/hyperlink" Target="https://www.google.com/url?q=https://github.com/mostafa-saad/MyCompetitiveProgramming/blob/master/Olympiad/POI/POI-16-Hedge.txt&amp;sa=D&amp;ust=1605639816546000&amp;usg=AFQjCNEEDyps-_emd6afXAILFrY72XfE0A" TargetMode="External"/><Relationship Id="rId1608" Type="http://schemas.openxmlformats.org/officeDocument/2006/relationships/hyperlink" Target="https://www.google.com/url?q=https://github.com/mostafa-saad/MyCompetitiveProgramming/blob/master/Olympiad/JOI/JOIOC-18-Xylophone.txt&amp;sa=D&amp;ust=1605639816434000&amp;usg=AFQjCNF3VuVye98wyCDJrnW1G6HXFNWYeQ" TargetMode="External"/><Relationship Id="rId1815" Type="http://schemas.openxmlformats.org/officeDocument/2006/relationships/hyperlink" Target="https://www.google.com/url?q=https://github.com/win11905/submission/tree/master/TOKI/17/magic&amp;sa=D&amp;ust=1605639816503000&amp;usg=AFQjCNHQEGCaCRu8cdsiQ9j_nMvMvav4mg" TargetMode="External"/><Relationship Id="rId189" Type="http://schemas.openxmlformats.org/officeDocument/2006/relationships/hyperlink" Target="https://www.google.com/url?q=https://oj.uz/problem/view/IZhO19_xorsum&amp;sa=D&amp;ust=1605639815547000&amp;usg=AFQjCNGRx6MS_IXHUayq9RqheqcvlWDQpg" TargetMode="External"/><Relationship Id="rId396" Type="http://schemas.openxmlformats.org/officeDocument/2006/relationships/hyperlink" Target="https://www.google.com/url?q=https://oj.uz/problem/view/JOI18_fences&amp;sa=D&amp;ust=1605639815615000&amp;usg=AFQjCNF6uZcC72xh-W58zgdmTYCwYkSBwA" TargetMode="External"/><Relationship Id="rId2077" Type="http://schemas.openxmlformats.org/officeDocument/2006/relationships/hyperlink" Target="https://www.google.com/url?q=https://oj.uz/problem/view/JOI19_ho_t2&amp;sa=D&amp;ust=1605639816588000&amp;usg=AFQjCNEzAqas8UQQc9AS5Y9_xolOSTJucA" TargetMode="External"/><Relationship Id="rId2284" Type="http://schemas.openxmlformats.org/officeDocument/2006/relationships/hyperlink" Target="https://www.google.com/url?q=https://github.com/mostafa-saad/MyCompetitiveProgramming/blob/master/Olympiad/Baltic/Baltic-16-bosses.txt&amp;sa=D&amp;ust=1605639816648000&amp;usg=AFQjCNFExO904qw2LxmRqefaU82-RJN_ag" TargetMode="External"/><Relationship Id="rId2491" Type="http://schemas.openxmlformats.org/officeDocument/2006/relationships/hyperlink" Target="https://www.google.com/url?q=https://oj.uz/problem/view/COCI18_zamjena&amp;sa=D&amp;ust=1605639816716000&amp;usg=AFQjCNGLSc1WvC1HXTeD8y05HeXcjc3d0w" TargetMode="External"/><Relationship Id="rId256" Type="http://schemas.openxmlformats.org/officeDocument/2006/relationships/hyperlink" Target="https://www.google.com/url?q=https://dmoj.ca/problem/coci08c1p6&amp;sa=D&amp;ust=1605639815564000&amp;usg=AFQjCNG168GARfxLNfhos2TMZJT4_ZtdJA" TargetMode="External"/><Relationship Id="rId463" Type="http://schemas.openxmlformats.org/officeDocument/2006/relationships/hyperlink" Target="https://www.google.com/url?q=https://cses.fi/186/list/&amp;sa=D&amp;ust=1605639815671000&amp;usg=AFQjCNGKOn18mH06FJgKPXh76mvrLdw6wA" TargetMode="External"/><Relationship Id="rId670" Type="http://schemas.openxmlformats.org/officeDocument/2006/relationships/hyperlink" Target="https://www.google.com/url?q=https://dmoj.ca/problem/coi06p3&amp;sa=D&amp;ust=1605639815924000&amp;usg=AFQjCNFWArjpBkvymOsdxv17l86sD8F8UQ" TargetMode="External"/><Relationship Id="rId1093" Type="http://schemas.openxmlformats.org/officeDocument/2006/relationships/hyperlink" Target="https://www.google.com/url?q=http://usaco.org/index.php?page%3Dviewproblem2%26cpid%3D925&amp;sa=D&amp;ust=1605639816194000&amp;usg=AFQjCNGbJOF7F5Hq1UDcSPFXNnU0s04vyw" TargetMode="External"/><Relationship Id="rId2144" Type="http://schemas.openxmlformats.org/officeDocument/2006/relationships/hyperlink" Target="https://www.google.com/url?q=https://szkopul.edu.pl/problemset/problem/xmyBMI5AsEiW30_RyePNSXiG/site/&amp;sa=D&amp;ust=1605639816608000&amp;usg=AFQjCNEjE8cgXik10CtWIUNgof44H2z-_g" TargetMode="External"/><Relationship Id="rId2351" Type="http://schemas.openxmlformats.org/officeDocument/2006/relationships/hyperlink" Target="https://www.google.com/url?q=https://oj.uz/problem/view/COCI17_uzastopni&amp;sa=D&amp;ust=1605639816665000&amp;usg=AFQjCNGJj3_GmFXrqBFtngziAcmJFCVaLw" TargetMode="External"/><Relationship Id="rId2589" Type="http://schemas.openxmlformats.org/officeDocument/2006/relationships/hyperlink" Target="https://www.google.com/url?q=https://github.com/mostafa-saad/MyCompetitiveProgramming/tree/master/Olympiad/MCO/official&amp;sa=D&amp;ust=1605639816741000&amp;usg=AFQjCNHsunDUBr6IO0L9gFwlcezMVhzmqw" TargetMode="External"/><Relationship Id="rId2796" Type="http://schemas.openxmlformats.org/officeDocument/2006/relationships/hyperlink" Target="https://www.google.com/url?q=https://dmoj.ca/problem/coci08c4p1&amp;sa=D&amp;ust=1605639816801000&amp;usg=AFQjCNEKoqwhj3F52y8iW9hbivbFzzEVkw" TargetMode="External"/><Relationship Id="rId116" Type="http://schemas.openxmlformats.org/officeDocument/2006/relationships/hyperlink" Target="https://www.google.com/url?q=https://github.com/mostafa-saad/MyCompetitiveProgramming/blob/master/Olympiad/COCI/official/2015/contest5_solutions&amp;sa=D&amp;ust=1605639815526000&amp;usg=AFQjCNHdaljyTIMuurHT4mAoSQ-di8Dn6A" TargetMode="External"/><Relationship Id="rId323" Type="http://schemas.openxmlformats.org/officeDocument/2006/relationships/hyperlink" Target="https://www.google.com/url?q=https://tioj.ck.tp.edu.tw/problems/1748&amp;sa=D&amp;ust=1605639815588000&amp;usg=AFQjCNFKHHA2ARVfo3mCSM2zfQc4rE4IKA" TargetMode="External"/><Relationship Id="rId530" Type="http://schemas.openxmlformats.org/officeDocument/2006/relationships/hyperlink" Target="https://www.google.com/url?q=https://wcipeg.com/problem/coi08p1&amp;sa=D&amp;ust=1605639815836000&amp;usg=AFQjCNHv2_msN-fgOtheApQK0ftI-qKScA" TargetMode="External"/><Relationship Id="rId768" Type="http://schemas.openxmlformats.org/officeDocument/2006/relationships/hyperlink" Target="https://www.google.com/url?q=https://github.com/SpeedOfMagic/CompetitiveProgramming/blob/master/JOIOC/14-pinball.cpp&amp;sa=D&amp;ust=1605639815987000&amp;usg=AFQjCNFYzQdcD9155zci-U58SdUeaEQOiA" TargetMode="External"/><Relationship Id="rId975" Type="http://schemas.openxmlformats.org/officeDocument/2006/relationships/hyperlink" Target="https://www.google.com/url?q=https://dmoj.ca/problem/coci15c4p5&amp;sa=D&amp;ust=1605639816107000&amp;usg=AFQjCNHRDboWiHkdF9Pn2GPn6wd8R-eaEw" TargetMode="External"/><Relationship Id="rId1160" Type="http://schemas.openxmlformats.org/officeDocument/2006/relationships/hyperlink" Target="https://www.google.com/url?q=https://github.com/mostafa-saad/MyCompetitiveProgramming/blob/master/Olympiad/IOI/official/2008&amp;sa=D&amp;ust=1605639816215000&amp;usg=AFQjCNGrxM6EK7r0ZB_gn219dMDV8wbGTw" TargetMode="External"/><Relationship Id="rId1398" Type="http://schemas.openxmlformats.org/officeDocument/2006/relationships/hyperlink" Target="https://www.google.com/url?q=http://www.usaco.org/index.php?page%3Dviewproblem2%26cpid%3D973&amp;sa=D&amp;ust=1605639816345000&amp;usg=AFQjCNH_UIt9pLcOB6hqmL_vNWc24Jc-rg" TargetMode="External"/><Relationship Id="rId2004" Type="http://schemas.openxmlformats.org/officeDocument/2006/relationships/hyperlink" Target="https://www.google.com/url?q=https://github.com/mostafa-saad/MyCompetitiveProgramming/blob/master/Olympiad/IOI/official/2000&amp;sa=D&amp;ust=1605639816561000&amp;usg=AFQjCNHtpMfEf3JufkqkF49hCfJUFqls8A" TargetMode="External"/><Relationship Id="rId2211" Type="http://schemas.openxmlformats.org/officeDocument/2006/relationships/hyperlink" Target="https://www.google.com/url?q=https://github.com/mostafa-saad/MyCompetitiveProgramming/blob/master/Olympiad/Baltic/BalticWarmup-17-Toast.txt&amp;sa=D&amp;ust=1605639816629000&amp;usg=AFQjCNH7DQTK3cUARJE0TmutG6o5YxQaXw" TargetMode="External"/><Relationship Id="rId2449" Type="http://schemas.openxmlformats.org/officeDocument/2006/relationships/hyperlink" Target="https://www.google.com/url?q=https://dunjudge.me/analysis/problems/724/&amp;sa=D&amp;ust=1605639816702000&amp;usg=AFQjCNE0bUbz-Gt_iryspk8RzCZbzt2l2g" TargetMode="External"/><Relationship Id="rId2656" Type="http://schemas.openxmlformats.org/officeDocument/2006/relationships/hyperlink" Target="https://www.google.com/url?q=https://github.com/mostafa-saad/MyCompetitiveProgramming/tree/master/Olympiad/MCO/official/2015&amp;sa=D&amp;ust=1605639816755000&amp;usg=AFQjCNEQ211OmaH3EsZwAbPLCUNlNcwzhw" TargetMode="External"/><Relationship Id="rId2863" Type="http://schemas.openxmlformats.org/officeDocument/2006/relationships/hyperlink" Target="https://www.google.com/url?q=https://dunjudge.me/analysis/problems/681/&amp;sa=D&amp;ust=1605639816821000&amp;usg=AFQjCNHwEPHcAouBbC8D9Yvo6lZ-co2-iQ" TargetMode="External"/><Relationship Id="rId628" Type="http://schemas.openxmlformats.org/officeDocument/2006/relationships/hyperlink" Target="https://www.google.com/url?q=https://oj.uz/problem/view/IOI15_scales&amp;sa=D&amp;ust=1605639815910000&amp;usg=AFQjCNGj16AnD6sBttGTGCwOmISEU2P3kA" TargetMode="External"/><Relationship Id="rId835" Type="http://schemas.openxmlformats.org/officeDocument/2006/relationships/hyperlink" Target="https://www.google.com/url?q=https://wcipeg.com/problem/coi09p2&amp;sa=D&amp;ust=1605639816011000&amp;usg=AFQjCNHAaCVxBJKutijaWZmJ9uhhCNQ1CQ" TargetMode="External"/><Relationship Id="rId1258" Type="http://schemas.openxmlformats.org/officeDocument/2006/relationships/hyperlink" Target="https://www.google.com/url?q=https://github.com/mostafa-saad/MyCompetitiveProgramming/blob/master/Olympiad/CEOI/CEOI-08-Knights.txt&amp;sa=D&amp;ust=1605639816297000&amp;usg=AFQjCNGTbaQPmg3PqzIaupfWTIP0DjZbSQ" TargetMode="External"/><Relationship Id="rId1465" Type="http://schemas.openxmlformats.org/officeDocument/2006/relationships/hyperlink" Target="https://www.google.com/url?q=https://szkopul.edu.pl/problemset/problem/i5L29vV7ud8D_VU-PXyaA_2L/site/&amp;sa=D&amp;ust=1605639816385000&amp;usg=AFQjCNHVyBFehaKDqhj6xCXME3hCZXTXCA" TargetMode="External"/><Relationship Id="rId1672" Type="http://schemas.openxmlformats.org/officeDocument/2006/relationships/hyperlink" Target="https://www.google.com/url?q=https://dmoj.ca/problem/coci07c2p5&amp;sa=D&amp;ust=1605639816451000&amp;usg=AFQjCNHtJqlnUlWrkuYN61NKejMTTFbEkA" TargetMode="External"/><Relationship Id="rId2309" Type="http://schemas.openxmlformats.org/officeDocument/2006/relationships/hyperlink" Target="https://www.google.com/url?q=https://github.com/mostafa-saad/MyCompetitiveProgramming/blob/master/Olympiad/Baltic/official/boi2005_solutions&amp;sa=D&amp;ust=1605639816654000&amp;usg=AFQjCNEwIaPu60FZoP0iYKB27zLNgJbXxA" TargetMode="External"/><Relationship Id="rId2516" Type="http://schemas.openxmlformats.org/officeDocument/2006/relationships/hyperlink" Target="https://www.google.com/url?q=https://github.com/mostafa-saad/MyCompetitiveProgramming/tree/master/Olympiad/COCI/official/2007/regional_solutions&amp;sa=D&amp;ust=1605639816724000&amp;usg=AFQjCNFiO-NmUZ0C66bM-IfiguSbdpwYDw" TargetMode="External"/><Relationship Id="rId2723" Type="http://schemas.openxmlformats.org/officeDocument/2006/relationships/hyperlink" Target="https://www.google.com/url?q=https://oj.uz/problem/view/COCI17_tuna&amp;sa=D&amp;ust=1605639816775000&amp;usg=AFQjCNHeYdU406GLwMgry8X8fGRxatFGaw" TargetMode="External"/><Relationship Id="rId1020" Type="http://schemas.openxmlformats.org/officeDocument/2006/relationships/hyperlink" Target="https://www.google.com/url?q=https://github.com/mostafa-saad/MyCompetitiveProgramming/blob/master/Olympiad/POI/POI-14-Panels.txt&amp;sa=D&amp;ust=1605639816166000&amp;usg=AFQjCNE9360Sdli_LGM7Fkx76DkmvCUgWQ" TargetMode="External"/><Relationship Id="rId1118" Type="http://schemas.openxmlformats.org/officeDocument/2006/relationships/hyperlink" Target="https://www.google.com/url?q=https://github.com/mostafa-saad/MyCompetitiveProgramming/blob/master/Olympiad/POI/POI-10-Sheep.txt&amp;sa=D&amp;ust=1605639816203000&amp;usg=AFQjCNF_fa4Dw8pbRorxEjcX4mvrmA112g" TargetMode="External"/><Relationship Id="rId1325" Type="http://schemas.openxmlformats.org/officeDocument/2006/relationships/hyperlink" Target="https://www.google.com/url?q=https://www.infoarena.ro/problema/mexc&amp;sa=D&amp;ust=1605639816320000&amp;usg=AFQjCNG7WdZAvJCwFyXzbbCsadg37VfT4g" TargetMode="External"/><Relationship Id="rId1532" Type="http://schemas.openxmlformats.org/officeDocument/2006/relationships/hyperlink" Target="https://www.google.com/url?q=https://codeforces.com/group/R2SERIff4f/contest/213171&amp;sa=D&amp;ust=1605639816411000&amp;usg=AFQjCNHtux-i9A1gclcaINh7nC-4U40Fxg" TargetMode="External"/><Relationship Id="rId1977" Type="http://schemas.openxmlformats.org/officeDocument/2006/relationships/hyperlink" Target="https://www.google.com/url?q=https://oj.uz/problem/view/NOI14_orchard&amp;sa=D&amp;ust=1605639816553000&amp;usg=AFQjCNHvQ3ujkXYlqnoy6g4qRXE9W1cVBQ" TargetMode="External"/><Relationship Id="rId2930" Type="http://schemas.openxmlformats.org/officeDocument/2006/relationships/hyperlink" Target="https://www.google.com/url?q=https://oj.uz/problem/view/JOI17_rope&amp;sa=D&amp;ust=1605639816870000&amp;usg=AFQjCNFydkXGiBCZEnfaHinAlJMFEDmTWg" TargetMode="External"/><Relationship Id="rId902" Type="http://schemas.openxmlformats.org/officeDocument/2006/relationships/hyperlink" Target="https://www.google.com/url?q=https://oj.uz/problem/view/JOI20_ho_t5&amp;sa=D&amp;ust=1605639816083000&amp;usg=AFQjCNFmQrecs2VqMp3KCqPCUlguSFQvSQ" TargetMode="External"/><Relationship Id="rId1837" Type="http://schemas.openxmlformats.org/officeDocument/2006/relationships/hyperlink" Target="https://www.google.com/url?q=https://joisc2013-day2.contest.atcoder.jp/tasks/joisc2013_spy&amp;sa=D&amp;ust=1605639816509000&amp;usg=AFQjCNFyiAy1NnFfDl5ErpZ2bnRKUPEPAg" TargetMode="External"/><Relationship Id="rId31" Type="http://schemas.openxmlformats.org/officeDocument/2006/relationships/hyperlink" Target="https://www.google.com/url?q=https://github.com/mostafa-saad/MyCompetitiveProgramming/tree/master/Olympiad/CEOI/official/2015/day2&amp;sa=D&amp;ust=1605639815496000&amp;usg=AFQjCNGw6zFGwp8Nbd6RpGlT_aaoQ25jQw" TargetMode="External"/><Relationship Id="rId2099" Type="http://schemas.openxmlformats.org/officeDocument/2006/relationships/hyperlink" Target="https://www.google.com/url?q=https://github.com/stefdasca/CompetitiveProgramming/blob/master/Infoarena/posta2.cpp&amp;sa=D&amp;ust=1605639816596000&amp;usg=AFQjCNEovN83ZNhcnRN2CPvWNqLKIFbllg" TargetMode="External"/><Relationship Id="rId180" Type="http://schemas.openxmlformats.org/officeDocument/2006/relationships/hyperlink" Target="https://www.google.com/url?q=https://github.com/mostafa-saad/MyCompetitiveProgramming/blob/master/Olympiad/IOI/official/2016&amp;sa=D&amp;ust=1605639815545000&amp;usg=AFQjCNFYKqHsFBK3dCzCY-eSOb4XFTS87g" TargetMode="External"/><Relationship Id="rId278" Type="http://schemas.openxmlformats.org/officeDocument/2006/relationships/hyperlink" Target="https://www.google.com/url?q=https://oj.uz/problem/view/COI14_gta&amp;sa=D&amp;ust=1605639815573000&amp;usg=AFQjCNGFtVvSz7qXrVRYvOoRlHDckZ4ezw" TargetMode="External"/><Relationship Id="rId1904" Type="http://schemas.openxmlformats.org/officeDocument/2006/relationships/hyperlink" Target="https://www.google.com/url?q=https://github.com/mostafa-saad/MyCompetitiveProgramming/blob/master/Olympiad/COCI/COCI-15-topovi.txt&amp;sa=D&amp;ust=1605639816530000&amp;usg=AFQjCNEXwTdXBZWAipoDRRz8sYw-YWKqOQ" TargetMode="External"/><Relationship Id="rId485" Type="http://schemas.openxmlformats.org/officeDocument/2006/relationships/hyperlink" Target="https://www.google.com/url?q=https://github.com/mostafa-saad/MyCompetitiveProgramming/blob/master/Olympiad/POI/official/find_editorial_sols_guidelines.txt&amp;sa=D&amp;ust=1605639815676000&amp;usg=AFQjCNG0-3jCyC33RITufOuQy3D5HBo02A" TargetMode="External"/><Relationship Id="rId692" Type="http://schemas.openxmlformats.org/officeDocument/2006/relationships/hyperlink" Target="https://www.google.com/url?q=https://infoarena.ro/problema/xreverse&amp;sa=D&amp;ust=1605639815932000&amp;usg=AFQjCNFxvofkhiO44t-4TZ5l6Ue9SjT4FQ" TargetMode="External"/><Relationship Id="rId2166" Type="http://schemas.openxmlformats.org/officeDocument/2006/relationships/hyperlink" Target="https://www.google.com/url?q=https://github.com/mostafa-saad/MyCompetitiveProgramming/blob/master/Olympiad/COCI/official/2015/contest5_solutions&amp;sa=D&amp;ust=1605639816616000&amp;usg=AFQjCNH9L4dIprlUVlblGDCUH_Io0De3bQ" TargetMode="External"/><Relationship Id="rId2373" Type="http://schemas.openxmlformats.org/officeDocument/2006/relationships/hyperlink" Target="https://www.google.com/url?q=https://dmoj.ca/problem/dwite11c5p5&amp;sa=D&amp;ust=1605639816672000&amp;usg=AFQjCNHlb6dyb5S-hvuXcyO6h0os2-NfPA" TargetMode="External"/><Relationship Id="rId2580" Type="http://schemas.openxmlformats.org/officeDocument/2006/relationships/hyperlink" Target="https://www.google.com/url?q=https://szkopul.edu.pl/problemset/problem/ETArorvqQVqRUJRa4kx02f8D/site/&amp;sa=D&amp;ust=1605639816739000&amp;usg=AFQjCNFs3H9SokzzF6rpB15JICUS00PPPg" TargetMode="External"/><Relationship Id="rId138" Type="http://schemas.openxmlformats.org/officeDocument/2006/relationships/hyperlink" Target="https://www.google.com/url?q=https://github.com/mostafa-saad/MyCompetitiveProgramming/blob/master/Olympiad/CEOI/CEOI-16-trick.txt&amp;sa=D&amp;ust=1605639815532000&amp;usg=AFQjCNEhqzTa-kXitKJhbKoUat0dOkTPGg" TargetMode="External"/><Relationship Id="rId345" Type="http://schemas.openxmlformats.org/officeDocument/2006/relationships/hyperlink" Target="https://www.google.com/url?q=https://ioi2010.contest.atcoder.jp/tasks/ioi2010_2_4&amp;sa=D&amp;ust=1605639815596000&amp;usg=AFQjCNFARcIgE0NsCz0KUN_OaHvVbUYUBw" TargetMode="External"/><Relationship Id="rId552" Type="http://schemas.openxmlformats.org/officeDocument/2006/relationships/hyperlink" Target="https://www.google.com/url?q=https://szkopul.edu.pl/problemset/problem/OQjANSOOD_-c38gh8p6g3Gxp/site/&amp;sa=D&amp;ust=1605639815882000&amp;usg=AFQjCNE44Z1M9WsjAnQet5RqlB2ceyUQyg" TargetMode="External"/><Relationship Id="rId997" Type="http://schemas.openxmlformats.org/officeDocument/2006/relationships/hyperlink" Target="https://www.google.com/url?q=https://oj.uz/problems/source/307&amp;sa=D&amp;ust=1605639816112000&amp;usg=AFQjCNFpFMhyDvH7-R2eCk3rjHQsWFDANw" TargetMode="External"/><Relationship Id="rId1182" Type="http://schemas.openxmlformats.org/officeDocument/2006/relationships/hyperlink" Target="https://www.google.com/url?q=https://github.com/mostafa-saad/MyCompetitiveProgramming/blob/master/Olympiad/POI/official/find_editorial_sols_guidelines.txt&amp;sa=D&amp;ust=1605639816220000&amp;usg=AFQjCNGg6TYItJyIf_IFTK7tvhtSGnZ9zg" TargetMode="External"/><Relationship Id="rId2026" Type="http://schemas.openxmlformats.org/officeDocument/2006/relationships/hyperlink" Target="https://www.google.com/url?q=https://github.com/win11905/submission/blob/master/Dmoj/EllisFahrengart.cpp&amp;sa=D&amp;ust=1605639816568000&amp;usg=AFQjCNHv9wxlyd2lkGfeVSQ_JQ-bi7NNKA" TargetMode="External"/><Relationship Id="rId2233" Type="http://schemas.openxmlformats.org/officeDocument/2006/relationships/hyperlink" Target="https://www.google.com/url?q=https://oj.uz/problem/view/POI11_ins&amp;sa=D&amp;ust=1605639816635000&amp;usg=AFQjCNEk7vrPGoedh5RtH6FCioEPi-WQiw" TargetMode="External"/><Relationship Id="rId2440" Type="http://schemas.openxmlformats.org/officeDocument/2006/relationships/hyperlink" Target="https://www.google.com/url?q=https://github.com/nikolapesic2802/Programming-Practice/blob/master/Railroad%2520Trip/main.cpp&amp;sa=D&amp;ust=1605639816698000&amp;usg=AFQjCNG7TSxBkFC6G2ps14qSMfjNlk_Vlg" TargetMode="External"/><Relationship Id="rId2678" Type="http://schemas.openxmlformats.org/officeDocument/2006/relationships/hyperlink" Target="https://www.google.com/url?q=https://github.com/mostafa-saad/MyCompetitiveProgramming/blob/master/Olympiad/COCI/official/2009/regional_solutions&amp;sa=D&amp;ust=1605639816760000&amp;usg=AFQjCNHZjyNxCq407N6kaFttPd2fOM6K2Q" TargetMode="External"/><Relationship Id="rId2885" Type="http://schemas.openxmlformats.org/officeDocument/2006/relationships/hyperlink" Target="https://www.google.com/url?q=https://www.acmicpc.net/problem/2192&amp;sa=D&amp;ust=1605639816829000&amp;usg=AFQjCNGbRMeVSzGaPz_1or8frJXGVmhKBA" TargetMode="External"/><Relationship Id="rId205" Type="http://schemas.openxmlformats.org/officeDocument/2006/relationships/hyperlink" Target="https://www.google.com/url?q=http://codeforces.com/blog/entry/47764&amp;sa=D&amp;ust=1605639815550000&amp;usg=AFQjCNFmjWuYMgX33SzrRfKHzxOTVCpC0Q" TargetMode="External"/><Relationship Id="rId412" Type="http://schemas.openxmlformats.org/officeDocument/2006/relationships/hyperlink" Target="https://www.google.com/url?q=https://contest.yandex.ru/ioi/contest/566/enter/&amp;sa=D&amp;ust=1605639815623000&amp;usg=AFQjCNE_Rddem5pU0k8BdzwAFWBb-om53Q" TargetMode="External"/><Relationship Id="rId857" Type="http://schemas.openxmlformats.org/officeDocument/2006/relationships/hyperlink" Target="https://www.google.com/url?q=http://usaco.org/index.php?page%3Dviewproblem2%26cpid%3D972%23&amp;sa=D&amp;ust=1605639816019000&amp;usg=AFQjCNHZfMJfmR22YBNegBr9GHCm9sqnng" TargetMode="External"/><Relationship Id="rId1042" Type="http://schemas.openxmlformats.org/officeDocument/2006/relationships/hyperlink" Target="https://www.google.com/url?q=https://github.com/MohamedAhmed04/Competitive-programming/blob/master/COCI/COCI%252017-Ceste.cpp&amp;sa=D&amp;ust=1605639816176000&amp;usg=AFQjCNFP3sX2RqXkpdIjeQi2H06MAQOh6w" TargetMode="External"/><Relationship Id="rId1487" Type="http://schemas.openxmlformats.org/officeDocument/2006/relationships/hyperlink" Target="https://www.google.com/url?q=https://joisc2013-day4.contest.atcoder.jp/tasks/joisc2013_presents&amp;sa=D&amp;ust=1605639816394000&amp;usg=AFQjCNF1u_szn1IXRX_73LRtvkTlaUKPPw" TargetMode="External"/><Relationship Id="rId1694" Type="http://schemas.openxmlformats.org/officeDocument/2006/relationships/hyperlink" Target="https://www.google.com/url?q=https://dmoj.ca/problem/coci08c5p5&amp;sa=D&amp;ust=1605639816458000&amp;usg=AFQjCNEhuKMYWSeFmd332LhLRb77UCjWdg" TargetMode="External"/><Relationship Id="rId2300" Type="http://schemas.openxmlformats.org/officeDocument/2006/relationships/hyperlink" Target="https://www.google.com/url?q=https://oj.uz/problem/view/COCI18_preokret&amp;sa=D&amp;ust=1605639816651000&amp;usg=AFQjCNHcltz8ddf_KPeuIvZgLWbb588dgg" TargetMode="External"/><Relationship Id="rId2538" Type="http://schemas.openxmlformats.org/officeDocument/2006/relationships/hyperlink" Target="https://www.google.com/url?q=https://oj.uz/problem/view/COCI16_nizin&amp;sa=D&amp;ust=1605639816730000&amp;usg=AFQjCNG4vduy6Re9oabMqAeMrDXxisoOSw" TargetMode="External"/><Relationship Id="rId2745" Type="http://schemas.openxmlformats.org/officeDocument/2006/relationships/hyperlink" Target="https://www.google.com/url?q=https://github.com/mostafa-saad/MyCompetitiveProgramming/blob/master/Olympiad/COCI/official/2017/contest5_solutions&amp;sa=D&amp;ust=1605639816781000&amp;usg=AFQjCNEiMnlLpOxZ6PckP9umGsw3aocb8w" TargetMode="External"/><Relationship Id="rId2952" Type="http://schemas.openxmlformats.org/officeDocument/2006/relationships/hyperlink" Target="https://www.google.com/url?q=https://dunjudge.me/analysis/problems/1175/&amp;sa=D&amp;ust=1605639816879000&amp;usg=AFQjCNGx_UmP_McPoZLqp7d9xSQKTF9M2w" TargetMode="External"/><Relationship Id="rId717" Type="http://schemas.openxmlformats.org/officeDocument/2006/relationships/hyperlink" Target="https://www.google.com/url?q=https://github.com/mostafa-saad/MyCompetitiveProgramming/blob/master/Olympiad/COCI/COCI-15-uzastopni.txt&amp;sa=D&amp;ust=1605639815969000&amp;usg=AFQjCNGcKz6yloZWgPmTlVX6jZ_DrbL5zg" TargetMode="External"/><Relationship Id="rId924" Type="http://schemas.openxmlformats.org/officeDocument/2006/relationships/hyperlink" Target="https://www.google.com/url?q=https://oj.uz/problem/view/IOI08_teleporters&amp;sa=D&amp;ust=1605639816091000&amp;usg=AFQjCNFBq8lYNcHM73xXT6Lisw15-iF4Rw" TargetMode="External"/><Relationship Id="rId1347" Type="http://schemas.openxmlformats.org/officeDocument/2006/relationships/hyperlink" Target="https://www.google.com/url?q=https://github.com/mostafa-saad/MyCompetitiveProgramming/blob/master/Olympiad/infoarena/infoarena_arbore.txt&amp;sa=D&amp;ust=1605639816327000&amp;usg=AFQjCNGn_BJzXfAgXRkbKDZWKXcIGYWQQg" TargetMode="External"/><Relationship Id="rId1554" Type="http://schemas.openxmlformats.org/officeDocument/2006/relationships/hyperlink" Target="https://www.google.com/url?q=https://github.com/mostafa-saad/MyCompetitiveProgramming/blob/master/Olympiad/COCI/COCI-08-Slikar.txt&amp;sa=D&amp;ust=1605639816417000&amp;usg=AFQjCNEvD9WhXo-TNQ_RRmX4VyCYZgC4KQ" TargetMode="External"/><Relationship Id="rId1761" Type="http://schemas.openxmlformats.org/officeDocument/2006/relationships/hyperlink" Target="https://www.google.com/url?q=https://github.com/YazanZebak/CompetitiveProgramming/blob/master/Olympiad/COCI/COCI-18-DEBLO.cpp&amp;sa=D&amp;ust=1605639816481000&amp;usg=AFQjCNF4utFs0YDhnGDgh6TCyvVNJssycA" TargetMode="External"/><Relationship Id="rId1999" Type="http://schemas.openxmlformats.org/officeDocument/2006/relationships/hyperlink" Target="https://www.google.com/url?q=https://oj.uz/problem/view/COCI18_go&amp;sa=D&amp;ust=1605639816559000&amp;usg=AFQjCNF8jvRobzfSCy0nQMyu2DVIKYjeXg" TargetMode="External"/><Relationship Id="rId2605" Type="http://schemas.openxmlformats.org/officeDocument/2006/relationships/hyperlink" Target="https://www.google.com/url?q=https://wcipeg.com/problem/coci096p1&amp;sa=D&amp;ust=1605639816744000&amp;usg=AFQjCNHV1ffSLJX-9bCXpvlz7KhqShm2Sw" TargetMode="External"/><Relationship Id="rId2812" Type="http://schemas.openxmlformats.org/officeDocument/2006/relationships/hyperlink" Target="https://www.google.com/url?q=https://wcipeg.com/problem/coci094p2&amp;sa=D&amp;ust=1605639816805000&amp;usg=AFQjCNF29-eFDU6cZ-YeI6QWAWnKKWM58A" TargetMode="External"/><Relationship Id="rId53" Type="http://schemas.openxmlformats.org/officeDocument/2006/relationships/hyperlink" Target="https://www.google.com/url?q=https://dunjudge.me/analysis/problems/697/&amp;sa=D&amp;ust=1605639815504000&amp;usg=AFQjCNH-IleUlFr1pxpjOhKt48WddsMZXA" TargetMode="External"/><Relationship Id="rId1207" Type="http://schemas.openxmlformats.org/officeDocument/2006/relationships/hyperlink" Target="https://www.google.com/url?q=https://oj.uz/problem/view/JOI17_long_mansion&amp;sa=D&amp;ust=1605639816277000&amp;usg=AFQjCNFb3i3tdCM_0CbNbOCr6Sb2V1xBqQ" TargetMode="External"/><Relationship Id="rId1414" Type="http://schemas.openxmlformats.org/officeDocument/2006/relationships/hyperlink" Target="https://www.google.com/url?q=https://github.com/mostafa-saad/MyCompetitiveProgramming/blob/master/Olympiad/CEOI/official/2011/&amp;sa=D&amp;ust=1605639816365000&amp;usg=AFQjCNGZlYW-JOk1wntSVnrl7FQ4NdjdVw" TargetMode="External"/><Relationship Id="rId1621" Type="http://schemas.openxmlformats.org/officeDocument/2006/relationships/hyperlink" Target="https://www.google.com/url?q=https://oj.uz/problem/view/COCI17_san&amp;sa=D&amp;ust=1605639816437000&amp;usg=AFQjCNGkx8YlIEnX-MKsjbPBSPW42qbjQw" TargetMode="External"/><Relationship Id="rId1859" Type="http://schemas.openxmlformats.org/officeDocument/2006/relationships/hyperlink" Target="https://www.google.com/url?q=https://dmoj.ca/problem/coci07c6p5&amp;sa=D&amp;ust=1605639816517000&amp;usg=AFQjCNFGMigndgy2GUvye_nCbd3q6taDAA" TargetMode="External"/><Relationship Id="rId1719" Type="http://schemas.openxmlformats.org/officeDocument/2006/relationships/hyperlink" Target="https://www.google.com/url?q=https://oj.uz/problem/view/JOI17_sparklers&amp;sa=D&amp;ust=1605639816464000&amp;usg=AFQjCNEEiC4rQshej7z0oySELXi_J9uTHQ" TargetMode="External"/><Relationship Id="rId1926" Type="http://schemas.openxmlformats.org/officeDocument/2006/relationships/hyperlink" Target="https://www.google.com/url?q=https://github.com/sofhiasouza/CompetitiveProgramming/blob/master/COCI/2018-2019/Contest%2520%25232/maja.cpp&amp;sa=D&amp;ust=1605639816537000&amp;usg=AFQjCNFYtOnS7HGqn77PvUc9yYf1jm0GEQ" TargetMode="External"/><Relationship Id="rId2090" Type="http://schemas.openxmlformats.org/officeDocument/2006/relationships/hyperlink" Target="https://www.google.com/url?q=https://github.com/mostafa-saad/MyCompetitiveProgramming/blob/master/Olympiad/COI/COI-08-Cvjetici.txt&amp;sa=D&amp;ust=1605639816592000&amp;usg=AFQjCNGAyRHmkJFS4nMxd1wsO2AxtpD5dA" TargetMode="External"/><Relationship Id="rId2188" Type="http://schemas.openxmlformats.org/officeDocument/2006/relationships/hyperlink" Target="https://www.google.com/url?q=https://github.com/tmwilliamlin168/CompetitiveProgramming/blob/master/CEOI/17-Sure.cpp&amp;sa=D&amp;ust=1605639816624000&amp;usg=AFQjCNEPKExeTt-46HSanvsJ9OcV39BDpg" TargetMode="External"/><Relationship Id="rId2395" Type="http://schemas.openxmlformats.org/officeDocument/2006/relationships/hyperlink" Target="https://www.google.com/url?q=https://oj.uz/problem/view/JOI20_ho_t2&amp;sa=D&amp;ust=1605639816682000&amp;usg=AFQjCNHZDtOgf0tYSSCwcYwiyxmCRDreSg" TargetMode="External"/><Relationship Id="rId367" Type="http://schemas.openxmlformats.org/officeDocument/2006/relationships/hyperlink" Target="https://www.google.com/url?q=https://oj.uz/problem/view/NOI18_citymapping&amp;sa=D&amp;ust=1605639815603000&amp;usg=AFQjCNFFEKuD60oiE-EIHUSVCoItP4bomQ" TargetMode="External"/><Relationship Id="rId574" Type="http://schemas.openxmlformats.org/officeDocument/2006/relationships/hyperlink" Target="https://www.google.com/url?q=https://oj.uz/problems/source/184&amp;sa=D&amp;ust=1605639815891000&amp;usg=AFQjCNERoJIy85F9ORHI52Fo_x6wLcvGTQ" TargetMode="External"/><Relationship Id="rId2048" Type="http://schemas.openxmlformats.org/officeDocument/2006/relationships/hyperlink" Target="https://www.google.com/url?q=https://szkopul.edu.pl/problemset/problem/k9UKIj11V6iPRc3LaiYQYHyi/site/&amp;sa=D&amp;ust=1605639816576000&amp;usg=AFQjCNFw4YssIHEf9aPshP3Q4pCD8xqS-A" TargetMode="External"/><Relationship Id="rId2255" Type="http://schemas.openxmlformats.org/officeDocument/2006/relationships/hyperlink" Target="https://www.google.com/url?q=https://dmoj.ca/problem/crci07p3&amp;sa=D&amp;ust=1605639816641000&amp;usg=AFQjCNF7VdbsTBMu9E3uCNcK8QKIvrYIUg" TargetMode="External"/><Relationship Id="rId3001" Type="http://schemas.openxmlformats.org/officeDocument/2006/relationships/hyperlink" Target="https://www.google.com/url?q=https://dunjudge.me/analysis/problems/45/&amp;sa=D&amp;ust=1605639816902000&amp;usg=AFQjCNEAhJVXMXvbjPwcDIUB6czOlNNxrA" TargetMode="External"/><Relationship Id="rId227" Type="http://schemas.openxmlformats.org/officeDocument/2006/relationships/hyperlink" Target="https://www.google.com/url?q=https://github.com/stefdasca/CompetitiveProgramming/blob/master/Infoarena/nuke.cpp&amp;sa=D&amp;ust=1605639815556000&amp;usg=AFQjCNFFnEvafjbM31Q2srlbXEXlKV7Oug" TargetMode="External"/><Relationship Id="rId781" Type="http://schemas.openxmlformats.org/officeDocument/2006/relationships/hyperlink" Target="https://www.google.com/url?q=https://dmoj.ca/problem/coci08c6p5&amp;sa=D&amp;ust=1605639815992000&amp;usg=AFQjCNFFlJtQTO8NeHOAv0ucpv4A-lxG_Q" TargetMode="External"/><Relationship Id="rId879" Type="http://schemas.openxmlformats.org/officeDocument/2006/relationships/hyperlink" Target="https://www.google.com/url?q=https://github.com/mostafa-saad/MyCompetitiveProgramming/blob/master/Olympiad/JOI/JOIOC-19-Remittance.txt&amp;sa=D&amp;ust=1605639816073000&amp;usg=AFQjCNFHvJfiA3OddU7emyMOAGyBkHhHxg" TargetMode="External"/><Relationship Id="rId2462" Type="http://schemas.openxmlformats.org/officeDocument/2006/relationships/hyperlink" Target="https://www.google.com/url?q=https://github.com/mostafa-saad/MyCompetitiveProgramming/blob/master/Olympiad/POI/official/find_editorial_sols_guidelines.txt&amp;sa=D&amp;ust=1605639816706000&amp;usg=AFQjCNHiHPHSo92g8xjVMcAzA_T6iiEd0A" TargetMode="External"/><Relationship Id="rId2767" Type="http://schemas.openxmlformats.org/officeDocument/2006/relationships/hyperlink" Target="https://www.google.com/url?q=https://oj.uz/problem/view/COCI15_geppetto&amp;sa=D&amp;ust=1605639816789000&amp;usg=AFQjCNEbj8nhxzkm6JmEhMavgUMa5-eVeA" TargetMode="External"/><Relationship Id="rId434" Type="http://schemas.openxmlformats.org/officeDocument/2006/relationships/hyperlink" Target="https://www.google.com/url?q=http://www.usaco.org/index.php?page%3Dviewproblem2%26cpid%3D1022&amp;sa=D&amp;ust=1605639815630000&amp;usg=AFQjCNF3mRqilbEPNEFa8b7f3XXQTwfjnQ" TargetMode="External"/><Relationship Id="rId641" Type="http://schemas.openxmlformats.org/officeDocument/2006/relationships/hyperlink" Target="https://www.google.com/url?q=https://github.com/mostafa-saad/MyCompetitiveProgramming/blob/master/Olympiad/POI/POI-11-okr.txt&amp;sa=D&amp;ust=1605639815914000&amp;usg=AFQjCNEJYvuw6q4MR4g_UG7Y5OsK8-NfIA" TargetMode="External"/><Relationship Id="rId739" Type="http://schemas.openxmlformats.org/officeDocument/2006/relationships/hyperlink" Target="https://www.google.com/url?q=https://github.com/dolphingarlic/CompetitiveProgramming/blob/master/USACO/USACO%252018-out_of_sorts_gold.cpp&amp;sa=D&amp;ust=1605639815976000&amp;usg=AFQjCNE_S9fsMOcWuJXKbKOuGsLC1Nx_9w" TargetMode="External"/><Relationship Id="rId1064" Type="http://schemas.openxmlformats.org/officeDocument/2006/relationships/hyperlink" Target="https://www.google.com/url?q=https://github.com/mostafa-saad/MyCompetitiveProgramming/blob/master/Olympiad/POI/POI-05-Banknote.txt&amp;sa=D&amp;ust=1605639816184000&amp;usg=AFQjCNGwfAMvPwkSZejbHDQ375EtBAdkjw" TargetMode="External"/><Relationship Id="rId1271" Type="http://schemas.openxmlformats.org/officeDocument/2006/relationships/hyperlink" Target="https://www.google.com/url?q=https://open.kattis.com/problem-sources/Baltic%2520Olympiad%2520in%2520Informatics%25202017%252C%2520Day%25201&amp;sa=D&amp;ust=1605639816301000&amp;usg=AFQjCNH75r_BZW955BFP6v2vHyYRXo_QIw" TargetMode="External"/><Relationship Id="rId1369" Type="http://schemas.openxmlformats.org/officeDocument/2006/relationships/hyperlink" Target="https://www.google.com/url?q=https://github.com/mostafa-saad/MyCompetitiveProgramming/blob/master/Olympiad/CEOI/CEOI-06-Queue.txt&amp;sa=D&amp;ust=1605639816335000&amp;usg=AFQjCNF2kcpkxbabOICe8UDhWZ_FGS_uwA" TargetMode="External"/><Relationship Id="rId1576" Type="http://schemas.openxmlformats.org/officeDocument/2006/relationships/hyperlink" Target="https://www.google.com/url?q=https://github.com/stefdasca/CompetitiveProgramming/blob/master/Infoarena/secvbest.cpp&amp;sa=D&amp;ust=1605639816424000&amp;usg=AFQjCNG5Fs-AvPqUgZcujrZjmMx80LakXg" TargetMode="External"/><Relationship Id="rId2115" Type="http://schemas.openxmlformats.org/officeDocument/2006/relationships/hyperlink" Target="https://www.google.com/url?q=https://github.com/goar5670/CompetitiveProgramming/blob/master/USACO%252014dec-guard.cpp&amp;sa=D&amp;ust=1605639816600000&amp;usg=AFQjCNGlNEDzrltk3iP0ONTfu141LF37ew" TargetMode="External"/><Relationship Id="rId2322" Type="http://schemas.openxmlformats.org/officeDocument/2006/relationships/hyperlink" Target="https://www.google.com/url?q=https://wcipeg.com/problem/coci065p4&amp;sa=D&amp;ust=1605639816657000&amp;usg=AFQjCNGOKe796CEVdS1vNgNLZfT-zvQIkg" TargetMode="External"/><Relationship Id="rId2974" Type="http://schemas.openxmlformats.org/officeDocument/2006/relationships/hyperlink" Target="https://www.google.com/url?q=https://szkopul.edu.pl/problemset/problem/guoc36QCEe4q47qruYB7HBV-/site/&amp;sa=D&amp;ust=1605639816890000&amp;usg=AFQjCNGfnEiWt6ezMaMsScGolGNjfOguRg" TargetMode="External"/><Relationship Id="rId501" Type="http://schemas.openxmlformats.org/officeDocument/2006/relationships/hyperlink" Target="https://www.google.com/url?q=https://szkopul.edu.pl/problemset/problem/dq_rM2gOy4-8jYIsE7xgo-9l/site/&amp;sa=D&amp;ust=1605639815682000&amp;usg=AFQjCNGY4Nu7RPsaXCP-NfcxLiza1qMJ1Q" TargetMode="External"/><Relationship Id="rId946" Type="http://schemas.openxmlformats.org/officeDocument/2006/relationships/hyperlink" Target="https://www.google.com/url?q=https://github.com/mostafa-saad/MyCompetitiveProgramming/blob/master/Olympiad/COI/COI-16-relay.txt&amp;sa=D&amp;ust=1605639816097000&amp;usg=AFQjCNGO-ZjHXJ_5U9wHrkWVcLxs3w-qWA" TargetMode="External"/><Relationship Id="rId1131" Type="http://schemas.openxmlformats.org/officeDocument/2006/relationships/hyperlink" Target="https://www.google.com/url?q=https://cses.fi/194/list/&amp;sa=D&amp;ust=1605639816207000&amp;usg=AFQjCNFBhjTP7v2IWeNnXwIg_3vdw4lASA" TargetMode="External"/><Relationship Id="rId1229" Type="http://schemas.openxmlformats.org/officeDocument/2006/relationships/hyperlink" Target="https://www.google.com/url?q=https://github.com/mostafa-saad/MyCompetitiveProgramming/blob/master/Olympiad/IOI/IOI-02-Batch.txt&amp;sa=D&amp;ust=1605639816286000&amp;usg=AFQjCNFDkTz0FWSIyoM2fMcoygIQYwb5aA" TargetMode="External"/><Relationship Id="rId1783" Type="http://schemas.openxmlformats.org/officeDocument/2006/relationships/hyperlink" Target="https://www.google.com/url?q=https://www.infoarena.ro/problema/profit&amp;sa=D&amp;ust=1605639816489000&amp;usg=AFQjCNEVGSza_X-kFoAAii_o281VW_E4gw" TargetMode="External"/><Relationship Id="rId1990" Type="http://schemas.openxmlformats.org/officeDocument/2006/relationships/hyperlink" Target="https://www.google.com/url?q=https://github.com/Shash-Wat/competitive-programming/blob/master/POI/poi_strike.cpp&amp;sa=D&amp;ust=1605639816556000&amp;usg=AFQjCNH-USPO9J-kIjQ7pqda23wucis2hw" TargetMode="External"/><Relationship Id="rId2627" Type="http://schemas.openxmlformats.org/officeDocument/2006/relationships/hyperlink" Target="https://www.google.com/url?q=https://dmoj.ca/problem/coci06c2p2&amp;sa=D&amp;ust=1605639816748000&amp;usg=AFQjCNGJBkL1YLLL1nceHckGHMlVJHqZDA" TargetMode="External"/><Relationship Id="rId2834" Type="http://schemas.openxmlformats.org/officeDocument/2006/relationships/hyperlink" Target="https://www.google.com/url?q=https://dmoj.ca/problem/coci07c2p2&amp;sa=D&amp;ust=1605639816811000&amp;usg=AFQjCNEoPyxLzRLpnbkzFjOUMVSzqPgTmw" TargetMode="External"/><Relationship Id="rId75" Type="http://schemas.openxmlformats.org/officeDocument/2006/relationships/hyperlink" Target="https://www.google.com/url?q=https://github.com/mostafa-saad/MyCompetitiveProgramming/tree/master/Olympiad/COI/official/2014&amp;sa=D&amp;ust=1605639815513000&amp;usg=AFQjCNFMePNijBxYUj1HC901uAkdimBvXw" TargetMode="External"/><Relationship Id="rId806" Type="http://schemas.openxmlformats.org/officeDocument/2006/relationships/hyperlink" Target="https://www.google.com/url?q=https://szkopul.edu.pl/problemset/problem/o09s2TblWuB1BP9isQT7VIkG/site/&amp;sa=D&amp;ust=1605639816000000&amp;usg=AFQjCNFuwojw1DGBZy-Hl9bE4RYgpCjWRw" TargetMode="External"/><Relationship Id="rId1436" Type="http://schemas.openxmlformats.org/officeDocument/2006/relationships/hyperlink" Target="https://www.google.com/url?q=https://oj.uz/problem/view/IOI12_tournament&amp;sa=D&amp;ust=1605639816373000&amp;usg=AFQjCNH1xLFEDUAENfrjQRhBfdLioFIP3g" TargetMode="External"/><Relationship Id="rId1643" Type="http://schemas.openxmlformats.org/officeDocument/2006/relationships/hyperlink" Target="https://www.google.com/url?q=https://szkopul.edu.pl/problemset/problem/_cVmDXXn2TjF0dF1rW6eazA0/site/&amp;sa=D&amp;ust=1605639816444000&amp;usg=AFQjCNEk3zuNyPNCdtrs-tyuL9YLy6YXZA" TargetMode="External"/><Relationship Id="rId1850" Type="http://schemas.openxmlformats.org/officeDocument/2006/relationships/hyperlink" Target="https://www.google.com/url?q=https://dmoj.ca/problem/coci07c2p4&amp;sa=D&amp;ust=1605639816514000&amp;usg=AFQjCNFauwWu-87R1WfP19deQ9v4TLZM8g" TargetMode="External"/><Relationship Id="rId2901" Type="http://schemas.openxmlformats.org/officeDocument/2006/relationships/hyperlink" Target="https://www.google.com/url?q=https://oj.uz/problem/view/COCI19_wand&amp;sa=D&amp;ust=1605639816842000&amp;usg=AFQjCNFtPb_Vp3Z5N7GgpD-FcWWVeYAYmg" TargetMode="External"/><Relationship Id="rId1503" Type="http://schemas.openxmlformats.org/officeDocument/2006/relationships/hyperlink" Target="https://www.google.com/url?q=http://usaco.org/index.php?page%3Dviewproblem2%26cpid%3D93&amp;sa=D&amp;ust=1605639816400000&amp;usg=AFQjCNEgbPwaClazaKUs28KLsoOGEgeA4A" TargetMode="External"/><Relationship Id="rId1710" Type="http://schemas.openxmlformats.org/officeDocument/2006/relationships/hyperlink" Target="https://www.google.com/url?q=https://szkopul.edu.pl/problemset/problem/bNkLWTHzQeDyEuAUiKCwuxnG/site/&amp;sa=D&amp;ust=1605639816462000&amp;usg=AFQjCNEAjvTV3jmm1WjoBz7p0leaPWzxPQ" TargetMode="External"/><Relationship Id="rId1948" Type="http://schemas.openxmlformats.org/officeDocument/2006/relationships/hyperlink" Target="https://www.google.com/url?q=https://github.com/updown2/OI-Practice/blob/master/IOI/IOI%25202014/World%2520Peace%2520%255BPractice%255D.cpp&amp;sa=D&amp;ust=1605639816544000&amp;usg=AFQjCNEiqScjurmDMvIHfZmE7NKt72b38w" TargetMode="External"/><Relationship Id="rId291" Type="http://schemas.openxmlformats.org/officeDocument/2006/relationships/hyperlink" Target="https://www.google.com/url?q=https://github.com/mostafa-saad/MyCompetitiveProgramming/blob/master/Olympiad/APIO/APIO-07-Backup.txt&amp;sa=D&amp;ust=1605639815577000&amp;usg=AFQjCNGlemoAe9lQItp8VmVy0GFK8MSrgg" TargetMode="External"/><Relationship Id="rId1808" Type="http://schemas.openxmlformats.org/officeDocument/2006/relationships/hyperlink" Target="https://www.google.com/url?q=https://oj.uz/problem/view/IZhO17_money&amp;sa=D&amp;ust=1605639816500000&amp;usg=AFQjCNGDZtEgUJN4anZJTakUQvMwsz26qA" TargetMode="External"/><Relationship Id="rId151" Type="http://schemas.openxmlformats.org/officeDocument/2006/relationships/hyperlink" Target="https://www.google.com/url?q=https://szkopul.edu.pl/problemset/problem/_PLjXEFyR0XMBQ-kZ1k_GgHE/site/&amp;sa=D&amp;ust=1605639815537000&amp;usg=AFQjCNFItV6KiiA8ewI1m8Gvrl7ZbzQbUg" TargetMode="External"/><Relationship Id="rId389" Type="http://schemas.openxmlformats.org/officeDocument/2006/relationships/hyperlink" Target="https://www.google.com/url?q=https://github.com/mostafa-saad/MyCompetitiveProgramming/blob/master/Olympiad/APIO/APIO-13-Robots.txt&amp;sa=D&amp;ust=1605639815612000&amp;usg=AFQjCNE7w4ZQ9cgaBVaLtTb4DmsxNeuAYw" TargetMode="External"/><Relationship Id="rId596" Type="http://schemas.openxmlformats.org/officeDocument/2006/relationships/hyperlink" Target="https://www.google.com/url?q=https://oj.uz/problem/view/JOI17_abduction2&amp;sa=D&amp;ust=1605639815899000&amp;usg=AFQjCNE4qbPJRZz-vAePaU49E-TlkpwX2A" TargetMode="External"/><Relationship Id="rId2277" Type="http://schemas.openxmlformats.org/officeDocument/2006/relationships/hyperlink" Target="https://www.google.com/url?q=https://dmoj.ca/problem/coci13c1p5&amp;sa=D&amp;ust=1605639816645000&amp;usg=AFQjCNEYcHGHVyGLoeXvyq3xKbUNZR2ffQ" TargetMode="External"/><Relationship Id="rId2484" Type="http://schemas.openxmlformats.org/officeDocument/2006/relationships/hyperlink" Target="https://www.google.com/url?q=https://dmoj.ca/problem/coci14c6p4&amp;sa=D&amp;ust=1605639816714000&amp;usg=AFQjCNEu95ll9irSovloLUbsgkxjEL4vjw" TargetMode="External"/><Relationship Id="rId2691" Type="http://schemas.openxmlformats.org/officeDocument/2006/relationships/hyperlink" Target="https://www.google.com/url?q=https://oj.uz/problem/view/COCI14_utrka&amp;sa=D&amp;ust=1605639816762000&amp;usg=AFQjCNGPPrqRtV5xNlyeJ86ZrOr0Fc7yhA" TargetMode="External"/><Relationship Id="rId249" Type="http://schemas.openxmlformats.org/officeDocument/2006/relationships/hyperlink" Target="https://www.google.com/url?q=https://szkopul.edu.pl/problemset/problem/W54iZIwStF1TYWRxa1bdVPQo/site/&amp;sa=D&amp;ust=1605639815562000&amp;usg=AFQjCNHeOj3H3S0JHr0a4v7uNXZsUbpMyw" TargetMode="External"/><Relationship Id="rId456" Type="http://schemas.openxmlformats.org/officeDocument/2006/relationships/hyperlink" Target="https://www.google.com/url?q=https://oj.uz/problem/view/COI17_raspad&amp;sa=D&amp;ust=1605639815665000&amp;usg=AFQjCNG8XHhlN5sXS1Z-C2iy5Y6htXLLBw" TargetMode="External"/><Relationship Id="rId663" Type="http://schemas.openxmlformats.org/officeDocument/2006/relationships/hyperlink" Target="https://www.google.com/url?q=https://github.com/mostafa-saad/MyCompetitiveProgramming/blob/master/Olympiad/POI/official/find_editorial_sols_guidelines.txt&amp;sa=D&amp;ust=1605639815922000&amp;usg=AFQjCNGZzEi4TwpmqvSXLoYkWEDndSa-Tg" TargetMode="External"/><Relationship Id="rId870" Type="http://schemas.openxmlformats.org/officeDocument/2006/relationships/hyperlink" Target="https://www.google.com/url?q=https://dmoj.ca/problem/coci07c5p6&amp;sa=D&amp;ust=1605639816024000&amp;usg=AFQjCNHZWMcRdIffIJPAuTVNFJBtCmQdyw" TargetMode="External"/><Relationship Id="rId1086" Type="http://schemas.openxmlformats.org/officeDocument/2006/relationships/hyperlink" Target="https://www.google.com/url?q=https://github.com/samyravitoria/olympics-problems/blob/master/CEOI/2017/chase.cpp&amp;sa=D&amp;ust=1605639816191000&amp;usg=AFQjCNHZBRcMQIbeWK3a0wJTKTGXDf4IZw" TargetMode="External"/><Relationship Id="rId1293" Type="http://schemas.openxmlformats.org/officeDocument/2006/relationships/hyperlink" Target="https://www.google.com/url?q=https://www.infoarena.ro/problema/sabin&amp;sa=D&amp;ust=1605639816308000&amp;usg=AFQjCNGjtpn1JpAfT5XU4HEPYnQqv943tw" TargetMode="External"/><Relationship Id="rId2137" Type="http://schemas.openxmlformats.org/officeDocument/2006/relationships/hyperlink" Target="https://www.google.com/url?q=http://usaco.org/index.php?page%3Dviewproblem2%26cpid%3D945&amp;sa=D&amp;ust=1605639816606000&amp;usg=AFQjCNGY1uXbSPuTJqnpc4XDkHNmBDGRvg" TargetMode="External"/><Relationship Id="rId2344" Type="http://schemas.openxmlformats.org/officeDocument/2006/relationships/hyperlink" Target="https://www.google.com/url?q=https://oj.uz/problem/view/POI11_tem&amp;sa=D&amp;ust=1605639816663000&amp;usg=AFQjCNF4NZKH8lC-4Ov0jMiKQLw866ntxQ" TargetMode="External"/><Relationship Id="rId2551" Type="http://schemas.openxmlformats.org/officeDocument/2006/relationships/hyperlink" Target="https://www.google.com/url?q=https://github.com/mostafa-saad/MyCompetitiveProgramming/blob/master/Olympiad/COCI/official/2009/contest1_solutions&amp;sa=D&amp;ust=1605639816733000&amp;usg=AFQjCNFax6Ncsbma1p9to71M2v5NxRv0wg" TargetMode="External"/><Relationship Id="rId2789" Type="http://schemas.openxmlformats.org/officeDocument/2006/relationships/hyperlink" Target="https://www.google.com/url?q=https://github.com/mostafa-saad/MyCompetitiveProgramming/blob/master/Olympiad/COCI/official/2009/contest2_solutions&amp;sa=D&amp;ust=1605639816800000&amp;usg=AFQjCNGpKQUpA48Z2XkBoaXSVyh7p3XuPg" TargetMode="External"/><Relationship Id="rId2996" Type="http://schemas.openxmlformats.org/officeDocument/2006/relationships/hyperlink" Target="https://www.google.com/url?q=https://codeforces.com/blog/entry/58433&amp;sa=D&amp;ust=1605639816900000&amp;usg=AFQjCNHMyKeCY3eC0A0kXNNKW6IFyOmbgQ" TargetMode="External"/><Relationship Id="rId109" Type="http://schemas.openxmlformats.org/officeDocument/2006/relationships/hyperlink" Target="https://www.google.com/url?q=https://oj.uz/problem/view/JOI17_city&amp;sa=D&amp;ust=1605639815524000&amp;usg=AFQjCNFFlSpLCbFE4ti6ReWZqDj3blQNww" TargetMode="External"/><Relationship Id="rId316" Type="http://schemas.openxmlformats.org/officeDocument/2006/relationships/hyperlink" Target="https://www.google.com/url?q=https://github.com/mostafa-saad/MyCompetitiveProgramming/blob/master/Olympiad/POI/POI-08-Escape.txt&amp;sa=D&amp;ust=1605639815586000&amp;usg=AFQjCNHg8B3Pa9AEjq0DwE_JUk4nnkJsaQ" TargetMode="External"/><Relationship Id="rId523" Type="http://schemas.openxmlformats.org/officeDocument/2006/relationships/hyperlink" Target="https://www.google.com/url?q=https://oj.uz/problem/view/IOI09_salesman&amp;sa=D&amp;ust=1605639815834000&amp;usg=AFQjCNEIdXJ-b3DO0xva1HYRjzu2M11jrg" TargetMode="External"/><Relationship Id="rId968" Type="http://schemas.openxmlformats.org/officeDocument/2006/relationships/hyperlink" Target="https://www.google.com/url?q=https://infoarena.ro/problema/hacker2&amp;sa=D&amp;ust=1605639816105000&amp;usg=AFQjCNH9tKRNI3ZH2qnqnqtQ97fkW8qH6g" TargetMode="External"/><Relationship Id="rId1153" Type="http://schemas.openxmlformats.org/officeDocument/2006/relationships/hyperlink" Target="https://www.google.com/url?q=https://contest.yandex.ru/ioi/contest/568/enter/&amp;sa=D&amp;ust=1605639816213000&amp;usg=AFQjCNH9mGlMPf929C8xIxR1Ye8Ec2kGsA" TargetMode="External"/><Relationship Id="rId1598" Type="http://schemas.openxmlformats.org/officeDocument/2006/relationships/hyperlink" Target="https://www.google.com/url?q=https://github.com/mostafa-saad/MyCompetitiveProgramming/blob/master/Olympiad/POI/POI-15-Trous.txt&amp;sa=D&amp;ust=1605639816431000&amp;usg=AFQjCNGxot5YOC6lSmx792NCCZflBuqJpw" TargetMode="External"/><Relationship Id="rId2204" Type="http://schemas.openxmlformats.org/officeDocument/2006/relationships/hyperlink" Target="https://www.google.com/url?q=https://cses.fi/108/list/&amp;sa=D&amp;ust=1605639816628000&amp;usg=AFQjCNGf6Kld1Dq29BokonZ0Xt97MN8iEg" TargetMode="External"/><Relationship Id="rId2649" Type="http://schemas.openxmlformats.org/officeDocument/2006/relationships/hyperlink" Target="https://www.google.com/url?q=https://dmoj.ca/problem/coci07c6p2&amp;sa=D&amp;ust=1605639816754000&amp;usg=AFQjCNGYtyYh8r6mz3_qRt3AUuzyO41gLw" TargetMode="External"/><Relationship Id="rId2856" Type="http://schemas.openxmlformats.org/officeDocument/2006/relationships/hyperlink" Target="https://www.google.com/url?q=https://dunjudge.me/analysis/problems/677/&amp;sa=D&amp;ust=1605639816819000&amp;usg=AFQjCNEJljxEoV9TIevvtZj1kIg4V9RnQw" TargetMode="External"/><Relationship Id="rId97" Type="http://schemas.openxmlformats.org/officeDocument/2006/relationships/hyperlink" Target="https://www.google.com/url?q=https://oj.uz/problem/view/IOI14_holiday&amp;sa=D&amp;ust=1605639815520000&amp;usg=AFQjCNG4VDFGHgmnJNk4ekmImVlcgyrYgg" TargetMode="External"/><Relationship Id="rId730" Type="http://schemas.openxmlformats.org/officeDocument/2006/relationships/hyperlink" Target="https://www.google.com/url?q=https://cses.fi/190/list/&amp;sa=D&amp;ust=1605639815973000&amp;usg=AFQjCNHioJR-soI1MMI1FilbCAVaOdoN3w" TargetMode="External"/><Relationship Id="rId828" Type="http://schemas.openxmlformats.org/officeDocument/2006/relationships/hyperlink" Target="https://www.google.com/url?q=https://www.infoarena.ro/problema/casute&amp;sa=D&amp;ust=1605639816009000&amp;usg=AFQjCNHsNWSv313vmGvYmLJKGUV0ie2_Pg" TargetMode="External"/><Relationship Id="rId1013" Type="http://schemas.openxmlformats.org/officeDocument/2006/relationships/hyperlink" Target="https://www.google.com/url?q=https://oj.uz/problem/view/COCI18_planinarenje&amp;sa=D&amp;ust=1605639816117000&amp;usg=AFQjCNHLLpYkA6gs6nWAlN0pqg8veKAUAQ" TargetMode="External"/><Relationship Id="rId1360" Type="http://schemas.openxmlformats.org/officeDocument/2006/relationships/hyperlink" Target="https://www.google.com/url?q=https://oj.uz/problem/view/IOI15_boxes&amp;sa=D&amp;ust=1605639816333000&amp;usg=AFQjCNEjbEKZAX6AM6GbwJNIExXuwjXYKQ" TargetMode="External"/><Relationship Id="rId1458" Type="http://schemas.openxmlformats.org/officeDocument/2006/relationships/hyperlink" Target="https://www.google.com/url?q=https://joisc2015.contest.atcoder.jp/tasks/joisc2015_e&amp;sa=D&amp;ust=1605639816382000&amp;usg=AFQjCNH9L6PYG2QBwNVsKB1AjbR1JriURQ" TargetMode="External"/><Relationship Id="rId1665" Type="http://schemas.openxmlformats.org/officeDocument/2006/relationships/hyperlink" Target="https://www.google.com/url?q=https://www.infoarena.ro/problema/permsort&amp;sa=D&amp;ust=1605639816449000&amp;usg=AFQjCNFGemMtbFHqRDIwhygLugKCMdzEEA" TargetMode="External"/><Relationship Id="rId1872" Type="http://schemas.openxmlformats.org/officeDocument/2006/relationships/hyperlink" Target="https://www.google.com/url?q=https://dunjudge.me/analysis/problems/1226/&amp;sa=D&amp;ust=1605639816521000&amp;usg=AFQjCNF3VifKXIgJDwdxKuhuAp9o8fY-7Q" TargetMode="External"/><Relationship Id="rId2411" Type="http://schemas.openxmlformats.org/officeDocument/2006/relationships/hyperlink" Target="https://www.google.com/url?q=https://github.com/timpostuvan/CompetitiveProgramming/blob/master/Olympiad/CCO/GeeseVsHawks2018.cpp&amp;sa=D&amp;ust=1605639816688000&amp;usg=AFQjCNHrqyhTzS3P_MY_8I76LgjgXA8tog" TargetMode="External"/><Relationship Id="rId2509" Type="http://schemas.openxmlformats.org/officeDocument/2006/relationships/hyperlink" Target="https://www.google.com/url?q=https://oj.uz/problem/view/JOI20_ho_t1&amp;sa=D&amp;ust=1605639816722000&amp;usg=AFQjCNH3_CpJddcRNBSUPPKRdDilbwfuuw" TargetMode="External"/><Relationship Id="rId2716" Type="http://schemas.openxmlformats.org/officeDocument/2006/relationships/hyperlink" Target="https://www.google.com/url?q=https://dmoj.ca/problem/coci14c3p2&amp;sa=D&amp;ust=1605639816772000&amp;usg=AFQjCNHdeeIpiXvDAcekLeJNF4aOdEjrZg" TargetMode="External"/><Relationship Id="rId1220" Type="http://schemas.openxmlformats.org/officeDocument/2006/relationships/hyperlink" Target="https://www.google.com/url?q=https://github.com/mostafa-saad/MyCompetitiveProgramming/blob/master/Olympiad/IZhO/IZhO-13-school.txt&amp;sa=D&amp;ust=1605639816283000&amp;usg=AFQjCNEN5v_j0DrDt-dPDWHptf1BmM84nw" TargetMode="External"/><Relationship Id="rId1318" Type="http://schemas.openxmlformats.org/officeDocument/2006/relationships/hyperlink" Target="https://www.google.com/url?q=https://github.com/mostafa-saad/MyCompetitiveProgramming/blob/master/Olympiad/infoarena/infoarena-eq.txt&amp;sa=D&amp;ust=1605639816318000&amp;usg=AFQjCNEwIlMqNuQzXkoMBDAQG2bcWCjmOw" TargetMode="External"/><Relationship Id="rId1525" Type="http://schemas.openxmlformats.org/officeDocument/2006/relationships/hyperlink" Target="https://www.google.com/url?q=https://github.com/tmwilliamlin168/CompetitiveProgramming/blob/master/IZHO/13-Burrow.cpp&amp;sa=D&amp;ust=1605639816407000&amp;usg=AFQjCNGrDIWg2DGk9v5d9SmStbJKHXmtrA" TargetMode="External"/><Relationship Id="rId2923" Type="http://schemas.openxmlformats.org/officeDocument/2006/relationships/hyperlink" Target="https://www.google.com/url?q=https://wcipeg.com/problem/ioi1403&amp;sa=D&amp;ust=1605639816865000&amp;usg=AFQjCNEWncotXO8y506eX6n8wf_gOhIweg" TargetMode="External"/><Relationship Id="rId1732" Type="http://schemas.openxmlformats.org/officeDocument/2006/relationships/hyperlink" Target="https://www.google.com/url?q=https://oj.uz/problem/view/COCI18_priglavci&amp;sa=D&amp;ust=1605639816470000&amp;usg=AFQjCNGOjbPM_I39RtrhL3BIY9RX_h9s6g" TargetMode="External"/><Relationship Id="rId24" Type="http://schemas.openxmlformats.org/officeDocument/2006/relationships/hyperlink" Target="https://www.google.com/url?q=https://codeforces.com/contest/1192/problem/B&amp;sa=D&amp;ust=1605639815494000&amp;usg=AFQjCNGCQRqgo0IL0N6I8BFgGtmkoTjbtw" TargetMode="External"/><Relationship Id="rId2299" Type="http://schemas.openxmlformats.org/officeDocument/2006/relationships/hyperlink" Target="https://www.google.com/url?q=https://github.com/stefdasca/CompetitiveProgramming/blob/master/Infoarena/bile6.cpp&amp;sa=D&amp;ust=1605639816651000&amp;usg=AFQjCNGEMcVd_1XSwGFSw8GT-iSeNc3nhg" TargetMode="External"/><Relationship Id="rId173" Type="http://schemas.openxmlformats.org/officeDocument/2006/relationships/hyperlink" Target="https://www.google.com/url?q=https://csacademy.com/contest/ejoi-2017-day-1/task/six/&amp;sa=D&amp;ust=1605639815542000&amp;usg=AFQjCNFo7UaB1F75DrbvyIvctdvfaTfcHQ" TargetMode="External"/><Relationship Id="rId380" Type="http://schemas.openxmlformats.org/officeDocument/2006/relationships/hyperlink" Target="https://www.google.com/url?q=https://github.com/mostafa-saad/MyCompetitiveProgramming/blob/master/Olympiad/CEOI/CEOI-16-icc.txt&amp;sa=D&amp;ust=1605639815609000&amp;usg=AFQjCNHr_nnPDc6vgHQvVvTzZuI5atlVZA" TargetMode="External"/><Relationship Id="rId2061" Type="http://schemas.openxmlformats.org/officeDocument/2006/relationships/hyperlink" Target="https://www.google.com/url?q=https://github.com/mostafa-saad/MyCompetitiveProgramming/tree/master/Olympiad/MCO/official&amp;sa=D&amp;ust=1605639816581000&amp;usg=AFQjCNFvbjp2vWe9dWyVXTs-3TC9Kt1vOg" TargetMode="External"/><Relationship Id="rId240" Type="http://schemas.openxmlformats.org/officeDocument/2006/relationships/hyperlink" Target="https://www.google.com/url?q=https://oj.uz/problem/view/JOI18_snake_escaping&amp;sa=D&amp;ust=1605639815559000&amp;usg=AFQjCNEwTUxjYMkdwjsdNX0CbfdGYtoBbA" TargetMode="External"/><Relationship Id="rId478" Type="http://schemas.openxmlformats.org/officeDocument/2006/relationships/hyperlink" Target="https://www.google.com/url?q=https://github.com/shanto86/Training/blob/master/Dmoj/APIO%252010-Signaling.cpp&amp;sa=D&amp;ust=1605639815675000&amp;usg=AFQjCNHmiO2h-rP0d-VBKHAk0BAXIYdE7g" TargetMode="External"/><Relationship Id="rId685" Type="http://schemas.openxmlformats.org/officeDocument/2006/relationships/hyperlink" Target="https://www.google.com/url?q=https://oj.uz/problem/view/APIO17_merchant&amp;sa=D&amp;ust=1605639815930000&amp;usg=AFQjCNFVYqZWu2p-DNwPKf5Ad6_Qgx-lHA" TargetMode="External"/><Relationship Id="rId892" Type="http://schemas.openxmlformats.org/officeDocument/2006/relationships/hyperlink" Target="https://www.google.com/url?q=https://github.com/mostafa-saad/MyCompetitiveProgramming/blob/master/Olympiad/IOI/IOI-03-robots.txt&amp;sa=D&amp;ust=1605639816080000&amp;usg=AFQjCNH357tvrAsKgvpIElG5z48nI_j04Q" TargetMode="External"/><Relationship Id="rId2159" Type="http://schemas.openxmlformats.org/officeDocument/2006/relationships/hyperlink" Target="https://www.google.com/url?q=https://dmoj.ca/problem/coci08c1p5&amp;sa=D&amp;ust=1605639816614000&amp;usg=AFQjCNELKgcy2_BodRzO56OSmHNj28rBhA" TargetMode="External"/><Relationship Id="rId2366" Type="http://schemas.openxmlformats.org/officeDocument/2006/relationships/hyperlink" Target="https://www.google.com/url?q=https://oj.uz/submission/85415&amp;sa=D&amp;ust=1605639816670000&amp;usg=AFQjCNGQALWaistAERs27oEdLF_bGwRvAg" TargetMode="External"/><Relationship Id="rId2573" Type="http://schemas.openxmlformats.org/officeDocument/2006/relationships/hyperlink" Target="https://www.google.com/url?q=https://github.com/stefdasca/CompetitiveProgramming/blob/master/Infoarena/calorifer.cpp&amp;sa=D&amp;ust=1605639816738000&amp;usg=AFQjCNGxVAPXp6fuwcLyJToKMAuNEBhKJw" TargetMode="External"/><Relationship Id="rId2780" Type="http://schemas.openxmlformats.org/officeDocument/2006/relationships/hyperlink" Target="https://www.google.com/url?q=https://oj.uz/problem/view/COCI19_lun&amp;sa=D&amp;ust=1605639816794000&amp;usg=AFQjCNEzRiNOLdOfcA858mviOwQIXqfKgA" TargetMode="External"/><Relationship Id="rId100" Type="http://schemas.openxmlformats.org/officeDocument/2006/relationships/hyperlink" Target="https://www.google.com/url?q=https://github.com/mostafa-saad/MyCompetitiveProgramming/blob/master/Olympiad/APIO/APIO-16-fireworks.txt&amp;sa=D&amp;ust=1605639815521000&amp;usg=AFQjCNFSoMtUv0jCjEtDcpt8blFV2OpAwA" TargetMode="External"/><Relationship Id="rId338" Type="http://schemas.openxmlformats.org/officeDocument/2006/relationships/hyperlink" Target="https://www.google.com/url?q=https://github.com/mostafa-saad/MyCompetitiveProgramming/blob/master/Olympiad/COI/COI-15-cvenk.txt&amp;sa=D&amp;ust=1605639815594000&amp;usg=AFQjCNFBevKLpUaLLDuWXP8Gq_pjIH6jhg" TargetMode="External"/><Relationship Id="rId545" Type="http://schemas.openxmlformats.org/officeDocument/2006/relationships/hyperlink" Target="https://www.google.com/url?q=https://github.com/stefdasca/CompetitiveProgramming/blob/master/Infoarena/engineer.cpp&amp;sa=D&amp;ust=1605639815880000&amp;usg=AFQjCNG8bs8XoWluZHmqcE0ZLBAnWvGGug" TargetMode="External"/><Relationship Id="rId752" Type="http://schemas.openxmlformats.org/officeDocument/2006/relationships/hyperlink" Target="https://www.google.com/url?q=https://github.com/mostafa-saad/MyCompetitiveProgramming/blob/master/Olympiad/CEOI/CEOI-17-OneWay.txt&amp;sa=D&amp;ust=1605639815982000&amp;usg=AFQjCNEyKW4lQMuOg2bD3MzzgDwgjNAmAw" TargetMode="External"/><Relationship Id="rId1175" Type="http://schemas.openxmlformats.org/officeDocument/2006/relationships/hyperlink" Target="https://www.google.com/url?q=https://dmoj.ca/problem/apio10p1&amp;sa=D&amp;ust=1605639816219000&amp;usg=AFQjCNH3zY5zsSSDPckkUlpPrCyLBmLeTQ" TargetMode="External"/><Relationship Id="rId1382" Type="http://schemas.openxmlformats.org/officeDocument/2006/relationships/hyperlink" Target="https://www.google.com/url?q=https://www.hackerrank.com/contests/boi-2016/challenges&amp;sa=D&amp;ust=1605639816341000&amp;usg=AFQjCNET7N68nVqFEK_ETomF3RBVa_OiEw" TargetMode="External"/><Relationship Id="rId2019" Type="http://schemas.openxmlformats.org/officeDocument/2006/relationships/hyperlink" Target="https://www.google.com/url?q=https://dmoj.ca/problem/coci15c4p4&amp;sa=D&amp;ust=1605639816565000&amp;usg=AFQjCNHcMn402l000DBHCXmGP_xXChp_PQ" TargetMode="External"/><Relationship Id="rId2226" Type="http://schemas.openxmlformats.org/officeDocument/2006/relationships/hyperlink" Target="https://www.google.com/url?q=https://oj.uz/problem/view/NOI12_pancake&amp;sa=D&amp;ust=1605639816634000&amp;usg=AFQjCNHGuZnQFgcXjUmxs_zGSh18FaUsjw" TargetMode="External"/><Relationship Id="rId2433" Type="http://schemas.openxmlformats.org/officeDocument/2006/relationships/hyperlink" Target="https://www.google.com/url?q=https://dunjudge.me/analysis/problems/693/&amp;sa=D&amp;ust=1605639816695000&amp;usg=AFQjCNH22qBmOOSXgWL0bYKSb_DGbZKlVg" TargetMode="External"/><Relationship Id="rId2640" Type="http://schemas.openxmlformats.org/officeDocument/2006/relationships/hyperlink" Target="https://www.google.com/url?q=https://github.com/mostafa-saad/MyCompetitiveProgramming/tree/master/Olympiad/COCI/official/2008/contest1_solutions&amp;sa=D&amp;ust=1605639816752000&amp;usg=AFQjCNFDwgRYRpvRoOuCFSgwvJmHp9-TyA" TargetMode="External"/><Relationship Id="rId2878" Type="http://schemas.openxmlformats.org/officeDocument/2006/relationships/hyperlink" Target="https://www.google.com/url?q=https://www.acmicpc.net/problem/7083&amp;sa=D&amp;ust=1605639816827000&amp;usg=AFQjCNG_1ObjSh0Dj0RcXrYpGAANe8439w" TargetMode="External"/><Relationship Id="rId405" Type="http://schemas.openxmlformats.org/officeDocument/2006/relationships/hyperlink" Target="https://www.google.com/url?q=https://github.com/mostafa-saad/MyCompetitiveProgramming/blob/master/Olympiad/Balkan/official/2011/cmp-sol.pdf&amp;sa=D&amp;ust=1605639815619000&amp;usg=AFQjCNGBMMrNA3yzO1fJu1Kou8upqNNfrw" TargetMode="External"/><Relationship Id="rId612" Type="http://schemas.openxmlformats.org/officeDocument/2006/relationships/hyperlink" Target="https://www.google.com/url?q=https://dunjudge.me/analysis/problems/1827/&amp;sa=D&amp;ust=1605639815904000&amp;usg=AFQjCNF-rGXGZmDO8l5l7HwPXFRD-iL5MQ" TargetMode="External"/><Relationship Id="rId1035" Type="http://schemas.openxmlformats.org/officeDocument/2006/relationships/hyperlink" Target="https://www.google.com/url?q=https://oj.uz/problem/view/COCI16_mag&amp;sa=D&amp;ust=1605639816174000&amp;usg=AFQjCNG4GbYl3trRo1-COmQaGZ-3EfB8Cg" TargetMode="External"/><Relationship Id="rId1242" Type="http://schemas.openxmlformats.org/officeDocument/2006/relationships/hyperlink" Target="https://www.google.com/url?q=https://github.com/stefdasca/CompetitiveProgramming/blob/master/Infoarena/overpower.cpp&amp;sa=D&amp;ust=1605639816291000&amp;usg=AFQjCNHxSj8w-bnx_QgiCcdZO2xiTBiSEw" TargetMode="External"/><Relationship Id="rId1687" Type="http://schemas.openxmlformats.org/officeDocument/2006/relationships/hyperlink" Target="https://www.google.com/url?q=https://github.com/mostafa-saad/MyCompetitiveProgramming/blob/master/Olympiad/IOI/official/2016&amp;sa=D&amp;ust=1605639816455000&amp;usg=AFQjCNHoxnEIk8sCHoGZGouEVfAapFYoWw" TargetMode="External"/><Relationship Id="rId1894" Type="http://schemas.openxmlformats.org/officeDocument/2006/relationships/hyperlink" Target="https://www.google.com/url?q=https://szkopul.edu.pl/problemset/problem/70gcrAV-ccXlJa6gMBpOqV1u/site/&amp;sa=D&amp;ust=1605639816528000&amp;usg=AFQjCNHCEBA4rvp8jb0omn6wj43Hywx1Yg" TargetMode="External"/><Relationship Id="rId2500" Type="http://schemas.openxmlformats.org/officeDocument/2006/relationships/hyperlink" Target="https://www.google.com/url?q=https://dunjudge.me/analysis/problems/1411/&amp;sa=D&amp;ust=1605639816719000&amp;usg=AFQjCNH0pV-kfBCXqHoeMAw7o4O7weHOWw" TargetMode="External"/><Relationship Id="rId2738" Type="http://schemas.openxmlformats.org/officeDocument/2006/relationships/hyperlink" Target="https://www.google.com/url?q=https://oj.uz/problem/view/COCI16_go&amp;sa=D&amp;ust=1605639816780000&amp;usg=AFQjCNHXvuq87IXtu_0FZEI6196Vhe_U7A" TargetMode="External"/><Relationship Id="rId2945" Type="http://schemas.openxmlformats.org/officeDocument/2006/relationships/hyperlink" Target="https://www.google.com/url?q=https://dunjudge.me/analysis/problems/185/&amp;sa=D&amp;ust=1605639816876000&amp;usg=AFQjCNHXdATX2smfCvM4cFfx8FjPjyXHmA" TargetMode="External"/><Relationship Id="rId917" Type="http://schemas.openxmlformats.org/officeDocument/2006/relationships/hyperlink" Target="https://www.google.com/url?q=https://szkopul.edu.pl/problemset/problem/M09kYLBv3P6homsLzx_fmpgn/site/&amp;sa=D&amp;ust=1605639816089000&amp;usg=AFQjCNEhKBR12PdHKlnW6Jy7GS2yHsxhbg" TargetMode="External"/><Relationship Id="rId1102" Type="http://schemas.openxmlformats.org/officeDocument/2006/relationships/hyperlink" Target="https://www.google.com/url?q=https://github.com/luciocf/OI-Problems/blob/master/COCI/COCI%25202017-2018/dostavljac.cpp&amp;sa=D&amp;ust=1605639816198000&amp;usg=AFQjCNEtDuhO-UIK7dfhwig7l0nU994gOQ" TargetMode="External"/><Relationship Id="rId1547" Type="http://schemas.openxmlformats.org/officeDocument/2006/relationships/hyperlink" Target="https://www.google.com/url?q=https://github.com/mostafa-saad/MyCompetitiveProgramming/blob/master/Olympiad/CEOI/CEOI-17-Building.txt&amp;sa=D&amp;ust=1605639816415000&amp;usg=AFQjCNHwkMpbNmg635SHTLZ3V2bIfVsCNw" TargetMode="External"/><Relationship Id="rId1754" Type="http://schemas.openxmlformats.org/officeDocument/2006/relationships/hyperlink" Target="https://www.google.com/url?q=https://github.com/nikolapesic2802/Programming-Practice/blob/master/Collecting%2520stamps/main.cpp&amp;sa=D&amp;ust=1605639816479000&amp;usg=AFQjCNHEOmsrfhfGaYmmpS2yZwnOmzwu_Q" TargetMode="External"/><Relationship Id="rId1961" Type="http://schemas.openxmlformats.org/officeDocument/2006/relationships/hyperlink" Target="https://www.google.com/url?q=https://github.com/mostafa-saad/MyCompetitiveProgramming/blob/master/Olympiad/COCI/COCI-13-cokolade.txt&amp;sa=D&amp;ust=1605639816548000&amp;usg=AFQjCNFMyYQ_kt7kSva95vXyxW5XN5OfUQ" TargetMode="External"/><Relationship Id="rId2805" Type="http://schemas.openxmlformats.org/officeDocument/2006/relationships/hyperlink" Target="https://www.google.com/url?q=https://github.com/mostafa-saad/MyCompetitiveProgramming/blob/master/Olympiad/COCI/official/2010/contest3_solutions&amp;sa=D&amp;ust=1605639816804000&amp;usg=AFQjCNHUS66qsv6iTuTHDyUHIDQCgzt-tw" TargetMode="External"/><Relationship Id="rId46" Type="http://schemas.openxmlformats.org/officeDocument/2006/relationships/hyperlink" Target="https://www.google.com/url?q=https://dmoj.ca/contest/cco18d1&amp;sa=D&amp;ust=1605639815501000&amp;usg=AFQjCNGDZMGuChov0gLJDkncK0fu5-qNKw" TargetMode="External"/><Relationship Id="rId1407" Type="http://schemas.openxmlformats.org/officeDocument/2006/relationships/hyperlink" Target="https://www.google.com/url?q=https://contest.yandex.ru/ioi/contest/558/enter/&amp;sa=D&amp;ust=1605639816348000&amp;usg=AFQjCNGjssdCEmpNr44GO9YApAo4JlXuvw" TargetMode="External"/><Relationship Id="rId1614" Type="http://schemas.openxmlformats.org/officeDocument/2006/relationships/hyperlink" Target="https://www.google.com/url?q=https://github.com/mostafa-saad/MyCompetitiveProgramming/blob/master/Olympiad/POI/official/find_editorial_sols_guidelines.txt&amp;sa=D&amp;ust=1605639816435000&amp;usg=AFQjCNHhySJ5bx9mxZK3m009Dfq5ChYaCA" TargetMode="External"/><Relationship Id="rId1821" Type="http://schemas.openxmlformats.org/officeDocument/2006/relationships/hyperlink" Target="https://www.google.com/url?q=https://github.com/stefdasca/CompetitiveProgramming/blob/master/Infoarena/cuiburi.cpp&amp;sa=D&amp;ust=1605639816505000&amp;usg=AFQjCNFQPgo3pVehF6LW5AOz1kmnGDSfGQ" TargetMode="External"/><Relationship Id="rId195" Type="http://schemas.openxmlformats.org/officeDocument/2006/relationships/hyperlink" Target="https://www.google.com/url?q=https://github.com/mostafa-saad/MyCompetitiveProgramming/blob/master/Olympiad/APIO/official/2017&amp;sa=D&amp;ust=1605639815548000&amp;usg=AFQjCNFrTcWU1X0miAlVMfZx4EaC-xT9uw" TargetMode="External"/><Relationship Id="rId1919" Type="http://schemas.openxmlformats.org/officeDocument/2006/relationships/hyperlink" Target="https://www.google.com/url?q=https://github.com/mostafa-saad/MyCompetitiveProgramming/blob/master/Olympiad/COCI/COCI-14-Sabor.txt&amp;sa=D&amp;ust=1605639816535000&amp;usg=AFQjCNGhx9m0O8sETMBye2kUkx21rNTT7w" TargetMode="External"/><Relationship Id="rId2083" Type="http://schemas.openxmlformats.org/officeDocument/2006/relationships/hyperlink" Target="https://www.google.com/url?q=https://github.com/stefdasca/CompetitiveProgramming/blob/master/Infoarena/cifra4.cpp&amp;sa=D&amp;ust=1605639816589000&amp;usg=AFQjCNGkkuaBoMDXePyYKx0UNB-8ijXAww" TargetMode="External"/><Relationship Id="rId2290" Type="http://schemas.openxmlformats.org/officeDocument/2006/relationships/hyperlink" Target="https://www.google.com/url?q=https://github.com/SpeedOfMagic/CompetitiveProgramming/blob/master/SNSS/18-R5-A.cpp&amp;sa=D&amp;ust=1605639816649000&amp;usg=AFQjCNGKlJSKRxMdB2fRhhy_bVqb6BKp5w" TargetMode="External"/><Relationship Id="rId2388" Type="http://schemas.openxmlformats.org/officeDocument/2006/relationships/hyperlink" Target="https://www.google.com/url?q=https://codeforces.com/group/swEqtABRxe/contest/243435/problem/C&amp;sa=D&amp;ust=1605639816679000&amp;usg=AFQjCNG2IggHhIVZampNoOAhYkywNtNfPA" TargetMode="External"/><Relationship Id="rId2595" Type="http://schemas.openxmlformats.org/officeDocument/2006/relationships/hyperlink" Target="https://www.google.com/url?q=https://oj.uz/problem/view/COCI17_cezar&amp;sa=D&amp;ust=1605639816742000&amp;usg=AFQjCNHCuh3tImk3JikrdygBHw5r0TH34w" TargetMode="External"/><Relationship Id="rId262" Type="http://schemas.openxmlformats.org/officeDocument/2006/relationships/hyperlink" Target="https://www.google.com/url?q=https://oj.uz/problem/view/COCI15_drzava&amp;sa=D&amp;ust=1605639815566000&amp;usg=AFQjCNHjSvvBz5rxxYxgP7M4_05tay0Bew" TargetMode="External"/><Relationship Id="rId567" Type="http://schemas.openxmlformats.org/officeDocument/2006/relationships/hyperlink" Target="https://www.google.com/url?q=https://github.com/mostafa-saad/MyCompetitiveProgramming/blob/master/Olympiad/POI/POI-06-Frogs.txt&amp;sa=D&amp;ust=1605639815889000&amp;usg=AFQjCNH1NYou5ixBJsKQtCxpnCkRfTi6qQ" TargetMode="External"/><Relationship Id="rId1197" Type="http://schemas.openxmlformats.org/officeDocument/2006/relationships/hyperlink" Target="https://www.google.com/url?q=https://oj.uz/problem/view/POI13_tak&amp;sa=D&amp;ust=1605639816274000&amp;usg=AFQjCNG-u-MrAMxrk5Jrq6IXE1LlFG1UZg" TargetMode="External"/><Relationship Id="rId2150" Type="http://schemas.openxmlformats.org/officeDocument/2006/relationships/hyperlink" Target="https://www.google.com/url?q=https://joi2014ho.contest.atcoder.jp/tasks/joi2014ho2&amp;sa=D&amp;ust=1605639816610000&amp;usg=AFQjCNEMFRW9PWr4okVUr_eCPSvkX_8Nug" TargetMode="External"/><Relationship Id="rId2248" Type="http://schemas.openxmlformats.org/officeDocument/2006/relationships/hyperlink" Target="https://www.google.com/url?q=https://joi2013ho.contest.atcoder.jp/tasks/joi2013ho3&amp;sa=D&amp;ust=1605639816638000&amp;usg=AFQjCNGBh69HV_wnY4p0xeLpa2pALGov5Q" TargetMode="External"/><Relationship Id="rId122" Type="http://schemas.openxmlformats.org/officeDocument/2006/relationships/hyperlink" Target="https://www.google.com/url?q=https://oj.uz/problem/view/JOI19_dishes&amp;sa=D&amp;ust=1605639815528000&amp;usg=AFQjCNG0LLf4Fmk6na25aZlQxBobgVlwzg" TargetMode="External"/><Relationship Id="rId774" Type="http://schemas.openxmlformats.org/officeDocument/2006/relationships/hyperlink" Target="https://www.google.com/url?q=https://github.com/mostafa-saad/MyCompetitiveProgramming/blob/master/Olympiad/infoarena/Infoarena_tricolor.txt&amp;sa=D&amp;ust=1605639815989000&amp;usg=AFQjCNEy02_HIYvnXvo6Pkr96RKvT7fiRw" TargetMode="External"/><Relationship Id="rId981" Type="http://schemas.openxmlformats.org/officeDocument/2006/relationships/hyperlink" Target="https://www.google.com/url?q=https://www.infoarena.ro/problema/desc&amp;sa=D&amp;ust=1605639816108000&amp;usg=AFQjCNHh4q5DTC1Vd6xsdRyHtxz95E56Pg" TargetMode="External"/><Relationship Id="rId1057" Type="http://schemas.openxmlformats.org/officeDocument/2006/relationships/hyperlink" Target="https://www.google.com/url?q=https://csacademy.com/contest/archive/task/borland&amp;sa=D&amp;ust=1605639816181000&amp;usg=AFQjCNFJbVJ3svJPQzKL4mMT7vMNXMo3Pg" TargetMode="External"/><Relationship Id="rId2010" Type="http://schemas.openxmlformats.org/officeDocument/2006/relationships/hyperlink" Target="https://www.google.com/url?q=https://github.com/mostafa-saad/MyCompetitiveProgramming/blob/master/Olympiad/COCI/COCI-06-Circle.txt&amp;sa=D&amp;ust=1605639816562000&amp;usg=AFQjCNHvVC3pMpNJUtmhStP4wDhSUqw_9Q" TargetMode="External"/><Relationship Id="rId2455" Type="http://schemas.openxmlformats.org/officeDocument/2006/relationships/hyperlink" Target="https://www.google.com/url?q=https://github.com/mostafa-saad/MyCompetitiveProgramming/blob/master/Olympiad/NOI/official&amp;sa=D&amp;ust=1605639816704000&amp;usg=AFQjCNHdw0dS3vyTTsQfmRey3FVRbI8-aw" TargetMode="External"/><Relationship Id="rId2662" Type="http://schemas.openxmlformats.org/officeDocument/2006/relationships/hyperlink" Target="https://www.google.com/url?q=https://wcipeg.com/problem/coci092p2&amp;sa=D&amp;ust=1605639816756000&amp;usg=AFQjCNF-s0VSAo2zuXOCgVEA93dy61HQfg" TargetMode="External"/><Relationship Id="rId427" Type="http://schemas.openxmlformats.org/officeDocument/2006/relationships/hyperlink" Target="https://www.google.com/url?q=https://www.infoarena.ro/problema/bvarcolaci&amp;sa=D&amp;ust=1605639815627000&amp;usg=AFQjCNGpFLA_ukz_qGqulB9mtMTc1lVcww" TargetMode="External"/><Relationship Id="rId634" Type="http://schemas.openxmlformats.org/officeDocument/2006/relationships/hyperlink" Target="https://www.google.com/url?q=https://oj.uz/problem/view/IZhO14_marriage&amp;sa=D&amp;ust=1605639815912000&amp;usg=AFQjCNHvwvGkpgnGQUek5yBqyceL4dp43Q" TargetMode="External"/><Relationship Id="rId841" Type="http://schemas.openxmlformats.org/officeDocument/2006/relationships/hyperlink" Target="https://www.google.com/url?q=https://infoarena.ro/problema/paintball&amp;sa=D&amp;ust=1605639816013000&amp;usg=AFQjCNGUXHeJ019FFR-9q1lRwsTBELc1jA" TargetMode="External"/><Relationship Id="rId1264" Type="http://schemas.openxmlformats.org/officeDocument/2006/relationships/hyperlink" Target="https://www.google.com/url?q=https://github.com/mostafa-saad/MyCompetitiveProgramming/blob/master/Olympiad/IZhO/IZhO-18-treearray.txt&amp;sa=D&amp;ust=1605639816299000&amp;usg=AFQjCNG730z2bIDY4OOvZrLq4Xe7hYzSMQ" TargetMode="External"/><Relationship Id="rId1471" Type="http://schemas.openxmlformats.org/officeDocument/2006/relationships/hyperlink" Target="https://www.google.com/url?q=https://contest.yandex.ru/ioi/contest/560/enter/&amp;sa=D&amp;ust=1605639816389000&amp;usg=AFQjCNEUgltNaqANms6uHxeOwtISmEykUw" TargetMode="External"/><Relationship Id="rId1569" Type="http://schemas.openxmlformats.org/officeDocument/2006/relationships/hyperlink" Target="https://www.google.com/url?q=https://github.com/stefdasca/CompetitiveProgramming/blob/master/JOI/JOI%252017-joioi.cpp&amp;sa=D&amp;ust=1605639816422000&amp;usg=AFQjCNFY3z5yN-BkqShig4HkENQB0ESjpg" TargetMode="External"/><Relationship Id="rId2108" Type="http://schemas.openxmlformats.org/officeDocument/2006/relationships/hyperlink" Target="https://www.google.com/url?q=https://oj.uz/problems/source/307&amp;sa=D&amp;ust=1605639816598000&amp;usg=AFQjCNGfUtPhyDLZu2LubWrLZsboCw0Qgw" TargetMode="External"/><Relationship Id="rId2315" Type="http://schemas.openxmlformats.org/officeDocument/2006/relationships/hyperlink" Target="https://www.google.com/url?q=https://dunjudge.me/analysis/problems/695/&amp;sa=D&amp;ust=1605639816656000&amp;usg=AFQjCNHcX0utbODpR80dcW1aG2gnKLEVbw" TargetMode="External"/><Relationship Id="rId2522" Type="http://schemas.openxmlformats.org/officeDocument/2006/relationships/hyperlink" Target="https://www.google.com/url?q=https://github.com/mostafa-saad/MyCompetitiveProgramming/blob/master/Olympiad/COCI/official/2010/contest6_solutions&amp;sa=D&amp;ust=1605639816727000&amp;usg=AFQjCNEbdrebxUkrGDNmDeq7CxHgcmnskg" TargetMode="External"/><Relationship Id="rId2967" Type="http://schemas.openxmlformats.org/officeDocument/2006/relationships/hyperlink" Target="https://www.google.com/url?q=https://szkopul.edu.pl/problemset/problem/w-dbshXVyRol4LIT9jeP-bNn/site/&amp;sa=D&amp;ust=1605639816887000&amp;usg=AFQjCNHGkDVI3JaEKLDY2XAA4FBIq2wWDg" TargetMode="External"/><Relationship Id="rId701" Type="http://schemas.openxmlformats.org/officeDocument/2006/relationships/hyperlink" Target="https://www.google.com/url?q=https://github.com/mostafa-saad/MyCompetitiveProgramming/blob/master/Olympiad/infoarena/infoarena_deletegcd.txt&amp;sa=D&amp;ust=1605639815933000&amp;usg=AFQjCNFrHHrIQqodnxzzHhcVLKMrdMFgHg" TargetMode="External"/><Relationship Id="rId939" Type="http://schemas.openxmlformats.org/officeDocument/2006/relationships/hyperlink" Target="https://www.google.com/url?q=https://github.com/stefdasca/CompetitiveProgramming/blob/master/Infoarena/cover.cpp&amp;sa=D&amp;ust=1605639816095000&amp;usg=AFQjCNFzoEgx7gDwsHTZUGqKAaXWU_THUg" TargetMode="External"/><Relationship Id="rId1124" Type="http://schemas.openxmlformats.org/officeDocument/2006/relationships/hyperlink" Target="https://www.google.com/url?q=https://github.com/mostafa-saad/MyCompetitiveProgramming/blob/master/Olympiad/Baltic/Baltic-08-Gloves.txt&amp;sa=D&amp;ust=1605639816204000&amp;usg=AFQjCNHogsjallDMg0RWHCdaEhVlGMesRA" TargetMode="External"/><Relationship Id="rId1331" Type="http://schemas.openxmlformats.org/officeDocument/2006/relationships/hyperlink" Target="https://www.google.com/url?q=https://training.ia-toki.org/problemsets/113/problems&amp;sa=D&amp;ust=1605639816322000&amp;usg=AFQjCNFmso4oM2lvSK1OHSVBdXvGDmZg7A" TargetMode="External"/><Relationship Id="rId1776" Type="http://schemas.openxmlformats.org/officeDocument/2006/relationships/hyperlink" Target="https://www.google.com/url?q=https://github.com/tmwilliamlin168/CompetitiveProgramming/blob/master/COI/15-Koviance.cpp&amp;sa=D&amp;ust=1605639816487000&amp;usg=AFQjCNF0C36JMc1bNOecQc9FKqQzAyKHiQ" TargetMode="External"/><Relationship Id="rId1983" Type="http://schemas.openxmlformats.org/officeDocument/2006/relationships/hyperlink" Target="https://www.google.com/url?q=https://github.com/mostafa-saad/MyCompetitiveProgramming/blob/master/Olympiad/POI/official/find_editorial_sols_guidelines.txt&amp;sa=D&amp;ust=1605639816555000&amp;usg=AFQjCNFx8T_Q7Mq9E085_Nye1f2Uwg_D8A" TargetMode="External"/><Relationship Id="rId2827" Type="http://schemas.openxmlformats.org/officeDocument/2006/relationships/hyperlink" Target="https://www.google.com/url?q=https://github.com/mostafa-saad/MyCompetitiveProgramming/tree/master/Olympiad/COCI/official/2007/contest5_solutions&amp;sa=D&amp;ust=1605639816810000&amp;usg=AFQjCNGXOgOCtFPz2VkxH2YOeC3cbrvw1w" TargetMode="External"/><Relationship Id="rId68" Type="http://schemas.openxmlformats.org/officeDocument/2006/relationships/hyperlink" Target="https://www.google.com/url?q=https://oj.uz/problems/source/121&amp;sa=D&amp;ust=1605639815511000&amp;usg=AFQjCNHjEzqwA2DrWGjqGK3frurzcivyHg" TargetMode="External"/><Relationship Id="rId1429" Type="http://schemas.openxmlformats.org/officeDocument/2006/relationships/hyperlink" Target="https://www.google.com/url?q=https://github.com/mostafa-saad/MyCompetitiveProgramming/blob/master/Olympiad/CEOI/CEOI-04-Two.txt&amp;sa=D&amp;ust=1605639816371000&amp;usg=AFQjCNGnwJCqp89IIwqPlXWyW3R4K-HhfA" TargetMode="External"/><Relationship Id="rId1636" Type="http://schemas.openxmlformats.org/officeDocument/2006/relationships/hyperlink" Target="https://www.google.com/url?q=https://cses.fi/problemset/task/1654&amp;sa=D&amp;ust=1605639816442000&amp;usg=AFQjCNEbNRNuRHhJZVqOTIg3bXAob3M_7Q" TargetMode="External"/><Relationship Id="rId1843" Type="http://schemas.openxmlformats.org/officeDocument/2006/relationships/hyperlink" Target="https://www.google.com/url?q=http://usaco.org/index.php?page%3Dviewproblem2%26cpid%3D576&amp;sa=D&amp;ust=1605639816511000&amp;usg=AFQjCNGqu9S7_W0rCjsXxSImvDPikyC89A" TargetMode="External"/><Relationship Id="rId1703" Type="http://schemas.openxmlformats.org/officeDocument/2006/relationships/hyperlink" Target="https://www.google.com/url?q=https://joi2015ho.contest.atcoder.jp/tasks/joi2015ho_b&amp;sa=D&amp;ust=1605639816460000&amp;usg=AFQjCNFIlE183jq_1j2SDK-BYQU47S5AXw" TargetMode="External"/><Relationship Id="rId1910" Type="http://schemas.openxmlformats.org/officeDocument/2006/relationships/hyperlink" Target="https://www.google.com/url?q=https://github.com/mostafa-saad/MyCompetitiveProgramming/blob/master/Olympiad/Baltic/Baltic-10-Bins.txt&amp;sa=D&amp;ust=1605639816533000&amp;usg=AFQjCNFu2QmIpe62kE3jstzuoXG4KWaBEw" TargetMode="External"/><Relationship Id="rId284" Type="http://schemas.openxmlformats.org/officeDocument/2006/relationships/hyperlink" Target="https://www.google.com/url?q=https://oj.uz/problem/view/APIO17_rainbow&amp;sa=D&amp;ust=1605639815575000&amp;usg=AFQjCNEBnc8Ix4VT9ol2IFqq85YHII483g" TargetMode="External"/><Relationship Id="rId491" Type="http://schemas.openxmlformats.org/officeDocument/2006/relationships/hyperlink" Target="https://www.google.com/url?q=https://github.com/mostafa-saad/MyCompetitiveProgramming/blob/master/Olympiad/POI/official/find_editorial_sols_guidelines.txt&amp;sa=D&amp;ust=1605639815679000&amp;usg=AFQjCNFJSqaZhMD2H9WrIq_pWrvaH6Tt3g" TargetMode="External"/><Relationship Id="rId2172" Type="http://schemas.openxmlformats.org/officeDocument/2006/relationships/hyperlink" Target="https://www.google.com/url?q=https://oj.uz/problem/view/COCI20_skandi&amp;sa=D&amp;ust=1605639816618000&amp;usg=AFQjCNE9qLbC2fvNjzOYdmjhf9uWA4iYiA" TargetMode="External"/><Relationship Id="rId3016" Type="http://schemas.openxmlformats.org/officeDocument/2006/relationships/hyperlink" Target="https://www.google.com/url?q=https://dunjudge.me/analysis/problems/680/&amp;sa=D&amp;ust=1605639816909000&amp;usg=AFQjCNFFSMy0N2HkvCEceWEz_ujNYPmB1g" TargetMode="External"/><Relationship Id="rId144" Type="http://schemas.openxmlformats.org/officeDocument/2006/relationships/hyperlink" Target="https://www.google.com/url?q=https://github.com/tsouza0/CompetitiveProgramming/blob/master/Olympiads/Canada/cco/ccoprep4/p3.cpp&amp;sa=D&amp;ust=1605639815534000&amp;usg=AFQjCNFspIfTLSAHfdc1Vm-8M-zRvFl3Jw" TargetMode="External"/><Relationship Id="rId589" Type="http://schemas.openxmlformats.org/officeDocument/2006/relationships/hyperlink" Target="https://www.google.com/url?q=https://github.com/mostafa-saad/MyCompetitiveProgramming/blob/master/Olympiad/NOI/NOI-19-feast.txt&amp;sa=D&amp;ust=1605639815897000&amp;usg=AFQjCNHZJq8_Tv91r_zQREpNcTlW2aQP4w" TargetMode="External"/><Relationship Id="rId796" Type="http://schemas.openxmlformats.org/officeDocument/2006/relationships/hyperlink" Target="https://www.google.com/url?q=https://github.com/mostafa-saad/MyCompetitiveProgramming/blob/master/Olympiad/POI/POI-04-Game.txt&amp;sa=D&amp;ust=1605639815997000&amp;usg=AFQjCNGSY9Y87VmRUAxPb3BmmUg57DS6Nw" TargetMode="External"/><Relationship Id="rId2477" Type="http://schemas.openxmlformats.org/officeDocument/2006/relationships/hyperlink" Target="https://www.google.com/url?q=https://github.com/stefdasca/CompetitiveProgramming/blob/master/Infoarena/marceland.cpp&amp;sa=D&amp;ust=1605639816712000&amp;usg=AFQjCNGpV0egLHkbcq5NbBh_RsicVni9hQ" TargetMode="External"/><Relationship Id="rId2684" Type="http://schemas.openxmlformats.org/officeDocument/2006/relationships/hyperlink" Target="https://www.google.com/url?q=https://github.com/mostafa-saad/MyCompetitiveProgramming/blob/master/Olympiad/COCI/official/2016/contest3_solutions&amp;sa=D&amp;ust=1605639816761000&amp;usg=AFQjCNFa24CM_PUWCKDB0kmoWL5BKOJThQ" TargetMode="External"/><Relationship Id="rId351" Type="http://schemas.openxmlformats.org/officeDocument/2006/relationships/hyperlink" Target="https://www.google.com/url?q=https://www.infoarena.ro/problema/disconnect&amp;sa=D&amp;ust=1605639815598000&amp;usg=AFQjCNFPsT9pGHJ4CgBqIRKvoMteVdWMzg" TargetMode="External"/><Relationship Id="rId449" Type="http://schemas.openxmlformats.org/officeDocument/2006/relationships/hyperlink" Target="https://www.google.com/url?q=https://github.com/mostafa-saad/MyCompetitiveProgramming/blob/master/Olympiad/IOI/IOI-00-Blocks.txt&amp;sa=D&amp;ust=1605639815635000&amp;usg=AFQjCNFbBCpUPdbDIyVWAeAvCEU2XbZUpg" TargetMode="External"/><Relationship Id="rId656" Type="http://schemas.openxmlformats.org/officeDocument/2006/relationships/hyperlink" Target="https://www.google.com/url?q=https://cses.fi/188/list/&amp;sa=D&amp;ust=1605639815920000&amp;usg=AFQjCNGltnwtxXyA55g-VymUWMtGXmoLWQ" TargetMode="External"/><Relationship Id="rId863" Type="http://schemas.openxmlformats.org/officeDocument/2006/relationships/hyperlink" Target="https://www.google.com/url?q=https://oj.uz/problem/view/JOI19_ho_t4&amp;sa=D&amp;ust=1605639816022000&amp;usg=AFQjCNHBcCoKYG_vHy3UHhskuchic7ltrw" TargetMode="External"/><Relationship Id="rId1079" Type="http://schemas.openxmlformats.org/officeDocument/2006/relationships/hyperlink" Target="https://www.google.com/url?q=https://oj.uz/problem/view/IZhO14_blocks&amp;sa=D&amp;ust=1605639816190000&amp;usg=AFQjCNGJO9-y2LwcABGdn_unFsQM2A8NVg" TargetMode="External"/><Relationship Id="rId1286" Type="http://schemas.openxmlformats.org/officeDocument/2006/relationships/hyperlink" Target="https://www.google.com/url?q=https://github.com/mostafa-saad/MyCompetitiveProgramming/blob/master/Olympiad/IOI/IOI-05-mountains.txt&amp;sa=D&amp;ust=1605639816306000&amp;usg=AFQjCNHuEFpiT8Sz6naLn1Fz6yfda6x6pA" TargetMode="External"/><Relationship Id="rId1493" Type="http://schemas.openxmlformats.org/officeDocument/2006/relationships/hyperlink" Target="https://www.google.com/url?q=https://github.com/mostafa-saad/MyCompetitiveProgramming/blob/master/Olympiad/COCI/official/2018/contest2_solutions&amp;sa=D&amp;ust=1605639816396000&amp;usg=AFQjCNFUfb6xQ_nna0Ke-rSpnBrOV4UjIA" TargetMode="External"/><Relationship Id="rId2032" Type="http://schemas.openxmlformats.org/officeDocument/2006/relationships/hyperlink" Target="https://www.google.com/url?q=http://blog.brucemerry.org.za/2014/07/&amp;sa=D&amp;ust=1605639816570000&amp;usg=AFQjCNEOyYYnmnmxFooG3ysZSZd5psrFrA" TargetMode="External"/><Relationship Id="rId2337" Type="http://schemas.openxmlformats.org/officeDocument/2006/relationships/hyperlink" Target="https://www.google.com/url?q=https://oj.uz/problem/view/COCI18_karte&amp;sa=D&amp;ust=1605639816661000&amp;usg=AFQjCNFStTdxGqUc-PQHr-VAgtmoWWFBtQ" TargetMode="External"/><Relationship Id="rId2544" Type="http://schemas.openxmlformats.org/officeDocument/2006/relationships/hyperlink" Target="https://www.google.com/url?q=https://dmoj.ca/problem/coci14c6p2&amp;sa=D&amp;ust=1605639816731000&amp;usg=AFQjCNHvDDRgmZl9ZckTWMuHuRX2zn3rwA" TargetMode="External"/><Relationship Id="rId2891" Type="http://schemas.openxmlformats.org/officeDocument/2006/relationships/hyperlink" Target="https://www.google.com/url?q=https://dunjudge.me/analysis/problems/437/&amp;sa=D&amp;ust=1605639816831000&amp;usg=AFQjCNH6ZCcb-y66Cj1Aryji4Z-PDwB4KQ" TargetMode="External"/><Relationship Id="rId2989" Type="http://schemas.openxmlformats.org/officeDocument/2006/relationships/hyperlink" Target="https://www.google.com/url?q=https://github.com/mostafa-saad/MyCompetitiveProgramming/blob/master/Olympiad/POI/official/find_editorial_sols_guidelines.txt&amp;sa=D&amp;ust=1605639816897000&amp;usg=AFQjCNFJ6KevUlTrj2V5XT4K7FB-0cU9Ig" TargetMode="External"/><Relationship Id="rId211" Type="http://schemas.openxmlformats.org/officeDocument/2006/relationships/hyperlink" Target="https://www.google.com/url?q=https://github.com/mostafa-saad/MyCompetitiveProgramming/blob/master/Olympiad/JOI/JOISC-18-construction.txt&amp;sa=D&amp;ust=1605639815553000&amp;usg=AFQjCNEpJCaFif-Jyc7xky5SF_AOprU1NA" TargetMode="External"/><Relationship Id="rId309" Type="http://schemas.openxmlformats.org/officeDocument/2006/relationships/hyperlink" Target="https://www.google.com/url?q=https://github.com/mostafa-saad/MyCompetitiveProgramming/blob/master/Olympiad/POI/JOI/JOISC-17-dragon2.txt&amp;sa=D&amp;ust=1605639815583000&amp;usg=AFQjCNHacgdOT78KygLOmSIgmKOeo58e3w" TargetMode="External"/><Relationship Id="rId516" Type="http://schemas.openxmlformats.org/officeDocument/2006/relationships/hyperlink" Target="https://www.google.com/url?q=https://github.com/mostafa-saad/MyCompetitiveProgramming/blob/master/Olympiad/POI/POI-16-Not_Nim.txt&amp;sa=D&amp;ust=1605639815686000&amp;usg=AFQjCNGbK557-OVNZp4_NMAwutRh0lhC0g" TargetMode="External"/><Relationship Id="rId1146" Type="http://schemas.openxmlformats.org/officeDocument/2006/relationships/hyperlink" Target="https://www.google.com/url?q=https://oj.uz/problem/view/BOI19_olympiads&amp;sa=D&amp;ust=1605639816211000&amp;usg=AFQjCNHQLzPDtKl21MQOcSj8KQAqOLGX4A" TargetMode="External"/><Relationship Id="rId1798" Type="http://schemas.openxmlformats.org/officeDocument/2006/relationships/hyperlink" Target="https://www.google.com/url?q=https://szkopul.edu.pl/problemset/problem/d30xri2XGeuQ45CDrB7DWijK/site/&amp;sa=D&amp;ust=1605639816496000&amp;usg=AFQjCNEiCzyFDoj3jUjzIkDF1poMOLLLBA" TargetMode="External"/><Relationship Id="rId2751" Type="http://schemas.openxmlformats.org/officeDocument/2006/relationships/hyperlink" Target="https://www.google.com/url?q=https://github.com/mostafa-saad/MyCompetitiveProgramming/blob/master/Olympiad/NOI/official/2011.pptx&amp;sa=D&amp;ust=1605639816783000&amp;usg=AFQjCNFvZJSr4-dGbtUrtJU4Ab6go4AUpg" TargetMode="External"/><Relationship Id="rId2849" Type="http://schemas.openxmlformats.org/officeDocument/2006/relationships/hyperlink" Target="https://www.google.com/url?q=https://dunjudge.me/analysis/problems/738/&amp;sa=D&amp;ust=1605639816816000&amp;usg=AFQjCNHZZcy_BpR4dQ-Azk9FSCF_AfUdoA" TargetMode="External"/><Relationship Id="rId723" Type="http://schemas.openxmlformats.org/officeDocument/2006/relationships/hyperlink" Target="https://www.google.com/url?q=https://github.com/mostafa-saad/MyCompetitiveProgramming/blob/master/Olympiad/Baltic/Baltic-17-PoliticalDevelopment.txt&amp;sa=D&amp;ust=1605639815971000&amp;usg=AFQjCNFDPCmcsEOksbiBWJJ71lqfq6UYPg" TargetMode="External"/><Relationship Id="rId930" Type="http://schemas.openxmlformats.org/officeDocument/2006/relationships/hyperlink" Target="https://www.google.com/url?q=https://github.com/tmwilliamlin168/CompetitiveProgramming/blob/master/CEOI/14-007.cpp&amp;sa=D&amp;ust=1605639816092000&amp;usg=AFQjCNHBmMzXzGW5GVqctLPrUGT1ojlemQ" TargetMode="External"/><Relationship Id="rId1006" Type="http://schemas.openxmlformats.org/officeDocument/2006/relationships/hyperlink" Target="https://www.google.com/url?q=https://github.com/mostafa-saad/MyCompetitiveProgramming/blob/master/Olympiad/CEOI/CEOIPractice_17-Museum.txt&amp;sa=D&amp;ust=1605639816116000&amp;usg=AFQjCNGIIoZisekMF4lGxbEJ0PxLfGkZ1w" TargetMode="External"/><Relationship Id="rId1353" Type="http://schemas.openxmlformats.org/officeDocument/2006/relationships/hyperlink" Target="https://www.google.com/url?q=https://github.com/mostafa-saad/MyCompetitiveProgramming/blob/master/Olympiad/COCI/COCI-06-Ispiti.txt&amp;sa=D&amp;ust=1605639816331000&amp;usg=AFQjCNGJymqRlDyIvGYNy3OPEaQulnUWZw" TargetMode="External"/><Relationship Id="rId1560" Type="http://schemas.openxmlformats.org/officeDocument/2006/relationships/hyperlink" Target="https://www.google.com/url?q=https://github.com/mostafa-saad/MyCompetitiveProgramming/tree/master/Olympiad/IOI/official/2019&amp;sa=D&amp;ust=1605639816419000&amp;usg=AFQjCNFs5wuLiG0EQ6B7-dz8BEUUTXPqIA" TargetMode="External"/><Relationship Id="rId1658" Type="http://schemas.openxmlformats.org/officeDocument/2006/relationships/hyperlink" Target="https://www.google.com/url?q=https://github.com/mostafa-saad/MyCompetitiveProgramming/blob/master/Olympiad/POI/POI-96-wie.txt&amp;sa=D&amp;ust=1605639816447000&amp;usg=AFQjCNEFBbRJiWaOIrCn5Tajqdg01LL3nQ" TargetMode="External"/><Relationship Id="rId1865" Type="http://schemas.openxmlformats.org/officeDocument/2006/relationships/hyperlink" Target="https://www.google.com/url?q=https://dmoj.ca/problem/coci06c6p4&amp;sa=D&amp;ust=1605639816519000&amp;usg=AFQjCNFNc-k7kRyVUvO4ZgNI51eyB4nAtQ" TargetMode="External"/><Relationship Id="rId2404" Type="http://schemas.openxmlformats.org/officeDocument/2006/relationships/hyperlink" Target="https://www.google.com/url?q=https://oj.uz/problem/view/COCI18_mate&amp;sa=D&amp;ust=1605639816684000&amp;usg=AFQjCNF7ld3ykClvB6_d8_qu6GbNW8NsWA" TargetMode="External"/><Relationship Id="rId2611" Type="http://schemas.openxmlformats.org/officeDocument/2006/relationships/hyperlink" Target="https://www.google.com/url?q=https://dmoj.ca/problem/coci07c3p3&amp;sa=D&amp;ust=1605639816745000&amp;usg=AFQjCNGMR-iJYObs1YVn3gR_Si_FW47srw" TargetMode="External"/><Relationship Id="rId2709" Type="http://schemas.openxmlformats.org/officeDocument/2006/relationships/hyperlink" Target="https://www.google.com/url?q=https://github.com/mostafa-saad/MyCompetitiveProgramming/blob/master/Olympiad/COCI/official/2014/contest2_solutions&amp;sa=D&amp;ust=1605639816770000&amp;usg=AFQjCNEPtzT5EhIQ8CdAksopN8HECmVX-g" TargetMode="External"/><Relationship Id="rId1213" Type="http://schemas.openxmlformats.org/officeDocument/2006/relationships/hyperlink" Target="https://www.google.com/url?q=https://joisc2013-day2.contest.atcoder.jp/tasks/joisc2013_construction&amp;sa=D&amp;ust=1605639816279000&amp;usg=AFQjCNEzsDHf1CvAFEN--7hlkznAl80Jwg" TargetMode="External"/><Relationship Id="rId1420" Type="http://schemas.openxmlformats.org/officeDocument/2006/relationships/hyperlink" Target="https://www.google.com/url?q=https://oj.uz/problem/view/IZhO18_chessboard&amp;sa=D&amp;ust=1605639816368000&amp;usg=AFQjCNFwFpx9G6iJvsZU3r4rZCMTcBW2kQ" TargetMode="External"/><Relationship Id="rId1518" Type="http://schemas.openxmlformats.org/officeDocument/2006/relationships/hyperlink" Target="https://www.google.com/url?q=https://github.com/win11905/submission/blob/master/NOI/12/modsum.cpp&amp;sa=D&amp;ust=1605639816405000&amp;usg=AFQjCNHsML5R5ivMcWwaGRsBEG3wVpNu9g" TargetMode="External"/><Relationship Id="rId2916" Type="http://schemas.openxmlformats.org/officeDocument/2006/relationships/hyperlink" Target="https://www.google.com/url?q=https://oj.uz/problem/view/innopolis2018_final_B&amp;sa=D&amp;ust=1605639816847000&amp;usg=AFQjCNGRLEs2LD8ax7xQ9G4DF5uxg2fVew" TargetMode="External"/><Relationship Id="rId1725" Type="http://schemas.openxmlformats.org/officeDocument/2006/relationships/hyperlink" Target="https://www.google.com/url?q=https://github.com/Rockbet/Problems/blob/master/EJOI/2017/Day%25201/Magic.cpp&amp;sa=D&amp;ust=1605639816468000&amp;usg=AFQjCNE8n0WS6CTTA7A5OjL0SdVesdhbfw" TargetMode="External"/><Relationship Id="rId1932" Type="http://schemas.openxmlformats.org/officeDocument/2006/relationships/hyperlink" Target="https://www.google.com/url?q=https://github.com/mostafa-saad/MyCompetitiveProgramming/blob/master/Olympiad/APIO/APIO-08-Roads.txt&amp;sa=D&amp;ust=1605639816539000&amp;usg=AFQjCNEOHbUXuhbc2qsNY09oc4SFfeexXA" TargetMode="External"/><Relationship Id="rId17" Type="http://schemas.openxmlformats.org/officeDocument/2006/relationships/hyperlink" Target="https://www.google.com/url?q=https://github.com/mostafa-saad/MyCompetitiveProgramming/blob/master/Olympiad/APIO/APIO-18-newhome.txt&amp;sa=D&amp;ust=1605639815491000&amp;usg=AFQjCNGyj_ncbF8GzUF-jPBGO1OkzZ0LtA" TargetMode="External"/><Relationship Id="rId2194" Type="http://schemas.openxmlformats.org/officeDocument/2006/relationships/hyperlink" Target="https://www.google.com/url?q=https://github.com/mostafa-saad/MyCompetitiveProgramming/blob/master/Olympiad/Baltic/Baltic-07-Sequence.txt&amp;sa=D&amp;ust=1605639816626000&amp;usg=AFQjCNHEiJCzIhw7YrkOdRO1YC3-9P4TOA" TargetMode="External"/><Relationship Id="rId166" Type="http://schemas.openxmlformats.org/officeDocument/2006/relationships/hyperlink" Target="https://www.google.com/url?q=https://github.com/mostafa-saad/MyCompetitiveProgramming/blob/master/Olympiad/POI/official/find_editorial_sols_guidelines.txt&amp;sa=D&amp;ust=1605639815540000&amp;usg=AFQjCNFIQmRGKuykMN5-l13RaeqaalcfIQ" TargetMode="External"/><Relationship Id="rId373" Type="http://schemas.openxmlformats.org/officeDocument/2006/relationships/hyperlink" Target="https://www.google.com/url?q=https://szkopul.edu.pl/problemset/problem/O730xgZEVynTWBmscBinhMbD/site/&amp;sa=D&amp;ust=1605639815607000&amp;usg=AFQjCNElyf2Atbdj0nUwELiZmkgTLa17nA" TargetMode="External"/><Relationship Id="rId580" Type="http://schemas.openxmlformats.org/officeDocument/2006/relationships/hyperlink" Target="https://www.google.com/url?q=https://oj.uz/problem/view/info1cup18_hidden&amp;sa=D&amp;ust=1605639815893000&amp;usg=AFQjCNHGniq_uVuS2vLOPEpUWQFzh5RlzQ" TargetMode="External"/><Relationship Id="rId2054" Type="http://schemas.openxmlformats.org/officeDocument/2006/relationships/hyperlink" Target="https://www.google.com/url?q=https://oj.uz/problem/view/COCI18_kocka&amp;sa=D&amp;ust=1605639816578000&amp;usg=AFQjCNF3AIlbCiRFcGjO4-jgK2oQKHZmCQ" TargetMode="External"/><Relationship Id="rId2261" Type="http://schemas.openxmlformats.org/officeDocument/2006/relationships/hyperlink" Target="https://www.google.com/url?q=https://szkopul.edu.pl/problemset/problem/v6-xa-25AJSF4_oV5LAKvz7H/site/&amp;sa=D&amp;ust=1605639816642000&amp;usg=AFQjCNFblur2pCLSUCUbaNZAQpl3gnBGyw" TargetMode="External"/><Relationship Id="rId2499" Type="http://schemas.openxmlformats.org/officeDocument/2006/relationships/hyperlink" Target="https://www.google.com/url?q=https://github.com/mostafa-saad/MyCompetitiveProgramming/blob/master/Olympiad/POI/official/find_editorial_sols_guidelines.txt&amp;sa=D&amp;ust=1605639816718000&amp;usg=AFQjCNEm_2tYSwC-jU9ac0KX4SEpTxIW1Q" TargetMode="External"/><Relationship Id="rId1" Type="http://schemas.openxmlformats.org/officeDocument/2006/relationships/hyperlink" Target="https://www.google.com/url?q=https://www.acmicpc.net/problem/11782&amp;sa=D&amp;ust=1605639815485000&amp;usg=AFQjCNEoZasxPcf6TROnmMBWy106r9tTyA" TargetMode="External"/><Relationship Id="rId233" Type="http://schemas.openxmlformats.org/officeDocument/2006/relationships/hyperlink" Target="https://www.google.com/url?q=https://github.com/mostafa-saad/MyCompetitiveProgramming/blob/master/Olympiad/CEOI/COCI-10-upit.txt&amp;sa=D&amp;ust=1605639815557000&amp;usg=AFQjCNGBTq0QWFfkzN44D0khphP8wfsgog" TargetMode="External"/><Relationship Id="rId440" Type="http://schemas.openxmlformats.org/officeDocument/2006/relationships/hyperlink" Target="https://www.google.com/url?q=https://cses.fi/185/list/&amp;sa=D&amp;ust=1605639815632000&amp;usg=AFQjCNGdEgByD0LWz7BH9UVx47bkGN4ToA" TargetMode="External"/><Relationship Id="rId678" Type="http://schemas.openxmlformats.org/officeDocument/2006/relationships/hyperlink" Target="https://www.google.com/url?q=https://github.com/mostafa-saad/MyCompetitiveProgramming/blob/master/Olympiad/COI/COI-19-tenis.txt&amp;sa=D&amp;ust=1605639815927000&amp;usg=AFQjCNE_fIvcWgFXCexdaeMJiNM3pxTVkA" TargetMode="External"/><Relationship Id="rId885" Type="http://schemas.openxmlformats.org/officeDocument/2006/relationships/hyperlink" Target="https://www.google.com/url?q=https://oj.uz/problem/view/COI14_css&amp;sa=D&amp;ust=1605639816076000&amp;usg=AFQjCNHZau7fh8roRLSJScoYMwnhqvmJ5A" TargetMode="External"/><Relationship Id="rId1070" Type="http://schemas.openxmlformats.org/officeDocument/2006/relationships/hyperlink" Target="https://www.google.com/url?q=https://github.com/mostafa-saad/MyCompetitiveProgramming/blob/master/Olympiad/CEOI/CEOI-13-treasure2.txt&amp;sa=D&amp;ust=1605639816186000&amp;usg=AFQjCNHMinzTZ0RFBVze_AP322LflIhxhA" TargetMode="External"/><Relationship Id="rId2121" Type="http://schemas.openxmlformats.org/officeDocument/2006/relationships/hyperlink" Target="https://www.google.com/url?q=https://github.com/mostafa-saad/MyCompetitiveProgramming/tree/master/Olympiad/COCI/official/2007/contest2_solutions&amp;sa=D&amp;ust=1605639816601000&amp;usg=AFQjCNEropMZ1xR8KUf7q90O5rHhzdq-2Q" TargetMode="External"/><Relationship Id="rId2359" Type="http://schemas.openxmlformats.org/officeDocument/2006/relationships/hyperlink" Target="https://www.google.com/url?q=https://ipsc.ksp.sk/2018/real/problems/h.html&amp;sa=D&amp;ust=1605639816668000&amp;usg=AFQjCNFn3qPZwhvyxpj2qdbU_ULMtNU-Tw" TargetMode="External"/><Relationship Id="rId2566" Type="http://schemas.openxmlformats.org/officeDocument/2006/relationships/hyperlink" Target="https://www.google.com/url?q=https://dmoj.ca/problem/coci06c6p3&amp;sa=D&amp;ust=1605639816735000&amp;usg=AFQjCNEJzxFlroUTlFpGAyQ7hxWWpcK_9w" TargetMode="External"/><Relationship Id="rId2773" Type="http://schemas.openxmlformats.org/officeDocument/2006/relationships/hyperlink" Target="https://www.google.com/url?q=https://dmoj.ca/problem/coci13c1p1&amp;sa=D&amp;ust=1605639816792000&amp;usg=AFQjCNFZg1UU3xXEhaBOmVxtbFgt_E4tHQ" TargetMode="External"/><Relationship Id="rId2980" Type="http://schemas.openxmlformats.org/officeDocument/2006/relationships/hyperlink" Target="https://www.google.com/url?q=https://szkopul.edu.pl/problemset/problem/pxbqUTPy3IuPDul9FdT2_Sth/site/&amp;sa=D&amp;ust=1605639816894000&amp;usg=AFQjCNGfu83ACNQ2LGTlCWH83drYWycvDQ" TargetMode="External"/><Relationship Id="rId300" Type="http://schemas.openxmlformats.org/officeDocument/2006/relationships/hyperlink" Target="https://www.google.com/url?q=https://oj.uz/problem/view/IOI17_wiring&amp;sa=D&amp;ust=1605639815579000&amp;usg=AFQjCNFlQ6hBLrAR8BeOczw63_zpYO93og" TargetMode="External"/><Relationship Id="rId538" Type="http://schemas.openxmlformats.org/officeDocument/2006/relationships/hyperlink" Target="https://www.google.com/url?q=https://oj.uz/problem/view/COI19_izlet&amp;sa=D&amp;ust=1605639815839000&amp;usg=AFQjCNFC9Vl4u3MBeGUOkMxsd9ZT4pU6IA" TargetMode="External"/><Relationship Id="rId745" Type="http://schemas.openxmlformats.org/officeDocument/2006/relationships/hyperlink" Target="https://www.google.com/url?q=https://github.com/mostafa-saad/MyCompetitiveProgramming/blob/master/Olympiad/CEOI/CEOI-16-Kangaroo.txt&amp;sa=D&amp;ust=1605639815978000&amp;usg=AFQjCNHgFCq1GKPsg3noDwgPdfHUaw740A" TargetMode="External"/><Relationship Id="rId952" Type="http://schemas.openxmlformats.org/officeDocument/2006/relationships/hyperlink" Target="https://www.google.com/url?q=https://oj.uz/problem/view/JOI17_amusement_park&amp;sa=D&amp;ust=1605639816099000&amp;usg=AFQjCNHsius5EWFuSHW-EMvj3bJk8Hxrrg" TargetMode="External"/><Relationship Id="rId1168" Type="http://schemas.openxmlformats.org/officeDocument/2006/relationships/hyperlink" Target="https://www.google.com/url?q=https://github.com/mostafa-saad/MyCompetitiveProgramming/blob/master/Olympiad/CEOI/CEOI-06-Meandian.txt&amp;sa=D&amp;ust=1605639816217000&amp;usg=AFQjCNGQ-o8et40vHtmrBrSlxJafbROLtg" TargetMode="External"/><Relationship Id="rId1375" Type="http://schemas.openxmlformats.org/officeDocument/2006/relationships/hyperlink" Target="https://www.google.com/url?q=https://szkopul.edu.pl/problemset/problem/VutzcR1iPvGuYRGZgvNksmV1/site/&amp;sa=D&amp;ust=1605639816337000&amp;usg=AFQjCNEw0ZzCkLZtWyQbnXSHJ2D1gebpRg" TargetMode="External"/><Relationship Id="rId1582" Type="http://schemas.openxmlformats.org/officeDocument/2006/relationships/hyperlink" Target="https://www.google.com/url?q=https://www.acmicpc.net/problem/2270&amp;sa=D&amp;ust=1605639816426000&amp;usg=AFQjCNGcRA99E4We1ZUcnzo8NhHZ01f4TQ" TargetMode="External"/><Relationship Id="rId2219" Type="http://schemas.openxmlformats.org/officeDocument/2006/relationships/hyperlink" Target="https://www.google.com/url?q=https://dmoj.ca/problem/dmpg15s6&amp;sa=D&amp;ust=1605639816632000&amp;usg=AFQjCNHNIZkhb2egXjmnTB0tANiGwZQ80g" TargetMode="External"/><Relationship Id="rId2426" Type="http://schemas.openxmlformats.org/officeDocument/2006/relationships/hyperlink" Target="https://www.google.com/url?q=https://github.com/stefdasca/CompetitiveProgramming/blob/master/Infoarena/jsched.cpp&amp;sa=D&amp;ust=1605639816693000&amp;usg=AFQjCNF9hbN05OV1UWq50VEgtlQE-SgUIw" TargetMode="External"/><Relationship Id="rId2633" Type="http://schemas.openxmlformats.org/officeDocument/2006/relationships/hyperlink" Target="https://www.google.com/url?q=https://dmoj.ca/problem/coci06c4p2&amp;sa=D&amp;ust=1605639816750000&amp;usg=AFQjCNHqTjN7VRHNvZeVuzIAbod34TUAkQ" TargetMode="External"/><Relationship Id="rId81" Type="http://schemas.openxmlformats.org/officeDocument/2006/relationships/hyperlink" Target="https://www.google.com/url?q=https://github.com/mostafa-saad/MyCompetitiveProgramming/blob/master/Olympiad/JOI/JOISC-17-park.txt&amp;sa=D&amp;ust=1605639815515000&amp;usg=AFQjCNHtcNrwgSIQvybe83h30D93uxcDVQ" TargetMode="External"/><Relationship Id="rId605" Type="http://schemas.openxmlformats.org/officeDocument/2006/relationships/hyperlink" Target="https://www.google.com/url?q=https://github.com/mostafa-saad/MyCompetitiveProgramming/blob/master/Olympiad/CEOI/CEOI-08-Fence.txt&amp;sa=D&amp;ust=1605639815902000&amp;usg=AFQjCNEOkq_7d3K_Tfq8m6AaSQFFRJla_w" TargetMode="External"/><Relationship Id="rId812" Type="http://schemas.openxmlformats.org/officeDocument/2006/relationships/hyperlink" Target="https://www.google.com/url?q=https://infoarena.ro/problema/maxdist&amp;sa=D&amp;ust=1605639816004000&amp;usg=AFQjCNFrc8Q4LRbEGZ5cSuVP2i7MyrnICw" TargetMode="External"/><Relationship Id="rId1028" Type="http://schemas.openxmlformats.org/officeDocument/2006/relationships/hyperlink" Target="https://www.google.com/url?q=https://github.com/mostafa-saad/MyCompetitiveProgramming/blob/master/Olympiad/COCI/COCI-07-Cestarine.txt&amp;sa=D&amp;ust=1605639816171000&amp;usg=AFQjCNFrt5wHxblfCFMwfe-zwNCYI_Bgvg" TargetMode="External"/><Relationship Id="rId1235" Type="http://schemas.openxmlformats.org/officeDocument/2006/relationships/hyperlink" Target="https://www.google.com/url?q=https://www.infoarena.ro/problema/arb&amp;sa=D&amp;ust=1605639816288000&amp;usg=AFQjCNEvfC1VUkP3jTxqMUbzcTpFmuAFRw" TargetMode="External"/><Relationship Id="rId1442" Type="http://schemas.openxmlformats.org/officeDocument/2006/relationships/hyperlink" Target="https://www.google.com/url?q=https://contest.yandex.ru/ioi/contest/568/enter/&amp;sa=D&amp;ust=1605639816376000&amp;usg=AFQjCNF3n3eiFRDzCEmIEklitj1JiS2alg" TargetMode="External"/><Relationship Id="rId1887" Type="http://schemas.openxmlformats.org/officeDocument/2006/relationships/hyperlink" Target="https://www.google.com/url?q=https://github.com/mostafa-saad/MyCompetitiveProgramming/blob/master/Olympiad/COCI/official/2017/contest7_solutions&amp;sa=D&amp;ust=1605639816526000&amp;usg=AFQjCNGf-dXEmGSMyGZCaTRtBm1vR4isTA" TargetMode="External"/><Relationship Id="rId2840" Type="http://schemas.openxmlformats.org/officeDocument/2006/relationships/hyperlink" Target="https://www.google.com/url?q=https://dmoj.ca/problem/coci07c5p2&amp;sa=D&amp;ust=1605639816813000&amp;usg=AFQjCNEPlsDx9Z0NMb8zzGjybejgP3z3uQ" TargetMode="External"/><Relationship Id="rId2938" Type="http://schemas.openxmlformats.org/officeDocument/2006/relationships/hyperlink" Target="https://www.google.com/url?q=https://dunjudge.me/analysis/problems/15/&amp;sa=D&amp;ust=1605639816873000&amp;usg=AFQjCNGJkry0mOsfNjcfKRV1qpHUtXupYQ" TargetMode="External"/><Relationship Id="rId1302" Type="http://schemas.openxmlformats.org/officeDocument/2006/relationships/hyperlink" Target="https://www.google.com/url?q=https://github.com/mostafa-saad/MyCompetitiveProgramming/blob/master/Olympiad/infoarena/infoarena_lcdr.txt&amp;sa=D&amp;ust=1605639816311000&amp;usg=AFQjCNF4aPC36UwiwlGsJ9hoxwSRHWxkdg" TargetMode="External"/><Relationship Id="rId1747" Type="http://schemas.openxmlformats.org/officeDocument/2006/relationships/hyperlink" Target="https://www.google.com/url?q=https://oj.uz/problem/view/IOI19_transfer&amp;sa=D&amp;ust=1605639816475000&amp;usg=AFQjCNHC6nNH8zEgv7uN6M5kEzfr608FoA" TargetMode="External"/><Relationship Id="rId1954" Type="http://schemas.openxmlformats.org/officeDocument/2006/relationships/hyperlink" Target="https://www.google.com/url?q=https://szkopul.edu.pl/problemset/problem/dABzva_j1-BvzKMsyxkuRoue/site/&amp;sa=D&amp;ust=1605639816546000&amp;usg=AFQjCNHMJ7J5r2dyZNlQGxEQvl7Z19hpPw" TargetMode="External"/><Relationship Id="rId2700" Type="http://schemas.openxmlformats.org/officeDocument/2006/relationships/hyperlink" Target="https://www.google.com/url?q=https://github.com/mostafa-saad/MyCompetitiveProgramming/tree/master/Olympiad/COCI/official/2007/contest3_solutions&amp;sa=D&amp;ust=1605639816767000&amp;usg=AFQjCNGcBoNBHFP4Y2ZFm87-m_Gos_7uXw" TargetMode="External"/><Relationship Id="rId39" Type="http://schemas.openxmlformats.org/officeDocument/2006/relationships/hyperlink" Target="https://www.google.com/url?q=https://github.com/mostafa-saad/MyCompetitiveProgramming/blob/master/Olympiad/CEOI/official/2013&amp;sa=D&amp;ust=1605639815498000&amp;usg=AFQjCNF3otxT5LAIulmY9yifaiVocvvQPg" TargetMode="External"/><Relationship Id="rId1607" Type="http://schemas.openxmlformats.org/officeDocument/2006/relationships/hyperlink" Target="https://www.google.com/url?q=https://oj.uz/problems/source/351&amp;sa=D&amp;ust=1605639816434000&amp;usg=AFQjCNEbWv4hFcdKWiKeEkzBvWoXrcC58g" TargetMode="External"/><Relationship Id="rId1814" Type="http://schemas.openxmlformats.org/officeDocument/2006/relationships/hyperlink" Target="https://www.google.com/url?q=https://training.ia-toki.org/problemsets/87/problems/447/&amp;sa=D&amp;ust=1605639816503000&amp;usg=AFQjCNFDKnbjvoL29rIsrIlSNKc6x8_eLg" TargetMode="External"/><Relationship Id="rId188" Type="http://schemas.openxmlformats.org/officeDocument/2006/relationships/hyperlink" Target="https://www.google.com/url?q=https://bytefreaks.net/cyprus-computer-society/tasks-balkan-olympiad-in-informatics-2016&amp;sa=D&amp;ust=1605639815546000&amp;usg=AFQjCNEVuqosX5WKw6CUYme5AZJnSKBvZw" TargetMode="External"/><Relationship Id="rId395" Type="http://schemas.openxmlformats.org/officeDocument/2006/relationships/hyperlink" Target="https://www.google.com/url?q=https://github.com/mostafa-saad/MyCompetitiveProgramming/tree/master/Olympiad/COI/official/2015&amp;sa=D&amp;ust=1605639815614000&amp;usg=AFQjCNHviK5hDHCn6u123lry3AjGwkYjEg" TargetMode="External"/><Relationship Id="rId2076" Type="http://schemas.openxmlformats.org/officeDocument/2006/relationships/hyperlink" Target="https://www.google.com/url?q=https://joisc2013-day1.contest.atcoder.jp/tasks/joisc2013_joi_poster&amp;sa=D&amp;ust=1605639816587000&amp;usg=AFQjCNEZwRh7XmUpIsP--KijEAiMrD2eZg" TargetMode="External"/><Relationship Id="rId2283" Type="http://schemas.openxmlformats.org/officeDocument/2006/relationships/hyperlink" Target="https://www.google.com/url?q=https://oj.uz/problem/view/BOI16_bosses&amp;sa=D&amp;ust=1605639816648000&amp;usg=AFQjCNEzR5f-YoECyfHi03WHUZ1CpqUB1Q" TargetMode="External"/><Relationship Id="rId2490" Type="http://schemas.openxmlformats.org/officeDocument/2006/relationships/hyperlink" Target="https://www.google.com/url?q=https://github.com/stefdasca/CompetitiveProgramming/blob/master/Infoarena/rfinv.cpp&amp;sa=D&amp;ust=1605639816715000&amp;usg=AFQjCNFTdKY6uzp16qzVYSEhU1_axi0-gg" TargetMode="External"/><Relationship Id="rId2588" Type="http://schemas.openxmlformats.org/officeDocument/2006/relationships/hyperlink" Target="https://www.google.com/url?q=https://codeforces.com/group/R2SERIff4f/contest/213171&amp;sa=D&amp;ust=1605639816741000&amp;usg=AFQjCNH5gRP-RRQq2TLhMcrVAfhgVnJnDg" TargetMode="External"/><Relationship Id="rId255" Type="http://schemas.openxmlformats.org/officeDocument/2006/relationships/hyperlink" Target="https://www.google.com/url?q=https://oj.uz/problem/view/COI18_svjetlost&amp;sa=D&amp;ust=1605639815563000&amp;usg=AFQjCNE4e56D_h8xLXix4mg1eQju0-96wA" TargetMode="External"/><Relationship Id="rId462" Type="http://schemas.openxmlformats.org/officeDocument/2006/relationships/hyperlink" Target="https://www.google.com/url?q=https://joisc2016.contest.atcoder.jp/tasks/joisc2016_b&amp;sa=D&amp;ust=1605639815670000&amp;usg=AFQjCNFZZRldp2bJ_TQ1Teth8MLvrNApIw" TargetMode="External"/><Relationship Id="rId1092" Type="http://schemas.openxmlformats.org/officeDocument/2006/relationships/hyperlink" Target="https://www.google.com/url?q=https://github.com/mostafa-saad/MyCompetitiveProgramming/blob/master/Olympiad/COCI/official/2017/contest4_solutions&amp;sa=D&amp;ust=1605639816193000&amp;usg=AFQjCNGY0XeMmcG83TUXdNLBl2ZMyL1TKw" TargetMode="External"/><Relationship Id="rId1397" Type="http://schemas.openxmlformats.org/officeDocument/2006/relationships/hyperlink" Target="https://www.google.com/url?q=https://github.com/mostafa-saad/MyCompetitiveProgramming/blob/master/Olympiad/Baltic/Baltic-17-Cat.txt&amp;sa=D&amp;ust=1605639816345000&amp;usg=AFQjCNGuPXAuR40IjuI3WnYNDUkdvrASSw" TargetMode="External"/><Relationship Id="rId2143" Type="http://schemas.openxmlformats.org/officeDocument/2006/relationships/hyperlink" Target="https://www.google.com/url?q=https://github.com/mostafa-saad/MyCompetitiveProgramming/blob/master/Olympiad/POI/official/find_editorial_sols_guidelines.txt&amp;sa=D&amp;ust=1605639816608000&amp;usg=AFQjCNHdgToeyiSb5AsM-D3hQD2RxvG5GA" TargetMode="External"/><Relationship Id="rId2350" Type="http://schemas.openxmlformats.org/officeDocument/2006/relationships/hyperlink" Target="https://www.google.com/url?q=https://oj.uz/problem/view/IOI17_coins&amp;sa=D&amp;ust=1605639816665000&amp;usg=AFQjCNHe0elPwaS6l4cFr4O54D1o_p8Ecg" TargetMode="External"/><Relationship Id="rId2795" Type="http://schemas.openxmlformats.org/officeDocument/2006/relationships/hyperlink" Target="https://www.google.com/url?q=https://github.com/mostafa-saad/MyCompetitiveProgramming/blob/master/Olympiad/COCI/official/2009/contest4_solutions&amp;sa=D&amp;ust=1605639816801000&amp;usg=AFQjCNHGTbqVKQypjvqMFCF_dJgDmXiYIw" TargetMode="External"/><Relationship Id="rId115" Type="http://schemas.openxmlformats.org/officeDocument/2006/relationships/hyperlink" Target="https://www.google.com/url?q=https://dmoj.ca/problem/coci14c5p6&amp;sa=D&amp;ust=1605639815525000&amp;usg=AFQjCNH00LsmJwYgzBryyT83XQRBngyywQ" TargetMode="External"/><Relationship Id="rId322" Type="http://schemas.openxmlformats.org/officeDocument/2006/relationships/hyperlink" Target="https://www.google.com/url?q=https://github.com/mostafa-saad/MyCompetitiveProgramming/blob/master/Olympiad/IOI/official/2018&amp;sa=D&amp;ust=1605639815588000&amp;usg=AFQjCNFxetZC2QtIutLjdns-LAucWRpxzQ" TargetMode="External"/><Relationship Id="rId767" Type="http://schemas.openxmlformats.org/officeDocument/2006/relationships/hyperlink" Target="https://www.google.com/url?q=https://oj.uz/problems/source/56&amp;sa=D&amp;ust=1605639815986000&amp;usg=AFQjCNGhQlar9t92Lavx5L8lb_fVdC_3kQ" TargetMode="External"/><Relationship Id="rId974" Type="http://schemas.openxmlformats.org/officeDocument/2006/relationships/hyperlink" Target="https://www.google.com/url?q=https://github.com/mostafa-saad/MyCompetitiveProgramming/blob/master/Olympiad/infoarena/infoarena-aiacubiti.txt&amp;sa=D&amp;ust=1605639816106000&amp;usg=AFQjCNHkSO6HQ4LZ8SGcL4RARu3Z48UKoQ" TargetMode="External"/><Relationship Id="rId2003" Type="http://schemas.openxmlformats.org/officeDocument/2006/relationships/hyperlink" Target="https://www.google.com/url?q=http://poj.org/problem?id%3D1160&amp;sa=D&amp;ust=1605639816561000&amp;usg=AFQjCNG0KCMYnJ2OTax_J8DzsGtUO3Iewg" TargetMode="External"/><Relationship Id="rId2210" Type="http://schemas.openxmlformats.org/officeDocument/2006/relationships/hyperlink" Target="https://www.google.com/url?q=https://open.kattis.com/problem-sources/Baltic%2520Olympiad%2520in%2520Informatics%25202017%252C%2520Warmup&amp;sa=D&amp;ust=1605639816629000&amp;usg=AFQjCNFWMQ29D5vUI-MS7pijDlYzdMX_Cw" TargetMode="External"/><Relationship Id="rId2448" Type="http://schemas.openxmlformats.org/officeDocument/2006/relationships/hyperlink" Target="https://www.google.com/url?q=https://github.com/mostafa-saad/MyCompetitiveProgramming/tree/master/Olympiad/COCI/official/2008/contest6_solutions&amp;sa=D&amp;ust=1605639816702000&amp;usg=AFQjCNG7PdYrPb2PALm4NjJVPKEk_p5LLQ" TargetMode="External"/><Relationship Id="rId2655" Type="http://schemas.openxmlformats.org/officeDocument/2006/relationships/hyperlink" Target="https://www.google.com/url?q=https://dunjudge.me/analysis/problems/722/&amp;sa=D&amp;ust=1605639816755000&amp;usg=AFQjCNG01uLBqqL9rrJv0L-jHI3wwxFkMQ" TargetMode="External"/><Relationship Id="rId2862" Type="http://schemas.openxmlformats.org/officeDocument/2006/relationships/hyperlink" Target="https://www.google.com/url?q=https://dunjudge.me/analysis/problems/414/&amp;sa=D&amp;ust=1605639816821000&amp;usg=AFQjCNEDFkbDVHFmD7dPBntHLO_tmnktbQ" TargetMode="External"/><Relationship Id="rId627" Type="http://schemas.openxmlformats.org/officeDocument/2006/relationships/hyperlink" Target="https://www.google.com/url?q=https://github.com/mostafa-saad/MyCompetitiveProgramming/blob/master/Olympiad/POI/POI-06-Sophie.txt&amp;sa=D&amp;ust=1605639815910000&amp;usg=AFQjCNFVYFTCwPDpzZQMIXaAofxY6OvcaA" TargetMode="External"/><Relationship Id="rId834" Type="http://schemas.openxmlformats.org/officeDocument/2006/relationships/hyperlink" Target="https://www.google.com/url?q=https://github.com/stefdasca/CompetitiveProgramming/blob/master/USACO/USACO%252018jan-sprinklers-plat.cpp&amp;sa=D&amp;ust=1605639816011000&amp;usg=AFQjCNFd4AI1VQvvMHtybwZDR6dw8Xc6Bg" TargetMode="External"/><Relationship Id="rId1257" Type="http://schemas.openxmlformats.org/officeDocument/2006/relationships/hyperlink" Target="https://www.google.com/url?q=https://cses.fi/189/list/&amp;sa=D&amp;ust=1605639816297000&amp;usg=AFQjCNGhRB5nrQYfXy3kwUYt4IiuuD7khQ" TargetMode="External"/><Relationship Id="rId1464" Type="http://schemas.openxmlformats.org/officeDocument/2006/relationships/hyperlink" Target="https://www.google.com/url?q=https://joisc2016.contest.atcoder.jp/tasks/joisc2016_i&amp;sa=D&amp;ust=1605639816385000&amp;usg=AFQjCNEpQDLcRY_czefjvttaCxXEXir5Lw" TargetMode="External"/><Relationship Id="rId1671" Type="http://schemas.openxmlformats.org/officeDocument/2006/relationships/hyperlink" Target="https://www.google.com/url?q=http://usaco.org/index.php?page%3Dviewproblem2%26cpid%3D230&amp;sa=D&amp;ust=1605639816451000&amp;usg=AFQjCNGjkGLQoKRKgxkReIqIa1PHHhTeog" TargetMode="External"/><Relationship Id="rId2308" Type="http://schemas.openxmlformats.org/officeDocument/2006/relationships/hyperlink" Target="https://www.google.com/url?q=https://cses.fi/116/list/&amp;sa=D&amp;ust=1605639816653000&amp;usg=AFQjCNEqjFhxun6YwH8JTi-lRnfTTSCUpg" TargetMode="External"/><Relationship Id="rId2515" Type="http://schemas.openxmlformats.org/officeDocument/2006/relationships/hyperlink" Target="https://www.google.com/url?q=https://wcipeg.com/problem/coci067p3&amp;sa=D&amp;ust=1605639816724000&amp;usg=AFQjCNETiTO8tpSyx_H9n0eLdblvrE7GZQ" TargetMode="External"/><Relationship Id="rId2722" Type="http://schemas.openxmlformats.org/officeDocument/2006/relationships/hyperlink" Target="https://www.google.com/url?q=https://oj.uz/problem/view/COCI17_kosnja&amp;sa=D&amp;ust=1605639816774000&amp;usg=AFQjCNH0UUgY4pTlRp7_C4-SHvdDabeMSg" TargetMode="External"/><Relationship Id="rId901" Type="http://schemas.openxmlformats.org/officeDocument/2006/relationships/hyperlink" Target="https://www.google.com/url?q=https://github.com/mostafa-saad/MyCompetitiveProgramming/blob/master/Olympiad/COCI/official/2018/contest2_solutions&amp;sa=D&amp;ust=1605639816083000&amp;usg=AFQjCNEIPlTiqJf1Mj-qm3HIWGEUm_fMBg" TargetMode="External"/><Relationship Id="rId1117" Type="http://schemas.openxmlformats.org/officeDocument/2006/relationships/hyperlink" Target="https://www.google.com/url?q=https://szkopul.edu.pl/problemset/problem/YjtAwdQrSiGcE_RLiEJpGiYE/site/&amp;sa=D&amp;ust=1605639816202000&amp;usg=AFQjCNGUWhYyUgT5TB08YZDCgVlRpKAoJA" TargetMode="External"/><Relationship Id="rId1324" Type="http://schemas.openxmlformats.org/officeDocument/2006/relationships/hyperlink" Target="https://www.google.com/url?q=https://github.com/mostafa-saad/MyCompetitiveProgramming/blob/master/Olympiad/POI/POI-07-Tourist.txt&amp;sa=D&amp;ust=1605639816320000&amp;usg=AFQjCNG_qUw7FsNlQZMesg6hnBMpj36kuQ" TargetMode="External"/><Relationship Id="rId1531" Type="http://schemas.openxmlformats.org/officeDocument/2006/relationships/hyperlink" Target="https://www.google.com/url?q=https://github.com/fyquah95/ioi-malaysia-2016-training-camp&amp;sa=D&amp;ust=1605639816411000&amp;usg=AFQjCNEPZxGVSoUfQ41YAMp52KUBwtF47A" TargetMode="External"/><Relationship Id="rId1769" Type="http://schemas.openxmlformats.org/officeDocument/2006/relationships/hyperlink" Target="https://www.google.com/url?q=http://usaco.org/index.php?page%3Dviewproblem2%26cpid%3D91&amp;sa=D&amp;ust=1605639816484000&amp;usg=AFQjCNGkcEJAu8ov7hLXobTBJ86rtx1FbQ" TargetMode="External"/><Relationship Id="rId1976" Type="http://schemas.openxmlformats.org/officeDocument/2006/relationships/hyperlink" Target="https://www.google.com/url?q=http://usaco.org/index.php?page%3Dviewproblem2%26cpid%3D923&amp;sa=D&amp;ust=1605639816553000&amp;usg=AFQjCNEVvZuh7V3yb3dFyQx108NcihJNhQ" TargetMode="External"/><Relationship Id="rId30" Type="http://schemas.openxmlformats.org/officeDocument/2006/relationships/hyperlink" Target="https://www.google.com/url?q=https://oj.uz/problem/view/CEOI15_nuclearia&amp;sa=D&amp;ust=1605639815495000&amp;usg=AFQjCNEpVDYX0Cax7g38h4ObURBzFOu-tw" TargetMode="External"/><Relationship Id="rId1629" Type="http://schemas.openxmlformats.org/officeDocument/2006/relationships/hyperlink" Target="https://www.google.com/url?q=https://oj.uz/problem/view/IZhO14_divide&amp;sa=D&amp;ust=1605639816440000&amp;usg=AFQjCNEkwcW6h9kTuYopI70E75ZkPTvusA" TargetMode="External"/><Relationship Id="rId1836" Type="http://schemas.openxmlformats.org/officeDocument/2006/relationships/hyperlink" Target="https://www.google.com/url?q=https://joi2016ho.contest.atcoder.jp/tasks/joi2016ho_c&amp;sa=D&amp;ust=1605639816509000&amp;usg=AFQjCNGbS9nZNX1jJ9LN7THW1ehaNM9mHA" TargetMode="External"/><Relationship Id="rId1903" Type="http://schemas.openxmlformats.org/officeDocument/2006/relationships/hyperlink" Target="https://www.google.com/url?q=https://oj.uz/problem/view/COCI15_topovi&amp;sa=D&amp;ust=1605639816530000&amp;usg=AFQjCNELPI0N5qMdkWk8opJs1qu_PCmqRg" TargetMode="External"/><Relationship Id="rId2098" Type="http://schemas.openxmlformats.org/officeDocument/2006/relationships/hyperlink" Target="https://www.google.com/url?q=https://infoarena.ro/problema/posta2&amp;sa=D&amp;ust=1605639816595000&amp;usg=AFQjCNE5KekiwixR3YWuImxtMxCrYD9JZQ" TargetMode="External"/><Relationship Id="rId277" Type="http://schemas.openxmlformats.org/officeDocument/2006/relationships/hyperlink" Target="https://www.google.com/url?q=https://github.com/mostafa-saad/MyCompetitiveProgramming/blob/master/Olympiad/Balkan/Balkan-17-Cats.txt&amp;sa=D&amp;ust=1605639815573000&amp;usg=AFQjCNHMXnBf7V2oekyI2rOdlxjBiySHVg" TargetMode="External"/><Relationship Id="rId484" Type="http://schemas.openxmlformats.org/officeDocument/2006/relationships/hyperlink" Target="https://www.google.com/url?q=https://szkopul.edu.pl/problemset/problem/cKsx92et8fGp6MOzI2HTNmQY/site/&amp;sa=D&amp;ust=1605639815676000&amp;usg=AFQjCNFGUt7QA4x6z3vfYgWefS2Yrlnfyw" TargetMode="External"/><Relationship Id="rId2165" Type="http://schemas.openxmlformats.org/officeDocument/2006/relationships/hyperlink" Target="https://www.google.com/url?q=https://dmoj.ca/problem/coci14c5p4&amp;sa=D&amp;ust=1605639816616000&amp;usg=AFQjCNHzGqL8kyNNXvCvrOPmbkPOoa8ygw" TargetMode="External"/><Relationship Id="rId3009" Type="http://schemas.openxmlformats.org/officeDocument/2006/relationships/hyperlink" Target="https://www.google.com/url?q=https://dunjudge.me/analysis/problems/188/&amp;sa=D&amp;ust=1605639816906000&amp;usg=AFQjCNEDpVPVI0_ErGWByDR0PdPTByFdBA" TargetMode="External"/><Relationship Id="rId137" Type="http://schemas.openxmlformats.org/officeDocument/2006/relationships/hyperlink" Target="https://www.google.com/url?q=https://cses.fi/193/list/&amp;sa=D&amp;ust=1605639815532000&amp;usg=AFQjCNG56Hk1sKetkNHQzRU7sfxCmeQUZQ" TargetMode="External"/><Relationship Id="rId344" Type="http://schemas.openxmlformats.org/officeDocument/2006/relationships/hyperlink" Target="https://www.google.com/url?q=https://github.com/mostafa-saad/MyCompetitiveProgramming/blob/master/Olympiad/POI/POI-10-Bridges.txt&amp;sa=D&amp;ust=1605639815596000&amp;usg=AFQjCNGCjFW-t7jTsi186DPieiqAWQ2qoA" TargetMode="External"/><Relationship Id="rId691" Type="http://schemas.openxmlformats.org/officeDocument/2006/relationships/hyperlink" Target="https://www.google.com/url?q=https://github.com/mostafa-saad/MyCompetitiveProgramming/blob/master/Olympiad/IOI/IOIPractice-16-k-consecutive.txt&amp;sa=D&amp;ust=1605639815931000&amp;usg=AFQjCNFxDRTKGZHtUg-uyaZ-c0Hd5VWk1Q" TargetMode="External"/><Relationship Id="rId789" Type="http://schemas.openxmlformats.org/officeDocument/2006/relationships/hyperlink" Target="https://www.google.com/url?q=https://cses.fi/113/list/&amp;sa=D&amp;ust=1605639815995000&amp;usg=AFQjCNE8wG1PYJolqoSL9oK_FKdd8Jc-0A" TargetMode="External"/><Relationship Id="rId996" Type="http://schemas.openxmlformats.org/officeDocument/2006/relationships/hyperlink" Target="https://www.google.com/url?q=https://github.com/luciocf/OI-Problems/blob/master/USACO/USACO%25202017-2018/Plat/US%2520Open/disrupt.cpp&amp;sa=D&amp;ust=1605639816112000&amp;usg=AFQjCNGT0QFKV7hCFy6rzRTlF8YZIyI5-g" TargetMode="External"/><Relationship Id="rId2025" Type="http://schemas.openxmlformats.org/officeDocument/2006/relationships/hyperlink" Target="https://www.google.com/url?q=https://dmoj.ca/problem/stnbd4&amp;sa=D&amp;ust=1605639816567000&amp;usg=AFQjCNHqtdadYBpKAVF2r7t_PpmZsiYDcA" TargetMode="External"/><Relationship Id="rId2372" Type="http://schemas.openxmlformats.org/officeDocument/2006/relationships/hyperlink" Target="https://www.google.com/url?q=https://github.com/mostafa-saad/MyCompetitiveProgramming/blob/master/Olympiad/NOI/official&amp;sa=D&amp;ust=1605639816672000&amp;usg=AFQjCNFS1UFYHd1VXQCrKXLXHqM4Pw1wDA" TargetMode="External"/><Relationship Id="rId2677" Type="http://schemas.openxmlformats.org/officeDocument/2006/relationships/hyperlink" Target="https://www.google.com/url?q=https://wcipeg.com/problem/coci087p3&amp;sa=D&amp;ust=1605639816760000&amp;usg=AFQjCNGkLCyeb7coP89-01hcqkNVZ16XWg" TargetMode="External"/><Relationship Id="rId2884" Type="http://schemas.openxmlformats.org/officeDocument/2006/relationships/hyperlink" Target="https://www.google.com/url?q=https://www.acmicpc.net/problem/5249&amp;sa=D&amp;ust=1605639816829000&amp;usg=AFQjCNGMNx6kYFCuwppz0cKS_0SEPJg-4Q" TargetMode="External"/><Relationship Id="rId551" Type="http://schemas.openxmlformats.org/officeDocument/2006/relationships/hyperlink" Target="https://www.google.com/url?q=https://github.com/mostafa-saad/MyCompetitiveProgramming/blob/master/Olympiad/IOI/IOI-18-Doll.txt&amp;sa=D&amp;ust=1605639815882000&amp;usg=AFQjCNFJaHecq87Uy9vgQq1tOWBkLq6Nhw" TargetMode="External"/><Relationship Id="rId649" Type="http://schemas.openxmlformats.org/officeDocument/2006/relationships/hyperlink" Target="https://www.google.com/url?q=https://github.com/mostafa-saad/MyCompetitiveProgramming/blob/master/Olympiad/Baltic/Baltic-19-necklace1.txt&amp;sa=D&amp;ust=1605639815917000&amp;usg=AFQjCNG_rbz24XKwEauqWVwD3ZjCcj3N1g" TargetMode="External"/><Relationship Id="rId856" Type="http://schemas.openxmlformats.org/officeDocument/2006/relationships/hyperlink" Target="https://www.google.com/url?q=https://github.com/mostafa-saad/MyCompetitiveProgramming/blob/master/Olympiad/IOI/official/2007&amp;sa=D&amp;ust=1605639816019000&amp;usg=AFQjCNEKXQzZUSmp7AJ3jfeH5bDQNYEqYA" TargetMode="External"/><Relationship Id="rId1181" Type="http://schemas.openxmlformats.org/officeDocument/2006/relationships/hyperlink" Target="https://www.google.com/url?q=https://szkopul.edu.pl/problemset/problem/k-RYEjhwNTo_XdaCidXQUGMU/site/&amp;sa=D&amp;ust=1605639816220000&amp;usg=AFQjCNE3H5Ez2I7GUy-iWCDdP6-1blpUnQ" TargetMode="External"/><Relationship Id="rId1279" Type="http://schemas.openxmlformats.org/officeDocument/2006/relationships/hyperlink" Target="https://www.google.com/url?q=https://oj.uz/problem/view/JOI14_factories&amp;sa=D&amp;ust=1605639816303000&amp;usg=AFQjCNG8dohWYNVnrCyyWze_rT3vxkzAAQ" TargetMode="External"/><Relationship Id="rId1486" Type="http://schemas.openxmlformats.org/officeDocument/2006/relationships/hyperlink" Target="https://www.google.com/url?q=https://github.com/mostafa-saad/MyCompetitiveProgramming/blob/master/Olympiad/COCI/COCI-14-Mafija.txt&amp;sa=D&amp;ust=1605639816393000&amp;usg=AFQjCNE2wj_vGi8A8n4IPtvn6svvAfXI6Q" TargetMode="External"/><Relationship Id="rId2232" Type="http://schemas.openxmlformats.org/officeDocument/2006/relationships/hyperlink" Target="https://www.google.com/url?q=https://github.com/mostafa-saad/MyCompetitiveProgramming/blob/master/Olympiad/Baltic/Baltic-13-tracks.txt&amp;sa=D&amp;ust=1605639816635000&amp;usg=AFQjCNF0lnlUQY2YQ0ywAYhn31tYoqT-Pg" TargetMode="External"/><Relationship Id="rId2537" Type="http://schemas.openxmlformats.org/officeDocument/2006/relationships/hyperlink" Target="https://www.google.com/url?q=https://oj.uz/problem/view/COCI17_tetris&amp;sa=D&amp;ust=1605639816730000&amp;usg=AFQjCNHkZbo-7qhokMm7UyfPcjdktdtNdA" TargetMode="External"/><Relationship Id="rId204" Type="http://schemas.openxmlformats.org/officeDocument/2006/relationships/hyperlink" Target="https://www.google.com/url?q=https://oj.uz/problems/source/213&amp;sa=D&amp;ust=1605639815550000&amp;usg=AFQjCNHY7vmbxsgNgalNTStTwQI3D4KLZQ" TargetMode="External"/><Relationship Id="rId411" Type="http://schemas.openxmlformats.org/officeDocument/2006/relationships/hyperlink" Target="https://www.google.com/url?q=https://github.com/mostafa-saad/MyCompetitiveProgramming/blob/master/Olympiad/POI/official/find_editorial_sols_guidelines.txt&amp;sa=D&amp;ust=1605639815622000&amp;usg=AFQjCNExXBPNgm7DrqQooOz1pIeWLO87RA" TargetMode="External"/><Relationship Id="rId509" Type="http://schemas.openxmlformats.org/officeDocument/2006/relationships/hyperlink" Target="https://www.google.com/url?q=https://oj.uz/problem/view/BOI18_election&amp;sa=D&amp;ust=1605639815685000&amp;usg=AFQjCNEW4T4xI0xvRLILaHAQeKw6foRplw" TargetMode="External"/><Relationship Id="rId1041" Type="http://schemas.openxmlformats.org/officeDocument/2006/relationships/hyperlink" Target="https://www.google.com/url?q=https://oj.uz/problem/view/COCI17_ceste&amp;sa=D&amp;ust=1605639816176000&amp;usg=AFQjCNFFdiU3-rwoqulsa1fnA20_RV-HFg" TargetMode="External"/><Relationship Id="rId1139" Type="http://schemas.openxmlformats.org/officeDocument/2006/relationships/hyperlink" Target="https://www.google.com/url?q=https://github.com/mostafa-saad/MyCompetitiveProgramming/blob/master/Olympiad/APIO/APIO-19-strange_device.txt&amp;sa=D&amp;ust=1605639816209000&amp;usg=AFQjCNFYsrDSjxFR6tKoc7hzlwcIujiogg" TargetMode="External"/><Relationship Id="rId1346" Type="http://schemas.openxmlformats.org/officeDocument/2006/relationships/hyperlink" Target="https://www.google.com/url?q=https://www.infoarena.ro/problema/arbore&amp;sa=D&amp;ust=1605639816327000&amp;usg=AFQjCNF3-JEZuCbXlxn9pkaRVZDYt5PSEw" TargetMode="External"/><Relationship Id="rId1693" Type="http://schemas.openxmlformats.org/officeDocument/2006/relationships/hyperlink" Target="https://www.google.com/url?q=https://github.com/mostafa-saad/MyCompetitiveProgramming/blob/master/Olympiad/Baltic/Baltic-13-numbers.txt&amp;sa=D&amp;ust=1605639816457000&amp;usg=AFQjCNG3qiVZFWVLW18udCy-Es6wpH6oog" TargetMode="External"/><Relationship Id="rId1998" Type="http://schemas.openxmlformats.org/officeDocument/2006/relationships/hyperlink" Target="https://www.google.com/url?q=http://usaco.org/index.php?page%3Dviewproblem2%26cpid%3D673&amp;sa=D&amp;ust=1605639816558000&amp;usg=AFQjCNF9WNet4ALQub_yd0re9v9MW9W0lg" TargetMode="External"/><Relationship Id="rId2744" Type="http://schemas.openxmlformats.org/officeDocument/2006/relationships/hyperlink" Target="https://www.google.com/url?q=https://oj.uz/problem/view/COCI17_pareto&amp;sa=D&amp;ust=1605639816781000&amp;usg=AFQjCNGg9N8yQhJZjqTyxN4QGhf5iBEcJg" TargetMode="External"/><Relationship Id="rId2951" Type="http://schemas.openxmlformats.org/officeDocument/2006/relationships/hyperlink" Target="https://www.google.com/url?q=https://dunjudge.me/analysis/problems/1187/&amp;sa=D&amp;ust=1605639816878000&amp;usg=AFQjCNHqHP2rIFcs0LOgmvMzV0EQss12jg" TargetMode="External"/><Relationship Id="rId716" Type="http://schemas.openxmlformats.org/officeDocument/2006/relationships/hyperlink" Target="https://www.google.com/url?q=https://oj.uz/problem/view/COCI15_uzastopni&amp;sa=D&amp;ust=1605639815969000&amp;usg=AFQjCNFaSBUzXm_KWWIRDggu1QaBAurzgw" TargetMode="External"/><Relationship Id="rId923" Type="http://schemas.openxmlformats.org/officeDocument/2006/relationships/hyperlink" Target="https://www.google.com/url?q=https://github.com/mostafa-saad/MyCompetitiveProgramming/blob/master/Olympiad/CEOI/CEOI-13-board.txt&amp;sa=D&amp;ust=1605639816090000&amp;usg=AFQjCNGPD_LBWtfhH8BzrisC2yblgzffRg" TargetMode="External"/><Relationship Id="rId1553" Type="http://schemas.openxmlformats.org/officeDocument/2006/relationships/hyperlink" Target="https://www.google.com/url?q=https://dmoj.ca/problem/coci08c4p4&amp;sa=D&amp;ust=1605639816417000&amp;usg=AFQjCNGjuTVIrT9Q4BPGppaUuV9XMKDj7g" TargetMode="External"/><Relationship Id="rId1760" Type="http://schemas.openxmlformats.org/officeDocument/2006/relationships/hyperlink" Target="https://www.google.com/url?q=https://oj.uz/problem/view/COCI18_deblo&amp;sa=D&amp;ust=1605639816481000&amp;usg=AFQjCNFT8G3cCHHGxysY-Q-Z76N2AQsATg" TargetMode="External"/><Relationship Id="rId1858" Type="http://schemas.openxmlformats.org/officeDocument/2006/relationships/hyperlink" Target="https://www.google.com/url?q=https://contest.yandex.ru/snss2018/contest/8760/problems/B&amp;sa=D&amp;ust=1605639816516000&amp;usg=AFQjCNGhOE7mS_lwk79nAKZA7gSvLe6tLw" TargetMode="External"/><Relationship Id="rId2604" Type="http://schemas.openxmlformats.org/officeDocument/2006/relationships/hyperlink" Target="https://www.google.com/url?q=https://github.com/mostafa-saad/MyCompetitiveProgramming/blob/master/Olympiad/COCI/official/2009/contest4_solutions&amp;sa=D&amp;ust=1605639816744000&amp;usg=AFQjCNHE2lsqEPJ1EZBs4z9OHWcwtgmhqA" TargetMode="External"/><Relationship Id="rId2811" Type="http://schemas.openxmlformats.org/officeDocument/2006/relationships/hyperlink" Target="https://www.google.com/url?q=https://github.com/mostafa-saad/MyCompetitiveProgramming/blob/master/Olympiad/COCI/official/2010/contest4_solutions&amp;sa=D&amp;ust=1605639816805000&amp;usg=AFQjCNEnme7pCIRuGC5_ozuekpr94tqpXQ" TargetMode="External"/><Relationship Id="rId52" Type="http://schemas.openxmlformats.org/officeDocument/2006/relationships/hyperlink" Target="https://www.google.com/url?q=https://csacademy.com/contest/junior-challenge-2017-day-2/task/combinatorix&amp;sa=D&amp;ust=1605639815503000&amp;usg=AFQjCNH1rUQ36kayxVvrQiQQCfHZekPeig" TargetMode="External"/><Relationship Id="rId1206" Type="http://schemas.openxmlformats.org/officeDocument/2006/relationships/hyperlink" Target="https://www.google.com/url?q=https://github.com/mostafa-saad/MyCompetitiveProgramming/blob/master/Olympiad/POI/POI-16-Stutter.txt&amp;sa=D&amp;ust=1605639816277000&amp;usg=AFQjCNEnxTTxbeMtCajTJMUrmVvtyGmJAw" TargetMode="External"/><Relationship Id="rId1413" Type="http://schemas.openxmlformats.org/officeDocument/2006/relationships/hyperlink" Target="https://www.google.com/url?q=https://szkopul.edu.pl/problemset/problem/in7jx1ATY7fnkmK87b9m_Nu_/site/&amp;sa=D&amp;ust=1605639816352000&amp;usg=AFQjCNF61DqSBhXn9H0VRiK1mQdmo4EzEQ" TargetMode="External"/><Relationship Id="rId1620" Type="http://schemas.openxmlformats.org/officeDocument/2006/relationships/hyperlink" Target="https://www.google.com/url?q=https://github.com/SpeedOfMagic/CompetitiveProgramming/blob/master/CEOI/15-bobek.cpp&amp;sa=D&amp;ust=1605639816437000&amp;usg=AFQjCNFZIIUM81BaVmsBZ0RpTJnVyFhC-Q" TargetMode="External"/><Relationship Id="rId2909" Type="http://schemas.openxmlformats.org/officeDocument/2006/relationships/hyperlink" Target="https://www.google.com/url?q=https://oj.uz/problem/view/info1cup18_cambridge&amp;sa=D&amp;ust=1605639816845000&amp;usg=AFQjCNFDtuOny2lSE1D2FyJYMTg8S4JXYA" TargetMode="External"/><Relationship Id="rId1718" Type="http://schemas.openxmlformats.org/officeDocument/2006/relationships/hyperlink" Target="https://www.google.com/url?q=https://github.com/mostafa-saad/MyCompetitiveProgramming/blob/master/Olympiad/POI/POI-11-Sticks.txt&amp;sa=D&amp;ust=1605639816464000&amp;usg=AFQjCNE7XJ9xm92LV6tyxC3KCst-SywnJg" TargetMode="External"/><Relationship Id="rId1925" Type="http://schemas.openxmlformats.org/officeDocument/2006/relationships/hyperlink" Target="https://www.google.com/url?q=https://oj.uz/problem/view/COCI18_maja&amp;sa=D&amp;ust=1605639816537000&amp;usg=AFQjCNHJQfKPOILJu0_0DskIdQk6bcenCA" TargetMode="External"/><Relationship Id="rId299" Type="http://schemas.openxmlformats.org/officeDocument/2006/relationships/hyperlink" Target="https://www.google.com/url?q=https://github.com/mostafa-saad/MyCompetitiveProgramming/blob/master/Olympiad/JOI/JOIOC-16-joiris.txt&amp;sa=D&amp;ust=1605639815579000&amp;usg=AFQjCNGxUI4azP5lifCEcbHQ3XS1YGVPgw" TargetMode="External"/><Relationship Id="rId2187" Type="http://schemas.openxmlformats.org/officeDocument/2006/relationships/hyperlink" Target="https://www.google.com/url?q=https://csacademy.com/contest/ceoi-2017-day-1/tasks/&amp;sa=D&amp;ust=1605639816624000&amp;usg=AFQjCNHiA-py2iKIhDrzvrWchMj-rc6pvw" TargetMode="External"/><Relationship Id="rId2394" Type="http://schemas.openxmlformats.org/officeDocument/2006/relationships/hyperlink" Target="https://www.google.com/url?q=https://github.com/stefdasca/CompetitiveProgramming/blob/master/Infoarena/lautari.cpp&amp;sa=D&amp;ust=1605639816681000&amp;usg=AFQjCNEmuLX2ZndmhYrDdC5NztYKcDy8iQ" TargetMode="External"/><Relationship Id="rId159" Type="http://schemas.openxmlformats.org/officeDocument/2006/relationships/hyperlink" Target="https://www.google.com/url?q=https://www.hackerrank.com/contests/ioi-2014-practice-contest-2/challenges&amp;sa=D&amp;ust=1605639815538000&amp;usg=AFQjCNHWy1krKyAbvD4nmdgj-lCyIh13qw" TargetMode="External"/><Relationship Id="rId366" Type="http://schemas.openxmlformats.org/officeDocument/2006/relationships/hyperlink" Target="https://www.google.com/url?q=https://github.com/mostafa-saad/MyCompetitiveProgramming/blob/master/Olympiad/APIO/APIO-11-Path.txt&amp;sa=D&amp;ust=1605639815603000&amp;usg=AFQjCNGBqQ3JI4OTJ82xnvoOWXyDqossUg" TargetMode="External"/><Relationship Id="rId573" Type="http://schemas.openxmlformats.org/officeDocument/2006/relationships/hyperlink" Target="https://www.google.com/url?q=https://github.com/mostafa-saad/MyCompetitiveProgramming/blob/master/Olympiad/APIO/APIO-15-bridge.txt&amp;sa=D&amp;ust=1605639815891000&amp;usg=AFQjCNGpa-qwvXgxH1CtraJbc6NBCnYldg" TargetMode="External"/><Relationship Id="rId780" Type="http://schemas.openxmlformats.org/officeDocument/2006/relationships/hyperlink" Target="https://www.google.com/url?q=https://github.com/mostafa-saad/MyCompetitiveProgramming/blob/master/Olympiad/CEOI/CEOI-09-Photo.txt&amp;sa=D&amp;ust=1605639815992000&amp;usg=AFQjCNHWA8enj8yVHguehvXA8WDWsGoxrg" TargetMode="External"/><Relationship Id="rId2047" Type="http://schemas.openxmlformats.org/officeDocument/2006/relationships/hyperlink" Target="https://www.google.com/url?q=https://github.com/mostafa-saad/MyCompetitiveProgramming/blob/master/Olympiad/Baltic/official/boi2005_solutions&amp;sa=D&amp;ust=1605639816576000&amp;usg=AFQjCNFHU6YsJywZ-x2-WRRyN_Hc70Hr_Q" TargetMode="External"/><Relationship Id="rId2254" Type="http://schemas.openxmlformats.org/officeDocument/2006/relationships/hyperlink" Target="https://www.google.com/url?q=https://github.com/mostafa-saad/MyCompetitiveProgramming/blob/master/Olympiad/NOI/official&amp;sa=D&amp;ust=1605639816640000&amp;usg=AFQjCNFHzwzAZgYxFYIaHuXH4QCkYaCvZA" TargetMode="External"/><Relationship Id="rId2461" Type="http://schemas.openxmlformats.org/officeDocument/2006/relationships/hyperlink" Target="https://www.google.com/url?q=https://szkopul.edu.pl/problemset/problem/oTpPdueVv1-3g247_-ejjcR_/site/&amp;sa=D&amp;ust=1605639816705000&amp;usg=AFQjCNGCGeRSE5AnOrVrAtXdW5zhtRFnpA" TargetMode="External"/><Relationship Id="rId2699" Type="http://schemas.openxmlformats.org/officeDocument/2006/relationships/hyperlink" Target="https://www.google.com/url?q=https://dmoj.ca/problem/coci06c3p3&amp;sa=D&amp;ust=1605639816767000&amp;usg=AFQjCNFjnlXC-BSgB31jXvbwmESMTRGG2w" TargetMode="External"/><Relationship Id="rId3000" Type="http://schemas.openxmlformats.org/officeDocument/2006/relationships/hyperlink" Target="https://www.google.com/url?q=https://dunjudge.me/analysis/problems/16/&amp;sa=D&amp;ust=1605639816902000&amp;usg=AFQjCNFZHL3Jj2ciAkYtzGiwA5FfQc7_Fw" TargetMode="External"/><Relationship Id="rId226" Type="http://schemas.openxmlformats.org/officeDocument/2006/relationships/hyperlink" Target="https://www.google.com/url?q=https://infoarena.ro/problema/nuke&amp;sa=D&amp;ust=1605639815556000&amp;usg=AFQjCNHxuqAWAi2SaN11t6mwCtNH63OUDw" TargetMode="External"/><Relationship Id="rId433" Type="http://schemas.openxmlformats.org/officeDocument/2006/relationships/hyperlink" Target="https://www.google.com/url?q=https://oj.uz/problem/view/IZhO12_apple&amp;sa=D&amp;ust=1605639815630000&amp;usg=AFQjCNHlpH389fbR7nRyU0Q2aKUhl4P1Yw" TargetMode="External"/><Relationship Id="rId878" Type="http://schemas.openxmlformats.org/officeDocument/2006/relationships/hyperlink" Target="https://www.google.com/url?q=https://oj.uz/problem/view/JOI19_remittance&amp;sa=D&amp;ust=1605639816073000&amp;usg=AFQjCNHuMk77uoSlFFrsH_x4wz4bZ_t3UA" TargetMode="External"/><Relationship Id="rId1063" Type="http://schemas.openxmlformats.org/officeDocument/2006/relationships/hyperlink" Target="https://www.google.com/url?q=https://szkopul.edu.pl/problemset/problem/klvaggzD-q4Acz_WLtkn0JXJ/site/&amp;sa=D&amp;ust=1605639816184000&amp;usg=AFQjCNGlxzNH1VYvUnz6RJ-rztEHMNzRxA" TargetMode="External"/><Relationship Id="rId1270" Type="http://schemas.openxmlformats.org/officeDocument/2006/relationships/hyperlink" Target="https://www.google.com/url?q=https://github.com/mostafa-saad/MyCompetitiveProgramming/blob/master/Olympiad/POI/POI-07-Tetris.txt&amp;sa=D&amp;ust=1605639816300000&amp;usg=AFQjCNFI_J47P1Pj75hKgw5T0bGyxp98ow" TargetMode="External"/><Relationship Id="rId2114" Type="http://schemas.openxmlformats.org/officeDocument/2006/relationships/hyperlink" Target="https://www.google.com/url?q=http://usaco.org/index.php?page%3Dviewproblem2%26cpid%3D494&amp;sa=D&amp;ust=1605639816600000&amp;usg=AFQjCNHQXnG1QXipA8z7C4ZEp1KxrcUI_Q" TargetMode="External"/><Relationship Id="rId2559" Type="http://schemas.openxmlformats.org/officeDocument/2006/relationships/hyperlink" Target="https://www.google.com/url?q=https://github.com/mostafa-saad/MyCompetitiveProgramming/blob/master/Olympiad/COCI/official/2015/contest6_solutions&amp;sa=D&amp;ust=1605639816734000&amp;usg=AFQjCNG5W_JqTM43sTJ0CcjWWG_9eje9JQ" TargetMode="External"/><Relationship Id="rId2766" Type="http://schemas.openxmlformats.org/officeDocument/2006/relationships/hyperlink" Target="https://www.google.com/url?q=https://dmoj.ca/problem/coci15c4p3&amp;sa=D&amp;ust=1605639816789000&amp;usg=AFQjCNHSArQ9PWJi8VpXzsprVlaPiAY60g" TargetMode="External"/><Relationship Id="rId2973" Type="http://schemas.openxmlformats.org/officeDocument/2006/relationships/hyperlink" Target="https://www.google.com/url?q=https://szkopul.edu.pl/problemset/problem/lbADmW7d353d0F0iw4kXTjsl/site/&amp;sa=D&amp;ust=1605639816890000&amp;usg=AFQjCNEv4JXmB0irSL1eF_DmFoQw3XlM5A" TargetMode="External"/><Relationship Id="rId640" Type="http://schemas.openxmlformats.org/officeDocument/2006/relationships/hyperlink" Target="https://www.google.com/url?q=https://oj.uz/problem/view/POI11_okr&amp;sa=D&amp;ust=1605639815914000&amp;usg=AFQjCNFoTloGrSVz35Mkajl7T0sUYxdBUw" TargetMode="External"/><Relationship Id="rId738" Type="http://schemas.openxmlformats.org/officeDocument/2006/relationships/hyperlink" Target="https://www.google.com/url?q=http://usaco.org/index.php?page%3Dviewproblem2%26cpid%3D837&amp;sa=D&amp;ust=1605639815976000&amp;usg=AFQjCNG61GbQpktoin5aXtzuDf9Hh2vdvA" TargetMode="External"/><Relationship Id="rId945" Type="http://schemas.openxmlformats.org/officeDocument/2006/relationships/hyperlink" Target="https://www.google.com/url?q=https://oj.uz/problem/view/COI16_relay&amp;sa=D&amp;ust=1605639816097000&amp;usg=AFQjCNFCk3EsUVkls_aaNtTf4NAMnCFCjA" TargetMode="External"/><Relationship Id="rId1368" Type="http://schemas.openxmlformats.org/officeDocument/2006/relationships/hyperlink" Target="https://www.google.com/url?q=https://cses.fi/185/list/&amp;sa=D&amp;ust=1605639816335000&amp;usg=AFQjCNE6bpaVVVhw0dvvikrg58AUHIgX2g" TargetMode="External"/><Relationship Id="rId1575" Type="http://schemas.openxmlformats.org/officeDocument/2006/relationships/hyperlink" Target="https://www.google.com/url?q=https://www.infoarena.ro/problema/secvbest&amp;sa=D&amp;ust=1605639816424000&amp;usg=AFQjCNEL6FPgEPU1Qm5fU07tSwhGeC_71w" TargetMode="External"/><Relationship Id="rId1782" Type="http://schemas.openxmlformats.org/officeDocument/2006/relationships/hyperlink" Target="https://www.google.com/url?q=https://github.com/stefdasca/CompetitiveProgramming/blob/master/Infoarena/nkbiti.cpp&amp;sa=D&amp;ust=1605639816489000&amp;usg=AFQjCNG-684S2vQ_hXemPv1Z5daq8a2XsA" TargetMode="External"/><Relationship Id="rId2321" Type="http://schemas.openxmlformats.org/officeDocument/2006/relationships/hyperlink" Target="https://www.google.com/url?q=https://github.com/mostafa-saad/MyCompetitiveProgramming/blob/master/Olympiad/COCI/official/2009/contest6_solutions&amp;sa=D&amp;ust=1605639816657000&amp;usg=AFQjCNEbV8OdOtAxwMAV2oZfDQKLfSJW8Q" TargetMode="External"/><Relationship Id="rId2419" Type="http://schemas.openxmlformats.org/officeDocument/2006/relationships/hyperlink" Target="https://www.google.com/url?q=https://github.com/mostafa-saad/MyCompetitiveProgramming/blob/master/Olympiad/POI/official/find_editorial_sols_guidelines.txt&amp;sa=D&amp;ust=1605639816691000&amp;usg=AFQjCNET8Crkt5CwAcJQR-FJMrf3TiFH_w" TargetMode="External"/><Relationship Id="rId2626" Type="http://schemas.openxmlformats.org/officeDocument/2006/relationships/hyperlink" Target="https://www.google.com/url?q=https://github.com/mostafa-saad/MyCompetitiveProgramming/tree/master/Olympiad/COCI/official/2007/contest1_solutions&amp;sa=D&amp;ust=1605639816748000&amp;usg=AFQjCNHEiZzrjcbeXJV0uJ6mAvNCqGMhmg" TargetMode="External"/><Relationship Id="rId2833" Type="http://schemas.openxmlformats.org/officeDocument/2006/relationships/hyperlink" Target="https://www.google.com/url?q=https://github.com/mostafa-saad/MyCompetitiveProgramming/tree/master/Olympiad/COCI/official/2008/contest1_solutions&amp;sa=D&amp;ust=1605639816811000&amp;usg=AFQjCNHTaulhoh1NuPekcMtrVqJHPaefjA" TargetMode="External"/><Relationship Id="rId74" Type="http://schemas.openxmlformats.org/officeDocument/2006/relationships/hyperlink" Target="https://www.google.com/url?q=https://oj.uz/problem/view/COI14_grad&amp;sa=D&amp;ust=1605639815513000&amp;usg=AFQjCNGYge7dlYasbqDW8757FM8JxwACgw" TargetMode="External"/><Relationship Id="rId500" Type="http://schemas.openxmlformats.org/officeDocument/2006/relationships/hyperlink" Target="https://www.google.com/url?q=https://oj.uz/problem/view/COCI17_sazetak&amp;sa=D&amp;ust=1605639815682000&amp;usg=AFQjCNHzwg1RxTAYqQkvnQnjzxUaVu2-AQ" TargetMode="External"/><Relationship Id="rId805" Type="http://schemas.openxmlformats.org/officeDocument/2006/relationships/hyperlink" Target="https://www.google.com/url?q=https://github.com/updown2/OI-Practice/blob/master/USACO/2018-2019/1.%2520December%2520%255BDONE%255D/Balance%2520Beam.cpp&amp;sa=D&amp;ust=1605639816000000&amp;usg=AFQjCNHz1tN_OLShUC6r8aj8dSGCueF6LQ" TargetMode="External"/><Relationship Id="rId1130" Type="http://schemas.openxmlformats.org/officeDocument/2006/relationships/hyperlink" Target="https://www.google.com/url?q=https://github.com/mostafa-saad/MyCompetitiveProgramming/blob/master/Olympiad/JOI/JOISC-19-Mergers.txt&amp;sa=D&amp;ust=1605639816207000&amp;usg=AFQjCNEIGoinqz-nVEYuvEvZptY1Nb12uw" TargetMode="External"/><Relationship Id="rId1228" Type="http://schemas.openxmlformats.org/officeDocument/2006/relationships/hyperlink" Target="https://www.google.com/url?q=https://dmoj.ca/problem/ioi02p4&amp;sa=D&amp;ust=1605639816286000&amp;usg=AFQjCNGqwOt4kVN5uYdQT2cO_p9K2NQVaQ" TargetMode="External"/><Relationship Id="rId1435" Type="http://schemas.openxmlformats.org/officeDocument/2006/relationships/hyperlink" Target="https://www.google.com/url?q=https://szkopul.edu.pl/problemset/problem/BnzEADCfeJFjjev1Y9iHQANg/site/&amp;sa=D&amp;ust=1605639816373000&amp;usg=AFQjCNGk5-_dbpqEXT1eBx8KwHpiaUzDEA" TargetMode="External"/><Relationship Id="rId1642" Type="http://schemas.openxmlformats.org/officeDocument/2006/relationships/hyperlink" Target="https://www.google.com/url?q=http://usaco.org/index.php?page%3Dviewproblem2%26cpid%3D648&amp;sa=D&amp;ust=1605639816443000&amp;usg=AFQjCNGHbjt__BKH9Ci5pD_RC6zMDY1lhw" TargetMode="External"/><Relationship Id="rId1947" Type="http://schemas.openxmlformats.org/officeDocument/2006/relationships/hyperlink" Target="https://www.google.com/url?q=https://www.hackerrank.com/contests/ioi-2014-practice-contest-2/challenges/world-peace-ioi14&amp;sa=D&amp;ust=1605639816544000&amp;usg=AFQjCNFUnwgG6FZHspb3By4TTlVoWMnEJQ" TargetMode="External"/><Relationship Id="rId2900" Type="http://schemas.openxmlformats.org/officeDocument/2006/relationships/hyperlink" Target="https://www.google.com/url?q=https://oj.uz/problem/view/COCI19_titlovi&amp;sa=D&amp;ust=1605639816842000&amp;usg=AFQjCNG8Rn7NQBNWlgBKT7ykSZ9f5qOc8g" TargetMode="External"/><Relationship Id="rId1502" Type="http://schemas.openxmlformats.org/officeDocument/2006/relationships/hyperlink" Target="https://www.google.com/url?q=https://github.com/mostafa-saad/MyCompetitiveProgramming/blob/master/Olympiad/CEOI/COCI-14-Suma.txt&amp;sa=D&amp;ust=1605639816400000&amp;usg=AFQjCNEev-YFdWKiuy0-DwL9ER3eP1vIXQ" TargetMode="External"/><Relationship Id="rId1807" Type="http://schemas.openxmlformats.org/officeDocument/2006/relationships/hyperlink" Target="https://www.google.com/url?q=https://github.com/mostafa-saad/MyCompetitiveProgramming/tree/master/Olympiad/COCI/official/2007/contest6_solutions&amp;sa=D&amp;ust=1605639816499000&amp;usg=AFQjCNHz9LNQ19wr8RlF18DRtLKKqfCtXw" TargetMode="External"/><Relationship Id="rId290" Type="http://schemas.openxmlformats.org/officeDocument/2006/relationships/hyperlink" Target="https://www.google.com/url?q=http://www.spoj.com/problems/BACKUP/&amp;sa=D&amp;ust=1605639815577000&amp;usg=AFQjCNGG0XrID1bWdgXWGLeW7Hfmg4AHig" TargetMode="External"/><Relationship Id="rId388" Type="http://schemas.openxmlformats.org/officeDocument/2006/relationships/hyperlink" Target="https://www.google.com/url?q=https://oj.uz/problem/view/APIO13_robots&amp;sa=D&amp;ust=1605639815612000&amp;usg=AFQjCNHYU0-6gnoH9SlEmXt3bexL6b1NRw" TargetMode="External"/><Relationship Id="rId2069" Type="http://schemas.openxmlformats.org/officeDocument/2006/relationships/hyperlink" Target="https://www.google.com/url?q=https://github.com/stefdasca/CompetitiveProgramming/blob/master/Infoarena/poarta2.cpp&amp;sa=D&amp;ust=1605639816585000&amp;usg=AFQjCNG6K18mu8A_ot0NX8CMPUCIzTYWrw" TargetMode="External"/><Relationship Id="rId150" Type="http://schemas.openxmlformats.org/officeDocument/2006/relationships/hyperlink" Target="https://www.google.com/url?q=https://oj.uz/problem/view/JOI19_minerals&amp;sa=D&amp;ust=1605639815536000&amp;usg=AFQjCNHOo2KhFpAhekIQROonXvirQBlvHA" TargetMode="External"/><Relationship Id="rId595" Type="http://schemas.openxmlformats.org/officeDocument/2006/relationships/hyperlink" Target="https://www.google.com/url?q=https://github.com/mostafa-saad/MyCompetitiveProgramming/blob/master/Olympiad/infoarena/infoarena_turnuri.txt&amp;sa=D&amp;ust=1605639815899000&amp;usg=AFQjCNFWCuYuPWzIGiFJyqfF2dtDBmFZnQ" TargetMode="External"/><Relationship Id="rId2276" Type="http://schemas.openxmlformats.org/officeDocument/2006/relationships/hyperlink" Target="https://www.google.com/url?q=https://github.com/mostafa-saad/MyCompetitiveProgramming/blob/master/Olympiad/CEOI/06-Bicikli.txt&amp;sa=D&amp;ust=1605639816645000&amp;usg=AFQjCNHCkNxf__tdPsbojbutPGRCY6c_bA" TargetMode="External"/><Relationship Id="rId2483" Type="http://schemas.openxmlformats.org/officeDocument/2006/relationships/hyperlink" Target="https://www.google.com/url?q=https://github.com/mostafa-saad/MyCompetitiveProgramming/blob/master/Olympiad/COCI/official/2015/contest3_solutions&amp;sa=D&amp;ust=1605639816713000&amp;usg=AFQjCNEtOGm9drkFjSLFYG0WpYvrsDcLig" TargetMode="External"/><Relationship Id="rId2690" Type="http://schemas.openxmlformats.org/officeDocument/2006/relationships/hyperlink" Target="https://www.google.com/url?q=https://github.com/tmwilliamlin168/CompetitiveProgramming/blob/master/HackerRank/family-ioi14.cpp&amp;sa=D&amp;ust=1605639816762000&amp;usg=AFQjCNG1NfZtETIulRmjvO0lAW6zmDIcjg" TargetMode="External"/><Relationship Id="rId248" Type="http://schemas.openxmlformats.org/officeDocument/2006/relationships/hyperlink" Target="https://www.google.com/url?q=http://usaco.org/index.php?page%3Dviewproblem2%26cpid%3D818&amp;sa=D&amp;ust=1605639815562000&amp;usg=AFQjCNEuri6_VWm38kEX1a6cAzcNxti75A" TargetMode="External"/><Relationship Id="rId455" Type="http://schemas.openxmlformats.org/officeDocument/2006/relationships/hyperlink" Target="https://www.google.com/url?q=https://cses.fi/197/list/&amp;sa=D&amp;ust=1605639815664000&amp;usg=AFQjCNGNbGQ3l67hiYvONa6rSTaEE5pFcQ" TargetMode="External"/><Relationship Id="rId662" Type="http://schemas.openxmlformats.org/officeDocument/2006/relationships/hyperlink" Target="https://www.google.com/url?q=https://szkopul.edu.pl/problemset/problem/hwbyoUkNFPXQLOPcw3x5huTR/site/&amp;sa=D&amp;ust=1605639815922000&amp;usg=AFQjCNFc7WwmTasifceRXxa_nU_SURJp5A" TargetMode="External"/><Relationship Id="rId1085" Type="http://schemas.openxmlformats.org/officeDocument/2006/relationships/hyperlink" Target="https://www.google.com/url?q=https://csacademy.com/contest/ceoi-2017-day-2/&amp;sa=D&amp;ust=1605639816191000&amp;usg=AFQjCNFNcROYIzuw9rWdDYnpC3OwxRChZw" TargetMode="External"/><Relationship Id="rId1292" Type="http://schemas.openxmlformats.org/officeDocument/2006/relationships/hyperlink" Target="https://www.google.com/url?q=https://github.com/mostafa-saad/MyCompetitiveProgramming/blob/master/Olympiad/COCI/COCI-08-Najkraci.txt&amp;sa=D&amp;ust=1605639816308000&amp;usg=AFQjCNHZvJaneApJk1gWEGjxf40aomdEAg" TargetMode="External"/><Relationship Id="rId2136" Type="http://schemas.openxmlformats.org/officeDocument/2006/relationships/hyperlink" Target="https://www.google.com/url?q=https://oj.uz/problem/view/info1cup18_maxcomp&amp;sa=D&amp;ust=1605639816606000&amp;usg=AFQjCNEzV0A8IJ0aALn-lQbejNf9NpaQLA" TargetMode="External"/><Relationship Id="rId2343" Type="http://schemas.openxmlformats.org/officeDocument/2006/relationships/hyperlink" Target="https://www.google.com/url?q=https://github.com/mostafa-saad/MyCompetitiveProgramming/blob/master/Olympiad/COCI/COCI-14-studentsko.txt&amp;sa=D&amp;ust=1605639816662000&amp;usg=AFQjCNGoOx7B5xD_twkv2_L0wsZ6Yg3Spg" TargetMode="External"/><Relationship Id="rId2550" Type="http://schemas.openxmlformats.org/officeDocument/2006/relationships/hyperlink" Target="https://www.google.com/url?q=https://dmoj.ca/problem/coci08c1p3&amp;sa=D&amp;ust=1605639816732000&amp;usg=AFQjCNGilHb7R6OsftCumgdn6uh-Nep91Q" TargetMode="External"/><Relationship Id="rId2788" Type="http://schemas.openxmlformats.org/officeDocument/2006/relationships/hyperlink" Target="https://www.google.com/url?q=https://dmoj.ca/problem/coci08c2p1&amp;sa=D&amp;ust=1605639816799000&amp;usg=AFQjCNFo53hPDcY34xTLs8uKIqd9kHjIcA" TargetMode="External"/><Relationship Id="rId2995" Type="http://schemas.openxmlformats.org/officeDocument/2006/relationships/hyperlink" Target="https://www.google.com/url?q=https://oj.uz/problems/source/314&amp;sa=D&amp;ust=1605639816900000&amp;usg=AFQjCNF9BjrJBY2jRyeqeU1AsU2eDqB7-w" TargetMode="External"/><Relationship Id="rId108" Type="http://schemas.openxmlformats.org/officeDocument/2006/relationships/hyperlink" Target="https://www.google.com/url?q=https://github.com/mostafa-saad/MyCompetitiveProgramming/blob/master/Olympiad/Baltic/official/boi2007_solutions&amp;sa=D&amp;ust=1605639815523000&amp;usg=AFQjCNEaW9HnEJ74BSCPPhVX8nXiBuHlMg" TargetMode="External"/><Relationship Id="rId315" Type="http://schemas.openxmlformats.org/officeDocument/2006/relationships/hyperlink" Target="https://www.google.com/url?q=https://szkopul.edu.pl/problemset/problem/XNaC6RSk8o9MIJkuaL6O4t0u/site/&amp;sa=D&amp;ust=1605639815586000&amp;usg=AFQjCNF-GIlRSxGBIJAh3kdaeyIh8kC6dA" TargetMode="External"/><Relationship Id="rId522" Type="http://schemas.openxmlformats.org/officeDocument/2006/relationships/hyperlink" Target="https://www.google.com/url?q=https://github.com/mostafa-saad/MyCompetitiveProgramming/blob/master/Olympiad/COI/COI-15-zarulje.txt&amp;sa=D&amp;ust=1605639815833000&amp;usg=AFQjCNGydgKuPzwvlpQ_gCfLTnXRz6cm3A" TargetMode="External"/><Relationship Id="rId967" Type="http://schemas.openxmlformats.org/officeDocument/2006/relationships/hyperlink" Target="https://www.google.com/url?q=http://usaco.org/index.php?page%3Dviewproblem2%26cpid%3D769&amp;sa=D&amp;ust=1605639816104000&amp;usg=AFQjCNEbqTcpfbjoMA0vmYZ0jFzBooqynQ" TargetMode="External"/><Relationship Id="rId1152" Type="http://schemas.openxmlformats.org/officeDocument/2006/relationships/hyperlink" Target="https://www.google.com/url?q=https://github.com/mostafa-saad/MyCompetitiveProgramming/blob/master/Olympiad/Baltic/official/boi2010_solutions&amp;sa=D&amp;ust=1605639816212000&amp;usg=AFQjCNFG7El1c0P5lxUPYp5kJHB8BiWfFA" TargetMode="External"/><Relationship Id="rId1597" Type="http://schemas.openxmlformats.org/officeDocument/2006/relationships/hyperlink" Target="https://www.google.com/url?q=https://szkopul.edu.pl/problemset/problem/07Q0fFk7fU2TmGr6wpPeDCZj/site/&amp;sa=D&amp;ust=1605639816431000&amp;usg=AFQjCNG4kEI-pr8JCKF9FONKtsAELo0ltA" TargetMode="External"/><Relationship Id="rId2203" Type="http://schemas.openxmlformats.org/officeDocument/2006/relationships/hyperlink" Target="https://www.google.com/url?q=https://csacademy.com/contest/round-80/task/shampoo-exchange/&amp;sa=D&amp;ust=1605639816628000&amp;usg=AFQjCNHOsxQpKi3aqYeuYQKiQsk5Jldk3A" TargetMode="External"/><Relationship Id="rId2410" Type="http://schemas.openxmlformats.org/officeDocument/2006/relationships/hyperlink" Target="https://www.google.com/url?q=https://dmoj.ca/contest/cco18d1&amp;sa=D&amp;ust=1605639816688000&amp;usg=AFQjCNHAbHoLglhoQts8wHDg5bjmfXS7Vw" TargetMode="External"/><Relationship Id="rId2648" Type="http://schemas.openxmlformats.org/officeDocument/2006/relationships/hyperlink" Target="https://www.google.com/url?q=https://github.com/mostafa-saad/MyCompetitiveProgramming/tree/master/Olympiad/COCI/official/2008/contest6_solutions&amp;sa=D&amp;ust=1605639816754000&amp;usg=AFQjCNGpjzKwhK10O2C1tSobL2vFD7SI-w" TargetMode="External"/><Relationship Id="rId2855" Type="http://schemas.openxmlformats.org/officeDocument/2006/relationships/hyperlink" Target="https://www.google.com/url?q=https://dunjudge.me/analysis/problems/1478/&amp;sa=D&amp;ust=1605639816819000&amp;usg=AFQjCNEv-7Fwbed6ZlAWklL4kQ1ZaTmNxw" TargetMode="External"/><Relationship Id="rId96" Type="http://schemas.openxmlformats.org/officeDocument/2006/relationships/hyperlink" Target="https://www.google.com/url?q=https://github.com/gametothepower8/Solutions-to-OI-problems/blob/master/USACO18Janplat-atlarge.cpp&amp;sa=D&amp;ust=1605639815520000&amp;usg=AFQjCNGv8Zt-juMmrIIoL021Ks_8gN9K6g" TargetMode="External"/><Relationship Id="rId827" Type="http://schemas.openxmlformats.org/officeDocument/2006/relationships/hyperlink" Target="https://www.google.com/url?q=https://github.com/mostafa-saad/MyCompetitiveProgramming/blob/master/Olympiad/CEOI/COCI-08-Slicice.txt&amp;sa=D&amp;ust=1605639816009000&amp;usg=AFQjCNHXS0wU-eRCq-047JLVvPtqmBNdeQ" TargetMode="External"/><Relationship Id="rId1012" Type="http://schemas.openxmlformats.org/officeDocument/2006/relationships/hyperlink" Target="https://www.google.com/url?q=https://github.com/dolphingarlic/CompetitiveProgramming/blob/master/POI/POI-11-Lollipop.txt&amp;sa=D&amp;ust=1605639816117000&amp;usg=AFQjCNECSoGvAuNeTO85EX4mcLcGw6KONQ" TargetMode="External"/><Relationship Id="rId1457" Type="http://schemas.openxmlformats.org/officeDocument/2006/relationships/hyperlink" Target="https://www.google.com/url?q=https://joisc2014.contest.atcoder.jp/tasks/joisc2014_g&amp;sa=D&amp;ust=1605639816382000&amp;usg=AFQjCNEkgIUyT2uRa2rTrVxBxUF_8AO6SA" TargetMode="External"/><Relationship Id="rId1664" Type="http://schemas.openxmlformats.org/officeDocument/2006/relationships/hyperlink" Target="https://www.google.com/url?q=https://github.com/mostafa-saad/MyCompetitiveProgramming/blob/master/Olympiad/COI/COI-06-Patrik.txt&amp;sa=D&amp;ust=1605639816449000&amp;usg=AFQjCNFzOliEzrOdGOlfrxJTV-n-aoNpDA" TargetMode="External"/><Relationship Id="rId1871" Type="http://schemas.openxmlformats.org/officeDocument/2006/relationships/hyperlink" Target="https://www.google.com/url?q=https://github.com/mostafa-saad/MyCompetitiveProgramming/blob/master/Olympiad/COCI/COCI-07-Barica.txt&amp;sa=D&amp;ust=1605639816520000&amp;usg=AFQjCNGlVEcnY6jAtHO8JR6NRbZlFnHgxw" TargetMode="External"/><Relationship Id="rId2508" Type="http://schemas.openxmlformats.org/officeDocument/2006/relationships/hyperlink" Target="https://www.google.com/url?q=https://oj.uz/problem/view/COCI17_zigzag&amp;sa=D&amp;ust=1605639816722000&amp;usg=AFQjCNFFvfK8APHq4xFQkP5fWcF0QUbEWA" TargetMode="External"/><Relationship Id="rId2715" Type="http://schemas.openxmlformats.org/officeDocument/2006/relationships/hyperlink" Target="https://www.google.com/url?q=https://github.com/mostafa-saad/MyCompetitiveProgramming/tree/master/Olympiad/MCO/official/2015&amp;sa=D&amp;ust=1605639816772000&amp;usg=AFQjCNGAEU6E0dRwNlapY6yizG7hP_DIzQ" TargetMode="External"/><Relationship Id="rId2922" Type="http://schemas.openxmlformats.org/officeDocument/2006/relationships/hyperlink" Target="https://www.google.com/url?q=https://wcipeg.com/problem/ioi1402&amp;sa=D&amp;ust=1605639816864000&amp;usg=AFQjCNFY1SDH6LmLNJer3A866bU3RI6OtA" TargetMode="External"/><Relationship Id="rId1317" Type="http://schemas.openxmlformats.org/officeDocument/2006/relationships/hyperlink" Target="https://www.google.com/url?q=https://infoarena.ro/problema/eq&amp;sa=D&amp;ust=1605639816318000&amp;usg=AFQjCNFieZe2uq-Vu-qNd9-QORuSZoZxMg" TargetMode="External"/><Relationship Id="rId1524" Type="http://schemas.openxmlformats.org/officeDocument/2006/relationships/hyperlink" Target="https://www.google.com/url?q=http://www.spoj.com/problems/MINSUB/&amp;sa=D&amp;ust=1605639816407000&amp;usg=AFQjCNEN3Jvpukp66BNm48Ai0sXYbCDo5w" TargetMode="External"/><Relationship Id="rId1731" Type="http://schemas.openxmlformats.org/officeDocument/2006/relationships/hyperlink" Target="https://www.google.com/url?q=https://github.com/MohamedAhmed04/Competitive-programming/blob/master/SingaporeNOI/2019-Pilot.cpp&amp;sa=D&amp;ust=1605639816470000&amp;usg=AFQjCNF8W6scG0RiQMTXhDw8a9EJd-QZuQ" TargetMode="External"/><Relationship Id="rId1969" Type="http://schemas.openxmlformats.org/officeDocument/2006/relationships/hyperlink" Target="https://www.google.com/url?q=https://github.com/sjhuang26/competitive-programming/blob/master/noi/NOI%252013-gw.cpp&amp;sa=D&amp;ust=1605639816550000&amp;usg=AFQjCNEN6cADgA7tXnE2Gq1PRjK2yBCFIw" TargetMode="External"/><Relationship Id="rId23" Type="http://schemas.openxmlformats.org/officeDocument/2006/relationships/hyperlink" Target="https://www.google.com/url?q=https://codeforces.com/blog/entry/68676&amp;sa=D&amp;ust=1605639815493000&amp;usg=AFQjCNEtu9XqfvxvroX1DTo3egid2ZuTNw" TargetMode="External"/><Relationship Id="rId1829" Type="http://schemas.openxmlformats.org/officeDocument/2006/relationships/hyperlink" Target="https://www.google.com/url?q=https://github.com/mostafa-saad/MyCompetitiveProgramming/blob/master/Olympiad/IOI/official/2000&amp;sa=D&amp;ust=1605639816507000&amp;usg=AFQjCNE_WZbxFnEoRqhyYSMHScIAtURIqg" TargetMode="External"/><Relationship Id="rId2298" Type="http://schemas.openxmlformats.org/officeDocument/2006/relationships/hyperlink" Target="https://www.google.com/url?q=https://www.infoarena.ro/problema/bile6&amp;sa=D&amp;ust=1605639816651000&amp;usg=AFQjCNFDfnie4oPXhvpuezycb0fhBkZZcQ" TargetMode="External"/><Relationship Id="rId172" Type="http://schemas.openxmlformats.org/officeDocument/2006/relationships/hyperlink" Target="https://www.google.com/url?q=https://joisc2016.contest.atcoder.jp/tasks/joisc2016_k&amp;sa=D&amp;ust=1605639815542000&amp;usg=AFQjCNHIz6XcYCVqD7kYfT95Sz7xHP5mEg" TargetMode="External"/><Relationship Id="rId477" Type="http://schemas.openxmlformats.org/officeDocument/2006/relationships/hyperlink" Target="https://www.google.com/url?q=https://dmoj.ca/problem/apio10p3&amp;sa=D&amp;ust=1605639815674000&amp;usg=AFQjCNH9J5TUdnlQgAKC4Ifbde34YvO7uA" TargetMode="External"/><Relationship Id="rId684" Type="http://schemas.openxmlformats.org/officeDocument/2006/relationships/hyperlink" Target="https://www.google.com/url?q=https://github.com/mostafa-saad/MyCompetitiveProgramming/blob/master/Olympiad/POI/POI-06-Aesthetics.txt&amp;sa=D&amp;ust=1605639815929000&amp;usg=AFQjCNFIHBvHMr8ACYmzzRQwDGnTb2KhSw" TargetMode="External"/><Relationship Id="rId2060" Type="http://schemas.openxmlformats.org/officeDocument/2006/relationships/hyperlink" Target="https://www.google.com/url?q=https://dunjudge.me/analysis/problems/963/&amp;sa=D&amp;ust=1605639816581000&amp;usg=AFQjCNFrbdUgh3rjKs60gKIaxOdxxJNPyg" TargetMode="External"/><Relationship Id="rId2158" Type="http://schemas.openxmlformats.org/officeDocument/2006/relationships/hyperlink" Target="https://www.google.com/url?q=https://oj.uz/problem/view/COCI20_nivelle&amp;sa=D&amp;ust=1605639816613000&amp;usg=AFQjCNFJhFGyad_ar6SYOqfCpEGyK5378Q" TargetMode="External"/><Relationship Id="rId2365" Type="http://schemas.openxmlformats.org/officeDocument/2006/relationships/hyperlink" Target="https://www.google.com/url?q=https://oj.uz/problem/view/COCI17_lozinke&amp;sa=D&amp;ust=1605639816670000&amp;usg=AFQjCNHULIQ5eQni6EwItKjCKAP0v6EIMQ" TargetMode="External"/><Relationship Id="rId337" Type="http://schemas.openxmlformats.org/officeDocument/2006/relationships/hyperlink" Target="https://www.google.com/url?q=https://oj.uz/problem/view/COI15_cvenk&amp;sa=D&amp;ust=1605639815594000&amp;usg=AFQjCNG1C_O47myGw4A0v3D0n2YzJ_-4PA" TargetMode="External"/><Relationship Id="rId891" Type="http://schemas.openxmlformats.org/officeDocument/2006/relationships/hyperlink" Target="https://www.google.com/url?q=https://contest.yandex.ru/ioi/contest/558/enter/&amp;sa=D&amp;ust=1605639816080000&amp;usg=AFQjCNHDysKiNkEq2F2OdZYL_8xFamFl_w" TargetMode="External"/><Relationship Id="rId989" Type="http://schemas.openxmlformats.org/officeDocument/2006/relationships/hyperlink" Target="https://www.google.com/url?q=https://oj.uz/problem/view/JOI19_ho_t3&amp;sa=D&amp;ust=1605639816110000&amp;usg=AFQjCNFjHf_fsv-Tp90kNVon_h5txmB9fw" TargetMode="External"/><Relationship Id="rId2018" Type="http://schemas.openxmlformats.org/officeDocument/2006/relationships/hyperlink" Target="https://www.google.com/url?q=https://github.com/mostafa-saad/MyCompetitiveProgramming/blob/master/Olympiad/COCI/official/2017/contest2_solutions&amp;sa=D&amp;ust=1605639816564000&amp;usg=AFQjCNHvRnSP13VQ7MMgouZ5wLei5HARvg" TargetMode="External"/><Relationship Id="rId2572" Type="http://schemas.openxmlformats.org/officeDocument/2006/relationships/hyperlink" Target="https://www.google.com/url?q=https://www.infoarena.ro/problema/calorifer&amp;sa=D&amp;ust=1605639816738000&amp;usg=AFQjCNGZ9pGSWoppBMn-bG0KA4D01vfSiw" TargetMode="External"/><Relationship Id="rId2877" Type="http://schemas.openxmlformats.org/officeDocument/2006/relationships/hyperlink" Target="https://www.google.com/url?q=https://www.acmicpc.net/problem/7085&amp;sa=D&amp;ust=1605639816825000&amp;usg=AFQjCNEV7Tlw3sx905AeGnzncBCTIiv8hQ" TargetMode="External"/><Relationship Id="rId544" Type="http://schemas.openxmlformats.org/officeDocument/2006/relationships/hyperlink" Target="https://www.google.com/url?q=http://infoarena.ro/problema/engineer&amp;sa=D&amp;ust=1605639815880000&amp;usg=AFQjCNH7hzjql-GxSEXbzlJeGmNYSLZM0Q" TargetMode="External"/><Relationship Id="rId751" Type="http://schemas.openxmlformats.org/officeDocument/2006/relationships/hyperlink" Target="https://www.google.com/url?q=https://csacademy.com/contest/ceoi-2017-day-1/tasks/&amp;sa=D&amp;ust=1605639815981000&amp;usg=AFQjCNHA2RzHGlSBTZTXWQiJgc5UNm0F4w" TargetMode="External"/><Relationship Id="rId849" Type="http://schemas.openxmlformats.org/officeDocument/2006/relationships/hyperlink" Target="https://www.google.com/url?q=https://cses.fi/112/list/&amp;sa=D&amp;ust=1605639816017000&amp;usg=AFQjCNED1J4Y5mAbyl8f75lDdoVP-HBsDQ" TargetMode="External"/><Relationship Id="rId1174" Type="http://schemas.openxmlformats.org/officeDocument/2006/relationships/hyperlink" Target="https://www.google.com/url?q=https://github.com/mostafa-saad/MyCompetitiveProgramming/blob/master/Olympiad/APIO/APIO-14-Sequence.txt&amp;sa=D&amp;ust=1605639816218000&amp;usg=AFQjCNE7vcOo0zqYtZxYISj7F_ZZ0OejCQ" TargetMode="External"/><Relationship Id="rId1381" Type="http://schemas.openxmlformats.org/officeDocument/2006/relationships/hyperlink" Target="https://www.google.com/url?q=http://usaco.org/index.php?page%3Dviewproblem2%26cpid%3D816&amp;sa=D&amp;ust=1605639816341000&amp;usg=AFQjCNFvs8ZoLLJvZzo-8HqWcuMAtgWBOg" TargetMode="External"/><Relationship Id="rId1479" Type="http://schemas.openxmlformats.org/officeDocument/2006/relationships/hyperlink" Target="https://www.google.com/url?q=https://training.ia-toki.org/problemsets/87/problems/445/&amp;sa=D&amp;ust=1605639816391000&amp;usg=AFQjCNF4jkmGrvjllUQTIYUbe49FfuMgZQ" TargetMode="External"/><Relationship Id="rId1686" Type="http://schemas.openxmlformats.org/officeDocument/2006/relationships/hyperlink" Target="https://www.google.com/url?q=https://oj.uz/problem/view/IOI16_molecules&amp;sa=D&amp;ust=1605639816455000&amp;usg=AFQjCNEG9AClw_JiC13S-47tho_a9SDGQQ" TargetMode="External"/><Relationship Id="rId2225" Type="http://schemas.openxmlformats.org/officeDocument/2006/relationships/hyperlink" Target="https://www.google.com/url?q=https://github.com/mostafa-saad/MyCompetitiveProgramming/blob/master/Olympiad/NOI/official&amp;sa=D&amp;ust=1605639816634000&amp;usg=AFQjCNGLatC17F1otDO6Khaf72KOuId-Qw" TargetMode="External"/><Relationship Id="rId2432" Type="http://schemas.openxmlformats.org/officeDocument/2006/relationships/hyperlink" Target="https://www.google.com/url?q=https://github.com/mostafa-saad/MyCompetitiveProgramming/blob/master/Olympiad/POI/official/find_editorial_sols_guidelines.txt&amp;sa=D&amp;ust=1605639816695000&amp;usg=AFQjCNFs3nc6PWWWYCoTyQrx5N5MZG7ljg" TargetMode="External"/><Relationship Id="rId404" Type="http://schemas.openxmlformats.org/officeDocument/2006/relationships/hyperlink" Target="https://www.google.com/url?q=https://oj.uz/problem/view/balkan11_cmp&amp;sa=D&amp;ust=1605639815619000&amp;usg=AFQjCNFfM244v1i2T_ZEDvkHAZq1DobKXw" TargetMode="External"/><Relationship Id="rId611" Type="http://schemas.openxmlformats.org/officeDocument/2006/relationships/hyperlink" Target="https://www.google.com/url?q=https://github.com/mostafa-saad/MyCompetitiveProgramming/blob/master/Olympiad/infoarena/infoarena_unique.txt&amp;sa=D&amp;ust=1605639815904000&amp;usg=AFQjCNFDSDGFEaYlU7LHbnyJVssSe8oVHA" TargetMode="External"/><Relationship Id="rId1034" Type="http://schemas.openxmlformats.org/officeDocument/2006/relationships/hyperlink" Target="https://www.google.com/url?q=https://github.com/mostafa-saad/MyCompetitiveProgramming/blob/master/Olympiad/Baltic/Baltic-15-hac.txt&amp;sa=D&amp;ust=1605639816174000&amp;usg=AFQjCNH16Y8pMbatWcq5zCPV3c4eFZ8sTQ" TargetMode="External"/><Relationship Id="rId1241" Type="http://schemas.openxmlformats.org/officeDocument/2006/relationships/hyperlink" Target="https://www.google.com/url?q=https://infoarena.ro/problema/overpower&amp;sa=D&amp;ust=1605639816291000&amp;usg=AFQjCNFOY-Qu7sfQJjHjhUDwEzoigYJ_gw" TargetMode="External"/><Relationship Id="rId1339" Type="http://schemas.openxmlformats.org/officeDocument/2006/relationships/hyperlink" Target="https://www.google.com/url?q=https://github.com/mostafa-saad/MyCompetitiveProgramming/blob/master/Olympiad/POI/POI-14-FarmCraft.txt&amp;sa=D&amp;ust=1605639816325000&amp;usg=AFQjCNHwC8-TnLZVAZ59vnWRNYgxVdqKqA" TargetMode="External"/><Relationship Id="rId1893" Type="http://schemas.openxmlformats.org/officeDocument/2006/relationships/hyperlink" Target="https://www.google.com/url?q=https://github.com/mostafa-saad/MyCompetitiveProgramming/blob/master/Olympiad/IOI/IOI-13-cave.txt&amp;sa=D&amp;ust=1605639816528000&amp;usg=AFQjCNGUYW26DEtOXBN-k__VFAoTitOLxQ" TargetMode="External"/><Relationship Id="rId2737" Type="http://schemas.openxmlformats.org/officeDocument/2006/relationships/hyperlink" Target="https://www.google.com/url?q=https://github.com/mostafa-saad/MyCompetitiveProgramming/blob/master/Olympiad/COCI/official/2015/contest7_solutions&amp;sa=D&amp;ust=1605639816780000&amp;usg=AFQjCNFL9fwlF0OKkc106S48Kogwnj9OKQ" TargetMode="External"/><Relationship Id="rId2944" Type="http://schemas.openxmlformats.org/officeDocument/2006/relationships/hyperlink" Target="https://www.google.com/url?q=https://dunjudge.me/analysis/problems/189/&amp;sa=D&amp;ust=1605639816875000&amp;usg=AFQjCNHdfQVPpu8nrzdmlkVx3zIQwJql8Q" TargetMode="External"/><Relationship Id="rId709" Type="http://schemas.openxmlformats.org/officeDocument/2006/relationships/hyperlink" Target="https://www.google.com/url?q=https://github.com/mostafa-saad/MyCompetitiveProgramming/blob/master/Olympiad/POI/POI-04-Gates.txt&amp;sa=D&amp;ust=1605639815965000&amp;usg=AFQjCNHN6WVUhlCVjnrIWJ6kjuya95NfNw" TargetMode="External"/><Relationship Id="rId916" Type="http://schemas.openxmlformats.org/officeDocument/2006/relationships/hyperlink" Target="https://www.google.com/url?q=https://szkopul.edu.pl/problemset/problem/4Pgr_vmxb_fPeFSn1NTJPqQa/site/&amp;sa=D&amp;ust=1605639816089000&amp;usg=AFQjCNE3H1wGKUX7S90DuVrvHAx-IdUk4g" TargetMode="External"/><Relationship Id="rId1101" Type="http://schemas.openxmlformats.org/officeDocument/2006/relationships/hyperlink" Target="https://www.google.com/url?q=https://oj.uz/problem/view/COCI18_dostavljac&amp;sa=D&amp;ust=1605639816197000&amp;usg=AFQjCNGTUj5oMF_pd--Sy5li_wC0nZg-ug" TargetMode="External"/><Relationship Id="rId1546" Type="http://schemas.openxmlformats.org/officeDocument/2006/relationships/hyperlink" Target="https://www.google.com/url?q=https://csacademy.com/contest/ceoi-2017-day-2/&amp;sa=D&amp;ust=1605639816415000&amp;usg=AFQjCNG5zZAK5fGeya73JpFOvdKQEYMpPg" TargetMode="External"/><Relationship Id="rId1753" Type="http://schemas.openxmlformats.org/officeDocument/2006/relationships/hyperlink" Target="https://www.google.com/url?q=https://joi2016ho.contest.atcoder.jp/tasks/joi2016ho_b&amp;sa=D&amp;ust=1605639816478000&amp;usg=AFQjCNFIQ9pv10k_cFlPceI2IDL5j7MxHw" TargetMode="External"/><Relationship Id="rId1960" Type="http://schemas.openxmlformats.org/officeDocument/2006/relationships/hyperlink" Target="https://www.google.com/url?q=https://dunjudge.me/analysis/problems/1413/&amp;sa=D&amp;ust=1605639816548000&amp;usg=AFQjCNHc4EFwGLfzQSD8wkPSgzwJepOYeA" TargetMode="External"/><Relationship Id="rId2804" Type="http://schemas.openxmlformats.org/officeDocument/2006/relationships/hyperlink" Target="https://www.google.com/url?q=https://wcipeg.com/problem/coci093p1&amp;sa=D&amp;ust=1605639816803000&amp;usg=AFQjCNHokUXYhCGMExtsu7DzvNRHKcO95w" TargetMode="External"/><Relationship Id="rId45" Type="http://schemas.openxmlformats.org/officeDocument/2006/relationships/hyperlink" Target="https://www.google.com/url?q=https://tioj.ck.tp.edu.tw/problems/1750&amp;sa=D&amp;ust=1605639815500000&amp;usg=AFQjCNG79QdltrcbFelBBlqAHU0yHCrZUw" TargetMode="External"/><Relationship Id="rId1406" Type="http://schemas.openxmlformats.org/officeDocument/2006/relationships/hyperlink" Target="https://www.google.com/url?q=https://github.com/stefdasca/CompetitiveProgramming/blob/master/Infoarena/identice&amp;sa=D&amp;ust=1605639816348000&amp;usg=AFQjCNH7vKWlseqOLzE9ZeR_uGj8C-fTfQ" TargetMode="External"/><Relationship Id="rId1613" Type="http://schemas.openxmlformats.org/officeDocument/2006/relationships/hyperlink" Target="https://www.google.com/url?q=https://szkopul.edu.pl/problemset/problem/3buviDQZWLE83AxVhvJJurgU/site/&amp;sa=D&amp;ust=1605639816435000&amp;usg=AFQjCNFGY-ODQcioK2Wi098RQL1ZQxFwCg" TargetMode="External"/><Relationship Id="rId1820" Type="http://schemas.openxmlformats.org/officeDocument/2006/relationships/hyperlink" Target="https://www.google.com/url?q=https://www.infoarena.ro/problema/euclid1&amp;sa=D&amp;ust=1605639816504000&amp;usg=AFQjCNHWKM8XJmV48ReJJAetK0qj6Z5zJw" TargetMode="External"/><Relationship Id="rId194" Type="http://schemas.openxmlformats.org/officeDocument/2006/relationships/hyperlink" Target="https://www.google.com/url?q=https://oj.uz/problem/view/APIO17_koala&amp;sa=D&amp;ust=1605639815548000&amp;usg=AFQjCNF9gTAt-KRhU1OMDQhoPUL_QE2gXA" TargetMode="External"/><Relationship Id="rId1918" Type="http://schemas.openxmlformats.org/officeDocument/2006/relationships/hyperlink" Target="https://www.google.com/url?q=https://dmoj.ca/problem/coci14c4p5&amp;sa=D&amp;ust=1605639816535000&amp;usg=AFQjCNFSW2DS3KedOjD8uMAc1z1ounErVQ" TargetMode="External"/><Relationship Id="rId2082" Type="http://schemas.openxmlformats.org/officeDocument/2006/relationships/hyperlink" Target="https://www.google.com/url?q=https://www.infoarena.ro/problema/cifra4&amp;sa=D&amp;ust=1605639816589000&amp;usg=AFQjCNFTgi76J2Sj9r1Zmlm6pZppqft56A" TargetMode="External"/><Relationship Id="rId261" Type="http://schemas.openxmlformats.org/officeDocument/2006/relationships/hyperlink" Target="https://www.google.com/url?q=https://dunjudge.me/analysis/problems/1660/&amp;sa=D&amp;ust=1605639815566000&amp;usg=AFQjCNEOmO5jYvu7sDRQJ8w5us1dQCiHKw" TargetMode="External"/><Relationship Id="rId499" Type="http://schemas.openxmlformats.org/officeDocument/2006/relationships/hyperlink" Target="https://www.google.com/url?q=https://csacademy.com/contest/ioi-2016-training-round-3/task/tree-nodes-destruction/&amp;sa=D&amp;ust=1605639815681000&amp;usg=AFQjCNEkg9-hWulKY_L2G2Xb1mhLaYCmUg" TargetMode="External"/><Relationship Id="rId2387" Type="http://schemas.openxmlformats.org/officeDocument/2006/relationships/hyperlink" Target="https://www.google.com/url?q=https://codeforces.com/group/swEqtABRxe/contest/227524/problem/A&amp;sa=D&amp;ust=1605639816678000&amp;usg=AFQjCNEzA-GSLTuCWvrQ0_PfVPnA0mI4mg" TargetMode="External"/><Relationship Id="rId2594" Type="http://schemas.openxmlformats.org/officeDocument/2006/relationships/hyperlink" Target="https://www.google.com/url?q=https://github.com/mostafa-saad/MyCompetitiveProgramming/blob/master/Olympiad/COCI/official/2017/contest6_solutions&amp;sa=D&amp;ust=1605639816742000&amp;usg=AFQjCNFlBWJ-fZ-IP9gEw10q8BJtymWICQ" TargetMode="External"/><Relationship Id="rId359" Type="http://schemas.openxmlformats.org/officeDocument/2006/relationships/hyperlink" Target="https://www.google.com/url?q=https://cses.fi/180/list/&amp;sa=D&amp;ust=1605639815601000&amp;usg=AFQjCNEOC39NtTyY91-3jU2uROg-uohfLQ" TargetMode="External"/><Relationship Id="rId566" Type="http://schemas.openxmlformats.org/officeDocument/2006/relationships/hyperlink" Target="https://www.google.com/url?q=https://szkopul.edu.pl/problemset/problem/HH7LQVRVHom1g8YRe9423d1P/site/&amp;sa=D&amp;ust=1605639815888000&amp;usg=AFQjCNGZKTZ5Yp0ncSRzp2CcNc-QtRsI8Q" TargetMode="External"/><Relationship Id="rId773" Type="http://schemas.openxmlformats.org/officeDocument/2006/relationships/hyperlink" Target="https://www.google.com/url?q=https://www.infoarena.ro/problema/tricolor&amp;sa=D&amp;ust=1605639815988000&amp;usg=AFQjCNGmqbG4Y0zH9L_aWzZ7xb1MKUQ6Ag" TargetMode="External"/><Relationship Id="rId1196" Type="http://schemas.openxmlformats.org/officeDocument/2006/relationships/hyperlink" Target="https://www.google.com/url?q=https://github.com/mostafa-saad/MyCompetitiveProgramming/blob/master/Olympiad/IOI/official/2001&amp;sa=D&amp;ust=1605639816273000&amp;usg=AFQjCNEif2x3KkNH-sUdFlZ7r2GcUzJE-Q" TargetMode="External"/><Relationship Id="rId2247" Type="http://schemas.openxmlformats.org/officeDocument/2006/relationships/hyperlink" Target="https://www.google.com/url?q=https://github.com/mostafa-saad/MyCompetitiveProgramming/tree/master/Olympiad/MCO/official&amp;sa=D&amp;ust=1605639816638000&amp;usg=AFQjCNE4OaAB4oN2MfCE-kyvl0tMnN1SgQ" TargetMode="External"/><Relationship Id="rId2454" Type="http://schemas.openxmlformats.org/officeDocument/2006/relationships/hyperlink" Target="https://www.google.com/url?q=https://dunjudge.me/analysis/problems/271/&amp;sa=D&amp;ust=1605639816704000&amp;usg=AFQjCNHemROQ4vWXGekbr9TsztyJ_uZ5Iw" TargetMode="External"/><Relationship Id="rId2899" Type="http://schemas.openxmlformats.org/officeDocument/2006/relationships/hyperlink" Target="https://www.google.com/url?q=https://oj.uz/problem/view/COCI19_slagalica&amp;sa=D&amp;ust=1605639816841000&amp;usg=AFQjCNHgXXAIH_in54ovf5HmKmJAD_Q2Rg" TargetMode="External"/><Relationship Id="rId121" Type="http://schemas.openxmlformats.org/officeDocument/2006/relationships/hyperlink" Target="https://www.google.com/url?q=https://github.com/nikolapesic2802/Programming-Practice/blob/master/Two%2520Antennas/main.cpp&amp;sa=D&amp;ust=1605639815528000&amp;usg=AFQjCNFpUZDb75jY3pS9b3zDhoR1ARXb8A" TargetMode="External"/><Relationship Id="rId219" Type="http://schemas.openxmlformats.org/officeDocument/2006/relationships/hyperlink" Target="https://www.google.com/url?q=https://github.com/mostafa-saad/MyCompetitiveProgramming/blob/master/Olympiad/IOI/IOI-08-pyramid_base.txt&amp;sa=D&amp;ust=1605639815554000&amp;usg=AFQjCNGpvLb4o_OMhcMPxgSN2jhMNnlnbQ" TargetMode="External"/><Relationship Id="rId426" Type="http://schemas.openxmlformats.org/officeDocument/2006/relationships/hyperlink" Target="https://www.google.com/url?q=https://oj.uz/problem/view/JOI19_designated_cities&amp;sa=D&amp;ust=1605639815627000&amp;usg=AFQjCNGicBYFI6SSQI2JC5HWadMcxmGPlQ" TargetMode="External"/><Relationship Id="rId633" Type="http://schemas.openxmlformats.org/officeDocument/2006/relationships/hyperlink" Target="https://www.google.com/url?q=https://github.com/mostafa-saad/MyCompetitiveProgramming/blob/master/Olympiad/IOI/official/2015&amp;sa=D&amp;ust=1605639815912000&amp;usg=AFQjCNHHe7i04M5e3R0QEj9QWiiyIUCfXw" TargetMode="External"/><Relationship Id="rId980" Type="http://schemas.openxmlformats.org/officeDocument/2006/relationships/hyperlink" Target="https://www.google.com/url?q=https://github.com/mostafa-saad/MyCompetitiveProgramming/blob/master/Olympiad/IOI/IOIPractice-16-increasing_subarrays.txt&amp;sa=D&amp;ust=1605639816108000&amp;usg=AFQjCNEPvJaubX2730SrsxtW_WS9Te1ykQ" TargetMode="External"/><Relationship Id="rId1056" Type="http://schemas.openxmlformats.org/officeDocument/2006/relationships/hyperlink" Target="https://www.google.com/url?q=https://github.com/mostafa-saad/MyCompetitiveProgramming/tree/master/Olympiad/COI/official/2014&amp;sa=D&amp;ust=1605639816181000&amp;usg=AFQjCNHeU2i6LLj0s8TjDUr7JS7p9KrQbw" TargetMode="External"/><Relationship Id="rId1263" Type="http://schemas.openxmlformats.org/officeDocument/2006/relationships/hyperlink" Target="https://www.google.com/url?q=https://oj.uz/problem/view/IZhO18_treearray&amp;sa=D&amp;ust=1605639816299000&amp;usg=AFQjCNEqEN2L-vkMtzTmlmSDl0r7fL4Eqw" TargetMode="External"/><Relationship Id="rId2107" Type="http://schemas.openxmlformats.org/officeDocument/2006/relationships/hyperlink" Target="https://www.google.com/url?q=https://oj.uz/problem/view/IZhO19_sortbooks&amp;sa=D&amp;ust=1605639816598000&amp;usg=AFQjCNEYlHIP19_03SiewTCwR_sFfigR0Q" TargetMode="External"/><Relationship Id="rId2314" Type="http://schemas.openxmlformats.org/officeDocument/2006/relationships/hyperlink" Target="https://www.google.com/url?q=http://usaco.org/index.php?page%3Dviewproblem2%26cpid%3D193&amp;sa=D&amp;ust=1605639816655000&amp;usg=AFQjCNF_y-FHoFJGWCJcN0fJncL1QdBU6A" TargetMode="External"/><Relationship Id="rId2661" Type="http://schemas.openxmlformats.org/officeDocument/2006/relationships/hyperlink" Target="https://www.google.com/url?q=https://github.com/mostafa-saad/MyCompetitiveProgramming/blob/master/Olympiad/IOI/official/2010&amp;sa=D&amp;ust=1605639816756000&amp;usg=AFQjCNGTslrbaZ_IjhdkM4VJa5x8QUQMPg" TargetMode="External"/><Relationship Id="rId2759" Type="http://schemas.openxmlformats.org/officeDocument/2006/relationships/hyperlink" Target="https://www.google.com/url?q=https://github.com/mostafa-saad/MyCompetitiveProgramming/tree/master/Olympiad/COCI/official/2008/contest5_solutions&amp;sa=D&amp;ust=1605639816785000&amp;usg=AFQjCNG2eEwHfUJgCPLuxbFisXm88Gjl-Q" TargetMode="External"/><Relationship Id="rId2966" Type="http://schemas.openxmlformats.org/officeDocument/2006/relationships/hyperlink" Target="https://www.google.com/url?q=https://szkopul.edu.pl/problemset/problem/wrTmzO9-dzEbLtsRUCdMV2_W/site/&amp;sa=D&amp;ust=1605639816886000&amp;usg=AFQjCNFexlpfwkyCXPeTLE6W5LrzgZPknQ" TargetMode="External"/><Relationship Id="rId840" Type="http://schemas.openxmlformats.org/officeDocument/2006/relationships/hyperlink" Target="https://www.google.com/url?q=https://github.com/mostafa-saad/MyCompetitiveProgramming/blob/master/Olympiad/CEOI/CEOI-15-teams.txt&amp;sa=D&amp;ust=1605639816012000&amp;usg=AFQjCNGj76zKcRqcdmw4OZDeXcsHw9LqjQ" TargetMode="External"/><Relationship Id="rId938" Type="http://schemas.openxmlformats.org/officeDocument/2006/relationships/hyperlink" Target="https://www.google.com/url?q=https://www.infoarena.ro/problema/cover&amp;sa=D&amp;ust=1605639816095000&amp;usg=AFQjCNGtxEBUntbot3xvslmWWUSFVB8utA" TargetMode="External"/><Relationship Id="rId1470" Type="http://schemas.openxmlformats.org/officeDocument/2006/relationships/hyperlink" Target="https://www.google.com/url?q=https://github.com/mostafa-saad/MyCompetitiveProgramming/blob/master/Olympiad/POI/POI-04-Passage.txt&amp;sa=D&amp;ust=1605639816388000&amp;usg=AFQjCNEObGJIdzB4jVYy68k_faqwHhUlOQ" TargetMode="External"/><Relationship Id="rId1568" Type="http://schemas.openxmlformats.org/officeDocument/2006/relationships/hyperlink" Target="https://www.google.com/url?q=https://oj.uz/problem/view/JOI17_joioi&amp;sa=D&amp;ust=1605639816422000&amp;usg=AFQjCNEFx2-v_b6YNT9VnEzXE7JTRR86ig" TargetMode="External"/><Relationship Id="rId1775" Type="http://schemas.openxmlformats.org/officeDocument/2006/relationships/hyperlink" Target="https://www.google.com/url?q=https://oj.uz/problem/view/COI15_kovanice&amp;sa=D&amp;ust=1605639816487000&amp;usg=AFQjCNFOKWVSvqZXuhCD9Ihfb6UENyu7lw" TargetMode="External"/><Relationship Id="rId2521" Type="http://schemas.openxmlformats.org/officeDocument/2006/relationships/hyperlink" Target="https://www.google.com/url?q=https://wcipeg.com/problem/coci096p3&amp;sa=D&amp;ust=1605639816726000&amp;usg=AFQjCNE6UPJsV10sEeK-dWgFJGPHsziX0Q" TargetMode="External"/><Relationship Id="rId2619" Type="http://schemas.openxmlformats.org/officeDocument/2006/relationships/hyperlink" Target="https://www.google.com/url?q=https://dmoj.ca/problem/coci08c5p1&amp;sa=D&amp;ust=1605639816747000&amp;usg=AFQjCNGdOnWSoGj5VIi46riy1F6q1eyqVA" TargetMode="External"/><Relationship Id="rId2826" Type="http://schemas.openxmlformats.org/officeDocument/2006/relationships/hyperlink" Target="https://www.google.com/url?q=https://dmoj.ca/problem/coci06c5p1&amp;sa=D&amp;ust=1605639816809000&amp;usg=AFQjCNHHU3-tx5zz251-mlu61YfTKPEdgg" TargetMode="External"/><Relationship Id="rId67" Type="http://schemas.openxmlformats.org/officeDocument/2006/relationships/hyperlink" Target="https://www.google.com/url?q=https://github.com/timpostuvan/CompetitiveProgramming/blob/master/Olympiad/APIO/CircleSelection2018.cpp&amp;sa=D&amp;ust=1605639815511000&amp;usg=AFQjCNFw-7c0f0d1hdwkPknyMjl85n-msQ" TargetMode="External"/><Relationship Id="rId700" Type="http://schemas.openxmlformats.org/officeDocument/2006/relationships/hyperlink" Target="https://www.google.com/url?q=https://infoarena.ro/problema/deletegcd&amp;sa=D&amp;ust=1605639815933000&amp;usg=AFQjCNGdKv9TTsPdxbSSqhBKY2tD-zSxVw" TargetMode="External"/><Relationship Id="rId1123" Type="http://schemas.openxmlformats.org/officeDocument/2006/relationships/hyperlink" Target="https://www.google.com/url?q=https://cses.fi/114/list/&amp;sa=D&amp;ust=1605639816204000&amp;usg=AFQjCNFf0eLPNJsVR9C2TO9e2V5FVNu55w" TargetMode="External"/><Relationship Id="rId1330" Type="http://schemas.openxmlformats.org/officeDocument/2006/relationships/hyperlink" Target="https://www.google.com/url?q=https://github.com/mostafa-saad/MyCompetitiveProgramming/blob/master/Olympiad/CEOI/CEOI-11-Traffic.txt&amp;sa=D&amp;ust=1605639816322000&amp;usg=AFQjCNHIVLTsbmd03oS7bh7hKrkb1PWDVg" TargetMode="External"/><Relationship Id="rId1428" Type="http://schemas.openxmlformats.org/officeDocument/2006/relationships/hyperlink" Target="https://www.google.com/url?q=https://szkopul.edu.pl/problemset/problem/ovRIpLFK3IhyFPjnVXeZtGxH/site/?key%3Dstatement&amp;sa=D&amp;ust=1605639816370000&amp;usg=AFQjCNEJSSbDrKSHqwPyYHRWvLXSP6iMDw" TargetMode="External"/><Relationship Id="rId1635" Type="http://schemas.openxmlformats.org/officeDocument/2006/relationships/hyperlink" Target="https://www.google.com/url?q=http://usaco.org/index.php?page%3Dviewproblem2%26cpid%3D515&amp;sa=D&amp;ust=1605639816441000&amp;usg=AFQjCNEAip_x7p8b8vcqhaCf9s8agBtAgg" TargetMode="External"/><Relationship Id="rId1982" Type="http://schemas.openxmlformats.org/officeDocument/2006/relationships/hyperlink" Target="https://www.google.com/url?q=https://oj.uz/problem/view/POI11_rot&amp;sa=D&amp;ust=1605639816554000&amp;usg=AFQjCNGI5l6fYdnVHBdgrRXn23nsoLa2Iw" TargetMode="External"/><Relationship Id="rId1842" Type="http://schemas.openxmlformats.org/officeDocument/2006/relationships/hyperlink" Target="https://www.google.com/url?q=https://github.com/win11905/submission/blob/master/TOKI/17/beauty/beauty.cpp&amp;sa=D&amp;ust=1605639816511000&amp;usg=AFQjCNFHShqitRzZUdiRzke7N9Z9hSRk9g" TargetMode="External"/><Relationship Id="rId1702" Type="http://schemas.openxmlformats.org/officeDocument/2006/relationships/hyperlink" Target="https://www.google.com/url?q=https://github.com/mostafa-saad/MyCompetitiveProgramming/blob/master/Olympiad/Baltic/Baltic-06-Countries.txt&amp;sa=D&amp;ust=1605639816460000&amp;usg=AFQjCNFnMR3SwDbL8Z7TL2hzDbjtlXTdoQ" TargetMode="External"/><Relationship Id="rId283" Type="http://schemas.openxmlformats.org/officeDocument/2006/relationships/hyperlink" Target="https://www.google.com/url?q=https://github.com/mostafa-saad/MyCompetitiveProgramming/blob/master/Olympiad/IOI/IOI-13-wombats.txt&amp;sa=D&amp;ust=1605639815575000&amp;usg=AFQjCNGcOlEE5xe7CwX3xGlL15ko8C1A8A" TargetMode="External"/><Relationship Id="rId490" Type="http://schemas.openxmlformats.org/officeDocument/2006/relationships/hyperlink" Target="https://www.google.com/url?q=https://szkopul.edu.pl/problemset/problem/z0rincXf7fi157ycO_Sl0bCb/site/&amp;sa=D&amp;ust=1605639815679000&amp;usg=AFQjCNFVjuiiff9e1QUR379Mk4Gd0LcfjQ" TargetMode="External"/><Relationship Id="rId2171" Type="http://schemas.openxmlformats.org/officeDocument/2006/relationships/hyperlink" Target="https://www.google.com/url?q=https://wcipeg.com/problem/coci094p3&amp;sa=D&amp;ust=1605639816618000&amp;usg=AFQjCNHevUk94eFfPoz_8kjVEK_9C8KAQw" TargetMode="External"/><Relationship Id="rId3015" Type="http://schemas.openxmlformats.org/officeDocument/2006/relationships/hyperlink" Target="https://www.google.com/url?q=https://dunjudge.me/analysis/problems/88/&amp;sa=D&amp;ust=1605639816909000&amp;usg=AFQjCNHqQ8Jz_thP5A_NgEUJXSOVIiFw1A" TargetMode="External"/><Relationship Id="rId143" Type="http://schemas.openxmlformats.org/officeDocument/2006/relationships/hyperlink" Target="https://www.google.com/url?q=https://dmoj.ca/problem/ccoprep4p3&amp;sa=D&amp;ust=1605639815534000&amp;usg=AFQjCNHjwyhnuJ06no4JN80tXP32ZaFeTA" TargetMode="External"/><Relationship Id="rId350" Type="http://schemas.openxmlformats.org/officeDocument/2006/relationships/hyperlink" Target="https://www.google.com/url?q=https://github.com/mostafa-saad/MyCompetitiveProgramming/blob/master/Olympiad/JOI/JOIOC-16-selling_rna.txt&amp;sa=D&amp;ust=1605639815598000&amp;usg=AFQjCNF8pvjJIPLKug67_JW9BiLpx3z6Eg" TargetMode="External"/><Relationship Id="rId588" Type="http://schemas.openxmlformats.org/officeDocument/2006/relationships/hyperlink" Target="https://www.google.com/url?q=https://dunjudge.me/analysis/problems/1826/&amp;sa=D&amp;ust=1605639815897000&amp;usg=AFQjCNHNZrCu1-x7mSp-OFk8ZxN3hA8IUA" TargetMode="External"/><Relationship Id="rId795" Type="http://schemas.openxmlformats.org/officeDocument/2006/relationships/hyperlink" Target="https://www.google.com/url?q=https://szkopul.edu.pl/problemset/problem/JIRgi7mvHIkqfldzgqILaMqr/site/&amp;sa=D&amp;ust=1605639815997000&amp;usg=AFQjCNG9_-D_--Dwt8z-EmhDBXhJpWe3bQ" TargetMode="External"/><Relationship Id="rId2031" Type="http://schemas.openxmlformats.org/officeDocument/2006/relationships/hyperlink" Target="https://www.google.com/url?q=https://oj.uz/problem/view/IOI14_gondola&amp;sa=D&amp;ust=1605639816569000&amp;usg=AFQjCNFAcWTnGbEcZeZ1Sm0cjF8-svJMJg" TargetMode="External"/><Relationship Id="rId2269" Type="http://schemas.openxmlformats.org/officeDocument/2006/relationships/hyperlink" Target="https://www.google.com/url?q=https://szkopul.edu.pl/problemset/problem/MVjuhH4JZu17rusHweyEdyJx/site/&amp;sa=D&amp;ust=1605639816644000&amp;usg=AFQjCNHATX8ESawtAFaZeIng7LdCJJk_FQ" TargetMode="External"/><Relationship Id="rId2476" Type="http://schemas.openxmlformats.org/officeDocument/2006/relationships/hyperlink" Target="https://www.google.com/url?q=https://www.infoarena.ro/problema/marceland&amp;sa=D&amp;ust=1605639816711000&amp;usg=AFQjCNF3bdXeEPG7v-ytfG_X8pHF4rWAWA" TargetMode="External"/><Relationship Id="rId2683" Type="http://schemas.openxmlformats.org/officeDocument/2006/relationships/hyperlink" Target="https://www.google.com/url?q=https://dmoj.ca/problem/coci15c3p3&amp;sa=D&amp;ust=1605639816761000&amp;usg=AFQjCNFuP8O8FTcPB3n4kDOVp256KQ8b3A" TargetMode="External"/><Relationship Id="rId2890" Type="http://schemas.openxmlformats.org/officeDocument/2006/relationships/hyperlink" Target="https://www.google.com/url?q=https://github.com/mostafa-saad/MyCompetitiveProgramming/blob/master/Olympiad/POI/official/find_editorial_sols_guidelines.txt&amp;sa=D&amp;ust=1605639816830000&amp;usg=AFQjCNF-vaPkvk16i3FPu4q5Jwoy7Op6ng" TargetMode="External"/><Relationship Id="rId9" Type="http://schemas.openxmlformats.org/officeDocument/2006/relationships/hyperlink" Target="https://www.google.com/url?q=https://github.com/mostafa-saad/MyCompetitiveProgramming/tree/master/Olympiad/CEOI/official/2018/day2&amp;sa=D&amp;ust=1605639815488000&amp;usg=AFQjCNFnz6vZPwztRDul9ckQrWKbsAKc-A" TargetMode="External"/><Relationship Id="rId210" Type="http://schemas.openxmlformats.org/officeDocument/2006/relationships/hyperlink" Target="https://www.google.com/url?q=https://oj.uz/problems/source/313&amp;sa=D&amp;ust=1605639815552000&amp;usg=AFQjCNHWi4VlZTbb7WNvPaJk2o6dgUJ77w" TargetMode="External"/><Relationship Id="rId448" Type="http://schemas.openxmlformats.org/officeDocument/2006/relationships/hyperlink" Target="https://www.google.com/url?q=https://wcipeg.com/problem/ioi0023&amp;sa=D&amp;ust=1605639815635000&amp;usg=AFQjCNFGjQ37NzaUuWdkhmkESFW2-jiO0g" TargetMode="External"/><Relationship Id="rId655" Type="http://schemas.openxmlformats.org/officeDocument/2006/relationships/hyperlink" Target="https://www.google.com/url?q=https://oj.uz/problem/view/JOI18_security_gate&amp;sa=D&amp;ust=1605639815920000&amp;usg=AFQjCNGWvNL3cWkWj7vZ_cxKqGY3VDfqSA" TargetMode="External"/><Relationship Id="rId862" Type="http://schemas.openxmlformats.org/officeDocument/2006/relationships/hyperlink" Target="https://www.google.com/url?q=https://github.com/stefdasca/CompetitiveProgramming/blob/master/Infoarena/culmi.cpp&amp;sa=D&amp;ust=1605639816021000&amp;usg=AFQjCNGDjC8pZoZAIDTMXAeJHGCfwgqdJA" TargetMode="External"/><Relationship Id="rId1078" Type="http://schemas.openxmlformats.org/officeDocument/2006/relationships/hyperlink" Target="https://www.google.com/url?q=https://github.com/mostafa-saad/MyCompetitiveProgramming/blob/master/Olympiad/infoarena/infoarena-arb3.txt&amp;sa=D&amp;ust=1605639816189000&amp;usg=AFQjCNF47vCciHugWtnYurGb9-ngsSuCgA" TargetMode="External"/><Relationship Id="rId1285" Type="http://schemas.openxmlformats.org/officeDocument/2006/relationships/hyperlink" Target="https://www.google.com/url?q=https://contest.yandex.ru/ioi/contest/566/enter/&amp;sa=D&amp;ust=1605639816306000&amp;usg=AFQjCNEILBG_wBwsyMV7YS7Z9-6yf0GY5A" TargetMode="External"/><Relationship Id="rId1492" Type="http://schemas.openxmlformats.org/officeDocument/2006/relationships/hyperlink" Target="https://www.google.com/url?q=https://oj.uz/problem/view/COCI17_usmjeri&amp;sa=D&amp;ust=1605639816395000&amp;usg=AFQjCNFFrLq11kLwIZHr3v3nt-kEFxBxQQ" TargetMode="External"/><Relationship Id="rId2129" Type="http://schemas.openxmlformats.org/officeDocument/2006/relationships/hyperlink" Target="https://www.google.com/url?q=https://dunjudge.me/analysis/problems/134/&amp;sa=D&amp;ust=1605639816604000&amp;usg=AFQjCNF7jTjWkcg1qgDAAWrYGDA3fkagKQ" TargetMode="External"/><Relationship Id="rId2336" Type="http://schemas.openxmlformats.org/officeDocument/2006/relationships/hyperlink" Target="https://www.google.com/url?q=https://github.com/stefdasca/CompetitiveProgramming/blob/master/Infoarena/color.cpp&amp;sa=D&amp;ust=1605639816660000&amp;usg=AFQjCNGLcMvauCNoNZAakFd_UXnS1fjfSQ" TargetMode="External"/><Relationship Id="rId2543" Type="http://schemas.openxmlformats.org/officeDocument/2006/relationships/hyperlink" Target="https://www.google.com/url?q=https://github.com/mostafa-saad/MyCompetitiveProgramming/blob/master/Olympiad/COCI/official/2015/contest7_solutions&amp;sa=D&amp;ust=1605639816731000&amp;usg=AFQjCNFvu68YWBsUeXM7o7yUYTOIrrta4g" TargetMode="External"/><Relationship Id="rId2750" Type="http://schemas.openxmlformats.org/officeDocument/2006/relationships/hyperlink" Target="https://www.google.com/url?q=https://dunjudge.me/analysis/problems/238/&amp;sa=D&amp;ust=1605639816783000&amp;usg=AFQjCNHWTF1Ofezu0_oskKatFVKTiG3O-g" TargetMode="External"/><Relationship Id="rId2988" Type="http://schemas.openxmlformats.org/officeDocument/2006/relationships/hyperlink" Target="https://www.google.com/url?q=https://szkopul.edu.pl/problemset/problem/TE77UNYEUxsFcrRxYRPc99na/site/&amp;sa=D&amp;ust=1605639816897000&amp;usg=AFQjCNHJC57HXzEeZp-NCBSD_VuFFMW_tA" TargetMode="External"/><Relationship Id="rId308" Type="http://schemas.openxmlformats.org/officeDocument/2006/relationships/hyperlink" Target="https://www.google.com/url?q=https://oj.uz/problem/view/JOI17_dragon2&amp;sa=D&amp;ust=1605639815583000&amp;usg=AFQjCNGT1mLRpjfQfDT9rK-YHCUSrUs6SQ" TargetMode="External"/><Relationship Id="rId515" Type="http://schemas.openxmlformats.org/officeDocument/2006/relationships/hyperlink" Target="https://www.google.com/url?q=https://szkopul.edu.pl/problemset/problem/M5CruI5eCu8elnNFHuiXBrvV/site/&amp;sa=D&amp;ust=1605639815686000&amp;usg=AFQjCNHauGbVOhUmlqg8KJa35bk8NI17_g" TargetMode="External"/><Relationship Id="rId722" Type="http://schemas.openxmlformats.org/officeDocument/2006/relationships/hyperlink" Target="https://www.google.com/url?q=https://open.kattis.com/problem-sources/Baltic%2520Olympiad%2520in%2520Informatics%25202017%252C%2520Day%25201&amp;sa=D&amp;ust=1605639815971000&amp;usg=AFQjCNEIpEtVYxZKEqGvzMb6VSXIOisbkQ" TargetMode="External"/><Relationship Id="rId1145" Type="http://schemas.openxmlformats.org/officeDocument/2006/relationships/hyperlink" Target="https://www.google.com/url?q=https://github.com/mostafa-saad/MyCompetitiveProgramming/blob/master/Olympiad/APIO/APIO-09-Oil.txt&amp;sa=D&amp;ust=1605639816211000&amp;usg=AFQjCNHL-6qMrawjKIVjMiwCqghkajAvZg" TargetMode="External"/><Relationship Id="rId1352" Type="http://schemas.openxmlformats.org/officeDocument/2006/relationships/hyperlink" Target="https://www.google.com/url?q=https://dmoj.ca/problem/coci06c4p6&amp;sa=D&amp;ust=1605639816330000&amp;usg=AFQjCNEWBy7zuX9YrJwlkJMBMt-FD9MFvA" TargetMode="External"/><Relationship Id="rId1797" Type="http://schemas.openxmlformats.org/officeDocument/2006/relationships/hyperlink" Target="https://www.google.com/url?q=https://dmoj.ca/problem/utso18p1&amp;sa=D&amp;ust=1605639816496000&amp;usg=AFQjCNHXJ-eIrOU2v3UI-tumdMMjTujYGg" TargetMode="External"/><Relationship Id="rId2403" Type="http://schemas.openxmlformats.org/officeDocument/2006/relationships/hyperlink" Target="https://www.google.com/url?q=https://github.com/CPSolutionsSzawinis/CompetitiveProgramming/blob/master/Olympiad/COCI/COCI19-slicice.cpp&amp;sa=D&amp;ust=1605639816684000&amp;usg=AFQjCNH28OfSfE6bDDO4vna5ccQcDSt5Iw" TargetMode="External"/><Relationship Id="rId2848" Type="http://schemas.openxmlformats.org/officeDocument/2006/relationships/hyperlink" Target="https://www.google.com/url?q=https://github.com/mostafa-saad/MyCompetitiveProgramming/blob/master/Olympiad/POI/POI-15-Trips.txt&amp;sa=D&amp;ust=1605639816816000&amp;usg=AFQjCNGvrn_GT8DDRQ772Xd_o7vwqE2Ckw" TargetMode="External"/><Relationship Id="rId89" Type="http://schemas.openxmlformats.org/officeDocument/2006/relationships/hyperlink" Target="https://www.google.com/url?q=https://github.com/mostafa-saad/MyCompetitiveProgramming/blob/master/Olympiad/APIO/APIO-14-Palindrome.txt&amp;sa=D&amp;ust=1605639815518000&amp;usg=AFQjCNGnIfxHFW6B8kTR5sHxrsF6FAC54w" TargetMode="External"/><Relationship Id="rId1005" Type="http://schemas.openxmlformats.org/officeDocument/2006/relationships/hyperlink" Target="https://www.google.com/url?q=https://oj.uz/problem/view/CEOI17_museum&amp;sa=D&amp;ust=1605639816116000&amp;usg=AFQjCNG38PaqOZr3NXmOIqB7HVBRYzgB2Q" TargetMode="External"/><Relationship Id="rId1212" Type="http://schemas.openxmlformats.org/officeDocument/2006/relationships/hyperlink" Target="https://www.google.com/url?q=https://github.com/mostafa-saad/MyCompetitiveProgramming/blob/master/Olympiad/NOI/official&amp;sa=D&amp;ust=1605639816279000&amp;usg=AFQjCNHY9MI6_miBkAHLzPtq9i_Bm9b4RA" TargetMode="External"/><Relationship Id="rId1657" Type="http://schemas.openxmlformats.org/officeDocument/2006/relationships/hyperlink" Target="https://www.google.com/url?q=https://szkopul.edu.pl/problemset/problem/dIejmvqlAbsoU1hkjNbd4KtF/site/?key%3Dstatement&amp;sa=D&amp;ust=1605639816447000&amp;usg=AFQjCNEcFbc63YkslimIX_-l-bLD1TOCsw" TargetMode="External"/><Relationship Id="rId1864" Type="http://schemas.openxmlformats.org/officeDocument/2006/relationships/hyperlink" Target="https://www.google.com/url?q=https://github.com/mostafa-saad/MyCompetitiveProgramming/blob/master/Olympiad/Baltic/Baltic-11-Lamp.txt&amp;sa=D&amp;ust=1605639816518000&amp;usg=AFQjCNGRXRu2kSwGA8UuynN5XdGEhorvbQ" TargetMode="External"/><Relationship Id="rId2610" Type="http://schemas.openxmlformats.org/officeDocument/2006/relationships/hyperlink" Target="https://www.google.com/url?q=https://github.com/mostafa-saad/MyCompetitiveProgramming/blob/master/Olympiad/NOI/official&amp;sa=D&amp;ust=1605639816745000&amp;usg=AFQjCNFFA_xAMPo-t-NQpxs2mIu05OL-Hg" TargetMode="External"/><Relationship Id="rId2708" Type="http://schemas.openxmlformats.org/officeDocument/2006/relationships/hyperlink" Target="https://www.google.com/url?q=https://dunjudge.me/analysis/problems/1401/&amp;sa=D&amp;ust=1605639816770000&amp;usg=AFQjCNF7leWU7k3X837M1sypn0U4HvzHKQ" TargetMode="External"/><Relationship Id="rId2915" Type="http://schemas.openxmlformats.org/officeDocument/2006/relationships/hyperlink" Target="https://www.google.com/url?q=https://oj.uz/problem/view/innopolis2018_final_A&amp;sa=D&amp;ust=1605639816847000&amp;usg=AFQjCNFCcwqQdz8J4CjDMySJpuXQohINzw" TargetMode="External"/><Relationship Id="rId1517" Type="http://schemas.openxmlformats.org/officeDocument/2006/relationships/hyperlink" Target="https://www.google.com/url?q=https://oj.uz/problem/view/NOI12_modsum&amp;sa=D&amp;ust=1605639816405000&amp;usg=AFQjCNH_BzlhCDp-bKLdQedAsE9CqlywyA" TargetMode="External"/><Relationship Id="rId1724" Type="http://schemas.openxmlformats.org/officeDocument/2006/relationships/hyperlink" Target="https://www.google.com/url?q=https://csacademy.com/contest/ejoi-2017-day-1/task/magic/&amp;sa=D&amp;ust=1605639816467000&amp;usg=AFQjCNGUt2ui62aUw1xwigpM04PtARhf1Q" TargetMode="External"/><Relationship Id="rId16" Type="http://schemas.openxmlformats.org/officeDocument/2006/relationships/hyperlink" Target="https://www.google.com/url?q=https://oj.uz/problems/source/326&amp;sa=D&amp;ust=1605639815491000&amp;usg=AFQjCNEzUOARYqfEPGPuvQZp1miGSXw6Mg" TargetMode="External"/><Relationship Id="rId1931" Type="http://schemas.openxmlformats.org/officeDocument/2006/relationships/hyperlink" Target="https://www.google.com/url?q=https://tioj.ck.tp.edu.tw/problems/1740&amp;sa=D&amp;ust=1605639816539000&amp;usg=AFQjCNEAZ0CuiEq7cNxFmsYRT_LiM4UNHA" TargetMode="External"/><Relationship Id="rId2193" Type="http://schemas.openxmlformats.org/officeDocument/2006/relationships/hyperlink" Target="https://www.google.com/url?q=https://cses.fi/112/list/&amp;sa=D&amp;ust=1605639816626000&amp;usg=AFQjCNGClHg4VmxeGJN0NYf-Z_ugGUEkeg" TargetMode="External"/><Relationship Id="rId2498" Type="http://schemas.openxmlformats.org/officeDocument/2006/relationships/hyperlink" Target="https://www.google.com/url?q=https://szkopul.edu.pl/problemset/problem/VENspsedQ1oO5IorYs8Ergdn/site/&amp;sa=D&amp;ust=1605639816718000&amp;usg=AFQjCNGbVcSaPuRECxSPTgVyjsgv_d3d2w" TargetMode="External"/><Relationship Id="rId165" Type="http://schemas.openxmlformats.org/officeDocument/2006/relationships/hyperlink" Target="https://www.google.com/url?q=https://szkopul.edu.pl/problemset/problem/3Kqkgeapr-W-MBprNjUDGICL/site/&amp;sa=D&amp;ust=1605639815540000&amp;usg=AFQjCNFgJOynY_kO91N2ONtDtsmIiv_loQ" TargetMode="External"/><Relationship Id="rId372" Type="http://schemas.openxmlformats.org/officeDocument/2006/relationships/hyperlink" Target="https://www.google.com/url?q=https://github.com/mostafa-saad/MyCompetitiveProgramming/blob/master/Olympiad/Balkan/Balkan-18-minmaxtree.txt&amp;sa=D&amp;ust=1605639815606000&amp;usg=AFQjCNF8ImEZdumHW4jES0u61Bb2ZF3WtQ" TargetMode="External"/><Relationship Id="rId677" Type="http://schemas.openxmlformats.org/officeDocument/2006/relationships/hyperlink" Target="https://www.google.com/url?q=https://oj.uz/problem/view/COI19_tenis&amp;sa=D&amp;ust=1605639815926000&amp;usg=AFQjCNFRC22qSBMneTCXRqn5AvWZj-0f6Q" TargetMode="External"/><Relationship Id="rId2053" Type="http://schemas.openxmlformats.org/officeDocument/2006/relationships/hyperlink" Target="https://www.google.com/url?q=https://github.com/mostafa-saad/MyCompetitiveProgramming/tree/master/Olympiad/COCI/official/2008/contest4_solutions&amp;sa=D&amp;ust=1605639816578000&amp;usg=AFQjCNFJ3JkFuWylDpDjG2BXalJVKWm0TQ" TargetMode="External"/><Relationship Id="rId2260" Type="http://schemas.openxmlformats.org/officeDocument/2006/relationships/hyperlink" Target="https://www.google.com/url?q=https://github.com/mostafa-saad/MyCompetitiveProgramming/blob/master/Olympiad/NOI/official&amp;sa=D&amp;ust=1605639816642000&amp;usg=AFQjCNH49XTYwguOsQX-6IQxRBrVI124kA" TargetMode="External"/><Relationship Id="rId2358" Type="http://schemas.openxmlformats.org/officeDocument/2006/relationships/hyperlink" Target="https://www.google.com/url?q=https://github.com/mostafa-saad/MyCompetitiveProgramming/blob/master/Olympiad/NOI/official&amp;sa=D&amp;ust=1605639816667000&amp;usg=AFQjCNFcVIzL48xX2czQ56IH3b9Wat1reQ" TargetMode="External"/><Relationship Id="rId232" Type="http://schemas.openxmlformats.org/officeDocument/2006/relationships/hyperlink" Target="https://www.google.com/url?q=https://dunjudge.me/analysis/problems/578/&amp;sa=D&amp;ust=1605639815557000&amp;usg=AFQjCNHK7s8gb3-lWYiU8truCuES-y3F3w" TargetMode="External"/><Relationship Id="rId884" Type="http://schemas.openxmlformats.org/officeDocument/2006/relationships/hyperlink" Target="https://www.google.com/url?q=https://codeforces.com/group/swEqtABRxe/contest/243438/problem/D&amp;sa=D&amp;ust=1605639816075000&amp;usg=AFQjCNFgre92IBPH9AvOwY0tA4t9cCYGEA" TargetMode="External"/><Relationship Id="rId2120" Type="http://schemas.openxmlformats.org/officeDocument/2006/relationships/hyperlink" Target="https://www.google.com/url?q=https://dmoj.ca/problem/coci06c2p5&amp;sa=D&amp;ust=1605639816601000&amp;usg=AFQjCNHapd7O2U5MmNtQeerSiP4naGi1yA" TargetMode="External"/><Relationship Id="rId2565" Type="http://schemas.openxmlformats.org/officeDocument/2006/relationships/hyperlink" Target="https://www.google.com/url?q=https://github.com/mostafa-saad/MyCompetitiveProgramming/tree/master/Olympiad/COCI/official/2007/contest1_solutions&amp;sa=D&amp;ust=1605639816735000&amp;usg=AFQjCNG6wgbOQ2utMKy-ePayK1snH46T6A" TargetMode="External"/><Relationship Id="rId2772" Type="http://schemas.openxmlformats.org/officeDocument/2006/relationships/hyperlink" Target="https://www.google.com/url?q=https://oj.uz/problem/view/COCI16_tarifa&amp;sa=D&amp;ust=1605639816791000&amp;usg=AFQjCNErBfFg3OUFfIRa9H9uQevQhb_zHw" TargetMode="External"/><Relationship Id="rId537" Type="http://schemas.openxmlformats.org/officeDocument/2006/relationships/hyperlink" Target="https://www.google.com/url?q=https://github.com/mostafa-saad/MyCompetitiveProgramming/blob/master/Olympiad/infoarena/infoarena-ssdj.txt&amp;sa=D&amp;ust=1605639815838000&amp;usg=AFQjCNEDoWuNTSMdJ8BSYU8gGZKFc21UOg" TargetMode="External"/><Relationship Id="rId744" Type="http://schemas.openxmlformats.org/officeDocument/2006/relationships/hyperlink" Target="https://www.google.com/url?q=https://oj.uz/problem/view/CEOI16_kangaroo&amp;sa=D&amp;ust=1605639815978000&amp;usg=AFQjCNEYzM7EnpfNsRzI4lVNzhi497cQ7g" TargetMode="External"/><Relationship Id="rId951" Type="http://schemas.openxmlformats.org/officeDocument/2006/relationships/hyperlink" Target="https://www.google.com/url?q=https://csacademy.com/contest/ejoi-2017-day-1/task/particles/&amp;sa=D&amp;ust=1605639816099000&amp;usg=AFQjCNEC5kvsBhYRcd1B-QJhXNuExcYNaw" TargetMode="External"/><Relationship Id="rId1167" Type="http://schemas.openxmlformats.org/officeDocument/2006/relationships/hyperlink" Target="https://www.google.com/url?q=https://cses.fi/186/list/&amp;sa=D&amp;ust=1605639816217000&amp;usg=AFQjCNG2FxhD1WEYR3ROrICEf1Oc23w8pw" TargetMode="External"/><Relationship Id="rId1374" Type="http://schemas.openxmlformats.org/officeDocument/2006/relationships/hyperlink" Target="https://www.google.com/url?q=https://github.com/mostafa-saad/MyCompetitiveProgramming/blob/master/Olympiad/Baltic/Baltic-12-mobile.txt&amp;sa=D&amp;ust=1605639816337000&amp;usg=AFQjCNH34wCAANtWpVqBzzXZiDjWQTjJSg" TargetMode="External"/><Relationship Id="rId1581" Type="http://schemas.openxmlformats.org/officeDocument/2006/relationships/hyperlink" Target="https://www.google.com/url?q=https://github.com/mostafa-saad/MyCompetitiveProgramming/blob/master/Olympiad/POI/POI-10-Pilots.txt&amp;sa=D&amp;ust=1605639816425000&amp;usg=AFQjCNEn6bVnW3QHdHuhx-uFSjiaqgvOYw" TargetMode="External"/><Relationship Id="rId1679" Type="http://schemas.openxmlformats.org/officeDocument/2006/relationships/hyperlink" Target="https://www.google.com/url?q=https://github.com/mostafa-saad/MyCompetitiveProgramming/blob/master/Olympiad/POI/POI-14-Couriers.txt&amp;sa=D&amp;ust=1605639816453000&amp;usg=AFQjCNEHCPAWc-J1CyQD_sY_UDvrzx3r2Q" TargetMode="External"/><Relationship Id="rId2218" Type="http://schemas.openxmlformats.org/officeDocument/2006/relationships/hyperlink" Target="https://www.google.com/url?q=https://dmoj.ca/problem/dmopc14ce1p4&amp;sa=D&amp;ust=1605639816632000&amp;usg=AFQjCNEC3MJRgFbLdo_sCiVRF4iurcY2YQ" TargetMode="External"/><Relationship Id="rId2425" Type="http://schemas.openxmlformats.org/officeDocument/2006/relationships/hyperlink" Target="https://www.google.com/url?q=https://www.infoarena.ro/problema/jsched&amp;sa=D&amp;ust=1605639816693000&amp;usg=AFQjCNEMPyoM4KZ73Q4Ffn9YGYvAb3aY2A" TargetMode="External"/><Relationship Id="rId2632" Type="http://schemas.openxmlformats.org/officeDocument/2006/relationships/hyperlink" Target="https://www.google.com/url?q=https://github.com/mostafa-saad/MyCompetitiveProgramming/tree/master/Olympiad/COCI/official/2007/contest4_solutions&amp;sa=D&amp;ust=1605639816749000&amp;usg=AFQjCNFs4z7CSfhFanwwTTgl5mbNGlBMtQ" TargetMode="External"/><Relationship Id="rId80" Type="http://schemas.openxmlformats.org/officeDocument/2006/relationships/hyperlink" Target="https://www.google.com/url?q=https://oj.uz/problem/view/JOI17_park&amp;sa=D&amp;ust=1605639815515000&amp;usg=AFQjCNFB3LbaC84iv8VZoV0iIo1GqFxBbw" TargetMode="External"/><Relationship Id="rId604" Type="http://schemas.openxmlformats.org/officeDocument/2006/relationships/hyperlink" Target="https://www.google.com/url?q=https://cses.fi/190/list/&amp;sa=D&amp;ust=1605639815902000&amp;usg=AFQjCNF6lkvMGwCXMugSsypno647jig_qQ" TargetMode="External"/><Relationship Id="rId811" Type="http://schemas.openxmlformats.org/officeDocument/2006/relationships/hyperlink" Target="https://www.google.com/url?q=https://github.com/mostafa-saad/MyCompetitiveProgramming/blob/master/Olympiad/Baltic/Baltic-16-park.txt&amp;sa=D&amp;ust=1605639816002000&amp;usg=AFQjCNHZaovloNJNvhyns3xFT4JThAfjzA" TargetMode="External"/><Relationship Id="rId1027" Type="http://schemas.openxmlformats.org/officeDocument/2006/relationships/hyperlink" Target="https://www.google.com/url?q=https://dmoj.ca/problem/coci07c6p6&amp;sa=D&amp;ust=1605639816170000&amp;usg=AFQjCNFRxrou5V0DHAxIeg5wR_i5GFToZw" TargetMode="External"/><Relationship Id="rId1234" Type="http://schemas.openxmlformats.org/officeDocument/2006/relationships/hyperlink" Target="https://www.google.com/url?q=https://github.com/mostafa-saad/MyCompetitiveProgramming/blob/master/Olympiad/POI/POI-14-Criminals.txt&amp;sa=D&amp;ust=1605639816288000&amp;usg=AFQjCNEgzZ96Rktr16q2miwsPtLr32Ouog" TargetMode="External"/><Relationship Id="rId1441" Type="http://schemas.openxmlformats.org/officeDocument/2006/relationships/hyperlink" Target="https://www.google.com/url?q=https://github.com/stefdasca/CompetitiveProgramming/blob/master/Infoarena/arb2.cpp&amp;sa=D&amp;ust=1605639816376000&amp;usg=AFQjCNFFjzOd1T8gNc4hKA58b4d2_RvO9w" TargetMode="External"/><Relationship Id="rId1886" Type="http://schemas.openxmlformats.org/officeDocument/2006/relationships/hyperlink" Target="https://www.google.com/url?q=https://oj.uz/problem/view/COCI17_poklon7&amp;sa=D&amp;ust=1605639816526000&amp;usg=AFQjCNGCMaVaZvYPjRIQ0mv4oYieMiQLTA" TargetMode="External"/><Relationship Id="rId2937" Type="http://schemas.openxmlformats.org/officeDocument/2006/relationships/hyperlink" Target="https://www.google.com/url?q=https://dunjudge.me/analysis/problems/141/&amp;sa=D&amp;ust=1605639816872000&amp;usg=AFQjCNFsIL6DFYz_jmJXNLqL4ioXx80fTA" TargetMode="External"/><Relationship Id="rId909" Type="http://schemas.openxmlformats.org/officeDocument/2006/relationships/hyperlink" Target="https://www.google.com/url?q=https://www.infoarena.ro/problema/ksecv&amp;sa=D&amp;ust=1605639816087000&amp;usg=AFQjCNFnMaqiNDYSB3YAviWDWkuvUYR0qg" TargetMode="External"/><Relationship Id="rId1301" Type="http://schemas.openxmlformats.org/officeDocument/2006/relationships/hyperlink" Target="https://www.google.com/url?q=https://www.infoarena.ro/problema/lcdr&amp;sa=D&amp;ust=1605639816311000&amp;usg=AFQjCNG9KZ2MAGyT77tEvNEPgcJNkBskyw" TargetMode="External"/><Relationship Id="rId1539" Type="http://schemas.openxmlformats.org/officeDocument/2006/relationships/hyperlink" Target="https://www.google.com/url?q=https://github.com/mostafa-saad/MyCompetitiveProgramming/blob/master/Olympiad/POI/official/find_editorial_sols_guidelines.txt&amp;sa=D&amp;ust=1605639816413000&amp;usg=AFQjCNGAgwpm2hEBtMGfL2z_W3kWtyRS8A" TargetMode="External"/><Relationship Id="rId1746" Type="http://schemas.openxmlformats.org/officeDocument/2006/relationships/hyperlink" Target="https://www.google.com/url?q=https://github.com/mostafa-saad/MyCompetitiveProgramming/blob/master/Olympiad/COCI/COCI-06-Dvaput.txt&amp;sa=D&amp;ust=1605639816475000&amp;usg=AFQjCNEuyFrFmQP31wN20q5ttDa0IXeZng" TargetMode="External"/><Relationship Id="rId1953" Type="http://schemas.openxmlformats.org/officeDocument/2006/relationships/hyperlink" Target="https://www.google.com/url?q=https://github.com/timpostuvan/CompetitiveProgramming/blob/master/Olympiad/TOKI/CellsTour2018.cpp&amp;sa=D&amp;ust=1605639816545000&amp;usg=AFQjCNF9rD6DdZqnQx6neKzyUv5EGZHhjQ" TargetMode="External"/><Relationship Id="rId38" Type="http://schemas.openxmlformats.org/officeDocument/2006/relationships/hyperlink" Target="https://www.google.com/url?q=https://dunjudge.me/analysis/problems/802/&amp;sa=D&amp;ust=1605639815498000&amp;usg=AFQjCNGa-54iMGXCt87-lacqe3MAS-7Qcg" TargetMode="External"/><Relationship Id="rId1606" Type="http://schemas.openxmlformats.org/officeDocument/2006/relationships/hyperlink" Target="https://www.google.com/url?q=https://github.com/mostafa-saad/MyCompetitiveProgramming/blob/master/Olympiad/IOI/IOI-18-Combo.txt&amp;sa=D&amp;ust=1605639816433000&amp;usg=AFQjCNEmRZT-EMSO5XsRYqloi1b35VOqJA" TargetMode="External"/><Relationship Id="rId1813" Type="http://schemas.openxmlformats.org/officeDocument/2006/relationships/hyperlink" Target="https://www.google.com/url?q=https://github.com/mostafa-saad/MyCompetitiveProgramming/blob/master/Olympiad/POI/POI-15-Seals.txt&amp;sa=D&amp;ust=1605639816502000&amp;usg=AFQjCNEvoVnUiCNnkiAN3O4LncjLR-3RoA" TargetMode="External"/><Relationship Id="rId187" Type="http://schemas.openxmlformats.org/officeDocument/2006/relationships/hyperlink" Target="https://www.google.com/url?q=https://www.hackerrank.com/contests/boi-2016/challenges&amp;sa=D&amp;ust=1605639815546000&amp;usg=AFQjCNEUgRU-v5Vh-RSxSmOS_PbEP4Cxjg" TargetMode="External"/><Relationship Id="rId394" Type="http://schemas.openxmlformats.org/officeDocument/2006/relationships/hyperlink" Target="https://www.google.com/url?q=https://oj.uz/problem/view/COI15_ogledala&amp;sa=D&amp;ust=1605639815614000&amp;usg=AFQjCNEh5Yt44o1DHirED4IG01FMr3-nSw" TargetMode="External"/><Relationship Id="rId2075" Type="http://schemas.openxmlformats.org/officeDocument/2006/relationships/hyperlink" Target="https://www.google.com/url?q=https://oj.uz/problem/view/IZhO19_stones&amp;sa=D&amp;ust=1605639816587000&amp;usg=AFQjCNGKyI59Qc7c5KyTIwl7N43QW8c2TQ" TargetMode="External"/><Relationship Id="rId2282" Type="http://schemas.openxmlformats.org/officeDocument/2006/relationships/hyperlink" Target="https://www.google.com/url?q=https://github.com/mostafa-saad/MyCompetitiveProgramming/tree/master/Olympiad/COCI/official/2007/contest1_solutions&amp;sa=D&amp;ust=1605639816647000&amp;usg=AFQjCNHdaqyTTQjar23fmGB4bcPfkx3ZUw" TargetMode="External"/><Relationship Id="rId254" Type="http://schemas.openxmlformats.org/officeDocument/2006/relationships/hyperlink" Target="https://www.google.com/url?q=https://github.com/mostafa-saad/MyCompetitiveProgramming/blob/master/Olympiad/POI/official/find_editorial_sols_guidelines.txt&amp;sa=D&amp;ust=1605639815563000&amp;usg=AFQjCNEGPJtcia5Qh_h9V5TnrQaDin-o6Q" TargetMode="External"/><Relationship Id="rId699" Type="http://schemas.openxmlformats.org/officeDocument/2006/relationships/hyperlink" Target="https://www.google.com/url?q=https://github.com/mostafa-saad/MyCompetitiveProgramming/blob/master/Olympiad/POI/POI-15-Three.txt&amp;sa=D&amp;ust=1605639815933000&amp;usg=AFQjCNFTLCTALBexDRRna6nHtO4ys3R5VQ" TargetMode="External"/><Relationship Id="rId1091" Type="http://schemas.openxmlformats.org/officeDocument/2006/relationships/hyperlink" Target="https://www.google.com/url?q=https://oj.uz/problem/view/COCI17_rima&amp;sa=D&amp;ust=1605639816193000&amp;usg=AFQjCNED4A9b6sn84WgAroL4NtadzB6uUg" TargetMode="External"/><Relationship Id="rId2587" Type="http://schemas.openxmlformats.org/officeDocument/2006/relationships/hyperlink" Target="https://www.google.com/url?q=https://github.com/mostafa-saad/MyCompetitiveProgramming/blob/master/Olympiad/NOI/official&amp;sa=D&amp;ust=1605639816740000&amp;usg=AFQjCNFsl8ZXraQcTlfeuF6VnqSwzIACWg" TargetMode="External"/><Relationship Id="rId2794" Type="http://schemas.openxmlformats.org/officeDocument/2006/relationships/hyperlink" Target="https://www.google.com/url?q=https://dmoj.ca/problem/coci08c4p2&amp;sa=D&amp;ust=1605639816801000&amp;usg=AFQjCNEax-8798xU1RVaeusQbLQWmWTo8w" TargetMode="External"/><Relationship Id="rId114" Type="http://schemas.openxmlformats.org/officeDocument/2006/relationships/hyperlink" Target="https://www.google.com/url?q=https://github.com/mostafa-saad/MyCompetitiveProgramming/blob/master/Olympiad/IOI/IOI-14-rail.txt&amp;sa=D&amp;ust=1605639815525000&amp;usg=AFQjCNEHpZt74kYKdEx_NcZbDnNXJW-M4g" TargetMode="External"/><Relationship Id="rId461" Type="http://schemas.openxmlformats.org/officeDocument/2006/relationships/hyperlink" Target="https://www.google.com/url?q=https://joisc2015.contest.atcoder.jp/tasks/joisc2015_m&amp;sa=D&amp;ust=1605639815670000&amp;usg=AFQjCNEUgtFQ7Cs7EjYlrfQBrWikjVQN1g" TargetMode="External"/><Relationship Id="rId559" Type="http://schemas.openxmlformats.org/officeDocument/2006/relationships/hyperlink" Target="https://www.google.com/url?q=https://github.com/mostafa-saad/MyCompetitiveProgramming/blob/master/Olympiad/POI/POI-06-Ploughing.txt&amp;sa=D&amp;ust=1605639815886000&amp;usg=AFQjCNF-Eglz4LZkW7FP7n6zMK046mgzMA" TargetMode="External"/><Relationship Id="rId766" Type="http://schemas.openxmlformats.org/officeDocument/2006/relationships/hyperlink" Target="https://www.google.com/url?q=https://github.com/mostafa-saad/MyCompetitiveProgramming/blob/master/Olympiad/COI/COI-08-Otoci.txt&amp;sa=D&amp;ust=1605639815986000&amp;usg=AFQjCNF_kkwF1Je8Co_NV2zWJaEl95SZ7w" TargetMode="External"/><Relationship Id="rId1189" Type="http://schemas.openxmlformats.org/officeDocument/2006/relationships/hyperlink" Target="https://www.google.com/url?q=https://szkopul.edu.pl/problemset/problem/VeQ6A1Xb8DUSlbUb8eQncsFX/site/&amp;sa=D&amp;ust=1605639816222000&amp;usg=AFQjCNHtTPbHwxT8b8UZBxDoc3amQG14OQ" TargetMode="External"/><Relationship Id="rId1396" Type="http://schemas.openxmlformats.org/officeDocument/2006/relationships/hyperlink" Target="https://www.google.com/url?q=https://open.kattis.com/problems/catinatree&amp;sa=D&amp;ust=1605639816345000&amp;usg=AFQjCNHqLxKQstp3CAWZS4t5lghwWsMr0A" TargetMode="External"/><Relationship Id="rId2142" Type="http://schemas.openxmlformats.org/officeDocument/2006/relationships/hyperlink" Target="https://www.google.com/url?q=https://szkopul.edu.pl/problemset/problem/uABxo7lIMMVDn0-HB1wCE02w/site/&amp;sa=D&amp;ust=1605639816608000&amp;usg=AFQjCNEbKE6WkHyeQZKm0t3V4ZULgf-OcQ" TargetMode="External"/><Relationship Id="rId2447" Type="http://schemas.openxmlformats.org/officeDocument/2006/relationships/hyperlink" Target="https://www.google.com/url?q=https://dmoj.ca/problem/coci07c6p4&amp;sa=D&amp;ust=1605639816701000&amp;usg=AFQjCNEhA-qebroaKgIraYgc0QmRs1yjIw" TargetMode="External"/><Relationship Id="rId321" Type="http://schemas.openxmlformats.org/officeDocument/2006/relationships/hyperlink" Target="https://www.google.com/url?q=https://oj.uz/problem/view/IOI18_highway&amp;sa=D&amp;ust=1605639815588000&amp;usg=AFQjCNHfqVqTRjMBc0U6qBnybYYdh7qGiw" TargetMode="External"/><Relationship Id="rId419" Type="http://schemas.openxmlformats.org/officeDocument/2006/relationships/hyperlink" Target="https://www.google.com/url?q=https://csacademy.com/contest/ioi-2016-training-round-3/task/telegraph/&amp;sa=D&amp;ust=1605639815624000&amp;usg=AFQjCNE7qxa9cgs3eeEqRwVaw-AQMHdhdA" TargetMode="External"/><Relationship Id="rId626" Type="http://schemas.openxmlformats.org/officeDocument/2006/relationships/hyperlink" Target="https://www.google.com/url?q=https://szkopul.edu.pl/problemset/problem/7Tut6VBMo0evZZ34EhdNuuOm/site/&amp;sa=D&amp;ust=1605639815910000&amp;usg=AFQjCNHnDqLHSzTiS1UUdpO69GCLOS_i7Q" TargetMode="External"/><Relationship Id="rId973" Type="http://schemas.openxmlformats.org/officeDocument/2006/relationships/hyperlink" Target="https://www.google.com/url?q=https://www.infoarena.ro/problema/aiacubiti&amp;sa=D&amp;ust=1605639816106000&amp;usg=AFQjCNHfZg6jL0DHlVRVYQTPWERi82Xdbg" TargetMode="External"/><Relationship Id="rId1049" Type="http://schemas.openxmlformats.org/officeDocument/2006/relationships/hyperlink" Target="https://www.google.com/url?q=https://dmoj.ca/problem/coci08c4p5&amp;sa=D&amp;ust=1605639816179000&amp;usg=AFQjCNGaNS3JXXcutxC_QuCgFCD4rh3tyQ" TargetMode="External"/><Relationship Id="rId1256" Type="http://schemas.openxmlformats.org/officeDocument/2006/relationships/hyperlink" Target="https://www.google.com/url?q=https://github.com/zoooma13/Competitive-Programming/blob/master/tallbarn.cpp&amp;sa=D&amp;ust=1605639816297000&amp;usg=AFQjCNEphOt6Nh6M6hdz4TciYZKSChM0KQ" TargetMode="External"/><Relationship Id="rId2002" Type="http://schemas.openxmlformats.org/officeDocument/2006/relationships/hyperlink" Target="https://www.google.com/url?q=https://dmoj.ca/problem/ccc18s4&amp;sa=D&amp;ust=1605639816560000&amp;usg=AFQjCNETFy8wPYtOiHI5DgSVbmY9MCgNoA" TargetMode="External"/><Relationship Id="rId2307" Type="http://schemas.openxmlformats.org/officeDocument/2006/relationships/hyperlink" Target="https://www.google.com/url?q=https://github.com/mostafa-saad/MyCompetitiveProgramming/blob/master/Olympiad/IOI/official/2001&amp;sa=D&amp;ust=1605639816653000&amp;usg=AFQjCNHfm9xi2FByTEQvnOrPIc2QKtDaAA" TargetMode="External"/><Relationship Id="rId2654" Type="http://schemas.openxmlformats.org/officeDocument/2006/relationships/hyperlink" Target="https://www.google.com/url?q=https://github.com/mostafa-saad/MyCompetitiveProgramming/tree/master/Olympiad/MCO/official&amp;sa=D&amp;ust=1605639816755000&amp;usg=AFQjCNGbUrBjSCBOh6EQadSuJySxovouQg" TargetMode="External"/><Relationship Id="rId2861" Type="http://schemas.openxmlformats.org/officeDocument/2006/relationships/hyperlink" Target="https://www.google.com/url?q=https://dunjudge.me/analysis/problems/419/&amp;sa=D&amp;ust=1605639816820000&amp;usg=AFQjCNGYjyea9tKPRg8OWg1jYphOCpdsxg" TargetMode="External"/><Relationship Id="rId2959" Type="http://schemas.openxmlformats.org/officeDocument/2006/relationships/hyperlink" Target="https://www.google.com/url?q=https://szkopul.edu.pl/problemset/problem/oNnWY6ZuzzhvG-jCmijiXkIk/site/&amp;sa=D&amp;ust=1605639816883000&amp;usg=AFQjCNFOmzGifnys0AUF2XlFWWRzMrGgaQ" TargetMode="External"/><Relationship Id="rId833" Type="http://schemas.openxmlformats.org/officeDocument/2006/relationships/hyperlink" Target="https://www.google.com/url?q=http://usaco.org/index.php?page%3Dviewproblem2%26cpid%3D794&amp;sa=D&amp;ust=1605639816010000&amp;usg=AFQjCNFb-qABkfu4Dop31R4LZfxWho3ZjQ" TargetMode="External"/><Relationship Id="rId1116" Type="http://schemas.openxmlformats.org/officeDocument/2006/relationships/hyperlink" Target="https://www.google.com/url?q=https://github.com/mostafa-saad/MyCompetitiveProgramming/blob/master/Olympiad/infoarena/infoarena_sormin.txt&amp;sa=D&amp;ust=1605639816202000&amp;usg=AFQjCNFMa-awfYq6ehNLvS9QW1fpPaLvyw" TargetMode="External"/><Relationship Id="rId1463" Type="http://schemas.openxmlformats.org/officeDocument/2006/relationships/hyperlink" Target="https://www.google.com/url?q=https://joisc2016.contest.atcoder.jp/tasks/joisc2016_l&amp;sa=D&amp;ust=1605639816384000&amp;usg=AFQjCNHVzY17N9TmiFKxbaWPELE4Uc1soA" TargetMode="External"/><Relationship Id="rId1670" Type="http://schemas.openxmlformats.org/officeDocument/2006/relationships/hyperlink" Target="https://www.google.com/url?q=https://github.com/mostafa-saad/MyCompetitiveProgramming/blob/master/Olympiad/POI/POI-05-Double_Row.txt&amp;sa=D&amp;ust=1605639816450000&amp;usg=AFQjCNGsrI1jWoN6xnNG1Ji_88T8pQ6jcQ" TargetMode="External"/><Relationship Id="rId1768" Type="http://schemas.openxmlformats.org/officeDocument/2006/relationships/hyperlink" Target="https://www.google.com/url?q=http://usaco.org/index.php?page%3Dviewproblem2%26cpid%3D696&amp;sa=D&amp;ust=1605639816484000&amp;usg=AFQjCNGII1Xy4Bl9XpRxaO4pv5r48ofpAA" TargetMode="External"/><Relationship Id="rId2514" Type="http://schemas.openxmlformats.org/officeDocument/2006/relationships/hyperlink" Target="https://www.google.com/url?q=https://github.com/mostafa-saad/MyCompetitiveProgramming/blob/master/Olympiad/COCI/official/2017/contest3_solutions&amp;sa=D&amp;ust=1605639816724000&amp;usg=AFQjCNHTZjqMX4FgyIqfbE5zMxFQ-Z8rEg" TargetMode="External"/><Relationship Id="rId2721" Type="http://schemas.openxmlformats.org/officeDocument/2006/relationships/hyperlink" Target="https://www.google.com/url?q=https://oj.uz/problem/view/COCI17_bridz&amp;sa=D&amp;ust=1605639816774000&amp;usg=AFQjCNF0txlo44BA3QZeMuy4FAjTkFHiCg" TargetMode="External"/><Relationship Id="rId2819" Type="http://schemas.openxmlformats.org/officeDocument/2006/relationships/hyperlink" Target="https://www.google.com/url?q=https://github.com/mostafa-saad/MyCompetitiveProgramming/blob/master/Olympiad/COCI/official/2010/contest7_solutions&amp;sa=D&amp;ust=1605639816806000&amp;usg=AFQjCNG9iRCgBJ4r9K-UUNVrQeL1g7lHvg" TargetMode="External"/><Relationship Id="rId900" Type="http://schemas.openxmlformats.org/officeDocument/2006/relationships/hyperlink" Target="https://www.google.com/url?q=https://oj.uz/problem/view/COCI17_garaza&amp;sa=D&amp;ust=1605639816083000&amp;usg=AFQjCNETRVbl-QZjbTQ_bwsNSiSVICnWuQ" TargetMode="External"/><Relationship Id="rId1323" Type="http://schemas.openxmlformats.org/officeDocument/2006/relationships/hyperlink" Target="https://www.google.com/url?q=https://szkopul.edu.pl/problemset/problem/_L_YGzT5VYJO9zHTfVRwPjwh/site/&amp;sa=D&amp;ust=1605639816320000&amp;usg=AFQjCNEbmnMDtJSgDg1uICRU7z8oL9dVgQ" TargetMode="External"/><Relationship Id="rId1530" Type="http://schemas.openxmlformats.org/officeDocument/2006/relationships/hyperlink" Target="https://www.google.com/url?q=https://dunjudge.me/analysis/problems/973/&amp;sa=D&amp;ust=1605639816410000&amp;usg=AFQjCNFiVaLRsiapCu9_Asq4k6IFk84HFw" TargetMode="External"/><Relationship Id="rId1628" Type="http://schemas.openxmlformats.org/officeDocument/2006/relationships/hyperlink" Target="https://www.google.com/url?q=https://github.com/mostafa-saad/MyCompetitiveProgramming/blob/master/Olympiad/infoarena/infoarena_puncte.txt&amp;sa=D&amp;ust=1605639816440000&amp;usg=AFQjCNFPjbXK51a_msUjDF8kOefZ9Waxvg" TargetMode="External"/><Relationship Id="rId1975" Type="http://schemas.openxmlformats.org/officeDocument/2006/relationships/hyperlink" Target="https://www.google.com/url?q=https://github.com/mostafa-saad/MyCompetitiveProgramming/blob/master/Olympiad/COCI/official/2015/contest5_solutions&amp;sa=D&amp;ust=1605639816552000&amp;usg=AFQjCNEA7JfPW4JCNRbODVAbRW3upkMiQQ" TargetMode="External"/><Relationship Id="rId1835" Type="http://schemas.openxmlformats.org/officeDocument/2006/relationships/hyperlink" Target="https://www.google.com/url?q=https://github.com/mostafa-saad/MyCompetitiveProgramming/blob/master/Olympiad/POI/official/find_editorial_sols_guidelines.txt&amp;sa=D&amp;ust=1605639816508000&amp;usg=AFQjCNGavwH1cVT8MeyKUXB7qLjRP71XPA" TargetMode="External"/><Relationship Id="rId1902" Type="http://schemas.openxmlformats.org/officeDocument/2006/relationships/hyperlink" Target="https://www.google.com/url?q=https://github.com/stefdasca/CompetitiveProgramming/blob/master/Infoarena/bitcost.cpp&amp;sa=D&amp;ust=1605639816530000&amp;usg=AFQjCNFmFtnEGRYg509ki0_5JB23e7wQfA" TargetMode="External"/><Relationship Id="rId2097" Type="http://schemas.openxmlformats.org/officeDocument/2006/relationships/hyperlink" Target="https://www.google.com/url?q=https://github.com/mostafa-saad/MyCompetitiveProgramming/tree/master/Olympiad/COCI/official/2012/contest6_solutions&amp;sa=D&amp;ust=1605639816595000&amp;usg=AFQjCNEHMpjEjWjcTHKEURaJIsd4iV2vFw" TargetMode="External"/><Relationship Id="rId276" Type="http://schemas.openxmlformats.org/officeDocument/2006/relationships/hyperlink" Target="https://www.google.com/url?q=https://csacademy.com/contest/balkan-oi-2017-day-2/&amp;sa=D&amp;ust=1605639815573000&amp;usg=AFQjCNE1Kw4ejhg5sVSx_GmKTDaxpeirEg" TargetMode="External"/><Relationship Id="rId483" Type="http://schemas.openxmlformats.org/officeDocument/2006/relationships/hyperlink" Target="https://www.google.com/url?q=https://csacademy.com/contest/ioi-2016-training-round-3/task/network-rumour/&amp;sa=D&amp;ust=1605639815676000&amp;usg=AFQjCNEEeEZ574zfgLoJa3rfxfWvAcwtpg" TargetMode="External"/><Relationship Id="rId690" Type="http://schemas.openxmlformats.org/officeDocument/2006/relationships/hyperlink" Target="https://www.google.com/url?q=https://csacademy.com/contest/ioi-2016-training-round-4/task/k-consecutive/&amp;sa=D&amp;ust=1605639815931000&amp;usg=AFQjCNEOht9ibubMPGXawlWfejMoVK3XNg" TargetMode="External"/><Relationship Id="rId2164" Type="http://schemas.openxmlformats.org/officeDocument/2006/relationships/hyperlink" Target="https://www.google.com/url?q=https://github.com/mostafa-saad/MyCompetitiveProgramming/blob/master/Olympiad/COCI/official/2010/contest7_solutions&amp;sa=D&amp;ust=1605639816615000&amp;usg=AFQjCNGMDQU4dx1ERnlnhZNTG_156b5DQQ" TargetMode="External"/><Relationship Id="rId2371" Type="http://schemas.openxmlformats.org/officeDocument/2006/relationships/hyperlink" Target="https://www.google.com/url?q=https://dunjudge.me/analysis/problems/115/&amp;sa=D&amp;ust=1605639816672000&amp;usg=AFQjCNG9nx_042_qZ9M8AHvxJ3a0epz9Fw" TargetMode="External"/><Relationship Id="rId3008" Type="http://schemas.openxmlformats.org/officeDocument/2006/relationships/hyperlink" Target="https://www.google.com/url?q=https://dunjudge.me/analysis/problems/679/&amp;sa=D&amp;ust=1605639816906000&amp;usg=AFQjCNFLNbWkCk0pT7xqT5yKkLfKDiMpjA" TargetMode="External"/><Relationship Id="rId136" Type="http://schemas.openxmlformats.org/officeDocument/2006/relationships/hyperlink" Target="https://www.google.com/url?q=https://github.com/ihdignite/CompetitiveProgramming/blob/master/IZHO/17-Bomb.cpp&amp;sa=D&amp;ust=1605639815532000&amp;usg=AFQjCNGxPujCvSOdYcBeAYk5URxqGu4G6A" TargetMode="External"/><Relationship Id="rId343" Type="http://schemas.openxmlformats.org/officeDocument/2006/relationships/hyperlink" Target="https://www.google.com/url?q=https://szkopul.edu.pl/problemset/problem/gh2Yj6Ckrt4Lo_RojONuljuC/site/&amp;sa=D&amp;ust=1605639815595000&amp;usg=AFQjCNH4vC8JSdEOPUwBuv_nppZjQRceiQ" TargetMode="External"/><Relationship Id="rId550" Type="http://schemas.openxmlformats.org/officeDocument/2006/relationships/hyperlink" Target="https://www.google.com/url?q=https://oj.uz/problem/view/IOI18_doll&amp;sa=D&amp;ust=1605639815882000&amp;usg=AFQjCNHusuFQHB3ckB_bxdlf0BKz2Zm-tg" TargetMode="External"/><Relationship Id="rId788" Type="http://schemas.openxmlformats.org/officeDocument/2006/relationships/hyperlink" Target="https://www.google.com/url?q=https://github.com/updown2/OI-Practice/blob/master/USACO/2012-2013/December/Gold/Gangs.cpp&amp;sa=D&amp;ust=1605639815994000&amp;usg=AFQjCNFoEtnKeSgJAM2aluNPJlhthIZa5Q" TargetMode="External"/><Relationship Id="rId995" Type="http://schemas.openxmlformats.org/officeDocument/2006/relationships/hyperlink" Target="https://www.google.com/url?q=http://usaco.org/index.php?page%3Dviewproblem2%26cpid%3D842&amp;sa=D&amp;ust=1605639816111000&amp;usg=AFQjCNEIam3m-WZ7kTL4IohD9Wb85JYlGA" TargetMode="External"/><Relationship Id="rId1180" Type="http://schemas.openxmlformats.org/officeDocument/2006/relationships/hyperlink" Target="https://www.google.com/url?q=https://github.com/mostafa-saad/MyCompetitiveProgramming/blob/master/Olympiad/COCI/official/2018/contest1_solutions&amp;sa=D&amp;ust=1605639816219000&amp;usg=AFQjCNFyReJx7C6mWBM1TOo8q2B4beq9pQ" TargetMode="External"/><Relationship Id="rId2024" Type="http://schemas.openxmlformats.org/officeDocument/2006/relationships/hyperlink" Target="https://www.google.com/url?q=https://github.com/win11905/submission/blob/master/OCN/15/2C.cpp&amp;sa=D&amp;ust=1605639816567000&amp;usg=AFQjCNG3mghzS2z4DV9xASxkBe5NichOOQ" TargetMode="External"/><Relationship Id="rId2231" Type="http://schemas.openxmlformats.org/officeDocument/2006/relationships/hyperlink" Target="https://www.google.com/url?q=https://oj.uz/problem/view/BOI13_tracks&amp;sa=D&amp;ust=1605639816635000&amp;usg=AFQjCNEb4L9IbkZXt1VyqF08xJ6spyR_og" TargetMode="External"/><Relationship Id="rId2469" Type="http://schemas.openxmlformats.org/officeDocument/2006/relationships/hyperlink" Target="https://www.google.com/url?q=https://www.infoarena.ro/problema/munte4&amp;sa=D&amp;ust=1605639816708000&amp;usg=AFQjCNF_mhgA6ZKZv5QKatVxj6hz7kQe_A" TargetMode="External"/><Relationship Id="rId2676" Type="http://schemas.openxmlformats.org/officeDocument/2006/relationships/hyperlink" Target="https://www.google.com/url?q=https://oj.uz/problem/view/COCI20_birmingham&amp;sa=D&amp;ust=1605639816759000&amp;usg=AFQjCNFV0kc2FS5lZxiaNdQowZeZGSbv-A" TargetMode="External"/><Relationship Id="rId2883" Type="http://schemas.openxmlformats.org/officeDocument/2006/relationships/hyperlink" Target="https://www.google.com/url?q=https://www.acmicpc.net/problem/7082&amp;sa=D&amp;ust=1605639816828000&amp;usg=AFQjCNEyrVCdVcoC4SjqhJRhARi4xCsjsA" TargetMode="External"/><Relationship Id="rId203" Type="http://schemas.openxmlformats.org/officeDocument/2006/relationships/hyperlink" Target="https://www.google.com/url?q=https://github.com/mostafa-saad/MyCompetitiveProgramming/blob/master/Olympiad/IOI/IOI-16-aliens.txt&amp;sa=D&amp;ust=1605639815550000&amp;usg=AFQjCNHtUqOBGXDHo9jzuhqPsuSjsw7kvA" TargetMode="External"/><Relationship Id="rId648" Type="http://schemas.openxmlformats.org/officeDocument/2006/relationships/hyperlink" Target="https://www.google.com/url?q=https://oj.uz/problem/view/BOI19_necklace1&amp;sa=D&amp;ust=1605639815917000&amp;usg=AFQjCNHZFcw6StkeHQm9cHQeo2pDPEZrsQ" TargetMode="External"/><Relationship Id="rId855" Type="http://schemas.openxmlformats.org/officeDocument/2006/relationships/hyperlink" Target="https://www.google.com/url?q=https://oj.uz/problem/view/IOI07_pairs&amp;sa=D&amp;ust=1605639816019000&amp;usg=AFQjCNEeH017dAPkTTfUrNw5YK5vUR6SoQ" TargetMode="External"/><Relationship Id="rId1040" Type="http://schemas.openxmlformats.org/officeDocument/2006/relationships/hyperlink" Target="https://www.google.com/url?q=https://github.com/mostafa-saad/MyCompetitiveProgramming/blob/master/Olympiad/IOI/IOI-11-garden.txt&amp;sa=D&amp;ust=1605639816176000&amp;usg=AFQjCNETnrTXe5Rx2waCGGzgk-33xQyOFA" TargetMode="External"/><Relationship Id="rId1278" Type="http://schemas.openxmlformats.org/officeDocument/2006/relationships/hyperlink" Target="https://www.google.com/url?q=https://github.com/mostafa-saad/MyCompetitiveProgramming/blob/master/Olympiad/COCI/COCI-13-parovi.txt&amp;sa=D&amp;ust=1605639816303000&amp;usg=AFQjCNEofNOfj37vbJNwM3E0r59SnqXUBw" TargetMode="External"/><Relationship Id="rId1485" Type="http://schemas.openxmlformats.org/officeDocument/2006/relationships/hyperlink" Target="https://www.google.com/url?q=https://dmoj.ca/problem/coci14c1p4&amp;sa=D&amp;ust=1605639816393000&amp;usg=AFQjCNHQQq8SvjfcMwqdEByTwl4Chnw1RQ" TargetMode="External"/><Relationship Id="rId1692" Type="http://schemas.openxmlformats.org/officeDocument/2006/relationships/hyperlink" Target="https://www.google.com/url?q=https://oj.uz/problem/view/BOI13_numbers&amp;sa=D&amp;ust=1605639816456000&amp;usg=AFQjCNEU1RFpSqFVqf_3icJcNyijkU3V2w" TargetMode="External"/><Relationship Id="rId2329" Type="http://schemas.openxmlformats.org/officeDocument/2006/relationships/hyperlink" Target="https://www.google.com/url?q=https://www.infoarena.ro/problema/incurcatura&amp;sa=D&amp;ust=1605639816659000&amp;usg=AFQjCNFlUmi2o8xy-ZERob4CGphfygR7fQ" TargetMode="External"/><Relationship Id="rId2536" Type="http://schemas.openxmlformats.org/officeDocument/2006/relationships/hyperlink" Target="https://www.google.com/url?q=https://codeforces.com/group/swEqtABRxe/contest/243435/problem/B&amp;sa=D&amp;ust=1605639816730000&amp;usg=AFQjCNF-O4Fnem92WaMDASnMf3SrEqaDOQ" TargetMode="External"/><Relationship Id="rId2743" Type="http://schemas.openxmlformats.org/officeDocument/2006/relationships/hyperlink" Target="https://www.google.com/url?q=https://github.com/mostafa-saad/MyCompetitiveProgramming/blob/master/Olympiad/COCI/official/2017/contest4_solutions&amp;sa=D&amp;ust=1605639816781000&amp;usg=AFQjCNFcuZbDPWul3wJMRoyPg9KHI-s_4w" TargetMode="External"/><Relationship Id="rId410" Type="http://schemas.openxmlformats.org/officeDocument/2006/relationships/hyperlink" Target="https://www.google.com/url?q=https://szkopul.edu.pl/problemset/problem/YbQn6MpKAzvIhTNUXtp_ypXQ/site/&amp;sa=D&amp;ust=1605639815622000&amp;usg=AFQjCNHedat2bq2GoDyfOxaZNH5ORAVEYQ" TargetMode="External"/><Relationship Id="rId508" Type="http://schemas.openxmlformats.org/officeDocument/2006/relationships/hyperlink" Target="https://www.google.com/url?q=https://github.com/mostafa-saad/MyCompetitiveProgramming/blob/master/Olympiad/APIO/APIO-10-Patrol.txt&amp;sa=D&amp;ust=1605639815684000&amp;usg=AFQjCNGWVWgpZWXaZ0OUIa-zpTAKlkL8rQ" TargetMode="External"/><Relationship Id="rId715" Type="http://schemas.openxmlformats.org/officeDocument/2006/relationships/hyperlink" Target="https://www.google.com/url?q=https://github.com/mostafa-saad/MyCompetitiveProgramming/blob/master/Olympiad/IOI/IOI-04-empodia.txt&amp;sa=D&amp;ust=1605639815968000&amp;usg=AFQjCNHPELHD00Zyftk6JmwdrcU5JUIBVQ" TargetMode="External"/><Relationship Id="rId922" Type="http://schemas.openxmlformats.org/officeDocument/2006/relationships/hyperlink" Target="https://www.google.com/url?q=https://oj.uz/problems/source/60&amp;sa=D&amp;ust=1605639816090000&amp;usg=AFQjCNGupFfxtLd5Yarb0tbR-W1gYCxdmA" TargetMode="External"/><Relationship Id="rId1138" Type="http://schemas.openxmlformats.org/officeDocument/2006/relationships/hyperlink" Target="https://www.google.com/url?q=https://codeforces.com/gym/102257/&amp;sa=D&amp;ust=1605639816209000&amp;usg=AFQjCNGjGTSPcJRCXi4XWwTrK_28rFXTfQ" TargetMode="External"/><Relationship Id="rId1345" Type="http://schemas.openxmlformats.org/officeDocument/2006/relationships/hyperlink" Target="https://www.google.com/url?q=https://github.com/aviroop123/CompetitiveProgramming/blob/master/Olympiad/IOI/IOI%252011-race.cpp&amp;sa=D&amp;ust=1605639816327000&amp;usg=AFQjCNHh2eHZgER6TwTPh5PxJNbJFhivyA" TargetMode="External"/><Relationship Id="rId1552" Type="http://schemas.openxmlformats.org/officeDocument/2006/relationships/hyperlink" Target="https://www.google.com/url?q=https://github.com/nya-nya-meow/CompetitiveProgramming/blob/master/CSES/CSES%25201112%2520-%2520Substrings.cpp&amp;sa=D&amp;ust=1605639816416000&amp;usg=AFQjCNFgCQOR4m7_UdHa3N94_MEE-9_chQ" TargetMode="External"/><Relationship Id="rId1997" Type="http://schemas.openxmlformats.org/officeDocument/2006/relationships/hyperlink" Target="https://www.google.com/url?q=https://github.com/mostafa-saad/MyCompetitiveProgramming/tree/master/Olympiad/COCI/official/2008/contest1_solutions&amp;sa=D&amp;ust=1605639816558000&amp;usg=AFQjCNHdKedCQNMv5xby5NLW8-WacSFufQ" TargetMode="External"/><Relationship Id="rId2603" Type="http://schemas.openxmlformats.org/officeDocument/2006/relationships/hyperlink" Target="https://www.google.com/url?q=https://dmoj.ca/problem/coci08c4p3&amp;sa=D&amp;ust=1605639816744000&amp;usg=AFQjCNERamhWJV3_tpIuTELTye_NUKuklg" TargetMode="External"/><Relationship Id="rId2950" Type="http://schemas.openxmlformats.org/officeDocument/2006/relationships/hyperlink" Target="https://www.google.com/url?q=https://dunjudge.me/analysis/problems/1170/&amp;sa=D&amp;ust=1605639816877000&amp;usg=AFQjCNHn_tOPNhGMZ04DgVvLt1Lo_vlcsA" TargetMode="External"/><Relationship Id="rId1205" Type="http://schemas.openxmlformats.org/officeDocument/2006/relationships/hyperlink" Target="https://www.google.com/url?q=https://szkopul.edu.pl/problemset/problem/Orc2Z7ti1xLaUUQDT1a6RGR5/site/&amp;sa=D&amp;ust=1605639816277000&amp;usg=AFQjCNHR2W6s9i3-DqALFQle6yBcIkeOcw" TargetMode="External"/><Relationship Id="rId1857" Type="http://schemas.openxmlformats.org/officeDocument/2006/relationships/hyperlink" Target="https://www.google.com/url?q=https://github.com/mostafa-saad/MyCompetitiveProgramming/blob/master/Olympiad/IOI/official/2004&amp;sa=D&amp;ust=1605639816516000&amp;usg=AFQjCNHJGqgD4764j0lc0GmnXnM3HYuoSg" TargetMode="External"/><Relationship Id="rId2810" Type="http://schemas.openxmlformats.org/officeDocument/2006/relationships/hyperlink" Target="https://www.google.com/url?q=https://wcipeg.com/problem/coci094p1&amp;sa=D&amp;ust=1605639816805000&amp;usg=AFQjCNFiUDqiZnXlGRGqOYcbPpMGbduPdw" TargetMode="External"/><Relationship Id="rId2908" Type="http://schemas.openxmlformats.org/officeDocument/2006/relationships/hyperlink" Target="https://www.google.com/url?q=https://oj.uz/problem/view/info1cup18_balancedtree&amp;sa=D&amp;ust=1605639816845000&amp;usg=AFQjCNHBJ_AEKPlYH1bgg0lObsc9DOrMrw" TargetMode="External"/><Relationship Id="rId51" Type="http://schemas.openxmlformats.org/officeDocument/2006/relationships/hyperlink" Target="https://www.google.com/url?q=https://dunjudge.me/analysis/problems/1828/&amp;sa=D&amp;ust=1605639815503000&amp;usg=AFQjCNGZwD8FPzfLx1H1l7Uus47og28wuQ" TargetMode="External"/><Relationship Id="rId1412" Type="http://schemas.openxmlformats.org/officeDocument/2006/relationships/hyperlink" Target="https://www.google.com/url?q=https://github.com/mostafa-saad/MyCompetitiveProgramming/blob/master/Olympiad/IOI/IOI-12-scrivener.txt&amp;sa=D&amp;ust=1605639816351000&amp;usg=AFQjCNG78hbKuvTfQkhwTLW2NTVM4GjDNA" TargetMode="External"/><Relationship Id="rId1717" Type="http://schemas.openxmlformats.org/officeDocument/2006/relationships/hyperlink" Target="https://www.google.com/url?q=https://oj.uz/problem/view/POI11_pat&amp;sa=D&amp;ust=1605639816464000&amp;usg=AFQjCNGjEGHCpAkc3vG5eJ5SqIAqwi3yyw" TargetMode="External"/><Relationship Id="rId1924" Type="http://schemas.openxmlformats.org/officeDocument/2006/relationships/hyperlink" Target="https://www.google.com/url?q=https://github.com/ShabdanBatyrkulov/codee/blob/master/IZhO%252012-beauty.cpp&amp;sa=D&amp;ust=1605639816537000&amp;usg=AFQjCNFaSc7IyhPhgnWJuWwkwQ2T1eW80w" TargetMode="External"/><Relationship Id="rId298" Type="http://schemas.openxmlformats.org/officeDocument/2006/relationships/hyperlink" Target="https://www.google.com/url?q=https://oj.uz/problem/view/JOI16_joiris&amp;sa=D&amp;ust=1605639815579000&amp;usg=AFQjCNFebCwpV81g2tK8wzaBZBxhYA8Ivw" TargetMode="External"/><Relationship Id="rId158" Type="http://schemas.openxmlformats.org/officeDocument/2006/relationships/hyperlink" Target="https://www.google.com/url?q=https://github.com/mostafa-saad/MyCompetitiveProgramming/blob/master/Olympiad/IOI/official/2008&amp;sa=D&amp;ust=1605639815538000&amp;usg=AFQjCNHRh44VkVgN_64_nq9KeErjlyorwQ" TargetMode="External"/><Relationship Id="rId2186" Type="http://schemas.openxmlformats.org/officeDocument/2006/relationships/hyperlink" Target="https://www.google.com/url?q=https://csacademy.com/contest/ceoi-2017-day-2/&amp;sa=D&amp;ust=1605639816624000&amp;usg=AFQjCNH2N68_-EPPSsbRb8TF96fDu2ehjg" TargetMode="External"/><Relationship Id="rId2393" Type="http://schemas.openxmlformats.org/officeDocument/2006/relationships/hyperlink" Target="https://www.google.com/url?q=https://www.infoarena.ro/problema/lautari&amp;sa=D&amp;ust=1605639816681000&amp;usg=AFQjCNH3cDLSYbBqxyC1nSppKuqItXd5sQ" TargetMode="External"/><Relationship Id="rId2698" Type="http://schemas.openxmlformats.org/officeDocument/2006/relationships/hyperlink" Target="https://www.google.com/url?q=https://oj.uz/problem/view/COCI18_birokracija&amp;sa=D&amp;ust=1605639816765000&amp;usg=AFQjCNH0LyVKUeOBRdE5LqUjWhfS9YtqDA" TargetMode="External"/><Relationship Id="rId365" Type="http://schemas.openxmlformats.org/officeDocument/2006/relationships/hyperlink" Target="https://www.google.com/url?q=https://dunjudge.me/analysis/problems/1232/&amp;sa=D&amp;ust=1605639815602000&amp;usg=AFQjCNHZKZzkyY0LhvIPALEuVwecf2M4_g" TargetMode="External"/><Relationship Id="rId572" Type="http://schemas.openxmlformats.org/officeDocument/2006/relationships/hyperlink" Target="https://www.google.com/url?q=https://oj.uz/problem/view/APIO15_bridge&amp;sa=D&amp;ust=1605639815890000&amp;usg=AFQjCNG0o69vrWLD4nPfm56bQrknsoBj1w" TargetMode="External"/><Relationship Id="rId2046" Type="http://schemas.openxmlformats.org/officeDocument/2006/relationships/hyperlink" Target="https://www.google.com/url?q=https://cses.fi/115/list/&amp;sa=D&amp;ust=1605639816576000&amp;usg=AFQjCNGFCKmAndNloD98vu6w_rGXCEmjBg" TargetMode="External"/><Relationship Id="rId2253" Type="http://schemas.openxmlformats.org/officeDocument/2006/relationships/hyperlink" Target="https://www.google.com/url?q=https://dunjudge.me/analysis/problems/956/&amp;sa=D&amp;ust=1605639816640000&amp;usg=AFQjCNGgiaWB3_K0RNJoBG07PEOoiFzaGw" TargetMode="External"/><Relationship Id="rId2460" Type="http://schemas.openxmlformats.org/officeDocument/2006/relationships/hyperlink" Target="https://www.google.com/url?q=https://github.com/mostafa-saad/MyCompetitiveProgramming/blob/master/Olympiad/COCI/official/2010/contest1_solutions&amp;sa=D&amp;ust=1605639816705000&amp;usg=AFQjCNG_0-up-TRlnHwl8V4KKpMmIuYUog" TargetMode="External"/><Relationship Id="rId225" Type="http://schemas.openxmlformats.org/officeDocument/2006/relationships/hyperlink" Target="https://www.google.com/url?q=https://github.com/mostafa-saad/MyCompetitiveProgramming/blob/master/Olympiad/IOI/IOI-06-points.txt&amp;sa=D&amp;ust=1605639815556000&amp;usg=AFQjCNHR1HrR-82sUrE1fQGmxWXI1DbXXA" TargetMode="External"/><Relationship Id="rId432" Type="http://schemas.openxmlformats.org/officeDocument/2006/relationships/hyperlink" Target="https://www.google.com/url?q=https://github.com/stefdasca/CompetitiveProgramming/blob/master/Infoarena/kinder.cpp&amp;sa=D&amp;ust=1605639815629000&amp;usg=AFQjCNGtXQg_XOUybgUFasfP82wAFCqBSw" TargetMode="External"/><Relationship Id="rId877" Type="http://schemas.openxmlformats.org/officeDocument/2006/relationships/hyperlink" Target="https://www.google.com/url?q=https://codeforces.com/blog/entry/51740?%23comment-356940&amp;sa=D&amp;ust=1605639816073000&amp;usg=AFQjCNEm_FmrTSboCM4ko8XsQHtOxD311A" TargetMode="External"/><Relationship Id="rId1062" Type="http://schemas.openxmlformats.org/officeDocument/2006/relationships/hyperlink" Target="https://www.google.com/url?q=https://github.com/stefdasca/CompetitiveProgramming/blob/master/Infoarena/curent.cpp&amp;sa=D&amp;ust=1605639816182000&amp;usg=AFQjCNEC38L7j7IgaXCeaFhhKyvqElqOXQ" TargetMode="External"/><Relationship Id="rId2113" Type="http://schemas.openxmlformats.org/officeDocument/2006/relationships/hyperlink" Target="https://www.google.com/url?q=https://github.com/mostafa-saad/MyCompetitiveProgramming/blob/master/Olympiad/JOI/JOIOC-13-Watching.txt&amp;sa=D&amp;ust=1605639816599000&amp;usg=AFQjCNE_umwfo5oZLSri-AGyKySVnoJ6-g" TargetMode="External"/><Relationship Id="rId2320" Type="http://schemas.openxmlformats.org/officeDocument/2006/relationships/hyperlink" Target="https://www.google.com/url?q=https://dmoj.ca/problem/coci08c6p4&amp;sa=D&amp;ust=1605639816657000&amp;usg=AFQjCNFYZw2zGxl34Qo1IWIqIIIU9ufQDg" TargetMode="External"/><Relationship Id="rId2558" Type="http://schemas.openxmlformats.org/officeDocument/2006/relationships/hyperlink" Target="https://www.google.com/url?q=https://dmoj.ca/problem/coci14c6p3&amp;sa=D&amp;ust=1605639816734000&amp;usg=AFQjCNHoitU3fIKeFxm-qmAjRQkAbhnaEA" TargetMode="External"/><Relationship Id="rId2765" Type="http://schemas.openxmlformats.org/officeDocument/2006/relationships/hyperlink" Target="https://www.google.com/url?q=https://oj.uz/problem/view/COCI15_akcija&amp;sa=D&amp;ust=1605639816788000&amp;usg=AFQjCNHviMdhfVV-QJ1wfyBxCAJBeqp9ag" TargetMode="External"/><Relationship Id="rId2972" Type="http://schemas.openxmlformats.org/officeDocument/2006/relationships/hyperlink" Target="https://www.google.com/url?q=https://szkopul.edu.pl/problemset/problem/Kmofhbw9cTx06gSZg-C5MiBU/site/&amp;sa=D&amp;ust=1605639816889000&amp;usg=AFQjCNHJw7bDqpIMcmIQC1f23bLiRUUfzA" TargetMode="External"/><Relationship Id="rId737" Type="http://schemas.openxmlformats.org/officeDocument/2006/relationships/hyperlink" Target="https://www.google.com/url?q=https://github.com/mostafa-saad/MyCompetitiveProgramming/blob/master/Olympiad/Baltic/Baltic-14-coprobber.txt&amp;sa=D&amp;ust=1605639815976000&amp;usg=AFQjCNF2k-3CuKfzTG4k_FuGODgzzjxWYA" TargetMode="External"/><Relationship Id="rId944" Type="http://schemas.openxmlformats.org/officeDocument/2006/relationships/hyperlink" Target="https://www.google.com/url?q=https://github.com/mostafa-saad/MyCompetitiveProgramming/blob/master/Olympiad/COCI/official/2017/contest3_solutions&amp;sa=D&amp;ust=1605639816097000&amp;usg=AFQjCNFv6UzIdke8aABPEzs4cdhW_FJ3Mw" TargetMode="External"/><Relationship Id="rId1367" Type="http://schemas.openxmlformats.org/officeDocument/2006/relationships/hyperlink" Target="https://www.google.com/url?q=https://github.com/mostafa-saad/MyCompetitiveProgramming/blob/master/Olympiad/COCI/COCI-15-savez.txt&amp;sa=D&amp;ust=1605639816335000&amp;usg=AFQjCNHyDThUyKrJoQQFUSUFMuibrDsFFw" TargetMode="External"/><Relationship Id="rId1574" Type="http://schemas.openxmlformats.org/officeDocument/2006/relationships/hyperlink" Target="https://www.google.com/url?q=http://usaco.org/index.php?page%3Dviewproblem2%26cpid%3D721&amp;sa=D&amp;ust=1605639816423000&amp;usg=AFQjCNFAbvFsGqcPJZj62q8M8V741ABP9Q" TargetMode="External"/><Relationship Id="rId1781" Type="http://schemas.openxmlformats.org/officeDocument/2006/relationships/hyperlink" Target="https://www.google.com/url?q=https://www.infoarena.ro/problema/nkbiti&amp;sa=D&amp;ust=1605639816489000&amp;usg=AFQjCNHXqMPKMB9u4_WdJ17Tqxp0fgrMKw" TargetMode="External"/><Relationship Id="rId2418" Type="http://schemas.openxmlformats.org/officeDocument/2006/relationships/hyperlink" Target="https://www.google.com/url?q=https://szkopul.edu.pl/problemset/problem/MZTXfOVnJmac175TTH5Lr9Q3/site/&amp;sa=D&amp;ust=1605639816691000&amp;usg=AFQjCNFt0bYMGcHCa4k2aot72x1vdJV1ZQ" TargetMode="External"/><Relationship Id="rId2625" Type="http://schemas.openxmlformats.org/officeDocument/2006/relationships/hyperlink" Target="https://www.google.com/url?q=https://dmoj.ca/problem/coci06c1p2&amp;sa=D&amp;ust=1605639816748000&amp;usg=AFQjCNFLUAzPL86mTCSxNM2sd9_RMs1evA" TargetMode="External"/><Relationship Id="rId2832" Type="http://schemas.openxmlformats.org/officeDocument/2006/relationships/hyperlink" Target="https://www.google.com/url?q=https://dmoj.ca/problem/coci07c1p3&amp;sa=D&amp;ust=1605639816811000&amp;usg=AFQjCNEQghvo3GqtvF39_gqO6rnuhpP4OA" TargetMode="External"/><Relationship Id="rId73" Type="http://schemas.openxmlformats.org/officeDocument/2006/relationships/hyperlink" Target="https://www.google.com/url?q=https://github.com/mostafa-saad/MyCompetitiveProgramming/blob/master/Olympiad/CEOI/CEOI-12-circuit.txt&amp;sa=D&amp;ust=1605639815512000&amp;usg=AFQjCNFGYmcboJ7lTblpuqCNPV96wuAU2A" TargetMode="External"/><Relationship Id="rId804" Type="http://schemas.openxmlformats.org/officeDocument/2006/relationships/hyperlink" Target="https://www.google.com/url?q=http://usaco.org/index.php?page%3Dviewproblem2%26cpid%3D864&amp;sa=D&amp;ust=1605639816000000&amp;usg=AFQjCNEVgPkIR3ZFdwcKIIIj7RJhJHyLdA" TargetMode="External"/><Relationship Id="rId1227" Type="http://schemas.openxmlformats.org/officeDocument/2006/relationships/hyperlink" Target="https://www.google.com/url?q=http://usaco.org/index.php?page%3Dviewproblem2%26cpid%3D947&amp;sa=D&amp;ust=1605639816285000&amp;usg=AFQjCNHbVyTtFn1C2A4AJN-PVTam-dbmmw" TargetMode="External"/><Relationship Id="rId1434" Type="http://schemas.openxmlformats.org/officeDocument/2006/relationships/hyperlink" Target="https://www.google.com/url?q=https://github.com/mostafa-saad/MyCompetitiveProgramming/blob/master/Olympiad/POI/POI-13-kon.txt&amp;sa=D&amp;ust=1605639816372000&amp;usg=AFQjCNEmCg_qTNtNbZx3KypF4Q0Bc7ax5w" TargetMode="External"/><Relationship Id="rId1641" Type="http://schemas.openxmlformats.org/officeDocument/2006/relationships/hyperlink" Target="https://www.google.com/url?q=https://github.com/Rockbet/Problems/blob/master/COCI/COCI%25202017-2018/Vode.cpp&amp;sa=D&amp;ust=1605639816443000&amp;usg=AFQjCNFUVv-yHiP-QWY9BGu47dOYAxO3jw" TargetMode="External"/><Relationship Id="rId1879" Type="http://schemas.openxmlformats.org/officeDocument/2006/relationships/hyperlink" Target="https://www.google.com/url?q=https://github.com/mostafa-saad/MyCompetitiveProgramming/blob/master/Olympiad/IOI/official/2001&amp;sa=D&amp;ust=1605639816524000&amp;usg=AFQjCNFN5ItVGRfsoXvBJMH6qivIvR_g4A" TargetMode="External"/><Relationship Id="rId1501" Type="http://schemas.openxmlformats.org/officeDocument/2006/relationships/hyperlink" Target="https://www.google.com/url?q=https://dmoj.ca/problem/coci14c2p5&amp;sa=D&amp;ust=1605639816399000&amp;usg=AFQjCNEqTzFX_KM7JM4L8eeKKddDkyFH-A" TargetMode="External"/><Relationship Id="rId1739" Type="http://schemas.openxmlformats.org/officeDocument/2006/relationships/hyperlink" Target="https://www.google.com/url?q=https://www.hackerrank.com/contests/ioi-2014-practice-contest-2/challenges&amp;sa=D&amp;ust=1605639816473000&amp;usg=AFQjCNEgpJzZX8PjF3TJL0um438qMJjXIQ" TargetMode="External"/><Relationship Id="rId1946" Type="http://schemas.openxmlformats.org/officeDocument/2006/relationships/hyperlink" Target="https://www.google.com/url?q=https://github.com/mostafa-saad/MyCompetitiveProgramming/blob/master/Olympiad/COCI/official/2010/contest2_solutions&amp;sa=D&amp;ust=1605639816543000&amp;usg=AFQjCNFms9HuIL-JbVaDWAzgszz_eHUnOw" TargetMode="External"/><Relationship Id="rId1806" Type="http://schemas.openxmlformats.org/officeDocument/2006/relationships/hyperlink" Target="https://www.google.com/url?q=https://dmoj.ca/problem/coci06c6p5&amp;sa=D&amp;ust=1605639816499000&amp;usg=AFQjCNGl8CYDhGAfhJdO3tf2iuv22PKypA" TargetMode="External"/><Relationship Id="rId387" Type="http://schemas.openxmlformats.org/officeDocument/2006/relationships/hyperlink" Target="https://www.google.com/url?q=https://dmoj.ca/problem/dmopc18c2p6&amp;sa=D&amp;ust=1605639815611000&amp;usg=AFQjCNHqneGb594NGNI0FPSkW9SLtGdLnw" TargetMode="External"/><Relationship Id="rId594" Type="http://schemas.openxmlformats.org/officeDocument/2006/relationships/hyperlink" Target="https://www.google.com/url?q=https://www.infoarena.ro/problema/turnuri&amp;sa=D&amp;ust=1605639815899000&amp;usg=AFQjCNH48zJssXp8OhXwVt5-PsYFM9lXwA" TargetMode="External"/><Relationship Id="rId2068" Type="http://schemas.openxmlformats.org/officeDocument/2006/relationships/hyperlink" Target="https://www.google.com/url?q=https://infoarena.ro/problema/poarta2&amp;sa=D&amp;ust=1605639816585000&amp;usg=AFQjCNFKc4PdZQd_q4bbBBwK3eSvLOnmew" TargetMode="External"/><Relationship Id="rId2275" Type="http://schemas.openxmlformats.org/officeDocument/2006/relationships/hyperlink" Target="https://www.google.com/url?q=https://dmoj.ca/problem/coci06c3p5&amp;sa=D&amp;ust=1605639816645000&amp;usg=AFQjCNEJv9MCwsfgcsB6dDDlMNB9N2PSGA" TargetMode="External"/><Relationship Id="rId247" Type="http://schemas.openxmlformats.org/officeDocument/2006/relationships/hyperlink" Target="https://www.google.com/url?q=https://github.com/mostafa-saad/MyCompetitiveProgramming/blob/master/Olympiad/IOI/official/2016&amp;sa=D&amp;ust=1605639815561000&amp;usg=AFQjCNFlI0p2fvqK5LrEpeUWrnpmjckVHA" TargetMode="External"/><Relationship Id="rId899" Type="http://schemas.openxmlformats.org/officeDocument/2006/relationships/hyperlink" Target="https://www.google.com/url?q=https://github.com/mostafa-saad/MyCompetitiveProgramming/blob/master/Olympiad/COCI/COCI-15-relativnost.txt&amp;sa=D&amp;ust=1605639816082000&amp;usg=AFQjCNELsdIyEZQt2S4-5fg3PrlvZTi6Yg" TargetMode="External"/><Relationship Id="rId1084" Type="http://schemas.openxmlformats.org/officeDocument/2006/relationships/hyperlink" Target="https://www.google.com/url?q=https://github.com/mostafa-saad/MyCompetitiveProgramming/blob/master/Olympiad/IOI/IOI-04-polygon.txt&amp;sa=D&amp;ust=1605639816191000&amp;usg=AFQjCNFXvGUVu9_UNuUHrLt7FgpNIDhhLg" TargetMode="External"/><Relationship Id="rId2482" Type="http://schemas.openxmlformats.org/officeDocument/2006/relationships/hyperlink" Target="https://www.google.com/url?q=https://dmoj.ca/problem/coci14c3p3&amp;sa=D&amp;ust=1605639816713000&amp;usg=AFQjCNGG9h2YbqiEOvgSwBH9xtk4RUyzcw" TargetMode="External"/><Relationship Id="rId2787" Type="http://schemas.openxmlformats.org/officeDocument/2006/relationships/hyperlink" Target="https://www.google.com/url?q=https://github.com/mostafa-saad/MyCompetitiveProgramming/blob/master/Olympiad/COCI/official/2009/contest1_solutions&amp;sa=D&amp;ust=1605639816799000&amp;usg=AFQjCNHckJZTWn0VCJKCUFIljQCIlwmz4w" TargetMode="External"/><Relationship Id="rId107" Type="http://schemas.openxmlformats.org/officeDocument/2006/relationships/hyperlink" Target="https://www.google.com/url?q=https://cses.fi/111/list/&amp;sa=D&amp;ust=1605639815523000&amp;usg=AFQjCNGWU4wkWSpiC87Wg5DMnInkl_ImNQ" TargetMode="External"/><Relationship Id="rId454" Type="http://schemas.openxmlformats.org/officeDocument/2006/relationships/hyperlink" Target="https://www.google.com/url?q=https://szkopul.edu.pl/problemset/problem/-e02GdqRC4OgV8Hjb852pqQ9/site/&amp;sa=D&amp;ust=1605639815636000&amp;usg=AFQjCNEdeSYxITNG00-IOohYPZxOMW1ikw" TargetMode="External"/><Relationship Id="rId661" Type="http://schemas.openxmlformats.org/officeDocument/2006/relationships/hyperlink" Target="https://www.google.com/url?q=https://github.com/mostafa-saad/MyCompetitiveProgramming/blob/master/Olympiad/POI/official/find_editorial_sols_guidelines.txt&amp;sa=D&amp;ust=1605639815922000&amp;usg=AFQjCNGZzEi4TwpmqvSXLoYkWEDndSa-Tg" TargetMode="External"/><Relationship Id="rId759" Type="http://schemas.openxmlformats.org/officeDocument/2006/relationships/hyperlink" Target="https://www.google.com/url?q=https://dunjudge.me/analysis/problems/728/&amp;sa=D&amp;ust=1605639815984000&amp;usg=AFQjCNFHF4WLNRIBbclKxbcZ70ZuPidR7g" TargetMode="External"/><Relationship Id="rId966" Type="http://schemas.openxmlformats.org/officeDocument/2006/relationships/hyperlink" Target="https://www.google.com/url?q=https://github.com/mostafa-saad/MyCompetitiveProgramming/blob/master/Olympiad/COCI/COCI-07-Staza.txt&amp;sa=D&amp;ust=1605639816104000&amp;usg=AFQjCNHUuaF4to5TkIBI1x9PMHjf4S68zA" TargetMode="External"/><Relationship Id="rId1291" Type="http://schemas.openxmlformats.org/officeDocument/2006/relationships/hyperlink" Target="https://www.google.com/url?q=https://dmoj.ca/problem/coci08c3p6&amp;sa=D&amp;ust=1605639816308000&amp;usg=AFQjCNESs-wYjktsWu3yf3j6WFVfyoXyhQ" TargetMode="External"/><Relationship Id="rId1389" Type="http://schemas.openxmlformats.org/officeDocument/2006/relationships/hyperlink" Target="https://www.google.com/url?q=https://github.com/stefdasca/CompetitiveProgramming/blob/master/Infoarena/nrsubsecv.cpp&amp;sa=D&amp;ust=1605639816343000&amp;usg=AFQjCNHTMIYjZfZC08FjnEIkSM6g7aCq8Q" TargetMode="External"/><Relationship Id="rId1596" Type="http://schemas.openxmlformats.org/officeDocument/2006/relationships/hyperlink" Target="https://www.google.com/url?q=https://github.com/mostafa-saad/MyCompetitiveProgramming/blob/master/Olympiad/CEOI/CEOI-03-Therace.txt&amp;sa=D&amp;ust=1605639816430000&amp;usg=AFQjCNEZRIkfar3c6wgGGTVPg-daB2wpOg" TargetMode="External"/><Relationship Id="rId2135" Type="http://schemas.openxmlformats.org/officeDocument/2006/relationships/hyperlink" Target="https://www.google.com/url?q=https://dmoj.ca/problem/ccoprep16q1&amp;sa=D&amp;ust=1605639816606000&amp;usg=AFQjCNE8oiVDLq4f8zvqX2eEW_9qIJuYIA" TargetMode="External"/><Relationship Id="rId2342" Type="http://schemas.openxmlformats.org/officeDocument/2006/relationships/hyperlink" Target="https://www.google.com/url?q=https://oj.uz/problem/view/COCI14_studentsko&amp;sa=D&amp;ust=1605639816662000&amp;usg=AFQjCNFbtZ6_gAEKkzgeWOLI5-Mo061q0Q" TargetMode="External"/><Relationship Id="rId2647" Type="http://schemas.openxmlformats.org/officeDocument/2006/relationships/hyperlink" Target="https://www.google.com/url?q=https://dmoj.ca/problem/coci07c6p1&amp;sa=D&amp;ust=1605639816753000&amp;usg=AFQjCNEqHRKa1Nbj-tqc8kzKie8AC7yInQ" TargetMode="External"/><Relationship Id="rId2994" Type="http://schemas.openxmlformats.org/officeDocument/2006/relationships/hyperlink" Target="https://www.google.com/url?q=https://dunjudge.me/analysis/problems/951/&amp;sa=D&amp;ust=1605639816900000&amp;usg=AFQjCNF1E4NioSBN6Rw-EAroiZbFVhWYgA" TargetMode="External"/><Relationship Id="rId314" Type="http://schemas.openxmlformats.org/officeDocument/2006/relationships/hyperlink" Target="https://www.google.com/url?q=https://github.com/mostafa-saad/MyCompetitiveProgramming/blob/master/Olympiad/IOI/IOI-18-Werewolf.txt&amp;sa=D&amp;ust=1605639815585000&amp;usg=AFQjCNGG3Wb6bA112xpNGOdsGXS0OQvIDw" TargetMode="External"/><Relationship Id="rId521" Type="http://schemas.openxmlformats.org/officeDocument/2006/relationships/hyperlink" Target="https://www.google.com/url?q=https://oj.uz/problem/view/COI15_zarulje&amp;sa=D&amp;ust=1605639815833000&amp;usg=AFQjCNE3gB8atWDwcXhavOGFq2KyF1UKBg" TargetMode="External"/><Relationship Id="rId619" Type="http://schemas.openxmlformats.org/officeDocument/2006/relationships/hyperlink" Target="https://www.google.com/url?q=https://github.com/mostafa-saad/MyCompetitiveProgramming/blob/master/Olympiad/Baltic/Baltic-06-RLE.txt&amp;sa=D&amp;ust=1605639815906000&amp;usg=AFQjCNGbcsC4yrnwW2RRo6Gq5HkYx1y2jw" TargetMode="External"/><Relationship Id="rId1151" Type="http://schemas.openxmlformats.org/officeDocument/2006/relationships/hyperlink" Target="https://www.google.com/url?q=https://cses.fi/105/list/&amp;sa=D&amp;ust=1605639816212000&amp;usg=AFQjCNHDxd8HZVkH6FuWzXmnobDoVcrS2g" TargetMode="External"/><Relationship Id="rId1249" Type="http://schemas.openxmlformats.org/officeDocument/2006/relationships/hyperlink" Target="https://www.google.com/url?q=https://oj.uz/problem/view/BOI13_pipes&amp;sa=D&amp;ust=1605639816293000&amp;usg=AFQjCNEWD-3AXurnoLcMkULSarIui9qTbQ" TargetMode="External"/><Relationship Id="rId2202" Type="http://schemas.openxmlformats.org/officeDocument/2006/relationships/hyperlink" Target="https://www.google.com/url?q=https://github.com/peon-pasado/CompetitiveProgramming/blob/master/szkoput/POI-14-Bricks.cpp&amp;sa=D&amp;ust=1605639816627000&amp;usg=AFQjCNHvS9Rwuic5Lgv9_Z8OYHJUDAo09Q" TargetMode="External"/><Relationship Id="rId2854" Type="http://schemas.openxmlformats.org/officeDocument/2006/relationships/hyperlink" Target="https://www.google.com/url?q=https://github.com/mostafa-saad/MyCompetitiveProgramming/blob/master/Olympiad/POI/official/find_editorial_sols_guidelines.txt&amp;sa=D&amp;ust=1605639816818000&amp;usg=AFQjCNE_72oPso_iOZcvObtUQlp9vjP-hA" TargetMode="External"/><Relationship Id="rId95" Type="http://schemas.openxmlformats.org/officeDocument/2006/relationships/hyperlink" Target="https://www.google.com/url?q=http://usaco.org/index.php?page%3Dviewproblem2%26cpid%3D793&amp;sa=D&amp;ust=1605639815520000&amp;usg=AFQjCNGHj33ij0OwjZwwcLahA6voZSRlCw" TargetMode="External"/><Relationship Id="rId826" Type="http://schemas.openxmlformats.org/officeDocument/2006/relationships/hyperlink" Target="https://www.google.com/url?q=https://dmoj.ca/problem/coci08c6p6&amp;sa=D&amp;ust=1605639816008000&amp;usg=AFQjCNHFtb7o4cwQQDCtvhVPAXDBBgJiPA" TargetMode="External"/><Relationship Id="rId1011" Type="http://schemas.openxmlformats.org/officeDocument/2006/relationships/hyperlink" Target="https://www.google.com/url?q=https://szkopul.edu.pl/problemset/problem/YPme8cPuC1zbS3oA0euLxywx/site/&amp;sa=D&amp;ust=1605639816117000&amp;usg=AFQjCNEap5iD6iAPUbVNUJRnHHpOCUyacw" TargetMode="External"/><Relationship Id="rId1109" Type="http://schemas.openxmlformats.org/officeDocument/2006/relationships/hyperlink" Target="https://www.google.com/url?q=https://oj.uz/problem/view/BOI13_brunhilda&amp;sa=D&amp;ust=1605639816200000&amp;usg=AFQjCNGCllhYbut2j8NFZDCakvw_W96O_w" TargetMode="External"/><Relationship Id="rId1456" Type="http://schemas.openxmlformats.org/officeDocument/2006/relationships/hyperlink" Target="https://www.google.com/url?q=https://joisc2014.contest.atcoder.jp/tasks/joisc2014_d&amp;sa=D&amp;ust=1605639816381000&amp;usg=AFQjCNFh8WoOXdh2k-kF1sE0WOKpU-GTVg" TargetMode="External"/><Relationship Id="rId1663" Type="http://schemas.openxmlformats.org/officeDocument/2006/relationships/hyperlink" Target="https://www.google.com/url?q=https://dmoj.ca/problem/coi06p1&amp;sa=D&amp;ust=1605639816449000&amp;usg=AFQjCNG_F9fi8GHLWVfQSB_WZiVotD6I6Q" TargetMode="External"/><Relationship Id="rId1870" Type="http://schemas.openxmlformats.org/officeDocument/2006/relationships/hyperlink" Target="https://www.google.com/url?q=https://dmoj.ca/problem/coci07c5p5&amp;sa=D&amp;ust=1605639816520000&amp;usg=AFQjCNGl_93Vy2sdtZyA-KQAYEc8kTNhOQ" TargetMode="External"/><Relationship Id="rId1968" Type="http://schemas.openxmlformats.org/officeDocument/2006/relationships/hyperlink" Target="https://www.google.com/url?q=https://oj.uz/problem/view/NOI13_gw&amp;sa=D&amp;ust=1605639816550000&amp;usg=AFQjCNHtHdQ9bIf_PZf9eMy5PgofFTROig" TargetMode="External"/><Relationship Id="rId2507" Type="http://schemas.openxmlformats.org/officeDocument/2006/relationships/hyperlink" Target="https://www.google.com/url?q=https://github.com/mostafa-saad/MyCompetitiveProgramming/blob/master/Olympiad/NOI/official&amp;sa=D&amp;ust=1605639816721000&amp;usg=AFQjCNEQP8taivQRmc9mZ8rQ7bzP5F4g4Q" TargetMode="External"/><Relationship Id="rId2714" Type="http://schemas.openxmlformats.org/officeDocument/2006/relationships/hyperlink" Target="https://www.google.com/url?q=https://dunjudge.me/analysis/problems/721/&amp;sa=D&amp;ust=1605639816771000&amp;usg=AFQjCNGYeeotIuIbiCNY1MvALnjhyZkFJg" TargetMode="External"/><Relationship Id="rId2921" Type="http://schemas.openxmlformats.org/officeDocument/2006/relationships/hyperlink" Target="https://www.google.com/url?q=https://wcipeg.com/problem/ioi1401&amp;sa=D&amp;ust=1605639816849000&amp;usg=AFQjCNEf-KWBLycFTN61Aq8Vq1zZ2MONLw" TargetMode="External"/><Relationship Id="rId1316" Type="http://schemas.openxmlformats.org/officeDocument/2006/relationships/hyperlink" Target="https://www.google.com/url?q=https://github.com/MetalBall887/Competitive-Programming/blob/master/Olympiad/CEOI/CEOI%252009-Logs.cpp&amp;sa=D&amp;ust=1605639816317000&amp;usg=AFQjCNGGiw3r3c7rqMHDR5VhLTDtuQaZuw" TargetMode="External"/><Relationship Id="rId1523" Type="http://schemas.openxmlformats.org/officeDocument/2006/relationships/hyperlink" Target="https://www.google.com/url?q=https://github.com/mostafa-saad/MyCompetitiveProgramming/blob/master/Olympiad/IOI/official/2011&amp;sa=D&amp;ust=1605639816407000&amp;usg=AFQjCNHlNg49ot65WTFAScDy_Z6kcFOqsg" TargetMode="External"/><Relationship Id="rId1730" Type="http://schemas.openxmlformats.org/officeDocument/2006/relationships/hyperlink" Target="https://www.google.com/url?q=https://dunjudge.me/analysis/problems/1824/&amp;sa=D&amp;ust=1605639816470000&amp;usg=AFQjCNHbZeNkGdCYTUrnAXsHmcoGE8GkHg" TargetMode="External"/><Relationship Id="rId22" Type="http://schemas.openxmlformats.org/officeDocument/2006/relationships/hyperlink" Target="https://www.google.com/url?q=https://codeforces.com/contest/1192/problem/A&amp;sa=D&amp;ust=1605639815493000&amp;usg=AFQjCNHd1Cq_hKfTCc-iePn0Xb5IWTGP2g" TargetMode="External"/><Relationship Id="rId1828" Type="http://schemas.openxmlformats.org/officeDocument/2006/relationships/hyperlink" Target="https://www.google.com/url?q=https://dunjudge.me/analysis/problems/727/&amp;sa=D&amp;ust=1605639816507000&amp;usg=AFQjCNEe24e7HFGNO3CrLtZzU-BGmfKMzw" TargetMode="External"/><Relationship Id="rId171" Type="http://schemas.openxmlformats.org/officeDocument/2006/relationships/hyperlink" Target="https://www.google.com/url?q=https://joisc2016.contest.atcoder.jp/tasks/joisc2016_g&amp;sa=D&amp;ust=1605639815542000&amp;usg=AFQjCNHkZVStjtkN8EQj2sMcrs2gjfJUJQ" TargetMode="External"/><Relationship Id="rId2297" Type="http://schemas.openxmlformats.org/officeDocument/2006/relationships/hyperlink" Target="https://www.google.com/url?q=https://github.com/sofhiasouza/CompetitiveProgramming/blob/master/POI/cash.cpp&amp;sa=D&amp;ust=1605639816651000&amp;usg=AFQjCNG4weBnUvTHu4-NwfqueRzSnpeS1g" TargetMode="External"/><Relationship Id="rId269" Type="http://schemas.openxmlformats.org/officeDocument/2006/relationships/hyperlink" Target="https://www.google.com/url?q=https://github.com/mostafa-saad/MyCompetitiveProgramming/blob/master/Olympiad/COCI/official/2010/contest2_solutions&amp;sa=D&amp;ust=1605639815569000&amp;usg=AFQjCNHyyJ4ivhgrwPyWhiNnrqHLmTi5ug" TargetMode="External"/><Relationship Id="rId476" Type="http://schemas.openxmlformats.org/officeDocument/2006/relationships/hyperlink" Target="https://www.google.com/url?q=https://github.com/tmwilliamlin168/CompetitiveProgramming/blob/master/CEOI/13-Adriatic.cpp&amp;sa=D&amp;ust=1605639815674000&amp;usg=AFQjCNETM01U9D5oy9gHO8JXAsmrx_c7EQ" TargetMode="External"/><Relationship Id="rId683" Type="http://schemas.openxmlformats.org/officeDocument/2006/relationships/hyperlink" Target="https://www.google.com/url?q=https://szkopul.edu.pl/problemset/problem/RLQLNV4gL3Y22K9B2GgEMQIj/site/&amp;sa=D&amp;ust=1605639815929000&amp;usg=AFQjCNHtSXl7YYyYxA4tkdoQCN5vUXm-nw" TargetMode="External"/><Relationship Id="rId890" Type="http://schemas.openxmlformats.org/officeDocument/2006/relationships/hyperlink" Target="https://www.google.com/url?q=https://csacademy.com/contest/round-78/task/count-bst/&amp;sa=D&amp;ust=1605639816079000&amp;usg=AFQjCNGG3H6o1QbmV_mNL1aDAVgnnsI9eQ" TargetMode="External"/><Relationship Id="rId2157" Type="http://schemas.openxmlformats.org/officeDocument/2006/relationships/hyperlink" Target="https://www.google.com/url?q=https://github.com/mostafa-saad/MyCompetitiveProgramming/tree/master/Olympiad/COCI/official/2008/contest4_solutions&amp;sa=D&amp;ust=1605639816613000&amp;usg=AFQjCNHHKuE4JaM1gdc_opuPFNP6mIhNvw" TargetMode="External"/><Relationship Id="rId2364" Type="http://schemas.openxmlformats.org/officeDocument/2006/relationships/hyperlink" Target="https://www.google.com/url?q=https://github.com/SpeedOfMagic/CompetitiveProgramming/blob/master/CEOI/CEOI%252012-Jobs.cpp&amp;sa=D&amp;ust=1605639816670000&amp;usg=AFQjCNHi0qPINV19pnEbuJNyS4u4LFE7TA" TargetMode="External"/><Relationship Id="rId2571" Type="http://schemas.openxmlformats.org/officeDocument/2006/relationships/hyperlink" Target="https://www.google.com/url?q=https://github.com/tmwilliamlin168/CompetitiveProgramming/tree/master/JOI&amp;sa=D&amp;ust=1605639816737000&amp;usg=AFQjCNFxJq1lD27U0TNmm8nlDdwWel_lTA" TargetMode="External"/><Relationship Id="rId129" Type="http://schemas.openxmlformats.org/officeDocument/2006/relationships/hyperlink" Target="https://www.google.com/url?q=https://oj.uz/problem/view/JOI19_meetings&amp;sa=D&amp;ust=1605639815530000&amp;usg=AFQjCNGQQwiUrVzi2-2sU63gynfn799ISA" TargetMode="External"/><Relationship Id="rId336" Type="http://schemas.openxmlformats.org/officeDocument/2006/relationships/hyperlink" Target="https://www.google.com/url?q=https://github.com/mostafa-saad/MyCompetitiveProgramming/blob/master/Olympiad/JOI/JOIOC-17-bulldozer.txt&amp;sa=D&amp;ust=1605639815592000&amp;usg=AFQjCNFa8TaHql-078qpJtz8fOiQf7Orcg" TargetMode="External"/><Relationship Id="rId543" Type="http://schemas.openxmlformats.org/officeDocument/2006/relationships/hyperlink" Target="https://www.google.com/url?q=https://github.com/mostafa-saad/MyCompetitiveProgramming/blob/master/Olympiad/COCI/COCI-17-sirni.txt&amp;sa=D&amp;ust=1605639815879000&amp;usg=AFQjCNFYC3wRy_U3mb4wDh72T4EhHNGYqw" TargetMode="External"/><Relationship Id="rId988" Type="http://schemas.openxmlformats.org/officeDocument/2006/relationships/hyperlink" Target="https://www.google.com/url?q=https://github.com/mostafa-saad/MyCompetitiveProgramming/blob/master/Olympiad/CEOI/CEOI-02-Fence.txt&amp;sa=D&amp;ust=1605639816110000&amp;usg=AFQjCNH0mWrZ_1NqcGnsxQL9Mjr8Nkz_Ow" TargetMode="External"/><Relationship Id="rId1173" Type="http://schemas.openxmlformats.org/officeDocument/2006/relationships/hyperlink" Target="https://www.google.com/url?q=https://oj.uz/problem/view/APIO14_sequence&amp;sa=D&amp;ust=1605639816218000&amp;usg=AFQjCNFRE-ZhyNrB1uBRUL4F3E31blpFvw" TargetMode="External"/><Relationship Id="rId1380" Type="http://schemas.openxmlformats.org/officeDocument/2006/relationships/hyperlink" Target="https://www.google.com/url?q=http://usaco.org/index.php?page%3Dviewproblem2%26cpid%3D770&amp;sa=D&amp;ust=1605639816340000&amp;usg=AFQjCNFEq3d8NopxieTWbHyTjYsxuEHTIA" TargetMode="External"/><Relationship Id="rId2017" Type="http://schemas.openxmlformats.org/officeDocument/2006/relationships/hyperlink" Target="https://www.google.com/url?q=https://oj.uz/problem/view/COCI16_prosjecni&amp;sa=D&amp;ust=1605639816564000&amp;usg=AFQjCNEP-qyVh0tM6oHCe-3o_sux68oCBA" TargetMode="External"/><Relationship Id="rId2224" Type="http://schemas.openxmlformats.org/officeDocument/2006/relationships/hyperlink" Target="https://www.google.com/url?q=https://dunjudge.me/analysis/problems/150/&amp;sa=D&amp;ust=1605639816633000&amp;usg=AFQjCNGZkkp7jsocagEjC3sz_iKlnkHIew" TargetMode="External"/><Relationship Id="rId2669" Type="http://schemas.openxmlformats.org/officeDocument/2006/relationships/hyperlink" Target="https://www.google.com/url?q=https://github.com/mostafa-saad/MyCompetitiveProgramming/blob/master/Olympiad/IOI/official/2000&amp;sa=D&amp;ust=1605639816758000&amp;usg=AFQjCNHWZ05_Oz0BPR2-GX9Xdj4CJxyGqg" TargetMode="External"/><Relationship Id="rId2876" Type="http://schemas.openxmlformats.org/officeDocument/2006/relationships/hyperlink" Target="https://www.google.com/url?q=https://szkopul.edu.pl/problemset/problem/KkN5UonnNGIG3AuMqoI6xr62/site/&amp;sa=D&amp;ust=1605639816825000&amp;usg=AFQjCNFL83NEevbYCa38dnZU1VHgEi7Z0w" TargetMode="External"/><Relationship Id="rId403" Type="http://schemas.openxmlformats.org/officeDocument/2006/relationships/hyperlink" Target="https://www.google.com/url?q=https://github.com/mostafa-saad/MyCompetitiveProgramming/blob/master/Olympiad/JOI/JOISC-17-arranging_tickets.txt&amp;sa=D&amp;ust=1605639815618000&amp;usg=AFQjCNFgwgY7vKlzIgaTiZnE_ui4taLG-Q" TargetMode="External"/><Relationship Id="rId750" Type="http://schemas.openxmlformats.org/officeDocument/2006/relationships/hyperlink" Target="https://www.google.com/url?q=http://usaco.org/index.php?page%3Dviewproblem2%26cpid%3D194&amp;sa=D&amp;ust=1605639815981000&amp;usg=AFQjCNHn2DtEK7pl9RteZEL-LNzSgQcK0A" TargetMode="External"/><Relationship Id="rId848" Type="http://schemas.openxmlformats.org/officeDocument/2006/relationships/hyperlink" Target="https://www.google.com/url?q=https://github.com/thecodingwizard/competitive-programming/blob/master/USACO/2016feb/plat/cbarn.cpp&amp;sa=D&amp;ust=1605639816016000&amp;usg=AFQjCNHy_GOBdbXx790xBS5YOKNcBaIckQ" TargetMode="External"/><Relationship Id="rId1033" Type="http://schemas.openxmlformats.org/officeDocument/2006/relationships/hyperlink" Target="https://www.google.com/url?q=https://oj.uz/problem/view/BOI15_hac&amp;sa=D&amp;ust=1605639816173000&amp;usg=AFQjCNHm_vZ9DotZwDCcDA07KpBW6NCgxA" TargetMode="External"/><Relationship Id="rId1478" Type="http://schemas.openxmlformats.org/officeDocument/2006/relationships/hyperlink" Target="https://www.google.com/url?q=https://github.com/stefdasca/CompetitiveProgramming/blob/master/Infoarena/struti.cpp&amp;sa=D&amp;ust=1605639816391000&amp;usg=AFQjCNHFF8hIeQHw37vr0D5TeoXomIq1qg" TargetMode="External"/><Relationship Id="rId1685" Type="http://schemas.openxmlformats.org/officeDocument/2006/relationships/hyperlink" Target="https://www.google.com/url?q=https://github.com/SpeedOfMagic/CompetitiveProgramming/blob/master/POI/96-kod.cpp&amp;sa=D&amp;ust=1605639816454000&amp;usg=AFQjCNFxA39F9uuc3XxWc9A9kJm_TSbMMA" TargetMode="External"/><Relationship Id="rId1892" Type="http://schemas.openxmlformats.org/officeDocument/2006/relationships/hyperlink" Target="https://www.google.com/url?q=https://oj.uz/problem/view/IOI13_cave&amp;sa=D&amp;ust=1605639816528000&amp;usg=AFQjCNH6QmsYr0MRRlHycjknWf1qYfIPdw" TargetMode="External"/><Relationship Id="rId2431" Type="http://schemas.openxmlformats.org/officeDocument/2006/relationships/hyperlink" Target="https://www.google.com/url?q=https://szkopul.edu.pl/problemset/problem/r6tMTfvQFPAEfQioYMCQndQe/site/&amp;sa=D&amp;ust=1605639816695000&amp;usg=AFQjCNGu2pLSNjYBHn3fw7d2piKtUy6QiQ" TargetMode="External"/><Relationship Id="rId2529" Type="http://schemas.openxmlformats.org/officeDocument/2006/relationships/hyperlink" Target="https://www.google.com/url?q=https://szkopul.edu.pl/problemset/problem/E4CCHJSbYzxeGWXMnBZHkPnm/site/&amp;sa=D&amp;ust=1605639816728000&amp;usg=AFQjCNEdbSX5gRgxyjqKpada2AuSJVZsjA" TargetMode="External"/><Relationship Id="rId2736" Type="http://schemas.openxmlformats.org/officeDocument/2006/relationships/hyperlink" Target="https://www.google.com/url?q=https://dmoj.ca/problem/coci14c7p1&amp;sa=D&amp;ust=1605639816780000&amp;usg=AFQjCNET-NEVkjRriElp6QZRj98IBmz1zQ" TargetMode="External"/><Relationship Id="rId610" Type="http://schemas.openxmlformats.org/officeDocument/2006/relationships/hyperlink" Target="https://www.google.com/url?q=https://www.infoarena.ro/problema/unique&amp;sa=D&amp;ust=1605639815903000&amp;usg=AFQjCNER_SKY0yCJywCF3alSXxbMTkg6FQ" TargetMode="External"/><Relationship Id="rId708" Type="http://schemas.openxmlformats.org/officeDocument/2006/relationships/hyperlink" Target="https://www.google.com/url?q=https://szkopul.edu.pl/problemset/problem/L_1w_HVIsvm4fBksvCo7fYJT/site/&amp;sa=D&amp;ust=1605639815965000&amp;usg=AFQjCNGW92O9cfGO2_4_T1GHAvOMyjn71A" TargetMode="External"/><Relationship Id="rId915" Type="http://schemas.openxmlformats.org/officeDocument/2006/relationships/hyperlink" Target="https://www.google.com/url?q=https://cses.fi/188/list/&amp;sa=D&amp;ust=1605639816088000&amp;usg=AFQjCNEghoUoupCSJ7W2dES_8JhwR-BKvw" TargetMode="External"/><Relationship Id="rId1240" Type="http://schemas.openxmlformats.org/officeDocument/2006/relationships/hyperlink" Target="https://www.google.com/url?q=https://github.com/tmwilliamlin168/CompetitiveProgramming/blob/master/IZhO/14-Shymbulak.cpp&amp;sa=D&amp;ust=1605639816290000&amp;usg=AFQjCNE8tZ--Y1KQWbjhmcTC4mb7Iv4fGA" TargetMode="External"/><Relationship Id="rId1338" Type="http://schemas.openxmlformats.org/officeDocument/2006/relationships/hyperlink" Target="https://www.google.com/url?q=https://szkopul.edu.pl/portal/problemset_eng/oi/21&amp;sa=D&amp;ust=1605639816325000&amp;usg=AFQjCNGGQK5g180YoC-jJSVEKju-37i7NA" TargetMode="External"/><Relationship Id="rId1545" Type="http://schemas.openxmlformats.org/officeDocument/2006/relationships/hyperlink" Target="https://www.google.com/url?q=https://github.com/mostafa-saad/MyCompetitiveProgramming/blob/master/Olympiad/IOI/IOI-08-linear.txt&amp;sa=D&amp;ust=1605639816414000&amp;usg=AFQjCNELdfJHKfb_Qsn65FA7ckB2S55IuQ" TargetMode="External"/><Relationship Id="rId2943" Type="http://schemas.openxmlformats.org/officeDocument/2006/relationships/hyperlink" Target="https://www.google.com/url?q=https://dunjudge.me/analysis/problems/187/&amp;sa=D&amp;ust=1605639816875000&amp;usg=AFQjCNEAPBWZ1Aw3WCewKIOcY6SWR91j9Q" TargetMode="External"/><Relationship Id="rId1100" Type="http://schemas.openxmlformats.org/officeDocument/2006/relationships/hyperlink" Target="https://www.google.com/url?q=https://github.com/mostafa-saad/MyCompetitiveProgramming/blob/master/Olympiad/IZhO/IZhO-12-biochips.txt&amp;sa=D&amp;ust=1605639816197000&amp;usg=AFQjCNGykDSZHr5ZOnNE-3hQEVL8O3SBaw" TargetMode="External"/><Relationship Id="rId1405" Type="http://schemas.openxmlformats.org/officeDocument/2006/relationships/hyperlink" Target="https://www.google.com/url?q=https://www.infoarena.ro/problema/identice&amp;sa=D&amp;ust=1605639816348000&amp;usg=AFQjCNG8sCMqil9tUGmu9R_YIWfOFCCEmQ" TargetMode="External"/><Relationship Id="rId1752" Type="http://schemas.openxmlformats.org/officeDocument/2006/relationships/hyperlink" Target="https://www.google.com/url?q=https://www.acmicpc.net/category/94&amp;sa=D&amp;ust=1605639816477000&amp;usg=AFQjCNHAqyj1nqx9womRVpU8ZMmKiPp3Ew" TargetMode="External"/><Relationship Id="rId2803" Type="http://schemas.openxmlformats.org/officeDocument/2006/relationships/hyperlink" Target="https://www.google.com/url?q=https://github.com/mostafa-saad/MyCompetitiveProgramming/blob/master/Olympiad/COCI/official/2010/contest2_solutions&amp;sa=D&amp;ust=1605639816803000&amp;usg=AFQjCNGhFOSjrThocRHYzon4NToabMJytw" TargetMode="External"/><Relationship Id="rId44" Type="http://schemas.openxmlformats.org/officeDocument/2006/relationships/hyperlink" Target="https://www.google.com/url?q=https://github.com/mostafa-saad/MyCompetitiveProgramming/blob/master/Olympiad/POI/official/find_editorial_sols_guidelines.txt&amp;sa=D&amp;ust=1605639815500000&amp;usg=AFQjCNEusxcnBUwWO2b5o0XZYPF6w9ZChA" TargetMode="External"/><Relationship Id="rId1612" Type="http://schemas.openxmlformats.org/officeDocument/2006/relationships/hyperlink" Target="https://www.google.com/url?q=https://github.com/mostafa-saad/MyCompetitiveProgramming/blob/master/Olympiad/JOI/JOISC-18-library.txt&amp;sa=D&amp;ust=1605639816435000&amp;usg=AFQjCNHpoqI-x3AyrfrfvxIWJxtrGKDw-Q" TargetMode="External"/><Relationship Id="rId1917" Type="http://schemas.openxmlformats.org/officeDocument/2006/relationships/hyperlink" Target="https://www.google.com/url?q=https://github.com/mostafa-saad/MyCompetitiveProgramming/blob/master/Olympiad/COCI/official/2014/contest5_solutions&amp;sa=D&amp;ust=1605639816535000&amp;usg=AFQjCNF3XvFFxX-jlgC-wRCmnnBzY5pj2w" TargetMode="External"/><Relationship Id="rId193" Type="http://schemas.openxmlformats.org/officeDocument/2006/relationships/hyperlink" Target="https://www.google.com/url?q=https://codeforces.com/blog/entry/58433&amp;sa=D&amp;ust=1605639815548000&amp;usg=AFQjCNEtxKi9SRUC83DsRvX31JPfysLw1Q" TargetMode="External"/><Relationship Id="rId498" Type="http://schemas.openxmlformats.org/officeDocument/2006/relationships/hyperlink" Target="https://www.google.com/url?q=https://github.com/stefdasca/CompetitiveProgramming/blob/master/Infoarena/drumuri5.cpp&amp;sa=D&amp;ust=1605639815681000&amp;usg=AFQjCNGPKJXViWpHMFEvxbQ7UWULhnH1-Q" TargetMode="External"/><Relationship Id="rId2081" Type="http://schemas.openxmlformats.org/officeDocument/2006/relationships/hyperlink" Target="https://www.google.com/url?q=https://github.com/mostafa-saad/MyCompetitiveProgramming/blob/master/Olympiad/POI/official/find_editorial_sols_guidelines.txt&amp;sa=D&amp;ust=1605639816589000&amp;usg=AFQjCNEH3aCqR9Un1xqS4x5DqQ3Us99jjA" TargetMode="External"/><Relationship Id="rId2179" Type="http://schemas.openxmlformats.org/officeDocument/2006/relationships/hyperlink" Target="https://www.google.com/url?q=https://github.com/mostafa-saad/MyCompetitiveProgramming/blob/master/Olympiad/POI/official/find_editorial_sols_guidelines.txt&amp;sa=D&amp;ust=1605639816620000&amp;usg=AFQjCNGRRtYJnOqxEckiqlx6JCWys2jSUw" TargetMode="External"/><Relationship Id="rId260" Type="http://schemas.openxmlformats.org/officeDocument/2006/relationships/hyperlink" Target="https://www.google.com/url?q=https://cses.fi/99/list/&amp;sa=D&amp;ust=1605639815565000&amp;usg=AFQjCNH2QeyHnAHBJvWDEtqBEVOwhNHKoA" TargetMode="External"/><Relationship Id="rId2386" Type="http://schemas.openxmlformats.org/officeDocument/2006/relationships/hyperlink" Target="https://www.google.com/url?q=https://oj.uz/problem/view/IOI17_cup&amp;sa=D&amp;ust=1605639816678000&amp;usg=AFQjCNG7JNvtbgSW7gjRuMnZeml3aAauvg" TargetMode="External"/><Relationship Id="rId2593" Type="http://schemas.openxmlformats.org/officeDocument/2006/relationships/hyperlink" Target="https://www.google.com/url?q=https://oj.uz/problem/view/COCI17_savrsen&amp;sa=D&amp;ust=1605639816742000&amp;usg=AFQjCNF9AxPizL7BTpNtjkLDLi0v8LKQtQ" TargetMode="External"/><Relationship Id="rId120" Type="http://schemas.openxmlformats.org/officeDocument/2006/relationships/hyperlink" Target="https://www.google.com/url?q=https://oj.uz/problem/view/JOI19_antennas&amp;sa=D&amp;ust=1605639815528000&amp;usg=AFQjCNFN0pJXwBp4MzWp-HTrALSxkHpZUg" TargetMode="External"/><Relationship Id="rId358" Type="http://schemas.openxmlformats.org/officeDocument/2006/relationships/hyperlink" Target="https://www.google.com/url?q=https://github.com/mostafa-saad/MyCompetitiveProgramming/blob/master/Olympiad/COCI/COCI-16-zoltan.txt&amp;sa=D&amp;ust=1605639815600000&amp;usg=AFQjCNGe3PevGKMpovb5WURzzkBKvCoCwg" TargetMode="External"/><Relationship Id="rId565" Type="http://schemas.openxmlformats.org/officeDocument/2006/relationships/hyperlink" Target="https://www.google.com/url?q=https://github.com/mostafa-saad/MyCompetitiveProgramming/blob/master/Olympiad/POI/POI-12-Salaries.txt&amp;sa=D&amp;ust=1605639815888000&amp;usg=AFQjCNGX47LbHtmSvEm1-e9-VQF-pL3eig" TargetMode="External"/><Relationship Id="rId772" Type="http://schemas.openxmlformats.org/officeDocument/2006/relationships/hyperlink" Target="https://www.google.com/url?q=https://github.com/mostafa-saad/MyCompetitiveProgramming/blob/master/Olympiad/COCI/COCI-15-Nekameleoni.txt&amp;sa=D&amp;ust=1605639815988000&amp;usg=AFQjCNHBDsePye8N5MprYlzEym9kdH_LeQ" TargetMode="External"/><Relationship Id="rId1195" Type="http://schemas.openxmlformats.org/officeDocument/2006/relationships/hyperlink" Target="https://www.google.com/url?q=https://dunjudge.me/analysis/problems/753/&amp;sa=D&amp;ust=1605639816273000&amp;usg=AFQjCNEO3Cj5Po4XFlmojKG2V0406wKR3Q" TargetMode="External"/><Relationship Id="rId2039" Type="http://schemas.openxmlformats.org/officeDocument/2006/relationships/hyperlink" Target="https://www.google.com/url?q=https://dmoj.ca/problem/dmpg15s5&amp;sa=D&amp;ust=1605639816573000&amp;usg=AFQjCNFG1p98ix7VOd0Q_5S6IF4KQc6ljQ" TargetMode="External"/><Relationship Id="rId2246" Type="http://schemas.openxmlformats.org/officeDocument/2006/relationships/hyperlink" Target="https://www.google.com/url?q=https://dunjudge.me/analysis/problems/962/&amp;sa=D&amp;ust=1605639816638000&amp;usg=AFQjCNGKH-KxeKJlD3Pz0zO-GvZtLQc9Lg" TargetMode="External"/><Relationship Id="rId2453" Type="http://schemas.openxmlformats.org/officeDocument/2006/relationships/hyperlink" Target="https://www.google.com/url?q=https://github.com/mostafa-saad/MyCompetitiveProgramming/blob/master/Olympiad/COCI/official/2010/contest7_solutions&amp;sa=D&amp;ust=1605639816703000&amp;usg=AFQjCNEHdGEtzT0oS0hw67YbBovTpu7hjA" TargetMode="External"/><Relationship Id="rId2660" Type="http://schemas.openxmlformats.org/officeDocument/2006/relationships/hyperlink" Target="https://www.google.com/url?q=https://contest.yandex.ru/ioi/contest/570/enter/&amp;sa=D&amp;ust=1605639816756000&amp;usg=AFQjCNHP6lx5xn2LuH-a2YXpL0hpRW2f4w" TargetMode="External"/><Relationship Id="rId2898" Type="http://schemas.openxmlformats.org/officeDocument/2006/relationships/hyperlink" Target="https://www.google.com/url?q=https://oj.uz/problem/view/COCI19_kisik&amp;sa=D&amp;ust=1605639816841000&amp;usg=AFQjCNGBTycsCLgXXmfnUbUsSXewjTO7CQ" TargetMode="External"/><Relationship Id="rId218" Type="http://schemas.openxmlformats.org/officeDocument/2006/relationships/hyperlink" Target="https://www.google.com/url?q=https://oj.uz/problem/view/IOI08_pyramid_base&amp;sa=D&amp;ust=1605639815554000&amp;usg=AFQjCNHanyvgUU4RQVVR7xZ8MX9scZIPzQ" TargetMode="External"/><Relationship Id="rId425" Type="http://schemas.openxmlformats.org/officeDocument/2006/relationships/hyperlink" Target="https://www.google.com/url?q=https://oj.uz/problem/view/IZhO18_sequence&amp;sa=D&amp;ust=1605639815626000&amp;usg=AFQjCNH3StQm8yFcQo4lfINwP6aBTjc1-w" TargetMode="External"/><Relationship Id="rId632" Type="http://schemas.openxmlformats.org/officeDocument/2006/relationships/hyperlink" Target="https://www.google.com/url?q=https://oj.uz/problem/view/IOI15_teams&amp;sa=D&amp;ust=1605639815912000&amp;usg=AFQjCNENlzniTiyl3To_2PgV33CK4_JWEg" TargetMode="External"/><Relationship Id="rId1055" Type="http://schemas.openxmlformats.org/officeDocument/2006/relationships/hyperlink" Target="https://www.google.com/url?q=https://oj.uz/problem/view/COI14_mostovi&amp;sa=D&amp;ust=1605639816180000&amp;usg=AFQjCNHygyKcRuzEeYSMMhqkMxCjOcJBeg" TargetMode="External"/><Relationship Id="rId1262" Type="http://schemas.openxmlformats.org/officeDocument/2006/relationships/hyperlink" Target="https://www.google.com/url?q=https://github.com/mostafa-saad/MyCompetitiveProgramming/blob/master/Olympiad/COCI/COCI-18-pictionary.txt&amp;sa=D&amp;ust=1605639816298000&amp;usg=AFQjCNEe-Z7O_Dif1npkAvBoikHSK-v3Og" TargetMode="External"/><Relationship Id="rId2106" Type="http://schemas.openxmlformats.org/officeDocument/2006/relationships/hyperlink" Target="https://www.google.com/url?q=http://usaco.org/index.php?page%3Dviewproblem2%26cpid%3D102&amp;sa=D&amp;ust=1605639816598000&amp;usg=AFQjCNFLMU4NSYtuJRpZvDFgyIXHRpGtjg" TargetMode="External"/><Relationship Id="rId2313" Type="http://schemas.openxmlformats.org/officeDocument/2006/relationships/hyperlink" Target="https://www.google.com/url?q=https://github.com/stefdasca/CompetitiveProgramming/blob/master/Infoarena/tablou.cpp&amp;sa=D&amp;ust=1605639816654000&amp;usg=AFQjCNEwxywq-yWbOtsw4QBgBRpAy5aHsw" TargetMode="External"/><Relationship Id="rId2520" Type="http://schemas.openxmlformats.org/officeDocument/2006/relationships/hyperlink" Target="https://www.google.com/url?q=https://cses.fi/231/task/B&amp;sa=D&amp;ust=1605639816726000&amp;usg=AFQjCNHUbYa4s4Vn4dzRJtmBWcLfL69QaQ" TargetMode="External"/><Relationship Id="rId2758" Type="http://schemas.openxmlformats.org/officeDocument/2006/relationships/hyperlink" Target="https://www.google.com/url?q=https://dmoj.ca/problem/coci07c5p1&amp;sa=D&amp;ust=1605639816784000&amp;usg=AFQjCNGswnaIsJkArRexaLcRBqYyNXlGzw" TargetMode="External"/><Relationship Id="rId2965" Type="http://schemas.openxmlformats.org/officeDocument/2006/relationships/hyperlink" Target="https://www.google.com/url?q=https://szkopul.edu.pl/problemset/problem/0KG8REkSLNnY5sVkm7Aei_R7/site/&amp;sa=D&amp;ust=1605639816886000&amp;usg=AFQjCNHIecJNzAf9DlGtl6xH-KNUVmf32w" TargetMode="External"/><Relationship Id="rId937" Type="http://schemas.openxmlformats.org/officeDocument/2006/relationships/hyperlink" Target="https://www.google.com/url?q=https://github.com/tmwilliamlin168/CompetitiveProgramming/blob/master/CEOI/13-Tram.cpp&amp;sa=D&amp;ust=1605639816095000&amp;usg=AFQjCNHGOdZ3E0Ej1Pigr5VbRGnJRtT0dQ" TargetMode="External"/><Relationship Id="rId1122" Type="http://schemas.openxmlformats.org/officeDocument/2006/relationships/hyperlink" Target="https://www.google.com/url?q=https://github.com/mostafa-saad/MyCompetitiveProgramming/blob/master/Olympiad/CEOI/CEOI-05-Ticket.txt&amp;sa=D&amp;ust=1605639816204000&amp;usg=AFQjCNGFYdhkw8e9SRRNI5BOSrP4LcIfzQ" TargetMode="External"/><Relationship Id="rId1567" Type="http://schemas.openxmlformats.org/officeDocument/2006/relationships/hyperlink" Target="https://www.google.com/url?q=https://csacademy.com/contest/ioi-2016-training-round-1/task/hallway&amp;sa=D&amp;ust=1605639816421000&amp;usg=AFQjCNG9s5DtSA59sHe2CH1Kf52josFezg" TargetMode="External"/><Relationship Id="rId1774" Type="http://schemas.openxmlformats.org/officeDocument/2006/relationships/hyperlink" Target="https://www.google.com/url?q=http://usaco.org/index.php?page%3Dviewproblem2%26cpid%3D285&amp;sa=D&amp;ust=1605639816486000&amp;usg=AFQjCNFPBWOM9YPg0whFnciIGQblgPoaUw" TargetMode="External"/><Relationship Id="rId1981" Type="http://schemas.openxmlformats.org/officeDocument/2006/relationships/hyperlink" Target="https://www.google.com/url?q=https://github.com/mostafa-saad/MyCompetitiveProgramming/blob/master/Olympiad/infoarena/Infoarena_vmin.txt&amp;sa=D&amp;ust=1605639816554000&amp;usg=AFQjCNG04hmod3OUtcgG9YXywEhWgBj4cw" TargetMode="External"/><Relationship Id="rId2618" Type="http://schemas.openxmlformats.org/officeDocument/2006/relationships/hyperlink" Target="https://www.google.com/url?q=https://github.com/mostafa-saad/MyCompetitiveProgramming/blob/master/Olympiad/COCI/official/2009/contest5_solutions&amp;sa=D&amp;ust=1605639816747000&amp;usg=AFQjCNF3tjv6vVqG-0p1aHDToIsH9h125w" TargetMode="External"/><Relationship Id="rId2825" Type="http://schemas.openxmlformats.org/officeDocument/2006/relationships/hyperlink" Target="https://www.google.com/url?q=https://github.com/mostafa-saad/MyCompetitiveProgramming/tree/master/Olympiad/COCI/official/2007/contest4_solutions&amp;sa=D&amp;ust=1605639816809000&amp;usg=AFQjCNGJFATHjkuwxYHm1_etqA2gWRMqZA" TargetMode="External"/><Relationship Id="rId66" Type="http://schemas.openxmlformats.org/officeDocument/2006/relationships/hyperlink" Target="https://www.google.com/url?q=https://oj.uz/problems/source/326&amp;sa=D&amp;ust=1605639815510000&amp;usg=AFQjCNFtsihgELr_zLt9cvlvhO9fzFcCnQ" TargetMode="External"/><Relationship Id="rId1427" Type="http://schemas.openxmlformats.org/officeDocument/2006/relationships/hyperlink" Target="https://www.google.com/url?q=https://github.com/mostafa-saad/MyCompetitiveProgramming/blob/master/Olympiad/Balkan/Balkan-12-balls.txt&amp;sa=D&amp;ust=1605639816370000&amp;usg=AFQjCNHf--LPBMNdz8D12_jhEJnRJnzI9w" TargetMode="External"/><Relationship Id="rId1634" Type="http://schemas.openxmlformats.org/officeDocument/2006/relationships/hyperlink" Target="https://www.google.com/url?q=https://github.com/stefdasca/CompetitiveProgramming/blob/master/Infoarena/sir3.cpp&amp;sa=D&amp;ust=1605639816441000&amp;usg=AFQjCNGS-CR_1PjpH09Nq1R0qaASUIQqjQ" TargetMode="External"/><Relationship Id="rId1841" Type="http://schemas.openxmlformats.org/officeDocument/2006/relationships/hyperlink" Target="https://www.google.com/url?q=https://training.ia-toki.org/problemsets/87/problems/445/&amp;sa=D&amp;ust=1605639816510000&amp;usg=AFQjCNFUNigp_cwjBxNNi9VJQP22v0PL6w" TargetMode="External"/><Relationship Id="rId1939" Type="http://schemas.openxmlformats.org/officeDocument/2006/relationships/hyperlink" Target="https://www.google.com/url?q=https://oj.uz/problem/view/COCI17_doktor&amp;sa=D&amp;ust=1605639816542000&amp;usg=AFQjCNFgetqjduFCzZVYjdlfo45xAYtqxQ" TargetMode="External"/><Relationship Id="rId1701" Type="http://schemas.openxmlformats.org/officeDocument/2006/relationships/hyperlink" Target="https://www.google.com/url?q=https://cses.fi/109/list/&amp;sa=D&amp;ust=1605639816459000&amp;usg=AFQjCNHGqOsc6katIEfpP9Ikml_prAep-w" TargetMode="External"/><Relationship Id="rId282" Type="http://schemas.openxmlformats.org/officeDocument/2006/relationships/hyperlink" Target="https://www.google.com/url?q=https://oj.uz/problem/view/IOI13_wombats&amp;sa=D&amp;ust=1605639815574000&amp;usg=AFQjCNExmgWF1wE239Taz9iVrqMDPDM2Gg" TargetMode="External"/><Relationship Id="rId587" Type="http://schemas.openxmlformats.org/officeDocument/2006/relationships/hyperlink" Target="https://www.google.com/url?q=https://github.com/mostafa-saad/MyCompetitiveProgramming/blob/master/Olympiad/POI/POI-16-Christmas.txt&amp;sa=D&amp;ust=1605639815896000&amp;usg=AFQjCNHfE2CBf57vDroBueQRP8sABFWlng" TargetMode="External"/><Relationship Id="rId2170" Type="http://schemas.openxmlformats.org/officeDocument/2006/relationships/hyperlink" Target="https://www.google.com/url?q=https://www.acmicpc.net/problem/1760&amp;sa=D&amp;ust=1605639816617000&amp;usg=AFQjCNE0T7Dvlg5CaNelaD03Q1gVK-gPnQ" TargetMode="External"/><Relationship Id="rId2268" Type="http://schemas.openxmlformats.org/officeDocument/2006/relationships/hyperlink" Target="https://www.google.com/url?q=https://dmoj.ca/problem/bf3hard&amp;sa=D&amp;ust=1605639816643000&amp;usg=AFQjCNFuJ9awU713-tqswQeJOsKmcVmc_A" TargetMode="External"/><Relationship Id="rId3014" Type="http://schemas.openxmlformats.org/officeDocument/2006/relationships/hyperlink" Target="https://www.google.com/url?q=https://dunjudge.me/analysis/problems/1495/&amp;sa=D&amp;ust=1605639816908000&amp;usg=AFQjCNHyxCqCctscuHTTj10GLGr1x-g6Yw" TargetMode="External"/><Relationship Id="rId8" Type="http://schemas.openxmlformats.org/officeDocument/2006/relationships/hyperlink" Target="https://www.google.com/url?q=https://oj.uz/problem/view/CEOI18_fib&amp;sa=D&amp;ust=1605639815488000&amp;usg=AFQjCNG14sDc2dV7WhfF8y3nkgQXtYWxkw" TargetMode="External"/><Relationship Id="rId142" Type="http://schemas.openxmlformats.org/officeDocument/2006/relationships/hyperlink" Target="https://www.google.com/url?q=https://github.com/tmwilliamlin168/CompetitiveProgramming/blob/master/JOI/19O-Jumps.cpp&amp;sa=D&amp;ust=1605639815533000&amp;usg=AFQjCNGH3tLUnjZRe5X3nYMeLRiG4J24Cw" TargetMode="External"/><Relationship Id="rId447" Type="http://schemas.openxmlformats.org/officeDocument/2006/relationships/hyperlink" Target="https://www.google.com/url?q=https://github.com/mostafa-saad/MyCompetitiveProgramming/blob/master/Olympiad/COI/COI-10-kamion.txt&amp;sa=D&amp;ust=1605639815634000&amp;usg=AFQjCNFN7HyZJXSwd4R4odAzGh-QiklPEA" TargetMode="External"/><Relationship Id="rId794" Type="http://schemas.openxmlformats.org/officeDocument/2006/relationships/hyperlink" Target="https://www.google.com/url?q=https://github.com/mostafa-saad/MyCompetitiveProgramming/blob/master/Olympiad/COCI/COCI-15-Endor.txt&amp;sa=D&amp;ust=1605639815996000&amp;usg=AFQjCNHS4-yeeVhroFUS3Hrcj2sZKl0TbA" TargetMode="External"/><Relationship Id="rId1077" Type="http://schemas.openxmlformats.org/officeDocument/2006/relationships/hyperlink" Target="https://www.google.com/url?q=https://infoarena.ro/problema/arb3&amp;sa=D&amp;ust=1605639816189000&amp;usg=AFQjCNEyVTH3uOyDcCpHt3BvWvBKNVxp0A" TargetMode="External"/><Relationship Id="rId2030" Type="http://schemas.openxmlformats.org/officeDocument/2006/relationships/hyperlink" Target="https://www.google.com/url?q=https://github.com/mostafa-saad/MyCompetitiveProgramming/blob/master/Olympiad/CEOI/CEOI-05-Net.txt&amp;sa=D&amp;ust=1605639816569000&amp;usg=AFQjCNEALM3unt1b85bhL-WSuIIa6uEG_Q" TargetMode="External"/><Relationship Id="rId2128" Type="http://schemas.openxmlformats.org/officeDocument/2006/relationships/hyperlink" Target="https://www.google.com/url?q=https://github.com/mostafa-saad/MyCompetitiveProgramming/blob/master/Olympiad/COCI/official/2009/contest2_solutions&amp;sa=D&amp;ust=1605639816604000&amp;usg=AFQjCNEcoTrHlkVGBIG_XPoSMGeYMl_IHw" TargetMode="External"/><Relationship Id="rId2475" Type="http://schemas.openxmlformats.org/officeDocument/2006/relationships/hyperlink" Target="https://www.google.com/url?q=https://github.com/stefdasca/CompetitiveProgramming/blob/master/Infoarena/cerc3.cpp&amp;sa=D&amp;ust=1605639816711000&amp;usg=AFQjCNFNVE2EunEv2kWneHrms_pOTpayTA" TargetMode="External"/><Relationship Id="rId2682" Type="http://schemas.openxmlformats.org/officeDocument/2006/relationships/hyperlink" Target="https://www.google.com/url?q=https://github.com/mostafa-saad/MyCompetitiveProgramming/blob/master/Olympiad/COCI/official/2015/contest5_solutions&amp;sa=D&amp;ust=1605639816761000&amp;usg=AFQjCNEiap2HtgRldmO2G_ZoDh-Xet4E9A" TargetMode="External"/><Relationship Id="rId2987" Type="http://schemas.openxmlformats.org/officeDocument/2006/relationships/hyperlink" Target="https://www.google.com/url?q=https://dunjudge.me/analysis/problems/932/&amp;sa=D&amp;ust=1605639816897000&amp;usg=AFQjCNHnwhEzyFi9I3alNAl1Cnnc6A7wwg" TargetMode="External"/><Relationship Id="rId654" Type="http://schemas.openxmlformats.org/officeDocument/2006/relationships/hyperlink" Target="https://www.google.com/url?q=https://dmoj.ca/problem/cco12p6&amp;sa=D&amp;ust=1605639815919000&amp;usg=AFQjCNGZtCbokBBzQEsjoNZweDJwZKMYXg" TargetMode="External"/><Relationship Id="rId861" Type="http://schemas.openxmlformats.org/officeDocument/2006/relationships/hyperlink" Target="https://www.google.com/url?q=https://www.infoarena.ro/problema/culmi&amp;sa=D&amp;ust=1605639816021000&amp;usg=AFQjCNFabWf0ajZtKdNmnVLxiszNQpFlow" TargetMode="External"/><Relationship Id="rId959" Type="http://schemas.openxmlformats.org/officeDocument/2006/relationships/hyperlink" Target="https://www.google.com/url?q=http://www.usaco.org/index.php?page%3Dviewproblem2%26cpid%3D996&amp;sa=D&amp;ust=1605639816101000&amp;usg=AFQjCNG9MH69UrIBpUYow-wZTH1jkOHMUg" TargetMode="External"/><Relationship Id="rId1284" Type="http://schemas.openxmlformats.org/officeDocument/2006/relationships/hyperlink" Target="https://www.google.com/url?q=https://github.com/mostafa-saad/MyCompetitiveProgramming/blob/master/Olympiad/JOI/JOIOC-18-bubblesort2.txt&amp;sa=D&amp;ust=1605639816306000&amp;usg=AFQjCNGpybrYS5znJ2W97xd_wRdNdOGS3Q" TargetMode="External"/><Relationship Id="rId1491" Type="http://schemas.openxmlformats.org/officeDocument/2006/relationships/hyperlink" Target="https://www.google.com/url?q=https://github.com/tmwilliamlin168/CompetitiveProgramming/blob/master/CEOI/18-Toy.cpp&amp;sa=D&amp;ust=1605639816395000&amp;usg=AFQjCNEgexrtNi45k9aUVMX5s-20gNVIXA" TargetMode="External"/><Relationship Id="rId1589" Type="http://schemas.openxmlformats.org/officeDocument/2006/relationships/hyperlink" Target="https://www.google.com/url?q=https://szkopul.edu.pl/problemset/problem/JyanwtKuk_ER10eZ7Yv0q72d/site/&amp;sa=D&amp;ust=1605639816428000&amp;usg=AFQjCNHZfcfYBrSqIEHjlL5l3vLZOh-sXw" TargetMode="External"/><Relationship Id="rId2335" Type="http://schemas.openxmlformats.org/officeDocument/2006/relationships/hyperlink" Target="https://www.google.com/url?q=https://www.infoarena.ro/problema/color&amp;sa=D&amp;ust=1605639816660000&amp;usg=AFQjCNHWlIDrN9Rb-9EUjvIH-zFoHQKKaQ" TargetMode="External"/><Relationship Id="rId2542" Type="http://schemas.openxmlformats.org/officeDocument/2006/relationships/hyperlink" Target="https://www.google.com/url?q=https://dunjudge.me/analysis/problems/1221/&amp;sa=D&amp;ust=1605639816731000&amp;usg=AFQjCNFTBnfW8yeLuj8eSrUVqcEuaZECcw" TargetMode="External"/><Relationship Id="rId307" Type="http://schemas.openxmlformats.org/officeDocument/2006/relationships/hyperlink" Target="https://www.google.com/url?q=https://github.com/mostafa-saad/MyCompetitiveProgramming/blob/master/Olympiad/IOI/IOIPractice-19-Job.txt&amp;sa=D&amp;ust=1605639815583000&amp;usg=AFQjCNH2dCrdYOCAJexj9oU7r3fyfCZ2dQ" TargetMode="External"/><Relationship Id="rId514" Type="http://schemas.openxmlformats.org/officeDocument/2006/relationships/hyperlink" Target="https://www.google.com/url?q=https://github.com/mostafa-saad/MyCompetitiveProgramming/blob/master/Olympiad/COCI/COCI-16-burza.txt&amp;sa=D&amp;ust=1605639815686000&amp;usg=AFQjCNHF6vW6PDxLrb4j_FeaW2C2_DD8-A" TargetMode="External"/><Relationship Id="rId721" Type="http://schemas.openxmlformats.org/officeDocument/2006/relationships/hyperlink" Target="https://www.google.com/url?q=https://github.com/mostafa-saad/MyCompetitiveProgramming/blob/master/Olympiad/COCI/COCI-14-Stanovi.txt&amp;sa=D&amp;ust=1605639815971000&amp;usg=AFQjCNHa9dw8EvEP_n8KB5NPMSFciuq6yg" TargetMode="External"/><Relationship Id="rId1144" Type="http://schemas.openxmlformats.org/officeDocument/2006/relationships/hyperlink" Target="https://www.google.com/url?q=https://tioj.ck.tp.edu.tw/problems/1742&amp;sa=D&amp;ust=1605639816211000&amp;usg=AFQjCNGJYgQnefRjWMcZFE4XnrCCy6JvHQ" TargetMode="External"/><Relationship Id="rId1351" Type="http://schemas.openxmlformats.org/officeDocument/2006/relationships/hyperlink" Target="https://www.google.com/url?q=https://github.com/MetalBall887/Competitive-Programming/blob/master/CSAcademy/ROJS%252017-cntgigelmat.cpp&amp;sa=D&amp;ust=1605639816330000&amp;usg=AFQjCNGq6WmhIZ73cUidE9LzGaTQqaMntg" TargetMode="External"/><Relationship Id="rId1449" Type="http://schemas.openxmlformats.org/officeDocument/2006/relationships/hyperlink" Target="https://www.google.com/url?q=https://oj.uz/problem/view/JOI19_lamps&amp;sa=D&amp;ust=1605639816378000&amp;usg=AFQjCNEPhBwoOwRpCG-BC8RPBQSWwtdqyw" TargetMode="External"/><Relationship Id="rId1796" Type="http://schemas.openxmlformats.org/officeDocument/2006/relationships/hyperlink" Target="https://www.google.com/url?q=https://dmoj.ca/problem/utso18p2&amp;sa=D&amp;ust=1605639816495000&amp;usg=AFQjCNEpBmTU4F9GWtZ7FdysUmnZ0ujkmg" TargetMode="External"/><Relationship Id="rId2402" Type="http://schemas.openxmlformats.org/officeDocument/2006/relationships/hyperlink" Target="https://www.google.com/url?q=https://oj.uz/problem/view/COCI19_slicice&amp;sa=D&amp;ust=1605639816684000&amp;usg=AFQjCNGk0OryN1WLkMxywj6efc7a0mAF0g" TargetMode="External"/><Relationship Id="rId2847" Type="http://schemas.openxmlformats.org/officeDocument/2006/relationships/hyperlink" Target="https://www.google.com/url?q=https://szkopul.edu.pl/problemset/problem/zKf5Ua8okcS0jngsrTgKVM9L/site/&amp;sa=D&amp;ust=1605639816815000&amp;usg=AFQjCNGbbihCmRYH9GAzpnOJgRgffpr6XQ" TargetMode="External"/><Relationship Id="rId88" Type="http://schemas.openxmlformats.org/officeDocument/2006/relationships/hyperlink" Target="https://www.google.com/url?q=https://dmoj.ca/problem/apio14p1&amp;sa=D&amp;ust=1605639815518000&amp;usg=AFQjCNFFzAC9IClq_0py-CIzooqfJeyUWg" TargetMode="External"/><Relationship Id="rId819" Type="http://schemas.openxmlformats.org/officeDocument/2006/relationships/hyperlink" Target="https://www.google.com/url?q=https://github.com/mostafa-saad/MyCompetitiveProgramming/blob/master/Olympiad/infoarena/infoarena_amici2.txt&amp;sa=D&amp;ust=1605639816006000&amp;usg=AFQjCNHjEAqWv2Mi2Ti8N_eCUnNXWSk0Vg" TargetMode="External"/><Relationship Id="rId1004" Type="http://schemas.openxmlformats.org/officeDocument/2006/relationships/hyperlink" Target="https://www.google.com/url?q=https://github.com/mostafa-saad/MyCompetitiveProgramming/blob/master/Olympiad/CEOI/CEOI-02-Guards.txt&amp;sa=D&amp;ust=1605639816115000&amp;usg=AFQjCNEsL8ur_TkAoeV0Z4Q96MyhhLAgMA" TargetMode="External"/><Relationship Id="rId1211" Type="http://schemas.openxmlformats.org/officeDocument/2006/relationships/hyperlink" Target="https://www.google.com/url?q=https://dunjudge.me/analysis/problems/704/&amp;sa=D&amp;ust=1605639816278000&amp;usg=AFQjCNGoNtm9GIEttmkJ_0fdDem8Bm6SFQ" TargetMode="External"/><Relationship Id="rId1656" Type="http://schemas.openxmlformats.org/officeDocument/2006/relationships/hyperlink" Target="https://www.google.com/url?q=https://github.com/mostafa-saad/MyCompetitiveProgramming/blob/master/Olympiad/COI/COI-19-segway.txt&amp;sa=D&amp;ust=1605639816446000&amp;usg=AFQjCNG-JcBrodQ8FkybBJYYn_BiFBm4xQ" TargetMode="External"/><Relationship Id="rId1863" Type="http://schemas.openxmlformats.org/officeDocument/2006/relationships/hyperlink" Target="https://www.google.com/url?q=https://cses.fi/100/list/&amp;sa=D&amp;ust=1605639816518000&amp;usg=AFQjCNFdcZ1iMQI6dAh4ZXNqBIbtoeF9kg" TargetMode="External"/><Relationship Id="rId2707" Type="http://schemas.openxmlformats.org/officeDocument/2006/relationships/hyperlink" Target="https://www.google.com/url?q=https://oj.uz/problem/view/IOI16_reverse&amp;sa=D&amp;ust=1605639816769000&amp;usg=AFQjCNEqNXT1vwyV6qUNo3yiH4oVbm7SWA" TargetMode="External"/><Relationship Id="rId2914" Type="http://schemas.openxmlformats.org/officeDocument/2006/relationships/hyperlink" Target="https://www.google.com/url?q=https://oj.uz/problem/view/info1cup18_thegrade&amp;sa=D&amp;ust=1605639816847000&amp;usg=AFQjCNExYQztVa--zSZFS32h5np2r6TE2A" TargetMode="External"/><Relationship Id="rId1309" Type="http://schemas.openxmlformats.org/officeDocument/2006/relationships/hyperlink" Target="https://www.google.com/url?q=https://wcipeg.com/problem/coci094p4&amp;sa=D&amp;ust=1605639816314000&amp;usg=AFQjCNE8FoW5tGl6Im-oyZRWZgDY04FlmQ" TargetMode="External"/><Relationship Id="rId1516" Type="http://schemas.openxmlformats.org/officeDocument/2006/relationships/hyperlink" Target="https://www.google.com/url?q=https://github.com/stefdasca/CompetitiveProgramming/blob/master/Infoarena/penal.cpp&amp;sa=D&amp;ust=1605639816405000&amp;usg=AFQjCNGA7vkyofMrHl6FkBuwovj8762MpA" TargetMode="External"/><Relationship Id="rId1723" Type="http://schemas.openxmlformats.org/officeDocument/2006/relationships/hyperlink" Target="https://www.google.com/url?q=https://github.com/Szawinis/CompetitiveProgramming/blob/master/Olympiad/JOI/JOISC19-examination.cpp&amp;sa=D&amp;ust=1605639816466000&amp;usg=AFQjCNFdrHnfyzymKsrE3oqJWOkwVKkp8w" TargetMode="External"/><Relationship Id="rId1930" Type="http://schemas.openxmlformats.org/officeDocument/2006/relationships/hyperlink" Target="https://www.google.com/url?q=https://github.com/luciocf/OI-Problems/blob/master/COCI/COCI%25202017-2018/cover.cpp&amp;sa=D&amp;ust=1605639816538000&amp;usg=AFQjCNFPtuylWs9oUixCjv0vR7TqzUHjug" TargetMode="External"/><Relationship Id="rId15" Type="http://schemas.openxmlformats.org/officeDocument/2006/relationships/hyperlink" Target="https://www.google.com/url?q=https://csacademy.com/contest/round-80/task/tournament/&amp;sa=D&amp;ust=1605639815490000&amp;usg=AFQjCNHbSV0u33vTIqgEsn8uuEzk_TaZfw" TargetMode="External"/><Relationship Id="rId2192" Type="http://schemas.openxmlformats.org/officeDocument/2006/relationships/hyperlink" Target="https://www.google.com/url?q=https://github.com/stefdasca/CompetitiveProgramming/blob/master/Infoarena/danger.cpp&amp;sa=D&amp;ust=1605639816625000&amp;usg=AFQjCNH27WQaxmLGuFv4yyj_nbqhpdqguA" TargetMode="External"/><Relationship Id="rId164" Type="http://schemas.openxmlformats.org/officeDocument/2006/relationships/hyperlink" Target="https://www.google.com/url?q=https://github.com/mostafa-saad/MyCompetitiveProgramming/tree/master/Olympiad/IOI/official/2019&amp;sa=D&amp;ust=1605639815540000&amp;usg=AFQjCNGlZ8jrPxG5vwSr0ttYJwoHKgy6Bg" TargetMode="External"/><Relationship Id="rId371" Type="http://schemas.openxmlformats.org/officeDocument/2006/relationships/hyperlink" Target="https://www.google.com/url?q=https://oj.uz/problem/view/BOI18_minmaxtree&amp;sa=D&amp;ust=1605639815606000&amp;usg=AFQjCNE-bGOgfJdUFQTfB2a4i-LpNZ9ZPA" TargetMode="External"/><Relationship Id="rId2052" Type="http://schemas.openxmlformats.org/officeDocument/2006/relationships/hyperlink" Target="https://www.google.com/url?q=https://dmoj.ca/problem/coci07c4p4&amp;sa=D&amp;ust=1605639816578000&amp;usg=AFQjCNFO8iNSr0bIT3qeCC5zrrG_2p2Amw" TargetMode="External"/><Relationship Id="rId2497" Type="http://schemas.openxmlformats.org/officeDocument/2006/relationships/hyperlink" Target="https://www.google.com/url?q=https://github.com/stefdasca/CompetitiveProgramming/blob/master/Infoarena/album2.cpp&amp;sa=D&amp;ust=1605639816718000&amp;usg=AFQjCNEX9xrxSvUTFJm300p8PyN2Kf3_BA" TargetMode="External"/><Relationship Id="rId469" Type="http://schemas.openxmlformats.org/officeDocument/2006/relationships/hyperlink" Target="https://www.google.com/url?q=https://oj.uz/problem/view/COCI17_paralelogrami&amp;sa=D&amp;ust=1605639815672000&amp;usg=AFQjCNHWM3A1Y0UpXwF8bjxgHSgWAzcNYg" TargetMode="External"/><Relationship Id="rId676" Type="http://schemas.openxmlformats.org/officeDocument/2006/relationships/hyperlink" Target="https://www.google.com/url?q=https://github.com/mostafa-saad/MyCompetitiveProgramming/blob/master/Olympiad/IOI/IOI-19-vision.txt&amp;sa=D&amp;ust=1605639815926000&amp;usg=AFQjCNHvVtlEdYYEahGyYFGoe0y147bV1g" TargetMode="External"/><Relationship Id="rId883" Type="http://schemas.openxmlformats.org/officeDocument/2006/relationships/hyperlink" Target="https://www.google.com/url?q=https://github.com/mostafa-saad/MyCompetitiveProgramming/tree/master/Olympiad/Baltic/official/boi2018_solutions&amp;sa=D&amp;ust=1605639816075000&amp;usg=AFQjCNHG-wm_2CSeGW_Vtmz7SWc1QbIFDw" TargetMode="External"/><Relationship Id="rId1099" Type="http://schemas.openxmlformats.org/officeDocument/2006/relationships/hyperlink" Target="https://www.google.com/url?q=https://oj.uz/problem/view/IZhO12_biochips&amp;sa=D&amp;ust=1605639816197000&amp;usg=AFQjCNHPbMRjcg923HuDiyx6b-s8bWPHpw" TargetMode="External"/><Relationship Id="rId2357" Type="http://schemas.openxmlformats.org/officeDocument/2006/relationships/hyperlink" Target="https://www.google.com/url?q=https://dunjudge.me/analysis/problems/273/&amp;sa=D&amp;ust=1605639816667000&amp;usg=AFQjCNEuS2970QRY4RNGUGggdYDBJITHNA" TargetMode="External"/><Relationship Id="rId2564" Type="http://schemas.openxmlformats.org/officeDocument/2006/relationships/hyperlink" Target="https://www.google.com/url?q=https://dmoj.ca/problem/coci06c1p3&amp;sa=D&amp;ust=1605639816735000&amp;usg=AFQjCNHT5I7GSSc32Yq6kPcA7hyeKMKC8Q" TargetMode="External"/><Relationship Id="rId231" Type="http://schemas.openxmlformats.org/officeDocument/2006/relationships/hyperlink" Target="https://www.google.com/url?q=https://github.com/mostafa-saad/MyCompetitiveProgramming/blob/master/Olympiad/IOI/official/2003&amp;sa=D&amp;ust=1605639815557000&amp;usg=AFQjCNFaxmzbIzawMzYL2GI3NK1VpBxT8g" TargetMode="External"/><Relationship Id="rId329" Type="http://schemas.openxmlformats.org/officeDocument/2006/relationships/hyperlink" Target="https://www.google.com/url?q=https://oj.uz/problems/source/315&amp;sa=D&amp;ust=1605639815590000&amp;usg=AFQjCNEkrUGeHkmZeGMzstYhnvun4CfQCg" TargetMode="External"/><Relationship Id="rId536" Type="http://schemas.openxmlformats.org/officeDocument/2006/relationships/hyperlink" Target="https://www.google.com/url?q=https://www.infoarena.ro/problema/ssdj&amp;sa=D&amp;ust=1605639815838000&amp;usg=AFQjCNHOI_J-7NKFcOCuI2caYYcTLNtQHw" TargetMode="External"/><Relationship Id="rId1166" Type="http://schemas.openxmlformats.org/officeDocument/2006/relationships/hyperlink" Target="https://www.google.com/url?q=https://github.com/mostafa-saad/MyCompetitiveProgramming/blob/master/Olympiad/CEOI/CEOI-04-Football.txt&amp;sa=D&amp;ust=1605639816216000&amp;usg=AFQjCNFxdl0uV6Z3MOKc6U3g4i0yADIplQ" TargetMode="External"/><Relationship Id="rId1373" Type="http://schemas.openxmlformats.org/officeDocument/2006/relationships/hyperlink" Target="https://www.google.com/url?q=https://oj.uz/problem/view/BOI12_mobile&amp;sa=D&amp;ust=1605639816336000&amp;usg=AFQjCNGu9b3hBGsEdhsVmpWsn4btOF9Keg" TargetMode="External"/><Relationship Id="rId2217" Type="http://schemas.openxmlformats.org/officeDocument/2006/relationships/hyperlink" Target="https://www.google.com/url?q=https://dmoj.ca/problem/ccc15s4&amp;sa=D&amp;ust=1605639816631000&amp;usg=AFQjCNHeTrX3nmBnYCd5bhUSDEhbduvHlw" TargetMode="External"/><Relationship Id="rId2771" Type="http://schemas.openxmlformats.org/officeDocument/2006/relationships/hyperlink" Target="https://www.google.com/url?q=https://dunjudge.me/analysis/problems/39/&amp;sa=D&amp;ust=1605639816791000&amp;usg=AFQjCNHmJU1UgYCdzSi1qmmI5bLN-KKhzQ" TargetMode="External"/><Relationship Id="rId2869" Type="http://schemas.openxmlformats.org/officeDocument/2006/relationships/hyperlink" Target="https://www.google.com/url?q=https://cses.fi/204/list/&amp;sa=D&amp;ust=1605639816823000&amp;usg=AFQjCNGL7xnRBlQvmJkFCeQBwfbO8ezy8Q" TargetMode="External"/><Relationship Id="rId743" Type="http://schemas.openxmlformats.org/officeDocument/2006/relationships/hyperlink" Target="https://www.google.com/url?q=https://github.com/mostafa-saad/MyCompetitiveProgramming/blob/master/Olympiad/POI/POI-05-Template.txt&amp;sa=D&amp;ust=1605639815978000&amp;usg=AFQjCNGfZFJuZoTdN5yKdvlRiUsDYOrJmA" TargetMode="External"/><Relationship Id="rId950" Type="http://schemas.openxmlformats.org/officeDocument/2006/relationships/hyperlink" Target="https://www.google.com/url?q=https://github.com/mostafa-saad/MyCompetitiveProgramming/tree/master/Olympiad/COI/official/2015&amp;sa=D&amp;ust=1605639816098000&amp;usg=AFQjCNG9dn9vYfee8Mnx2lfEqYvSkUSQsA" TargetMode="External"/><Relationship Id="rId1026" Type="http://schemas.openxmlformats.org/officeDocument/2006/relationships/hyperlink" Target="https://www.google.com/url?q=https://github.com/stefdasca/CompetitiveProgramming/blob/master/CEOI/CEOI%252014-cake.cpp&amp;sa=D&amp;ust=1605639816167000&amp;usg=AFQjCNEuIGJUbi80Qz0Tz2gRt8wXkmdO5g" TargetMode="External"/><Relationship Id="rId1580" Type="http://schemas.openxmlformats.org/officeDocument/2006/relationships/hyperlink" Target="https://www.google.com/url?q=https://szkopul.edu.pl/problemset/problem/lcU5m2RAICwNHsdzydb8JTQw/site/&amp;sa=D&amp;ust=1605639816425000&amp;usg=AFQjCNE51k1xSPH7mZ2saAuRhJ6R3bVGdw" TargetMode="External"/><Relationship Id="rId1678" Type="http://schemas.openxmlformats.org/officeDocument/2006/relationships/hyperlink" Target="https://www.google.com/url?q=https://szkopul.edu.pl/problemset/problem/Cs38m8lWFnOfDskXf43HR3lN/site/&amp;sa=D&amp;ust=1605639816452000&amp;usg=AFQjCNFV2IfvKCzIB8oxx82dpPvN2oiGMw" TargetMode="External"/><Relationship Id="rId1885" Type="http://schemas.openxmlformats.org/officeDocument/2006/relationships/hyperlink" Target="https://www.google.com/url?q=https://github.com/mostafa-saad/MyCompetitiveProgramming/blob/master/Olympiad/POI/official/find_editorial_sols_guidelines.txt&amp;sa=D&amp;ust=1605639816526000&amp;usg=AFQjCNGgROSSh6DOIu8v78NsCz-w-7Ir3g" TargetMode="External"/><Relationship Id="rId2424" Type="http://schemas.openxmlformats.org/officeDocument/2006/relationships/hyperlink" Target="https://www.google.com/url?q=https://github.com/mostafa-saad/MyCompetitiveProgramming/blob/master/Olympiad/COCI/official/2017/contest3_solutions&amp;sa=D&amp;ust=1605639816693000&amp;usg=AFQjCNGQFnXKWzBDs3ZkDYxh2TJyFQmrAQ" TargetMode="External"/><Relationship Id="rId2631" Type="http://schemas.openxmlformats.org/officeDocument/2006/relationships/hyperlink" Target="https://www.google.com/url?q=https://dmoj.ca/problem/coci06c4p3&amp;sa=D&amp;ust=1605639816749000&amp;usg=AFQjCNHsIBETO9jbqLLoyGKF-NcxdZtJ3Q" TargetMode="External"/><Relationship Id="rId2729" Type="http://schemas.openxmlformats.org/officeDocument/2006/relationships/hyperlink" Target="https://www.google.com/url?q=https://github.com/mostafa-saad/MyCompetitiveProgramming/blob/master/Olympiad/COCI/official/2009/regional_solutions&amp;sa=D&amp;ust=1605639816778000&amp;usg=AFQjCNFmBRUEAHdnf_BZk93nQuvRSohK5g" TargetMode="External"/><Relationship Id="rId2936" Type="http://schemas.openxmlformats.org/officeDocument/2006/relationships/hyperlink" Target="https://www.google.com/url?q=https://dunjudge.me/analysis/problems/1500/&amp;sa=D&amp;ust=1605639816872000&amp;usg=AFQjCNGppW8WFczQBGMjdspbAA_VeC_jQA" TargetMode="External"/><Relationship Id="rId603" Type="http://schemas.openxmlformats.org/officeDocument/2006/relationships/hyperlink" Target="https://www.google.com/url?q=https://github.com/mostafa-saad/MyCompetitiveProgramming/blob/master/Olympiad/Balkan/Balkan-18-popa.txt&amp;sa=D&amp;ust=1605639815901000&amp;usg=AFQjCNEmyUPmzJMlRCMlVr3FvnkNRIyXJQ" TargetMode="External"/><Relationship Id="rId810" Type="http://schemas.openxmlformats.org/officeDocument/2006/relationships/hyperlink" Target="https://www.google.com/url?q=https://oj.uz/problem/view/BOI16_park&amp;sa=D&amp;ust=1605639816002000&amp;usg=AFQjCNFweFcOimKEYjwivxxvEkJ3qG4Ydw" TargetMode="External"/><Relationship Id="rId908" Type="http://schemas.openxmlformats.org/officeDocument/2006/relationships/hyperlink" Target="https://www.google.com/url?q=https://github.com/mostafa-saad/MyCompetitiveProgramming/blob/master/Olympiad/CEOI/CEOI-16-popeala.txt&amp;sa=D&amp;ust=1605639816086000&amp;usg=AFQjCNFfzBRDY5R-4oS5NGHCpno8My8YqQ" TargetMode="External"/><Relationship Id="rId1233" Type="http://schemas.openxmlformats.org/officeDocument/2006/relationships/hyperlink" Target="https://www.google.com/url?q=https://szkopul.edu.pl/problemset/problem/APWi6y6XTt5ujve8ynI_FNJ1/site/&amp;sa=D&amp;ust=1605639816288000&amp;usg=AFQjCNFbxzGGCaMBAdS8H_m4w0jrjwh4-w" TargetMode="External"/><Relationship Id="rId1440" Type="http://schemas.openxmlformats.org/officeDocument/2006/relationships/hyperlink" Target="https://www.google.com/url?q=https://www.infoarena.ro/problema/arb2&amp;sa=D&amp;ust=1605639816374000&amp;usg=AFQjCNEgnkWJT7Fw1B4KcJZJ5qMwQwPP0w" TargetMode="External"/><Relationship Id="rId1538" Type="http://schemas.openxmlformats.org/officeDocument/2006/relationships/hyperlink" Target="https://www.google.com/url?q=https://szkopul.edu.pl/problemset/problem/fKO3YZL0f_UM1nHQNDvw7mku/site/&amp;sa=D&amp;ust=1605639816412000&amp;usg=AFQjCNGyIXPsCjtkShL3zE_R2k7Br_LL0A" TargetMode="External"/><Relationship Id="rId1300" Type="http://schemas.openxmlformats.org/officeDocument/2006/relationships/hyperlink" Target="https://www.google.com/url?q=https://github.com/mostafa-saad/MyCompetitiveProgramming/blob/master/Olympiad/Baltic/Baltic-05-Bus_Trip.txt&amp;sa=D&amp;ust=1605639816311000&amp;usg=AFQjCNGpEOds4bPvIt_yOGxzlrATV9jzGw" TargetMode="External"/><Relationship Id="rId1745" Type="http://schemas.openxmlformats.org/officeDocument/2006/relationships/hyperlink" Target="https://www.google.com/url?q=https://dmoj.ca/problem/coci06c5p6&amp;sa=D&amp;ust=1605639816475000&amp;usg=AFQjCNGx-O7oThl1NQha7UCyh5AzDEJK5w" TargetMode="External"/><Relationship Id="rId1952" Type="http://schemas.openxmlformats.org/officeDocument/2006/relationships/hyperlink" Target="https://www.google.com/url?q=https://training.ia-toki.org/problemsets/113/problems/632/&amp;sa=D&amp;ust=1605639816545000&amp;usg=AFQjCNGPXLCVPwfoC8_mFTcGiiIf_nWPbQ" TargetMode="External"/><Relationship Id="rId37" Type="http://schemas.openxmlformats.org/officeDocument/2006/relationships/hyperlink" Target="https://www.google.com/url?q=https://github.com/mostafa-saad/MyCompetitiveProgramming/blob/master/Olympiad/CEOI/official/2013&amp;sa=D&amp;ust=1605639815498000&amp;usg=AFQjCNF3otxT5LAIulmY9yifaiVocvvQPg" TargetMode="External"/><Relationship Id="rId1605" Type="http://schemas.openxmlformats.org/officeDocument/2006/relationships/hyperlink" Target="https://www.google.com/url?q=https://oj.uz/problem/view/IOI18_combo&amp;sa=D&amp;ust=1605639816433000&amp;usg=AFQjCNFVHEXbNqbesLU84t3AH-PnCaoE7A" TargetMode="External"/><Relationship Id="rId1812" Type="http://schemas.openxmlformats.org/officeDocument/2006/relationships/hyperlink" Target="https://www.google.com/url?q=https://github.com/mostafa-saad/MyCompetitiveProgramming/blob/master/Olympiad/POI/POI-15-Seals-desc.txt&amp;sa=D&amp;ust=1605639816502000&amp;usg=AFQjCNHSiB6OjOjlDS_OCP5H_BBk-3E3sQ" TargetMode="External"/><Relationship Id="rId186" Type="http://schemas.openxmlformats.org/officeDocument/2006/relationships/hyperlink" Target="https://www.google.com/url?q=https://github.com/mostafa-saad/MyCompetitiveProgramming/tree/master/Olympiad/CEOI/official/2008&amp;sa=D&amp;ust=1605639815546000&amp;usg=AFQjCNHyosg38etJmR4ofSiEkYQbNxZz_g" TargetMode="External"/><Relationship Id="rId393" Type="http://schemas.openxmlformats.org/officeDocument/2006/relationships/hyperlink" Target="https://www.google.com/url?q=https://github.com/mostafa-saad/MyCompetitiveProgramming/blob/master/Olympiad/Balkan/Balkan-11-2circles.txt&amp;sa=D&amp;ust=1605639815614000&amp;usg=AFQjCNHCgPXUR4aFUYvTRIL95CtgPrGXhQ" TargetMode="External"/><Relationship Id="rId2074" Type="http://schemas.openxmlformats.org/officeDocument/2006/relationships/hyperlink" Target="https://www.google.com/url?q=https://github.com/mostafa-saad/MyCompetitiveProgramming/blob/master/Olympiad/POI/official/find_editorial_sols_guidelines.txt&amp;sa=D&amp;ust=1605639816586000&amp;usg=AFQjCNEB3W5RGp3CWpQOMzonYGtV0Ldopw" TargetMode="External"/><Relationship Id="rId2281" Type="http://schemas.openxmlformats.org/officeDocument/2006/relationships/hyperlink" Target="https://www.google.com/url?q=https://dmoj.ca/problem/coci06c1p5&amp;sa=D&amp;ust=1605639816646000&amp;usg=AFQjCNGJxfJM2tUpNR8fp4d_AB_gV1qDOA" TargetMode="External"/><Relationship Id="rId253" Type="http://schemas.openxmlformats.org/officeDocument/2006/relationships/hyperlink" Target="https://www.google.com/url?q=https://szkopul.edu.pl/problemset/problem/4roJ2TqCXhLN6ftK2jiWKlO9/site/&amp;sa=D&amp;ust=1605639815563000&amp;usg=AFQjCNFVbsYJ3wVKsPNos1VJeBPVL9YyOg" TargetMode="External"/><Relationship Id="rId460" Type="http://schemas.openxmlformats.org/officeDocument/2006/relationships/hyperlink" Target="https://www.google.com/url?q=https://joisc2014.contest.atcoder.jp/tasks/joisc2014_i&amp;sa=D&amp;ust=1605639815670000&amp;usg=AFQjCNE3gYcIf5vWVyTElK92cnhjiqUl7A" TargetMode="External"/><Relationship Id="rId698" Type="http://schemas.openxmlformats.org/officeDocument/2006/relationships/hyperlink" Target="https://www.google.com/url?q=https://szkopul.edu.pl/problemset/problem/Grfouq9u3g_TYktFXO2sNjCU/site/&amp;sa=D&amp;ust=1605639815933000&amp;usg=AFQjCNGQ8q3hOiB9AHQJWvRsO_MKj8ieNQ" TargetMode="External"/><Relationship Id="rId1090" Type="http://schemas.openxmlformats.org/officeDocument/2006/relationships/hyperlink" Target="https://www.google.com/url?q=https://github.com/mostafa-saad/MyCompetitiveProgramming/blob/master/Olympiad/CEOI/CEOI-10-Tower.txt&amp;sa=D&amp;ust=1605639816193000&amp;usg=AFQjCNFre5N4vPGZEFp3B-LpTuhNtuCdMw" TargetMode="External"/><Relationship Id="rId2141" Type="http://schemas.openxmlformats.org/officeDocument/2006/relationships/hyperlink" Target="https://www.google.com/url?q=https://github.com/mostafa-saad/MyCompetitiveProgramming/blob/master/Olympiad/NOI/official&amp;sa=D&amp;ust=1605639816607000&amp;usg=AFQjCNGC1eP99-Kvh1yxUfRLYfRUGsrPWQ" TargetMode="External"/><Relationship Id="rId2379" Type="http://schemas.openxmlformats.org/officeDocument/2006/relationships/hyperlink" Target="https://www.google.com/url?q=https://github.com/mostafa-saad/MyCompetitiveProgramming/blob/master/Olympiad/COCI/official/2010/contest1_solutions&amp;sa=D&amp;ust=1605639816675000&amp;usg=AFQjCNGpLCc0e4j-buRQ4EaquEIvhDQ-jA" TargetMode="External"/><Relationship Id="rId2586" Type="http://schemas.openxmlformats.org/officeDocument/2006/relationships/hyperlink" Target="https://www.google.com/url?q=https://dunjudge.me/analysis/problems/265/&amp;sa=D&amp;ust=1605639816740000&amp;usg=AFQjCNH5oJ4rTbbDJMEMRuqa7lxQ0l4pEw" TargetMode="External"/><Relationship Id="rId2793" Type="http://schemas.openxmlformats.org/officeDocument/2006/relationships/hyperlink" Target="https://www.google.com/url?q=https://github.com/mostafa-saad/MyCompetitiveProgramming/blob/master/Olympiad/COCI/official/2009/contest3_solutions&amp;sa=D&amp;ust=1605639816801000&amp;usg=AFQjCNGwkvaQRrOU-umWjvikUqkG5PsEEQ" TargetMode="External"/><Relationship Id="rId113" Type="http://schemas.openxmlformats.org/officeDocument/2006/relationships/hyperlink" Target="https://www.google.com/url?q=https://oj.uz/problem/view/IOI14_rail&amp;sa=D&amp;ust=1605639815525000&amp;usg=AFQjCNHo7GjFlx2fOvp98604xGoYYCKDtQ" TargetMode="External"/><Relationship Id="rId320" Type="http://schemas.openxmlformats.org/officeDocument/2006/relationships/hyperlink" Target="https://www.google.com/url?q=https://szkopul.edu.pl/problemset/problem/ghEjb6qGVGsGk_KgYqdXZNna/site/&amp;sa=D&amp;ust=1605639815587000&amp;usg=AFQjCNEQ4_3b7wofmrjI1uZQzfwMTsYLZw" TargetMode="External"/><Relationship Id="rId558" Type="http://schemas.openxmlformats.org/officeDocument/2006/relationships/hyperlink" Target="https://www.google.com/url?q=https://szkopul.edu.pl/problemset/problem/6YiP6JA5U15hY94pLwuHoYPg/site/&amp;sa=D&amp;ust=1605639815886000&amp;usg=AFQjCNFDvJMihNU5uQnKctbmxQVLyk53hw" TargetMode="External"/><Relationship Id="rId765" Type="http://schemas.openxmlformats.org/officeDocument/2006/relationships/hyperlink" Target="https://www.google.com/url?q=https://wcipeg.com/problem/coi08p2&amp;sa=D&amp;ust=1605639815986000&amp;usg=AFQjCNEk_C_dkr8ExhGihXYSMV--BKBfHw" TargetMode="External"/><Relationship Id="rId972" Type="http://schemas.openxmlformats.org/officeDocument/2006/relationships/hyperlink" Target="https://www.google.com/url?q=https://github.com/mostafa-saad/MyCompetitiveProgramming/blob/master/Olympiad/Balkan/Balkan-11-Trapezoid.txt&amp;sa=D&amp;ust=1605639816106000&amp;usg=AFQjCNHMM0ixJEbm2-m3fFNllAT3nxJEYQ" TargetMode="External"/><Relationship Id="rId1188" Type="http://schemas.openxmlformats.org/officeDocument/2006/relationships/hyperlink" Target="https://www.google.com/url?q=https://github.com/tmwilliamlin168/CompetitiveProgramming/blob/master/POI/25-Polynomial.cpp&amp;sa=D&amp;ust=1605639816221000&amp;usg=AFQjCNFvriGMWTyiNGZEs6KDUqaefZ9xfw" TargetMode="External"/><Relationship Id="rId1395" Type="http://schemas.openxmlformats.org/officeDocument/2006/relationships/hyperlink" Target="https://www.google.com/url?q=http://usaco.org/index.php?page%3Dviewproblem2%26cpid%3D744&amp;sa=D&amp;ust=1605639816344000&amp;usg=AFQjCNETPI6HHhjlcCh1rmVTsbsegsEysQ" TargetMode="External"/><Relationship Id="rId2001" Type="http://schemas.openxmlformats.org/officeDocument/2006/relationships/hyperlink" Target="https://www.google.com/url?q=https://dmoj.ca/problem/ccc16s4&amp;sa=D&amp;ust=1605639816559000&amp;usg=AFQjCNFxRJS-PcPHl0ybsAvzCDWNoOGXhg" TargetMode="External"/><Relationship Id="rId2239" Type="http://schemas.openxmlformats.org/officeDocument/2006/relationships/hyperlink" Target="https://www.google.com/url?q=https://szkopul.edu.pl/problemset/problem/sKmyIHBMNi9EV3WO6GQ4xoFt/site/&amp;sa=D&amp;ust=1605639816637000&amp;usg=AFQjCNFHgSqSBqKqB1HlrqIM35Xpk3XNGA" TargetMode="External"/><Relationship Id="rId2446" Type="http://schemas.openxmlformats.org/officeDocument/2006/relationships/hyperlink" Target="https://www.google.com/url?q=https://oj.uz/problem/view/COCI18_alkemija&amp;sa=D&amp;ust=1605639816701000&amp;usg=AFQjCNHGmv1Xofftmg8GPg1Pc5ADTn-RqA" TargetMode="External"/><Relationship Id="rId2653" Type="http://schemas.openxmlformats.org/officeDocument/2006/relationships/hyperlink" Target="https://www.google.com/url?q=https://codeforces.com/group/R2SERIff4f/contest/213171&amp;sa=D&amp;ust=1605639816754000&amp;usg=AFQjCNFkVjzF3WwMvX_5CvIpKollxl1ULw" TargetMode="External"/><Relationship Id="rId2860" Type="http://schemas.openxmlformats.org/officeDocument/2006/relationships/hyperlink" Target="https://www.google.com/url?q=https://dunjudge.me/analysis/problems/1480/&amp;sa=D&amp;ust=1605639816820000&amp;usg=AFQjCNGs6J-1sWBRxxkdRJAQGtgdMWZ-Tg" TargetMode="External"/><Relationship Id="rId418" Type="http://schemas.openxmlformats.org/officeDocument/2006/relationships/hyperlink" Target="https://www.google.com/url?q=https://oj.uz/problem/view/COCI18_kotrljanje&amp;sa=D&amp;ust=1605639815624000&amp;usg=AFQjCNHblW6fKkIOjBTRSsc9my2g00ZQvw" TargetMode="External"/><Relationship Id="rId625" Type="http://schemas.openxmlformats.org/officeDocument/2006/relationships/hyperlink" Target="https://www.google.com/url?q=https://github.com/mostafa-saad/MyCompetitiveProgramming/blob/master/Olympiad/COCI/COCI-14-Kamioni.txt&amp;sa=D&amp;ust=1605639815909000&amp;usg=AFQjCNGD_TSgMzCSqyxpllK--y1lyl4-pA" TargetMode="External"/><Relationship Id="rId832" Type="http://schemas.openxmlformats.org/officeDocument/2006/relationships/hyperlink" Target="https://www.google.com/url?q=https://github.com/mostafa-saad/MyCompetitiveProgramming/blob/master/Olympiad/infoarena/infoarena_perioada.txt&amp;sa=D&amp;ust=1605639816010000&amp;usg=AFQjCNEtLtcT3wKxJQtHTxk9DMlVHWocDg" TargetMode="External"/><Relationship Id="rId1048" Type="http://schemas.openxmlformats.org/officeDocument/2006/relationships/hyperlink" Target="https://www.google.com/url?q=https://github.com/mostafa-saad/MyCompetitiveProgramming/blob/master/Olympiad/Balkan/Balkan-11-decrypt.txt&amp;sa=D&amp;ust=1605639816178000&amp;usg=AFQjCNFvFUznrNmTYSNrRO-RUEVIC9gCRg" TargetMode="External"/><Relationship Id="rId1255" Type="http://schemas.openxmlformats.org/officeDocument/2006/relationships/hyperlink" Target="https://www.google.com/url?q=http://usaco.org/index.php?page%3Dviewproblem2%26cpid%3D697&amp;sa=D&amp;ust=1605639816297000&amp;usg=AFQjCNF1wDBli1bAIYQxBo6fYmLoGkDfqw" TargetMode="External"/><Relationship Id="rId1462" Type="http://schemas.openxmlformats.org/officeDocument/2006/relationships/hyperlink" Target="https://www.google.com/url?q=https://joisc2016.contest.atcoder.jp/tasks/joisc2016_a&amp;sa=D&amp;ust=1605639816384000&amp;usg=AFQjCNEtuiB5-VdiV7VfA1LKvA5dU1dGYQ" TargetMode="External"/><Relationship Id="rId2306" Type="http://schemas.openxmlformats.org/officeDocument/2006/relationships/hyperlink" Target="https://www.google.com/url?q=https://dmoj.ca/problem/ioi01p1&amp;sa=D&amp;ust=1605639816653000&amp;usg=AFQjCNGyJKRSdj1_Agp_fR86DYS15cu-Gg" TargetMode="External"/><Relationship Id="rId2513" Type="http://schemas.openxmlformats.org/officeDocument/2006/relationships/hyperlink" Target="https://www.google.com/url?q=https://oj.uz/problem/view/COCI16_pohlepko&amp;sa=D&amp;ust=1605639816723000&amp;usg=AFQjCNHnubnxTh58vf50xQywpE4cODRHWQ" TargetMode="External"/><Relationship Id="rId2958" Type="http://schemas.openxmlformats.org/officeDocument/2006/relationships/hyperlink" Target="https://www.google.com/url?q=https://szkopul.edu.pl/problemset/problem/3zwfwt3ZGc2f6NndNgzS3Dfu/site/&amp;sa=D&amp;ust=1605639816882000&amp;usg=AFQjCNFmFGAJglihxvQiIS4poFcFK2uy7g" TargetMode="External"/><Relationship Id="rId1115" Type="http://schemas.openxmlformats.org/officeDocument/2006/relationships/hyperlink" Target="https://www.google.com/url?q=https://www.infoarena.ro/problema/sormin&amp;sa=D&amp;ust=1605639816202000&amp;usg=AFQjCNFxFhJpdBtqNvoL2KrRF4Ss1jcniA" TargetMode="External"/><Relationship Id="rId1322" Type="http://schemas.openxmlformats.org/officeDocument/2006/relationships/hyperlink" Target="https://www.google.com/url?q=https://github.com/mostafa-saad/MyCompetitiveProgramming/blob/master/Olympiad/Baltic/Baltic-11-Vikings.txt&amp;sa=D&amp;ust=1605639816319000&amp;usg=AFQjCNGtxRcFsHZh6blVCFzNqA1dZvjLIw" TargetMode="External"/><Relationship Id="rId1767" Type="http://schemas.openxmlformats.org/officeDocument/2006/relationships/hyperlink" Target="https://www.google.com/url?q=http://usaco.org/index.php?page%3Dviewproblem2%26cpid%3D195&amp;sa=D&amp;ust=1605639816483000&amp;usg=AFQjCNGH_vwftWVnRWbOG1YTI7OovCbV0A" TargetMode="External"/><Relationship Id="rId1974" Type="http://schemas.openxmlformats.org/officeDocument/2006/relationships/hyperlink" Target="https://www.google.com/url?q=https://dmoj.ca/problem/coci14c5p5&amp;sa=D&amp;ust=1605639816552000&amp;usg=AFQjCNHWeQSeV6s28D9JsLT9QYKsFVYahw" TargetMode="External"/><Relationship Id="rId2720" Type="http://schemas.openxmlformats.org/officeDocument/2006/relationships/hyperlink" Target="https://www.google.com/url?q=https://oj.uz/problem/view/COCI17_aron&amp;sa=D&amp;ust=1605639816774000&amp;usg=AFQjCNEAU6sMGZAuQ_SuikQmvi0Ku8lFnA" TargetMode="External"/><Relationship Id="rId2818" Type="http://schemas.openxmlformats.org/officeDocument/2006/relationships/hyperlink" Target="https://www.google.com/url?q=https://wcipeg.com/problem/coci097p2&amp;sa=D&amp;ust=1605639816806000&amp;usg=AFQjCNG3DAkJ0aYAr1eealhtsX_RcZEOmA" TargetMode="External"/><Relationship Id="rId59" Type="http://schemas.openxmlformats.org/officeDocument/2006/relationships/hyperlink" Target="https://www.google.com/url?q=https://oj.uz/problems/source/314&amp;sa=D&amp;ust=1605639815508000&amp;usg=AFQjCNFK_s5kU_k7HhvDoejAAFDhA6pGGw" TargetMode="External"/><Relationship Id="rId1627" Type="http://schemas.openxmlformats.org/officeDocument/2006/relationships/hyperlink" Target="https://www.google.com/url?q=https://www.infoarena.ro/problema/puncte&amp;sa=D&amp;ust=1605639816439000&amp;usg=AFQjCNFADnNmwT3cuH_DlUAjiDNkcl-Ncg" TargetMode="External"/><Relationship Id="rId1834" Type="http://schemas.openxmlformats.org/officeDocument/2006/relationships/hyperlink" Target="https://www.google.com/url?q=https://szkopul.edu.pl/problemset/problem/gDw3iFkeVm7ZA3j_16-XR7jI/site/&amp;sa=D&amp;ust=1605639816508000&amp;usg=AFQjCNFFOjjo8iaBhDgjJDvAGHlXApqtNw" TargetMode="External"/><Relationship Id="rId2096" Type="http://schemas.openxmlformats.org/officeDocument/2006/relationships/hyperlink" Target="https://www.google.com/url?q=http://hsin.hr/coci/archive/2011_2012/&amp;sa=D&amp;ust=1605639816595000&amp;usg=AFQjCNEVEO_QhaWmeyLsIMp1OTrt9gdbAA" TargetMode="External"/><Relationship Id="rId1901" Type="http://schemas.openxmlformats.org/officeDocument/2006/relationships/hyperlink" Target="https://www.google.com/url?q=https://www.infoarena.ro/problema/bitcost&amp;sa=D&amp;ust=1605639816530000&amp;usg=AFQjCNFaCTFnH1OE1lpa1Ju8Mr0v9DUt5A" TargetMode="External"/><Relationship Id="rId275" Type="http://schemas.openxmlformats.org/officeDocument/2006/relationships/hyperlink" Target="https://www.google.com/url?q=https://github.com/mostafa-saad/MyCompetitiveProgramming/blob/master/Olympiad/COI/COI-16-palinilap.txt&amp;sa=D&amp;ust=1605639815572000&amp;usg=AFQjCNFx_KbUmOvy1CCEzNoyY_xSg3veWQ" TargetMode="External"/><Relationship Id="rId482" Type="http://schemas.openxmlformats.org/officeDocument/2006/relationships/hyperlink" Target="https://www.google.com/url?q=https://github.com/mostafa-saad/MyCompetitiveProgramming/blob/master/Olympiad/POI/official/find_editorial_sols_guidelines.txt&amp;sa=D&amp;ust=1605639815675000&amp;usg=AFQjCNHZaOqON-mK42igpdpP8lNRXf_lIw" TargetMode="External"/><Relationship Id="rId2163" Type="http://schemas.openxmlformats.org/officeDocument/2006/relationships/hyperlink" Target="https://www.google.com/url?q=https://wcipeg.com/problem/coci097p3&amp;sa=D&amp;ust=1605639816615000&amp;usg=AFQjCNGLm0jgiOuyp4HyTmrEJvjJ1C_qBQ" TargetMode="External"/><Relationship Id="rId2370" Type="http://schemas.openxmlformats.org/officeDocument/2006/relationships/hyperlink" Target="https://www.google.com/url?q=https://github.com/mostafa-saad/MyCompetitiveProgramming/blob/master/Olympiad/NOI/official&amp;sa=D&amp;ust=1605639816672000&amp;usg=AFQjCNFS1UFYHd1VXQCrKXLXHqM4Pw1wDA" TargetMode="External"/><Relationship Id="rId3007" Type="http://schemas.openxmlformats.org/officeDocument/2006/relationships/hyperlink" Target="https://www.google.com/url?q=https://dunjudge.me/analysis/problems/592/&amp;sa=D&amp;ust=1605639816906000&amp;usg=AFQjCNGZOPd9VDVgqR4REJl2Cp_YYB-P_w" TargetMode="External"/><Relationship Id="rId135" Type="http://schemas.openxmlformats.org/officeDocument/2006/relationships/hyperlink" Target="https://www.google.com/url?q=https://oj.uz/problem/view/IZhO17_bomb&amp;sa=D&amp;ust=1605639815532000&amp;usg=AFQjCNEn51L_uph2T3PIdY5zl9LuJXhRiA" TargetMode="External"/><Relationship Id="rId342" Type="http://schemas.openxmlformats.org/officeDocument/2006/relationships/hyperlink" Target="https://www.google.com/url?q=https://github.com/mostafa-saad/MyCompetitiveProgramming/blob/master/Olympiad/Baltic/Baltic-14-sequence.txt&amp;sa=D&amp;ust=1605639815595000&amp;usg=AFQjCNGjpYkkv_PDEKeKGKaLbTJy527Zbw" TargetMode="External"/><Relationship Id="rId787" Type="http://schemas.openxmlformats.org/officeDocument/2006/relationships/hyperlink" Target="https://www.google.com/url?q=http://usaco.org/index.php?page%3Dviewproblem2%26cpid%3D211&amp;sa=D&amp;ust=1605639815994000&amp;usg=AFQjCNHEhCphIrEcO2cAJKp5HRidmREh2A" TargetMode="External"/><Relationship Id="rId994" Type="http://schemas.openxmlformats.org/officeDocument/2006/relationships/hyperlink" Target="https://www.google.com/url?q=https://github.com/mostafa-saad/MyCompetitiveProgramming/blob/master/Olympiad/POI/POI-18-Plan_Metra.txt&amp;sa=D&amp;ust=1605639816111000&amp;usg=AFQjCNEWT9vU57c8y3dG22Sel_XTcM177A" TargetMode="External"/><Relationship Id="rId2023" Type="http://schemas.openxmlformats.org/officeDocument/2006/relationships/hyperlink" Target="https://www.google.com/url?q=https://training.ia-toki.org/problemsets/3/problems/9/&amp;sa=D&amp;ust=1605639816567000&amp;usg=AFQjCNEvo2Bm_-fbA4NxW7C8MjiYJ4Lf6A" TargetMode="External"/><Relationship Id="rId2230" Type="http://schemas.openxmlformats.org/officeDocument/2006/relationships/hyperlink" Target="https://www.google.com/url?q=https://ideone.com/gbGHt9&amp;sa=D&amp;ust=1605639816635000&amp;usg=AFQjCNHnbTBNAdAepqDs8fzhA32mBGp9iw" TargetMode="External"/><Relationship Id="rId2468" Type="http://schemas.openxmlformats.org/officeDocument/2006/relationships/hyperlink" Target="https://www.google.com/url?q=https://github.com/zoooma13/Competitive-Programming/blob/master/baloni2.cpp&amp;sa=D&amp;ust=1605639816708000&amp;usg=AFQjCNHbgjjvZfX4Qvg76HrJGkR3a53qfA" TargetMode="External"/><Relationship Id="rId2675" Type="http://schemas.openxmlformats.org/officeDocument/2006/relationships/hyperlink" Target="https://www.google.com/url?q=https://github.com/mostafa-saad/MyCompetitiveProgramming/blob/master/Olympiad/COCI/official/2010/contest6_solutions&amp;sa=D&amp;ust=1605639816759000&amp;usg=AFQjCNFW6Ll6AOzKokeW351-jxGUhAdiOQ" TargetMode="External"/><Relationship Id="rId2882" Type="http://schemas.openxmlformats.org/officeDocument/2006/relationships/hyperlink" Target="https://www.google.com/url?q=https://www.acmicpc.net/problem/7080&amp;sa=D&amp;ust=1605639816828000&amp;usg=AFQjCNEKMfe7SvBiB-JkGRUDQxgl2GRL6A" TargetMode="External"/><Relationship Id="rId202" Type="http://schemas.openxmlformats.org/officeDocument/2006/relationships/hyperlink" Target="https://www.google.com/url?q=https://oj.uz/problem/view/IOI16_aliens&amp;sa=D&amp;ust=1605639815550000&amp;usg=AFQjCNErpyrSUMSscQ5jNK8rfibUgdHLMA" TargetMode="External"/><Relationship Id="rId647" Type="http://schemas.openxmlformats.org/officeDocument/2006/relationships/hyperlink" Target="https://www.google.com/url?q=https://github.com/mostafa-saad/MyCompetitiveProgramming/tree/master/Olympiad/JOI/official/JOIOC/2018&amp;sa=D&amp;ust=1605639815916000&amp;usg=AFQjCNE1aOt_qmni--mdjfTYkD3LTUH8SQ" TargetMode="External"/><Relationship Id="rId854" Type="http://schemas.openxmlformats.org/officeDocument/2006/relationships/hyperlink" Target="https://www.google.com/url?q=https://github.com/mostafa-saad/MyCompetitiveProgramming/blob/master/Olympiad/IOI/IOI-03-code.txt&amp;sa=D&amp;ust=1605639816018000&amp;usg=AFQjCNFavk1JNNt_0kf6gCTK1agNgYWArw" TargetMode="External"/><Relationship Id="rId1277" Type="http://schemas.openxmlformats.org/officeDocument/2006/relationships/hyperlink" Target="https://www.google.com/url?q=https://dunjudge.me/analysis/problems/1408/&amp;sa=D&amp;ust=1605639816302000&amp;usg=AFQjCNErv0nkDom9NjKBO_L4SF9zlRd0sw" TargetMode="External"/><Relationship Id="rId1484" Type="http://schemas.openxmlformats.org/officeDocument/2006/relationships/hyperlink" Target="https://www.google.com/url?q=https://ideone.com/iT1ggW&amp;sa=D&amp;ust=1605639816393000&amp;usg=AFQjCNEHc2uzU-Hwoueo9pHowdsWwLn6vA" TargetMode="External"/><Relationship Id="rId1691" Type="http://schemas.openxmlformats.org/officeDocument/2006/relationships/hyperlink" Target="https://www.google.com/url?q=https://github.com/mostafa-saad/MyCompetitiveProgramming/tree/master/Olympiad/CEOI/official/2003&amp;sa=D&amp;ust=1605639816456000&amp;usg=AFQjCNGSrdtvzNZldku_Gfv2Ei4w8I_7Gg" TargetMode="External"/><Relationship Id="rId2328" Type="http://schemas.openxmlformats.org/officeDocument/2006/relationships/hyperlink" Target="https://www.google.com/url?q=https://github.com/stefdasca/CompetitiveProgramming/blob/master/Infoarena/sir42.cpp&amp;sa=D&amp;ust=1605639816659000&amp;usg=AFQjCNFQHy2pSyOJi2o-tnhPpPkehCNYFQ" TargetMode="External"/><Relationship Id="rId2535" Type="http://schemas.openxmlformats.org/officeDocument/2006/relationships/hyperlink" Target="https://www.google.com/url?q=https://codeforces.com/group/swEqtABRxe/contest/243431/problem/A&amp;sa=D&amp;ust=1605639816729000&amp;usg=AFQjCNHqDlJfrmSVpfT5w-Fw2VpP7giHQg" TargetMode="External"/><Relationship Id="rId2742" Type="http://schemas.openxmlformats.org/officeDocument/2006/relationships/hyperlink" Target="https://www.google.com/url?q=https://oj.uz/problem/view/COCI17_kartomat&amp;sa=D&amp;ust=1605639816781000&amp;usg=AFQjCNFvZP7ZDAjtx5Om9v50Ay3iv4mpCQ" TargetMode="External"/><Relationship Id="rId507" Type="http://schemas.openxmlformats.org/officeDocument/2006/relationships/hyperlink" Target="https://www.google.com/url?q=https://dmoj.ca/problem/apio10p2&amp;sa=D&amp;ust=1605639815684000&amp;usg=AFQjCNHVYPGqXcVwLwWoiDYjc8Dv_cFdTQ" TargetMode="External"/><Relationship Id="rId714" Type="http://schemas.openxmlformats.org/officeDocument/2006/relationships/hyperlink" Target="https://www.google.com/url?q=https://contest.yandex.ru/ioi/contest/560/enter/&amp;sa=D&amp;ust=1605639815967000&amp;usg=AFQjCNFFtHNs3Qk-xCoqGpeyqYUp4yJo1g" TargetMode="External"/><Relationship Id="rId921" Type="http://schemas.openxmlformats.org/officeDocument/2006/relationships/hyperlink" Target="https://www.google.com/url?q=https://github.com/mostafa-saad/MyCompetitiveProgramming/blob/master/Olympiad/APIO/APIO-15-sculpture.txt&amp;sa=D&amp;ust=1605639816090000&amp;usg=AFQjCNFZN_KnMTxbeqdiikJ2N-JXo_BrCg" TargetMode="External"/><Relationship Id="rId1137" Type="http://schemas.openxmlformats.org/officeDocument/2006/relationships/hyperlink" Target="https://www.google.com/url?q=https://github.com/mostafa-saad/MyCompetitiveProgramming/blob/master/Olympiad/Balkan/Balkan-12-Fan_Groups.txt&amp;sa=D&amp;ust=1605639816209000&amp;usg=AFQjCNExfmS-d00TjJDoqg8Pts7N02i2dA" TargetMode="External"/><Relationship Id="rId1344" Type="http://schemas.openxmlformats.org/officeDocument/2006/relationships/hyperlink" Target="https://www.google.com/url?q=https://oj.uz/problem/view/IOI11_race&amp;sa=D&amp;ust=1605639816326000&amp;usg=AFQjCNEwVRiK_oT_Rhfi_rwS84ZJ1I8Sqg" TargetMode="External"/><Relationship Id="rId1551" Type="http://schemas.openxmlformats.org/officeDocument/2006/relationships/hyperlink" Target="https://www.google.com/url?q=https://cses.fi/problemset/task/1112/&amp;sa=D&amp;ust=1605639816416000&amp;usg=AFQjCNFOY0Q6jp4ORTapUVRZJtfhrUDIIg" TargetMode="External"/><Relationship Id="rId1789" Type="http://schemas.openxmlformats.org/officeDocument/2006/relationships/hyperlink" Target="https://www.google.com/url?q=https://csacademy.com/contest/ioi-2016-training-round-5/task/lights-out/&amp;sa=D&amp;ust=1605639816492000&amp;usg=AFQjCNFK-XG2Pg2UWpcsZRp8OxG3CQvTKQ" TargetMode="External"/><Relationship Id="rId1996" Type="http://schemas.openxmlformats.org/officeDocument/2006/relationships/hyperlink" Target="https://www.google.com/url?q=https://dmoj.ca/problem/coci07c1p4&amp;sa=D&amp;ust=1605639816558000&amp;usg=AFQjCNEUoBqibRXDH_OOPJRg4w4FPXqkgg" TargetMode="External"/><Relationship Id="rId2602" Type="http://schemas.openxmlformats.org/officeDocument/2006/relationships/hyperlink" Target="https://www.google.com/url?q=https://github.com/mostafa-saad/MyCompetitiveProgramming/blob/master/Olympiad/COCI/official/2009/contest3_solutions&amp;sa=D&amp;ust=1605639816744000&amp;usg=AFQjCNFw9hUQqcJlDNtptIL57N3PxjyYRg" TargetMode="External"/><Relationship Id="rId50" Type="http://schemas.openxmlformats.org/officeDocument/2006/relationships/hyperlink" Target="https://www.google.com/url?q=https://dunjudge.me/analysis/problems/801/&amp;sa=D&amp;ust=1605639815503000&amp;usg=AFQjCNHByIVEYNlduM3CtS3IaK9nWBpLNg" TargetMode="External"/><Relationship Id="rId1204" Type="http://schemas.openxmlformats.org/officeDocument/2006/relationships/hyperlink" Target="https://www.google.com/url?q=https://joisc2016.contest.atcoder.jp/tasks/joisc2016_f&amp;sa=D&amp;ust=1605639816276000&amp;usg=AFQjCNG3a-v6TIvyavPn1wkKHLYdN3hFLA" TargetMode="External"/><Relationship Id="rId1411" Type="http://schemas.openxmlformats.org/officeDocument/2006/relationships/hyperlink" Target="https://www.google.com/url?q=https://oj.uz/problem/view/IOI12_scrivener&amp;sa=D&amp;ust=1605639816351000&amp;usg=AFQjCNHENSsQn6VuwpM7lKJdSiJFBEzytQ" TargetMode="External"/><Relationship Id="rId1649" Type="http://schemas.openxmlformats.org/officeDocument/2006/relationships/hyperlink" Target="https://www.google.com/url?q=https://www.infoarena.ro/problema/peri&amp;sa=D&amp;ust=1605639816445000&amp;usg=AFQjCNGvjeU6wdK53oPRcmMNiTtaOXgt_w" TargetMode="External"/><Relationship Id="rId1856" Type="http://schemas.openxmlformats.org/officeDocument/2006/relationships/hyperlink" Target="https://www.google.com/url?q=https://contest.yandex.ru/ioi/contest/560/enter/&amp;sa=D&amp;ust=1605639816516000&amp;usg=AFQjCNHNnEvLnK4TVMqMyMRWy_K2MN_SRQ" TargetMode="External"/><Relationship Id="rId2907" Type="http://schemas.openxmlformats.org/officeDocument/2006/relationships/hyperlink" Target="https://www.google.com/url?q=https://oj.uz/problem/view/info1cup17_xorsum&amp;sa=D&amp;ust=1605639816845000&amp;usg=AFQjCNG2Qx0LLX3bQOXxJyCx7gc66eEmcQ" TargetMode="External"/><Relationship Id="rId1509" Type="http://schemas.openxmlformats.org/officeDocument/2006/relationships/hyperlink" Target="https://www.google.com/url?q=https://oj.uz/problems/source/245&amp;sa=D&amp;ust=1605639816402000&amp;usg=AFQjCNFC_evJx2GZL8-G_4lK86IlvXyI6A" TargetMode="External"/><Relationship Id="rId1716" Type="http://schemas.openxmlformats.org/officeDocument/2006/relationships/hyperlink" Target="https://www.google.com/url?q=https://github.com/stefdasca/CompetitiveProgramming/blob/master/Infoarena/aranjare.cpp&amp;sa=D&amp;ust=1605639816463000&amp;usg=AFQjCNHN-akBqROQbjOKvFO6Ap0DpQsu4A" TargetMode="External"/><Relationship Id="rId1923" Type="http://schemas.openxmlformats.org/officeDocument/2006/relationships/hyperlink" Target="https://www.google.com/url?q=https://oj.uz/problem/view/IZhO12_beauty&amp;sa=D&amp;ust=1605639816537000&amp;usg=AFQjCNFQo5jdkUZ5P1woIdTx1hRDnUroDQ" TargetMode="External"/><Relationship Id="rId297" Type="http://schemas.openxmlformats.org/officeDocument/2006/relationships/hyperlink" Target="https://www.google.com/url?q=https://github.com/mostafa-saad/MyCompetitiveProgramming/blob/master/Olympiad/POI/POI-16-Journey.txt&amp;sa=D&amp;ust=1605639815578000&amp;usg=AFQjCNGa2wKqzlhyTcp-y7hb11y1wendzQ" TargetMode="External"/><Relationship Id="rId2185" Type="http://schemas.openxmlformats.org/officeDocument/2006/relationships/hyperlink" Target="https://www.google.com/url?q=https://joisc2015.contest.atcoder.jp/tasks/joisc2015_b&amp;sa=D&amp;ust=1605639816622000&amp;usg=AFQjCNGyANfYe4-nnO1NlB25iUrvYNgAlg" TargetMode="External"/><Relationship Id="rId2392" Type="http://schemas.openxmlformats.org/officeDocument/2006/relationships/hyperlink" Target="https://www.google.com/url?q=https://codeforces.com/group/swEqtABRxe/contest/227527/problem/B&amp;sa=D&amp;ust=1605639816680000&amp;usg=AFQjCNF8E7hhRRw_RrykpW7i8q72hrtPGQ" TargetMode="External"/><Relationship Id="rId157" Type="http://schemas.openxmlformats.org/officeDocument/2006/relationships/hyperlink" Target="https://www.google.com/url?q=https://oj.uz/problem/view/IOI08_fish&amp;sa=D&amp;ust=1605639815538000&amp;usg=AFQjCNHCATkLiobb57g3o0fxtXFp0oX_ow" TargetMode="External"/><Relationship Id="rId364" Type="http://schemas.openxmlformats.org/officeDocument/2006/relationships/hyperlink" Target="https://www.google.com/url?q=https://github.com/stefdasca/CompetitiveProgramming/blob/master/Infoarena/sms.cpp&amp;sa=D&amp;ust=1605639815602000&amp;usg=AFQjCNEvaKjvJDeCI3WGBemXXrjZQlJUFw" TargetMode="External"/><Relationship Id="rId2045" Type="http://schemas.openxmlformats.org/officeDocument/2006/relationships/hyperlink" Target="https://www.google.com/url?q=https://github.com/stefdasca/CompetitiveProgramming/blob/master/Infoarena/greutati.cpp&amp;sa=D&amp;ust=1605639816575000&amp;usg=AFQjCNFZeOiboRJVxp1jNcBYJ2ERzwdVww" TargetMode="External"/><Relationship Id="rId2697" Type="http://schemas.openxmlformats.org/officeDocument/2006/relationships/hyperlink" Target="https://www.google.com/url?q=https://github.com/mostafa-saad/MyCompetitiveProgramming/blob/master/Olympiad/NOI/official&amp;sa=D&amp;ust=1605639816764000&amp;usg=AFQjCNF0hqddQH-P5fbN4aaH-SUxnLpjRA" TargetMode="External"/><Relationship Id="rId571" Type="http://schemas.openxmlformats.org/officeDocument/2006/relationships/hyperlink" Target="https://www.google.com/url?q=https://github.com/stefdasca/CompetitiveProgramming/blob/master/IZhO/IZhO%252019-segments.cpp&amp;sa=D&amp;ust=1605639815890000&amp;usg=AFQjCNGLK530VQ6zVAYJfjya6PNp3oXcTg" TargetMode="External"/><Relationship Id="rId669" Type="http://schemas.openxmlformats.org/officeDocument/2006/relationships/hyperlink" Target="https://www.google.com/url?q=https://github.com/mostafa-saad/MyCompetitiveProgramming/blob/master/Olympiad/Baltic/Baltic-15-fil.txt&amp;sa=D&amp;ust=1605639815924000&amp;usg=AFQjCNEe1ieqdtNBPxQXJL4ohFqZAzuczA" TargetMode="External"/><Relationship Id="rId876" Type="http://schemas.openxmlformats.org/officeDocument/2006/relationships/hyperlink" Target="https://www.google.com/url?q=https://open.kattis.com/problem-sources/Baltic%2520Olympiad%2520in%2520Informatics%25202017%252C%2520Day%25202&amp;sa=D&amp;ust=1605639816072000&amp;usg=AFQjCNH3kie-yeq7nQ4HxRnhCCFU1vlU8A" TargetMode="External"/><Relationship Id="rId1299" Type="http://schemas.openxmlformats.org/officeDocument/2006/relationships/hyperlink" Target="https://www.google.com/url?q=https://cses.fi/116/list/&amp;sa=D&amp;ust=1605639816310000&amp;usg=AFQjCNGH3PxvMQfOTMPxixfsKFkRn0l89A" TargetMode="External"/><Relationship Id="rId2252" Type="http://schemas.openxmlformats.org/officeDocument/2006/relationships/hyperlink" Target="https://www.google.com/url?q=https://github.com/mostafa-saad/MyCompetitiveProgramming/blob/master/Olympiad/POI/official/find_editorial_sols_guidelines.txt&amp;sa=D&amp;ust=1605639816640000&amp;usg=AFQjCNHj_m6OWEo9Nc-RF3UfV54mWSnyVg" TargetMode="External"/><Relationship Id="rId2557" Type="http://schemas.openxmlformats.org/officeDocument/2006/relationships/hyperlink" Target="https://www.google.com/url?q=https://github.com/mostafa-saad/MyCompetitiveProgramming/blob/master/Olympiad/COCI/official/2015/contest4_solutions&amp;sa=D&amp;ust=1605639816734000&amp;usg=AFQjCNFdBWh7q4l074517bRX1N7GUj8z1A" TargetMode="External"/><Relationship Id="rId224" Type="http://schemas.openxmlformats.org/officeDocument/2006/relationships/hyperlink" Target="https://www.google.com/url?q=https://contest.yandex.ru/ioi/contest/562/problems/E/&amp;sa=D&amp;ust=1605639815555000&amp;usg=AFQjCNEzVYN4IiGT3LUnNCd9vKW_i5f2bg" TargetMode="External"/><Relationship Id="rId431" Type="http://schemas.openxmlformats.org/officeDocument/2006/relationships/hyperlink" Target="https://www.google.com/url?q=https://www.infoarena.ro/problema/kinder&amp;sa=D&amp;ust=1605639815629000&amp;usg=AFQjCNE5D9rZAuE01USwzb_dcdHw8IAPSQ" TargetMode="External"/><Relationship Id="rId529" Type="http://schemas.openxmlformats.org/officeDocument/2006/relationships/hyperlink" Target="https://www.google.com/url?q=https://github.com/mostafa-saad/MyCompetitiveProgramming/blob/master/Olympiad/Baltic/Baltic-15-tug.txt&amp;sa=D&amp;ust=1605639815836000&amp;usg=AFQjCNEx4BKWqliiSbRIt323T_lZhYehRg" TargetMode="External"/><Relationship Id="rId736" Type="http://schemas.openxmlformats.org/officeDocument/2006/relationships/hyperlink" Target="https://www.google.com/url?q=https://oj.uz/problem/view/BOI14_coprobber&amp;sa=D&amp;ust=1605639815976000&amp;usg=AFQjCNFF0qUFg5HFUx5oLteYiqGHeC6ETw" TargetMode="External"/><Relationship Id="rId1061" Type="http://schemas.openxmlformats.org/officeDocument/2006/relationships/hyperlink" Target="https://www.google.com/url?q=https://www.infoarena.ro/problema/curent&amp;sa=D&amp;ust=1605639816182000&amp;usg=AFQjCNEaMx-XG-GMh9KP4xnKyQxXOr6TTA" TargetMode="External"/><Relationship Id="rId1159" Type="http://schemas.openxmlformats.org/officeDocument/2006/relationships/hyperlink" Target="https://www.google.com/url?q=https://oj.uz/problem/view/IOI08_islands&amp;sa=D&amp;ust=1605639816215000&amp;usg=AFQjCNE8Iwmt4M2BDNlGwrC4CGK3UjF6Mg" TargetMode="External"/><Relationship Id="rId1366" Type="http://schemas.openxmlformats.org/officeDocument/2006/relationships/hyperlink" Target="https://www.google.com/url?q=https://oj.uz/problem/view/COCI15_savez&amp;sa=D&amp;ust=1605639816334000&amp;usg=AFQjCNGCcMVxtHpCKnbVip4E7bWZ9pePeA" TargetMode="External"/><Relationship Id="rId2112" Type="http://schemas.openxmlformats.org/officeDocument/2006/relationships/hyperlink" Target="https://www.google.com/url?q=https://oj.uz/problems/source/6&amp;sa=D&amp;ust=1605639816599000&amp;usg=AFQjCNE8gZxijdz2VkhGsmKFCj0x5ZPttw" TargetMode="External"/><Relationship Id="rId2417" Type="http://schemas.openxmlformats.org/officeDocument/2006/relationships/hyperlink" Target="https://www.google.com/url?q=https://github.com/mostafa-saad/MyCompetitiveProgramming/tree/master/Olympiad/COCI/official/2007/contest2_solutions&amp;sa=D&amp;ust=1605639816690000&amp;usg=AFQjCNGhJdpKUOv90pWD4DaC0TFO_72ZKA" TargetMode="External"/><Relationship Id="rId2764" Type="http://schemas.openxmlformats.org/officeDocument/2006/relationships/hyperlink" Target="https://www.google.com/url?q=https://dmoj.ca/problem/coci14c5p3&amp;sa=D&amp;ust=1605639816788000&amp;usg=AFQjCNHtXJoWhbNkDzG7dS7N-OHo4TsiFQ" TargetMode="External"/><Relationship Id="rId2971" Type="http://schemas.openxmlformats.org/officeDocument/2006/relationships/hyperlink" Target="https://www.google.com/url?q=https://szkopul.edu.pl/problemset/problem/aKKSmtjWTtDOEHDqnmQ3-eAA/site/&amp;sa=D&amp;ust=1605639816889000&amp;usg=AFQjCNGwyAXXIBfKHaV77Ib4KX46_-s-Ag" TargetMode="External"/><Relationship Id="rId943" Type="http://schemas.openxmlformats.org/officeDocument/2006/relationships/hyperlink" Target="https://www.google.com/url?q=https://oj.uz/problem/view/COCI16_meksikanac&amp;sa=D&amp;ust=1605639816097000&amp;usg=AFQjCNGmyn-zwb_zHZc3VmsU4Cp_uUXwJw" TargetMode="External"/><Relationship Id="rId1019" Type="http://schemas.openxmlformats.org/officeDocument/2006/relationships/hyperlink" Target="https://www.google.com/url?q=https://szkopul.edu.pl/problemset/problem/rfG3gSJfUHoOk3t6379xduHr/site/&amp;sa=D&amp;ust=1605639816165000&amp;usg=AFQjCNGEzZZKpGI-HxjqRgLAtouVpNK5tw" TargetMode="External"/><Relationship Id="rId1573" Type="http://schemas.openxmlformats.org/officeDocument/2006/relationships/hyperlink" Target="https://www.google.com/url?q=https://github.com/mostafa-saad/MyCompetitiveProgramming/blob/master/Olympiad/Baltic/Baltic-07-Escape.txt&amp;sa=D&amp;ust=1605639816423000&amp;usg=AFQjCNEJ7wJCMfKxcwM4gc8eFjaXGegecA" TargetMode="External"/><Relationship Id="rId1780" Type="http://schemas.openxmlformats.org/officeDocument/2006/relationships/hyperlink" Target="https://www.google.com/url?q=https://github.com/stefdasca/CompetitiveProgramming/blob/master/Infoarena/asmin.cpp&amp;sa=D&amp;ust=1605639816488000&amp;usg=AFQjCNEErL274XjQ8PsBXzb81l1PWxqVIw" TargetMode="External"/><Relationship Id="rId1878" Type="http://schemas.openxmlformats.org/officeDocument/2006/relationships/hyperlink" Target="https://www.google.com/url?q=http://poj.org/problem?id%3D1196&amp;sa=D&amp;ust=1605639816524000&amp;usg=AFQjCNFr9tRGvwB9iN0M4uif6KwehI-UJw" TargetMode="External"/><Relationship Id="rId2624" Type="http://schemas.openxmlformats.org/officeDocument/2006/relationships/hyperlink" Target="https://www.google.com/url?q=https://github.com/mostafa-saad/MyCompetitiveProgramming/blob/master/Olympiad/COCI/official/2009/contest6_solutions&amp;sa=D&amp;ust=1605639816748000&amp;usg=AFQjCNH69yRpEP2OynQfjiIecX61c3ozrA" TargetMode="External"/><Relationship Id="rId2831" Type="http://schemas.openxmlformats.org/officeDocument/2006/relationships/hyperlink" Target="https://www.google.com/url?q=https://github.com/mostafa-saad/MyCompetitiveProgramming/tree/master/Olympiad/COCI/official/2008/contest1_solutions&amp;sa=D&amp;ust=1605639816811000&amp;usg=AFQjCNHTaulhoh1NuPekcMtrVqJHPaefjA" TargetMode="External"/><Relationship Id="rId2929" Type="http://schemas.openxmlformats.org/officeDocument/2006/relationships/hyperlink" Target="https://www.google.com/url?q=https://joi2016ho.contest.atcoder.jp/tasks/joi2016ho_d&amp;sa=D&amp;ust=1605639816869000&amp;usg=AFQjCNFG6JjjNLMQGdOCX8o06GSft7Jf4Q" TargetMode="External"/><Relationship Id="rId72" Type="http://schemas.openxmlformats.org/officeDocument/2006/relationships/hyperlink" Target="https://www.google.com/url?q=https://oj.uz/problem/view/CEOI12_circuit&amp;sa=D&amp;ust=1605639815512000&amp;usg=AFQjCNEVHh2q6gHRkmpG3cMaIitGVoRiiQ" TargetMode="External"/><Relationship Id="rId803" Type="http://schemas.openxmlformats.org/officeDocument/2006/relationships/hyperlink" Target="https://www.google.com/url?q=https://github.com/mostafa-saad/MyCompetitiveProgramming/blob/master/Olympiad/COCI/COCI-06-Straza.txt&amp;sa=D&amp;ust=1605639815999000&amp;usg=AFQjCNGXhduslrsuOWdnQ6iN1EABvFAlQQ" TargetMode="External"/><Relationship Id="rId1226" Type="http://schemas.openxmlformats.org/officeDocument/2006/relationships/hyperlink" Target="https://www.google.com/url?q=https://github.com/mostafa-saad/MyCompetitiveProgramming/blob/master/Olympiad/Baltic/Baltic-19-nautilus.txt&amp;sa=D&amp;ust=1605639816285000&amp;usg=AFQjCNHxqjfypMc_Dqol0XwsD8HaQNgxYw" TargetMode="External"/><Relationship Id="rId1433" Type="http://schemas.openxmlformats.org/officeDocument/2006/relationships/hyperlink" Target="https://www.google.com/url?q=https://oj.uz/problem/view/POI13_kon&amp;sa=D&amp;ust=1605639816372000&amp;usg=AFQjCNEkBtpaMMyUrkIUGbbhVSG9hpHIzA" TargetMode="External"/><Relationship Id="rId1640" Type="http://schemas.openxmlformats.org/officeDocument/2006/relationships/hyperlink" Target="https://www.google.com/url?q=https://oj.uz/problem/view/COCI17_vode&amp;sa=D&amp;ust=1605639816443000&amp;usg=AFQjCNHZF8iBxyJoTQYHP_R0Ohj5BP8Nag" TargetMode="External"/><Relationship Id="rId1738" Type="http://schemas.openxmlformats.org/officeDocument/2006/relationships/hyperlink" Target="https://www.google.com/url?q=http://usaco.org/index.php?page%3Dviewproblem2%26cpid%3D862&amp;sa=D&amp;ust=1605639816472000&amp;usg=AFQjCNGkL9i7gp_H8WfO4p9rbTbhEQVV2g" TargetMode="External"/><Relationship Id="rId1500" Type="http://schemas.openxmlformats.org/officeDocument/2006/relationships/hyperlink" Target="https://www.google.com/url?q=https://joisc2013-day1.contest.atcoder.jp/tasks/joisc2013_bustour&amp;sa=D&amp;ust=1605639816399000&amp;usg=AFQjCNGepg2rwm7jLJV4B03kL-RDV7wsRA" TargetMode="External"/><Relationship Id="rId1945" Type="http://schemas.openxmlformats.org/officeDocument/2006/relationships/hyperlink" Target="https://www.google.com/url?q=https://wcipeg.com/problem/coci092p4&amp;sa=D&amp;ust=1605639816543000&amp;usg=AFQjCNHCnjT22zKCcwtY3q5BMtT0toWeYg" TargetMode="External"/><Relationship Id="rId1805" Type="http://schemas.openxmlformats.org/officeDocument/2006/relationships/hyperlink" Target="https://www.google.com/url?q=https://github.com/mostafa-saad/MyCompetitiveProgramming/blob/master/Olympiad/COCI/COCI-08-Lubenica.txt&amp;sa=D&amp;ust=1605639816499000&amp;usg=AFQjCNFTkxElZjzm-xiIHko8WEBNF7pXyA" TargetMode="External"/><Relationship Id="rId179" Type="http://schemas.openxmlformats.org/officeDocument/2006/relationships/hyperlink" Target="https://www.google.com/url?q=https://oj.uz/problem/view/IOI16_shortcut&amp;sa=D&amp;ust=1605639815545000&amp;usg=AFQjCNFPeptrhBYer29ewbvctCA0q883-g" TargetMode="External"/><Relationship Id="rId386" Type="http://schemas.openxmlformats.org/officeDocument/2006/relationships/hyperlink" Target="https://www.google.com/url?q=https://github.com/Szawinis/CompetitiveProgramming/blob/master/Olympiad/COCI/COCI18-suncanje.cpp&amp;sa=D&amp;ust=1605639815611000&amp;usg=AFQjCNFHlTqUUD8C_H9tClwG3uIyE18s2g" TargetMode="External"/><Relationship Id="rId593" Type="http://schemas.openxmlformats.org/officeDocument/2006/relationships/hyperlink" Target="https://www.google.com/url?q=https://github.com/mostafa-saad/MyCompetitiveProgramming/blob/master/Olympiad/infoarena/infoarena_fft2d.txt&amp;sa=D&amp;ust=1605639815898000&amp;usg=AFQjCNGkYnW9YPQ92MXpxuMAZdr6k9v8kw" TargetMode="External"/><Relationship Id="rId2067" Type="http://schemas.openxmlformats.org/officeDocument/2006/relationships/hyperlink" Target="https://www.google.com/url?q=https://joisc2013-day4.contest.atcoder.jp/tasks/joisc2013_spaceships&amp;sa=D&amp;ust=1605639816584000&amp;usg=AFQjCNGzV9Ru7_EbyqMSLV-WKWMHbf-diA" TargetMode="External"/><Relationship Id="rId2274" Type="http://schemas.openxmlformats.org/officeDocument/2006/relationships/hyperlink" Target="https://www.google.com/url?q=https://github.com/mostafa-saad/MyCompetitiveProgramming/blob/master/Olympiad/NOI/official&amp;sa=D&amp;ust=1605639816645000&amp;usg=AFQjCNE8QBW_7KPFt_-DwUiQlNFa1XqX_A" TargetMode="External"/><Relationship Id="rId2481" Type="http://schemas.openxmlformats.org/officeDocument/2006/relationships/hyperlink" Target="https://www.google.com/url?q=https://github.com/mostafa-saad/MyCompetitiveProgramming/blob/master/Olympiad/COCI/official/2015/contest3_solutions&amp;sa=D&amp;ust=1605639816713000&amp;usg=AFQjCNEtOGm9drkFjSLFYG0WpYvrsDcLig" TargetMode="External"/><Relationship Id="rId246" Type="http://schemas.openxmlformats.org/officeDocument/2006/relationships/hyperlink" Target="https://www.google.com/url?q=https://oj.uz/problem/view/IOI16_railroad&amp;sa=D&amp;ust=1605639815561000&amp;usg=AFQjCNEDRJhKVqwujxSXRxRM6TNZMO4Hyg" TargetMode="External"/><Relationship Id="rId453" Type="http://schemas.openxmlformats.org/officeDocument/2006/relationships/hyperlink" Target="https://www.google.com/url?q=https://github.com/mostafa-saad/MyCompetitiveProgramming/blob/master/Olympiad/COCI/official/2009/contest2_solutions&amp;sa=D&amp;ust=1605639815636000&amp;usg=AFQjCNETH4lh8cHGHix9ku3sCgpOPDr3kA" TargetMode="External"/><Relationship Id="rId660" Type="http://schemas.openxmlformats.org/officeDocument/2006/relationships/hyperlink" Target="https://www.google.com/url?q=https://szkopul.edu.pl/problemset/problem/kxK8IowlpnNmHqkDDoK-hIeZ/site/&amp;sa=D&amp;ust=1605639815922000&amp;usg=AFQjCNFvM9zVyZbL-xidZ-XUi9CALW-yJQ" TargetMode="External"/><Relationship Id="rId898" Type="http://schemas.openxmlformats.org/officeDocument/2006/relationships/hyperlink" Target="https://www.google.com/url?q=https://oj.uz/problem/view/COCI15_relativnost&amp;sa=D&amp;ust=1605639816082000&amp;usg=AFQjCNFfT8gkDXtO0yozBaYovJuTk1_KgA" TargetMode="External"/><Relationship Id="rId1083" Type="http://schemas.openxmlformats.org/officeDocument/2006/relationships/hyperlink" Target="https://www.google.com/url?q=https://contest.yandex.ru/ioi/contest/560/enter/&amp;sa=D&amp;ust=1605639816191000&amp;usg=AFQjCNGEN-6FEQisF6YFKAJKSTpSjePXEA" TargetMode="External"/><Relationship Id="rId1290" Type="http://schemas.openxmlformats.org/officeDocument/2006/relationships/hyperlink" Target="https://www.google.com/url?q=https://github.com/mostafa-saad/MyCompetitiveProgramming/blob/master/Olympiad/infoarena/infoarena-plimbare3.txt&amp;sa=D&amp;ust=1605639816308000&amp;usg=AFQjCNGbsamrOvUs7FHY1MQ1Q420n4FCiA" TargetMode="External"/><Relationship Id="rId2134" Type="http://schemas.openxmlformats.org/officeDocument/2006/relationships/hyperlink" Target="https://www.google.com/url?q=https://github.com/mostafa-saad/MyCompetitiveProgramming/blob/master/Olympiad/NOI/official&amp;sa=D&amp;ust=1605639816605000&amp;usg=AFQjCNFGQuRJniYeukB0pUVEcAGgOU5VQA" TargetMode="External"/><Relationship Id="rId2341" Type="http://schemas.openxmlformats.org/officeDocument/2006/relationships/hyperlink" Target="https://www.google.com/url?q=https://dunjudge.me/analysis/problems/1825/&amp;sa=D&amp;ust=1605639816662000&amp;usg=AFQjCNE7lL3gCIxjjQiHv0-ocdtSGsbyyA" TargetMode="External"/><Relationship Id="rId2579" Type="http://schemas.openxmlformats.org/officeDocument/2006/relationships/hyperlink" Target="https://www.google.com/url?q=https://github.com/mostafa-saad/MyCompetitiveProgramming/blob/master/Olympiad/COCI/official/2013/contest4_solutions&amp;sa=D&amp;ust=1605639816739000&amp;usg=AFQjCNFYc9uru4AsBv9KhdZnI5Wiw9agyA" TargetMode="External"/><Relationship Id="rId2786" Type="http://schemas.openxmlformats.org/officeDocument/2006/relationships/hyperlink" Target="https://www.google.com/url?q=https://dmoj.ca/problem/coci08c1p2&amp;sa=D&amp;ust=1605639816799000&amp;usg=AFQjCNGhiJgo5d-Ii9kKaq92HreD2D8k5g" TargetMode="External"/><Relationship Id="rId2993" Type="http://schemas.openxmlformats.org/officeDocument/2006/relationships/hyperlink" Target="https://www.google.com/url?q=https://dunjudge.me/analysis/problems/931/&amp;sa=D&amp;ust=1605639816899000&amp;usg=AFQjCNFju_HcuiSURfoQgMQJ448c6kBm5g" TargetMode="External"/><Relationship Id="rId106" Type="http://schemas.openxmlformats.org/officeDocument/2006/relationships/hyperlink" Target="https://www.google.com/url?q=https://github.com/mostafa-saad/MyCompetitiveProgramming/blob/master/Olympiad/Baltic/Baltic-13-vim.txt&amp;sa=D&amp;ust=1605639815523000&amp;usg=AFQjCNGHl06RFQKXk1gaWjUQ05yyq1RLdA" TargetMode="External"/><Relationship Id="rId313" Type="http://schemas.openxmlformats.org/officeDocument/2006/relationships/hyperlink" Target="https://www.google.com/url?q=https://oj.uz/problem/view/IOI18_werewolf&amp;sa=D&amp;ust=1605639815585000&amp;usg=AFQjCNHuGCcHeEWVXE-AjMVSdlV0X98C7Q" TargetMode="External"/><Relationship Id="rId758" Type="http://schemas.openxmlformats.org/officeDocument/2006/relationships/hyperlink" Target="https://www.google.com/url?q=https://github.com/mostafa-saad/MyCompetitiveProgramming/tree/master/Olympiad/MCO/official&amp;sa=D&amp;ust=1605639815983000&amp;usg=AFQjCNHl6CHDbF0qJzKNs0gNcsGvnqeDmg" TargetMode="External"/><Relationship Id="rId965" Type="http://schemas.openxmlformats.org/officeDocument/2006/relationships/hyperlink" Target="https://www.google.com/url?q=https://dmoj.ca/problem/coci07c1p6&amp;sa=D&amp;ust=1605639816103000&amp;usg=AFQjCNHbAR9TxrB-V-pqASfTJsdNOslHPw" TargetMode="External"/><Relationship Id="rId1150" Type="http://schemas.openxmlformats.org/officeDocument/2006/relationships/hyperlink" Target="https://www.google.com/url?q=https://github.com/mostafa-saad/MyCompetitiveProgramming/blob/master/Olympiad/COI/COI-19-ljetopica.txt&amp;sa=D&amp;ust=1605639816212000&amp;usg=AFQjCNExFGuaQgfCC9qwaiO8kSKsKWgi7w" TargetMode="External"/><Relationship Id="rId1388" Type="http://schemas.openxmlformats.org/officeDocument/2006/relationships/hyperlink" Target="https://www.google.com/url?q=https://www.infoarena.ro/problema/nrsubsecv&amp;sa=D&amp;ust=1605639816343000&amp;usg=AFQjCNFe7sKGmalEqQ93axeKhdpV4kUJOQ" TargetMode="External"/><Relationship Id="rId1595" Type="http://schemas.openxmlformats.org/officeDocument/2006/relationships/hyperlink" Target="https://www.google.com/url?q=https://www.acmicpc.net/problem/2284&amp;sa=D&amp;ust=1605639816430000&amp;usg=AFQjCNGhddORh0EYtWPLAxkkU0OaSI69CA" TargetMode="External"/><Relationship Id="rId2439" Type="http://schemas.openxmlformats.org/officeDocument/2006/relationships/hyperlink" Target="https://www.google.com/url?q=https://joi2015ho.contest.atcoder.jp/tasks/joi2015ho_a&amp;sa=D&amp;ust=1605639816697000&amp;usg=AFQjCNEnpDxHFznCbrcTqyLeMs3BHWQA3Q" TargetMode="External"/><Relationship Id="rId2646" Type="http://schemas.openxmlformats.org/officeDocument/2006/relationships/hyperlink" Target="https://www.google.com/url?q=https://github.com/mostafa-saad/MyCompetitiveProgramming/tree/master/Olympiad/COCI/official/2008/contest4_solutions&amp;sa=D&amp;ust=1605639816753000&amp;usg=AFQjCNFeaHO9cBl4JqOptHffc5EcLtpYbg" TargetMode="External"/><Relationship Id="rId2853" Type="http://schemas.openxmlformats.org/officeDocument/2006/relationships/hyperlink" Target="https://www.google.com/url?q=https://oj.uz/problem/view/POI13_ins&amp;sa=D&amp;ust=1605639816818000&amp;usg=AFQjCNEEnnUZloGqVzKe6Gc5178l32fRng" TargetMode="External"/><Relationship Id="rId94" Type="http://schemas.openxmlformats.org/officeDocument/2006/relationships/hyperlink" Target="https://www.google.com/url?q=https://github.com/tmwilliamlin168/CompetitiveProgramming/blob/master/APIO/13-Toll.cpp&amp;sa=D&amp;ust=1605639815519000&amp;usg=AFQjCNEtyTjcXpozsKDCc8_ZkI-B_3A0VA" TargetMode="External"/><Relationship Id="rId520" Type="http://schemas.openxmlformats.org/officeDocument/2006/relationships/hyperlink" Target="https://www.google.com/url?q=https://ivaniscoding.wordpress.com/2018/08/25/communication-2-navigation/&amp;sa=D&amp;ust=1605639815687000&amp;usg=AFQjCNH4AHENdSBe3FOGsw6fjp5tLhwZIA" TargetMode="External"/><Relationship Id="rId618" Type="http://schemas.openxmlformats.org/officeDocument/2006/relationships/hyperlink" Target="https://www.google.com/url?q=https://cses.fi/110/list/&amp;sa=D&amp;ust=1605639815906000&amp;usg=AFQjCNFw2aFPkpnwbINyo2Izo5kxQGyjPQ" TargetMode="External"/><Relationship Id="rId825" Type="http://schemas.openxmlformats.org/officeDocument/2006/relationships/hyperlink" Target="https://www.google.com/url?q=https://github.com/mostafa-saad/MyCompetitiveProgramming/blob/master/Olympiad/CEOI/CEOI-05-Depot.txt&amp;sa=D&amp;ust=1605639816008000&amp;usg=AFQjCNHZggc0M1lKnwpj_pp07KneR0ac2w" TargetMode="External"/><Relationship Id="rId1248" Type="http://schemas.openxmlformats.org/officeDocument/2006/relationships/hyperlink" Target="https://www.google.com/url?q=https://github.com/mostafa-saad/MyCompetitiveProgramming/blob/master/Olympiad/CEOI/COCI-09-snowwhite.txt&amp;sa=D&amp;ust=1605639816293000&amp;usg=AFQjCNG1ikaInogGIGJSEVGbpd3hio4HrQ" TargetMode="External"/><Relationship Id="rId1455" Type="http://schemas.openxmlformats.org/officeDocument/2006/relationships/hyperlink" Target="https://www.google.com/url?q=https://joisc2014.contest.atcoder.jp/tasks/joisc2014_e&amp;sa=D&amp;ust=1605639816381000&amp;usg=AFQjCNEgS6EZwZVKy9lrYofk1J22UCAO7A" TargetMode="External"/><Relationship Id="rId1662" Type="http://schemas.openxmlformats.org/officeDocument/2006/relationships/hyperlink" Target="https://www.google.com/url?q=https://github.com/mostafa-saad/MyCompetitiveProgramming/blob/master/Olympiad/CEOI/CEOI-11-Hotel.txt&amp;sa=D&amp;ust=1605639816449000&amp;usg=AFQjCNGqoOpGKiVych0rhGIfNx7c8RYAIQ" TargetMode="External"/><Relationship Id="rId2201" Type="http://schemas.openxmlformats.org/officeDocument/2006/relationships/hyperlink" Target="https://www.google.com/url?q=https://szkopul.edu.pl/problemset/problem/hepq5oWcHLsMo3oOy-dp3OZC/site/&amp;sa=D&amp;ust=1605639816627000&amp;usg=AFQjCNEDaEVnqIj1IyO0ZT4XuH_-RM7L5A" TargetMode="External"/><Relationship Id="rId2506" Type="http://schemas.openxmlformats.org/officeDocument/2006/relationships/hyperlink" Target="https://www.google.com/url?q=https://oj.uz/problem/view/NOI18_collectmushrooms&amp;sa=D&amp;ust=1605639816721000&amp;usg=AFQjCNHoeFuz_3PsDoaP_GZ1m-_UjwuAmw" TargetMode="External"/><Relationship Id="rId1010" Type="http://schemas.openxmlformats.org/officeDocument/2006/relationships/hyperlink" Target="https://www.google.com/url?q=https://github.com/mostafa-saad/MyCompetitiveProgramming/blob/master/Olympiad/COCI/COCI-19-transport.txt&amp;sa=D&amp;ust=1605639816117000&amp;usg=AFQjCNGISW40fC-tv6kKA-ZBtu_HPUmHeQ" TargetMode="External"/><Relationship Id="rId1108" Type="http://schemas.openxmlformats.org/officeDocument/2006/relationships/hyperlink" Target="https://www.google.com/url?q=https://github.com/mostafa-saad/MyCompetitiveProgramming/blob/master/Olympiad/Baltic/Baltic-12-Melody.txt&amp;sa=D&amp;ust=1605639816200000&amp;usg=AFQjCNG9twMjG_GdHW9AsHjjMS1JqTQrwA" TargetMode="External"/><Relationship Id="rId1315" Type="http://schemas.openxmlformats.org/officeDocument/2006/relationships/hyperlink" Target="https://www.google.com/url?q=https://cses.fi/180/list/&amp;sa=D&amp;ust=1605639816317000&amp;usg=AFQjCNFK_w0Jn42ZyVXeFlObKZcipE-ENQ" TargetMode="External"/><Relationship Id="rId1967" Type="http://schemas.openxmlformats.org/officeDocument/2006/relationships/hyperlink" Target="https://www.google.com/url?q=https://github.com/mostafa-saad/MyCompetitiveProgramming/blob/master/Olympiad/IOI/official/2007&amp;sa=D&amp;ust=1605639816549000&amp;usg=AFQjCNFkL-hg4q04yCqzCXCSzv67CiGxhQ" TargetMode="External"/><Relationship Id="rId2713" Type="http://schemas.openxmlformats.org/officeDocument/2006/relationships/hyperlink" Target="https://www.google.com/url?q=https://github.com/mostafa-saad/MyCompetitiveProgramming/blob/master/Olympiad/NOI/official/2011.pptx&amp;sa=D&amp;ust=1605639816771000&amp;usg=AFQjCNEjDdk_3eQTae4qGG_6VC0RSVMiUA" TargetMode="External"/><Relationship Id="rId2920" Type="http://schemas.openxmlformats.org/officeDocument/2006/relationships/hyperlink" Target="https://www.google.com/url?q=https://dunjudge.me/analysis/problems/1233/&amp;sa=D&amp;ust=1605639816848000&amp;usg=AFQjCNGUUiTG-l8MgA8jZ-qLzXLTpXp3pA" TargetMode="External"/><Relationship Id="rId1522" Type="http://schemas.openxmlformats.org/officeDocument/2006/relationships/hyperlink" Target="https://www.google.com/url?q=https://oj.uz/problem/view/IOI11_ricehub&amp;sa=D&amp;ust=1605639816407000&amp;usg=AFQjCNGAYNfuObCiNc0e0prMQzGyF8I6bA" TargetMode="External"/><Relationship Id="rId21" Type="http://schemas.openxmlformats.org/officeDocument/2006/relationships/hyperlink" Target="https://www.google.com/url?q=https://github.com/ihdignite/CompetitiveProgramming/blob/master/USACO/1819_3P/Mowing.cpp&amp;sa=D&amp;ust=1605639815492000&amp;usg=AFQjCNEFue28ZH5gi49pNTBmBNkrGyG5JQ" TargetMode="External"/><Relationship Id="rId2089" Type="http://schemas.openxmlformats.org/officeDocument/2006/relationships/hyperlink" Target="https://www.google.com/url?q=https://wcipeg.com/problem/coci087p6&amp;sa=D&amp;ust=1605639816591000&amp;usg=AFQjCNEZZK1GvIkRbJyQzpVrkXrufYkpMw" TargetMode="External"/><Relationship Id="rId2296" Type="http://schemas.openxmlformats.org/officeDocument/2006/relationships/hyperlink" Target="https://www.google.com/url?q=https://szkopul.edu.pl/problemset/problem/p5XIDH2wrPz6KrUOJCv2RjGq/site/&amp;sa=D&amp;ust=1605639816651000&amp;usg=AFQjCNHzlXbNjXlRkxsf02lVr3NtcTHVhg" TargetMode="External"/><Relationship Id="rId268" Type="http://schemas.openxmlformats.org/officeDocument/2006/relationships/hyperlink" Target="https://www.google.com/url?q=https://wcipeg.com/problem/coci092p5&amp;sa=D&amp;ust=1605639815568000&amp;usg=AFQjCNEDqMry64NnQ5zv4d2cJKn3F9Z3Yw" TargetMode="External"/><Relationship Id="rId475" Type="http://schemas.openxmlformats.org/officeDocument/2006/relationships/hyperlink" Target="https://www.google.com/url?q=https://oj.uz/problems/source/60&amp;sa=D&amp;ust=1605639815674000&amp;usg=AFQjCNGnV-JY6FBVrfxdMIQsg6tMYhvs8A" TargetMode="External"/><Relationship Id="rId682" Type="http://schemas.openxmlformats.org/officeDocument/2006/relationships/hyperlink" Target="https://www.google.com/url?q=https://github.com/mostafa-saad/MyCompetitiveProgramming/blob/master/Olympiad/CEOI/CEOI-19-MagicTree.txt&amp;sa=D&amp;ust=1605639815928000&amp;usg=AFQjCNFiUG8yIctGu-sOAPbJnce_CN92cQ" TargetMode="External"/><Relationship Id="rId2156" Type="http://schemas.openxmlformats.org/officeDocument/2006/relationships/hyperlink" Target="https://www.google.com/url?q=https://dmoj.ca/problem/coci07c4p3&amp;sa=D&amp;ust=1605639816612000&amp;usg=AFQjCNE3TLf1Ym6SYcOwrISTavhQRNmkWQ" TargetMode="External"/><Relationship Id="rId2363" Type="http://schemas.openxmlformats.org/officeDocument/2006/relationships/hyperlink" Target="https://www.google.com/url?q=https://oj.uz/problem/view/CEOI12_jobs&amp;sa=D&amp;ust=1605639816669000&amp;usg=AFQjCNHCsAlavZuLl4isrDtPEvxMpbeEEg" TargetMode="External"/><Relationship Id="rId2570" Type="http://schemas.openxmlformats.org/officeDocument/2006/relationships/hyperlink" Target="https://www.google.com/url?q=https://oj.uz/problems/source/307&amp;sa=D&amp;ust=1605639816737000&amp;usg=AFQjCNFVz9Kube7hl-p2Tu55xJZiiLPP_Q" TargetMode="External"/><Relationship Id="rId128" Type="http://schemas.openxmlformats.org/officeDocument/2006/relationships/hyperlink" Target="https://www.google.com/url?q=https://oj.uz/problem/view/JOI19_timeleap&amp;sa=D&amp;ust=1605639815530000&amp;usg=AFQjCNHB1WkyX8iSMCwJSpgkS6L-lrTj1w" TargetMode="External"/><Relationship Id="rId335" Type="http://schemas.openxmlformats.org/officeDocument/2006/relationships/hyperlink" Target="https://www.google.com/url?q=https://oj.uz/problems/source/270&amp;sa=D&amp;ust=1605639815592000&amp;usg=AFQjCNEwjCF8a6O5NAPTK17H7s1Tzz0W8w" TargetMode="External"/><Relationship Id="rId542" Type="http://schemas.openxmlformats.org/officeDocument/2006/relationships/hyperlink" Target="https://www.google.com/url?q=https://oj.uz/problem/view/COCI17_sirni&amp;sa=D&amp;ust=1605639815879000&amp;usg=AFQjCNGOlY9-DJ-MB6mCl-pYjbbqdH6sCQ" TargetMode="External"/><Relationship Id="rId1172" Type="http://schemas.openxmlformats.org/officeDocument/2006/relationships/hyperlink" Target="https://www.google.com/url?q=https://github.com/mostafa-saad/MyCompetitiveProgramming/blob/master/Olympiad/COI/COI-17-zagrade.txt&amp;sa=D&amp;ust=1605639816218000&amp;usg=AFQjCNGrDE6NLTdrh72mKlJI-zeob1I1oQ" TargetMode="External"/><Relationship Id="rId2016" Type="http://schemas.openxmlformats.org/officeDocument/2006/relationships/hyperlink" Target="https://www.google.com/url?q=https://github.com/mostafa-saad/MyCompetitiveProgramming/blob/master/Olympiad/NOI/official&amp;sa=D&amp;ust=1605639816564000&amp;usg=AFQjCNHQmovgcOaoi4JzCWM5qC3NqDz5qQ" TargetMode="External"/><Relationship Id="rId2223" Type="http://schemas.openxmlformats.org/officeDocument/2006/relationships/hyperlink" Target="https://www.google.com/url?q=https://github.com/mostafa-saad/MyCompetitiveProgramming/blob/master/Olympiad/POI/official/find_editorial_sols_guidelines.txt&amp;sa=D&amp;ust=1605639816633000&amp;usg=AFQjCNGQDAbOrF4yr41xb5L30AirBUQ3Yg" TargetMode="External"/><Relationship Id="rId2430" Type="http://schemas.openxmlformats.org/officeDocument/2006/relationships/hyperlink" Target="https://www.google.com/url?q=https://github.com/mostafa-saad/MyCompetitiveProgramming/blob/master/Olympiad/COCI/official/2014/contest1_solutions&amp;sa=D&amp;ust=1605639816694000&amp;usg=AFQjCNEdggRZE7hoi6q-ie8pXgrSoXFTWg" TargetMode="External"/><Relationship Id="rId402" Type="http://schemas.openxmlformats.org/officeDocument/2006/relationships/hyperlink" Target="https://www.google.com/url?q=https://oj.uz/problem/view/JOI17_arranging_tickets&amp;sa=D&amp;ust=1605639815618000&amp;usg=AFQjCNG_YKbUpeBS_5v7oKgCAb620XSv2w" TargetMode="External"/><Relationship Id="rId1032" Type="http://schemas.openxmlformats.org/officeDocument/2006/relationships/hyperlink" Target="https://www.google.com/url?q=https://github.com/mostafa-saad/MyCompetitiveProgramming/blob/master/Olympiad/POI/POI-14-Little_Bird.txt&amp;sa=D&amp;ust=1605639816173000&amp;usg=AFQjCNG82vVd2rY_7Biv1rigEhI6MvKMDA" TargetMode="External"/><Relationship Id="rId1989" Type="http://schemas.openxmlformats.org/officeDocument/2006/relationships/hyperlink" Target="https://www.google.com/url?q=https://szkopul.edu.pl/problemset/problem/lR_LabSUC2n7EMmDHpw-wk_b/site/&amp;sa=D&amp;ust=1605639816556000&amp;usg=AFQjCNG2GSsOmUAIVQM4aNT05dbpEEAY3g" TargetMode="External"/><Relationship Id="rId1849" Type="http://schemas.openxmlformats.org/officeDocument/2006/relationships/hyperlink" Target="https://www.google.com/url?q=https://github.com/mostafa-saad/MyCompetitiveProgramming/blob/master/Olympiad/IOI/IOI-16-tetris.txt&amp;sa=D&amp;ust=1605639816514000&amp;usg=AFQjCNHLUoPRmwnOrk9IkmLc_z_0m5K79A" TargetMode="External"/><Relationship Id="rId192" Type="http://schemas.openxmlformats.org/officeDocument/2006/relationships/hyperlink" Target="https://www.google.com/url?q=https://oj.uz/problems/source/314&amp;sa=D&amp;ust=1605639815548000&amp;usg=AFQjCNFSIhMpSn6FNs5sSubPj2IrtvEfhw" TargetMode="External"/><Relationship Id="rId1709" Type="http://schemas.openxmlformats.org/officeDocument/2006/relationships/hyperlink" Target="https://www.google.com/url?q=https://github.com/mostafa-saad/MyCompetitiveProgramming/blob/master/Olympiad/IOI/IOI-04-farmer.txt&amp;sa=D&amp;ust=1605639816462000&amp;usg=AFQjCNGQ9H4mw4qX7yf7cy0v1G48FMvN5A" TargetMode="External"/><Relationship Id="rId1916" Type="http://schemas.openxmlformats.org/officeDocument/2006/relationships/hyperlink" Target="https://www.google.com/url?q=https://dunjudge.me/analysis/problems/1417/&amp;sa=D&amp;ust=1605639816535000&amp;usg=AFQjCNEc0ev-y8FKZ29DTr7UKWsjx3BMNw" TargetMode="External"/><Relationship Id="rId2080" Type="http://schemas.openxmlformats.org/officeDocument/2006/relationships/hyperlink" Target="https://www.google.com/url?q=https://szkopul.edu.pl/problemset/problem/SXtZ8jxPUjMD5cLWqCI1EZLT/site/&amp;sa=D&amp;ust=1605639816589000&amp;usg=AFQjCNGNLdqcHbvtVVAeOXmtpTnUgZIy5Q" TargetMode="External"/><Relationship Id="rId2897" Type="http://schemas.openxmlformats.org/officeDocument/2006/relationships/hyperlink" Target="https://www.google.com/url?q=https://oj.uz/problem/view/COCI19_jarvis&amp;sa=D&amp;ust=1605639816841000&amp;usg=AFQjCNHukRbUPuXWToZIkaKzFQU_PKrqKw" TargetMode="External"/><Relationship Id="rId869" Type="http://schemas.openxmlformats.org/officeDocument/2006/relationships/hyperlink" Target="https://www.google.com/url?q=https://github.com/thecodingwizard/competitive-programming/blob/master/USACO/2019dec/pieaters.cpp&amp;sa=D&amp;ust=1605639816023000&amp;usg=AFQjCNHuAaguTZriImcLlTKwG6yIusX44w" TargetMode="External"/><Relationship Id="rId1499" Type="http://schemas.openxmlformats.org/officeDocument/2006/relationships/hyperlink" Target="https://www.google.com/url?q=https://github.com/tmwilliamlin168/CompetitiveProgramming/blob/master/BtOI/14-Portals.cpp&amp;sa=D&amp;ust=1605639816398000&amp;usg=AFQjCNFUMVHAZuItFk-DnsrIUIjL7OhexQ" TargetMode="External"/><Relationship Id="rId729" Type="http://schemas.openxmlformats.org/officeDocument/2006/relationships/hyperlink" Target="https://www.google.com/url?q=https://github.com/mostafa-saad/MyCompetitiveProgramming/blob/master/Olympiad/IOI/IOI-01-depot.txt&amp;sa=D&amp;ust=1605639815973000&amp;usg=AFQjCNEf8KBkLyH3OS7Enu2fGqEV3LaVlw" TargetMode="External"/><Relationship Id="rId1359" Type="http://schemas.openxmlformats.org/officeDocument/2006/relationships/hyperlink" Target="https://www.google.com/url?q=https://github.com/mostafa-saad/MyCompetitiveProgramming/blob/master/Olympiad/COCI/COCI-06-Debug.txt&amp;sa=D&amp;ust=1605639816332000&amp;usg=AFQjCNG3kTudXgARt9CPkaqvA0Gr3HMyvw" TargetMode="External"/><Relationship Id="rId2757" Type="http://schemas.openxmlformats.org/officeDocument/2006/relationships/hyperlink" Target="https://www.google.com/url?q=https://github.com/mostafa-saad/MyCompetitiveProgramming/tree/master/Olympiad/COCI/official/2008/contest2_solutions&amp;sa=D&amp;ust=1605639816784000&amp;usg=AFQjCNHffRhlbFevrjmoI_XdqSibjUVkxw" TargetMode="External"/><Relationship Id="rId2964" Type="http://schemas.openxmlformats.org/officeDocument/2006/relationships/hyperlink" Target="https://www.google.com/url?q=https://szkopul.edu.pl/problemset/problem/eLy9p2a1VStZ4y9y-LdeB-8f/site/&amp;sa=D&amp;ust=1605639816885000&amp;usg=AFQjCNEKrxvu65SndUICdr3O7gkvtrHlEA" TargetMode="External"/><Relationship Id="rId936" Type="http://schemas.openxmlformats.org/officeDocument/2006/relationships/hyperlink" Target="https://www.google.com/url?q=https://oj.uz/problems/source/59&amp;sa=D&amp;ust=1605639816095000&amp;usg=AFQjCNH6e7s-5c4P9QFtcaRv_Y4u4V-y7Q" TargetMode="External"/><Relationship Id="rId1219" Type="http://schemas.openxmlformats.org/officeDocument/2006/relationships/hyperlink" Target="https://www.google.com/url?q=https://oj.uz/problem/view/IZhO13_school&amp;sa=D&amp;ust=1605639816283000&amp;usg=AFQjCNElsITBs5bisTKEx65SHFIeyUZqEg" TargetMode="External"/><Relationship Id="rId1566" Type="http://schemas.openxmlformats.org/officeDocument/2006/relationships/hyperlink" Target="https://www.google.com/url?q=https://github.com/mostafa-saad/MyCompetitiveProgramming/blob/master/Olympiad/COI/COI-07-Tamnica.txt&amp;sa=D&amp;ust=1605639816421000&amp;usg=AFQjCNEcbcmuJG03UlrNZJbkk3K4FPozKA" TargetMode="External"/><Relationship Id="rId1773" Type="http://schemas.openxmlformats.org/officeDocument/2006/relationships/hyperlink" Target="https://www.google.com/url?q=https://github.com/mostafa-saad/MyCompetitiveProgramming/blob/master/Olympiad/IOI/IOI-02-Frog.txt&amp;sa=D&amp;ust=1605639816486000&amp;usg=AFQjCNFicXBz9Zc5bLUaPUvOEd5bzfVKFQ" TargetMode="External"/><Relationship Id="rId1980" Type="http://schemas.openxmlformats.org/officeDocument/2006/relationships/hyperlink" Target="https://www.google.com/url?q=https://www.infoarena.ro/problema/vmin&amp;sa=D&amp;ust=1605639816554000&amp;usg=AFQjCNGCyV6w1vTr-jySjonCSlH7ellkRA" TargetMode="External"/><Relationship Id="rId2617" Type="http://schemas.openxmlformats.org/officeDocument/2006/relationships/hyperlink" Target="https://www.google.com/url?q=https://dmoj.ca/problem/coci08c5p3&amp;sa=D&amp;ust=1605639816746000&amp;usg=AFQjCNFdVEysaR3kSwhVszjNnbGyV8w9nw" TargetMode="External"/><Relationship Id="rId2824" Type="http://schemas.openxmlformats.org/officeDocument/2006/relationships/hyperlink" Target="https://www.google.com/url?q=https://dmoj.ca/problem/coci06c4p1&amp;sa=D&amp;ust=1605639816809000&amp;usg=AFQjCNGSaHdv63xtS-DjBgoCj_OXta9RfA" TargetMode="External"/><Relationship Id="rId65" Type="http://schemas.openxmlformats.org/officeDocument/2006/relationships/hyperlink" Target="https://www.google.com/url?q=https://github.com/mostafa-saad/MyCompetitiveProgramming/blob/master/Olympiad/CEOI/CEOI-16-match.txt&amp;sa=D&amp;ust=1605639815510000&amp;usg=AFQjCNHrHBpBeSRldLUPDzwLEjbdKS6rag" TargetMode="External"/><Relationship Id="rId1426" Type="http://schemas.openxmlformats.org/officeDocument/2006/relationships/hyperlink" Target="https://www.google.com/url?q=https://www.acmicpc.net/problem/5254&amp;sa=D&amp;ust=1605639816370000&amp;usg=AFQjCNFMhc8Jzv-2GKi0frPzN2MElgTGTA" TargetMode="External"/><Relationship Id="rId1633" Type="http://schemas.openxmlformats.org/officeDocument/2006/relationships/hyperlink" Target="https://www.google.com/url?q=https://www.infoarena.ro/problema/sir3&amp;sa=D&amp;ust=1605639816441000&amp;usg=AFQjCNE6itsSYUhcMo5KmHCFelrggGkIVQ" TargetMode="External"/><Relationship Id="rId1840" Type="http://schemas.openxmlformats.org/officeDocument/2006/relationships/hyperlink" Target="https://www.google.com/url?q=https://github.com/mostafa-saad/MyCompetitiveProgramming/blob/master/Olympiad/NOI/official&amp;sa=D&amp;ust=1605639816510000&amp;usg=AFQjCNGj0xJWBZejfdY_wxMfOio4rTei5Q" TargetMode="External"/><Relationship Id="rId1700" Type="http://schemas.openxmlformats.org/officeDocument/2006/relationships/hyperlink" Target="https://www.google.com/url?q=https://github.com/mostafa-saad/MyCompetitiveProgramming/blob/master/Olympiad/COCI/official/2017/contest5_solutions&amp;sa=D&amp;ust=1605639816459000&amp;usg=AFQjCNF6FxpIoxNdqgl7apBJnqdIVHJKOw" TargetMode="External"/><Relationship Id="rId379" Type="http://schemas.openxmlformats.org/officeDocument/2006/relationships/hyperlink" Target="https://www.google.com/url?q=https://oj.uz/problem/view/CEOI16_icc&amp;sa=D&amp;ust=1605639815609000&amp;usg=AFQjCNHEqXrUSsiv96iRd7Tqhky9q27O-g" TargetMode="External"/><Relationship Id="rId586" Type="http://schemas.openxmlformats.org/officeDocument/2006/relationships/hyperlink" Target="https://www.google.com/url?q=https://szkopul.edu.pl/problemset/problem/cSa80AKpjHR8FlWE4BCpLGT3/site/?key%3Dstatement&amp;sa=D&amp;ust=1605639815895000&amp;usg=AFQjCNEvAtZna_6UWXcFA93QWOf8rifGeA" TargetMode="External"/><Relationship Id="rId793" Type="http://schemas.openxmlformats.org/officeDocument/2006/relationships/hyperlink" Target="https://www.google.com/url?q=https://dmoj.ca/problem/coci15c4p6&amp;sa=D&amp;ust=1605639815996000&amp;usg=AFQjCNFQRN8Hk0JR3lnJBZ8TFfK1sKuxrA" TargetMode="External"/><Relationship Id="rId2267" Type="http://schemas.openxmlformats.org/officeDocument/2006/relationships/hyperlink" Target="https://www.google.com/url?q=https://github.com/mostafa-saad/MyCompetitiveProgramming/tree/master/Olympiad/CEOI/official/2003&amp;sa=D&amp;ust=1605639816643000&amp;usg=AFQjCNGGQh10ZvXMIsIffBOEJ7JIVIFRag" TargetMode="External"/><Relationship Id="rId2474" Type="http://schemas.openxmlformats.org/officeDocument/2006/relationships/hyperlink" Target="https://www.google.com/url?q=https://www.infoarena.ro/problema/cerc3&amp;sa=D&amp;ust=1605639816711000&amp;usg=AFQjCNHS2ajbCM0J9tSfVHj47aFfcLjaEQ" TargetMode="External"/><Relationship Id="rId2681" Type="http://schemas.openxmlformats.org/officeDocument/2006/relationships/hyperlink" Target="https://www.google.com/url?q=https://dmoj.ca/problem/coci14c5p2&amp;sa=D&amp;ust=1605639816761000&amp;usg=AFQjCNEUmOoqZDQcSqEAHEFdjFBDjvenmg" TargetMode="External"/><Relationship Id="rId239" Type="http://schemas.openxmlformats.org/officeDocument/2006/relationships/hyperlink" Target="https://www.google.com/url?q=https://github.com/mostafa-saad/MyCompetitiveProgramming/blob/master/Olympiad/COI/COI-09-Loza.txt&amp;sa=D&amp;ust=1605639815559000&amp;usg=AFQjCNH2lcFj1ANWIfO-sGsUY8EiJL4TlA" TargetMode="External"/><Relationship Id="rId446" Type="http://schemas.openxmlformats.org/officeDocument/2006/relationships/hyperlink" Target="https://www.google.com/url?q=https://dunjudge.me/analysis/problems/543/&amp;sa=D&amp;ust=1605639815634000&amp;usg=AFQjCNFF1n5WKeAxTXk40Ui_gLfRAAmzKw" TargetMode="External"/><Relationship Id="rId653" Type="http://schemas.openxmlformats.org/officeDocument/2006/relationships/hyperlink" Target="https://www.google.com/url?q=https://github.com/mostafa-saad/MyCompetitiveProgramming/blob/master/Olympiad/POI/POI-07-Quaternary.txt&amp;sa=D&amp;ust=1605639815919000&amp;usg=AFQjCNFZCdWHspdN7WDPZ3les6gai5m0bQ" TargetMode="External"/><Relationship Id="rId1076" Type="http://schemas.openxmlformats.org/officeDocument/2006/relationships/hyperlink" Target="https://www.google.com/url?q=https://github.com/mostafa-saad/MyCompetitiveProgramming/blob/master/Olympiad/POI/POI-11-Conductor.txt&amp;sa=D&amp;ust=1605639816189000&amp;usg=AFQjCNENHmudq-WIefNJirLEg0vXtcBwJQ" TargetMode="External"/><Relationship Id="rId1283" Type="http://schemas.openxmlformats.org/officeDocument/2006/relationships/hyperlink" Target="https://www.google.com/url?q=https://oj.uz/problem/view/JOI18_bubblesort2&amp;sa=D&amp;ust=1605639816305000&amp;usg=AFQjCNHVTH-yZJUksYlGChtmMmLM-dI41g" TargetMode="External"/><Relationship Id="rId1490" Type="http://schemas.openxmlformats.org/officeDocument/2006/relationships/hyperlink" Target="https://www.google.com/url?q=https://oj.uz/problem/view/CEOI18_toy&amp;sa=D&amp;ust=1605639816395000&amp;usg=AFQjCNFJR5bQyPmRKJQiKmum7tQeEpfonw" TargetMode="External"/><Relationship Id="rId2127" Type="http://schemas.openxmlformats.org/officeDocument/2006/relationships/hyperlink" Target="https://www.google.com/url?q=https://dmoj.ca/problem/coci08c2p5&amp;sa=D&amp;ust=1605639816604000&amp;usg=AFQjCNFjCdiTiVtn-Y4f7NdqSb4JDZEK9A" TargetMode="External"/><Relationship Id="rId2334" Type="http://schemas.openxmlformats.org/officeDocument/2006/relationships/hyperlink" Target="https://www.google.com/url?q=https://github.com/mostafa-saad/MyCompetitiveProgramming/tree/master/Olympiad/MCO/official/2014&amp;sa=D&amp;ust=1605639816660000&amp;usg=AFQjCNFODD5pl3gIKySOsRWL9jmUM7Kf1w" TargetMode="External"/><Relationship Id="rId306" Type="http://schemas.openxmlformats.org/officeDocument/2006/relationships/hyperlink" Target="https://www.google.com/url?q=https://oj.uz/problem/view/IOI19_job&amp;sa=D&amp;ust=1605639815582000&amp;usg=AFQjCNEyod3Vv88j7H_vu8vpqTnAtjYSyw" TargetMode="External"/><Relationship Id="rId860" Type="http://schemas.openxmlformats.org/officeDocument/2006/relationships/hyperlink" Target="https://www.google.com/url?q=http://usaco.org/index.php?page%3Dviewproblem2%26cpid%3D902&amp;sa=D&amp;ust=1605639816020000&amp;usg=AFQjCNFefkPsIpm2rtw5Z54Zeel6rGujFg" TargetMode="External"/><Relationship Id="rId1143" Type="http://schemas.openxmlformats.org/officeDocument/2006/relationships/hyperlink" Target="https://www.google.com/url?q=http://www.ioi2011.or.th/hsc/tasks/solutions/crocodile.pdf&amp;sa=D&amp;ust=1605639816210000&amp;usg=AFQjCNE3LFWv8UFD4qG0Em438tQfBN4m3A" TargetMode="External"/><Relationship Id="rId2541" Type="http://schemas.openxmlformats.org/officeDocument/2006/relationships/hyperlink" Target="https://www.google.com/url?q=https://github.com/stefdasca/CompetitiveProgramming/blob/master/Info1Cup/National%2520Round/mean.cpp&amp;sa=D&amp;ust=1605639816731000&amp;usg=AFQjCNHTWL4-Q1MeJrfPZTl5SjXPi85QMg" TargetMode="External"/><Relationship Id="rId513" Type="http://schemas.openxmlformats.org/officeDocument/2006/relationships/hyperlink" Target="https://www.google.com/url?q=https://oj.uz/problem/view/COCI16_burza&amp;sa=D&amp;ust=1605639815686000&amp;usg=AFQjCNHP4Ls1bj_PZaTbVS3y-7c4kM-X-w" TargetMode="External"/><Relationship Id="rId720" Type="http://schemas.openxmlformats.org/officeDocument/2006/relationships/hyperlink" Target="https://www.google.com/url?q=https://dmoj.ca/problem/coci14c4p6&amp;sa=D&amp;ust=1605639815970000&amp;usg=AFQjCNEfIWiKklQYtaZPQj3KAZahGfpE8A" TargetMode="External"/><Relationship Id="rId1350" Type="http://schemas.openxmlformats.org/officeDocument/2006/relationships/hyperlink" Target="https://www.google.com/url?q=https://csacademy.com/contest/junior-challenge-2017-day-2/task/cntgigelmat&amp;sa=D&amp;ust=1605639816330000&amp;usg=AFQjCNE2ykidZQVY9gXKAKyeBm_jcvrDlQ" TargetMode="External"/><Relationship Id="rId2401" Type="http://schemas.openxmlformats.org/officeDocument/2006/relationships/hyperlink" Target="https://www.google.com/url?q=https://github.com/mostafa-saad/MyCompetitiveProgramming/blob/master/Olympiad/IOI/official/2007&amp;sa=D&amp;ust=1605639816684000&amp;usg=AFQjCNGYKSduj3GE3EPEMypDL3uvKXNJDQ" TargetMode="External"/><Relationship Id="rId1003" Type="http://schemas.openxmlformats.org/officeDocument/2006/relationships/hyperlink" Target="https://www.google.com/url?q=https://www.acmicpc.net/problem/7058&amp;sa=D&amp;ust=1605639816115000&amp;usg=AFQjCNEptjpf7F92JbYvfT9AdsWZK2zdVw" TargetMode="External"/><Relationship Id="rId1210" Type="http://schemas.openxmlformats.org/officeDocument/2006/relationships/hyperlink" Target="https://www.google.com/url?q=https://github.com/mostafa-saad/MyCompetitiveProgramming/blob/master/Olympiad/COCI/official/2010/contest2_solutions&amp;sa=D&amp;ust=1605639816278000&amp;usg=AFQjCNGESSG9ytei_Mjk57e3yEqyLw86jA" TargetMode="External"/><Relationship Id="rId2191" Type="http://schemas.openxmlformats.org/officeDocument/2006/relationships/hyperlink" Target="https://www.google.com/url?q=https://www.infoarena.ro/problema/asmin&amp;sa=D&amp;ust=1605639816625000&amp;usg=AFQjCNHEaZhD6S27vW6EdtkAu8EOjKQHaA" TargetMode="External"/><Relationship Id="rId163" Type="http://schemas.openxmlformats.org/officeDocument/2006/relationships/hyperlink" Target="https://www.google.com/url?q=https://oj.uz/problem/view/IOI19_split&amp;sa=D&amp;ust=1605639815539000&amp;usg=AFQjCNF2MALjhGlsN-vQiyirpqHS3rbwBg" TargetMode="External"/><Relationship Id="rId370" Type="http://schemas.openxmlformats.org/officeDocument/2006/relationships/hyperlink" Target="https://www.google.com/url?q=https://github.com/mostafa-saad/MyCompetitiveProgramming/tree/master/Olympiad/JOI/official/JOI/JOI-17-soccer.txt&amp;sa=D&amp;ust=1605639815605000&amp;usg=AFQjCNH6KiVWYed9MsuAkdRPZMTJSNpXAA" TargetMode="External"/><Relationship Id="rId2051" Type="http://schemas.openxmlformats.org/officeDocument/2006/relationships/hyperlink" Target="https://www.google.com/url?q=https://github.com/mostafa-saad/MyCompetitiveProgramming/tree/master/Olympiad/COCI/official/2007/contest5_solutions&amp;sa=D&amp;ust=1605639816577000&amp;usg=AFQjCNFLtPMrEf8qDmFokMGVaSfkY1GtGA" TargetMode="External"/><Relationship Id="rId230" Type="http://schemas.openxmlformats.org/officeDocument/2006/relationships/hyperlink" Target="https://www.google.com/url?q=https://contest.yandex.ru/ioi/contest/558/enter/&amp;sa=D&amp;ust=1605639815557000&amp;usg=AFQjCNGKgr_FBPZmZ5CoNtIP7K_gALfwyQ" TargetMode="External"/><Relationship Id="rId2868" Type="http://schemas.openxmlformats.org/officeDocument/2006/relationships/hyperlink" Target="https://www.google.com/url?q=https://dunjudge.me/analysis/problems/1473/&amp;sa=D&amp;ust=1605639816823000&amp;usg=AFQjCNH5QZx8n25AA04zW_GyzMicwNy2lw" TargetMode="External"/><Relationship Id="rId1677" Type="http://schemas.openxmlformats.org/officeDocument/2006/relationships/hyperlink" Target="https://www.google.com/url?q=https://github.com/mostafa-saad/MyCompetitiveProgramming/blob/master/Olympiad/Baltic/Baltic-08-Grid.txt&amp;sa=D&amp;ust=1605639816452000&amp;usg=AFQjCNEcLnTaszENx4vZ4iXdpCQqdaFmKw" TargetMode="External"/><Relationship Id="rId1884" Type="http://schemas.openxmlformats.org/officeDocument/2006/relationships/hyperlink" Target="https://www.google.com/url?q=https://szkopul.edu.pl/problemset/problem/TJVrS_hRC8W5Q6ZBW6mETAIm/site/&amp;sa=D&amp;ust=1605639816525000&amp;usg=AFQjCNGVFfasOJ4PmrthZxEEwXCcGjWTTQ" TargetMode="External"/><Relationship Id="rId2728" Type="http://schemas.openxmlformats.org/officeDocument/2006/relationships/hyperlink" Target="https://www.google.com/url?q=https://wcipeg.com/problem/coci087p2&amp;sa=D&amp;ust=1605639816778000&amp;usg=AFQjCNHKEfox_z_UmMXAQmqiAIQQZukRXA" TargetMode="External"/><Relationship Id="rId2935" Type="http://schemas.openxmlformats.org/officeDocument/2006/relationships/hyperlink" Target="https://www.google.com/url?q=https://dunjudge.me/analysis/problems/1498/&amp;sa=D&amp;ust=1605639816872000&amp;usg=AFQjCNEvTyAmQ5mSHjtCojmegOe4kHo_iA" TargetMode="External"/><Relationship Id="rId907" Type="http://schemas.openxmlformats.org/officeDocument/2006/relationships/hyperlink" Target="https://www.google.com/url?q=https://oj.uz/problems/source/197&amp;sa=D&amp;ust=1605639816086000&amp;usg=AFQjCNEowwoS1YrB_3lk6kKPQ7wWD_0vZA" TargetMode="External"/><Relationship Id="rId1537" Type="http://schemas.openxmlformats.org/officeDocument/2006/relationships/hyperlink" Target="https://www.google.com/url?q=https://github.com/mostafa-saad/MyCompetitiveProgramming/blob/master/Olympiad/POI/POI-08-BBB.txt&amp;sa=D&amp;ust=1605639816412000&amp;usg=AFQjCNFkW9SFRHNKj0GQXToqVWdQ42gGPQ" TargetMode="External"/><Relationship Id="rId1744" Type="http://schemas.openxmlformats.org/officeDocument/2006/relationships/hyperlink" Target="https://www.google.com/url?q=https://github.com/mushisgosuuu/oj-solutions/blob/master/BOI/network2014.cpp&amp;sa=D&amp;ust=1605639816475000&amp;usg=AFQjCNGPLByZXj2LTcRV9OOawit96nhJJQ" TargetMode="External"/><Relationship Id="rId1951" Type="http://schemas.openxmlformats.org/officeDocument/2006/relationships/hyperlink" Target="https://www.google.com/url?q=https://dmoj.ca/problem/mmcc15p1&amp;sa=D&amp;ust=1605639816545000&amp;usg=AFQjCNF29Z6ABhO51PKvAVIuGP4cTFwhhw" TargetMode="External"/><Relationship Id="rId36" Type="http://schemas.openxmlformats.org/officeDocument/2006/relationships/hyperlink" Target="https://www.google.com/url?q=https://www.acmicpc.net/problem/9282&amp;sa=D&amp;ust=1605639815498000&amp;usg=AFQjCNFJGhjDc14azyEHJSLAN7yHFgvbiA" TargetMode="External"/><Relationship Id="rId1604" Type="http://schemas.openxmlformats.org/officeDocument/2006/relationships/hyperlink" Target="https://www.google.com/url?q=https://github.com/mostafa-saad/MyCompetitiveProgramming/blob/master/Olympiad/ROS/ROJS-17-ultimateorbs.txt&amp;sa=D&amp;ust=1605639816433000&amp;usg=AFQjCNGrcBWjQHO2WfEb3oPGwdKIarNzbw" TargetMode="External"/><Relationship Id="rId1811" Type="http://schemas.openxmlformats.org/officeDocument/2006/relationships/hyperlink" Target="https://www.google.com/url?q=https://github.com/mostafa-saad/MyCompetitiveProgramming/blob/master/Olympiad/APIO/APIOPractice-14-mcamp.txt&amp;sa=D&amp;ust=1605639816500000&amp;usg=AFQjCNFaDhLUZxHFbtN0g-onSuDWoVdp3A" TargetMode="External"/><Relationship Id="rId697" Type="http://schemas.openxmlformats.org/officeDocument/2006/relationships/hyperlink" Target="https://www.google.com/url?q=https://github.com/mostafa-saad/MyCompetitiveProgramming/blob/master/Olympiad/Baltic/Baltic-06-Bitwise.txt&amp;sa=D&amp;ust=1605639815933000&amp;usg=AFQjCNHpbHTrIKBcFW-8TeOGUlvrZTP_zA" TargetMode="External"/><Relationship Id="rId2378" Type="http://schemas.openxmlformats.org/officeDocument/2006/relationships/hyperlink" Target="https://www.google.com/url?q=https://wcipeg.com/problem/coci091p3&amp;sa=D&amp;ust=1605639816674000&amp;usg=AFQjCNEiNzNmjAhc7SOOF0YLatlf3zkJhw" TargetMode="External"/><Relationship Id="rId1187" Type="http://schemas.openxmlformats.org/officeDocument/2006/relationships/hyperlink" Target="https://www.google.com/url?q=https://szkopul.edu.pl/problemset/problem/9JvSAnyf5d1FlPAEXEdUAtCz/site/&amp;sa=D&amp;ust=1605639816221000&amp;usg=AFQjCNHm1G9Gwcbi8IDb1gAwKzxwoYV_6g" TargetMode="External"/><Relationship Id="rId2585" Type="http://schemas.openxmlformats.org/officeDocument/2006/relationships/hyperlink" Target="https://www.google.com/url?q=https://github.com/mostafa-saad/MyCompetitiveProgramming/blob/master/Olympiad/COCI/official/2017/contest1_solutions&amp;sa=D&amp;ust=1605639816740000&amp;usg=AFQjCNF_GHH_Zc5v6JBv7oYGfGfUYmQ5fA" TargetMode="External"/><Relationship Id="rId2792" Type="http://schemas.openxmlformats.org/officeDocument/2006/relationships/hyperlink" Target="https://www.google.com/url?q=https://dmoj.ca/problem/coci08c3p2&amp;sa=D&amp;ust=1605639816800000&amp;usg=AFQjCNH1ER9knoXkZotZlVPnZ2shv9tH1Q" TargetMode="External"/><Relationship Id="rId557" Type="http://schemas.openxmlformats.org/officeDocument/2006/relationships/hyperlink" Target="https://www.google.com/url?q=https://github.com/mostafa-saad/MyCompetitiveProgramming/blob/master/Olympiad/COCI/COCI-08-Periodni.txt&amp;sa=D&amp;ust=1605639815885000&amp;usg=AFQjCNG5PQhzrDMO8lFQtJ15XvUN5fQ4qw" TargetMode="External"/><Relationship Id="rId764" Type="http://schemas.openxmlformats.org/officeDocument/2006/relationships/hyperlink" Target="https://www.google.com/url?q=https://github.com/Szawinis/CompetitiveProgramming/blob/master/Olympiad/COCI/COCI19-simfonija.cpp&amp;sa=D&amp;ust=1605639815985000&amp;usg=AFQjCNFZryZ2fKotA9zS8AcYrs_hhIgxNg" TargetMode="External"/><Relationship Id="rId971" Type="http://schemas.openxmlformats.org/officeDocument/2006/relationships/hyperlink" Target="https://www.google.com/url?q=https://oj.uz/problem/view/balkan11_trapezoid&amp;sa=D&amp;ust=1605639816106000&amp;usg=AFQjCNE_L61kyyUX4r6RUHjBPlDcGxD8yA" TargetMode="External"/><Relationship Id="rId1394" Type="http://schemas.openxmlformats.org/officeDocument/2006/relationships/hyperlink" Target="https://www.google.com/url?q=https://csacademy.com/contest/ioi-2016-training-round-1/task/farey_sequence&amp;sa=D&amp;ust=1605639816344000&amp;usg=AFQjCNHb6hVLaENLyA90Q6hELS1FY3rK4A" TargetMode="External"/><Relationship Id="rId2238" Type="http://schemas.openxmlformats.org/officeDocument/2006/relationships/hyperlink" Target="https://www.google.com/url?q=https://github.com/mostafa-saad/MyCompetitiveProgramming/blob/master/Olympiad/NOI/official/2011.pptx&amp;sa=D&amp;ust=1605639816636000&amp;usg=AFQjCNGAWurzILbcD4WF3VC4lQqF3XHV_w" TargetMode="External"/><Relationship Id="rId2445" Type="http://schemas.openxmlformats.org/officeDocument/2006/relationships/hyperlink" Target="https://www.google.com/url?q=https://github.com/dolphingarlic/CompetitiveProgramming/blob/master/COI/COCI%252020-politicari.cpp&amp;sa=D&amp;ust=1605639816701000&amp;usg=AFQjCNE_eGqrURZL7TpfuCbFUUrXnE_IIA" TargetMode="External"/><Relationship Id="rId2652" Type="http://schemas.openxmlformats.org/officeDocument/2006/relationships/hyperlink" Target="https://www.google.com/url?q=https://github.com/mostafa-saad/MyCompetitiveProgramming/tree/master/Olympiad/COCI/official/2008/regional_solutions&amp;sa=D&amp;ust=1605639816754000&amp;usg=AFQjCNFoXxqtePw2GKlOvXtWGhpw7neJLg" TargetMode="External"/><Relationship Id="rId417" Type="http://schemas.openxmlformats.org/officeDocument/2006/relationships/hyperlink" Target="https://www.google.com/url?q=https://oj.uz/problem/view/COCI17_retro&amp;sa=D&amp;ust=1605639815624000&amp;usg=AFQjCNHSsMAJP3F0qgZL2ZO8EXeJ_LX1Gw" TargetMode="External"/><Relationship Id="rId624" Type="http://schemas.openxmlformats.org/officeDocument/2006/relationships/hyperlink" Target="https://www.google.com/url?q=https://dmoj.ca/problem/coci14c3p6&amp;sa=D&amp;ust=1605639815909000&amp;usg=AFQjCNESFUK28ioqT2KwglyHeW1BcLdaBg" TargetMode="External"/><Relationship Id="rId831" Type="http://schemas.openxmlformats.org/officeDocument/2006/relationships/hyperlink" Target="https://www.google.com/url?q=https://www.infoarena.ro/problema/perioada&amp;sa=D&amp;ust=1605639816010000&amp;usg=AFQjCNFXcryMXJHHHKGUHYdyQAqiaTETcg" TargetMode="External"/><Relationship Id="rId1047" Type="http://schemas.openxmlformats.org/officeDocument/2006/relationships/hyperlink" Target="https://www.google.com/url?q=https://dunjudge.me/analysis/problems/573/&amp;sa=D&amp;ust=1605639816178000&amp;usg=AFQjCNEcpb3lnj9QvXJSFF1zRaXGzF3UlQ" TargetMode="External"/><Relationship Id="rId1254" Type="http://schemas.openxmlformats.org/officeDocument/2006/relationships/hyperlink" Target="https://www.google.com/url?q=https://github.com/mostafa-saad/MyCompetitiveProgramming/blob/master/Olympiad/COCI/COCI-16-vjestica.txt&amp;sa=D&amp;ust=1605639816296000&amp;usg=AFQjCNE9VXLyHurmLdetmx6L2L9in94IbA" TargetMode="External"/><Relationship Id="rId1461" Type="http://schemas.openxmlformats.org/officeDocument/2006/relationships/hyperlink" Target="https://www.google.com/url?q=https://joisc2016.contest.atcoder.jp/tasks/joisc2016_d&amp;sa=D&amp;ust=1605639816384000&amp;usg=AFQjCNF64_CeUrgZy9iSy6bQnTtG4RgrVA" TargetMode="External"/><Relationship Id="rId2305" Type="http://schemas.openxmlformats.org/officeDocument/2006/relationships/hyperlink" Target="https://www.google.com/url?q=https://github.com/stefdasca/CompetitiveProgramming/blob/master/Infoarena/nrsec.cpp&amp;sa=D&amp;ust=1605639816653000&amp;usg=AFQjCNF-w1coNxvpL-YIRkXxzeHqGdz-OQ" TargetMode="External"/><Relationship Id="rId2512" Type="http://schemas.openxmlformats.org/officeDocument/2006/relationships/hyperlink" Target="https://www.google.com/url?q=https://github.com/mostafa-saad/MyCompetitiveProgramming/blob/master/Olympiad/Baltic/official/boi2007_solutions&amp;sa=D&amp;ust=1605639816723000&amp;usg=AFQjCNF-bKZLa2U-j33l6tV3tD3wQ7xZYA" TargetMode="External"/><Relationship Id="rId1114" Type="http://schemas.openxmlformats.org/officeDocument/2006/relationships/hyperlink" Target="https://www.google.com/url?q=https://codeforces.com/blog/entry/68676&amp;sa=D&amp;ust=1605639816202000&amp;usg=AFQjCNENROK8cu2MpCCQGplSIdKqbgqLlg" TargetMode="External"/><Relationship Id="rId1321" Type="http://schemas.openxmlformats.org/officeDocument/2006/relationships/hyperlink" Target="https://www.google.com/url?q=https://cses.fi/100/list/&amp;sa=D&amp;ust=1605639816319000&amp;usg=AFQjCNF0QxWbtOXMVjlcamctwkufYZGDUw" TargetMode="External"/><Relationship Id="rId2095" Type="http://schemas.openxmlformats.org/officeDocument/2006/relationships/hyperlink" Target="https://www.google.com/url?q=http://usaco.org/index.php?page%3Dviewproblem2%26cpid%3D578&amp;sa=D&amp;ust=1605639816594000&amp;usg=AFQjCNH10dAa5zMFtMdVTAJOQzdZ41Lvew" TargetMode="External"/><Relationship Id="rId274" Type="http://schemas.openxmlformats.org/officeDocument/2006/relationships/hyperlink" Target="https://www.google.com/url?q=https://oj.uz/problem/view/COI16_palinilap&amp;sa=D&amp;ust=1605639815572000&amp;usg=AFQjCNEpCnW1bqzoT0kIewhCEjjKI_kYqg" TargetMode="External"/><Relationship Id="rId481" Type="http://schemas.openxmlformats.org/officeDocument/2006/relationships/hyperlink" Target="https://www.google.com/url?q=https://szkopul.edu.pl/problemset/problem/vX48bEW0i5IRszoCOP_f78Dc/site/&amp;sa=D&amp;ust=1605639815675000&amp;usg=AFQjCNGSwaDOG2PtUdyaEdrRq5a1Sp2iIg" TargetMode="External"/><Relationship Id="rId2162" Type="http://schemas.openxmlformats.org/officeDocument/2006/relationships/hyperlink" Target="https://www.google.com/url?q=https://github.com/mostafa-saad/MyCompetitiveProgramming/blob/master/Olympiad/COCI/official/2010/contest5_solutions&amp;sa=D&amp;ust=1605639816615000&amp;usg=AFQjCNEbFFBO7VDud-4kwFBm4zfE0fZBdA" TargetMode="External"/><Relationship Id="rId3006" Type="http://schemas.openxmlformats.org/officeDocument/2006/relationships/hyperlink" Target="https://www.google.com/url?q=https://dunjudge.me/analysis/problems/1476/&amp;sa=D&amp;ust=1605639816905000&amp;usg=AFQjCNFHHnqongNFUroX_WzymA8IkByBOw" TargetMode="External"/><Relationship Id="rId134" Type="http://schemas.openxmlformats.org/officeDocument/2006/relationships/hyperlink" Target="https://www.google.com/url?q=https://github.com/tmwilliamlin168/CompetitiveProgramming/blob/master/JOI/19O-Virus.cpp&amp;sa=D&amp;ust=1605639815531000&amp;usg=AFQjCNEGOfF7DdpC6CZQrUE4VYE8lOQ7Og" TargetMode="External"/><Relationship Id="rId341" Type="http://schemas.openxmlformats.org/officeDocument/2006/relationships/hyperlink" Target="https://www.google.com/url?q=https://oj.uz/problem/view/BOI14_sequence&amp;sa=D&amp;ust=1605639815595000&amp;usg=AFQjCNHqR8ZAF2yoFO_4eUfTSOriK3G-9Q" TargetMode="External"/><Relationship Id="rId2022" Type="http://schemas.openxmlformats.org/officeDocument/2006/relationships/hyperlink" Target="https://www.google.com/url?q=https://github.com/SpeedOfMagic/CompetitiveProgramming/blob/master/SNSS/18-R1-A.cpp&amp;sa=D&amp;ust=1605639816566000&amp;usg=AFQjCNF01IA49QhuIQe-L5CpeLvzcqUAxQ" TargetMode="External"/><Relationship Id="rId2979" Type="http://schemas.openxmlformats.org/officeDocument/2006/relationships/hyperlink" Target="https://www.google.com/url?q=https://szkopul.edu.pl/problemset/problem/vvd6w7n7EXFVEg3nkqGxEirV/site/&amp;sa=D&amp;ust=1605639816894000&amp;usg=AFQjCNEtGuJegTY_G-Q3qLRjkDO0VP51Ug" TargetMode="External"/><Relationship Id="rId201" Type="http://schemas.openxmlformats.org/officeDocument/2006/relationships/hyperlink" Target="https://www.google.com/url?q=https://github.com/mostafa-saad/MyCompetitiveProgramming/blob/master/Olympiad/Baltic/Baltic-10-Bears.txt&amp;sa=D&amp;ust=1605639815549000&amp;usg=AFQjCNEwdbdHRMdFXGax07FaZ7ztunkhbw" TargetMode="External"/><Relationship Id="rId1788" Type="http://schemas.openxmlformats.org/officeDocument/2006/relationships/hyperlink" Target="https://www.google.com/url?q=https://github.com/stefdasca/CompetitiveProgramming/blob/master/Infoarena/zmeu.cpp&amp;sa=D&amp;ust=1605639816492000&amp;usg=AFQjCNE3k6nAu88GY5R766TPeSTxIaEMKg" TargetMode="External"/><Relationship Id="rId1995" Type="http://schemas.openxmlformats.org/officeDocument/2006/relationships/hyperlink" Target="https://www.google.com/url?q=https://github.com/mostafa-saad/MyCompetitiveProgramming/blob/master/Olympiad/COCI/COCI-07-Jednakost.txt&amp;sa=D&amp;ust=1605639816558000&amp;usg=AFQjCNEAr2e5aD3LcYTrGyjtnFgPDDwN0A" TargetMode="External"/><Relationship Id="rId2839" Type="http://schemas.openxmlformats.org/officeDocument/2006/relationships/hyperlink" Target="https://www.google.com/url?q=https://github.com/mostafa-saad/MyCompetitiveProgramming/tree/master/Olympiad/COCI/official/2008/contest3_solutions&amp;sa=D&amp;ust=1605639816813000&amp;usg=AFQjCNGdU_0hYZIBD4twVmhSGEeaeup08w" TargetMode="External"/><Relationship Id="rId1648" Type="http://schemas.openxmlformats.org/officeDocument/2006/relationships/hyperlink" Target="https://www.google.com/url?q=https://github.com/stefdasca/CompetitiveProgramming/blob/master/Infoarena/amenzi.cpp&amp;sa=D&amp;ust=1605639816445000&amp;usg=AFQjCNExUX2F3-9pZbvMBy_yHnLzB10aRQ" TargetMode="External"/><Relationship Id="rId1508" Type="http://schemas.openxmlformats.org/officeDocument/2006/relationships/hyperlink" Target="https://www.google.com/url?q=https://github.com/mostafa-saad/MyCompetitiveProgramming/blob/master/Olympiad/POI/official/find_editorial_sols_guidelines.txt&amp;sa=D&amp;ust=1605639816402000&amp;usg=AFQjCNGCOTe4rUu5MDlif61w-mBIe2Boxg" TargetMode="External"/><Relationship Id="rId1855" Type="http://schemas.openxmlformats.org/officeDocument/2006/relationships/hyperlink" Target="https://www.google.com/url?q=https://github.com/mostafa-saad/MyCompetitiveProgramming/blob/master/Olympiad/IOI/official/2004&amp;sa=D&amp;ust=1605639816516000&amp;usg=AFQjCNHJGqgD4764j0lc0GmnXnM3HYuoSg" TargetMode="External"/><Relationship Id="rId2906" Type="http://schemas.openxmlformats.org/officeDocument/2006/relationships/hyperlink" Target="https://www.google.com/url?q=https://oj.uz/problem/view/info1cup17_permutation&amp;sa=D&amp;ust=1605639816844000&amp;usg=AFQjCNEgUjN8XbFF-hVTEHUkh-lO0UOURg" TargetMode="External"/><Relationship Id="rId1715" Type="http://schemas.openxmlformats.org/officeDocument/2006/relationships/hyperlink" Target="https://www.google.com/url?q=https://www.infoarena.ro/problema/aranjare&amp;sa=D&amp;ust=1605639816463000&amp;usg=AFQjCNHSc5aSn-4oQCIREYpKzHn4W2klJQ" TargetMode="External"/><Relationship Id="rId1922" Type="http://schemas.openxmlformats.org/officeDocument/2006/relationships/hyperlink" Target="https://www.google.com/url?q=https://dmoj.ca/problem/dmopc17c1p5&amp;sa=D&amp;ust=1605639816536000&amp;usg=AFQjCNG7W75cBI_bqOTaWFuqBZN9IAKAyA" TargetMode="External"/><Relationship Id="rId2489" Type="http://schemas.openxmlformats.org/officeDocument/2006/relationships/hyperlink" Target="https://www.google.com/url?q=https://www.infoarena.ro/problema/rfinv&amp;sa=D&amp;ust=1605639816715000&amp;usg=AFQjCNGP7fLwjwgwUMgb1UzQgrycQoH2TA" TargetMode="External"/><Relationship Id="rId2696" Type="http://schemas.openxmlformats.org/officeDocument/2006/relationships/hyperlink" Target="https://www.google.com/url?q=https://dunjudge.me/analysis/problems/266/&amp;sa=D&amp;ust=1605639816764000&amp;usg=AFQjCNE2I63Tj3t5tTdpOieCbKSE8QSVmQ" TargetMode="External"/><Relationship Id="rId668" Type="http://schemas.openxmlformats.org/officeDocument/2006/relationships/hyperlink" Target="https://www.google.com/url?q=https://oj.uz/problem/view/BOI15_fil&amp;sa=D&amp;ust=1605639815924000&amp;usg=AFQjCNHQM65RZu9459Y-JXn8Y83XZL_lZQ" TargetMode="External"/><Relationship Id="rId875" Type="http://schemas.openxmlformats.org/officeDocument/2006/relationships/hyperlink" Target="https://www.google.com/url?q=https://github.com/mostafa-saad/MyCompetitiveProgramming/blob/master/Olympiad/IOI/official/2010&amp;sa=D&amp;ust=1605639816025000&amp;usg=AFQjCNEPurDRQwF0mV5qsiI_z20H2Ei1Kg" TargetMode="External"/><Relationship Id="rId1298" Type="http://schemas.openxmlformats.org/officeDocument/2006/relationships/hyperlink" Target="https://www.google.com/url?q=https://github.com/mostafa-saad/MyCompetitiveProgramming/blob/master/Olympiad/infoarena/infoarena-pitici3.txt&amp;sa=D&amp;ust=1605639816310000&amp;usg=AFQjCNGktm4cvQghSRXYjiPxkbTNbR3OsA" TargetMode="External"/><Relationship Id="rId2349" Type="http://schemas.openxmlformats.org/officeDocument/2006/relationships/hyperlink" Target="https://www.google.com/url?q=https://github.com/stefdasca/CompetitiveProgramming/blob/master/Infoarena/cate3cifre.cpp&amp;sa=D&amp;ust=1605639816665000&amp;usg=AFQjCNHxk-svpBl60FE5AEUkaRQWEJ6lWg" TargetMode="External"/><Relationship Id="rId2556" Type="http://schemas.openxmlformats.org/officeDocument/2006/relationships/hyperlink" Target="https://www.google.com/url?q=https://dmoj.ca/problem/coci14c4p2&amp;sa=D&amp;ust=1605639816733000&amp;usg=AFQjCNFcCtvOl8fUZqfccrAgTAEdjfKgng" TargetMode="External"/><Relationship Id="rId2763" Type="http://schemas.openxmlformats.org/officeDocument/2006/relationships/hyperlink" Target="https://www.google.com/url?q=https://dmoj.ca/problem/coci14c3p1&amp;sa=D&amp;ust=1605639816787000&amp;usg=AFQjCNGsU9nSSfRUCb7YNz71AcF9kObr5Q" TargetMode="External"/><Relationship Id="rId2970" Type="http://schemas.openxmlformats.org/officeDocument/2006/relationships/hyperlink" Target="https://www.google.com/url?q=https://szkopul.edu.pl/problemset/problem/kqBM3UKWL-qlFiXIOxPXL35m/site/&amp;sa=D&amp;ust=1605639816888000&amp;usg=AFQjCNGvac8xx5itejXQf988MciJNT_D8A" TargetMode="External"/><Relationship Id="rId528" Type="http://schemas.openxmlformats.org/officeDocument/2006/relationships/hyperlink" Target="https://www.google.com/url?q=https://oj.uz/problem/view/BOI15_tug&amp;sa=D&amp;ust=1605639815836000&amp;usg=AFQjCNGJ6DDVwab91hoiJ85MbgAv5cc23Q" TargetMode="External"/><Relationship Id="rId735" Type="http://schemas.openxmlformats.org/officeDocument/2006/relationships/hyperlink" Target="https://www.google.com/url?q=https://github.com/tmwilliamlin168/CompetitiveProgramming/blob/master/BtOI/16-Cities.cpp&amp;sa=D&amp;ust=1605639815975000&amp;usg=AFQjCNEh_nZ_YfcsvGZMyGJpYmtOuSv9PA" TargetMode="External"/><Relationship Id="rId942" Type="http://schemas.openxmlformats.org/officeDocument/2006/relationships/hyperlink" Target="https://www.google.com/url?q=https://github.com/mostafa-saad/MyCompetitiveProgramming/tree/master/Olympiad/COI/official/2014&amp;sa=D&amp;ust=1605639816096000&amp;usg=AFQjCNGaX-MdGDswjOFvecm6xkWldYt6JA" TargetMode="External"/><Relationship Id="rId1158" Type="http://schemas.openxmlformats.org/officeDocument/2006/relationships/hyperlink" Target="https://www.google.com/url?q=https://github.com/mostafa-saad/MyCompetitiveProgramming/blob/master/Olympiad/COCI/COCI-14-Kamp.txt&amp;sa=D&amp;ust=1605639816214000&amp;usg=AFQjCNGRGAdgralNCLHu6NVUQl3FKm4ZJA" TargetMode="External"/><Relationship Id="rId1365" Type="http://schemas.openxmlformats.org/officeDocument/2006/relationships/hyperlink" Target="https://www.google.com/url?q=https://github.com/mostafa-saad/MyCompetitiveProgramming/blob/master/Olympiad/infoarena/infoarena-retea3.txt&amp;sa=D&amp;ust=1605639816334000&amp;usg=AFQjCNFow6rTo6mHEl0scp8huuULPV5jQw" TargetMode="External"/><Relationship Id="rId1572" Type="http://schemas.openxmlformats.org/officeDocument/2006/relationships/hyperlink" Target="https://www.google.com/url?q=https://cses.fi/111/list/&amp;sa=D&amp;ust=1605639816423000&amp;usg=AFQjCNGxkTwB7IdUt3eHpzfXyLrnAi6Guw" TargetMode="External"/><Relationship Id="rId2209" Type="http://schemas.openxmlformats.org/officeDocument/2006/relationships/hyperlink" Target="https://www.google.com/url?q=https://github.com/mostafa-saad/MyCompetitiveProgramming/blob/master/Olympiad/IOI/official/2003&amp;sa=D&amp;ust=1605639816629000&amp;usg=AFQjCNEpmAwYSgnhCzncfX_S8sB3nE_sHw" TargetMode="External"/><Relationship Id="rId2416" Type="http://schemas.openxmlformats.org/officeDocument/2006/relationships/hyperlink" Target="https://www.google.com/url?q=https://dmoj.ca/problem/coci06c2p4&amp;sa=D&amp;ust=1605639816690000&amp;usg=AFQjCNG9xwWTD_iljCgeu5FhhJd0v2iHHQ" TargetMode="External"/><Relationship Id="rId2623" Type="http://schemas.openxmlformats.org/officeDocument/2006/relationships/hyperlink" Target="https://www.google.com/url?q=https://dmoj.ca/problem/coci08c6p3&amp;sa=D&amp;ust=1605639816747000&amp;usg=AFQjCNE6EHe9Y3eKAhPg4jaJdXgH-HNZqg" TargetMode="External"/><Relationship Id="rId1018" Type="http://schemas.openxmlformats.org/officeDocument/2006/relationships/hyperlink" Target="https://www.google.com/url?q=https://github.com/mostafa-saad/MyCompetitiveProgramming/blob/master/Olympiad/APIO/APIO-07-Zoo.txt&amp;sa=D&amp;ust=1605639816165000&amp;usg=AFQjCNHlzYkt-rxD9S6XMKYm6KS-VMVsHw" TargetMode="External"/><Relationship Id="rId1225" Type="http://schemas.openxmlformats.org/officeDocument/2006/relationships/hyperlink" Target="https://www.google.com/url?q=https://oj.uz/problem/view/BOI19_nautilus&amp;sa=D&amp;ust=1605639816285000&amp;usg=AFQjCNFzrlteMPUu_Yur2iA3xVPEC936UA" TargetMode="External"/><Relationship Id="rId1432" Type="http://schemas.openxmlformats.org/officeDocument/2006/relationships/hyperlink" Target="https://www.google.com/url?q=https://oj.uz/problem/view/BOI11_grow&amp;sa=D&amp;ust=1605639816372000&amp;usg=AFQjCNGCm9o1HX0gGD4WQKJwYVmBsm9hrA" TargetMode="External"/><Relationship Id="rId2830" Type="http://schemas.openxmlformats.org/officeDocument/2006/relationships/hyperlink" Target="https://www.google.com/url?q=https://dmoj.ca/problem/coci07c1p1&amp;sa=D&amp;ust=1605639816810000&amp;usg=AFQjCNE6RNmloV2QDSWX9tiizow7iIv_yA" TargetMode="External"/><Relationship Id="rId71" Type="http://schemas.openxmlformats.org/officeDocument/2006/relationships/hyperlink" Target="https://www.google.com/url?q=https://github.com/mostafa-saad/MyCompetitiveProgramming/blob/master/Olympiad/CEOI/CEOI-09-Boxes.txt&amp;sa=D&amp;ust=1605639815512000&amp;usg=AFQjCNE5ALUH-vX_K3uEyML5J_xG-igNTA" TargetMode="External"/><Relationship Id="rId802" Type="http://schemas.openxmlformats.org/officeDocument/2006/relationships/hyperlink" Target="https://www.google.com/url?q=https://dmoj.ca/problem/coci06c2p6&amp;sa=D&amp;ust=1605639815999000&amp;usg=AFQjCNHDzOnHZIAFaelAXOoWdudup4en_g" TargetMode="External"/><Relationship Id="rId178" Type="http://schemas.openxmlformats.org/officeDocument/2006/relationships/hyperlink" Target="https://www.google.com/url?q=https://github.com/mostafa-saad/MyCompetitiveProgramming/blob/master/Olympiad/Baltic/official/boi2014_solutions&amp;sa=D&amp;ust=1605639815544000&amp;usg=AFQjCNHhdcVQTA31FkbnrhIBFsIbp14EQg" TargetMode="External"/><Relationship Id="rId385" Type="http://schemas.openxmlformats.org/officeDocument/2006/relationships/hyperlink" Target="https://www.google.com/url?q=https://oj.uz/problem/view/COCI18_suncanje&amp;sa=D&amp;ust=1605639815611000&amp;usg=AFQjCNHeEV_3SlZFMMes1PSzuUi0etrV-w" TargetMode="External"/><Relationship Id="rId592" Type="http://schemas.openxmlformats.org/officeDocument/2006/relationships/hyperlink" Target="https://www.google.com/url?q=https://www.infoarena.ro/problema/fft2d&amp;sa=D&amp;ust=1605639815898000&amp;usg=AFQjCNHVt5LtUcCuD7IYH8Id3VrL1oYnVw" TargetMode="External"/><Relationship Id="rId2066" Type="http://schemas.openxmlformats.org/officeDocument/2006/relationships/hyperlink" Target="https://www.google.com/url?q=https://github.com/mostafa-saad/MyCompetitiveProgramming/blob/master/Olympiad/Baltic/Baltic-11-grow.txt&amp;sa=D&amp;ust=1605639816584000&amp;usg=AFQjCNGOuPy_BdMgyf7qwYP7xTOAbqwM4Q" TargetMode="External"/><Relationship Id="rId2273" Type="http://schemas.openxmlformats.org/officeDocument/2006/relationships/hyperlink" Target="https://www.google.com/url?q=https://dunjudge.me/analysis/problems/270/&amp;sa=D&amp;ust=1605639816645000&amp;usg=AFQjCNG8AsUuSRnkQYallEf54xTF7ZbElg" TargetMode="External"/><Relationship Id="rId2480" Type="http://schemas.openxmlformats.org/officeDocument/2006/relationships/hyperlink" Target="https://www.google.com/url?q=https://dmoj.ca/problem/coci14c3p4&amp;sa=D&amp;ust=1605639816713000&amp;usg=AFQjCNF3ErWDohzHMOF_GNCXdb4tm3AgRw" TargetMode="External"/><Relationship Id="rId245" Type="http://schemas.openxmlformats.org/officeDocument/2006/relationships/hyperlink" Target="https://www.google.com/url?q=https://github.com/mostafa-saad/MyCompetitiveProgramming/blob/master/Olympiad/Baltic/Baltic-15-edi.txt&amp;sa=D&amp;ust=1605639815561000&amp;usg=AFQjCNHyJN3nRAc1oseA5k0UaUfHGPRU3w" TargetMode="External"/><Relationship Id="rId452" Type="http://schemas.openxmlformats.org/officeDocument/2006/relationships/hyperlink" Target="https://www.google.com/url?q=https://dmoj.ca/problem/coci08c2p6&amp;sa=D&amp;ust=1605639815636000&amp;usg=AFQjCNFygFk--02noGQO2E6WmxG0kANMyw" TargetMode="External"/><Relationship Id="rId1082" Type="http://schemas.openxmlformats.org/officeDocument/2006/relationships/hyperlink" Target="https://www.google.com/url?q=https://github.com/mostafa-saad/MyCompetitiveProgramming/blob/master/Olympiad/Balkan/Balkan-09-Reading.txt&amp;sa=D&amp;ust=1605639816190000&amp;usg=AFQjCNEr4ocAjK-g9vSHMe4PXs9092oCzw" TargetMode="External"/><Relationship Id="rId2133" Type="http://schemas.openxmlformats.org/officeDocument/2006/relationships/hyperlink" Target="https://www.google.com/url?q=https://dunjudge.me/analysis/problems/703/&amp;sa=D&amp;ust=1605639816605000&amp;usg=AFQjCNGQeRIqRIQgIBbKLjh3I_4fjThgEQ" TargetMode="External"/><Relationship Id="rId2340" Type="http://schemas.openxmlformats.org/officeDocument/2006/relationships/hyperlink" Target="https://www.google.com/url?q=https://github.com/mostafa-saad/MyCompetitiveProgramming/blob/master/Olympiad/COCI/official/2017/contest7_solutions&amp;sa=D&amp;ust=1605639816661000&amp;usg=AFQjCNG7Wqo8T9vT773HktW7cDz2wzB2zw" TargetMode="External"/><Relationship Id="rId105" Type="http://schemas.openxmlformats.org/officeDocument/2006/relationships/hyperlink" Target="https://www.google.com/url?q=https://oj.uz/problem/view/BOI13_vim&amp;sa=D&amp;ust=1605639815522000&amp;usg=AFQjCNHL56r-KtQrHpy8w_-B1gAmE4alIA" TargetMode="External"/><Relationship Id="rId312" Type="http://schemas.openxmlformats.org/officeDocument/2006/relationships/hyperlink" Target="https://www.google.com/url?q=https://github.com/mostafa-saad/MyCompetitiveProgramming/blob/master/Olympiad/POI/POI-14-Supercomputer.txt&amp;sa=D&amp;ust=1605639815585000&amp;usg=AFQjCNGSGoQkzMo-OWmjweEPlwE1_vjLUQ" TargetMode="External"/><Relationship Id="rId2200" Type="http://schemas.openxmlformats.org/officeDocument/2006/relationships/hyperlink" Target="https://www.google.com/url?q=https://github.com/mostafa-saad/MyCompetitiveProgramming/blob/master/Olympiad/POI/official/find_editorial_sols_guidelines.txt&amp;sa=D&amp;ust=1605639816627000&amp;usg=AFQjCNH3jIfySh3p9Y0r4xQut25d9jyTJA" TargetMode="External"/><Relationship Id="rId1899" Type="http://schemas.openxmlformats.org/officeDocument/2006/relationships/hyperlink" Target="https://www.google.com/url?q=https://cses.fi/191/list/&amp;sa=D&amp;ust=1605639816529000&amp;usg=AFQjCNHzdfGUv_jKG4gjD1fIXXvJylpvjg" TargetMode="External"/><Relationship Id="rId1759" Type="http://schemas.openxmlformats.org/officeDocument/2006/relationships/hyperlink" Target="https://www.google.com/url?q=https://www.infoarena.ro/problema/drept2&amp;sa=D&amp;ust=1605639816481000&amp;usg=AFQjCNGNDtmEX7x1wM40lzi6OeMvr-qU1g" TargetMode="External"/><Relationship Id="rId1966" Type="http://schemas.openxmlformats.org/officeDocument/2006/relationships/hyperlink" Target="https://www.google.com/url?q=https://oj.uz/problem/view/IOI07_aliens&amp;sa=D&amp;ust=1605639816549000&amp;usg=AFQjCNEI-tf9eXiNR4-Vus5VM_967KNOKg" TargetMode="External"/><Relationship Id="rId1619" Type="http://schemas.openxmlformats.org/officeDocument/2006/relationships/hyperlink" Target="https://www.google.com/url?q=https://oj.uz/problem/view/CEOI15_bobek&amp;sa=D&amp;ust=1605639816437000&amp;usg=AFQjCNH5q8jfl4BN-eiXlPpqtx9t3c8BpQ" TargetMode="External"/><Relationship Id="rId1826" Type="http://schemas.openxmlformats.org/officeDocument/2006/relationships/hyperlink" Target="https://www.google.com/url?q=https://www.infoarena.ro/problema/omizi&amp;sa=D&amp;ust=1605639816506000&amp;usg=AFQjCNHP97kPefjABWCs-BGXYJEIGczygA" TargetMode="External"/><Relationship Id="rId779" Type="http://schemas.openxmlformats.org/officeDocument/2006/relationships/hyperlink" Target="https://www.google.com/url?q=https://cses.fi/179/list/&amp;sa=D&amp;ust=1605639815990000&amp;usg=AFQjCNEUz1sDcqN6ArOhM8ahMCn_Nq3jtg" TargetMode="External"/><Relationship Id="rId986" Type="http://schemas.openxmlformats.org/officeDocument/2006/relationships/hyperlink" Target="https://www.google.com/url?q=https://github.com/mostafa-saad/MyCompetitiveProgramming/blob/master/Olympiad/JOI/JOISC-19-Naan.txt&amp;sa=D&amp;ust=1605639816109000&amp;usg=AFQjCNGBqHXIC9szCZpDYUs7ZSqcIkd4QQ" TargetMode="External"/><Relationship Id="rId2667" Type="http://schemas.openxmlformats.org/officeDocument/2006/relationships/hyperlink" Target="https://www.google.com/url?q=https://github.com/mostafa-saad/MyCompetitiveProgramming/blob/master/Olympiad/COCI/official/2010/contest5_solutions&amp;sa=D&amp;ust=1605639816758000&amp;usg=AFQjCNFY7N18lO88G9a_5gSquDLHyRi5Fw" TargetMode="External"/><Relationship Id="rId639" Type="http://schemas.openxmlformats.org/officeDocument/2006/relationships/hyperlink" Target="https://www.google.com/url?q=https://github.com/mostafa-saad/MyCompetitiveProgramming/blob/master/Olympiad/CEOI/COCI-17-klavir.txt&amp;sa=D&amp;ust=1605639815914000&amp;usg=AFQjCNHLKlhdhJ4luanErBR0u7wiQJ3o6g" TargetMode="External"/><Relationship Id="rId1269" Type="http://schemas.openxmlformats.org/officeDocument/2006/relationships/hyperlink" Target="https://www.google.com/url?q=https://szkopul.edu.pl/problemset/problem/U6ajLqOdhbPOfK02zqN8MmZf/site/&amp;sa=D&amp;ust=1605639816300000&amp;usg=AFQjCNGsFGLVSEPn0AAXT-MXKI1qj6aLAQ" TargetMode="External"/><Relationship Id="rId1476" Type="http://schemas.openxmlformats.org/officeDocument/2006/relationships/hyperlink" Target="https://www.google.com/url?q=https://github.com/mostafa-saad/MyCompetitiveProgramming/blob/master/Olympiad/COCI/official/2010/contest3_solutions&amp;sa=D&amp;ust=1605639816390000&amp;usg=AFQjCNGmkf9sBgK1_5oYpOldQ_yJoOpAbA" TargetMode="External"/><Relationship Id="rId2874" Type="http://schemas.openxmlformats.org/officeDocument/2006/relationships/hyperlink" Target="https://www.google.com/url?q=https://dmoj.ca/problem/mwc15c2p2&amp;sa=D&amp;ust=1605639816824000&amp;usg=AFQjCNGh5TnIQjVq383pvtDUo_0haG8AXw" TargetMode="External"/><Relationship Id="rId846" Type="http://schemas.openxmlformats.org/officeDocument/2006/relationships/hyperlink" Target="https://www.google.com/url?q=https://github.com/mostafa-saad/MyCompetitiveProgramming/tree/master/Olympiad/COCI/official/2009/olympiad_solutions&amp;sa=D&amp;ust=1605639816016000&amp;usg=AFQjCNGv-EGTUis_0bH03a2GonBDNJ5lRg" TargetMode="External"/><Relationship Id="rId1129" Type="http://schemas.openxmlformats.org/officeDocument/2006/relationships/hyperlink" Target="https://www.google.com/url?q=https://oj.uz/problem/view/JOI19_mergers&amp;sa=D&amp;ust=1605639816207000&amp;usg=AFQjCNHCgtj899i1G9RqdvCsrZw8BJ1mmA" TargetMode="External"/><Relationship Id="rId1683" Type="http://schemas.openxmlformats.org/officeDocument/2006/relationships/hyperlink" Target="https://www.google.com/url?q=https://github.com/SpeedOfMagic/CompetitiveProgramming/blob/master/Baltic/14-friends.cpp&amp;sa=D&amp;ust=1605639816454000&amp;usg=AFQjCNFX6aUeLconYZgVre6rot5wv7grYA" TargetMode="External"/><Relationship Id="rId1890" Type="http://schemas.openxmlformats.org/officeDocument/2006/relationships/hyperlink" Target="https://www.google.com/url?q=https://oj.uz/problem/view/BOI15_net&amp;sa=D&amp;ust=1605639816527000&amp;usg=AFQjCNEAsNGBksHSNfocw0tQQjXrEiv9qA" TargetMode="External"/><Relationship Id="rId2527" Type="http://schemas.openxmlformats.org/officeDocument/2006/relationships/hyperlink" Target="https://www.google.com/url?q=https://szkopul.edu.pl/problemset/problem/Z8dyWFvoZuAJMjzLhqu4IH2o/site/&amp;sa=D&amp;ust=1605639816728000&amp;usg=AFQjCNHKEWH12Q5psoa2ppGmnOfRaPfP3Q" TargetMode="External"/><Relationship Id="rId2734" Type="http://schemas.openxmlformats.org/officeDocument/2006/relationships/hyperlink" Target="https://www.google.com/url?q=https://dmoj.ca/problem/coci14c6p1&amp;sa=D&amp;ust=1605639816779000&amp;usg=AFQjCNG9ghDy00kyvfxBn9UlxTx6qIGU-w" TargetMode="External"/><Relationship Id="rId2941" Type="http://schemas.openxmlformats.org/officeDocument/2006/relationships/hyperlink" Target="https://www.google.com/url?q=https://dunjudge.me/analysis/problems/43/&amp;sa=D&amp;ust=1605639816874000&amp;usg=AFQjCNH_aDuuARx2jDfztN_BYqtD-u8zFA" TargetMode="External"/><Relationship Id="rId706" Type="http://schemas.openxmlformats.org/officeDocument/2006/relationships/hyperlink" Target="https://www.google.com/url?q=https://oj.uz/problem/view/IZhO17_subsequence&amp;sa=D&amp;ust=1605639815964000&amp;usg=AFQjCNHKteby55M6UNgSkAyO20MMZpBGAg" TargetMode="External"/><Relationship Id="rId913" Type="http://schemas.openxmlformats.org/officeDocument/2006/relationships/hyperlink" Target="https://www.google.com/url?q=https://oj.uz/problem/view/COCI18_vrtic&amp;sa=D&amp;ust=1605639816088000&amp;usg=AFQjCNGZQN_v4Exb-U5lfAeXLTbTk8WpEg" TargetMode="External"/><Relationship Id="rId1336" Type="http://schemas.openxmlformats.org/officeDocument/2006/relationships/hyperlink" Target="https://www.google.com/url?q=https://dunjudge.me/analysis/problems/1229/&amp;sa=D&amp;ust=1605639816324000&amp;usg=AFQjCNEblrAy4i6fUEMtvWIs-_Z3PDlRrw" TargetMode="External"/><Relationship Id="rId1543" Type="http://schemas.openxmlformats.org/officeDocument/2006/relationships/hyperlink" Target="https://www.google.com/url?q=https://github.com/mostafa-saad/MyCompetitiveProgramming/blob/master/Olympiad/Balkan/Balkan-18-zalmoxis.txt&amp;sa=D&amp;ust=1605639816414000&amp;usg=AFQjCNEFoPUTj2ujlvnKZ8UKlDRNIYKq9w" TargetMode="External"/><Relationship Id="rId1750" Type="http://schemas.openxmlformats.org/officeDocument/2006/relationships/hyperlink" Target="https://www.google.com/url?q=https://github.com/mostafa-saad/MyCompetitiveProgramming/blob/master/Olympiad/POI/POI-05-Bus.txt&amp;sa=D&amp;ust=1605639816476000&amp;usg=AFQjCNFt9IsVZR7Asa7izn45IRPEAiX1UA" TargetMode="External"/><Relationship Id="rId2801" Type="http://schemas.openxmlformats.org/officeDocument/2006/relationships/hyperlink" Target="https://www.google.com/url?q=https://github.com/mostafa-saad/MyCompetitiveProgramming/blob/master/Olympiad/COCI/official/2010/contest1_solutions&amp;sa=D&amp;ust=1605639816802000&amp;usg=AFQjCNHAfdcidXa4ETeEh0g36gPf38zdIA" TargetMode="External"/><Relationship Id="rId42" Type="http://schemas.openxmlformats.org/officeDocument/2006/relationships/hyperlink" Target="https://www.google.com/url?q=https://github.com/fyquah95/ioi-malaysia-2016-training-camp&amp;sa=D&amp;ust=1605639815499000&amp;usg=AFQjCNGcIrNxdbxrxrkCeAC6ZPIbrE2YCQ" TargetMode="External"/><Relationship Id="rId1403" Type="http://schemas.openxmlformats.org/officeDocument/2006/relationships/hyperlink" Target="https://www.google.com/url?q=http://usaco.org/index.php?page%3Dviewproblem2%26cpid%3D533&amp;sa=D&amp;ust=1605639816347000&amp;usg=AFQjCNGHPye7ZNPT_hhKeQ2elUuqzJiypg" TargetMode="External"/><Relationship Id="rId1610" Type="http://schemas.openxmlformats.org/officeDocument/2006/relationships/hyperlink" Target="https://www.google.com/url?q=https://github.com/mostafa-saad/MyCompetitiveProgramming/blob/master/Olympiad/infoarena/infoarena-interact.txt&amp;sa=D&amp;ust=1605639816434000&amp;usg=AFQjCNEBdF9LHJ2bJF7W1LSlAP7Gx2HlMw" TargetMode="External"/><Relationship Id="rId289" Type="http://schemas.openxmlformats.org/officeDocument/2006/relationships/hyperlink" Target="https://www.google.com/url?q=https://github.com/mostafa-saad/MyCompetitiveProgramming/blob/master/Olympiad/IOI/IOI-07-training.txt&amp;sa=D&amp;ust=1605639815576000&amp;usg=AFQjCNFsSM0oY7-frC-Qu9CaM7m0cOzuag" TargetMode="External"/><Relationship Id="rId496" Type="http://schemas.openxmlformats.org/officeDocument/2006/relationships/hyperlink" Target="https://www.google.com/url?q=https://oj.uz/problem/view/COCI18_teoreticar&amp;sa=D&amp;ust=1605639815681000&amp;usg=AFQjCNHZ7aqXbCK7OCwK8tI3zSV0mTc1Rw" TargetMode="External"/><Relationship Id="rId2177" Type="http://schemas.openxmlformats.org/officeDocument/2006/relationships/hyperlink" Target="https://www.google.com/url?q=https://github.com/mostafa-saad/MyCompetitiveProgramming/blob/master/Olympiad/COCI/official/2009/regional_solutions&amp;sa=D&amp;ust=1605639816620000&amp;usg=AFQjCNFpM193fwOPTE3tI-BlPA4Iuu5L9w" TargetMode="External"/><Relationship Id="rId2384" Type="http://schemas.openxmlformats.org/officeDocument/2006/relationships/hyperlink" Target="https://www.google.com/url?q=https://szkopul.edu.pl/problemset/problem/Arkza0f7GKKb-m1YZJulnlMk/site/&amp;sa=D&amp;ust=1605639816677000&amp;usg=AFQjCNH-DyoDs7Dpts3dd7OK2MxJPWz8bw" TargetMode="External"/><Relationship Id="rId2591" Type="http://schemas.openxmlformats.org/officeDocument/2006/relationships/hyperlink" Target="https://www.google.com/url?q=https://oj.uz/problem/view/COCI16_tavan&amp;sa=D&amp;ust=1605639816741000&amp;usg=AFQjCNEH6UNGHN_P5VANoRf7nlCA5t9XAA" TargetMode="External"/><Relationship Id="rId149" Type="http://schemas.openxmlformats.org/officeDocument/2006/relationships/hyperlink" Target="https://www.google.com/url?q=https://github.com/mostafa-saad/MyCompetitiveProgramming/blob/master/Olympiad/IOI/IOI-19-line.txt&amp;sa=D&amp;ust=1605639815535000&amp;usg=AFQjCNFwA8N5ckwyBqHwsXixZArW82lJIA" TargetMode="External"/><Relationship Id="rId356" Type="http://schemas.openxmlformats.org/officeDocument/2006/relationships/hyperlink" Target="https://www.google.com/url?q=https://github.com/mostafa-saad/MyCompetitiveProgramming/blob/master/Olympiad/POI/POI-04-Cave.txt&amp;sa=D&amp;ust=1605639815600000&amp;usg=AFQjCNG10BmmJ4xWByxPIolgcxjlEjW6mg" TargetMode="External"/><Relationship Id="rId563" Type="http://schemas.openxmlformats.org/officeDocument/2006/relationships/hyperlink" Target="https://www.google.com/url?q=https://github.com/mostafa-saad/MyCompetitiveProgramming/blob/master/Olympiad/COCI/COCI-06-Prostor.txt&amp;sa=D&amp;ust=1605639815887000&amp;usg=AFQjCNEkrT3pazWqwCj2pUT4gO9TvQVXuw" TargetMode="External"/><Relationship Id="rId770" Type="http://schemas.openxmlformats.org/officeDocument/2006/relationships/hyperlink" Target="https://www.google.com/url?q=https://github.com/mostafa-saad/MyCompetitiveProgramming/blob/master/Olympiad/POI/POI-09-Ice_Skates.txt&amp;sa=D&amp;ust=1605639815987000&amp;usg=AFQjCNGmNYy5GU2PBIEtzhi2MAljlOnwJA" TargetMode="External"/><Relationship Id="rId1193" Type="http://schemas.openxmlformats.org/officeDocument/2006/relationships/hyperlink" Target="https://www.google.com/url?q=https://www.infoarena.ro/problema/aiacupalindroame&amp;sa=D&amp;ust=1605639816273000&amp;usg=AFQjCNEYsOqB5s7ujXZFBVgYWPRm2LZgXw" TargetMode="External"/><Relationship Id="rId2037" Type="http://schemas.openxmlformats.org/officeDocument/2006/relationships/hyperlink" Target="https://www.google.com/url?q=https://www.hackerrank.com/contests/ioi-2014-practice-contest-1/challenges&amp;sa=D&amp;ust=1605639816573000&amp;usg=AFQjCNE2ztY0tt1RMCWlo6Ccmzh8NFNiuA" TargetMode="External"/><Relationship Id="rId2244" Type="http://schemas.openxmlformats.org/officeDocument/2006/relationships/hyperlink" Target="https://www.google.com/url?q=https://szkopul.edu.pl/problemset/problem/Jnq0pGf9q3nVm-b1h6Bg23G9/site/&amp;sa=D&amp;ust=1605639816638000&amp;usg=AFQjCNHZOOh1oiQ6D0Ggi15-eobDiQ3cNw" TargetMode="External"/><Relationship Id="rId2451" Type="http://schemas.openxmlformats.org/officeDocument/2006/relationships/hyperlink" Target="https://www.google.com/url?q=https://joi2013ho.contest.atcoder.jp/tasks/joi2013ho1&amp;sa=D&amp;ust=1605639816703000&amp;usg=AFQjCNEQt0Hmpn49FQniVdcC2H8JyYgPGw" TargetMode="External"/><Relationship Id="rId216" Type="http://schemas.openxmlformats.org/officeDocument/2006/relationships/hyperlink" Target="https://www.google.com/url?q=https://szkopul.edu.pl/problemset/problem/FHsx0TDoMNHN-XrWzXtUzzpi/site/&amp;sa=D&amp;ust=1605639815554000&amp;usg=AFQjCNFxcwRb7cOd-6qEngyv__FQqSC1JQ" TargetMode="External"/><Relationship Id="rId423" Type="http://schemas.openxmlformats.org/officeDocument/2006/relationships/hyperlink" Target="https://www.google.com/url?q=https://oj.uz/problem/view/BOI15_bow&amp;sa=D&amp;ust=1605639815626000&amp;usg=AFQjCNGju1RQLWBCCurfaOreuPMIMuIefA" TargetMode="External"/><Relationship Id="rId1053" Type="http://schemas.openxmlformats.org/officeDocument/2006/relationships/hyperlink" Target="https://www.google.com/url?q=https://oj.uz/problem/view/COI16_torrent&amp;sa=D&amp;ust=1605639816180000&amp;usg=AFQjCNE3Ul8MhGPa3T4H_fUrgE_CoU2wrw" TargetMode="External"/><Relationship Id="rId1260" Type="http://schemas.openxmlformats.org/officeDocument/2006/relationships/hyperlink" Target="https://www.google.com/url?q=https://github.com/mostafa-saad/MyCompetitiveProgramming/blob/master/Olympiad/JOI/JOISC-15-inheritance.txt&amp;sa=D&amp;ust=1605639816298000&amp;usg=AFQjCNG-t3eHaSL-6M-N2gSaX9IiM44f4g" TargetMode="External"/><Relationship Id="rId2104" Type="http://schemas.openxmlformats.org/officeDocument/2006/relationships/hyperlink" Target="https://www.google.com/url?q=https://github.com/mostafa-saad/MyCompetitiveProgramming/tree/master/Olympiad/MCO/official/2015&amp;sa=D&amp;ust=1605639816597000&amp;usg=AFQjCNHWSDdHRHucvNPcF-OTsY3qENJ9Ww" TargetMode="External"/><Relationship Id="rId630" Type="http://schemas.openxmlformats.org/officeDocument/2006/relationships/hyperlink" Target="https://www.google.com/url?q=https://oj.uz/problem/view/IOI11_elephants&amp;sa=D&amp;ust=1605639815911000&amp;usg=AFQjCNEEl8IzrkE-1RGUIAAmQ0IuOo8Ipw" TargetMode="External"/><Relationship Id="rId2311" Type="http://schemas.openxmlformats.org/officeDocument/2006/relationships/hyperlink" Target="https://www.google.com/url?q=https://github.com/nikolapesic2802/Programming-Practice/blob/master/Oranges/main.cpp&amp;sa=D&amp;ust=1605639816654000&amp;usg=AFQjCNF6pfucfI1_N59bpsdu9d8yxUi4Aw" TargetMode="External"/><Relationship Id="rId1120" Type="http://schemas.openxmlformats.org/officeDocument/2006/relationships/hyperlink" Target="https://www.google.com/url?q=https://github.com/thecodingwizard/competitive-programming/blob/master/IOI/IOIPractice%252016-polygon.cpp&amp;sa=D&amp;ust=1605639816203000&amp;usg=AFQjCNH1g2jydrXsO8kRxE0s-Rj7Q02ilg" TargetMode="External"/><Relationship Id="rId1937" Type="http://schemas.openxmlformats.org/officeDocument/2006/relationships/hyperlink" Target="https://www.google.com/url?q=https://infoarena.ro/problema/metrouri&amp;sa=D&amp;ust=1605639816540000&amp;usg=AFQjCNEbBvmvbj8AcKIiVGqBDE27HpbTvA" TargetMode="External"/><Relationship Id="rId280" Type="http://schemas.openxmlformats.org/officeDocument/2006/relationships/hyperlink" Target="https://www.google.com/url?q=https://szkopul.edu.pl/problemset/problem/oSpFEpvAxKNk0Il-nOe5L9El/site/&amp;sa=D&amp;ust=1605639815574000&amp;usg=AFQjCNFelT9RyiHDZGv8PHrGl0g1hqUUJw" TargetMode="External"/><Relationship Id="rId3012" Type="http://schemas.openxmlformats.org/officeDocument/2006/relationships/hyperlink" Target="https://www.google.com/url?q=https://dunjudge.me/analysis/problems/422/&amp;sa=D&amp;ust=1605639816908000&amp;usg=AFQjCNHJByBHYCMpe941J0_mdIU01jPypw" TargetMode="External"/><Relationship Id="rId140" Type="http://schemas.openxmlformats.org/officeDocument/2006/relationships/hyperlink" Target="https://www.google.com/url?q=https://github.com/mostafa-saad/MyCompetitiveProgramming/blob/master/Olympiad/POI/POI-09-Words.txt&amp;sa=D&amp;ust=1605639815533000&amp;usg=AFQjCNHWaZPzW4yJY2borPGQXIB0dvVK3Q" TargetMode="External"/><Relationship Id="rId6" Type="http://schemas.openxmlformats.org/officeDocument/2006/relationships/hyperlink" Target="https://www.google.com/url?q=https://oj.uz/problem/view/JOI14_space_pirate&amp;sa=D&amp;ust=1605639815487000&amp;usg=AFQjCNG1m9EDDAs88tMihf-oKX7Ma5R7mw" TargetMode="External"/><Relationship Id="rId2778" Type="http://schemas.openxmlformats.org/officeDocument/2006/relationships/hyperlink" Target="https://www.google.com/url?q=https://oj.uz/problem/view/COCI19_elder&amp;sa=D&amp;ust=1605639816793000&amp;usg=AFQjCNG0XFD314ojnBuz6_If20h7hpgksA" TargetMode="External"/><Relationship Id="rId2985" Type="http://schemas.openxmlformats.org/officeDocument/2006/relationships/hyperlink" Target="https://www.google.com/url?q=https://cses.fi/205/list/&amp;sa=D&amp;ust=1605639816896000&amp;usg=AFQjCNEr_Y9ssF6XR0cXzlP0oSUe6c4Kaw" TargetMode="External"/><Relationship Id="rId957" Type="http://schemas.openxmlformats.org/officeDocument/2006/relationships/hyperlink" Target="https://www.google.com/url?q=https://github.com/mostafa-saad/MyCompetitiveProgramming/tree/master/Olympiad/JOI/official/JOI/2020&amp;sa=D&amp;ust=1605639816100000&amp;usg=AFQjCNEMu3j2G9Jtc4IOf1kSSj_JpQBdBw" TargetMode="External"/><Relationship Id="rId1587" Type="http://schemas.openxmlformats.org/officeDocument/2006/relationships/hyperlink" Target="https://www.google.com/url?q=https://codeforces.com/group/swEqtABRxe/contest/227530/problem/B&amp;sa=D&amp;ust=1605639816427000&amp;usg=AFQjCNHBtBwHrOfqkfkwCp4_C2oXkv3_FQ" TargetMode="External"/><Relationship Id="rId1794" Type="http://schemas.openxmlformats.org/officeDocument/2006/relationships/hyperlink" Target="https://www.google.com/url?q=https://dmoj.ca/problem/dmopc14c4p6&amp;sa=D&amp;ust=1605639816494000&amp;usg=AFQjCNHxUwv8VyUTdAFwHHFGTZATThX8SQ" TargetMode="External"/><Relationship Id="rId2638" Type="http://schemas.openxmlformats.org/officeDocument/2006/relationships/hyperlink" Target="https://www.google.com/url?q=https://github.com/mostafa-saad/MyCompetitiveProgramming/tree/master/Olympiad/COCI/official/2007/contest6_solutions&amp;sa=D&amp;ust=1605639816752000&amp;usg=AFQjCNEgz5eMog2EF2LOn620qDoVWqmuwg" TargetMode="External"/><Relationship Id="rId2845" Type="http://schemas.openxmlformats.org/officeDocument/2006/relationships/hyperlink" Target="https://www.google.com/url?q=https://oj.uz/problem/view/COCI18_prosjek&amp;sa=D&amp;ust=1605639816815000&amp;usg=AFQjCNHh64g7QjgCQDxtNfU2cF1Dh4IlUg" TargetMode="External"/><Relationship Id="rId86" Type="http://schemas.openxmlformats.org/officeDocument/2006/relationships/hyperlink" Target="https://www.google.com/url?q=https://www.acmicpc.net/problem/11556&amp;sa=D&amp;ust=1605639815517000&amp;usg=AFQjCNG1i22Xh6C5qfCR8UgbWqEEQ_HbQQ" TargetMode="External"/><Relationship Id="rId817" Type="http://schemas.openxmlformats.org/officeDocument/2006/relationships/hyperlink" Target="https://www.google.com/url?q=https://github.com/thecodingwizard/competitive-programming/blob/master/DMOJ/CCO%252017-Connection.cpp&amp;sa=D&amp;ust=1605639816005000&amp;usg=AFQjCNH7WAQb1f_qutZvlInivLcf1zKaHQ" TargetMode="External"/><Relationship Id="rId1447" Type="http://schemas.openxmlformats.org/officeDocument/2006/relationships/hyperlink" Target="https://www.google.com/url?q=https://github.com/mostafa-saad/MyCompetitiveProgramming/tree/master/Olympiad/CEOI/official/2005&amp;sa=D&amp;ust=1605639816378000&amp;usg=AFQjCNHgBTMOe9cgaDBXdEYhRE41cLa35Q" TargetMode="External"/><Relationship Id="rId1654" Type="http://schemas.openxmlformats.org/officeDocument/2006/relationships/hyperlink" Target="https://www.google.com/url?q=https://gist.github.com/luciocf/a551e013ef15b77288ff4786276d2dee&amp;sa=D&amp;ust=1605639816446000&amp;usg=AFQjCNFyGpaAkRinKkO7NomzR9x9UxZwFQ" TargetMode="External"/><Relationship Id="rId1861" Type="http://schemas.openxmlformats.org/officeDocument/2006/relationships/hyperlink" Target="https://www.google.com/url?q=https://dmoj.ca/problem/coci06c4p5&amp;sa=D&amp;ust=1605639816517000&amp;usg=AFQjCNEkpfrzs-XRzlG0aJQGPR9C2mf8bw" TargetMode="External"/><Relationship Id="rId2705" Type="http://schemas.openxmlformats.org/officeDocument/2006/relationships/hyperlink" Target="https://www.google.com/url?q=https://github.com/mostafa-saad/MyCompetitiveProgramming/blob/master/Olympiad/COCI/official/2013/contest1_solutions&amp;sa=D&amp;ust=1605639816769000&amp;usg=AFQjCNFIofuib07EWEwlc-2Q3Nswj88naQ" TargetMode="External"/><Relationship Id="rId2912" Type="http://schemas.openxmlformats.org/officeDocument/2006/relationships/hyperlink" Target="https://www.google.com/url?q=https://oj.uz/problem/view/info1cup18_palindromes&amp;sa=D&amp;ust=1605639816846000&amp;usg=AFQjCNEONsIgZSyxIvNxFoiOObxmp4OLuw" TargetMode="External"/><Relationship Id="rId1307" Type="http://schemas.openxmlformats.org/officeDocument/2006/relationships/hyperlink" Target="https://www.google.com/url?q=https://oj.uz/problem/view/IOI17_mountains&amp;sa=D&amp;ust=1605639816313000&amp;usg=AFQjCNHujGPDHUciLPGOeI3cM4hROAUHcw" TargetMode="External"/><Relationship Id="rId1514" Type="http://schemas.openxmlformats.org/officeDocument/2006/relationships/hyperlink" Target="https://www.google.com/url?q=https://github.com/dolphingarlic/CompetitiveProgramming/blob/master/COI/COCI%252020-zapina.cpp&amp;sa=D&amp;ust=1605639816404000&amp;usg=AFQjCNGO6bxYEnYfuCvfwEHBG0FVKJvb2w" TargetMode="External"/><Relationship Id="rId1721" Type="http://schemas.openxmlformats.org/officeDocument/2006/relationships/hyperlink" Target="https://www.google.com/url?q=https://dmoj.ca/problem/cco15p1&amp;sa=D&amp;ust=1605639816465000&amp;usg=AFQjCNE1zgexq1UcuHXaozRgZV2lDxQBvA" TargetMode="External"/><Relationship Id="rId13" Type="http://schemas.openxmlformats.org/officeDocument/2006/relationships/hyperlink" Target="https://www.google.com/url?q=https://oj.uz/problem/view/IOI19_walk&amp;sa=D&amp;ust=1605639815490000&amp;usg=AFQjCNECeoDRuso9hUesJZolvIVmpHLqFA" TargetMode="External"/><Relationship Id="rId2288" Type="http://schemas.openxmlformats.org/officeDocument/2006/relationships/hyperlink" Target="https://www.google.com/url?q=https://github.com/mostafa-saad/MyCompetitiveProgramming/blob/master/Olympiad/COCI/official/2014/contest1_solutions&amp;sa=D&amp;ust=1605639816649000&amp;usg=AFQjCNE2ZJWcTIjIAE_j7tk5vjCbjhFY3g" TargetMode="External"/><Relationship Id="rId2495" Type="http://schemas.openxmlformats.org/officeDocument/2006/relationships/hyperlink" Target="https://www.google.com/url?q=https://github.com/mostafa-saad/MyCompetitiveProgramming/blob/master/Olympiad/Baltic/official/boi2011_solutions&amp;sa=D&amp;ust=1605639816717000&amp;usg=AFQjCNE5t9tVhjlLuSH-Xah4D-Ct_ElJXw" TargetMode="External"/><Relationship Id="rId467" Type="http://schemas.openxmlformats.org/officeDocument/2006/relationships/hyperlink" Target="https://www.google.com/url?q=https://szkopul.edu.pl/problemset/problem/qYS15kJB5WGKbGxqJCIEVM1I/site/&amp;sa=D&amp;ust=1605639815672000&amp;usg=AFQjCNGEIpXXHsX0nGBWptmroKOkPJ1zTw" TargetMode="External"/><Relationship Id="rId1097" Type="http://schemas.openxmlformats.org/officeDocument/2006/relationships/hyperlink" Target="https://www.google.com/url?q=https://www.hackerrank.com/contests/ioi-2014-practice-contest-2/challenges&amp;sa=D&amp;ust=1605639816196000&amp;usg=AFQjCNFQm_z3aqjiLcjvOHzodt1zL_GWtg" TargetMode="External"/><Relationship Id="rId2148" Type="http://schemas.openxmlformats.org/officeDocument/2006/relationships/hyperlink" Target="https://www.google.com/url?q=https://oj.uz/problem/view/POI13_mor&amp;sa=D&amp;ust=1605639816609000&amp;usg=AFQjCNF0X8ETfT6RjKOiB9X8VBZ0anEHnw" TargetMode="External"/><Relationship Id="rId674" Type="http://schemas.openxmlformats.org/officeDocument/2006/relationships/hyperlink" Target="https://www.google.com/url?q=http://www.usaco.org/index.php?page%3Dviewproblem2%26cpid%3D1020&amp;sa=D&amp;ust=1605639815925000&amp;usg=AFQjCNG6s-XhCHiJ1N2CqfUa2ne7UuEpIg" TargetMode="External"/><Relationship Id="rId881" Type="http://schemas.openxmlformats.org/officeDocument/2006/relationships/hyperlink" Target="https://www.google.com/url?q=https://github.com/timpostuvan/CompetitiveProgramming/blob/master/Olympiad/CCO/WrongAnswer2018.cpp&amp;sa=D&amp;ust=1605639816074000&amp;usg=AFQjCNHZpRJSgRdMeiW9nzC9L88UitytXA" TargetMode="External"/><Relationship Id="rId2355" Type="http://schemas.openxmlformats.org/officeDocument/2006/relationships/hyperlink" Target="https://www.google.com/url?q=https://dmoj.ca/problem/coci14c4p4&amp;sa=D&amp;ust=1605639816667000&amp;usg=AFQjCNFn_fnT3aRmGD2ITMUR_7IkjYX4vw" TargetMode="External"/><Relationship Id="rId2562" Type="http://schemas.openxmlformats.org/officeDocument/2006/relationships/hyperlink" Target="https://www.google.com/url?q=https://szkopul.edu.pl/problemset/problem/7u_14yXL3mR3mO0seZLusF5U/site/&amp;sa=D&amp;ust=1605639816734000&amp;usg=AFQjCNGTiPSLf_oj_yMWA9lOjFuf2dSrPA" TargetMode="External"/><Relationship Id="rId327" Type="http://schemas.openxmlformats.org/officeDocument/2006/relationships/hyperlink" Target="https://www.google.com/url?q=https://oj.uz/problem/view/IOI16_messy&amp;sa=D&amp;ust=1605639815589000&amp;usg=AFQjCNHhD7T5fr8m0-_5HL7jaE3zONIRnA" TargetMode="External"/><Relationship Id="rId534" Type="http://schemas.openxmlformats.org/officeDocument/2006/relationships/hyperlink" Target="https://www.google.com/url?q=https://oj.uz/problem/view/IOI19_rect&amp;sa=D&amp;ust=1605639815837000&amp;usg=AFQjCNGuTrJO9fSsEuAjEjkkeJ6whkBDYw" TargetMode="External"/><Relationship Id="rId741" Type="http://schemas.openxmlformats.org/officeDocument/2006/relationships/hyperlink" Target="https://www.google.com/url?q=https://github.com/mostafa-saad/MyCompetitiveProgramming/blob/master/Olympiad/IOI/IOI-02-Utopia.txt&amp;sa=D&amp;ust=1605639815977000&amp;usg=AFQjCNEDyaTpjwY1y93y4clZPyjgT0hEkA" TargetMode="External"/><Relationship Id="rId1164" Type="http://schemas.openxmlformats.org/officeDocument/2006/relationships/hyperlink" Target="https://www.google.com/url?q=https://github.com/mostafa-saad/MyCompetitiveProgramming/blob/master/Olympiad/Baltic/Baltic-14-postmen.txt&amp;sa=D&amp;ust=1605639816216000&amp;usg=AFQjCNG264a6xTkWdlFyb9O4qgc7Hnuqeg" TargetMode="External"/><Relationship Id="rId1371" Type="http://schemas.openxmlformats.org/officeDocument/2006/relationships/hyperlink" Target="https://www.google.com/url?q=https://dunjudge.me/analysis/problems/542/&amp;sa=D&amp;ust=1605639816336000&amp;usg=AFQjCNEiyVBW9z9gZtb8cmhNMOPPnG85bA" TargetMode="External"/><Relationship Id="rId2008" Type="http://schemas.openxmlformats.org/officeDocument/2006/relationships/hyperlink" Target="https://www.google.com/url?q=https://github.com/tmwilliamlin168/CompetitiveProgramming/blob/master/HackerRank/bounce-bounce-bounce-ioi14.cpp&amp;sa=D&amp;ust=1605639816562000&amp;usg=AFQjCNHHt_b9yOfsjSOooWoP1waY5-8xvg" TargetMode="External"/><Relationship Id="rId2215" Type="http://schemas.openxmlformats.org/officeDocument/2006/relationships/hyperlink" Target="https://www.google.com/url?q=https://dunjudge.me/analysis/problems/959/&amp;sa=D&amp;ust=1605639816630000&amp;usg=AFQjCNFvIi_8PRUfNnZPZiB2wNTz053l1A" TargetMode="External"/><Relationship Id="rId2422" Type="http://schemas.openxmlformats.org/officeDocument/2006/relationships/hyperlink" Target="https://www.google.com/url?q=https://joisc2014.contest.atcoder.jp/tasks/joisc2014_h&amp;sa=D&amp;ust=1605639816692000&amp;usg=AFQjCNHz2ADjg0i-Jqf6EVkx8kr0P3ZtRg" TargetMode="External"/><Relationship Id="rId601" Type="http://schemas.openxmlformats.org/officeDocument/2006/relationships/hyperlink" Target="https://www.google.com/url?q=https://github.com/mostafa-saad/MyCompetitiveProgramming/blob/master/Olympiad/CEOI/CEOI-12-race.txt&amp;sa=D&amp;ust=1605639815901000&amp;usg=AFQjCNHJwaLaiCCIM_Taw_e2lcXeA9ZISA" TargetMode="External"/><Relationship Id="rId1024" Type="http://schemas.openxmlformats.org/officeDocument/2006/relationships/hyperlink" Target="https://www.google.com/url?q=https://github.com/mostafa-saad/MyCompetitiveProgramming/blob/master/Olympiad/COI/COI-14-krave.txt&amp;sa=D&amp;ust=1605639816166000&amp;usg=AFQjCNGQ9gKbgCxHknWLtL1QbM9LdonuMA" TargetMode="External"/><Relationship Id="rId1231" Type="http://schemas.openxmlformats.org/officeDocument/2006/relationships/hyperlink" Target="https://www.google.com/url?q=https://github.com/mostafa-saad/MyCompetitiveProgramming/blob/master/Olympiad/COCI/COCI-09-Xor.txt&amp;sa=D&amp;ust=1605639816287000&amp;usg=AFQjCNElriMlU9iPcglXC4g-axHIHnrB3g" TargetMode="External"/><Relationship Id="rId184" Type="http://schemas.openxmlformats.org/officeDocument/2006/relationships/hyperlink" Target="https://www.google.com/url?q=https://github.com/mostafa-saad/MyCompetitiveProgramming/blob/master/Olympiad/IOI/official/2006/ioi06_forbidden_sol.pdf&amp;sa=D&amp;ust=1605639815546000&amp;usg=AFQjCNEfRBLxSHctaxziHl36jgjh9kHQtg" TargetMode="External"/><Relationship Id="rId391" Type="http://schemas.openxmlformats.org/officeDocument/2006/relationships/hyperlink" Target="https://www.google.com/url?q=https://github.com/mostafa-saad/MyCompetitiveProgramming/blob/master/Olympiad/COCI/COCI-07-Kocke.txt&amp;sa=D&amp;ust=1605639815613000&amp;usg=AFQjCNHr_PgB2W4x-OI6yIWUzuzQJx_fjw" TargetMode="External"/><Relationship Id="rId1908" Type="http://schemas.openxmlformats.org/officeDocument/2006/relationships/hyperlink" Target="https://www.google.com/url?q=https://github.com/Rockbet/Problems/blob/master/EJOI/2017/Day%25202/Game.cpp&amp;sa=D&amp;ust=1605639816532000&amp;usg=AFQjCNGXDG0-EAW7boT7EG6p_dNkywCbAA" TargetMode="External"/><Relationship Id="rId2072" Type="http://schemas.openxmlformats.org/officeDocument/2006/relationships/hyperlink" Target="https://www.google.com/url?q=https://github.com/mostafa-saad/MyCompetitiveProgramming/blob/master/Olympiad/POI/official/find_editorial_sols_guidelines.txt&amp;sa=D&amp;ust=1605639816586000&amp;usg=AFQjCNEB3W5RGp3CWpQOMzonYGtV0Ldopw" TargetMode="External"/><Relationship Id="rId251" Type="http://schemas.openxmlformats.org/officeDocument/2006/relationships/hyperlink" Target="https://www.google.com/url?q=https://szkopul.edu.pl/problemset/problem/y9HM1ctDU8V8xLMRUYACDIRs/site/&amp;sa=D&amp;ust=1605639815563000&amp;usg=AFQjCNE1ME3bGLAKcN8jsDjCA1aRLkaKRQ" TargetMode="External"/><Relationship Id="rId2889" Type="http://schemas.openxmlformats.org/officeDocument/2006/relationships/hyperlink" Target="https://www.google.com/url?q=https://oj.uz/problem/view/POI13_gob&amp;sa=D&amp;ust=1605639816830000&amp;usg=AFQjCNHfgSpEv5KSFRLjkdF-KeO94Y_q_w" TargetMode="External"/><Relationship Id="rId111" Type="http://schemas.openxmlformats.org/officeDocument/2006/relationships/hyperlink" Target="https://www.google.com/url?q=https://oj.uz/problems/source/326&amp;sa=D&amp;ust=1605639815524000&amp;usg=AFQjCNGWIeCzuDkpt3Cw_0eDq9rppYWXAA" TargetMode="External"/><Relationship Id="rId1698" Type="http://schemas.openxmlformats.org/officeDocument/2006/relationships/hyperlink" Target="https://www.google.com/url?q=http://usaco.org/index.php?page%3Dviewproblem2%26cpid%3D900&amp;sa=D&amp;ust=1605639816459000&amp;usg=AFQjCNEdNo_YoXGd3L_TlDgXPT9K5Ey5vg" TargetMode="External"/><Relationship Id="rId2749" Type="http://schemas.openxmlformats.org/officeDocument/2006/relationships/hyperlink" Target="https://www.google.com/url?q=https://github.com/mostafa-saad/MyCompetitiveProgramming/blob/master/Olympiad/NOI/official&amp;sa=D&amp;ust=1605639816782000&amp;usg=AFQjCNEb-ZnfYeYfJj3GK-9SFY7kQKM2hQ" TargetMode="External"/><Relationship Id="rId2956" Type="http://schemas.openxmlformats.org/officeDocument/2006/relationships/hyperlink" Target="https://www.google.com/url?q=https://dunjudge.me/analysis/problems/1190/&amp;sa=D&amp;ust=1605639816881000&amp;usg=AFQjCNFOBiHvB4UlT7yOrEa7b09NCdzJpQ" TargetMode="External"/><Relationship Id="rId928" Type="http://schemas.openxmlformats.org/officeDocument/2006/relationships/hyperlink" Target="https://www.google.com/url?q=https://csacademy.com/contest/junior-challenge-2017-day-1/task/palindromic-tree/&amp;sa=D&amp;ust=1605639816092000&amp;usg=AFQjCNGyhX-1MtrIsR6QZyvc4eyORF9yZg" TargetMode="External"/><Relationship Id="rId1558" Type="http://schemas.openxmlformats.org/officeDocument/2006/relationships/hyperlink" Target="https://www.google.com/url?q=https://github.com/stefdasca/CompetitiveProgramming/blob/master/Infoarena/scara2.cpp&amp;sa=D&amp;ust=1605639816418000&amp;usg=AFQjCNHppWuEgYF8QJKEu7kCRPw7Sfm4fA" TargetMode="External"/><Relationship Id="rId1765" Type="http://schemas.openxmlformats.org/officeDocument/2006/relationships/hyperlink" Target="https://www.google.com/url?q=https://www.infoarena.ro/problema/arbore7&amp;sa=D&amp;ust=1605639816483000&amp;usg=AFQjCNG95LgimupoJcu6qSsZSZVTyZfOoQ" TargetMode="External"/><Relationship Id="rId2609" Type="http://schemas.openxmlformats.org/officeDocument/2006/relationships/hyperlink" Target="https://www.google.com/url?q=https://dunjudge.me/analysis/problems/108/&amp;sa=D&amp;ust=1605639816745000&amp;usg=AFQjCNFRDqYd0juZuD8SduFTDkrvfJyMVQ" TargetMode="External"/><Relationship Id="rId57" Type="http://schemas.openxmlformats.org/officeDocument/2006/relationships/hyperlink" Target="https://www.google.com/url?q=https://codeforces.com/blog/entry/51740?%23comment-356943&amp;sa=D&amp;ust=1605639815507000&amp;usg=AFQjCNFfjWU7eObMuc4V1kshvY1Z5_wLww" TargetMode="External"/><Relationship Id="rId1418" Type="http://schemas.openxmlformats.org/officeDocument/2006/relationships/hyperlink" Target="https://www.google.com/url?q=https://dmoj.ca/problem/coci08c3p4&amp;sa=D&amp;ust=1605639816367000&amp;usg=AFQjCNH2Rvbf6wGUixXc0yjdaaJ4jGbjOg" TargetMode="External"/><Relationship Id="rId1972" Type="http://schemas.openxmlformats.org/officeDocument/2006/relationships/hyperlink" Target="https://www.google.com/url?q=https://wcipeg.com/problem/coci091p4&amp;sa=D&amp;ust=1605639816552000&amp;usg=AFQjCNFq7l9vzYCY_FjUKyDpdIVBoJohcQ" TargetMode="External"/><Relationship Id="rId2816" Type="http://schemas.openxmlformats.org/officeDocument/2006/relationships/hyperlink" Target="https://www.google.com/url?q=https://wcipeg.com/problem/coci095p1&amp;sa=D&amp;ust=1605639816806000&amp;usg=AFQjCNEdOXZGHlZBf6YOSASZ5ggAolPmhw" TargetMode="External"/><Relationship Id="rId1625" Type="http://schemas.openxmlformats.org/officeDocument/2006/relationships/hyperlink" Target="https://www.google.com/url?q=https://szkopul.edu.pl/problemset/problem/4BL9eUWjrvT7ecMUJcmSuJI3/site/&amp;sa=D&amp;ust=1605639816438000&amp;usg=AFQjCNENAqorNJmChtm-cMB-hR7-090vKQ" TargetMode="External"/><Relationship Id="rId1832" Type="http://schemas.openxmlformats.org/officeDocument/2006/relationships/hyperlink" Target="https://www.google.com/url?q=https://szkopul.edu.pl/problemset/problem/EijIYL4qkxxGJGHaVVnvdmgY/site/&amp;sa=D&amp;ust=1605639816508000&amp;usg=AFQjCNHq6Q0Gz0EL2tVCjMHRJ19BeV6TSw" TargetMode="External"/><Relationship Id="rId2399" Type="http://schemas.openxmlformats.org/officeDocument/2006/relationships/hyperlink" Target="https://www.google.com/url?q=https://github.com/mostafa-saad/MyCompetitiveProgramming/blob/master/Olympiad/NOI/official&amp;sa=D&amp;ust=1605639816683000&amp;usg=AFQjCNE3Tz6w1C0j8BKF7LRdiQ2A6GHQLA" TargetMode="External"/><Relationship Id="rId578" Type="http://schemas.openxmlformats.org/officeDocument/2006/relationships/hyperlink" Target="https://www.google.com/url?q=https://oj.uz/problem/view/IOI12_supper&amp;sa=D&amp;ust=1605639815892000&amp;usg=AFQjCNHXZjPZHoJumLgsmFyWxGS6WuxrKg" TargetMode="External"/><Relationship Id="rId785" Type="http://schemas.openxmlformats.org/officeDocument/2006/relationships/hyperlink" Target="https://www.google.com/url?q=https://szkopul.edu.pl/problemset/problem/3bBT-3VuSu78UsxTQSwaJzVo/site/&amp;sa=D&amp;ust=1605639815993000&amp;usg=AFQjCNFvLS1pQnO7-bK-WKTcrB2DHzg2aQ" TargetMode="External"/><Relationship Id="rId992" Type="http://schemas.openxmlformats.org/officeDocument/2006/relationships/hyperlink" Target="https://www.google.com/url?q=https://github.com/guskal01/CompetitiveProgramming/blob/master/Kattis/PO-Kattis.cpp&amp;sa=D&amp;ust=1605639816111000&amp;usg=AFQjCNGOA00KDodE4MNnvSTkywRNiouJEQ" TargetMode="External"/><Relationship Id="rId2259" Type="http://schemas.openxmlformats.org/officeDocument/2006/relationships/hyperlink" Target="https://www.google.com/url?q=https://dunjudge.me/analysis/problems/705/&amp;sa=D&amp;ust=1605639816642000&amp;usg=AFQjCNEa4CAZu3EXSRJ0ZKfHMiHHSQ-ytw" TargetMode="External"/><Relationship Id="rId2466" Type="http://schemas.openxmlformats.org/officeDocument/2006/relationships/hyperlink" Target="https://www.google.com/url?q=https://github.com/mostafa-saad/MyCompetitiveProgramming/blob/master/Olympiad/NOI/official&amp;sa=D&amp;ust=1605639816707000&amp;usg=AFQjCNGhWlmayhlMdhx3-jKBwwDgwNeb0A" TargetMode="External"/><Relationship Id="rId2673" Type="http://schemas.openxmlformats.org/officeDocument/2006/relationships/hyperlink" Target="https://www.google.com/url?q=https://cses.fi/231/task/A&amp;sa=D&amp;ust=1605639816759000&amp;usg=AFQjCNF5slM3YmoVICNQMdtjC6NpEUQbuw" TargetMode="External"/><Relationship Id="rId2880" Type="http://schemas.openxmlformats.org/officeDocument/2006/relationships/hyperlink" Target="https://www.google.com/url?q=https://www.acmicpc.net/problem/7087&amp;sa=D&amp;ust=1605639816827000&amp;usg=AFQjCNEN09nxf40a8Vf0C1g2iYYc72UkPA" TargetMode="External"/><Relationship Id="rId438" Type="http://schemas.openxmlformats.org/officeDocument/2006/relationships/hyperlink" Target="https://www.google.com/url?q=https://oj.uz/problem/view/JOI19_cake3&amp;sa=D&amp;ust=1605639815631000&amp;usg=AFQjCNFxI7FE75y7VrjB8PGCyepl9DHO6g" TargetMode="External"/><Relationship Id="rId645" Type="http://schemas.openxmlformats.org/officeDocument/2006/relationships/hyperlink" Target="https://www.google.com/url?q=http://blog.brucemerry.org.za/2014/07/&amp;sa=D&amp;ust=1605639815916000&amp;usg=AFQjCNGPOO1BIFmbhqIoAWvCpsE2Nxb8zw" TargetMode="External"/><Relationship Id="rId852" Type="http://schemas.openxmlformats.org/officeDocument/2006/relationships/hyperlink" Target="https://www.google.com/url?q=https://github.com/mostafa-saad/MyCompetitiveProgramming/blob/master/Olympiad/infoarena/infoarena-mindist.txt&amp;sa=D&amp;ust=1605639816018000&amp;usg=AFQjCNFaziv-7An1hJ04blr7Fz4o6E_Bxw" TargetMode="External"/><Relationship Id="rId1068" Type="http://schemas.openxmlformats.org/officeDocument/2006/relationships/hyperlink" Target="https://www.google.com/url?q=https://github.com/mostafa-saad/MyCompetitiveProgramming/blob/master/Olympiad/POI/POI-03-sums.txt&amp;sa=D&amp;ust=1605639816186000&amp;usg=AFQjCNFG4f9Qs_clE2V3BCuK7TM0tFFqSw" TargetMode="External"/><Relationship Id="rId1275" Type="http://schemas.openxmlformats.org/officeDocument/2006/relationships/hyperlink" Target="https://www.google.com/url?q=https://codeforces.com/group/R2SERIff4f/contest/213171&amp;sa=D&amp;ust=1605639816302000&amp;usg=AFQjCNEP9-SZePb_e3zhwdnKBQVYVFlncw" TargetMode="External"/><Relationship Id="rId1482" Type="http://schemas.openxmlformats.org/officeDocument/2006/relationships/hyperlink" Target="https://www.google.com/url?q=https://github.com/mostafa-saad/MyCompetitiveProgramming/tree/master/Olympiad/COCI/official/2008/contest4_solutions&amp;sa=D&amp;ust=1605639816392000&amp;usg=AFQjCNEnkkJXxAGMH0gzdSSC5h1cR4b-7Q" TargetMode="External"/><Relationship Id="rId2119" Type="http://schemas.openxmlformats.org/officeDocument/2006/relationships/hyperlink" Target="https://www.google.com/url?q=https://github.com/mostafa-saad/MyCompetitiveProgramming/blob/master/Olympiad/JOI/JOI-20-CollectingStamps3.txt&amp;sa=D&amp;ust=1605639816601000&amp;usg=AFQjCNFY6gSNXKo8ynZl9H85hdMSDTxHIg" TargetMode="External"/><Relationship Id="rId2326" Type="http://schemas.openxmlformats.org/officeDocument/2006/relationships/hyperlink" Target="https://www.google.com/url?q=https://github.com/stefdasca/CompetitiveProgramming/blob/master/Infoarena/copii2.cpp&amp;sa=D&amp;ust=1605639816658000&amp;usg=AFQjCNGya9AYMPbicD77b5KQkzhFHXUQzA" TargetMode="External"/><Relationship Id="rId2533" Type="http://schemas.openxmlformats.org/officeDocument/2006/relationships/hyperlink" Target="https://www.google.com/url?q=https://oj.uz/problem/view/IOI09_garage&amp;sa=D&amp;ust=1605639816729000&amp;usg=AFQjCNHVo_hsanjXXWnac9_203-3E0WYXA" TargetMode="External"/><Relationship Id="rId2740" Type="http://schemas.openxmlformats.org/officeDocument/2006/relationships/hyperlink" Target="https://www.google.com/url?q=https://oj.uz/problem/view/COCI16_imena&amp;sa=D&amp;ust=1605639816780000&amp;usg=AFQjCNGAaH3mh318hCa692xF8l_CJyUG_A" TargetMode="External"/><Relationship Id="rId505" Type="http://schemas.openxmlformats.org/officeDocument/2006/relationships/hyperlink" Target="https://www.google.com/url?q=https://oj.uz/problem/view/COCI16_kralj&amp;sa=D&amp;ust=1605639815683000&amp;usg=AFQjCNG4fhwv3Am2I7J8x3brJv4A6kOLAw" TargetMode="External"/><Relationship Id="rId712" Type="http://schemas.openxmlformats.org/officeDocument/2006/relationships/hyperlink" Target="https://www.google.com/url?q=https://szkopul.edu.pl/problemset/problem/98e_K-Vvcg5TnMG4-hXTNsFG/site/&amp;sa=D&amp;ust=1605639815966000&amp;usg=AFQjCNFJxuFguo6iZtxYEN8AkwuRcT5xdw" TargetMode="External"/><Relationship Id="rId1135" Type="http://schemas.openxmlformats.org/officeDocument/2006/relationships/hyperlink" Target="https://www.google.com/url?q=http://usaco.org/index.php?page%3Dviewproblem2%26cpid%3D625&amp;sa=D&amp;ust=1605639816208000&amp;usg=AFQjCNFI0IDCKyLdVrZUs3JQ9EmFkXwYdA" TargetMode="External"/><Relationship Id="rId1342" Type="http://schemas.openxmlformats.org/officeDocument/2006/relationships/hyperlink" Target="https://www.google.com/url?q=https://training.ia-toki.org/problemsets/2/problems/6/&amp;sa=D&amp;ust=1605639816326000&amp;usg=AFQjCNH59MPZ6OJKWZOyREbEBPcdK4itqg" TargetMode="External"/><Relationship Id="rId1202" Type="http://schemas.openxmlformats.org/officeDocument/2006/relationships/hyperlink" Target="https://www.google.com/url?q=https://joisc2016.contest.atcoder.jp/tasks/joisc2016_c&amp;sa=D&amp;ust=1605639816275000&amp;usg=AFQjCNHQKfx6gVaecjCTu-Xs_mHBn0z3kg" TargetMode="External"/><Relationship Id="rId2600" Type="http://schemas.openxmlformats.org/officeDocument/2006/relationships/hyperlink" Target="https://www.google.com/url?q=https://oj.uz/problem/view/COCI18_nadan&amp;sa=D&amp;ust=1605639816743000&amp;usg=AFQjCNGrfDO4vRSmH92Blka0Y2fnfQV00Q" TargetMode="External"/><Relationship Id="rId295" Type="http://schemas.openxmlformats.org/officeDocument/2006/relationships/hyperlink" Target="https://www.google.com/url?q=https://github.com/mostafa-saad/MyCompetitiveProgramming/blob/master/Olympiad/COCI/COCI-15-Domino.txt&amp;sa=D&amp;ust=1605639815578000&amp;usg=AFQjCNFi6KbvW8CiajqHEu-P-2aFYtcpDg" TargetMode="External"/><Relationship Id="rId2183" Type="http://schemas.openxmlformats.org/officeDocument/2006/relationships/hyperlink" Target="https://www.google.com/url?q=https://joisc2014.contest.atcoder.jp/tasks/joisc2014_m&amp;sa=D&amp;ust=1605639816621000&amp;usg=AFQjCNHJkkevgQHbVx8zJ6cF5Q4XvMsGnA" TargetMode="External"/><Relationship Id="rId2390" Type="http://schemas.openxmlformats.org/officeDocument/2006/relationships/hyperlink" Target="https://www.google.com/url?q=https://github.com/stefdasca/CompetitiveProgramming/blob/master/Infoarena/cmmp.cpp&amp;sa=D&amp;ust=1605639816680000&amp;usg=AFQjCNGc5DlkjMfi-OMuT61-6e9f87ShCw" TargetMode="External"/><Relationship Id="rId155" Type="http://schemas.openxmlformats.org/officeDocument/2006/relationships/hyperlink" Target="https://www.google.com/url?q=https://www.hackerrank.com/contests/boi-2016/challenges&amp;sa=D&amp;ust=1605639815537000&amp;usg=AFQjCNGaQQfWUQYT-SG-05Gx3zRl0iFUMg" TargetMode="External"/><Relationship Id="rId362" Type="http://schemas.openxmlformats.org/officeDocument/2006/relationships/hyperlink" Target="https://www.google.com/url?q=https://github.com/dolphingarlic/CompetitiveProgramming/blob/master/LMIO/LMIO%252019-bulves.cpp&amp;sa=D&amp;ust=1605639815601000&amp;usg=AFQjCNHAnfHibb9Mw06lp2oGNcyHhfJuyA" TargetMode="External"/><Relationship Id="rId2043" Type="http://schemas.openxmlformats.org/officeDocument/2006/relationships/hyperlink" Target="https://www.google.com/url?q=https://github.com/stefdasca/CompetitiveProgramming/blob/master/Infoarena/covor&amp;sa=D&amp;ust=1605639816575000&amp;usg=AFQjCNEhz0vaCB-4x_IdSHZOc_iBAeBFow" TargetMode="External"/><Relationship Id="rId2250" Type="http://schemas.openxmlformats.org/officeDocument/2006/relationships/hyperlink" Target="https://www.google.com/url?q=https://github.com/stefdasca/CompetitiveProgramming/blob/master/Infoarena/secvmax.cpp&amp;sa=D&amp;ust=1605639816640000&amp;usg=AFQjCNG4Nf7-1iyJEu-u2Gei1U95S-FzLA" TargetMode="External"/><Relationship Id="rId222" Type="http://schemas.openxmlformats.org/officeDocument/2006/relationships/hyperlink" Target="https://www.google.com/url?q=https://oj.uz/problem/view/IOI17_train&amp;sa=D&amp;ust=1605639815555000&amp;usg=AFQjCNGmaGbtSP67j0IAKxNcTyulFZaGkw" TargetMode="External"/><Relationship Id="rId2110" Type="http://schemas.openxmlformats.org/officeDocument/2006/relationships/hyperlink" Target="https://www.google.com/url?q=https://boi18-day2-open.kattis.com/problems&amp;sa=D&amp;ust=1605639816599000&amp;usg=AFQjCNGqKqWAHZiohpDF1HyASBzekMbKgQ" TargetMode="External"/><Relationship Id="rId1669" Type="http://schemas.openxmlformats.org/officeDocument/2006/relationships/hyperlink" Target="https://www.google.com/url?q=https://szkopul.edu.pl/problemset/problem/cB5m-M5ddsFOWLds2CwcYKge/site/&amp;sa=D&amp;ust=1605639816450000&amp;usg=AFQjCNGOo5AM9tMj0St52jIi--i-3TluhA" TargetMode="External"/><Relationship Id="rId1876" Type="http://schemas.openxmlformats.org/officeDocument/2006/relationships/hyperlink" Target="https://www.google.com/url?q=https://github.com/mostafa-saad/MyCompetitiveProgramming/blob/master/Olympiad/COCI/official/2013/contest6_solutions&amp;sa=D&amp;ust=1605639816523000&amp;usg=AFQjCNF0rknCOO7vKLBprTpupHArPueJgQ" TargetMode="External"/><Relationship Id="rId2927" Type="http://schemas.openxmlformats.org/officeDocument/2006/relationships/hyperlink" Target="https://www.google.com/url?q=https://joi2015ho.contest.atcoder.jp/tasks/joi2015ho_d&amp;sa=D&amp;ust=1605639816867000&amp;usg=AFQjCNEjpo4mMMROvhu2JXjl9i4uKotnVQ" TargetMode="External"/><Relationship Id="rId1529" Type="http://schemas.openxmlformats.org/officeDocument/2006/relationships/hyperlink" Target="https://www.google.com/url?q=https://github.com/stefdasca/CompetitiveProgramming/blob/master/Infoarena/minim2.cpp&amp;sa=D&amp;ust=1605639816409000&amp;usg=AFQjCNGH0D7xCjwueHlExgdc_6huJhXuZw" TargetMode="External"/><Relationship Id="rId1736" Type="http://schemas.openxmlformats.org/officeDocument/2006/relationships/hyperlink" Target="https://www.google.com/url?q=https://www.infoarena.ro/problema/cifru&amp;sa=D&amp;ust=1605639816471000&amp;usg=AFQjCNGie5NZO7ct7kOI0Bu7ZcYqdmvbUQ" TargetMode="External"/><Relationship Id="rId1943" Type="http://schemas.openxmlformats.org/officeDocument/2006/relationships/hyperlink" Target="https://www.google.com/url?q=https://oj.uz/problem/view/COCI17_ronald&amp;sa=D&amp;ust=1605639816543000&amp;usg=AFQjCNFhajl9y-OZ2S7y6cIO1wVoosnIeQ" TargetMode="External"/><Relationship Id="rId28" Type="http://schemas.openxmlformats.org/officeDocument/2006/relationships/hyperlink" Target="https://www.google.com/url?q=https://oj.uz/problem/view/IOI10_maze&amp;sa=D&amp;ust=1605639815495000&amp;usg=AFQjCNGpf2UyRZW34iOeKhWZj3cPR0-lGQ" TargetMode="External"/><Relationship Id="rId1803" Type="http://schemas.openxmlformats.org/officeDocument/2006/relationships/hyperlink" Target="https://www.google.com/url?q=https://dunjudge.me/analysis/problems/976/&amp;sa=D&amp;ust=1605639816498000&amp;usg=AFQjCNErXTKW3a0VhvpnjRk6YWd3Lb2jzg" TargetMode="External"/><Relationship Id="rId689" Type="http://schemas.openxmlformats.org/officeDocument/2006/relationships/hyperlink" Target="https://www.google.com/url?q=http://usaco.org/index.php?page%3Dviewproblem2%26cpid%3D674&amp;sa=D&amp;ust=1605639815931000&amp;usg=AFQjCNHmqxg6x6P-QBKlTQzN_9NjgTmOYw" TargetMode="External"/><Relationship Id="rId896" Type="http://schemas.openxmlformats.org/officeDocument/2006/relationships/hyperlink" Target="https://www.google.com/url?q=https://codeforces.com/gym/102257/&amp;sa=D&amp;ust=1605639816081000&amp;usg=AFQjCNGuMIbpycRLwJis1yo9IctWD8aLWg" TargetMode="External"/><Relationship Id="rId2577" Type="http://schemas.openxmlformats.org/officeDocument/2006/relationships/hyperlink" Target="https://www.google.com/url?q=https://oj.uz/problem/view/COCI17_programiranje&amp;sa=D&amp;ust=1605639816739000&amp;usg=AFQjCNH-TCz4U1Qub3rklnMMmfA9o2Mfnw" TargetMode="External"/><Relationship Id="rId2784" Type="http://schemas.openxmlformats.org/officeDocument/2006/relationships/hyperlink" Target="https://www.google.com/url?q=https://dmoj.ca/problem/coci14c5p1&amp;sa=D&amp;ust=1605639816796000&amp;usg=AFQjCNF8oNZzU1zPIoY1Q6q90k4UABNj9Q" TargetMode="External"/><Relationship Id="rId549" Type="http://schemas.openxmlformats.org/officeDocument/2006/relationships/hyperlink" Target="https://www.google.com/url?q=https://github.com/mostafa-saad/MyCompetitiveProgramming/blob/master/Olympiad/POI/POI-08-Triangles.txt&amp;sa=D&amp;ust=1605639815881000&amp;usg=AFQjCNGwHglqPSMANlO1X0ntxlHIlGjA2w" TargetMode="External"/><Relationship Id="rId756" Type="http://schemas.openxmlformats.org/officeDocument/2006/relationships/hyperlink" Target="https://www.google.com/url?q=https://github.com/mostafa-saad/MyCompetitiveProgramming/blob/master/Olympiad/OSN/OSN_16-1B.txt&amp;sa=D&amp;ust=1605639815983000&amp;usg=AFQjCNH4_qWxL2TMvjUrGgTIgLsEsOSKdA" TargetMode="External"/><Relationship Id="rId1179" Type="http://schemas.openxmlformats.org/officeDocument/2006/relationships/hyperlink" Target="https://www.google.com/url?q=https://oj.uz/problem/view/COCI17_plahte&amp;sa=D&amp;ust=1605639816219000&amp;usg=AFQjCNHR8I0kd7UqD3yGD-Btu_e6nSkrXg" TargetMode="External"/><Relationship Id="rId1386" Type="http://schemas.openxmlformats.org/officeDocument/2006/relationships/hyperlink" Target="https://www.google.com/url?q=https://www.infoarena.ro/problema/matrice2&amp;sa=D&amp;ust=1605639816342000&amp;usg=AFQjCNEztRlYnY4JhhplQgJ6bQtPjK92UA" TargetMode="External"/><Relationship Id="rId1593" Type="http://schemas.openxmlformats.org/officeDocument/2006/relationships/hyperlink" Target="https://www.google.com/url?q=https://szkopul.edu.pl/problemset/problem/kZ-a2gIkpjJEOzq6pJ5jUW7f/site/&amp;sa=D&amp;ust=1605639816430000&amp;usg=AFQjCNGFYdQFZyLMKUuKQ-Ui0XnMNsX07g" TargetMode="External"/><Relationship Id="rId2437" Type="http://schemas.openxmlformats.org/officeDocument/2006/relationships/hyperlink" Target="https://www.google.com/url?q=https://github.com/stefdasca/CompetitiveProgramming/blob/master/Info1Cup/National%2520Round/Subway%2520(Ro).pdf&amp;sa=D&amp;ust=1605639816697000&amp;usg=AFQjCNG_BaW5vspAwCiQmdQh9BpUVq3A6Q" TargetMode="External"/><Relationship Id="rId2991" Type="http://schemas.openxmlformats.org/officeDocument/2006/relationships/hyperlink" Target="https://www.google.com/url?q=https://dunjudge.me/analysis/problems/418/&amp;sa=D&amp;ust=1605639816898000&amp;usg=AFQjCNF-5BHN2gAoTRjKF5RnNoxjPDHZ6w" TargetMode="External"/><Relationship Id="rId409" Type="http://schemas.openxmlformats.org/officeDocument/2006/relationships/hyperlink" Target="https://www.google.com/url?q=https://oj.uz/problem/view/IZhO18_nicegift&amp;sa=D&amp;ust=1605639815621000&amp;usg=AFQjCNGesMSfhSugU2peXIe_l8_NxhAZ2A" TargetMode="External"/><Relationship Id="rId963" Type="http://schemas.openxmlformats.org/officeDocument/2006/relationships/hyperlink" Target="https://www.google.com/url?q=https://tioj.ck.tp.edu.tw/problems/1744&amp;sa=D&amp;ust=1605639816102000&amp;usg=AFQjCNGoY69v7VcJjbwlgchmue6p1orNaA" TargetMode="External"/><Relationship Id="rId1039" Type="http://schemas.openxmlformats.org/officeDocument/2006/relationships/hyperlink" Target="https://www.google.com/url?q=https://oj.uz/problem/view/IOI11_garden&amp;sa=D&amp;ust=1605639816175000&amp;usg=AFQjCNHvG6NcEsmPL-tg5TCK4cQnOPYuOQ" TargetMode="External"/><Relationship Id="rId1246" Type="http://schemas.openxmlformats.org/officeDocument/2006/relationships/hyperlink" Target="https://www.google.com/url?q=https://github.com/mostafa-saad/MyCompetitiveProgramming/blob/master/Olympiad/RMI/RMI-17-D1-Hangman-2.txt&amp;sa=D&amp;ust=1605639816292000&amp;usg=AFQjCNGkjHmlk-eY1LEJdykwntpjh6YkRQ" TargetMode="External"/><Relationship Id="rId2644" Type="http://schemas.openxmlformats.org/officeDocument/2006/relationships/hyperlink" Target="https://www.google.com/url?q=https://github.com/mostafa-saad/MyCompetitiveProgramming/tree/master/Olympiad/COCI/official/2008/contest4_solutions&amp;sa=D&amp;ust=1605639816753000&amp;usg=AFQjCNFeaHO9cBl4JqOptHffc5EcLtpYbg" TargetMode="External"/><Relationship Id="rId2851" Type="http://schemas.openxmlformats.org/officeDocument/2006/relationships/hyperlink" Target="https://www.google.com/url?q=https://oj.uz/problem/view/POI11_prz&amp;sa=D&amp;ust=1605639816817000&amp;usg=AFQjCNFVwF8Lp1uqHzK5pNxo3w3fbh0gHg" TargetMode="External"/><Relationship Id="rId92" Type="http://schemas.openxmlformats.org/officeDocument/2006/relationships/hyperlink" Target="https://www.google.com/url?q=https://cses.fi/187/list/&amp;sa=D&amp;ust=1605639815519000&amp;usg=AFQjCNEgh16nAWfMiQRAovWd3anAJaPgkg" TargetMode="External"/><Relationship Id="rId616" Type="http://schemas.openxmlformats.org/officeDocument/2006/relationships/hyperlink" Target="https://www.google.com/url?q=https://oj.uz/problem/view/POI11_sej&amp;sa=D&amp;ust=1605639815906000&amp;usg=AFQjCNEyK-jDKtdDl2OI6RLShNR95ZcXeA" TargetMode="External"/><Relationship Id="rId823" Type="http://schemas.openxmlformats.org/officeDocument/2006/relationships/hyperlink" Target="https://www.google.com/url?q=https://github.com/mostafa-saad/MyCompetitiveProgramming/blob/master/Olympiad/Baltic/Baltic-07-Fence.txt&amp;sa=D&amp;ust=1605639816007000&amp;usg=AFQjCNG_y9qZw7QoxnM4GTFeFxuyKWPIQg" TargetMode="External"/><Relationship Id="rId1453" Type="http://schemas.openxmlformats.org/officeDocument/2006/relationships/hyperlink" Target="https://www.google.com/url?q=https://oj.uz/problem/view/JOI15_election_campaign&amp;sa=D&amp;ust=1605639816380000&amp;usg=AFQjCNE2JnPPYbyPVtS7Pj4JFw4lWiljFg" TargetMode="External"/><Relationship Id="rId1660" Type="http://schemas.openxmlformats.org/officeDocument/2006/relationships/hyperlink" Target="https://www.google.com/url?q=https://github.com/mostafa-saad/MyCompetitiveProgramming/blob/master/Olympiad/Balkan/Balkan-11-Medians.txt&amp;sa=D&amp;ust=1605639816448000&amp;usg=AFQjCNHZG5p6IICVDWx1FPpGJAuyegOy_w" TargetMode="External"/><Relationship Id="rId2504" Type="http://schemas.openxmlformats.org/officeDocument/2006/relationships/hyperlink" Target="https://www.google.com/url?q=https://dmoj.ca/problem/coci14c1p5&amp;sa=D&amp;ust=1605639816721000&amp;usg=AFQjCNGgHlE0G0GBc3lDwyuRUThWUPbr0w" TargetMode="External"/><Relationship Id="rId2711" Type="http://schemas.openxmlformats.org/officeDocument/2006/relationships/hyperlink" Target="https://www.google.com/url?q=https://github.com/mostafa-saad/MyCompetitiveProgramming/blob/master/Olympiad/NOI/official&amp;sa=D&amp;ust=1605639816770000&amp;usg=AFQjCNFFj9Kf2pQwMtXU0DWPBhwkHafnog" TargetMode="External"/><Relationship Id="rId1106" Type="http://schemas.openxmlformats.org/officeDocument/2006/relationships/hyperlink" Target="https://www.google.com/url?q=https://github.com/mostafa-saad/MyCompetitiveProgramming/blob/master/Olympiad/OII/OII-18-cena.txt&amp;sa=D&amp;ust=1605639816199000&amp;usg=AFQjCNG8w_0wm5koZZTrlhpDvwsYf-Q1oA" TargetMode="External"/><Relationship Id="rId1313" Type="http://schemas.openxmlformats.org/officeDocument/2006/relationships/hyperlink" Target="https://www.google.com/url?q=https://contest.yandex.ru/ioi/contest/562/problems/B/&amp;sa=D&amp;ust=1605639816315000&amp;usg=AFQjCNF4rcL6Q1oreIXx8tKOyMIH13ro9w" TargetMode="External"/><Relationship Id="rId1520" Type="http://schemas.openxmlformats.org/officeDocument/2006/relationships/hyperlink" Target="https://www.google.com/url?q=https://www.infoarena.ro/problema/porcjoc&amp;sa=D&amp;ust=1605639816406000&amp;usg=AFQjCNF3355Z7AOQmd6v8b4LP_53GKF1rw" TargetMode="External"/><Relationship Id="rId199" Type="http://schemas.openxmlformats.org/officeDocument/2006/relationships/hyperlink" Target="https://www.google.com/url?q=https://github.com/mostafa-saad/MyCompetitiveProgramming/blob/master/Olympiad/IZhO/IZhO-18-segments.txt&amp;sa=D&amp;ust=1605639815549000&amp;usg=AFQjCNGoagLofWI1V2nar8rHAwSb5h_zAw" TargetMode="External"/><Relationship Id="rId2087" Type="http://schemas.openxmlformats.org/officeDocument/2006/relationships/hyperlink" Target="https://www.google.com/url?q=https://github.com/mostafa-saad/MyCompetitiveProgramming/blob/master/Olympiad/COCI/COCI-07-Redoks.txt&amp;sa=D&amp;ust=1605639816591000&amp;usg=AFQjCNFClv-ZlIXAwZHn1rMIGw_NoJ818Q" TargetMode="External"/><Relationship Id="rId2294" Type="http://schemas.openxmlformats.org/officeDocument/2006/relationships/hyperlink" Target="https://www.google.com/url?q=https://wcipeg.com/problem/coci087p5&amp;sa=D&amp;ust=1605639816650000&amp;usg=AFQjCNG05WASeI0LWslEuDA_HkM4f3ZWWA" TargetMode="External"/><Relationship Id="rId266" Type="http://schemas.openxmlformats.org/officeDocument/2006/relationships/hyperlink" Target="https://www.google.com/url?q=https://csacademy.com/contest/ioi-2016-training-round-5/task/empty-triangles/&amp;sa=D&amp;ust=1605639815567000&amp;usg=AFQjCNHHm-n1WqYE9NG1EPDTV2mi2wzWxA" TargetMode="External"/><Relationship Id="rId473" Type="http://schemas.openxmlformats.org/officeDocument/2006/relationships/hyperlink" Target="https://www.google.com/url?q=https://cses.fi/180/list/&amp;sa=D&amp;ust=1605639815673000&amp;usg=AFQjCNEAFs7ROpme6PbQ19d3-4OLu1MUkA" TargetMode="External"/><Relationship Id="rId680" Type="http://schemas.openxmlformats.org/officeDocument/2006/relationships/hyperlink" Target="https://www.google.com/url?q=https://github.com/mostafa-saad/MyCompetitiveProgramming/blob/master/Olympiad/COI/COI-15-ruka.txt&amp;sa=D&amp;ust=1605639815927000&amp;usg=AFQjCNGsYxXVkwJa9qy5fatPqN9P3JN70A" TargetMode="External"/><Relationship Id="rId2154" Type="http://schemas.openxmlformats.org/officeDocument/2006/relationships/hyperlink" Target="https://www.google.com/url?q=https://dmoj.ca/problem/coci08c5p6&amp;sa=D&amp;ust=1605639816611000&amp;usg=AFQjCNHWEwT9P6OErJ5ho8LHUIvx4CdFqQ" TargetMode="External"/><Relationship Id="rId2361" Type="http://schemas.openxmlformats.org/officeDocument/2006/relationships/hyperlink" Target="https://www.google.com/url?q=https://www.acmicpc.net/problem/7086&amp;sa=D&amp;ust=1605639816669000&amp;usg=AFQjCNF7X8X8utb1YoKllrLZRv_Gv9nUOg" TargetMode="External"/><Relationship Id="rId126" Type="http://schemas.openxmlformats.org/officeDocument/2006/relationships/hyperlink" Target="https://www.google.com/url?q=https://dmoj.ca/problem/mcco17p3&amp;sa=D&amp;ust=1605639815529000&amp;usg=AFQjCNHvnXgu8zoi_1PRvcUVPXOogwtY8g" TargetMode="External"/><Relationship Id="rId333" Type="http://schemas.openxmlformats.org/officeDocument/2006/relationships/hyperlink" Target="https://www.google.com/url?q=https://dunjudge.me/analysis/problems/1362/&amp;sa=D&amp;ust=1605639815591000&amp;usg=AFQjCNGKFWBxfVUAP8Pu-_UDltx6fnV5wQ" TargetMode="External"/><Relationship Id="rId540" Type="http://schemas.openxmlformats.org/officeDocument/2006/relationships/hyperlink" Target="https://www.google.com/url?q=https://szkopul.edu.pl/problemset/problem/pBkLSmvYN2S1-4G9s8UqOB7s/site/&amp;sa=D&amp;ust=1605639815864000&amp;usg=AFQjCNEBSiilXQYbbaIFcIlL8jxi-xk--w" TargetMode="External"/><Relationship Id="rId1170" Type="http://schemas.openxmlformats.org/officeDocument/2006/relationships/hyperlink" Target="https://www.google.com/url?q=https://oj.uz/problem/view/COCI18_clickbait&amp;sa=D&amp;ust=1605639816217000&amp;usg=AFQjCNHNTgFsnZKoG-9W2JLl-kwLI6wckA" TargetMode="External"/><Relationship Id="rId2014" Type="http://schemas.openxmlformats.org/officeDocument/2006/relationships/hyperlink" Target="https://www.google.com/url?q=https://github.com/mostafa-saad/MyCompetitiveProgramming/tree/master/Olympiad/COI/official/2016&amp;sa=D&amp;ust=1605639816563000&amp;usg=AFQjCNFtgXaUPWsdm7Sy8KiReFbm0x5tLg" TargetMode="External"/><Relationship Id="rId2221" Type="http://schemas.openxmlformats.org/officeDocument/2006/relationships/hyperlink" Target="https://www.google.com/url?q=http://olympiads.win.tue.nl/ioi/ioi97/contest/index.html&amp;sa=D&amp;ust=1605639816633000&amp;usg=AFQjCNG09EmSIBMpTX6quO6GuBLl8pyGPw" TargetMode="External"/><Relationship Id="rId1030" Type="http://schemas.openxmlformats.org/officeDocument/2006/relationships/hyperlink" Target="https://www.google.com/url?q=https://github.com/mostafa-saad/MyCompetitiveProgramming/blob/master/Olympiad/POI/POI-12-Squarks.txt&amp;sa=D&amp;ust=1605639816171000&amp;usg=AFQjCNFMMLcj7sMPKY-D1BphBGivCHXSWA" TargetMode="External"/><Relationship Id="rId400" Type="http://schemas.openxmlformats.org/officeDocument/2006/relationships/hyperlink" Target="https://www.google.com/url?q=https://dmoj.ca/problem/coi06p2&amp;sa=D&amp;ust=1605639815616000&amp;usg=AFQjCNGlV_849x17xhgD5qZF-VELKSimWQ" TargetMode="External"/><Relationship Id="rId1987" Type="http://schemas.openxmlformats.org/officeDocument/2006/relationships/hyperlink" Target="https://www.google.com/url?q=https://oj.uz/problem/view/JOI15_sterilizing&amp;sa=D&amp;ust=1605639816556000&amp;usg=AFQjCNG1KlZBiFmCLL4yScXPRVkwxuO2KA" TargetMode="External"/><Relationship Id="rId1847" Type="http://schemas.openxmlformats.org/officeDocument/2006/relationships/hyperlink" Target="https://www.google.com/url?q=https://joi2014ho.contest.atcoder.jp/tasks/joi2014ho3&amp;sa=D&amp;ust=1605639816513000&amp;usg=AFQjCNEchJPRdTd3VQzGEUG7HBO2Nbr-Zw" TargetMode="External"/><Relationship Id="rId1707" Type="http://schemas.openxmlformats.org/officeDocument/2006/relationships/hyperlink" Target="https://www.google.com/url?q=https://oj.uz/problem/view/COI18_paprike&amp;sa=D&amp;ust=1605639816461000&amp;usg=AFQjCNETly71EQ16OtQbQ9sBIWTxuUWU7A" TargetMode="External"/><Relationship Id="rId190" Type="http://schemas.openxmlformats.org/officeDocument/2006/relationships/hyperlink" Target="https://www.google.com/url?q=https://cses.fi/106/list/&amp;sa=D&amp;ust=1605639815547000&amp;usg=AFQjCNHINAXcCSxRxLyf0xsF992ZHzribQ" TargetMode="External"/><Relationship Id="rId1914" Type="http://schemas.openxmlformats.org/officeDocument/2006/relationships/hyperlink" Target="https://www.google.com/url?q=https://cses.fi/105/list/&amp;sa=D&amp;ust=1605639816534000&amp;usg=AFQjCNFtlFCYZzk-T6wwrM_b2YUM31e57A" TargetMode="External"/><Relationship Id="rId2688" Type="http://schemas.openxmlformats.org/officeDocument/2006/relationships/hyperlink" Target="https://www.google.com/url?q=https://github.com/mostafa-saad/MyCompetitiveProgramming/blob/master/Olympiad/COCI/official/2013/contest2_solutions&amp;sa=D&amp;ust=1605639816762000&amp;usg=AFQjCNEoq3AXjTjNQEMaCieowWVe2G1Uuw" TargetMode="External"/><Relationship Id="rId2895" Type="http://schemas.openxmlformats.org/officeDocument/2006/relationships/hyperlink" Target="https://www.google.com/url?q=https://oj.uz/problem/view/COCI18_prakticni&amp;sa=D&amp;ust=1605639816840000&amp;usg=AFQjCNEZjT1xIGQGeQUz7CMagrDdT_iICA" TargetMode="External"/><Relationship Id="rId867" Type="http://schemas.openxmlformats.org/officeDocument/2006/relationships/hyperlink" Target="https://www.google.com/url?q=http://usaco.org/index.php?page%3Dviewproblem2%26cpid%3D866&amp;sa=D&amp;ust=1605639816023000&amp;usg=AFQjCNHq5QDlh8pyRMonMh7C8jUzShhZpA" TargetMode="External"/><Relationship Id="rId1497" Type="http://schemas.openxmlformats.org/officeDocument/2006/relationships/hyperlink" Target="https://www.google.com/url?q=https://github.com/stefdasca/CompetitiveProgramming/blob/master/Infoarena/treesearch.cpp&amp;sa=D&amp;ust=1605639816397000&amp;usg=AFQjCNFvTkyHsD1NisirACnQdieNjP-60A" TargetMode="External"/><Relationship Id="rId2548" Type="http://schemas.openxmlformats.org/officeDocument/2006/relationships/hyperlink" Target="https://www.google.com/url?q=https://cses.fi/100/list/&amp;sa=D&amp;ust=1605639816732000&amp;usg=AFQjCNFtPdixOVUZIm5ZjvN3C9Y_IUhCwg" TargetMode="External"/><Relationship Id="rId2755" Type="http://schemas.openxmlformats.org/officeDocument/2006/relationships/hyperlink" Target="https://www.google.com/url?q=https://github.com/mostafa-saad/MyCompetitiveProgramming/tree/master/Olympiad/COCI/official/2007/contest2_solutions&amp;sa=D&amp;ust=1605639816784000&amp;usg=AFQjCNHuwczt_9z4cFsBo-URVoA_IEj91g" TargetMode="External"/><Relationship Id="rId2962" Type="http://schemas.openxmlformats.org/officeDocument/2006/relationships/hyperlink" Target="https://www.google.com/url?q=https://szkopul.edu.pl/problemset/problem/WLKPphrG7df9acKBOlEMEKY3/site/&amp;sa=D&amp;ust=1605639816884000&amp;usg=AFQjCNF6n2VJSBCK3GdTWahwv6cCv9UxrA" TargetMode="External"/><Relationship Id="rId727" Type="http://schemas.openxmlformats.org/officeDocument/2006/relationships/hyperlink" Target="https://www.google.com/url?q=https://github.com/mostafa-saad/MyCompetitiveProgramming/blob/master/Olympiad/POI/POI-11-Contest.txt&amp;sa=D&amp;ust=1605639815972000&amp;usg=AFQjCNH3UE1OjJmtKmOtEWbQB1YSTtO0Rw" TargetMode="External"/><Relationship Id="rId934" Type="http://schemas.openxmlformats.org/officeDocument/2006/relationships/hyperlink" Target="https://www.google.com/url?q=https://oj.uz/problem/view/IOI15_horses&amp;sa=D&amp;ust=1605639816093000&amp;usg=AFQjCNGQbkXxQyFbZIxW_r9VsDnbCYJfPQ" TargetMode="External"/><Relationship Id="rId1357" Type="http://schemas.openxmlformats.org/officeDocument/2006/relationships/hyperlink" Target="https://www.google.com/url?q=https://github.com/mostafa-saad/MyCompetitiveProgramming/blob/master/Olympiad/Balkan/Balkan-17-CityAttractions.txt&amp;sa=D&amp;ust=1605639816332000&amp;usg=AFQjCNHzhL8YoEoxIIVUERHnqdJbGLTssw" TargetMode="External"/><Relationship Id="rId1564" Type="http://schemas.openxmlformats.org/officeDocument/2006/relationships/hyperlink" Target="https://www.google.com/url?q=https://github.com/MohamedAhmed04/Competitive-programming/blob/master/IOI/IOI%25202013-Dreaming.cpp&amp;sa=D&amp;ust=1605639816421000&amp;usg=AFQjCNFARlbtDhYnv4yhyT5paoDj7VX3WA" TargetMode="External"/><Relationship Id="rId1771" Type="http://schemas.openxmlformats.org/officeDocument/2006/relationships/hyperlink" Target="https://www.google.com/url?q=https://github.com/SpeedOfMagic/CompetitiveProgramming/blob/master/Baltic/13-ballmachine.cpp&amp;sa=D&amp;ust=1605639816485000&amp;usg=AFQjCNGjg6XznRbxpC-z5sqLyag9LZmZAg" TargetMode="External"/><Relationship Id="rId2408" Type="http://schemas.openxmlformats.org/officeDocument/2006/relationships/hyperlink" Target="https://www.google.com/url?q=https://oj.uz/problem/view/NOI18_journey&amp;sa=D&amp;ust=1605639816686000&amp;usg=AFQjCNGAERm9_Y0IS_Dhd2-Xak9EPSIVRQ" TargetMode="External"/><Relationship Id="rId2615" Type="http://schemas.openxmlformats.org/officeDocument/2006/relationships/hyperlink" Target="https://www.google.com/url?q=https://dmoj.ca/problem/coci08c5p2&amp;sa=D&amp;ust=1605639816746000&amp;usg=AFQjCNHUWTV3s9ETvAPlffzVxtox5y-yOQ" TargetMode="External"/><Relationship Id="rId2822" Type="http://schemas.openxmlformats.org/officeDocument/2006/relationships/hyperlink" Target="https://www.google.com/url?q=https://dmoj.ca/problem/coci06c3p1&amp;sa=D&amp;ust=1605639816808000&amp;usg=AFQjCNE95rPY9Iw40qrSa8PCanRdnCnjNg" TargetMode="External"/><Relationship Id="rId63" Type="http://schemas.openxmlformats.org/officeDocument/2006/relationships/hyperlink" Target="https://www.google.com/url?q=https://github.com/fyquah95/ioi-malaysia-2016-training-camp&amp;sa=D&amp;ust=1605639815509000&amp;usg=AFQjCNGQw9jleLW2zKvhnExpSFzenL3hIA" TargetMode="External"/><Relationship Id="rId1217" Type="http://schemas.openxmlformats.org/officeDocument/2006/relationships/hyperlink" Target="https://www.google.com/url?q=https://github.com/stefdasca/CompetitiveProgramming/blob/master/Infoarena/meneaito.cpp&amp;sa=D&amp;ust=1605639816280000&amp;usg=AFQjCNFvRaGI4a9tw7K2EnkjcgLhzTOm3g" TargetMode="External"/><Relationship Id="rId1424" Type="http://schemas.openxmlformats.org/officeDocument/2006/relationships/hyperlink" Target="https://www.google.com/url?q=https://dunjudge.me/analysis/problems/961/&amp;sa=D&amp;ust=1605639816369000&amp;usg=AFQjCNFs9qU55_yZheTAOF6vZzYm2iCsZg" TargetMode="External"/><Relationship Id="rId1631" Type="http://schemas.openxmlformats.org/officeDocument/2006/relationships/hyperlink" Target="https://www.google.com/url?q=https://dunjudge.me/analysis/problems/1230/&amp;sa=D&amp;ust=1605639816440000&amp;usg=AFQjCNHm0yY3tliJfacNJvgbglElBx6etA" TargetMode="External"/><Relationship Id="rId2198" Type="http://schemas.openxmlformats.org/officeDocument/2006/relationships/hyperlink" Target="https://www.google.com/url?q=https://github.com/mostafa-saad/MyCompetitiveProgramming/blob/master/Olympiad/JOI/Baltic/Baltic-05-Magic.txt&amp;sa=D&amp;ust=1605639816627000&amp;usg=AFQjCNHcWMA_eLq2AlvYKThORxBs_ITqHg" TargetMode="External"/><Relationship Id="rId377" Type="http://schemas.openxmlformats.org/officeDocument/2006/relationships/hyperlink" Target="https://www.google.com/url?q=https://wcipeg.com/problem/coci096p6&amp;sa=D&amp;ust=1605639815608000&amp;usg=AFQjCNHX2dkXvMYBHKnuDjnXx2TmYjfmJg" TargetMode="External"/><Relationship Id="rId584" Type="http://schemas.openxmlformats.org/officeDocument/2006/relationships/hyperlink" Target="https://www.google.com/url?q=https://contest.yandex.ru/roiarchive/contest/3926/problems/8/&amp;sa=D&amp;ust=1605639815894000&amp;usg=AFQjCNH0fhdzGWwq3h0nV1g6SlYlPP6zpg" TargetMode="External"/><Relationship Id="rId2058" Type="http://schemas.openxmlformats.org/officeDocument/2006/relationships/hyperlink" Target="https://www.google.com/url?q=https://szkopul.edu.pl/problemset/problem/S-cyTRH8ScRh-XfLPAsXCQ0e/site/&amp;sa=D&amp;ust=1605639816580000&amp;usg=AFQjCNGY1f3pGYUFgRjoo-XOhFhayNB8Pw" TargetMode="External"/><Relationship Id="rId2265" Type="http://schemas.openxmlformats.org/officeDocument/2006/relationships/hyperlink" Target="https://www.google.com/url?q=https://codeforces.com/group/swEqtABRxe/contest/243437/problem/A&amp;sa=D&amp;ust=1605639816643000&amp;usg=AFQjCNFpV-aMRbJuv6gZfDAXm7hSApikgQ" TargetMode="External"/><Relationship Id="rId237" Type="http://schemas.openxmlformats.org/officeDocument/2006/relationships/hyperlink" Target="https://www.google.com/url?q=https://github.com/mostafa-saad/MyCompetitiveProgramming/blob/master/Olympiad/Baltic/Baltic-09-Monument.txt&amp;sa=D&amp;ust=1605639815558000&amp;usg=AFQjCNFRKoqY0e6UBQnBVBgo5Ypnk-3Sjw" TargetMode="External"/><Relationship Id="rId791" Type="http://schemas.openxmlformats.org/officeDocument/2006/relationships/hyperlink" Target="https://www.google.com/url?q=https://csacademy.com/contest/ioi-2016-training-round-5/task/balanced-string/&amp;sa=D&amp;ust=1605639815995000&amp;usg=AFQjCNECVwN1Tq2dZBgOBXRVsgD65mcKaw" TargetMode="External"/><Relationship Id="rId1074" Type="http://schemas.openxmlformats.org/officeDocument/2006/relationships/hyperlink" Target="https://www.google.com/url?q=http://usaco.org/index.php?page%3Dviewproblem2%26cpid%3D768&amp;sa=D&amp;ust=1605639816188000&amp;usg=AFQjCNFXdggPkAxv9iXEKIpFz3V5y-5lvA" TargetMode="External"/><Relationship Id="rId2472" Type="http://schemas.openxmlformats.org/officeDocument/2006/relationships/hyperlink" Target="https://www.google.com/url?q=https://www.infoarena.ro/problema/pm2&amp;sa=D&amp;ust=1605639816710000&amp;usg=AFQjCNGPBeR2Hk5uhed2PhOWCZDhhwXqwA" TargetMode="External"/><Relationship Id="rId444" Type="http://schemas.openxmlformats.org/officeDocument/2006/relationships/hyperlink" Target="https://www.google.com/url?q=https://www.infoarena.ro/problema/zuma&amp;sa=D&amp;ust=1605639815633000&amp;usg=AFQjCNGPmdFnKiY48nI_bdLRQhirmW2_fA" TargetMode="External"/><Relationship Id="rId651" Type="http://schemas.openxmlformats.org/officeDocument/2006/relationships/hyperlink" Target="https://www.google.com/url?q=https://codeforces.com/blog/entry/58433&amp;sa=D&amp;ust=1605639815917000&amp;usg=AFQjCNHKkK4E1mpjIMTld98K4gKTK8q7_A" TargetMode="External"/><Relationship Id="rId1281" Type="http://schemas.openxmlformats.org/officeDocument/2006/relationships/hyperlink" Target="https://www.google.com/url?q=https://dunjudge.me/analysis/problems/964/&amp;sa=D&amp;ust=1605639816303000&amp;usg=AFQjCNFlnma-WYhQoNKpTvJgdD9X9N0Efg" TargetMode="External"/><Relationship Id="rId2125" Type="http://schemas.openxmlformats.org/officeDocument/2006/relationships/hyperlink" Target="https://www.google.com/url?q=https://cses.fi/114/list/&amp;sa=D&amp;ust=1605639816602000&amp;usg=AFQjCNGuj9_RZgjNyIzWLTw3PIznz_yrJw" TargetMode="External"/><Relationship Id="rId2332" Type="http://schemas.openxmlformats.org/officeDocument/2006/relationships/hyperlink" Target="https://www.google.com/url?q=https://github.com/stefdasca/CompetitiveProgramming/blob/master/Infoarena/abx.cpp&amp;sa=D&amp;ust=1605639816660000&amp;usg=AFQjCNE_XPbx0XBT8gZR9bPUso3RWUe6rw" TargetMode="External"/><Relationship Id="rId304" Type="http://schemas.openxmlformats.org/officeDocument/2006/relationships/hyperlink" Target="https://www.google.com/url?q=https://codeforces.com/gym/102032/problem/D&amp;sa=D&amp;ust=1605639815580000&amp;usg=AFQjCNELyqBUfO7Ps3teST6N3Nuv3Pspig" TargetMode="External"/><Relationship Id="rId511" Type="http://schemas.openxmlformats.org/officeDocument/2006/relationships/hyperlink" Target="https://www.google.com/url?q=https://joi2013ho.contest.atcoder.jp/tasks/joi2013ho5&amp;sa=D&amp;ust=1605639815685000&amp;usg=AFQjCNEzaZQpzGNh0Op9Gv9iTou9Oe0qGg" TargetMode="External"/><Relationship Id="rId1141" Type="http://schemas.openxmlformats.org/officeDocument/2006/relationships/hyperlink" Target="https://www.google.com/url?q=https://github.com/mostafa-saad/MyCompetitiveProgramming/blob/master/Olympiad/infoarena/infoarena_permsort2.txt&amp;sa=D&amp;ust=1605639816210000&amp;usg=AFQjCNH00i0TI39llrUbjEF_3SvPpXEgHA" TargetMode="External"/><Relationship Id="rId1001" Type="http://schemas.openxmlformats.org/officeDocument/2006/relationships/hyperlink" Target="https://www.google.com/url?q=https://oj.uz/problem/view/IOI09_regions&amp;sa=D&amp;ust=1605639816115000&amp;usg=AFQjCNHDI5cAA5drvb1Ya50BG3G5ZcB75g" TargetMode="External"/><Relationship Id="rId1958" Type="http://schemas.openxmlformats.org/officeDocument/2006/relationships/hyperlink" Target="https://www.google.com/url?q=https://dmoj.ca/problem/utso15p5&amp;sa=D&amp;ust=1605639816547000&amp;usg=AFQjCNG4SpJvsGUDSznLPlOP7p4kzMZYSQ" TargetMode="External"/><Relationship Id="rId1818" Type="http://schemas.openxmlformats.org/officeDocument/2006/relationships/hyperlink" Target="https://www.google.com/url?q=https://contest.yandex.ru/ioi/contest/566/enter/&amp;sa=D&amp;ust=1605639816504000&amp;usg=AFQjCNEnPcDYi2QMwP4iG6eXRQ6x1bM88g" TargetMode="External"/><Relationship Id="rId161" Type="http://schemas.openxmlformats.org/officeDocument/2006/relationships/hyperlink" Target="https://www.google.com/url?q=https://github.com/mostafa-saad/MyCompetitiveProgramming/blob/master/Olympiad/POI/official/find_editorial_sols_guidelines.txt&amp;sa=D&amp;ust=1605639815539000&amp;usg=AFQjCNHmrTAiMGHgxbjF4pNwBWV47sfAqw" TargetMode="External"/><Relationship Id="rId2799" Type="http://schemas.openxmlformats.org/officeDocument/2006/relationships/hyperlink" Target="https://www.google.com/url?q=https://github.com/mostafa-saad/MyCompetitiveProgramming/blob/master/Olympiad/COCI/official/2009/contest6_solutions&amp;sa=D&amp;ust=1605639816802000&amp;usg=AFQjCNFe_Q8oCej3CkgzKwIEESiCzFb0xg" TargetMode="External"/><Relationship Id="rId978" Type="http://schemas.openxmlformats.org/officeDocument/2006/relationships/hyperlink" Target="https://www.google.com/url?q=https://github.com/mostafa-saad/MyCompetitiveProgramming/blob/master/Olympiad/NOI/NOI-14-cats.txt&amp;sa=D&amp;ust=1605639816107000&amp;usg=AFQjCNFpk4sSPB1hDK7SQROiMV9GoRkb-Q" TargetMode="External"/><Relationship Id="rId2659" Type="http://schemas.openxmlformats.org/officeDocument/2006/relationships/hyperlink" Target="https://www.google.com/url?q=https://github.com/mostafa-saad/MyCompetitiveProgramming/blob/master/Olympiad/IOI/official/2010&amp;sa=D&amp;ust=1605639816756000&amp;usg=AFQjCNGTslrbaZ_IjhdkM4VJa5x8QUQMPg" TargetMode="External"/><Relationship Id="rId2866" Type="http://schemas.openxmlformats.org/officeDocument/2006/relationships/hyperlink" Target="https://www.google.com/url?q=https://dunjudge.me/analysis/problems/1471/&amp;sa=D&amp;ust=1605639816822000&amp;usg=AFQjCNFeJQip1jHuxnXs5VSEwEg4silzsg" TargetMode="External"/><Relationship Id="rId838" Type="http://schemas.openxmlformats.org/officeDocument/2006/relationships/hyperlink" Target="https://www.google.com/url?q=https://github.com/mostafa-saad/MyCompetitiveProgramming/blob/master/Olympiad/POI/POI-08-Permutation.txt&amp;sa=D&amp;ust=1605639816012000&amp;usg=AFQjCNGiHOS3697I2DkmiR7Dq4oubO9_zA" TargetMode="External"/><Relationship Id="rId1468" Type="http://schemas.openxmlformats.org/officeDocument/2006/relationships/hyperlink" Target="https://www.google.com/url?q=https://oj.uz/problem/view/IZhO14_bank&amp;sa=D&amp;ust=1605639816388000&amp;usg=AFQjCNFKsiRznN6ZqYF3EAQ3JlXssLIN7w" TargetMode="External"/><Relationship Id="rId1675" Type="http://schemas.openxmlformats.org/officeDocument/2006/relationships/hyperlink" Target="https://www.google.com/url?q=https://github.com/mostafa-saad/MyCompetitiveProgramming/blob/master/Olympiad/COCI/COCI-07-Granica.txt&amp;sa=D&amp;ust=1605639816452000&amp;usg=AFQjCNFd0gvzeV6B11t9Es0bxgY_Xa5-Qg" TargetMode="External"/><Relationship Id="rId1882" Type="http://schemas.openxmlformats.org/officeDocument/2006/relationships/hyperlink" Target="https://www.google.com/url?q=https://dmoj.ca/problem/coci08c3p5&amp;sa=D&amp;ust=1605639816525000&amp;usg=AFQjCNFas5dAmLWFF1N4ScEyJY6-LKJTHQ" TargetMode="External"/><Relationship Id="rId2519" Type="http://schemas.openxmlformats.org/officeDocument/2006/relationships/hyperlink" Target="https://www.google.com/url?q=https://oj.uz/problem/view/COCI18_timovi&amp;sa=D&amp;ust=1605639816725000&amp;usg=AFQjCNF3AmEphvd8x6k05rTScRcmTDjDsQ" TargetMode="External"/><Relationship Id="rId2726" Type="http://schemas.openxmlformats.org/officeDocument/2006/relationships/hyperlink" Target="https://www.google.com/url?q=https://dmoj.ca/problem/coci08c3p1&amp;sa=D&amp;ust=1605639816776000&amp;usg=AFQjCNFmReHDmiNZQQ16PYIRN6pz2G7F-A" TargetMode="External"/><Relationship Id="rId1328" Type="http://schemas.openxmlformats.org/officeDocument/2006/relationships/hyperlink" Target="https://www.google.com/url?q=https://github.com/mostafa-saad/MyCompetitiveProgramming/blob/master/Olympiad/infoarena/infoarena-karb.txt&amp;sa=D&amp;ust=1605639816321000&amp;usg=AFQjCNH_DOyaB61NXmgA54KBaOKgOtjTAA" TargetMode="External"/><Relationship Id="rId1535" Type="http://schemas.openxmlformats.org/officeDocument/2006/relationships/hyperlink" Target="https://www.google.com/url?q=https://github.com/mostafa-saad/MyCompetitiveProgramming/blob/master/Olympiad/COCI/COCI-09-Zuma.txt&amp;sa=D&amp;ust=1605639816412000&amp;usg=AFQjCNEzr3tUDm77hIVgsplpnss92n7HOw" TargetMode="External"/><Relationship Id="rId2933" Type="http://schemas.openxmlformats.org/officeDocument/2006/relationships/hyperlink" Target="https://www.google.com/url?q=https://dunjudge.me/analysis/problems/1497/&amp;sa=D&amp;ust=1605639816871000&amp;usg=AFQjCNFrh9bNkW52xuddiUxOh0QEuTMWTw" TargetMode="External"/><Relationship Id="rId905" Type="http://schemas.openxmlformats.org/officeDocument/2006/relationships/hyperlink" Target="https://www.google.com/url?q=https://oj.uz/problem/view/BOI18_parentrises&amp;sa=D&amp;ust=1605639816086000&amp;usg=AFQjCNHCrgaVs5z3MjwTf344XTimfZPS0Q" TargetMode="External"/><Relationship Id="rId1742" Type="http://schemas.openxmlformats.org/officeDocument/2006/relationships/hyperlink" Target="https://www.google.com/url?q=http://usaco.org/index.php?page%3Dviewproblem2%26cpid%3D720&amp;sa=D&amp;ust=1605639816474000&amp;usg=AFQjCNGnZhg_dD9uinZ7IEk8tXyWhrIFDw" TargetMode="External"/><Relationship Id="rId34" Type="http://schemas.openxmlformats.org/officeDocument/2006/relationships/hyperlink" Target="https://www.google.com/url?q=https://szkopul.edu.pl/problemset/problem/fuTBSUcQ2U9sVPYJUDI4JwIe/site/&amp;sa=D&amp;ust=1605639815497000&amp;usg=AFQjCNEsMpSrUKeG3urruMA17LqYxbKW5w" TargetMode="External"/><Relationship Id="rId1602" Type="http://schemas.openxmlformats.org/officeDocument/2006/relationships/hyperlink" Target="https://www.google.com/url?q=https://github.com/mostafa-saad/MyCompetitiveProgramming/blob/master/Olympiad/Balkan/Balkan-17-Monsters.txt&amp;sa=D&amp;ust=1605639816432000&amp;usg=AFQjCNFF6-SLTitnZ1cGR03aaNsqeekUVg" TargetMode="External"/><Relationship Id="rId488" Type="http://schemas.openxmlformats.org/officeDocument/2006/relationships/hyperlink" Target="https://www.google.com/url?q=https://wcipeg.com/problem/coci096p5&amp;sa=D&amp;ust=1605639815677000&amp;usg=AFQjCNGoNB_pdlfXKOQfYnpeGrJgWsce_g" TargetMode="External"/><Relationship Id="rId695" Type="http://schemas.openxmlformats.org/officeDocument/2006/relationships/hyperlink" Target="https://www.google.com/url?q=https://github.com/mostafa-saad/MyCompetitiveProgramming/blob/master/Olympiad/POI/POI-04-Maximal.txt&amp;sa=D&amp;ust=1605639815932000&amp;usg=AFQjCNHACIIH0jpSHlo7juZUXHHgHd-_Vw" TargetMode="External"/><Relationship Id="rId2169" Type="http://schemas.openxmlformats.org/officeDocument/2006/relationships/hyperlink" Target="https://www.google.com/url?q=https://dmoj.ca/problem/cco07p1&amp;sa=D&amp;ust=1605639816617000&amp;usg=AFQjCNFNCcBrojlVSvONReP6z1ZRNA9dBg" TargetMode="External"/><Relationship Id="rId2376" Type="http://schemas.openxmlformats.org/officeDocument/2006/relationships/hyperlink" Target="https://www.google.com/url?q=https://dmoj.ca/problem/coci07c5p3&amp;sa=D&amp;ust=1605639816674000&amp;usg=AFQjCNHaHuHzGyCaaa-Nr8McROzc25FI7g" TargetMode="External"/><Relationship Id="rId2583" Type="http://schemas.openxmlformats.org/officeDocument/2006/relationships/hyperlink" Target="https://www.google.com/url?q=https://github.com/mostafa-saad/MyCompetitiveProgramming/blob/master/Olympiad/COCI/official/2013/contest5_solutions&amp;sa=D&amp;ust=1605639816740000&amp;usg=AFQjCNHFB-aTPBsZK0Tgz4XY671QOh8FQg" TargetMode="External"/><Relationship Id="rId2790" Type="http://schemas.openxmlformats.org/officeDocument/2006/relationships/hyperlink" Target="https://www.google.com/url?q=https://dmoj.ca/problem/coci08c2p2&amp;sa=D&amp;ust=1605639816800000&amp;usg=AFQjCNGo1kx5XNTF8NpUbvBrgOitcx-jxQ" TargetMode="External"/><Relationship Id="rId348" Type="http://schemas.openxmlformats.org/officeDocument/2006/relationships/hyperlink" Target="https://www.google.com/url?q=https://github.com/mostafa-saad/MyCompetitiveProgramming/blob/master/Olympiad/IOI/IOI-15-towns.txt&amp;sa=D&amp;ust=1605639815597000&amp;usg=AFQjCNGehccsEHGSHrevnkcQuW5MZJeFYQ" TargetMode="External"/><Relationship Id="rId555" Type="http://schemas.openxmlformats.org/officeDocument/2006/relationships/hyperlink" Target="https://www.google.com/url?q=https://github.com/mostafa-saad/MyCompetitiveProgramming/blob/master/Olympiad/COI/COI-07-Umnozak.txt&amp;sa=D&amp;ust=1605639815885000&amp;usg=AFQjCNGFnKJ0syoxO-pqeF_rtkEjK270bg" TargetMode="External"/><Relationship Id="rId762" Type="http://schemas.openxmlformats.org/officeDocument/2006/relationships/hyperlink" Target="https://www.google.com/url?q=https://github.com/mostafa-saad/MyCompetitiveProgramming/blob/master/Olympiad/POI/POI-05-Points.txt&amp;sa=D&amp;ust=1605639815985000&amp;usg=AFQjCNGXCrFzpgSAnyQE-1gv2Gx6bf3aDg" TargetMode="External"/><Relationship Id="rId1185" Type="http://schemas.openxmlformats.org/officeDocument/2006/relationships/hyperlink" Target="https://www.google.com/url?q=https://oj.uz/problem/view/COI15_dostava&amp;sa=D&amp;ust=1605639816221000&amp;usg=AFQjCNH_Kb4ISgcCAAqOJ1hIP4GXxiscGQ" TargetMode="External"/><Relationship Id="rId1392" Type="http://schemas.openxmlformats.org/officeDocument/2006/relationships/hyperlink" Target="https://www.google.com/url?q=https://www.infoarena.ro/problema/matrice&amp;sa=D&amp;ust=1605639816344000&amp;usg=AFQjCNGytnRgWniebK9N42TUGdHqJ90_VA" TargetMode="External"/><Relationship Id="rId2029" Type="http://schemas.openxmlformats.org/officeDocument/2006/relationships/hyperlink" Target="https://www.google.com/url?q=https://cses.fi/192/list/&amp;sa=D&amp;ust=1605639816569000&amp;usg=AFQjCNGocskPuEVVH9VgbvRNubTjLxkynA" TargetMode="External"/><Relationship Id="rId2236" Type="http://schemas.openxmlformats.org/officeDocument/2006/relationships/hyperlink" Target="https://www.google.com/url?q=https://github.com/mostafa-saad/MyCompetitiveProgramming/tree/master/Olympiad/MCO/official&amp;sa=D&amp;ust=1605639816636000&amp;usg=AFQjCNFlhOUhD5Z5WQdUAYw9qp5NgNYs4Q" TargetMode="External"/><Relationship Id="rId2443" Type="http://schemas.openxmlformats.org/officeDocument/2006/relationships/hyperlink" Target="https://www.google.com/url?q=https://szkopul.edu.pl/problemset/problem/xDISetKx9cPPrOT_t2ZqgEyr/site/&amp;sa=D&amp;ust=1605639816700000&amp;usg=AFQjCNEooBtpFh7fCzAIeal8LBiq9CTADA" TargetMode="External"/><Relationship Id="rId2650" Type="http://schemas.openxmlformats.org/officeDocument/2006/relationships/hyperlink" Target="https://www.google.com/url?q=https://github.com/mostafa-saad/MyCompetitiveProgramming/tree/master/Olympiad/COCI/official/2008/contest6_solutions&amp;sa=D&amp;ust=1605639816754000&amp;usg=AFQjCNGpjzKwhK10O2C1tSobL2vFD7SI-w" TargetMode="External"/><Relationship Id="rId208" Type="http://schemas.openxmlformats.org/officeDocument/2006/relationships/hyperlink" Target="https://www.google.com/url?q=https://szkopul.edu.pl/problemset/problem/DkPj-ES6glaEwxppbuaxbOO6/site/&amp;sa=D&amp;ust=1605639815551000&amp;usg=AFQjCNEkFmSxkGlJG-ZrqljNsD__OMZu4w" TargetMode="External"/><Relationship Id="rId415" Type="http://schemas.openxmlformats.org/officeDocument/2006/relationships/hyperlink" Target="https://www.google.com/url?q=https://contest.yandex.ru/ioi/contest/562/problems/F/&amp;sa=D&amp;ust=1605639815623000&amp;usg=AFQjCNGJzkDCEPAg7cDeCXpNKwmrA4frCQ" TargetMode="External"/><Relationship Id="rId622" Type="http://schemas.openxmlformats.org/officeDocument/2006/relationships/hyperlink" Target="https://www.google.com/url?q=https://wcipeg.com/problem/coci091p6&amp;sa=D&amp;ust=1605639815909000&amp;usg=AFQjCNH8tUoNKN_QotPvuxDNoVFWxrrJ2g" TargetMode="External"/><Relationship Id="rId1045" Type="http://schemas.openxmlformats.org/officeDocument/2006/relationships/hyperlink" Target="https://www.google.com/url?q=https://oj.uz/problem/view/BOI19_valley&amp;sa=D&amp;ust=1605639816177000&amp;usg=AFQjCNGOxf-jRp5KhdQQeqx20Xux60Z9ig" TargetMode="External"/><Relationship Id="rId1252" Type="http://schemas.openxmlformats.org/officeDocument/2006/relationships/hyperlink" Target="https://www.google.com/url?q=https://github.com/mostafa-saad/MyCompetitiveProgramming/blob/master/Olympiad/JOI/COCI/COCI-15-vudu.txt&amp;sa=D&amp;ust=1605639816296000&amp;usg=AFQjCNEb-RxUQWmLorRaNiLUrqsbyVL83A" TargetMode="External"/><Relationship Id="rId2303" Type="http://schemas.openxmlformats.org/officeDocument/2006/relationships/hyperlink" Target="https://www.google.com/url?q=https://github.com/tmwilliamlin168/CompetitiveProgramming/blob/master/IZHO/13-Trading.cpp&amp;sa=D&amp;ust=1605639816652000&amp;usg=AFQjCNFQGnDZ5EXF7_SpyGsRO-bqnIyoqg" TargetMode="External"/><Relationship Id="rId2510" Type="http://schemas.openxmlformats.org/officeDocument/2006/relationships/hyperlink" Target="https://www.google.com/url?q=https://github.com/dolphingarlic/CompetitiveProgramming/blob/master/JOI/JOI%252020-neckties.cpp&amp;sa=D&amp;ust=1605639816722000&amp;usg=AFQjCNGGUUc2KLhE5_6XKh2RP_JfycMOlw" TargetMode="External"/><Relationship Id="rId1112" Type="http://schemas.openxmlformats.org/officeDocument/2006/relationships/hyperlink" Target="https://www.google.com/url?q=https://github.com/thecodingwizard/competitive-programming/blob/master/USACO/2018jan/plat/lifeguards%2520(legit%2520solution).cpp&amp;sa=D&amp;ust=1605639816201000&amp;usg=AFQjCNFKA4u998b1_I8XXPk0NOLCy94yww" TargetMode="External"/><Relationship Id="rId1929" Type="http://schemas.openxmlformats.org/officeDocument/2006/relationships/hyperlink" Target="https://www.google.com/url?q=https://oj.uz/problem/view/COCI18_cover&amp;sa=D&amp;ust=1605639816538000&amp;usg=AFQjCNFUIcZ8sOUOmGQLDQV4qhluHaRWRA" TargetMode="External"/><Relationship Id="rId2093" Type="http://schemas.openxmlformats.org/officeDocument/2006/relationships/hyperlink" Target="https://www.google.com/url?q=https://dmoj.ca/problem/cco13p2&amp;sa=D&amp;ust=1605639816593000&amp;usg=AFQjCNGz_37VspRpjvqVoVkiyEHSKVCAqg" TargetMode="External"/><Relationship Id="rId272" Type="http://schemas.openxmlformats.org/officeDocument/2006/relationships/hyperlink" Target="https://www.google.com/url?q=https://szkopul.edu.pl/problemset/problem/DKfNUFPEex9M2RZxld6pPcxT/site/&amp;sa=D&amp;ust=1605639815570000&amp;usg=AFQjCNGfXR4Mc5IpkrIaDX-8tp3NogixTQ" TargetMode="External"/><Relationship Id="rId2160" Type="http://schemas.openxmlformats.org/officeDocument/2006/relationships/hyperlink" Target="https://www.google.com/url?q=https://github.com/mostafa-saad/MyCompetitiveProgramming/blob/master/Olympiad/COCI/official/2009/contest1_solutions&amp;sa=D&amp;ust=1605639816614000&amp;usg=AFQjCNFurB7coJAQtJUETOi89Szh2hIbJg" TargetMode="External"/><Relationship Id="rId3004" Type="http://schemas.openxmlformats.org/officeDocument/2006/relationships/hyperlink" Target="https://www.google.com/url?q=https://dunjudge.me/analysis/problems/952/&amp;sa=D&amp;ust=1605639816905000&amp;usg=AFQjCNFXIOit3vXTFStSaK8m7jGc7vCBLw" TargetMode="External"/><Relationship Id="rId132" Type="http://schemas.openxmlformats.org/officeDocument/2006/relationships/hyperlink" Target="https://www.google.com/url?q=https://github.com/tmwilliamlin168/CompetitiveProgramming/blob/master/USACO/Contests/1617_4P/grass.cpp&amp;sa=D&amp;ust=1605639815531000&amp;usg=AFQjCNHaKW3XsYQDdE014mi5HGG167ty4A" TargetMode="External"/><Relationship Id="rId2020" Type="http://schemas.openxmlformats.org/officeDocument/2006/relationships/hyperlink" Target="https://www.google.com/url?q=https://dmoj.ca/problem/fibonacci2&amp;sa=D&amp;ust=1605639816565000&amp;usg=AFQjCNHqwfK98nBevcn1smGBZSJ0rRIJBQ" TargetMode="External"/><Relationship Id="rId1579" Type="http://schemas.openxmlformats.org/officeDocument/2006/relationships/hyperlink" Target="https://www.google.com/url?q=http://usaco.org/index.php?page%3Dviewproblem2%26cpid%3D861&amp;sa=D&amp;ust=1605639816425000&amp;usg=AFQjCNFyzgNdNdt5OlbpfmXw2EdKwowzhw" TargetMode="External"/><Relationship Id="rId2977" Type="http://schemas.openxmlformats.org/officeDocument/2006/relationships/hyperlink" Target="https://www.google.com/url?q=https://szkopul.edu.pl/problemset/problem/Hhip15j-8Ro2dOb_4oB98C-G/site/&amp;sa=D&amp;ust=1605639816893000&amp;usg=AFQjCNHgXMiuXHs7zBuzv5Bt1CFUmNis8A" TargetMode="External"/><Relationship Id="rId949" Type="http://schemas.openxmlformats.org/officeDocument/2006/relationships/hyperlink" Target="https://www.google.com/url?q=https://oj.uz/problem/view/COI15_sir&amp;sa=D&amp;ust=1605639816098000&amp;usg=AFQjCNFt2wcX6gnMSco61rDFhC-mxTJdjA" TargetMode="External"/><Relationship Id="rId1786" Type="http://schemas.openxmlformats.org/officeDocument/2006/relationships/hyperlink" Target="https://www.google.com/url?q=https://github.com/stefdasca/CompetitiveProgramming/blob/master/Infoarena/zip.cpp&amp;sa=D&amp;ust=1605639816491000&amp;usg=AFQjCNGX5vRPxcRg9hH-rFvYXXDIC2oILQ" TargetMode="External"/><Relationship Id="rId1993" Type="http://schemas.openxmlformats.org/officeDocument/2006/relationships/hyperlink" Target="https://www.google.com/url?q=https://github.com/mostafa-saad/MyCompetitiveProgramming/blob/master/Olympiad/CEOI/COCI-06-Tenkici&amp;sa=D&amp;ust=1605639816557000&amp;usg=AFQjCNHeO0AeqUAi0lW3Bm9VZxQdZR256w" TargetMode="External"/><Relationship Id="rId2837" Type="http://schemas.openxmlformats.org/officeDocument/2006/relationships/hyperlink" Target="https://www.google.com/url?q=https://github.com/mostafa-saad/MyCompetitiveProgramming/tree/master/Olympiad/COCI/official/2008/contest3_solutions&amp;sa=D&amp;ust=1605639816812000&amp;usg=AFQjCNEioVYesWknOmcMxbqv69VGL6mJ0g" TargetMode="External"/><Relationship Id="rId78" Type="http://schemas.openxmlformats.org/officeDocument/2006/relationships/hyperlink" Target="https://www.google.com/url?q=https://oj.uz/problem/view/IOI17_simurgh&amp;sa=D&amp;ust=1605639815514000&amp;usg=AFQjCNGIlkLa01IeFMkx7sakSBbtmw6ztA" TargetMode="External"/><Relationship Id="rId809" Type="http://schemas.openxmlformats.org/officeDocument/2006/relationships/hyperlink" Target="https://www.google.com/url?q=https://github.com/mostafa-saad/MyCompetitiveProgramming/blob/master/Olympiad/Baltic/Baltic-12-Fire.txt&amp;sa=D&amp;ust=1605639816001000&amp;usg=AFQjCNHPVNf8hY_yyamGCN7dyYpwmKkllg" TargetMode="External"/><Relationship Id="rId1439" Type="http://schemas.openxmlformats.org/officeDocument/2006/relationships/hyperlink" Target="https://www.google.com/url?q=https://github.com/mostafa-saad/MyCompetitiveProgramming/blob/master/Olympiad/USACO/USACO-12dec-runaway.txt&amp;sa=D&amp;ust=1605639816374000&amp;usg=AFQjCNGGrqspRKlDzESQLnd_zRje-yGFhQ" TargetMode="External"/><Relationship Id="rId1646" Type="http://schemas.openxmlformats.org/officeDocument/2006/relationships/hyperlink" Target="https://www.google.com/url?q=https://www.dropbox.com/s/smryqdsty3vu5br/Bytecomputer.cpp?dl%3D0&amp;sa=D&amp;ust=1605639816444000&amp;usg=AFQjCNF9ypoTG3Ho2mRZGsxO8GDqm43pyQ" TargetMode="External"/><Relationship Id="rId1853" Type="http://schemas.openxmlformats.org/officeDocument/2006/relationships/hyperlink" Target="https://www.google.com/url?q=https://github.com/mostafa-saad/MyCompetitiveProgramming/blob/master/Olympiad/COCI/official/2010/contest7_solutions&amp;sa=D&amp;ust=1605639816515000&amp;usg=AFQjCNG_Hemf27IEsaKLgXXPIjMRBeJLUw" TargetMode="External"/><Relationship Id="rId2904" Type="http://schemas.openxmlformats.org/officeDocument/2006/relationships/hyperlink" Target="https://www.google.com/url?q=https://oj.uz/problem/view/info1cup17_binary&amp;sa=D&amp;ust=1605639816844000&amp;usg=AFQjCNH5Zg2apfO9vT4RazLaYm6DhVPc3w" TargetMode="External"/><Relationship Id="rId1506" Type="http://schemas.openxmlformats.org/officeDocument/2006/relationships/hyperlink" Target="https://www.google.com/url?q=http://usaco.org/index.php?page%3Dviewproblem2%26cpid%3D101&amp;sa=D&amp;ust=1605639816401000&amp;usg=AFQjCNEaHJS645H3fZp-5VdNTjSdh2GeBg" TargetMode="External"/><Relationship Id="rId1713" Type="http://schemas.openxmlformats.org/officeDocument/2006/relationships/hyperlink" Target="https://www.google.com/url?q=https://github.com/mostafa-saad/MyCompetitiveProgramming/blob/master/Olympiad/POI/POI-13-Takeout.txt&amp;sa=D&amp;ust=1605639816462000&amp;usg=AFQjCNFROovxHwBRhkpguD20PYv_WpYGiA" TargetMode="External"/><Relationship Id="rId1920" Type="http://schemas.openxmlformats.org/officeDocument/2006/relationships/hyperlink" Target="https://www.google.com/url?q=https://dmoj.ca/problem/cco08p5&amp;sa=D&amp;ust=1605639816536000&amp;usg=AFQjCNF1u9tSndkd5V4uo4Gjv_k801pMDw" TargetMode="External"/><Relationship Id="rId599" Type="http://schemas.openxmlformats.org/officeDocument/2006/relationships/hyperlink" Target="https://www.google.com/url?q=https://github.com/mostafa-saad/MyCompetitiveProgramming/blob/master/Olympiad/infoarena/infoarena_matcnt.txt&amp;sa=D&amp;ust=1605639815900000&amp;usg=AFQjCNGsX7iBlPGCKKm8RnCTBjvHzIaRwg" TargetMode="External"/><Relationship Id="rId2487" Type="http://schemas.openxmlformats.org/officeDocument/2006/relationships/hyperlink" Target="https://www.google.com/url?q=https://oj.uz/problem/view/COCI17_unija&amp;sa=D&amp;ust=1605639816715000&amp;usg=AFQjCNGkBmUGQ2s31tedP0IcHVc00Bdkhw" TargetMode="External"/><Relationship Id="rId2694" Type="http://schemas.openxmlformats.org/officeDocument/2006/relationships/hyperlink" Target="https://www.google.com/url?q=https://dunjudge.me/analysis/problems/1356/&amp;sa=D&amp;ust=1605639816763000&amp;usg=AFQjCNHDJOC5CkjRJg5WLK3sZfMlKlJgAg" TargetMode="External"/><Relationship Id="rId459" Type="http://schemas.openxmlformats.org/officeDocument/2006/relationships/hyperlink" Target="https://www.google.com/url?q=https://joisc2014.contest.atcoder.jp/tasks/joisc2014_l&amp;sa=D&amp;ust=1605639815667000&amp;usg=AFQjCNGrcaa0CdVt6syTR0UrmJXfGRHzcQ" TargetMode="External"/><Relationship Id="rId666" Type="http://schemas.openxmlformats.org/officeDocument/2006/relationships/hyperlink" Target="https://www.google.com/url?q=https://oj.uz/problem/view/CEOI18_tri&amp;sa=D&amp;ust=1605639815923000&amp;usg=AFQjCNHCtspmLarV2UXvafgXml8pddv1Ng" TargetMode="External"/><Relationship Id="rId873" Type="http://schemas.openxmlformats.org/officeDocument/2006/relationships/hyperlink" Target="https://www.google.com/url?q=https://github.com/tmwilliamlin168/CompetitiveProgramming/blob/master/IOI/12-Rings.cpp&amp;sa=D&amp;ust=1605639816025000&amp;usg=AFQjCNFAXDjmSo0JZFgcjbyv2UPDKEGvcA" TargetMode="External"/><Relationship Id="rId1089" Type="http://schemas.openxmlformats.org/officeDocument/2006/relationships/hyperlink" Target="https://www.google.com/url?q=https://szkopul.edu.pl/problemset/problem/5TfG0f1dOXc2sUTq9NMM9zSD/site/&amp;sa=D&amp;ust=1605639816192000&amp;usg=AFQjCNH5IKIGN8foCHELNomRT2SRk8qCZA" TargetMode="External"/><Relationship Id="rId1296" Type="http://schemas.openxmlformats.org/officeDocument/2006/relationships/hyperlink" Target="https://www.google.com/url?q=https://github.com/MohamedAhmed04/Competitive-programming/blob/master/USACO/17-February-Platinum-WhyDidTheCowCrossTheRoadIII.cpp&amp;sa=D&amp;ust=1605639816309000&amp;usg=AFQjCNEmKFcCV1jynEfeSSKsvh5d6XsnHA" TargetMode="External"/><Relationship Id="rId2347" Type="http://schemas.openxmlformats.org/officeDocument/2006/relationships/hyperlink" Target="https://www.google.com/url?q=https://github.com/mostafa-saad/MyCompetitiveProgramming/blob/master/Olympiad/COCI/official/2014/contest5_solutions&amp;sa=D&amp;ust=1605639816664000&amp;usg=AFQjCNHxJYUpMqkXwr6CaZyRTq1VD5TrDw" TargetMode="External"/><Relationship Id="rId2554" Type="http://schemas.openxmlformats.org/officeDocument/2006/relationships/hyperlink" Target="https://www.google.com/url?q=https://dmoj.ca/problem/coci08c2p3&amp;sa=D&amp;ust=1605639816733000&amp;usg=AFQjCNEAk4-cfzuwJ46GMy--SuaEchcx7A" TargetMode="External"/><Relationship Id="rId319" Type="http://schemas.openxmlformats.org/officeDocument/2006/relationships/hyperlink" Target="https://www.google.com/url?q=https://csacademy.com/contest/junior-challenge-2017-day-1/task/chromatic-number/&amp;sa=D&amp;ust=1605639815587000&amp;usg=AFQjCNFU6Mu-DZpCF3zl6IZ-A-Atse6A4Q" TargetMode="External"/><Relationship Id="rId526" Type="http://schemas.openxmlformats.org/officeDocument/2006/relationships/hyperlink" Target="https://www.google.com/url?q=https://github.com/mostafa-saad/MyCompetitiveProgramming/blob/master/Olympiad/POI/POI-09-Island.txt&amp;sa=D&amp;ust=1605639815835000&amp;usg=AFQjCNHlUerV3WoLc_x_3Qn1o4fuiq_-RQ" TargetMode="External"/><Relationship Id="rId1156" Type="http://schemas.openxmlformats.org/officeDocument/2006/relationships/hyperlink" Target="https://www.google.com/url?q=https://github.com/mostafa-saad/MyCompetitiveProgramming/blob/master/Olympiad/COCI/COCI-07-Pravokutni.txt&amp;sa=D&amp;ust=1605639816213000&amp;usg=AFQjCNEjM5w8aQ1yjkTccDurgGb6TrPGNQ" TargetMode="External"/><Relationship Id="rId1363" Type="http://schemas.openxmlformats.org/officeDocument/2006/relationships/hyperlink" Target="https://www.google.com/url?q=https://github.com/mostafa-saad/MyCompetitiveProgramming/blob/master/Olympiad/COCI/COCI-14-bob.txt&amp;sa=D&amp;ust=1605639816333000&amp;usg=AFQjCNGtksbvNUyrAzRRXVfL31mbrPqEag" TargetMode="External"/><Relationship Id="rId2207" Type="http://schemas.openxmlformats.org/officeDocument/2006/relationships/hyperlink" Target="https://www.google.com/url?q=https://github.com/mostafa-saad/MyCompetitiveProgramming/blob/master/Olympiad/POI/official/find_editorial_sols_guidelines.txt&amp;sa=D&amp;ust=1605639816629000&amp;usg=AFQjCNH6WeieXfuef-oe9lFbTzFdK6NEKg" TargetMode="External"/><Relationship Id="rId2761" Type="http://schemas.openxmlformats.org/officeDocument/2006/relationships/hyperlink" Target="https://www.google.com/url?q=https://oj.uz/problem/view/COCI14_mobitel&amp;sa=D&amp;ust=1605639816786000&amp;usg=AFQjCNEvd5iDPAX2mXEwdmDAXdqrwTmgiQ" TargetMode="External"/><Relationship Id="rId733" Type="http://schemas.openxmlformats.org/officeDocument/2006/relationships/hyperlink" Target="https://www.google.com/url?q=https://github.com/mostafa-saad/MyCompetitiveProgramming/blob/master/Olympiad/CEOI/CEOI-11-Teams.txt&amp;sa=D&amp;ust=1605639815974000&amp;usg=AFQjCNED3AHfuGO_kxPLzB7K3r_ZhizADw" TargetMode="External"/><Relationship Id="rId940" Type="http://schemas.openxmlformats.org/officeDocument/2006/relationships/hyperlink" Target="https://www.google.com/url?q=http://usaco.org/index.php?page%3Dviewproblem2%26cpid%3D722&amp;sa=D&amp;ust=1605639816096000&amp;usg=AFQjCNGWhzeOwkE9TfWc4YOQfTGNG1cx3w" TargetMode="External"/><Relationship Id="rId1016" Type="http://schemas.openxmlformats.org/officeDocument/2006/relationships/hyperlink" Target="https://www.google.com/url?q=https://github.com/mostafa-saad/MyCompetitiveProgramming/blob/master/Olympiad/COI/COI_07-Kolekcija.txt&amp;sa=D&amp;ust=1605639816164000&amp;usg=AFQjCNFDJOr-bd7Cs0EaNwmv-zq2w2QY_w" TargetMode="External"/><Relationship Id="rId1570" Type="http://schemas.openxmlformats.org/officeDocument/2006/relationships/hyperlink" Target="https://www.google.com/url?q=https://dmoj.ca/problem/coci16c1p3&amp;sa=D&amp;ust=1605639816422000&amp;usg=AFQjCNFHJNSO65fkwZQwumlll-c_dmJfdw" TargetMode="External"/><Relationship Id="rId2414" Type="http://schemas.openxmlformats.org/officeDocument/2006/relationships/hyperlink" Target="https://www.google.com/url?q=https://joi2013ho.contest.atcoder.jp/tasks/joi2013ho2&amp;sa=D&amp;ust=1605639816689000&amp;usg=AFQjCNGL-lRQfPTovapGHIjP5YzrbrjeFg" TargetMode="External"/><Relationship Id="rId2621" Type="http://schemas.openxmlformats.org/officeDocument/2006/relationships/hyperlink" Target="https://www.google.com/url?q=https://dmoj.ca/problem/coci08c6p2&amp;sa=D&amp;ust=1605639816747000&amp;usg=AFQjCNEUbuPfeiqmCOhkk_zkXl0m7F2BgQ" TargetMode="External"/><Relationship Id="rId800" Type="http://schemas.openxmlformats.org/officeDocument/2006/relationships/hyperlink" Target="https://www.google.com/url?q=https://github.com/mostafa-saad/MyCompetitiveProgramming/blob/master/Olympiad/COCI/official/2012/contest3_solutions&amp;sa=D&amp;ust=1605639815998000&amp;usg=AFQjCNF1dk8yJWAL9jXG4JObqgmoVRWmBA" TargetMode="External"/><Relationship Id="rId1223" Type="http://schemas.openxmlformats.org/officeDocument/2006/relationships/hyperlink" Target="https://www.google.com/url?q=https://oj.uz/problem/view/APIO15_skyscraper&amp;sa=D&amp;ust=1605639816284000&amp;usg=AFQjCNHZ4E5jeF_Nz0Utn51lJw0ZNJEWFg" TargetMode="External"/><Relationship Id="rId1430" Type="http://schemas.openxmlformats.org/officeDocument/2006/relationships/hyperlink" Target="https://www.google.com/url?q=https://www.infoarena.ro/problema/padurari&amp;sa=D&amp;ust=1605639816371000&amp;usg=AFQjCNG7JFaba84Rz0G3YhbbNQHy_cl-Nw" TargetMode="External"/><Relationship Id="rId176" Type="http://schemas.openxmlformats.org/officeDocument/2006/relationships/hyperlink" Target="https://www.google.com/url?q=https://www.hackerrank.com/contests/ioi-2014-practice-contest-1/challenges&amp;sa=D&amp;ust=1605639815543000&amp;usg=AFQjCNFIQjjaSIEQvvF1h00PO2bvsFiJEw" TargetMode="External"/><Relationship Id="rId383" Type="http://schemas.openxmlformats.org/officeDocument/2006/relationships/hyperlink" Target="https://www.google.com/url?q=https://oj.uz/problems/source/316&amp;sa=D&amp;ust=1605639815610000&amp;usg=AFQjCNHj3PCQiHumSy7kz75HXs9ViM00Aw" TargetMode="External"/><Relationship Id="rId590" Type="http://schemas.openxmlformats.org/officeDocument/2006/relationships/hyperlink" Target="https://www.google.com/url?q=https://dunjudge.me/analysis/problems/803/&amp;sa=D&amp;ust=1605639815897000&amp;usg=AFQjCNEnln4s1pQSj26ElSoWRrFG_wsZXQ" TargetMode="External"/><Relationship Id="rId2064" Type="http://schemas.openxmlformats.org/officeDocument/2006/relationships/hyperlink" Target="https://www.google.com/url?q=https://dunjudge.me/analysis/problems/701/&amp;sa=D&amp;ust=1605639816582000&amp;usg=AFQjCNEgKhTllwRvCoaF-zYaNSVJAOrjYA" TargetMode="External"/><Relationship Id="rId2271" Type="http://schemas.openxmlformats.org/officeDocument/2006/relationships/hyperlink" Target="https://www.google.com/url?q=https://szkopul.edu.pl/problemset/problem/hOwg83Xw_OnTpfQ9SroS0OJA/site/&amp;sa=D&amp;ust=1605639816644000&amp;usg=AFQjCNE6-rJjd68MbCPvjRcYbQHJR66M2Q" TargetMode="External"/><Relationship Id="rId243" Type="http://schemas.openxmlformats.org/officeDocument/2006/relationships/hyperlink" Target="https://www.google.com/url?q=https://github.com/mostafa-saad/MyCompetitiveProgramming/blob/master/Olympiad/NOI/official&amp;sa=D&amp;ust=1605639815560000&amp;usg=AFQjCNFDQPhKqVyE_WTAjabOlL_XKEKtmw" TargetMode="External"/><Relationship Id="rId450" Type="http://schemas.openxmlformats.org/officeDocument/2006/relationships/hyperlink" Target="https://www.google.com/url?q=https://szkopul.edu.pl/problemset/problem/zQvxlGgoPvqRrAK0TuLeWIRD/site/&amp;sa=D&amp;ust=1605639815635000&amp;usg=AFQjCNH5zg1WXbJRKCCp5OSqR9ZZZ7p2yQ" TargetMode="External"/><Relationship Id="rId1080" Type="http://schemas.openxmlformats.org/officeDocument/2006/relationships/hyperlink" Target="https://www.google.com/url?q=https://github.com/mostafa-saad/MyCompetitiveProgramming/blob/master/Olympiad/IZhO/IZhO-14-blocks.txt&amp;sa=D&amp;ust=1605639816190000&amp;usg=AFQjCNHYvqQRZoUMkkoWCubQG_4E-pIeJA" TargetMode="External"/><Relationship Id="rId2131" Type="http://schemas.openxmlformats.org/officeDocument/2006/relationships/hyperlink" Target="https://www.google.com/url?q=https://dunjudge.me/analysis/problems/67/&amp;sa=D&amp;ust=1605639816605000&amp;usg=AFQjCNFsJ36d8OYMfIYosc1TKbG28EPKRA" TargetMode="External"/><Relationship Id="rId103" Type="http://schemas.openxmlformats.org/officeDocument/2006/relationships/hyperlink" Target="https://www.google.com/url?q=https://oj.uz/problems/source/6&amp;sa=D&amp;ust=1605639815522000&amp;usg=AFQjCNGkTIZANnYpQ0K4kIFKjLGoa4Gy3Q" TargetMode="External"/><Relationship Id="rId310" Type="http://schemas.openxmlformats.org/officeDocument/2006/relationships/hyperlink" Target="https://www.google.com/url?q=http://usaco.org/index.php?page%3Dviewproblem2%26cpid%3D901&amp;sa=D&amp;ust=1605639815584000&amp;usg=AFQjCNEf3womM0rUOJQgY9DqxX14ggiJUQ" TargetMode="External"/><Relationship Id="rId1897" Type="http://schemas.openxmlformats.org/officeDocument/2006/relationships/hyperlink" Target="https://www.google.com/url?q=https://dmoj.ca/problem/coci13c1p2&amp;sa=D&amp;ust=1605639816529000&amp;usg=AFQjCNHuq_2iMhnNKGar8yIMHO3DHgffgw" TargetMode="External"/><Relationship Id="rId2948" Type="http://schemas.openxmlformats.org/officeDocument/2006/relationships/hyperlink" Target="https://www.google.com/url?q=https://dunjudge.me/analysis/problems/1171/&amp;sa=D&amp;ust=1605639816877000&amp;usg=AFQjCNEsxbp7W0kWvKiKkJuP2WpXTBLVKw" TargetMode="External"/><Relationship Id="rId1757" Type="http://schemas.openxmlformats.org/officeDocument/2006/relationships/hyperlink" Target="https://www.google.com/url?q=https://joi2014ho.contest.atcoder.jp/tasks/joi2014ho1&amp;sa=D&amp;ust=1605639816480000&amp;usg=AFQjCNEFLpegFYXNUyhYmVUwBbiKBQxsJg" TargetMode="External"/><Relationship Id="rId1964" Type="http://schemas.openxmlformats.org/officeDocument/2006/relationships/hyperlink" Target="https://www.google.com/url?q=https://wcipeg.com/problem/coi07p1&amp;sa=D&amp;ust=1605639816549000&amp;usg=AFQjCNG22OuwuiURsw9fADOs7RLd5--nPA" TargetMode="External"/><Relationship Id="rId2808" Type="http://schemas.openxmlformats.org/officeDocument/2006/relationships/hyperlink" Target="https://www.google.com/url?q=https://wcipeg.com/problem/coci093p3&amp;sa=D&amp;ust=1605639816804000&amp;usg=AFQjCNGCn03cSYuWKY3erlHMmnF1LK7a5w" TargetMode="External"/><Relationship Id="rId49" Type="http://schemas.openxmlformats.org/officeDocument/2006/relationships/hyperlink" Target="https://www.google.com/url?q=https://dunjudge.me/analysis/problems/751/&amp;sa=D&amp;ust=1605639815502000&amp;usg=AFQjCNH5f3gli53Nl-aiNcqIFGiADeHqjA" TargetMode="External"/><Relationship Id="rId1617" Type="http://schemas.openxmlformats.org/officeDocument/2006/relationships/hyperlink" Target="https://www.google.com/url?q=https://dmoj.ca/contest/cco18d2&amp;sa=D&amp;ust=1605639816436000&amp;usg=AFQjCNH19tg5zYxc0W_WT7UVgNQU8dhUuA" TargetMode="External"/><Relationship Id="rId1824" Type="http://schemas.openxmlformats.org/officeDocument/2006/relationships/hyperlink" Target="https://www.google.com/url?q=https://github.com/stefdasca/CompetitiveProgramming/blob/master/Info1Cup/National%2520Round/Simple%2520(Ro)%2520(1).pdf&amp;sa=D&amp;ust=1605639816506000&amp;usg=AFQjCNHmxz3X39vu9P1Zw2DO7t5teuZulQ" TargetMode="External"/><Relationship Id="rId2598" Type="http://schemas.openxmlformats.org/officeDocument/2006/relationships/hyperlink" Target="https://www.google.com/url?q=https://github.com/stefdasca/CompetitiveProgramming/blob/master/Info1Cup/National%2520Round/Treasure%2520(RO).pdf&amp;sa=D&amp;ust=1605639816742000&amp;usg=AFQjCNHGYkMinNGrkgVBREaJpN8RCv7E7A" TargetMode="External"/><Relationship Id="rId777" Type="http://schemas.openxmlformats.org/officeDocument/2006/relationships/hyperlink" Target="https://www.google.com/url?q=https://oj.uz/problem/view/BOI16_swap&amp;sa=D&amp;ust=1605639815990000&amp;usg=AFQjCNHt5KHwfccRhNGOTWcO5SinS73gcQ" TargetMode="External"/><Relationship Id="rId984" Type="http://schemas.openxmlformats.org/officeDocument/2006/relationships/hyperlink" Target="https://www.google.com/url?q=https://github.com/mostafa-saad/MyCompetitiveProgramming/blob/master/Olympiad/Baltic/Baltic-09-Subway.txt&amp;sa=D&amp;ust=1605639816109000&amp;usg=AFQjCNHwSTlPM5_oWUWmcGfchINeLzqRnw" TargetMode="External"/><Relationship Id="rId2458" Type="http://schemas.openxmlformats.org/officeDocument/2006/relationships/hyperlink" Target="https://www.google.com/url?q=https://codeforces.com/group/swEqtABRxe/contest/243430/problem/A&amp;sa=D&amp;ust=1605639816705000&amp;usg=AFQjCNGavKhrTTP9nR2cGeWBz2Wu-2pIcQ" TargetMode="External"/><Relationship Id="rId2665" Type="http://schemas.openxmlformats.org/officeDocument/2006/relationships/hyperlink" Target="https://www.google.com/url?q=https://github.com/mostafa-saad/MyCompetitiveProgramming/blob/master/Olympiad/COCI/official/2010/contest3_solutions&amp;sa=D&amp;ust=1605639816757000&amp;usg=AFQjCNEUDdFtmh_Oz6V2yD8eGor00pjmZw" TargetMode="External"/><Relationship Id="rId2872" Type="http://schemas.openxmlformats.org/officeDocument/2006/relationships/hyperlink" Target="https://www.google.com/url?q=https://cses.fi/110/list/&amp;sa=D&amp;ust=1605639816824000&amp;usg=AFQjCNH3pV7i5vDBo_P11cAMbUqdA3mGhw" TargetMode="External"/><Relationship Id="rId637" Type="http://schemas.openxmlformats.org/officeDocument/2006/relationships/hyperlink" Target="https://www.google.com/url?q=https://github.com/mostafa-saad/MyCompetitiveProgramming/blob/master/Olympiad/POI/official/find_editorial_sols_guidelines.txt&amp;sa=D&amp;ust=1605639815913000&amp;usg=AFQjCNFr6Cydss4CLDEb9IrOuIqjJQVAGw" TargetMode="External"/><Relationship Id="rId844" Type="http://schemas.openxmlformats.org/officeDocument/2006/relationships/hyperlink" Target="https://www.google.com/url?q=https://github.com/timpostuvan/CompetitiveProgramming/blob/master/Olympiad/IOI/Prize2017.cpp&amp;sa=D&amp;ust=1605639816014000&amp;usg=AFQjCNHlCz_2fmCJ9Uy9k9V9RWpD-ABqVw" TargetMode="External"/><Relationship Id="rId1267" Type="http://schemas.openxmlformats.org/officeDocument/2006/relationships/hyperlink" Target="https://www.google.com/url?q=https://szkopul.edu.pl/problemset/problem/zWn2E-v-nn-bozeXQrykmCgD/site/&amp;sa=D&amp;ust=1605639816300000&amp;usg=AFQjCNEZQ-tY2GNihiiq1fA-8kT-21Ofog" TargetMode="External"/><Relationship Id="rId1474" Type="http://schemas.openxmlformats.org/officeDocument/2006/relationships/hyperlink" Target="https://www.google.com/url?q=https://github.com/tmwilliamlin168/CompetitiveProgramming/blob/master/CEOI/14-Fangorn.cpp&amp;sa=D&amp;ust=1605639816390000&amp;usg=AFQjCNEeMySZ68CkKwkcZ3FXfSLO4cyM0g" TargetMode="External"/><Relationship Id="rId1681" Type="http://schemas.openxmlformats.org/officeDocument/2006/relationships/hyperlink" Target="https://www.google.com/url?q=https://github.com/updown2/OI-Practice/blob/master/IOI/IOI%25202008/Type%2520Printer.cpp&amp;sa=D&amp;ust=1605639816453000&amp;usg=AFQjCNE7473mBu4bcA4kkbFiN0rGDgidrQ" TargetMode="External"/><Relationship Id="rId2318" Type="http://schemas.openxmlformats.org/officeDocument/2006/relationships/hyperlink" Target="https://www.google.com/url?q=https://dmoj.ca/problem/coci08c1p4&amp;sa=D&amp;ust=1605639816657000&amp;usg=AFQjCNHut8pGzKPtlhr64sXnt9u-DnxFAw" TargetMode="External"/><Relationship Id="rId2525" Type="http://schemas.openxmlformats.org/officeDocument/2006/relationships/hyperlink" Target="https://www.google.com/url?q=https://szkopul.edu.pl/problemset/problem/NZhJzNZct1iBas2bPCvlvls5/site/&amp;sa=D&amp;ust=1605639816727000&amp;usg=AFQjCNFkpFOFk4odoWfaVpOBv8Kn6KOntQ" TargetMode="External"/><Relationship Id="rId2732" Type="http://schemas.openxmlformats.org/officeDocument/2006/relationships/hyperlink" Target="https://www.google.com/url?q=https://dunjudge.me/analysis/problems/1358/&amp;sa=D&amp;ust=1605639816779000&amp;usg=AFQjCNEDULtHTJ6BgrsTvBJpdfULbFlTmA" TargetMode="External"/><Relationship Id="rId704" Type="http://schemas.openxmlformats.org/officeDocument/2006/relationships/hyperlink" Target="https://www.google.com/url?q=https://oj.uz/problem/view/IOI07_sails&amp;sa=D&amp;ust=1605639815934000&amp;usg=AFQjCNGNGYB2lQliUU1CPq2Nx6B8VAW45w" TargetMode="External"/><Relationship Id="rId911" Type="http://schemas.openxmlformats.org/officeDocument/2006/relationships/hyperlink" Target="https://www.google.com/url?q=https://dunjudge.me/analysis/problems/28/&amp;sa=D&amp;ust=1605639816087000&amp;usg=AFQjCNFAUi-3reHa1cuecsmMC5waDWmDTA" TargetMode="External"/><Relationship Id="rId1127" Type="http://schemas.openxmlformats.org/officeDocument/2006/relationships/hyperlink" Target="https://www.google.com/url?q=https://oj.uz/problem/view/COCI18_strah&amp;sa=D&amp;ust=1605639816206000&amp;usg=AFQjCNFSx_8dmigzMcWgoHTh09GSXHSf6A" TargetMode="External"/><Relationship Id="rId1334" Type="http://schemas.openxmlformats.org/officeDocument/2006/relationships/hyperlink" Target="https://www.google.com/url?q=https://szkopul.edu.pl/problemset/problem/y7tXjqVq0gPZjc8kPrscs2CJ/site/&amp;sa=D&amp;ust=1605639816323000&amp;usg=AFQjCNFhROBk3k0NHrmWTE8KBv9Bm00kiA" TargetMode="External"/><Relationship Id="rId1541" Type="http://schemas.openxmlformats.org/officeDocument/2006/relationships/hyperlink" Target="https://www.google.com/url?q=https://github.com/mostafa-saad/MyCompetitiveProgramming/blob/master/Olympiad/IOI/IOI-16-paint.txt&amp;sa=D&amp;ust=1605639816413000&amp;usg=AFQjCNGqI1ae5B0A80ops-kp6vrP6TKyWw" TargetMode="External"/><Relationship Id="rId40" Type="http://schemas.openxmlformats.org/officeDocument/2006/relationships/hyperlink" Target="https://www.google.com/url?q=https://csacademy.com/contest/ejoi-2017-day-2/task/camel/&amp;sa=D&amp;ust=1605639815499000&amp;usg=AFQjCNGLg0UtF09vq-_1WrT3dZqMwDfTNw" TargetMode="External"/><Relationship Id="rId1401" Type="http://schemas.openxmlformats.org/officeDocument/2006/relationships/hyperlink" Target="https://www.google.com/url?q=https://cses.fi/186/list/&amp;sa=D&amp;ust=1605639816346000&amp;usg=AFQjCNFWXxmKK2dxOJ_wj6T_kMHMIbMC3g" TargetMode="External"/><Relationship Id="rId287" Type="http://schemas.openxmlformats.org/officeDocument/2006/relationships/hyperlink" Target="https://www.google.com/url?q=https://github.com/mostafa-saad/MyCompetitiveProgramming/blob/master/Olympiad/IOI/IOI-12-city.txt&amp;sa=D&amp;ust=1605639815576000&amp;usg=AFQjCNGXl41rV47oXxLk5xboaY4BUSV5Ew" TargetMode="External"/><Relationship Id="rId494" Type="http://schemas.openxmlformats.org/officeDocument/2006/relationships/hyperlink" Target="https://www.google.com/url?q=http://usaco.org/index.php?page%3Dviewproblem2%26cpid%3D950&amp;sa=D&amp;ust=1605639815680000&amp;usg=AFQjCNG-IIZfk8WiRqBQ_8avI1Di9Q0eVg" TargetMode="External"/><Relationship Id="rId2175" Type="http://schemas.openxmlformats.org/officeDocument/2006/relationships/hyperlink" Target="https://www.google.com/url?q=https://github.com/mostafa-saad/MyCompetitiveProgramming/blob/master/COI/official/2010&amp;sa=D&amp;ust=1605639816619000&amp;usg=AFQjCNFysLyUakWjicT0fJYkHDSL4VgS7Q" TargetMode="External"/><Relationship Id="rId2382" Type="http://schemas.openxmlformats.org/officeDocument/2006/relationships/hyperlink" Target="https://www.google.com/url?q=https://dmoj.ca/problem/coci14c7p2&amp;sa=D&amp;ust=1605639816677000&amp;usg=AFQjCNHO5kTPDHUeCPXCUfew1VVMyVV0AA" TargetMode="External"/><Relationship Id="rId3019" Type="http://schemas.openxmlformats.org/officeDocument/2006/relationships/hyperlink" Target="https://www.google.com/url?q=https://dunjudge.me/analysis/problems/1477/&amp;sa=D&amp;ust=1605639816911000&amp;usg=AFQjCNE5N0DO20qcJd16egXjpl93MqUZ9A" TargetMode="External"/><Relationship Id="rId147" Type="http://schemas.openxmlformats.org/officeDocument/2006/relationships/hyperlink" Target="https://www.google.com/url?q=https://dmoj.ca/problem/apio12p2&amp;sa=D&amp;ust=1605639815535000&amp;usg=AFQjCNGWwZ_cNNmQfKB-WxIfJjKFqPogZw" TargetMode="External"/><Relationship Id="rId354" Type="http://schemas.openxmlformats.org/officeDocument/2006/relationships/hyperlink" Target="https://www.google.com/url?q=https://github.com/mostafa-saad/MyCompetitiveProgramming/blob/master/Olympiad/APIO/APIO-19-bridges.txt&amp;sa=D&amp;ust=1605639815599000&amp;usg=AFQjCNEhVifoWCccDUMoMMpSle8l4lwpFQ" TargetMode="External"/><Relationship Id="rId1191" Type="http://schemas.openxmlformats.org/officeDocument/2006/relationships/hyperlink" Target="https://www.google.com/url?q=https://contest.yandex.ru/ioi/contest/562/problems/D/&amp;sa=D&amp;ust=1605639816272000&amp;usg=AFQjCNGR1X_umO0d9Un-NrwiNGzVVkEr4w" TargetMode="External"/><Relationship Id="rId2035" Type="http://schemas.openxmlformats.org/officeDocument/2006/relationships/hyperlink" Target="https://www.google.com/url?q=https://szkopul.edu.pl/problemset/problem/iiSZmNzhLW2p6YVBDu0gIf4G/site/&amp;sa=D&amp;ust=1605639816572000&amp;usg=AFQjCNFPqu-w_T88juG_BL1Mu8CeSHsVmg" TargetMode="External"/><Relationship Id="rId561" Type="http://schemas.openxmlformats.org/officeDocument/2006/relationships/hyperlink" Target="https://www.google.com/url?q=https://github.com/dolphingarlic/CompetitiveProgramming/blob/master/infoarena/ROUSelection%252017-rooms.cpp&amp;sa=D&amp;ust=1605639815887000&amp;usg=AFQjCNFHPbimaru7cGY6uIv4oV6-7S2E3Q" TargetMode="External"/><Relationship Id="rId2242" Type="http://schemas.openxmlformats.org/officeDocument/2006/relationships/hyperlink" Target="https://www.google.com/url?q=https://github.com/stefdasca/CompetitiveProgramming/blob/master/Infoarena/pesaptecarari.cpp&amp;sa=D&amp;ust=1605639816637000&amp;usg=AFQjCNEFqdN49u6rlOTbeOMPK_y2C7uH_g" TargetMode="External"/><Relationship Id="rId214" Type="http://schemas.openxmlformats.org/officeDocument/2006/relationships/hyperlink" Target="https://www.google.com/url?q=https://oj.uz/problems/source/315&amp;sa=D&amp;ust=1605639815553000&amp;usg=AFQjCNEiJcz0VDrgSqteI4ZufNWyuaz88A" TargetMode="External"/><Relationship Id="rId421" Type="http://schemas.openxmlformats.org/officeDocument/2006/relationships/hyperlink" Target="https://www.google.com/url?q=https://szkopul.edu.pl/problemset/problem/SbvfueoDtZe2DQFHrywTIakc/site/&amp;sa=D&amp;ust=1605639815625000&amp;usg=AFQjCNE0FJCiIHyHWgSvI3NKQbhqyQ7uPg" TargetMode="External"/><Relationship Id="rId1051" Type="http://schemas.openxmlformats.org/officeDocument/2006/relationships/hyperlink" Target="https://www.google.com/url?q=https://www.infoarena.ro/problema/password2&amp;sa=D&amp;ust=1605639816179000&amp;usg=AFQjCNHFMFZFPTmsHNfq7ilaYX4FhBG7cg" TargetMode="External"/><Relationship Id="rId2102" Type="http://schemas.openxmlformats.org/officeDocument/2006/relationships/hyperlink" Target="https://www.google.com/url?q=http://usaco.org/index.php?page%3Dviewproblem2%26cpid%3D814&amp;sa=D&amp;ust=1605639816596000&amp;usg=AFQjCNHJUscWwZJSx0IwM_9a5YuIR500jw" TargetMode="External"/><Relationship Id="rId1868" Type="http://schemas.openxmlformats.org/officeDocument/2006/relationships/hyperlink" Target="https://www.google.com/url?q=https://github.com/mostafa-saad/MyCompetitiveProgramming/blob/master/Olympiad/POI/POI-08-Mafia.txt&amp;sa=D&amp;ust=1605639816519000&amp;usg=AFQjCNF3OdjuQXONXdpqR7sU3PsQDZEYIw" TargetMode="External"/><Relationship Id="rId2919" Type="http://schemas.openxmlformats.org/officeDocument/2006/relationships/hyperlink" Target="https://www.google.com/url?q=https://oj.uz/problem/view/innopolis2018_final_E&amp;sa=D&amp;ust=1605639816848000&amp;usg=AFQjCNFsuiNtxBvl8SD3kYadrAIeoPcqfw" TargetMode="External"/><Relationship Id="rId1728" Type="http://schemas.openxmlformats.org/officeDocument/2006/relationships/hyperlink" Target="https://www.google.com/url?q=https://oj.uz/problem/view/COCI17_portal&amp;sa=D&amp;ust=1605639816469000&amp;usg=AFQjCNHLBcxB5QJCIPoCnfeYr7tQQX4hpQ" TargetMode="External"/><Relationship Id="rId1935" Type="http://schemas.openxmlformats.org/officeDocument/2006/relationships/hyperlink" Target="https://www.google.com/url?q=https://dmoj.ca/problem/coci07c5p4&amp;sa=D&amp;ust=1605639816540000&amp;usg=AFQjCNHhycf9_aR66sKRK32NOaRQb1R2iA" TargetMode="External"/><Relationship Id="rId3010" Type="http://schemas.openxmlformats.org/officeDocument/2006/relationships/hyperlink" Target="https://www.google.com/url?q=https://dunjudge.me/analysis/problems/87/&amp;sa=D&amp;ust=1605639816907000&amp;usg=AFQjCNFJCmdrIeX3qu-eHksAv7heZ8OY2g" TargetMode="External"/><Relationship Id="rId4" Type="http://schemas.openxmlformats.org/officeDocument/2006/relationships/hyperlink" Target="https://www.google.com/url?q=https://csacademy.com/contest/balkan-oi-2017-day-1/&amp;sa=D&amp;ust=1605639815486000&amp;usg=AFQjCNHDWJfidwDA3jO5mmYKMWOUIN6U1Q" TargetMode="External"/><Relationship Id="rId888" Type="http://schemas.openxmlformats.org/officeDocument/2006/relationships/hyperlink" Target="https://www.google.com/url?q=https://www.acmicpc.net/problem/11555&amp;sa=D&amp;ust=1605639816078000&amp;usg=AFQjCNEHhSgvSP92kIAyNfOjLb9GyxuQ8w" TargetMode="External"/><Relationship Id="rId2569" Type="http://schemas.openxmlformats.org/officeDocument/2006/relationships/hyperlink" Target="https://www.google.com/url?q=https://github.com/mostafa-saad/MyCompetitiveProgramming/tree/master/Olympiad/COCI/official/2007/regional_solutions&amp;sa=D&amp;ust=1605639816737000&amp;usg=AFQjCNH5UmBi7D8RPwF_efXXX5wkb5fuWw" TargetMode="External"/><Relationship Id="rId2776" Type="http://schemas.openxmlformats.org/officeDocument/2006/relationships/hyperlink" Target="https://www.google.com/url?q=https://oj.uz/problem/view/COCI18_magnus&amp;sa=D&amp;ust=1605639816793000&amp;usg=AFQjCNHgT22c6De2ux7ZSbbegq4JpRRbfw" TargetMode="External"/><Relationship Id="rId2983" Type="http://schemas.openxmlformats.org/officeDocument/2006/relationships/hyperlink" Target="https://www.google.com/url?q=https://oj.uz/problem/view/POI11_imp&amp;sa=D&amp;ust=1605639816896000&amp;usg=AFQjCNFeqXOHab5WxIbT6g4T3t5lY-mUmQ" TargetMode="External"/><Relationship Id="rId748" Type="http://schemas.openxmlformats.org/officeDocument/2006/relationships/hyperlink" Target="https://www.google.com/url?q=https://cses.fi/106/list/&amp;sa=D&amp;ust=1605639815980000&amp;usg=AFQjCNGLqW9ZDz2YeC4f2F3d0MQWaujJqg" TargetMode="External"/><Relationship Id="rId955" Type="http://schemas.openxmlformats.org/officeDocument/2006/relationships/hyperlink" Target="https://www.google.com/url?q=https://github.com/mostafa-saad/MyCompetitiveProgramming/blob/master/Olympiad/POI/official/find_editorial_sols_guidelines.txt&amp;sa=D&amp;ust=1605639816100000&amp;usg=AFQjCNHp3DxapBn_iF9ttcAPUeq33Z2DFg" TargetMode="External"/><Relationship Id="rId1378" Type="http://schemas.openxmlformats.org/officeDocument/2006/relationships/hyperlink" Target="https://www.google.com/url?q=https://github.com/tmwilliamlin168/CompetitiveProgramming/blob/master/IOI/19P-Packing.cpp&amp;sa=D&amp;ust=1605639816338000&amp;usg=AFQjCNHjTKH8aKrYbYNzUitVCVr2znyqSA" TargetMode="External"/><Relationship Id="rId1585" Type="http://schemas.openxmlformats.org/officeDocument/2006/relationships/hyperlink" Target="https://www.google.com/url?q=https://dunjudge.me/analysis/problems/26/&amp;sa=D&amp;ust=1605639816427000&amp;usg=AFQjCNF9JeWA1F6LWuuKEQCSa9EgEKOGyw" TargetMode="External"/><Relationship Id="rId1792" Type="http://schemas.openxmlformats.org/officeDocument/2006/relationships/hyperlink" Target="https://www.google.com/url?q=https://github.com/mostafa-saad/MyCompetitiveProgramming/blob/master/Olympiad/POI/official/find_editorial_sols_guidelines.txt&amp;sa=D&amp;ust=1605639816493000&amp;usg=AFQjCNGMmf8iYPq75DZuPWYnyFOQzx0HvA" TargetMode="External"/><Relationship Id="rId2429" Type="http://schemas.openxmlformats.org/officeDocument/2006/relationships/hyperlink" Target="https://www.google.com/url?q=https://dmoj.ca/problem/coci13c1p4&amp;sa=D&amp;ust=1605639816694000&amp;usg=AFQjCNFGYZHus0qa8o_BAljd3JYCGXOnMw" TargetMode="External"/><Relationship Id="rId2636" Type="http://schemas.openxmlformats.org/officeDocument/2006/relationships/hyperlink" Target="https://www.google.com/url?q=https://github.com/mostafa-saad/MyCompetitiveProgramming/tree/master/Olympiad/COCI/official/2007/contest5_solutions&amp;sa=D&amp;ust=1605639816751000&amp;usg=AFQjCNETlvOW_7dCXigrNNE5L8L1fEvWTA" TargetMode="External"/><Relationship Id="rId2843" Type="http://schemas.openxmlformats.org/officeDocument/2006/relationships/hyperlink" Target="https://www.google.com/url?q=https://dunjudge.me/analysis/problems/954/&amp;sa=D&amp;ust=1605639816814000&amp;usg=AFQjCNEh9Xf2w2Tr56FwgH0QYpd-IAAMjA" TargetMode="External"/><Relationship Id="rId84" Type="http://schemas.openxmlformats.org/officeDocument/2006/relationships/hyperlink" Target="https://www.google.com/url?q=https://dmoj.ca/problem/apio12p3&amp;sa=D&amp;ust=1605639815516000&amp;usg=AFQjCNFLOImGZDPeK4ucQ-caZdyNExuYtQ" TargetMode="External"/><Relationship Id="rId608" Type="http://schemas.openxmlformats.org/officeDocument/2006/relationships/hyperlink" Target="https://www.google.com/url?q=https://oj.uz/problem/view/COCI16_zamjene&amp;sa=D&amp;ust=1605639815903000&amp;usg=AFQjCNEARy43G-bKw5KKzuftJm0Ck-LL-A" TargetMode="External"/><Relationship Id="rId815" Type="http://schemas.openxmlformats.org/officeDocument/2006/relationships/hyperlink" Target="https://www.google.com/url?q=https://github.com/mostafa-saad/MyCompetitiveProgramming/blob/master/Olympiad/IOI/IOI-02-Bus.txt&amp;sa=D&amp;ust=1605639816005000&amp;usg=AFQjCNExA24NIC-X6J1HbYoeKtOu82jEAQ" TargetMode="External"/><Relationship Id="rId1238" Type="http://schemas.openxmlformats.org/officeDocument/2006/relationships/hyperlink" Target="https://www.google.com/url?q=https://github.com/mostafa-saad/MyCompetitiveProgramming/blob/master/Olympiad/POI/POI-15-Gluttons.txt&amp;sa=D&amp;ust=1605639816290000&amp;usg=AFQjCNH0HNldPoRM2M2q35ipINMmRQA8rA" TargetMode="External"/><Relationship Id="rId1445" Type="http://schemas.openxmlformats.org/officeDocument/2006/relationships/hyperlink" Target="https://www.google.com/url?q=https://github.com/stefdasca/CompetitiveProgramming/blob/master/IZhO/IZhO%252017-bootfall.cpp&amp;sa=D&amp;ust=1605639816377000&amp;usg=AFQjCNG3gt3b83yZN1t6FEa5-2lVjQktlg" TargetMode="External"/><Relationship Id="rId1652" Type="http://schemas.openxmlformats.org/officeDocument/2006/relationships/hyperlink" Target="https://www.google.com/url?q=https://ideone.com/Ejf10T&amp;sa=D&amp;ust=1605639816446000&amp;usg=AFQjCNEJn6O8vfL_e3sfJ6rIAGxqp-F9YA" TargetMode="External"/><Relationship Id="rId1305" Type="http://schemas.openxmlformats.org/officeDocument/2006/relationships/hyperlink" Target="https://www.google.com/url?q=https://csacademy.com/contest/ceoi-2018-day-1/task/cloud-computing/&amp;sa=D&amp;ust=1605639816313000&amp;usg=AFQjCNFYTybYgOdD-PD_kXjGobT_ziaJTQ" TargetMode="External"/><Relationship Id="rId2703" Type="http://schemas.openxmlformats.org/officeDocument/2006/relationships/hyperlink" Target="https://www.google.com/url?q=https://github.com/mostafa-saad/MyCompetitiveProgramming/blob/master/Olympiad/COCI/official/2017/contest6_solutions&amp;sa=D&amp;ust=1605639816768000&amp;usg=AFQjCNEadoTtvWgqgb4WQB0xYcRJ9dzclg" TargetMode="External"/><Relationship Id="rId2910" Type="http://schemas.openxmlformats.org/officeDocument/2006/relationships/hyperlink" Target="https://www.google.com/url?q=https://oj.uz/problem/view/info1cup18_del13&amp;sa=D&amp;ust=1605639816846000&amp;usg=AFQjCNEc3bVYHf8MyzLalq_Ryy_I71g-dw" TargetMode="External"/><Relationship Id="rId1512" Type="http://schemas.openxmlformats.org/officeDocument/2006/relationships/hyperlink" Target="https://www.google.com/url?q=https://cses.fi/113/list/&amp;sa=D&amp;ust=1605639816403000&amp;usg=AFQjCNEE89m3DyxqYIYWLs-h4_edl0U1Lw" TargetMode="External"/><Relationship Id="rId11" Type="http://schemas.openxmlformats.org/officeDocument/2006/relationships/hyperlink" Target="https://www.google.com/url?q=https://codeforces.com/contest/1193&amp;sa=D&amp;ust=1605639815489000&amp;usg=AFQjCNHnzhq-k2W4hWx4iPA8SKX3JUsDpQ" TargetMode="External"/><Relationship Id="rId398" Type="http://schemas.openxmlformats.org/officeDocument/2006/relationships/hyperlink" Target="https://www.google.com/url?q=https://cses.fi/101/list/&amp;sa=D&amp;ust=1605639815615000&amp;usg=AFQjCNHjmpWCKsRUD_mT_9D_TTZhsBNWDg" TargetMode="External"/><Relationship Id="rId2079" Type="http://schemas.openxmlformats.org/officeDocument/2006/relationships/hyperlink" Target="https://www.google.com/url?q=https://github.com/mostafa-saad/MyCompetitiveProgramming/blob/master/Olympiad/USACO/USACO-13jan-lineup.txt&amp;sa=D&amp;ust=1605639816588000&amp;usg=AFQjCNGMzDFhziJT7wMfureWabTx3Igwxw" TargetMode="External"/><Relationship Id="rId2286" Type="http://schemas.openxmlformats.org/officeDocument/2006/relationships/hyperlink" Target="https://www.google.com/url?q=https://github.com/mostafa-saad/MyCompetitiveProgramming/blob/master/Olympiad/NOI/NOI-07-hole.txt&amp;sa=D&amp;ust=1605639816648000&amp;usg=AFQjCNFNVbuJ4qj3BYuAQiV0rr4zVoePSA" TargetMode="External"/><Relationship Id="rId2493" Type="http://schemas.openxmlformats.org/officeDocument/2006/relationships/hyperlink" Target="https://www.google.com/url?q=https://oj.uz/problem/view/COCI18_cipele&amp;sa=D&amp;ust=1605639816716000&amp;usg=AFQjCNE-b4znc4sZnumnY-OSyzHN7EhXtg" TargetMode="External"/><Relationship Id="rId258" Type="http://schemas.openxmlformats.org/officeDocument/2006/relationships/hyperlink" Target="https://www.google.com/url?q=https://oj.uz/problem/view/BOI19_necklace4&amp;sa=D&amp;ust=1605639815564000&amp;usg=AFQjCNH9iElF4tK5GxxSntqm2HLsVDzCUg" TargetMode="External"/><Relationship Id="rId465" Type="http://schemas.openxmlformats.org/officeDocument/2006/relationships/hyperlink" Target="https://www.google.com/url?q=https://www.infoarena.ro/problema/anagrame&amp;sa=D&amp;ust=1605639815671000&amp;usg=AFQjCNEHa5Jw9TXLpcMBoIdxM0jPa7rzAA" TargetMode="External"/><Relationship Id="rId672" Type="http://schemas.openxmlformats.org/officeDocument/2006/relationships/hyperlink" Target="https://www.google.com/url?q=https://oj.uz/problem/view/IOI15_sorting&amp;sa=D&amp;ust=1605639815925000&amp;usg=AFQjCNGA6sggejHRgUO-JEW3vFNz4Iam4g" TargetMode="External"/><Relationship Id="rId1095" Type="http://schemas.openxmlformats.org/officeDocument/2006/relationships/hyperlink" Target="https://www.google.com/url?q=https://dmoj.ca/problem/cco18p5&amp;sa=D&amp;ust=1605639816195000&amp;usg=AFQjCNFEd7Qr7d_CIsG2ApqTcwZJQS1pMQ" TargetMode="External"/><Relationship Id="rId2146" Type="http://schemas.openxmlformats.org/officeDocument/2006/relationships/hyperlink" Target="https://www.google.com/url?q=https://oj.uz/problem/view/POI13_luk&amp;sa=D&amp;ust=1605639816609000&amp;usg=AFQjCNGSNRGG3EF_iPBcfVVAFqGaceJ02w" TargetMode="External"/><Relationship Id="rId2353" Type="http://schemas.openxmlformats.org/officeDocument/2006/relationships/hyperlink" Target="https://www.google.com/url?q=https://oj.uz/problem/view/IOI19_cycle&amp;sa=D&amp;ust=1605639816666000&amp;usg=AFQjCNEVTr7E0Qy6qIjEViGsPQl37DTbSQ" TargetMode="External"/><Relationship Id="rId2560" Type="http://schemas.openxmlformats.org/officeDocument/2006/relationships/hyperlink" Target="https://www.google.com/url?q=http://poj.org/problem?id%3D1147&amp;sa=D&amp;ust=1605639816734000&amp;usg=AFQjCNF4oHy2exyHL9zLc2Azr7Epsn4Dqw" TargetMode="External"/><Relationship Id="rId118" Type="http://schemas.openxmlformats.org/officeDocument/2006/relationships/hyperlink" Target="https://www.google.com/url?q=https://oj.uz/problem/view/JOI17_railway_trip&amp;sa=D&amp;ust=1605639815526000&amp;usg=AFQjCNHrdGPQ-0QJUQlXdJOK56iuQiPHVw" TargetMode="External"/><Relationship Id="rId325" Type="http://schemas.openxmlformats.org/officeDocument/2006/relationships/hyperlink" Target="https://www.google.com/url?q=https://www.acmicpc.net/problem/5250&amp;sa=D&amp;ust=1605639815589000&amp;usg=AFQjCNG64lazNUACRTI4kVhSI8ERIyzK-Q" TargetMode="External"/><Relationship Id="rId532" Type="http://schemas.openxmlformats.org/officeDocument/2006/relationships/hyperlink" Target="https://www.google.com/url?q=https://szkopul.edu.pl/problemset/problem/X6IwPa2H9FSd3Ly6bYp5t8Vu/site/&amp;sa=D&amp;ust=1605639815837000&amp;usg=AFQjCNErV8luIR_XSExGGiuYdjlGZ1JflQ" TargetMode="External"/><Relationship Id="rId1162" Type="http://schemas.openxmlformats.org/officeDocument/2006/relationships/hyperlink" Target="https://www.google.com/url?q=https://github.com/mostafa-saad/MyCompetitiveProgramming/blob/master/Olympiad/IOI/IOI-14-game.txt&amp;sa=D&amp;ust=1605639816215000&amp;usg=AFQjCNFttb1evjUxtYcU7OHzQHojZtuE_Q" TargetMode="External"/><Relationship Id="rId2006" Type="http://schemas.openxmlformats.org/officeDocument/2006/relationships/hyperlink" Target="https://www.google.com/url?q=https://www.infoarena.ro/problema/cuplaje&amp;sa=D&amp;ust=1605639816561000&amp;usg=AFQjCNEeLB5HaAVo_XjPPh7mY3utBpHBLg" TargetMode="External"/><Relationship Id="rId2213" Type="http://schemas.openxmlformats.org/officeDocument/2006/relationships/hyperlink" Target="https://www.google.com/url?q=https://www.infoarena.ro/problema/troll&amp;sa=D&amp;ust=1605639816630000&amp;usg=AFQjCNEIUBfNk38Y1uRGg2X2DexLXFet1w" TargetMode="External"/><Relationship Id="rId2420" Type="http://schemas.openxmlformats.org/officeDocument/2006/relationships/hyperlink" Target="https://www.google.com/url?q=https://oj.uz/problem/view/COI14_nizovi&amp;sa=D&amp;ust=1605639816691000&amp;usg=AFQjCNGMGbx85zIzRd_FZ2xk7sQkx6xcSw" TargetMode="External"/><Relationship Id="rId1022" Type="http://schemas.openxmlformats.org/officeDocument/2006/relationships/hyperlink" Target="https://www.google.com/url?q=https://github.com/mostafa-saad/MyCompetitiveProgramming/blob/master/Olympiad/Misc/DMOPC-18-BobEnglishClass.txt&amp;sa=D&amp;ust=1605639816166000&amp;usg=AFQjCNHe7ZkUBuIBQ5M9xrqejRcGbpHBMg" TargetMode="External"/><Relationship Id="rId1979" Type="http://schemas.openxmlformats.org/officeDocument/2006/relationships/hyperlink" Target="https://www.google.com/url?q=http://usaco.org/index.php?page%3Dviewproblem2%26cpid%3D924&amp;sa=D&amp;ust=1605639816554000&amp;usg=AFQjCNEax04Q8RuGkmUBwQQCOp72qMFv5Q" TargetMode="External"/><Relationship Id="rId1839" Type="http://schemas.openxmlformats.org/officeDocument/2006/relationships/hyperlink" Target="https://www.google.com/url?q=https://oj.uz/problem/view/NOI14_sightseeing&amp;sa=D&amp;ust=1605639816510000&amp;usg=AFQjCNHFzwzQZYrLaQxfM1tMoRVlSCHtSg" TargetMode="External"/><Relationship Id="rId182" Type="http://schemas.openxmlformats.org/officeDocument/2006/relationships/hyperlink" Target="https://www.google.com/url?q=https://github.com/mostafa-saad/MyCompetitiveProgramming/tree/master/Olympiad/Balkan/official/2015&amp;sa=D&amp;ust=1605639815545000&amp;usg=AFQjCNGlCeUv49cmSj7tNckqx_tUIybMPA" TargetMode="External"/><Relationship Id="rId1906" Type="http://schemas.openxmlformats.org/officeDocument/2006/relationships/hyperlink" Target="https://www.google.com/url?q=https://github.com/mostafa-saad/MyCompetitiveProgramming/blob/master/Olympiad/Baltic/Baltic-18-MartianDNA.txt&amp;sa=D&amp;ust=1605639816531000&amp;usg=AFQjCNGINPlyB7qKpsXenKIyu5nRJ2RH3w" TargetMode="External"/><Relationship Id="rId2070" Type="http://schemas.openxmlformats.org/officeDocument/2006/relationships/hyperlink" Target="https://www.google.com/url?q=https://codeforces.com/group/swEqtABRxe/contest/243427/problem/C&amp;sa=D&amp;ust=1605639816585000&amp;usg=AFQjCNGq3ik06dxh8JDXfeik6YdGPz1j8w" TargetMode="External"/><Relationship Id="rId999" Type="http://schemas.openxmlformats.org/officeDocument/2006/relationships/hyperlink" Target="https://www.google.com/url?q=https://szkopul.edu.pl/problemset/problem/9TaxfuNdAv2FPpQ6PeB-vlti/site/&amp;sa=D&amp;ust=1605639816114000&amp;usg=AFQjCNE_zYkOYe8PM9ssWi2mQyNrYAiTsg" TargetMode="External"/><Relationship Id="rId2887" Type="http://schemas.openxmlformats.org/officeDocument/2006/relationships/hyperlink" Target="https://www.google.com/url?q=https://oj.uz/problem/view/POI11_dyn&amp;sa=D&amp;ust=1605639816830000&amp;usg=AFQjCNHCRmFrX5wAFcDJyWKahrjbCdZAsw" TargetMode="External"/><Relationship Id="rId859" Type="http://schemas.openxmlformats.org/officeDocument/2006/relationships/hyperlink" Target="https://www.google.com/url?q=https://github.com/mostafa-saad/MyCompetitiveProgramming/blob/master/Olympiad/Baltic/Baltic-12-Brackets.txt&amp;sa=D&amp;ust=1605639816020000&amp;usg=AFQjCNF01IikPpLj4npM52pqSS5BkYymhg" TargetMode="External"/><Relationship Id="rId1489" Type="http://schemas.openxmlformats.org/officeDocument/2006/relationships/hyperlink" Target="https://www.google.com/url?q=https://github.com/mostafa-saad/MyCompetitiveProgramming/blob/master/Olympiad/Baltic/official/boi2005_solutions&amp;sa=D&amp;ust=1605639816394000&amp;usg=AFQjCNGWFqEpoN1Ya82QhGeOgIo41zBEDQ" TargetMode="External"/><Relationship Id="rId1696" Type="http://schemas.openxmlformats.org/officeDocument/2006/relationships/hyperlink" Target="https://www.google.com/url?q=https://dmoj.ca/problem/coci07c3p5&amp;sa=D&amp;ust=1605639816458000&amp;usg=AFQjCNF3s2vZaz-P3KDKASOI6nE0r4NsYw" TargetMode="External"/><Relationship Id="rId1349" Type="http://schemas.openxmlformats.org/officeDocument/2006/relationships/hyperlink" Target="https://www.google.com/url?q=https://github.com/mostafa-saad/MyCompetitiveProgramming/blob/master/Olympiad/CEOI/CEOI-18-Global.txt&amp;sa=D&amp;ust=1605639816329000&amp;usg=AFQjCNHLcr1ivLXbEr-NO300JSmexoqjAQ" TargetMode="External"/><Relationship Id="rId2747" Type="http://schemas.openxmlformats.org/officeDocument/2006/relationships/hyperlink" Target="https://www.google.com/url?q=https://github.com/mostafa-saad/MyCompetitiveProgramming/blob/master/Olympiad/COCI/official/2017/contest6_solutions&amp;sa=D&amp;ust=1605639816782000&amp;usg=AFQjCNFW6eMO1T3FWw18PBN6WcRtPyorfQ" TargetMode="External"/><Relationship Id="rId2954" Type="http://schemas.openxmlformats.org/officeDocument/2006/relationships/hyperlink" Target="https://www.google.com/url?q=https://dunjudge.me/analysis/problems/1173/&amp;sa=D&amp;ust=1605639816880000&amp;usg=AFQjCNGNu0e0T9J2GI4MC41UVOrVm9p0lw" TargetMode="External"/><Relationship Id="rId719" Type="http://schemas.openxmlformats.org/officeDocument/2006/relationships/hyperlink" Target="https://www.google.com/url?q=https://github.com/mostafa-saad/MyCompetitiveProgramming/blob/master/Olympiad/COCI/COCI-17-osmosmjerka.txt&amp;sa=D&amp;ust=1605639815970000&amp;usg=AFQjCNGHtww6VcEnJuGO28922afJudTNVw" TargetMode="External"/><Relationship Id="rId926" Type="http://schemas.openxmlformats.org/officeDocument/2006/relationships/hyperlink" Target="https://www.google.com/url?q=https://szkopul.edu.pl/problemset/problem/z8Vva6nazo2Cy3CF67kT6IWe/site/&amp;sa=D&amp;ust=1605639816091000&amp;usg=AFQjCNEtlR2LCAM9dCAKrFQg2cqq46DNYw" TargetMode="External"/><Relationship Id="rId1556" Type="http://schemas.openxmlformats.org/officeDocument/2006/relationships/hyperlink" Target="https://www.google.com/url?q=https://github.com/mostafa-saad/MyCompetitiveProgramming/blob/master/Olympiad/IOI/IOIPractice-14-skwishinese-ioi14.txt&amp;sa=D&amp;ust=1605639816417000&amp;usg=AFQjCNFxfI4ESo3qh6lfrEeAA3jKm8DjJg" TargetMode="External"/><Relationship Id="rId1763" Type="http://schemas.openxmlformats.org/officeDocument/2006/relationships/hyperlink" Target="https://www.google.com/url?q=https://github.com/Szawinis/CompetitiveProgramming/blob/master/Olympiad/POI/POI11-Rotation2.cpp&amp;sa=D&amp;ust=1605639816482000&amp;usg=AFQjCNHomCYWD_kb2SXKfCi7-XCqF4c1HA" TargetMode="External"/><Relationship Id="rId1970" Type="http://schemas.openxmlformats.org/officeDocument/2006/relationships/hyperlink" Target="https://www.google.com/url?q=https://dmoj.ca/problem/coci15c3p4&amp;sa=D&amp;ust=1605639816550000&amp;usg=AFQjCNFCwZDQoUrMg4KUnyZ6KtGSooq3qA" TargetMode="External"/><Relationship Id="rId2607" Type="http://schemas.openxmlformats.org/officeDocument/2006/relationships/hyperlink" Target="https://www.google.com/url?q=https://dunjudge.me/analysis/problems/1382/&amp;sa=D&amp;ust=1605639816745000&amp;usg=AFQjCNHHFb5WZzk1EfGaf4jWoqD8gcMiuw" TargetMode="External"/><Relationship Id="rId2814" Type="http://schemas.openxmlformats.org/officeDocument/2006/relationships/hyperlink" Target="https://www.google.com/url?q=https://wcipeg.com/problem/coci095p2&amp;sa=D&amp;ust=1605639816805000&amp;usg=AFQjCNETnXTCne4-zZBtLPedWkbm2oZ8DA" TargetMode="External"/><Relationship Id="rId55" Type="http://schemas.openxmlformats.org/officeDocument/2006/relationships/hyperlink" Target="https://www.google.com/url?q=https://oj.uz/problem/view/JOI19_ho_t5&amp;sa=D&amp;ust=1605639815506000&amp;usg=AFQjCNEymRS7dxn5XiCvLPFBsZKmxbuA7w" TargetMode="External"/><Relationship Id="rId1209" Type="http://schemas.openxmlformats.org/officeDocument/2006/relationships/hyperlink" Target="https://www.google.com/url?q=https://wcipeg.com/problem/coci092p6&amp;sa=D&amp;ust=1605639816278000&amp;usg=AFQjCNGvMuCNyFIdymuIXKF7yBWfXYDFuw" TargetMode="External"/><Relationship Id="rId1416" Type="http://schemas.openxmlformats.org/officeDocument/2006/relationships/hyperlink" Target="https://www.google.com/url?q=https://github.com/tsouza0/CompetitiveProgramming/blob/master/DMOJ/stnbd4.cpp&amp;sa=D&amp;ust=1605639816366000&amp;usg=AFQjCNF7bggHxYIMQS3hEACsh2p7b0-vew" TargetMode="External"/><Relationship Id="rId1623" Type="http://schemas.openxmlformats.org/officeDocument/2006/relationships/hyperlink" Target="https://www.google.com/url?q=https://codeforces.com/group/swEqtABRxe/contest/227531/problem/C&amp;sa=D&amp;ust=1605639816438000&amp;usg=AFQjCNGHBDC5s9BvooLUkQTDUZESDLvZzg" TargetMode="External"/><Relationship Id="rId1830" Type="http://schemas.openxmlformats.org/officeDocument/2006/relationships/hyperlink" Target="https://www.google.com/url?q=https://www.infoarena.ro/problema/grea&amp;sa=D&amp;ust=1605639816507000&amp;usg=AFQjCNGhrecoWWtsqYBa0aOeNNmZp4-ZEw" TargetMode="External"/><Relationship Id="rId2397" Type="http://schemas.openxmlformats.org/officeDocument/2006/relationships/hyperlink" Target="https://www.google.com/url?q=https://codeforces.com/group/swEqtABRxe/contest/243427/problem/B&amp;sa=D&amp;ust=1605639816682000&amp;usg=AFQjCNGXtQ1lVrjZdCU0JOGoKxSLmYjUTw" TargetMode="External"/><Relationship Id="rId369" Type="http://schemas.openxmlformats.org/officeDocument/2006/relationships/hyperlink" Target="https://www.google.com/url?q=https://oj.uz/problem/view/JOI17_soccer&amp;sa=D&amp;ust=1605639815604000&amp;usg=AFQjCNGYoZfRo3lLztV8TSs2_-nYisaaNw" TargetMode="External"/><Relationship Id="rId576" Type="http://schemas.openxmlformats.org/officeDocument/2006/relationships/hyperlink" Target="https://www.google.com/url?q=https://oj.uz/problem/view/IZhO19_xoractive&amp;sa=D&amp;ust=1605639815892000&amp;usg=AFQjCNE9AhaU7jjTMNWkrCGzgLO3gZy_9w" TargetMode="External"/><Relationship Id="rId783" Type="http://schemas.openxmlformats.org/officeDocument/2006/relationships/hyperlink" Target="https://www.google.com/url?q=https://szkopul.edu.pl/problemset/problem/Mk-9GNDtSal6h_8T4n9Ezq9M/site/&amp;sa=D&amp;ust=1605639815993000&amp;usg=AFQjCNFMdx_iD0KBZ13SAv464L0Csk0auQ" TargetMode="External"/><Relationship Id="rId990" Type="http://schemas.openxmlformats.org/officeDocument/2006/relationships/hyperlink" Target="https://www.google.com/url?q=https://github.com/mostafa-saad/MyCompetitiveProgramming/blob/master/Olympiad/JOI/JOI-19-GrowingVegetable.txt&amp;sa=D&amp;ust=1605639816110000&amp;usg=AFQjCNEtRI0oOQr50kppinz5szI3JwpSHg" TargetMode="External"/><Relationship Id="rId2257" Type="http://schemas.openxmlformats.org/officeDocument/2006/relationships/hyperlink" Target="https://www.google.com/url?q=https://contest.yandex.ru/ioi/contest/566/enter/&amp;sa=D&amp;ust=1605639816641000&amp;usg=AFQjCNE5An-UKju65v3HtaAEojR2bmHK0g" TargetMode="External"/><Relationship Id="rId2464" Type="http://schemas.openxmlformats.org/officeDocument/2006/relationships/hyperlink" Target="https://www.google.com/url?q=https://github.com/tmwilliamlin168/CompetitiveProgramming/blob/master/IOI/09-Mecho.cpp&amp;sa=D&amp;ust=1605639816706000&amp;usg=AFQjCNHkP8K8Eh12swFsEpJs_UMgJ-tjYw" TargetMode="External"/><Relationship Id="rId2671" Type="http://schemas.openxmlformats.org/officeDocument/2006/relationships/hyperlink" Target="https://www.google.com/url?q=https://github.com/dolphingarlic/CompetitiveProgramming/blob/master/COI/COCI%252020-emacs.cpp&amp;sa=D&amp;ust=1605639816758000&amp;usg=AFQjCNHXoxj7sVZP9_6WQtNBFSnMkRC2Tw" TargetMode="External"/><Relationship Id="rId229" Type="http://schemas.openxmlformats.org/officeDocument/2006/relationships/hyperlink" Target="https://www.google.com/url?q=https://github.com/mostafa-saad/MyCompetitiveProgramming/blob/master/Olympiad/IOI/official/2017&amp;sa=D&amp;ust=1605639815557000&amp;usg=AFQjCNHIOai9RI_hkB7tUA6SoS7qTmv9Jw" TargetMode="External"/><Relationship Id="rId436" Type="http://schemas.openxmlformats.org/officeDocument/2006/relationships/hyperlink" Target="https://www.google.com/url?q=https://github.com/mostafa-saad/MyCompetitiveProgramming/tree/master/Olympiad/Balkan/official/2012&amp;sa=D&amp;ust=1605639815631000&amp;usg=AFQjCNEaqAgtPsMVBx4pcTCeLEFrKQbLfg" TargetMode="External"/><Relationship Id="rId643" Type="http://schemas.openxmlformats.org/officeDocument/2006/relationships/hyperlink" Target="https://www.google.com/url?q=https://github.com/mostafa-saad/MyCompetitiveProgramming/blob/master/Olympiad/Baltic/Baltic-08-Magical.txt&amp;sa=D&amp;ust=1605639815915000&amp;usg=AFQjCNHVBV4MKR0VMuOLXu8EGwL_i2j8rA" TargetMode="External"/><Relationship Id="rId1066" Type="http://schemas.openxmlformats.org/officeDocument/2006/relationships/hyperlink" Target="https://www.google.com/url?q=https://github.com/mostafa-saad/MyCompetitiveProgramming/blob/master/Olympiad/TOKI/TOKIOpen-18-GroupChat.txt&amp;sa=D&amp;ust=1605639816185000&amp;usg=AFQjCNFx2rbI3QgAzssWA2HftnEUsQCSig" TargetMode="External"/><Relationship Id="rId1273" Type="http://schemas.openxmlformats.org/officeDocument/2006/relationships/hyperlink" Target="https://www.google.com/url?q=https://szkopul.edu.pl/problemset/problem/4yTtNIf4H61mJrquuAIhoSh_/site/&amp;sa=D&amp;ust=1605639816301000&amp;usg=AFQjCNHv1VbdKB31v9SgI1iUulZodn4kew" TargetMode="External"/><Relationship Id="rId1480" Type="http://schemas.openxmlformats.org/officeDocument/2006/relationships/hyperlink" Target="https://www.google.com/url?q=https://github.com/win11905/submission/blob/master/TOKI/17/radius/radius.cpp&amp;sa=D&amp;ust=1605639816391000&amp;usg=AFQjCNGtIoimUShkF1qlCaz8W_vJ1I--JQ" TargetMode="External"/><Relationship Id="rId2117" Type="http://schemas.openxmlformats.org/officeDocument/2006/relationships/hyperlink" Target="https://www.google.com/url?q=https://github.com/mostafa-saad/MyCompetitiveProgramming/blob/master/Olympiad/IOI/IOI-10-traffic.txt&amp;sa=D&amp;ust=1605639816600000&amp;usg=AFQjCNEtDWkv8AmWAonMDhcuYFnE5r6pcg" TargetMode="External"/><Relationship Id="rId2324" Type="http://schemas.openxmlformats.org/officeDocument/2006/relationships/hyperlink" Target="https://www.google.com/url?q=https://codeforces.com/group/swEqtABRxe/contest/243429/problem/B&amp;sa=D&amp;ust=1605639816658000&amp;usg=AFQjCNFnlb-Inmzp38BQSY70AQP5d36h9w" TargetMode="External"/><Relationship Id="rId850" Type="http://schemas.openxmlformats.org/officeDocument/2006/relationships/hyperlink" Target="https://www.google.com/url?q=https://github.com/mostafa-saad/MyCompetitiveProgramming/blob/master/Olympiad/Baltic/Baltic-07-Points.txt&amp;sa=D&amp;ust=1605639816017000&amp;usg=AFQjCNFhnCcWIWFNtTCwo8gBBLsKScSyhQ" TargetMode="External"/><Relationship Id="rId1133" Type="http://schemas.openxmlformats.org/officeDocument/2006/relationships/hyperlink" Target="https://www.google.com/url?q=https://oj.uz/problem/view/COI17_ili&amp;sa=D&amp;ust=1605639816208000&amp;usg=AFQjCNE96r0VI7svqJlsdxGoZiDnONlL_A" TargetMode="External"/><Relationship Id="rId2531" Type="http://schemas.openxmlformats.org/officeDocument/2006/relationships/hyperlink" Target="https://www.google.com/url?q=https://szkopul.edu.pl/problemset/problem/oTsXNiT3SD45VgVS2zqQWj7F/site/&amp;sa=D&amp;ust=1605639816728000&amp;usg=AFQjCNFoHCJMTbn3QS_mgEIsRkiOxPXe-A" TargetMode="External"/><Relationship Id="rId503" Type="http://schemas.openxmlformats.org/officeDocument/2006/relationships/hyperlink" Target="https://www.google.com/url?q=https://infoarena.ro/problema/xortransform&amp;sa=D&amp;ust=1605639815683000&amp;usg=AFQjCNGYIxXnsE3Km_PEbnI6Vh4BnSx1VQ" TargetMode="External"/><Relationship Id="rId710" Type="http://schemas.openxmlformats.org/officeDocument/2006/relationships/hyperlink" Target="https://www.google.com/url?q=https://infoarena.ro/problema/ratway&amp;sa=D&amp;ust=1605639815966000&amp;usg=AFQjCNHBNaGa8s4odjjMWaW7Y2ZUZsAL5g" TargetMode="External"/><Relationship Id="rId1340" Type="http://schemas.openxmlformats.org/officeDocument/2006/relationships/hyperlink" Target="https://www.google.com/url?q=https://cses.fi/189/list/&amp;sa=D&amp;ust=1605639816325000&amp;usg=AFQjCNGZ6e2t4bLcoPIq8jJJ6huV5vD7xA" TargetMode="External"/><Relationship Id="rId1200" Type="http://schemas.openxmlformats.org/officeDocument/2006/relationships/hyperlink" Target="https://www.google.com/url?q=https://joisc2016.contest.atcoder.jp/tasks/joisc2016_e&amp;sa=D&amp;ust=1605639816275000&amp;usg=AFQjCNEbuExHrV_lrkomejfv_59voIqIIw" TargetMode="External"/><Relationship Id="rId293" Type="http://schemas.openxmlformats.org/officeDocument/2006/relationships/hyperlink" Target="https://www.google.com/url?q=https://github.com/Szawinis/CompetitiveProgramming/blob/master/Olympiad/Baltic/Baltic09-candy.cpp&amp;sa=D&amp;ust=1605639815577000&amp;usg=AFQjCNFZDLpZs5-fgh390GyW0CH8tdTKsQ" TargetMode="External"/><Relationship Id="rId2181" Type="http://schemas.openxmlformats.org/officeDocument/2006/relationships/hyperlink" Target="https://www.google.com/url?q=https://github.com/mostafa-saad/MyCompetitiveProgramming/tree/master/Olympiad/MCO/official/2015&amp;sa=D&amp;ust=1605639816620000&amp;usg=AFQjCNHWWqNVKPNq4Y3pqiJU47U1v7ROgQ" TargetMode="External"/><Relationship Id="rId153" Type="http://schemas.openxmlformats.org/officeDocument/2006/relationships/hyperlink" Target="https://www.google.com/url?q=https://oj.uz/problems/source/351&amp;sa=D&amp;ust=1605639815537000&amp;usg=AFQjCNE3EtPQDrwuKrT-f2alNyIoonBJ7g" TargetMode="External"/><Relationship Id="rId360" Type="http://schemas.openxmlformats.org/officeDocument/2006/relationships/hyperlink" Target="https://www.google.com/url?q=https://github.com/mostafa-saad/MyCompetitiveProgramming/blob/master/Olympiad/CEOI/CEOI-09-Sorting.txt&amp;sa=D&amp;ust=1605639815601000&amp;usg=AFQjCNHeGXcDiSEizrbXOP1eDv1v55VyGg" TargetMode="External"/><Relationship Id="rId2041" Type="http://schemas.openxmlformats.org/officeDocument/2006/relationships/hyperlink" Target="https://www.google.com/url?q=https://github.com/Yehezkiel01/CompetitiveProgramming/blob/master/IOIPractice/IOIPractice-14-christopher-candy-ioi14.cpp&amp;sa=D&amp;ust=1605639816574000&amp;usg=AFQjCNFy-uyTYbKe3CZyMHmy-k3Yw3cTVA" TargetMode="External"/><Relationship Id="rId220" Type="http://schemas.openxmlformats.org/officeDocument/2006/relationships/hyperlink" Target="https://www.google.com/url?q=http://usaco.org/index.php?page%3Dviewproblem2%26cpid%3D865&amp;sa=D&amp;ust=1605639815555000&amp;usg=AFQjCNG3RA1dCEUrZRFSa7hKDON8254TQA" TargetMode="External"/><Relationship Id="rId2998" Type="http://schemas.openxmlformats.org/officeDocument/2006/relationships/hyperlink" Target="https://www.google.com/url?q=https://github.com/mostafa-saad/MyCompetitiveProgramming/blob/master/Olympiad/POI/official/find_editorial_sols_guidelines.txt&amp;sa=D&amp;ust=1605639816901000&amp;usg=AFQjCNES_8NQgZYvG3JbZDauPG58iRI0Sg" TargetMode="External"/><Relationship Id="rId2858" Type="http://schemas.openxmlformats.org/officeDocument/2006/relationships/hyperlink" Target="https://www.google.com/url?q=https://dunjudge.me/analysis/problems/1474/&amp;sa=D&amp;ust=1605639816819000&amp;usg=AFQjCNEgd83ERL5_B76UGORhqfTJGnveBw" TargetMode="External"/><Relationship Id="rId99" Type="http://schemas.openxmlformats.org/officeDocument/2006/relationships/hyperlink" Target="https://www.google.com/url?q=https://oj.uz/problem/view/APIO16_fireworks&amp;sa=D&amp;ust=1605639815521000&amp;usg=AFQjCNEv22kNQ_5alRos3ypYFxnQC9DATw" TargetMode="External"/><Relationship Id="rId1667" Type="http://schemas.openxmlformats.org/officeDocument/2006/relationships/hyperlink" Target="https://www.google.com/url?q=https://cses.fi/185/list/&amp;sa=D&amp;ust=1605639816450000&amp;usg=AFQjCNGpQxlIDsVkVU1FFlZIMPHSVA0eCg" TargetMode="External"/><Relationship Id="rId1874" Type="http://schemas.openxmlformats.org/officeDocument/2006/relationships/hyperlink" Target="https://www.google.com/url?q=https://codeforces.com/group/swEqtABRxe/contest/243438/problem/C&amp;sa=D&amp;ust=1605639816521000&amp;usg=AFQjCNF3y6_vOH2babGvMgqmy8TriSSNww" TargetMode="External"/><Relationship Id="rId2718" Type="http://schemas.openxmlformats.org/officeDocument/2006/relationships/hyperlink" Target="https://www.google.com/url?q=https://oj.uz/problem/view/COCI14_prosjek&amp;sa=D&amp;ust=1605639816773000&amp;usg=AFQjCNEoPZD0EHccqjUblafeyBNtUsXMoQ" TargetMode="External"/><Relationship Id="rId2925" Type="http://schemas.openxmlformats.org/officeDocument/2006/relationships/hyperlink" Target="https://www.google.com/url?q=https://oj.uz/problem/view/IZhO14_ufo&amp;sa=D&amp;ust=1605639816866000&amp;usg=AFQjCNE1oZcKwbQpMXrDlj6rlNeFqlo-EA" TargetMode="External"/><Relationship Id="rId1527" Type="http://schemas.openxmlformats.org/officeDocument/2006/relationships/hyperlink" Target="https://www.google.com/url?q=https://github.com/mostafa-saad/MyCompetitiveProgramming/blob/master/Olympiad/APIO/APIO-08-Beads.txt&amp;sa=D&amp;ust=1605639816408000&amp;usg=AFQjCNHvQzP-AehIlnKtI2LmsUEpc4VOyQ" TargetMode="External"/><Relationship Id="rId1734" Type="http://schemas.openxmlformats.org/officeDocument/2006/relationships/hyperlink" Target="https://www.google.com/url?q=http://usaco.org/index.php?page%3Dviewproblem2%26cpid%3D516&amp;sa=D&amp;ust=1605639816471000&amp;usg=AFQjCNEMVdslrAodl4lyS0-u-q65RrjxjQ" TargetMode="External"/><Relationship Id="rId1941" Type="http://schemas.openxmlformats.org/officeDocument/2006/relationships/hyperlink" Target="https://www.google.com/url?q=https://szkopul.edu.pl/problemset/problem/big2NUEzhdCqgGj0wGBjbw14/site/&amp;sa=D&amp;ust=1605639816542000&amp;usg=AFQjCNELjeRFlTQ_Oz7e20JhgHcmTJoWsA" TargetMode="External"/><Relationship Id="rId26" Type="http://schemas.openxmlformats.org/officeDocument/2006/relationships/hyperlink" Target="https://www.google.com/url?q=https://contest.yandex.ru/ioi/contest/572/enter/&amp;sa=D&amp;ust=1605639815494000&amp;usg=AFQjCNGxFenVG-iUQJIl1ZNXsIqUILibzw" TargetMode="External"/><Relationship Id="rId1801" Type="http://schemas.openxmlformats.org/officeDocument/2006/relationships/hyperlink" Target="https://www.google.com/url?q=https://joisc2015.contest.atcoder.jp/tasks/joisc2015_a&amp;sa=D&amp;ust=1605639816497000&amp;usg=AFQjCNF08WTRhCsxCjykSAwz2S_Ehp8H7A" TargetMode="External"/><Relationship Id="rId687" Type="http://schemas.openxmlformats.org/officeDocument/2006/relationships/hyperlink" Target="https://www.google.com/url?q=https://wcipeg.com/problem/coci094p6&amp;sa=D&amp;ust=1605639815930000&amp;usg=AFQjCNGQqNKHTs-uQfL2Qwwamqh4ELHj-g" TargetMode="External"/><Relationship Id="rId2368" Type="http://schemas.openxmlformats.org/officeDocument/2006/relationships/hyperlink" Target="https://www.google.com/url?q=https://github.com/mostafa-saad/MyCompetitiveProgramming/tree/master/Olympiad/COCI/official/2008/contest3_solutions&amp;sa=D&amp;ust=1605639816671000&amp;usg=AFQjCNEyDQvw7ekw94gcWu2lNdzOPHkGfA" TargetMode="External"/><Relationship Id="rId894" Type="http://schemas.openxmlformats.org/officeDocument/2006/relationships/hyperlink" Target="https://www.google.com/url?q=https://www.acmicpc.net/problem/7055&amp;sa=D&amp;ust=1605639816081000&amp;usg=AFQjCNHssU2Tihq_eqgFUUxf4yS4F-dw3A" TargetMode="External"/><Relationship Id="rId1177" Type="http://schemas.openxmlformats.org/officeDocument/2006/relationships/hyperlink" Target="https://www.google.com/url?q=https://open.kattis.com/problem-sources/Baltic%2520Olympiad%2520in%2520Informatics%25202017%252C%2520Day%25201&amp;sa=D&amp;ust=1605639816219000&amp;usg=AFQjCNEKXWwiR5A7BWNyxursbwogmaEnwA" TargetMode="External"/><Relationship Id="rId2575" Type="http://schemas.openxmlformats.org/officeDocument/2006/relationships/hyperlink" Target="https://www.google.com/url?q=https://github.com/mostafa-saad/MyCompetitiveProgramming/blob/master/Olympiad/NOI/official/2011.pptx&amp;sa=D&amp;ust=1605639816738000&amp;usg=AFQjCNFr0AK4ppbJ9IvhV-vXYjx3Dy5vVg" TargetMode="External"/><Relationship Id="rId2782" Type="http://schemas.openxmlformats.org/officeDocument/2006/relationships/hyperlink" Target="https://www.google.com/url?q=https://github.com/updown2/OI-Practice/blob/master/JOI/2018/Stove.cpp&amp;sa=D&amp;ust=1605639816795000&amp;usg=AFQjCNGYf-HYGqTbVIJ2eLGgYE4PfWk1Og" TargetMode="External"/><Relationship Id="rId547" Type="http://schemas.openxmlformats.org/officeDocument/2006/relationships/hyperlink" Target="https://www.google.com/url?q=https://github.com/mostafa-saad/MyCompetitiveProgramming/blob/master/Olympiad/POI/official/find_editorial_sols_guidelines.txt&amp;sa=D&amp;ust=1605639815881000&amp;usg=AFQjCNEnLW_rMu_IXuBqTB7Hq1tNF0bMqg" TargetMode="External"/><Relationship Id="rId754" Type="http://schemas.openxmlformats.org/officeDocument/2006/relationships/hyperlink" Target="https://www.google.com/url?q=https://github.com/mostafa-saad/MyCompetitiveProgramming/blob/master/Olympiad/IOI/IOI-07-flood.txt&amp;sa=D&amp;ust=1605639815982000&amp;usg=AFQjCNH-erZQMZZkgu-STdSXjhHNsW0hOw" TargetMode="External"/><Relationship Id="rId961" Type="http://schemas.openxmlformats.org/officeDocument/2006/relationships/hyperlink" Target="https://www.google.com/url?q=https://oj.uz/problem/view/POI11_smi&amp;sa=D&amp;ust=1605639816102000&amp;usg=AFQjCNGjHlDk7bi9fc7VaXAi27miQxpW_Q" TargetMode="External"/><Relationship Id="rId1384" Type="http://schemas.openxmlformats.org/officeDocument/2006/relationships/hyperlink" Target="https://www.google.com/url?q=https://szkopul.edu.pl/problemset/problem/kqBM3UKWL-qlFiXIOxPXL35m/site/&amp;sa=D&amp;ust=1605639816342000&amp;usg=AFQjCNFolVQY4XF9Q-0SeujynUCKxZ0LZg" TargetMode="External"/><Relationship Id="rId1591" Type="http://schemas.openxmlformats.org/officeDocument/2006/relationships/hyperlink" Target="https://www.google.com/url?q=https://dunjudge.me/analysis/problems/955/&amp;sa=D&amp;ust=1605639816428000&amp;usg=AFQjCNH0eXd4vYG6OZFXjV1Lh0gszXRYeA" TargetMode="External"/><Relationship Id="rId2228" Type="http://schemas.openxmlformats.org/officeDocument/2006/relationships/hyperlink" Target="https://www.google.com/url?q=https://codeforces.com/group/swEqtABRxe/contest/243430/problem/B&amp;sa=D&amp;ust=1605639816634000&amp;usg=AFQjCNGTfUaSOcJJNnzG8nAM_pHpdc79Jg" TargetMode="External"/><Relationship Id="rId2435" Type="http://schemas.openxmlformats.org/officeDocument/2006/relationships/hyperlink" Target="https://www.google.com/url?q=https://github.com/stefdasca/CompetitiveProgramming/blob/master/Infoarena/heavymetal.cpp&amp;sa=D&amp;ust=1605639816696000&amp;usg=AFQjCNHRrhJsz_JcYHYeDEZZDEl88k6Ivg" TargetMode="External"/><Relationship Id="rId2642" Type="http://schemas.openxmlformats.org/officeDocument/2006/relationships/hyperlink" Target="https://www.google.com/url?q=https://github.com/mostafa-saad/MyCompetitiveProgramming/tree/master/Olympiad/COCI/official/2008/contest2_solutions&amp;sa=D&amp;ust=1605639816753000&amp;usg=AFQjCNEfKSWQxPer02Pb7nj68aGnh7h1Nw" TargetMode="External"/><Relationship Id="rId90" Type="http://schemas.openxmlformats.org/officeDocument/2006/relationships/hyperlink" Target="https://www.google.com/url?q=https://oj.uz/problem/view/COI17_trapezi&amp;sa=D&amp;ust=1605639815518000&amp;usg=AFQjCNFIb_sQ2Kce-2e08O2Q8IYtEzY3uw" TargetMode="External"/><Relationship Id="rId407" Type="http://schemas.openxmlformats.org/officeDocument/2006/relationships/hyperlink" Target="https://www.google.com/url?q=https://github.com/mostafa-saad/MyCompetitiveProgramming/blob/master/Olympiad/POI/official/find_editorial_sols_guidelines.txt&amp;sa=D&amp;ust=1605639815620000&amp;usg=AFQjCNFW9iiaaCNjPIKvzkL_8FyKO17LAQ" TargetMode="External"/><Relationship Id="rId614" Type="http://schemas.openxmlformats.org/officeDocument/2006/relationships/hyperlink" Target="https://www.google.com/url?q=https://szkopul.edu.pl/problemset/problem/vQpjG0o3j0x3BQDNXpuciN3n/site/&amp;sa=D&amp;ust=1605639815905000&amp;usg=AFQjCNGYjLP14FPWK7k7yV9xSU4-f85uxg" TargetMode="External"/><Relationship Id="rId821" Type="http://schemas.openxmlformats.org/officeDocument/2006/relationships/hyperlink" Target="https://www.google.com/url?q=https://github.com/luciocf/OI-Problems/blob/master/CEOI/CEOI%25202015/potemkin.cpp&amp;sa=D&amp;ust=1605639816007000&amp;usg=AFQjCNHr_FHEq89PPvMsmsHj-ecSZffXHQ" TargetMode="External"/><Relationship Id="rId1037" Type="http://schemas.openxmlformats.org/officeDocument/2006/relationships/hyperlink" Target="https://www.google.com/url?q=https://szkopul.edu.pl/problemset/problem/KiL8P3oSgImWGI5GT4QMCQpO/site/&amp;sa=D&amp;ust=1605639816175000&amp;usg=AFQjCNHSp3xOrFgoIEOecvyGrQHdpQxBYA" TargetMode="External"/><Relationship Id="rId1244" Type="http://schemas.openxmlformats.org/officeDocument/2006/relationships/hyperlink" Target="https://www.google.com/url?q=https://github.com/mostafa-saad/MyCompetitiveProgramming/blob/master/Olympiad/IOI/IOI-13-robots.txt&amp;sa=D&amp;ust=1605639816292000&amp;usg=AFQjCNHrIyW5OohMALw6NmmXgwA_2s2uZA" TargetMode="External"/><Relationship Id="rId1451" Type="http://schemas.openxmlformats.org/officeDocument/2006/relationships/hyperlink" Target="https://www.google.com/url?q=https://github.com/stefdasca/CompetitiveProgramming/blob/master/Infoarena/v2d.cpp&amp;sa=D&amp;ust=1605639816379000&amp;usg=AFQjCNELgnwtLiZfXx-cn4xVsF7rRy6LEw" TargetMode="External"/><Relationship Id="rId2502" Type="http://schemas.openxmlformats.org/officeDocument/2006/relationships/hyperlink" Target="https://www.google.com/url?q=https://dmoj.ca/problem/coci07c1p5&amp;sa=D&amp;ust=1605639816719000&amp;usg=AFQjCNF9S5RzKgkvQ01xFqJ9vwEzWv8PZw" TargetMode="External"/><Relationship Id="rId1104" Type="http://schemas.openxmlformats.org/officeDocument/2006/relationships/hyperlink" Target="https://www.google.com/url?q=http://usaco.org/index.php?page%3Dviewproblem2%26cpid%3D624&amp;sa=D&amp;ust=1605639816198000&amp;usg=AFQjCNE4wmFMukJjpWnr4r5UG-TBMEK10w" TargetMode="External"/><Relationship Id="rId1311" Type="http://schemas.openxmlformats.org/officeDocument/2006/relationships/hyperlink" Target="https://www.google.com/url?q=https://infoarena.ro/problema/kdtree&amp;sa=D&amp;ust=1605639816315000&amp;usg=AFQjCNEPQytKLfoAblfhAXMWJQGmNFkvrQ" TargetMode="External"/><Relationship Id="rId197" Type="http://schemas.openxmlformats.org/officeDocument/2006/relationships/hyperlink" Target="https://www.google.com/url?q=https://github.com/mostafa-saad/MyCompetitiveProgramming/blob/master/Olympiad/IOI/official/2010&amp;sa=D&amp;ust=1605639815549000&amp;usg=AFQjCNFvnfMfoxvePTpBZsRa2V8EmO9fdg" TargetMode="External"/><Relationship Id="rId2085" Type="http://schemas.openxmlformats.org/officeDocument/2006/relationships/hyperlink" Target="https://www.google.com/url?q=https://dmoj.ca/problem/dmpg18s5&amp;sa=D&amp;ust=1605639816590000&amp;usg=AFQjCNEfDGl538fxPqmq4m6QerOI3duqjA" TargetMode="External"/><Relationship Id="rId2292" Type="http://schemas.openxmlformats.org/officeDocument/2006/relationships/hyperlink" Target="https://www.google.com/url?q=https://dunjudge.me/analysis/problems/281/&amp;sa=D&amp;ust=1605639816650000&amp;usg=AFQjCNF48myWH5afDb2BVw0akKta0xQrMA" TargetMode="External"/><Relationship Id="rId264" Type="http://schemas.openxmlformats.org/officeDocument/2006/relationships/hyperlink" Target="https://www.google.com/url?q=https://cses.fi/101/list/&amp;sa=D&amp;ust=1605639815567000&amp;usg=AFQjCNH7AGkGD6_u9Zx5cmbCdR-acGEBSQ" TargetMode="External"/><Relationship Id="rId471" Type="http://schemas.openxmlformats.org/officeDocument/2006/relationships/hyperlink" Target="https://www.google.com/url?q=https://oj.uz/problem/view/POI11_wyk&amp;sa=D&amp;ust=1605639815673000&amp;usg=AFQjCNEJq-jR4gGuZ8-7TrEfxn-4WZJ_xA" TargetMode="External"/><Relationship Id="rId2152" Type="http://schemas.openxmlformats.org/officeDocument/2006/relationships/hyperlink" Target="https://www.google.com/url?q=https://www.infoarena.ro/problema/cartite&amp;sa=D&amp;ust=1605639816611000&amp;usg=AFQjCNH2Tpsm8nNn81v41dYCVbmu1RoU2w" TargetMode="External"/><Relationship Id="rId124" Type="http://schemas.openxmlformats.org/officeDocument/2006/relationships/hyperlink" Target="https://www.google.com/url?q=https://codeforces.com/blog/entry/68748&amp;sa=D&amp;ust=1605639815529000&amp;usg=AFQjCNGlf_6Qc2kqZQGvi0KgrkzsXlXT0A" TargetMode="External"/><Relationship Id="rId331" Type="http://schemas.openxmlformats.org/officeDocument/2006/relationships/hyperlink" Target="https://www.google.com/url?q=https://codeforces.com/group/R2SERIff4f/contest/213171/problem/R&amp;sa=D&amp;ust=1605639815591000&amp;usg=AFQjCNGxJRLHx2jAIqKdejT0s2_GvoZ9mQ" TargetMode="External"/><Relationship Id="rId2012" Type="http://schemas.openxmlformats.org/officeDocument/2006/relationships/hyperlink" Target="https://www.google.com/url?q=https://github.com/mostafa-saad/MyCompetitiveProgramming/blob/master/Olympiad/NOI/official&amp;sa=D&amp;ust=1605639816563000&amp;usg=AFQjCNGHsLo8vHRKVSlXfyO6fgfqmkUxrA" TargetMode="External"/><Relationship Id="rId2969" Type="http://schemas.openxmlformats.org/officeDocument/2006/relationships/hyperlink" Target="https://www.google.com/url?q=https://szkopul.edu.pl/problemset/problem/Ng815bt4Fko9lj2-l7eVl3Aw/site/&amp;sa=D&amp;ust=1605639816888000&amp;usg=AFQjCNFPPxw6_odPHXKeQzQ7DYDcVS28aQ" TargetMode="External"/><Relationship Id="rId1778" Type="http://schemas.openxmlformats.org/officeDocument/2006/relationships/hyperlink" Target="https://www.google.com/url?q=https://github.com/updown2/OI-Practice/blob/master/BOI/2018/Citations%2520(Practice%2520Session).txt&amp;sa=D&amp;ust=1605639816488000&amp;usg=AFQjCNE5wPF5dXdJdrEz6Ao6Xqj6lk64xQ" TargetMode="External"/><Relationship Id="rId1985" Type="http://schemas.openxmlformats.org/officeDocument/2006/relationships/hyperlink" Target="https://www.google.com/url?q=https://oj.uz/problem/view/COCI17_deda&amp;sa=D&amp;ust=1605639816555000&amp;usg=AFQjCNEASufvnF5yyPiulHdx9hTbbbMcLg" TargetMode="External"/><Relationship Id="rId2829" Type="http://schemas.openxmlformats.org/officeDocument/2006/relationships/hyperlink" Target="https://www.google.com/url?q=https://github.com/mostafa-saad/MyCompetitiveProgramming/tree/master/Olympiad/COCI/official/2007/contest6_solutions&amp;sa=D&amp;ust=1605639816810000&amp;usg=AFQjCNHHhk5Rm2a4vck3Iewr7ujpjXbTvA" TargetMode="External"/><Relationship Id="rId1638" Type="http://schemas.openxmlformats.org/officeDocument/2006/relationships/hyperlink" Target="https://www.google.com/url?q=https://oj.uz/problem/view/BOI19_kitchen&amp;sa=D&amp;ust=1605639816442000&amp;usg=AFQjCNGZzXVkB38yAZtAWBFrSxip_x9pvQ" TargetMode="External"/><Relationship Id="rId1845" Type="http://schemas.openxmlformats.org/officeDocument/2006/relationships/hyperlink" Target="https://www.google.com/url?q=https://github.com/mostafa-saad/MyCompetitiveProgramming/tree/master/Olympiad/JOI/CEOI/official/2017&amp;sa=D&amp;ust=1605639816512000&amp;usg=AFQjCNH1q9-5oHsrBHeZMVKkVD9oQ6701Q" TargetMode="External"/><Relationship Id="rId1705" Type="http://schemas.openxmlformats.org/officeDocument/2006/relationships/hyperlink" Target="https://www.google.com/url?q=https://cses.fi/101/list/&amp;sa=D&amp;ust=1605639816460000&amp;usg=AFQjCNEzQGZliEp1rHkH7NyHdddn5UOTLQ" TargetMode="External"/><Relationship Id="rId1912" Type="http://schemas.openxmlformats.org/officeDocument/2006/relationships/hyperlink" Target="https://www.google.com/url?q=https://github.com/nikolapesic2802/Programming-Practice/blob/master/Foehn%2520Phenomena/main.cpp&amp;sa=D&amp;ust=1605639816534000&amp;usg=AFQjCNEJwrZYSpsFTgqiQ2KmA1mNNsSH_w" TargetMode="External"/><Relationship Id="rId798" Type="http://schemas.openxmlformats.org/officeDocument/2006/relationships/hyperlink" Target="https://www.google.com/url?q=https://github.com/mostafa-saad/MyCompetitiveProgramming/blob/master/Olympiad/CEOI/CEOI-05-Fence.txt&amp;sa=D&amp;ust=1605639815998000&amp;usg=AFQjCNFAcvz0I67UU6eIdL_MZ64gvX6jyw" TargetMode="External"/><Relationship Id="rId2479" Type="http://schemas.openxmlformats.org/officeDocument/2006/relationships/hyperlink" Target="https://www.google.com/url?q=https://github.com/mostafa-saad/MyCompetitiveProgramming/tree/master/Olympiad/COCI/official/2008/regional_solutions&amp;sa=D&amp;ust=1605639816712000&amp;usg=AFQjCNGiCfNku_5-ZDVAcVFdBRy0-CyDyQ" TargetMode="External"/><Relationship Id="rId2686" Type="http://schemas.openxmlformats.org/officeDocument/2006/relationships/hyperlink" Target="https://www.google.com/url?q=https://github.com/mostafa-saad/MyCompetitiveProgramming/tree/master/Olympiad/MCO/official/2014&amp;sa=D&amp;ust=1605639816761000&amp;usg=AFQjCNGFdoR3p3b4gsDl7lNAHwj_75tHew" TargetMode="External"/><Relationship Id="rId2893" Type="http://schemas.openxmlformats.org/officeDocument/2006/relationships/hyperlink" Target="https://www.google.com/url?q=https://open.kattis.com/problem-sources/Baltic%2520Olympiad%2520in%2520Informatics%25202017%252C%2520Warmup&amp;sa=D&amp;ust=1605639816831000&amp;usg=AFQjCNEdOVLQmyAehACEoDQblKDoX4jT6A" TargetMode="External"/><Relationship Id="rId658" Type="http://schemas.openxmlformats.org/officeDocument/2006/relationships/hyperlink" Target="https://www.google.com/url?q=https://oj.uz/problem/view/CEOI12_highway&amp;sa=D&amp;ust=1605639815921000&amp;usg=AFQjCNHX-o8OALww0JYLsuSFqHTI1hpJbQ" TargetMode="External"/><Relationship Id="rId865" Type="http://schemas.openxmlformats.org/officeDocument/2006/relationships/hyperlink" Target="https://www.google.com/url?q=https://cses.fi/116/list/&amp;sa=D&amp;ust=1605639816022000&amp;usg=AFQjCNG-68vWU0dccZkVgPqeT0hKQZ3SBQ" TargetMode="External"/><Relationship Id="rId1288" Type="http://schemas.openxmlformats.org/officeDocument/2006/relationships/hyperlink" Target="https://www.google.com/url?q=https://github.com/mostafa-saad/MyCompetitiveProgramming/blob/master/Olympiad/infoarena/infoarena_fibo4.txt&amp;sa=D&amp;ust=1605639816307000&amp;usg=AFQjCNFrHzNZSUQivPHmVUhjYD9FfG--1g" TargetMode="External"/><Relationship Id="rId1495" Type="http://schemas.openxmlformats.org/officeDocument/2006/relationships/hyperlink" Target="https://www.google.com/url?q=https://github.com/updown2/OI-Practice/blob/master/BOI/2018/Love%2520Polygon.txt&amp;sa=D&amp;ust=1605639816396000&amp;usg=AFQjCNGzy4vBWxpcxD9YhqwfTcVQLY26vA" TargetMode="External"/><Relationship Id="rId2339" Type="http://schemas.openxmlformats.org/officeDocument/2006/relationships/hyperlink" Target="https://www.google.com/url?q=https://oj.uz/problem/view/COCI17_igra&amp;sa=D&amp;ust=1605639816661000&amp;usg=AFQjCNFoPqeb84EvzA4eyZhl47rR7T65nw" TargetMode="External"/><Relationship Id="rId2546" Type="http://schemas.openxmlformats.org/officeDocument/2006/relationships/hyperlink" Target="https://www.google.com/url?q=https://oj.uz/problem/view/IOI16_laugh&amp;sa=D&amp;ust=1605639816732000&amp;usg=AFQjCNFpN0VCfaElGr9bPbjpEOwj87d7rg" TargetMode="External"/><Relationship Id="rId2753" Type="http://schemas.openxmlformats.org/officeDocument/2006/relationships/hyperlink" Target="https://www.google.com/url?q=https://github.com/mostafa-saad/MyCompetitiveProgramming/tree/master/Olympiad/COCI/official/2007/contest1_solutions&amp;sa=D&amp;ust=1605639816783000&amp;usg=AFQjCNEAMUD2MEuhUXS0zFDryDQXVCv_MQ" TargetMode="External"/><Relationship Id="rId2960" Type="http://schemas.openxmlformats.org/officeDocument/2006/relationships/hyperlink" Target="https://www.google.com/url?q=https://szkopul.edu.pl/problemset/problem/9NFtPM59qGWa7wdn570ifuP0/site/&amp;sa=D&amp;ust=1605639816883000&amp;usg=AFQjCNGjn-eL2NAdmN_Pe773NBPuVQi4Og" TargetMode="External"/></Relationships>
</file>

<file path=xl/worksheets/_rels/sheet17.xml.rels><?xml version="1.0" encoding="UTF-8" standalone="yes"?>
<Relationships xmlns="http://schemas.openxmlformats.org/package/2006/relationships"><Relationship Id="rId1827" Type="http://schemas.openxmlformats.org/officeDocument/2006/relationships/hyperlink" Target="https://www.google.com/url?q=https://oj.uz/problem/view/IOI15_scales&amp;sa=D&amp;ust=1605639832484000&amp;usg=AFQjCNGqjvA7TBlXlW9tVw4TDw7CM92vMg" TargetMode="External"/><Relationship Id="rId170" Type="http://schemas.openxmlformats.org/officeDocument/2006/relationships/hyperlink" Target="https://www.google.com/url?q=https://cses.fi/109/list/&amp;sa=D&amp;ust=1605639832006000&amp;usg=AFQjCNFl6X0dTRb8WYBl_CF5DH8cR__2Ww" TargetMode="External"/><Relationship Id="rId987" Type="http://schemas.openxmlformats.org/officeDocument/2006/relationships/hyperlink" Target="https://www.google.com/url?q=https://oj.uz/problem/view/COCI15_baloni&amp;sa=D&amp;ust=1605639832230000&amp;usg=AFQjCNHQoQplcYbpiCUJgVuR3aGbBpHs4A" TargetMode="External"/><Relationship Id="rId2668" Type="http://schemas.openxmlformats.org/officeDocument/2006/relationships/hyperlink" Target="https://www.google.com/url?q=https://github.com/dolphingarlic/CompetitiveProgramming/blob/master/POI/POI-11-Lollipop.txt&amp;sa=D&amp;ust=1605639832751000&amp;usg=AFQjCNEO3YqkZNHGQbj1Tcvev6hECUdw9Q" TargetMode="External"/><Relationship Id="rId2875" Type="http://schemas.openxmlformats.org/officeDocument/2006/relationships/hyperlink" Target="https://www.google.com/url?q=https://csacademy.com/contest/round-80/task/anagram-sort&amp;sa=D&amp;ust=1605639832811000&amp;usg=AFQjCNFwk74sAZqKvx4geNb3TFFcvaWlYg" TargetMode="External"/><Relationship Id="rId847" Type="http://schemas.openxmlformats.org/officeDocument/2006/relationships/hyperlink" Target="https://www.google.com/url?q=https://wcipeg.com/problem/coci093p4&amp;sa=D&amp;ust=1605639832193000&amp;usg=AFQjCNE_C2L7MiWoUOQhN47JO-7nhfUrXw" TargetMode="External"/><Relationship Id="rId1477" Type="http://schemas.openxmlformats.org/officeDocument/2006/relationships/hyperlink" Target="https://www.google.com/url?q=https://github.com/stefdasca/CompetitiveProgramming/blob/master/Infoarena/heavymetal.cpp&amp;sa=D&amp;ust=1605639832372000&amp;usg=AFQjCNE4FS8SVUIBCI1DQ9UEdeef0HLrRA" TargetMode="External"/><Relationship Id="rId1684" Type="http://schemas.openxmlformats.org/officeDocument/2006/relationships/hyperlink" Target="https://www.google.com/url?q=https://github.com/mostafa-saad/MyCompetitiveProgramming/blob/master/Olympiad/IOI/IOI-03-robots.txt&amp;sa=D&amp;ust=1605639832438000&amp;usg=AFQjCNF4s18RLSs808TmSRuLGEEhdS840g" TargetMode="External"/><Relationship Id="rId1891" Type="http://schemas.openxmlformats.org/officeDocument/2006/relationships/hyperlink" Target="https://www.google.com/url?q=https://github.com/mostafa-saad/MyCompetitiveProgramming/tree/master/Olympiad/IOI/official/2019&amp;sa=D&amp;ust=1605639832506000&amp;usg=AFQjCNEEwqrqgBm89WMQvBMFphB5e0affw" TargetMode="External"/><Relationship Id="rId2528" Type="http://schemas.openxmlformats.org/officeDocument/2006/relationships/hyperlink" Target="https://www.google.com/url?q=https://github.com/mostafa-saad/MyCompetitiveProgramming/blob/master/Olympiad/POI/POI-05-Points.txt&amp;sa=D&amp;ust=1605639832721000&amp;usg=AFQjCNGGNWLlbQ7yZUtVt3Hk1a2xPtF14Q" TargetMode="External"/><Relationship Id="rId2735" Type="http://schemas.openxmlformats.org/officeDocument/2006/relationships/hyperlink" Target="https://www.google.com/url?q=https://szkopul.edu.pl/problemset/problem/J5f8YHtUsaMdtOdfx0QoHKe0/site/?key%3Dstatement&amp;sa=D&amp;ust=1605639832764000&amp;usg=AFQjCNFn3unYg6y7DiYnRbqb-9i1qz64eg" TargetMode="External"/><Relationship Id="rId2942" Type="http://schemas.openxmlformats.org/officeDocument/2006/relationships/hyperlink" Target="https://www.google.com/url?q=http://usaco.org/index.php?page%3Dviewproblem2%26cpid%3D626&amp;sa=D&amp;ust=1605639832833000&amp;usg=AFQjCNGMqftzT-uhXwTZhgGR7X8p4Gxf8g" TargetMode="External"/><Relationship Id="rId707" Type="http://schemas.openxmlformats.org/officeDocument/2006/relationships/hyperlink" Target="https://www.google.com/url?q=https://github.com/mostafa-saad/MyCompetitiveProgramming/blob/master/Olympiad/COCI/COCI-07-Staza.txt&amp;sa=D&amp;ust=1605639832153000&amp;usg=AFQjCNF8uhUexwCw4_0Wk0x5MTkNzrwoMA" TargetMode="External"/><Relationship Id="rId914" Type="http://schemas.openxmlformats.org/officeDocument/2006/relationships/hyperlink" Target="https://www.google.com/url?q=https://github.com/mostafa-saad/MyCompetitiveProgramming/blob/master/Olympiad/COCI/official/2014/contest4_solutions&amp;sa=D&amp;ust=1605639832212000&amp;usg=AFQjCNHz_MZhnieyPx6K0Fu0B63tesHPzA" TargetMode="External"/><Relationship Id="rId1337" Type="http://schemas.openxmlformats.org/officeDocument/2006/relationships/hyperlink" Target="https://www.google.com/url?q=https://csacademy.com/contest/ejoi-2017-day-1/task/magic/&amp;sa=D&amp;ust=1605639832336000&amp;usg=AFQjCNHXTSNuyrsr8fK8aMjskT36IfZLdg" TargetMode="External"/><Relationship Id="rId1544" Type="http://schemas.openxmlformats.org/officeDocument/2006/relationships/hyperlink" Target="https://www.google.com/url?q=https://www.infoarena.ro/problema/password2&amp;sa=D&amp;ust=1605639832395000&amp;usg=AFQjCNFpRbJLHMir0angx8I5oB1kNpQ8_Q" TargetMode="External"/><Relationship Id="rId1751" Type="http://schemas.openxmlformats.org/officeDocument/2006/relationships/hyperlink" Target="https://www.google.com/url?q=https://oj.uz/problem/view/IOI09_mecho&amp;sa=D&amp;ust=1605639832458000&amp;usg=AFQjCNGSL89w2em47UguLZZCpRnsp_-Vdw" TargetMode="External"/><Relationship Id="rId2802" Type="http://schemas.openxmlformats.org/officeDocument/2006/relationships/hyperlink" Target="https://www.google.com/url?q=https://github.com/mostafa-saad/MyCompetitiveProgramming/blob/master/Olympiad/POI/POI-16-Messenger.txt&amp;sa=D&amp;ust=1605639832787000&amp;usg=AFQjCNG1qu5IPJxKnBvTFQ7lkNGvLBzkbw" TargetMode="External"/><Relationship Id="rId43" Type="http://schemas.openxmlformats.org/officeDocument/2006/relationships/hyperlink" Target="https://www.google.com/url?q=https://github.com/mostafa-saad/MyCompetitiveProgramming/blob/master/Olympiad/APIO/APIO-14-Palindrome.txt&amp;sa=D&amp;ust=1605639831962000&amp;usg=AFQjCNG2iMGledskc09IDtIZbrFwZ86WbQ" TargetMode="External"/><Relationship Id="rId1404" Type="http://schemas.openxmlformats.org/officeDocument/2006/relationships/hyperlink" Target="https://www.google.com/url?q=https://www.infoarena.ro/problema/bile6&amp;sa=D&amp;ust=1605639832353000&amp;usg=AFQjCNEnA-p4lrB9qtg5t6vYkL76zDNJTQ" TargetMode="External"/><Relationship Id="rId1611" Type="http://schemas.openxmlformats.org/officeDocument/2006/relationships/hyperlink" Target="https://www.google.com/url?q=https://www.infoarena.ro/problema/tricolor&amp;sa=D&amp;ust=1605639832416000&amp;usg=AFQjCNHCNCXTCIBMZcW27U4iJb6A9H6lFg" TargetMode="External"/><Relationship Id="rId497" Type="http://schemas.openxmlformats.org/officeDocument/2006/relationships/hyperlink" Target="https://www.google.com/url?q=https://github.com/mostafa-saad/MyCompetitiveProgramming/blob/master/Olympiad/CEOI/CEOI-14-carnival.txt&amp;sa=D&amp;ust=1605639832106000&amp;usg=AFQjCNFnrom8rIuC82gKfm7XzzD_IZ7S9g" TargetMode="External"/><Relationship Id="rId2178" Type="http://schemas.openxmlformats.org/officeDocument/2006/relationships/hyperlink" Target="https://www.google.com/url?q=https://oj.uz/problem/view/JOI17_coach&amp;sa=D&amp;ust=1605639832605000&amp;usg=AFQjCNHCB_9rAujDqJ05ShH8jYzN1Uso2A" TargetMode="External"/><Relationship Id="rId2385" Type="http://schemas.openxmlformats.org/officeDocument/2006/relationships/hyperlink" Target="https://www.google.com/url?q=https://oj.uz/problem/view/NOI18_journey&amp;sa=D&amp;ust=1605639832667000&amp;usg=AFQjCNFZN55rxj_D7AMhbbF49pLHx75krg" TargetMode="External"/><Relationship Id="rId357" Type="http://schemas.openxmlformats.org/officeDocument/2006/relationships/hyperlink" Target="https://www.google.com/url?q=https://dmoj.ca/problem/cco15p1&amp;sa=D&amp;ust=1605639832054000&amp;usg=AFQjCNGdeDwX_sRGiAZw9uvugi_6uK09nA" TargetMode="External"/><Relationship Id="rId1194" Type="http://schemas.openxmlformats.org/officeDocument/2006/relationships/hyperlink" Target="https://www.google.com/url?q=https://github.com/dolphingarlic/CompetitiveProgramming/blob/master/COI/COCI%252020-politicari.cpp&amp;sa=D&amp;ust=1605639832294000&amp;usg=AFQjCNHA1dDVxki0VPL0INXjxPgUAn3emg" TargetMode="External"/><Relationship Id="rId2038" Type="http://schemas.openxmlformats.org/officeDocument/2006/relationships/hyperlink" Target="https://www.google.com/url?q=https://github.com/nikolapesic2802/Programming-Practice/blob/master/Oranges/main.cpp&amp;sa=D&amp;ust=1605639832550000&amp;usg=AFQjCNExdm7tllLXae4KoodDn5q-LA1hfw" TargetMode="External"/><Relationship Id="rId2592" Type="http://schemas.openxmlformats.org/officeDocument/2006/relationships/hyperlink" Target="https://www.google.com/url?q=https://github.com/mostafa-saad/MyCompetitiveProgramming/blob/master/Olympiad/POI/official/find_editorial_sols_guidelines.txt&amp;sa=D&amp;ust=1605639832736000&amp;usg=AFQjCNG_naUuTDvT_ZpKT3X-iUpGZ6X7xg" TargetMode="External"/><Relationship Id="rId217" Type="http://schemas.openxmlformats.org/officeDocument/2006/relationships/hyperlink" Target="https://www.google.com/url?q=https://cses.fi/106/list/&amp;sa=D&amp;ust=1605639832019000&amp;usg=AFQjCNEnF1pbPiRTaKa3o1ckd6KnpVM0ug" TargetMode="External"/><Relationship Id="rId564" Type="http://schemas.openxmlformats.org/officeDocument/2006/relationships/hyperlink" Target="https://www.google.com/url?q=https://dmoj.ca/problem/coci06c3p5&amp;sa=D&amp;ust=1605639832123000&amp;usg=AFQjCNFRhwnGqbSSSZE8v4GBE-3t6Yp7ig" TargetMode="External"/><Relationship Id="rId771" Type="http://schemas.openxmlformats.org/officeDocument/2006/relationships/hyperlink" Target="https://www.google.com/url?q=https://github.com/mostafa-saad/MyCompetitiveProgramming/blob/master/Olympiad/COCI/official/2009/contest1_solutions&amp;sa=D&amp;ust=1605639832167000&amp;usg=AFQjCNGP7QX0rVtLTAZ6z9C3ojDd18X8Fg" TargetMode="External"/><Relationship Id="rId2245" Type="http://schemas.openxmlformats.org/officeDocument/2006/relationships/hyperlink" Target="https://www.google.com/url?q=https://dunjudge.me/analysis/problems/725/&amp;sa=D&amp;ust=1605639832628000&amp;usg=AFQjCNESnmb37titalJOyJaAvnBLrCkyNg" TargetMode="External"/><Relationship Id="rId2452" Type="http://schemas.openxmlformats.org/officeDocument/2006/relationships/hyperlink" Target="https://www.google.com/url?q=https://dunjudge.me/analysis/problems/1174/&amp;sa=D&amp;ust=1605639832697000&amp;usg=AFQjCNGoy3LPH_33BRrQMmrEeaQC_EYRgA" TargetMode="External"/><Relationship Id="rId424" Type="http://schemas.openxmlformats.org/officeDocument/2006/relationships/hyperlink" Target="https://www.google.com/url?q=https://cses.fi/187/list/&amp;sa=D&amp;ust=1605639832084000&amp;usg=AFQjCNGD6TaVv8obH9PCVJvumIVPnodImQ" TargetMode="External"/><Relationship Id="rId631" Type="http://schemas.openxmlformats.org/officeDocument/2006/relationships/hyperlink" Target="https://www.google.com/url?q=https://github.com/mostafa-saad/MyCompetitiveProgramming/tree/master/Olympiad/COCI/official/2007/regional_solutions&amp;sa=D&amp;ust=1605639832137000&amp;usg=AFQjCNFi5V0UsV3me8yGOumKVA02xebXrw" TargetMode="External"/><Relationship Id="rId1054" Type="http://schemas.openxmlformats.org/officeDocument/2006/relationships/hyperlink" Target="https://www.google.com/url?q=https://github.com/mostafa-saad/MyCompetitiveProgramming/blob/master/Olympiad/COCI/COCI-16-zamjene.txt&amp;sa=D&amp;ust=1605639832247000&amp;usg=AFQjCNFANpy-koI_BaHVWs1PQmL-tKnGNg" TargetMode="External"/><Relationship Id="rId1261" Type="http://schemas.openxmlformats.org/officeDocument/2006/relationships/hyperlink" Target="https://www.google.com/url?q=https://github.com/mostafa-saad/MyCompetitiveProgramming/blob/master/Olympiad/COI/COI-15-ruka.txt&amp;sa=D&amp;ust=1605639832315000&amp;usg=AFQjCNEf2AkRkCEynp6vBuU77IfDTai4HQ" TargetMode="External"/><Relationship Id="rId2105" Type="http://schemas.openxmlformats.org/officeDocument/2006/relationships/hyperlink" Target="https://www.google.com/url?q=https://oj.uz/problem/view/JOI18_bubblesort2&amp;sa=D&amp;ust=1605639832570000&amp;usg=AFQjCNHPg7J07-z9ag31AQzUZBNaMnYL2g" TargetMode="External"/><Relationship Id="rId2312" Type="http://schemas.openxmlformats.org/officeDocument/2006/relationships/hyperlink" Target="https://www.google.com/url?q=https://github.com/mostafa-saad/MyCompetitiveProgramming/blob/master/Olympiad/NOI/official&amp;sa=D&amp;ust=1605639832649000&amp;usg=AFQjCNFLKzE6amzfKSlWg38WXqzjg5E0yA" TargetMode="External"/><Relationship Id="rId1121" Type="http://schemas.openxmlformats.org/officeDocument/2006/relationships/hyperlink" Target="https://www.google.com/url?q=https://oj.uz/problem/view/COCI17_turnir&amp;sa=D&amp;ust=1605639832264000&amp;usg=AFQjCNFBFuwCNwYatJOB2agPLwGZdKWpaA" TargetMode="External"/><Relationship Id="rId1938" Type="http://schemas.openxmlformats.org/officeDocument/2006/relationships/hyperlink" Target="https://www.google.com/url?q=https://dunjudge.me/analysis/problems/1661/&amp;sa=D&amp;ust=1605639832519000&amp;usg=AFQjCNFlicShabLipDknuFm6TOfQ0GGNKA" TargetMode="External"/><Relationship Id="rId281" Type="http://schemas.openxmlformats.org/officeDocument/2006/relationships/hyperlink" Target="https://www.google.com/url?q=https://oj.uz/problem/view/BOI15_edi&amp;sa=D&amp;ust=1605639832035000&amp;usg=AFQjCNGIrzrKv5zV8MNdACkbGxx4CtGSCw" TargetMode="External"/><Relationship Id="rId3013" Type="http://schemas.openxmlformats.org/officeDocument/2006/relationships/hyperlink" Target="https://www.google.com/url?q=https://dmoj.ca/problem/utso18p2&amp;sa=D&amp;ust=1605639832873000&amp;usg=AFQjCNEj8lhK5-0tY5RpGhr87tZE_9n5Bg" TargetMode="External"/><Relationship Id="rId141" Type="http://schemas.openxmlformats.org/officeDocument/2006/relationships/hyperlink" Target="https://www.google.com/url?q=https://csacademy.com/contest/balkan-oi-2017-day-1/&amp;sa=D&amp;ust=1605639831996000&amp;usg=AFQjCNH3WB8gklp9b8MTv26yHrvfUfmI0Q" TargetMode="External"/><Relationship Id="rId7" Type="http://schemas.openxmlformats.org/officeDocument/2006/relationships/hyperlink" Target="https://www.google.com/url?q=https://tioj.ck.tp.edu.tw/problems/1739&amp;sa=D&amp;ust=1605639831955000&amp;usg=AFQjCNGOthU8FXIdlf2hIqDSgWItvF_V8A" TargetMode="External"/><Relationship Id="rId2779" Type="http://schemas.openxmlformats.org/officeDocument/2006/relationships/hyperlink" Target="https://www.google.com/url?q=https://szkopul.edu.pl/problemset/problem/VeQ6A1Xb8DUSlbUb8eQncsFX/site/&amp;sa=D&amp;ust=1605639832778000&amp;usg=AFQjCNFrM9GruIj0965qnOEEtE5xb6Ua6w" TargetMode="External"/><Relationship Id="rId2986" Type="http://schemas.openxmlformats.org/officeDocument/2006/relationships/hyperlink" Target="https://www.google.com/url?q=http://www.usaco.org/index.php?page%3Dviewproblem2%26cpid%3D973&amp;sa=D&amp;ust=1605639832861000&amp;usg=AFQjCNG5fmn94BK2qv2SQzrW4whZb4CHjA" TargetMode="External"/><Relationship Id="rId958" Type="http://schemas.openxmlformats.org/officeDocument/2006/relationships/hyperlink" Target="https://www.google.com/url?q=https://dmoj.ca/problem/coci14c4p3&amp;sa=D&amp;ust=1605639832223000&amp;usg=AFQjCNGKK54Fk59Wrcc-bxBpQdMwaTU-hA" TargetMode="External"/><Relationship Id="rId1588" Type="http://schemas.openxmlformats.org/officeDocument/2006/relationships/hyperlink" Target="https://www.google.com/url?q=https://github.com/stefdasca/CompetitiveProgramming/blob/master/Infoarena/scara2.cpp&amp;sa=D&amp;ust=1605639832409000&amp;usg=AFQjCNHQ2pP4aQH1wO8h3hVHKCRVNDYEwQ" TargetMode="External"/><Relationship Id="rId1795" Type="http://schemas.openxmlformats.org/officeDocument/2006/relationships/hyperlink" Target="https://www.google.com/url?q=https://oj.uz/problem/view/IOI12_scrivener&amp;sa=D&amp;ust=1605639832474000&amp;usg=AFQjCNFaGiOyGGzdXWrG7Jww0c_uAjETQA" TargetMode="External"/><Relationship Id="rId2639" Type="http://schemas.openxmlformats.org/officeDocument/2006/relationships/hyperlink" Target="https://www.google.com/url?q=https://szkopul.edu.pl/problemset/problem/WXVRycanis3d1h5p63YZqYKs/site/&amp;sa=D&amp;ust=1605639832746000&amp;usg=AFQjCNEjN2ZGDxreXW9JfZKqCV37Y0-6cg" TargetMode="External"/><Relationship Id="rId2846" Type="http://schemas.openxmlformats.org/officeDocument/2006/relationships/hyperlink" Target="https://www.google.com/url?q=https://szkopul.edu.pl/problemset/problem/9JvSAnyf5d1FlPAEXEdUAtCz/site/&amp;sa=D&amp;ust=1605639832803000&amp;usg=AFQjCNGhiUNB9rVNQidn0Tp3TRs0bdfKYg" TargetMode="External"/><Relationship Id="rId87" Type="http://schemas.openxmlformats.org/officeDocument/2006/relationships/hyperlink" Target="https://www.google.com/url?q=https://www.acmicpc.net/problem/7080&amp;sa=D&amp;ust=1605639831977000&amp;usg=AFQjCNFEMOHY7YddYT2-6hXaTj0TZ4RqcA" TargetMode="External"/><Relationship Id="rId818" Type="http://schemas.openxmlformats.org/officeDocument/2006/relationships/hyperlink" Target="https://www.google.com/url?q=https://wcipeg.com/problem/coci094p3&amp;sa=D&amp;ust=1605639832183000&amp;usg=AFQjCNF2pXFFIInaN3r0lhsjz0VoUvgDyQ" TargetMode="External"/><Relationship Id="rId1448" Type="http://schemas.openxmlformats.org/officeDocument/2006/relationships/hyperlink" Target="https://www.google.com/url?q=https://www.infoarena.ro/problema/cuplaje&amp;sa=D&amp;ust=1605639832362000&amp;usg=AFQjCNEHCfehi9IY5ysZ9b6QjlCHh-ntjg" TargetMode="External"/><Relationship Id="rId1655" Type="http://schemas.openxmlformats.org/officeDocument/2006/relationships/hyperlink" Target="https://www.google.com/url?q=https://dunjudge.me/analysis/problems/734/&amp;sa=D&amp;ust=1605639832431000&amp;usg=AFQjCNGN03TYOjnOIELwoZ6RHigftaiCiw" TargetMode="External"/><Relationship Id="rId2706" Type="http://schemas.openxmlformats.org/officeDocument/2006/relationships/hyperlink" Target="https://www.google.com/url?q=https://github.com/mostafa-saad/MyCompetitiveProgramming/blob/master/Olympiad/POI/official/find_editorial_sols_guidelines.txt&amp;sa=D&amp;ust=1605639832758000&amp;usg=AFQjCNH47kGECJGv3ybGv0Eq0T662LrXRA" TargetMode="External"/><Relationship Id="rId1308" Type="http://schemas.openxmlformats.org/officeDocument/2006/relationships/hyperlink" Target="https://www.google.com/url?q=https://github.com/win11905/submission/blob/master/Dmoj/EllisFahrengart.cpp&amp;sa=D&amp;ust=1605639832327000&amp;usg=AFQjCNEvdqQxEsrW4-K19vMQSzG7oHtl2Q" TargetMode="External"/><Relationship Id="rId1862" Type="http://schemas.openxmlformats.org/officeDocument/2006/relationships/hyperlink" Target="https://www.google.com/url?q=https://oj.uz/problem/view/IOI17_simurgh&amp;sa=D&amp;ust=1605639832497000&amp;usg=AFQjCNEABJ2LpFOLgxcunCBf-QQxxd1Xqg" TargetMode="External"/><Relationship Id="rId2913" Type="http://schemas.openxmlformats.org/officeDocument/2006/relationships/hyperlink" Target="https://www.google.com/url?q=https://github.com/mostafa-saad/MyCompetitiveProgramming/blob/master/Olympiad/USACO/USACO-12dec-runaway.txt&amp;sa=D&amp;ust=1605639832823000&amp;usg=AFQjCNEbncK_8m1RRkIarmz4sn6Bom_Xbw" TargetMode="External"/><Relationship Id="rId1515" Type="http://schemas.openxmlformats.org/officeDocument/2006/relationships/hyperlink" Target="https://www.google.com/url?q=https://github.com/stefdasca/CompetitiveProgramming/blob/master/Infoarena/metrouri.cpp&amp;sa=D&amp;ust=1605639832385000&amp;usg=AFQjCNGadix7eq82wLF8VUUTyehnBbgoWw" TargetMode="External"/><Relationship Id="rId1722" Type="http://schemas.openxmlformats.org/officeDocument/2006/relationships/hyperlink" Target="https://www.google.com/url?q=https://github.com/mostafa-saad/MyCompetitiveProgramming/blob/master/Olympiad/IOI/official/2007&amp;sa=D&amp;ust=1605639832449000&amp;usg=AFQjCNFIHnR0hFkAXWBSl3UwfdfnEoYajQ" TargetMode="External"/><Relationship Id="rId14" Type="http://schemas.openxmlformats.org/officeDocument/2006/relationships/hyperlink" Target="https://www.google.com/url?q=https://github.com/goar5670/CompetitiveProgramming/blob/master/APIO%252009-ATM.cpp&amp;sa=D&amp;ust=1605639831956000&amp;usg=AFQjCNHGoANmcGF9mJNg1xEKHWQ81NIBlQ" TargetMode="External"/><Relationship Id="rId2289" Type="http://schemas.openxmlformats.org/officeDocument/2006/relationships/hyperlink" Target="https://www.google.com/url?q=https://dunjudge.me/analysis/problems/146/&amp;sa=D&amp;ust=1605639832643000&amp;usg=AFQjCNHhcIu3rYSOXV9cUCtKCyMqXEq_5g" TargetMode="External"/><Relationship Id="rId2496" Type="http://schemas.openxmlformats.org/officeDocument/2006/relationships/hyperlink" Target="https://www.google.com/url?q=https://github.com/mostafa-saad/MyCompetitiveProgramming/blob/master/Olympiad/POI/POI-04-Maximal.txt&amp;sa=D&amp;ust=1605639832713000&amp;usg=AFQjCNGxJtHYSL5HJ82plz1_D8Wv9CYh7w" TargetMode="External"/><Relationship Id="rId468" Type="http://schemas.openxmlformats.org/officeDocument/2006/relationships/hyperlink" Target="https://www.google.com/url?q=https://oj.uz/problem/view/CEOI11_tea&amp;sa=D&amp;ust=1605639832098000&amp;usg=AFQjCNGpQKOhaq1ToUBaCbheeL9KumR76Q" TargetMode="External"/><Relationship Id="rId675" Type="http://schemas.openxmlformats.org/officeDocument/2006/relationships/hyperlink" Target="https://www.google.com/url?q=https://github.com/mostafa-saad/MyCompetitiveProgramming/tree/master/Olympiad/COCI/official/2008/contest4_solutions&amp;sa=D&amp;ust=1605639832147000&amp;usg=AFQjCNHH7a4ZrVqzb0oP2-DLBThWVxvCsQ" TargetMode="External"/><Relationship Id="rId882" Type="http://schemas.openxmlformats.org/officeDocument/2006/relationships/hyperlink" Target="https://www.google.com/url?q=https://github.com/mostafa-saad/MyCompetitiveProgramming/blob/master/Olympiad/COCI/official/2013/contest2_solutions&amp;sa=D&amp;ust=1605639832204000&amp;usg=AFQjCNFE3l_PmS22IiShDD0EaOWAfb_mAQ" TargetMode="External"/><Relationship Id="rId1098" Type="http://schemas.openxmlformats.org/officeDocument/2006/relationships/hyperlink" Target="https://www.google.com/url?q=https://github.com/mostafa-saad/MyCompetitiveProgramming/blob/master/Olympiad/COCI/official/2017/contest5_solutions&amp;sa=D&amp;ust=1605639832258000&amp;usg=AFQjCNHQ8OkcO3PYHapklh_sOWR0tIiuwg" TargetMode="External"/><Relationship Id="rId2149" Type="http://schemas.openxmlformats.org/officeDocument/2006/relationships/hyperlink" Target="https://www.google.com/url?q=https://dunjudge.me/analysis/problems/742/&amp;sa=D&amp;ust=1605639832593000&amp;usg=AFQjCNF7OiQf1ciw_bWb7DSgtRqRE6duYQ" TargetMode="External"/><Relationship Id="rId2356" Type="http://schemas.openxmlformats.org/officeDocument/2006/relationships/hyperlink" Target="https://www.google.com/url?q=https://github.com/mostafa-saad/MyCompetitiveProgramming/blob/master/Olympiad/NOI/official&amp;sa=D&amp;ust=1605639832660000&amp;usg=AFQjCNFhKVbrpwcaTcs_9XLBI9NZlNg2ZA" TargetMode="External"/><Relationship Id="rId2563" Type="http://schemas.openxmlformats.org/officeDocument/2006/relationships/hyperlink" Target="https://www.google.com/url?q=https://szkopul.edu.pl/problemset/problem/5UgslCU-C5vsermqgJGm_C5A/site/&amp;sa=D&amp;ust=1605639832730000&amp;usg=AFQjCNFUO71SK3OsxdX9CKcbT3zcJK8aog" TargetMode="External"/><Relationship Id="rId2770" Type="http://schemas.openxmlformats.org/officeDocument/2006/relationships/hyperlink" Target="https://www.google.com/url?q=https://github.com/mostafa-saad/MyCompetitiveProgramming/blob/master/Olympiad/POI/official/find_editorial_sols_guidelines.txt&amp;sa=D&amp;ust=1605639832776000&amp;usg=AFQjCNEZa3FOBDp-2eD1hiAd8Ctao1jg2g" TargetMode="External"/><Relationship Id="rId328" Type="http://schemas.openxmlformats.org/officeDocument/2006/relationships/hyperlink" Target="https://www.google.com/url?q=https://github.com/mostafa-saad/MyCompetitiveProgramming/blob/master/Olympiad/Baltic/Baltic-19-nautilus.txt&amp;sa=D&amp;ust=1605639832045000&amp;usg=AFQjCNGUxAJfXyx4-X_tiQx4TVgUl4MTvA" TargetMode="External"/><Relationship Id="rId535" Type="http://schemas.openxmlformats.org/officeDocument/2006/relationships/hyperlink" Target="https://www.google.com/url?q=https://csacademy.com/contest/ceoi-2018-day-1/task/cloud-computing/&amp;sa=D&amp;ust=1605639832117000&amp;usg=AFQjCNFhzS3ciA24jXjAZfzaGd-qsVszJA" TargetMode="External"/><Relationship Id="rId742" Type="http://schemas.openxmlformats.org/officeDocument/2006/relationships/hyperlink" Target="https://www.google.com/url?q=https://dmoj.ca/problem/coci08c3p2&amp;sa=D&amp;ust=1605639832160000&amp;usg=AFQjCNHgSo3jBehDMuUm6jjLBaneIBAjaA" TargetMode="External"/><Relationship Id="rId1165" Type="http://schemas.openxmlformats.org/officeDocument/2006/relationships/hyperlink" Target="https://www.google.com/url?q=https://oj.uz/problem/view/COCI19_elder&amp;sa=D&amp;ust=1605639832282000&amp;usg=AFQjCNF5iQVyLIK16z8Q9SStSRXA3GiSVw" TargetMode="External"/><Relationship Id="rId1372" Type="http://schemas.openxmlformats.org/officeDocument/2006/relationships/hyperlink" Target="https://www.google.com/url?q=https://github.com/stefdasca/CompetitiveProgramming/blob/master/Info1Cup/National%2520Round/simple.cpp&amp;sa=D&amp;ust=1605639832346000&amp;usg=AFQjCNE2xsljj6jGaAidfqmmwZyq33dq6A" TargetMode="External"/><Relationship Id="rId2009" Type="http://schemas.openxmlformats.org/officeDocument/2006/relationships/hyperlink" Target="https://www.google.com/url?q=https://oj.uz/problem/view/IZhO19_segments&amp;sa=D&amp;ust=1605639832542000&amp;usg=AFQjCNFhd9LQYLOoP2Ic7ym5Ex8JmE3j1A" TargetMode="External"/><Relationship Id="rId2216" Type="http://schemas.openxmlformats.org/officeDocument/2006/relationships/hyperlink" Target="https://www.google.com/url?q=https://github.com/nikolapesic2802/Programming-Practice/blob/master/Two%2520Antennas/main.cpp&amp;sa=D&amp;ust=1605639832617000&amp;usg=AFQjCNHz3CihwZZxXkeDaH4vz9qvSl7-xQ" TargetMode="External"/><Relationship Id="rId2423" Type="http://schemas.openxmlformats.org/officeDocument/2006/relationships/hyperlink" Target="https://www.google.com/url?q=https://dunjudge.me/analysis/problems/189/&amp;sa=D&amp;ust=1605639832684000&amp;usg=AFQjCNHOX2SvfV6dpReL-6VzFyf6z6pn1Q" TargetMode="External"/><Relationship Id="rId2630" Type="http://schemas.openxmlformats.org/officeDocument/2006/relationships/hyperlink" Target="https://www.google.com/url?q=https://github.com/mostafa-saad/MyCompetitiveProgramming/blob/master/Olympiad/POI/official/find_editorial_sols_guidelines.txt&amp;sa=D&amp;ust=1605639832744000&amp;usg=AFQjCNHb-F4DJQQ9Rik7cq8Cidk90sZEwg" TargetMode="External"/><Relationship Id="rId602" Type="http://schemas.openxmlformats.org/officeDocument/2006/relationships/hyperlink" Target="https://www.google.com/url?q=https://dmoj.ca/problem/coci06c1p3&amp;sa=D&amp;ust=1605639832132000&amp;usg=AFQjCNG-htKAsg-lQ56Q0eEJDGqwR2Qybg" TargetMode="External"/><Relationship Id="rId1025" Type="http://schemas.openxmlformats.org/officeDocument/2006/relationships/hyperlink" Target="https://www.google.com/url?q=https://github.com/nikolapesic2802/Programming-Practice/blob/master/Cezar/main.cpp&amp;sa=D&amp;ust=1605639832240000&amp;usg=AFQjCNFrFXk-zzu_nAxEONdoZ2ejp7cq3w" TargetMode="External"/><Relationship Id="rId1232" Type="http://schemas.openxmlformats.org/officeDocument/2006/relationships/hyperlink" Target="https://www.google.com/url?q=https://github.com/mostafa-saad/MyCompetitiveProgramming/blob/master/Olympiad/COI/COI-09-Kolo.txt&amp;sa=D&amp;ust=1605639832308000&amp;usg=AFQjCNGt6-5s8Ca4fyU8d20Z9wAYhBifcg" TargetMode="External"/><Relationship Id="rId185" Type="http://schemas.openxmlformats.org/officeDocument/2006/relationships/hyperlink" Target="https://www.google.com/url?q=https://cses.fi/111/list/&amp;sa=D&amp;ust=1605639832010000&amp;usg=AFQjCNE3cyJy6JzMFpR0givp0i3mOJm_oA" TargetMode="External"/><Relationship Id="rId1909" Type="http://schemas.openxmlformats.org/officeDocument/2006/relationships/hyperlink" Target="https://www.google.com/url?q=https://github.com/mostafa-saad/MyCompetitiveProgramming/blob/master/Olympiad/IOI/IOIPractice-14-skwishinese-ioi14.txt&amp;sa=D&amp;ust=1605639832511000&amp;usg=AFQjCNEHuPDZ6Ktup4imQHWyVK7QUb4cbQ" TargetMode="External"/><Relationship Id="rId392" Type="http://schemas.openxmlformats.org/officeDocument/2006/relationships/hyperlink" Target="https://www.google.com/url?q=https://github.com/mostafa-saad/MyCompetitiveProgramming/blob/master/Olympiad/CEOI/CEOI-04-Football.txt&amp;sa=D&amp;ust=1605639832073000&amp;usg=AFQjCNHWiqUmbq0PjijTCVmp6qe8mlqXPw" TargetMode="External"/><Relationship Id="rId2073" Type="http://schemas.openxmlformats.org/officeDocument/2006/relationships/hyperlink" Target="https://www.google.com/url?q=https://github.com/dolphingarlic/CompetitiveProgramming/blob/master/JOI/JOI%252020-neckties.cpp&amp;sa=D&amp;ust=1605639832560000&amp;usg=AFQjCNEJs0rGYCvDXufCDC6RoXTRFnkyKA" TargetMode="External"/><Relationship Id="rId2280" Type="http://schemas.openxmlformats.org/officeDocument/2006/relationships/hyperlink" Target="https://www.google.com/url?q=https://dmoj.ca/problem/mwc15c2p2&amp;sa=D&amp;ust=1605639832639000&amp;usg=AFQjCNH2YUK9nvDZeSpVQQyGZtHNBkq3wg" TargetMode="External"/><Relationship Id="rId252" Type="http://schemas.openxmlformats.org/officeDocument/2006/relationships/hyperlink" Target="https://www.google.com/url?q=https://cses.fi/99/list/&amp;sa=D&amp;ust=1605639832028000&amp;usg=AFQjCNFmGJ2C1QROt6L-T8oiF-WF6Yn9dA" TargetMode="External"/><Relationship Id="rId2140" Type="http://schemas.openxmlformats.org/officeDocument/2006/relationships/hyperlink" Target="https://www.google.com/url?q=https://joisc2014.contest.atcoder.jp/tasks/joisc2014_m&amp;sa=D&amp;ust=1605639832589000&amp;usg=AFQjCNFGyJqxJs7Utvt95gKN5dp2zCmKrg" TargetMode="External"/><Relationship Id="rId112" Type="http://schemas.openxmlformats.org/officeDocument/2006/relationships/hyperlink" Target="https://www.google.com/url?q=https://www.acmicpc.net/problem/5251&amp;sa=D&amp;ust=1605639831986000&amp;usg=AFQjCNGoAenrNZMtMYN8SKo3ih09SCoLIg" TargetMode="External"/><Relationship Id="rId1699" Type="http://schemas.openxmlformats.org/officeDocument/2006/relationships/hyperlink" Target="https://www.google.com/url?q=https://contest.yandex.ru/ioi/contest/566/enter/&amp;sa=D&amp;ust=1605639832442000&amp;usg=AFQjCNFUHcUj7gPLiNKQ7tuVAZ4svUHRYw" TargetMode="External"/><Relationship Id="rId2000" Type="http://schemas.openxmlformats.org/officeDocument/2006/relationships/hyperlink" Target="https://www.google.com/url?q=https://oj.uz/problem/view/IZhO18_chessboard&amp;sa=D&amp;ust=1605639832538000&amp;usg=AFQjCNF1BC-5n9D9_79U_awkrlkEY-lBXg" TargetMode="External"/><Relationship Id="rId2957" Type="http://schemas.openxmlformats.org/officeDocument/2006/relationships/hyperlink" Target="https://www.google.com/url?q=https://github.com/zoooma13/Competitive-Programming/blob/master/tallbarn.cpp&amp;sa=D&amp;ust=1605639832839000&amp;usg=AFQjCNHXFffwLfFOdAPVsm0uX2tnP33w_A" TargetMode="External"/><Relationship Id="rId929" Type="http://schemas.openxmlformats.org/officeDocument/2006/relationships/hyperlink" Target="https://www.google.com/url?q=https://github.com/mostafa-saad/MyCompetitiveProgramming/blob/master/Olympiad/COCI/official/2015/contest5_solutions&amp;sa=D&amp;ust=1605639832216000&amp;usg=AFQjCNEZ4-pQpTRbO-y_lVlt3o8XYh-lzg" TargetMode="External"/><Relationship Id="rId1559" Type="http://schemas.openxmlformats.org/officeDocument/2006/relationships/hyperlink" Target="https://www.google.com/url?q=https://www.infoarena.ro/problema/pitici3&amp;sa=D&amp;ust=1605639832400000&amp;usg=AFQjCNGYelIi8Y1U3D69VoTEVivFNnQL4g" TargetMode="External"/><Relationship Id="rId1766" Type="http://schemas.openxmlformats.org/officeDocument/2006/relationships/hyperlink" Target="https://www.google.com/url?q=https://github.com/mostafa-saad/MyCompetitiveProgramming/blob/master/Olympiad/IOI/official/2010&amp;sa=D&amp;ust=1605639832462000&amp;usg=AFQjCNFe-hL6djhZiwyEfkXbfTLFI3wg2Q" TargetMode="External"/><Relationship Id="rId1973" Type="http://schemas.openxmlformats.org/officeDocument/2006/relationships/hyperlink" Target="https://www.google.com/url?q=http://www.spoj.com/problems/MINSUB/&amp;sa=D&amp;ust=1605639832530000&amp;usg=AFQjCNHDgvxp7ehUk6hgwE9jvy_K0BOb1A" TargetMode="External"/><Relationship Id="rId2817" Type="http://schemas.openxmlformats.org/officeDocument/2006/relationships/hyperlink" Target="https://www.google.com/url?q=https://szkopul.edu.pl/problemset/problem/70I-ks8dXjgq3xwzRzLV1w4p/site/&amp;sa=D&amp;ust=1605639832792000&amp;usg=AFQjCNGhnuoB5hza41ChDAbxIlpNj1NISA" TargetMode="External"/><Relationship Id="rId58" Type="http://schemas.openxmlformats.org/officeDocument/2006/relationships/hyperlink" Target="https://www.google.com/url?q=https://oj.uz/problem/view/APIO17_koala&amp;sa=D&amp;ust=1605639831966000&amp;usg=AFQjCNEibN4xzTYEub1oJPMyyoEVu-P3Bw" TargetMode="External"/><Relationship Id="rId1419" Type="http://schemas.openxmlformats.org/officeDocument/2006/relationships/hyperlink" Target="https://www.google.com/url?q=https://infoarena.ro/problema/cate3cifre&amp;sa=D&amp;ust=1605639832356000&amp;usg=AFQjCNFaaLxnmJRNc9Nh6NlGnW6OzSFVvw" TargetMode="External"/><Relationship Id="rId1626" Type="http://schemas.openxmlformats.org/officeDocument/2006/relationships/hyperlink" Target="https://www.google.com/url?q=https://github.com/mostafa-saad/MyCompetitiveProgramming/blob/master/Olympiad/infoarena/infoarena_xreverse.txt&amp;sa=D&amp;ust=1605639832421000&amp;usg=AFQjCNHRgtpxWXCJR85R7rX9oXYmNGGEgQ" TargetMode="External"/><Relationship Id="rId1833" Type="http://schemas.openxmlformats.org/officeDocument/2006/relationships/hyperlink" Target="https://www.google.com/url?q=https://oj.uz/problem/view/IOI15_towns&amp;sa=D&amp;ust=1605639832487000&amp;usg=AFQjCNE7RXD7C-6R7y6CvjWyJTM6IhLfow" TargetMode="External"/><Relationship Id="rId1900" Type="http://schemas.openxmlformats.org/officeDocument/2006/relationships/hyperlink" Target="https://www.google.com/url?q=https://www.hackerrank.com/contests/ioi-2014-practice-contest-1/challenges&amp;sa=D&amp;ust=1605639832508000&amp;usg=AFQjCNEo_ovPL00N6LB7k_IeRnLtxxtzSA" TargetMode="External"/><Relationship Id="rId579" Type="http://schemas.openxmlformats.org/officeDocument/2006/relationships/hyperlink" Target="https://www.google.com/url?q=https://github.com/mostafa-saad/MyCompetitiveProgramming/blob/master/Olympiad/COCI/COCI-06-Ispiti.txt&amp;sa=D&amp;ust=1605639832127000&amp;usg=AFQjCNEGluEpPw41GfDxeVw1S8WGkGra8A" TargetMode="External"/><Relationship Id="rId786" Type="http://schemas.openxmlformats.org/officeDocument/2006/relationships/hyperlink" Target="https://www.google.com/url?q=https://dmoj.ca/problem/coci08c2p4&amp;sa=D&amp;ust=1605639832173000&amp;usg=AFQjCNFjxLmIWUgQyF7GlQiwz3eIVp_fqA" TargetMode="External"/><Relationship Id="rId993" Type="http://schemas.openxmlformats.org/officeDocument/2006/relationships/hyperlink" Target="https://www.google.com/url?q=https://oj.uz/problem/view/COCI15_drzava&amp;sa=D&amp;ust=1605639832232000&amp;usg=AFQjCNEXUlcPHJrGdbEPA6aRe3S3pJno7Q" TargetMode="External"/><Relationship Id="rId2467" Type="http://schemas.openxmlformats.org/officeDocument/2006/relationships/hyperlink" Target="https://www.google.com/url?q=https://dunjudge.me/analysis/problems/1476/&amp;sa=D&amp;ust=1605639832704000&amp;usg=AFQjCNGPFW87TcAreQ95xR0AB9HnAiZHXA" TargetMode="External"/><Relationship Id="rId2674" Type="http://schemas.openxmlformats.org/officeDocument/2006/relationships/hyperlink" Target="https://www.google.com/url?q=https://github.com/Szawinis/CompetitiveProgramming/blob/master/Olympiad/POI/POI11-Rotation2.cpp&amp;sa=D&amp;ust=1605639832752000&amp;usg=AFQjCNHTPatvmrjK_41LnlgYWbiWwxUX9A" TargetMode="External"/><Relationship Id="rId439" Type="http://schemas.openxmlformats.org/officeDocument/2006/relationships/hyperlink" Target="https://www.google.com/url?q=https://cses.fi/190/list/&amp;sa=D&amp;ust=1605639832089000&amp;usg=AFQjCNG67IvjLuMusH9p5z5-jUJ27bsIgg" TargetMode="External"/><Relationship Id="rId646" Type="http://schemas.openxmlformats.org/officeDocument/2006/relationships/hyperlink" Target="https://www.google.com/url?q=https://dmoj.ca/problem/coci07c2p1&amp;sa=D&amp;ust=1605639832141000&amp;usg=AFQjCNGTEID0nQTBZun-RU5wN-3_TqSHmQ" TargetMode="External"/><Relationship Id="rId1069" Type="http://schemas.openxmlformats.org/officeDocument/2006/relationships/hyperlink" Target="https://www.google.com/url?q=https://github.com/mostafa-saad/MyCompetitiveProgramming/blob/master/Olympiad/COCI/official/2018/contest2_solutions&amp;sa=D&amp;ust=1605639832250000&amp;usg=AFQjCNHTMOnfVcYZeRNUPSDUJNDTxRd_rQ" TargetMode="External"/><Relationship Id="rId1276" Type="http://schemas.openxmlformats.org/officeDocument/2006/relationships/hyperlink" Target="https://www.google.com/url?q=https://oj.uz/problem/view/COI17_raspad&amp;sa=D&amp;ust=1605639832318000&amp;usg=AFQjCNHAs1G0rzemOJEVmr6OIsDKGcs8SQ" TargetMode="External"/><Relationship Id="rId1483" Type="http://schemas.openxmlformats.org/officeDocument/2006/relationships/hyperlink" Target="https://www.google.com/url?q=https://github.com/mostafa-saad/MyCompetitiveProgramming/blob/master/Olympiad/infoarena/infoarena-interact.txt&amp;sa=D&amp;ust=1605639832374000&amp;usg=AFQjCNFYVQ-0cBMoc8zl7ny6CaWGrxvSLw" TargetMode="External"/><Relationship Id="rId2327" Type="http://schemas.openxmlformats.org/officeDocument/2006/relationships/hyperlink" Target="https://www.google.com/url?q=https://github.com/mostafa-saad/MyCompetitiveProgramming/blob/master/Olympiad/NOI/official/2011.pptx&amp;sa=D&amp;ust=1605639832653000&amp;usg=AFQjCNFjJRZMEueG8KWon2lP2t3E6s9MZQ" TargetMode="External"/><Relationship Id="rId2881" Type="http://schemas.openxmlformats.org/officeDocument/2006/relationships/hyperlink" Target="https://www.google.com/url?q=https://csacademy.com/contest/round-80/task/towns/&amp;sa=D&amp;ust=1605639832814000&amp;usg=AFQjCNG2dV3ubE7gRgS76PhtY59LV8v2hA" TargetMode="External"/><Relationship Id="rId506" Type="http://schemas.openxmlformats.org/officeDocument/2006/relationships/hyperlink" Target="https://www.google.com/url?q=https://github.com/luciocf/OI-Problems/blob/master/CEOI/CEOI%25202015/potemkin.cpp&amp;sa=D&amp;ust=1605639832108000&amp;usg=AFQjCNEj9XDG4BPzSfI7gGwKdBrVC0u_5Q" TargetMode="External"/><Relationship Id="rId853" Type="http://schemas.openxmlformats.org/officeDocument/2006/relationships/hyperlink" Target="https://www.google.com/url?q=https://dunjudge.me/analysis/problems/153/&amp;sa=D&amp;ust=1605639832195000&amp;usg=AFQjCNFdrWQOCRKW5BqTg9a3WBXGFlrIYQ" TargetMode="External"/><Relationship Id="rId1136" Type="http://schemas.openxmlformats.org/officeDocument/2006/relationships/hyperlink" Target="https://www.google.com/url?q=https://github.com/luciocf/OI-Problems/blob/master/COCI/COCI%25202017-2018/cover.cpp&amp;sa=D&amp;ust=1605639832270000&amp;usg=AFQjCNFf2or9mL5UhEL8dXWzdPJvk3Ayuw" TargetMode="External"/><Relationship Id="rId1690" Type="http://schemas.openxmlformats.org/officeDocument/2006/relationships/hyperlink" Target="https://www.google.com/url?q=https://github.com/mostafa-saad/MyCompetitiveProgramming/blob/master/Olympiad/IOI/IOI-04-farmer.txt&amp;sa=D&amp;ust=1605639832441000&amp;usg=AFQjCNHj_gUtqNsCAW97kCbhsjRCGOg-pA" TargetMode="External"/><Relationship Id="rId2534" Type="http://schemas.openxmlformats.org/officeDocument/2006/relationships/hyperlink" Target="https://www.google.com/url?q=https://github.com/mostafa-saad/MyCompetitiveProgramming/blob/master/Olympiad/POI/POI-06-Aesthetics.txt&amp;sa=D&amp;ust=1605639832722000&amp;usg=AFQjCNG5SprsVSouJsNXddsE9cG8xKtf-g" TargetMode="External"/><Relationship Id="rId2741" Type="http://schemas.openxmlformats.org/officeDocument/2006/relationships/hyperlink" Target="https://www.google.com/url?q=https://szkopul.edu.pl/problemset/problem/APWi6y6XTt5ujve8ynI_FNJ1/site/&amp;sa=D&amp;ust=1605639832766000&amp;usg=AFQjCNFUgvQ7XmRvr2up_cyPbj0xxf9hzg" TargetMode="External"/><Relationship Id="rId713" Type="http://schemas.openxmlformats.org/officeDocument/2006/relationships/hyperlink" Target="https://www.google.com/url?q=https://github.com/mostafa-saad/MyCompetitiveProgramming/tree/master/Olympiad/COCI/official/2008/contest2_solutions&amp;sa=D&amp;ust=1605639832155000&amp;usg=AFQjCNFsFaXHbq735l7cagRmGE32bzp9Vg" TargetMode="External"/><Relationship Id="rId920" Type="http://schemas.openxmlformats.org/officeDocument/2006/relationships/hyperlink" Target="https://www.google.com/url?q=https://github.com/mostafa-saad/MyCompetitiveProgramming/blob/master/Olympiad/COCI/COCI-14-bob.txt&amp;sa=D&amp;ust=1605639832214000&amp;usg=AFQjCNGkzhkSCb2iCr7hZ1L7M1Im8Caamw" TargetMode="External"/><Relationship Id="rId1343" Type="http://schemas.openxmlformats.org/officeDocument/2006/relationships/hyperlink" Target="https://www.google.com/url?q=https://codeforces.com/group/swEqtABRxe/contest/243430/problem/A&amp;sa=D&amp;ust=1605639832338000&amp;usg=AFQjCNHY61ai4JMAhTpDH7fGb4W06iSQHw" TargetMode="External"/><Relationship Id="rId1550" Type="http://schemas.openxmlformats.org/officeDocument/2006/relationships/hyperlink" Target="https://www.google.com/url?q=https://www.infoarena.ro/problema/perioada&amp;sa=D&amp;ust=1605639832396000&amp;usg=AFQjCNFdPeer5tjfd_HqWKnHY6oJA7qN9A" TargetMode="External"/><Relationship Id="rId2601" Type="http://schemas.openxmlformats.org/officeDocument/2006/relationships/hyperlink" Target="https://www.google.com/url?q=https://szkopul.edu.pl/problemset/problem/-MwFkVBU5fdldohfNl-xSjHa/site/&amp;sa=D&amp;ust=1605639832738000&amp;usg=AFQjCNG356uqpzaedsdvKkJPHGWarK-vJg" TargetMode="External"/><Relationship Id="rId1203" Type="http://schemas.openxmlformats.org/officeDocument/2006/relationships/hyperlink" Target="https://www.google.com/url?q=https://wcipeg.com/problem/coi07p1&amp;sa=D&amp;ust=1605639832299000&amp;usg=AFQjCNFgRFuKUy0lEZfqOalhfa0f5Q-0LQ" TargetMode="External"/><Relationship Id="rId1410" Type="http://schemas.openxmlformats.org/officeDocument/2006/relationships/hyperlink" Target="https://www.google.com/url?q=https://www.infoarena.ro/problema/bvarcolaci&amp;sa=D&amp;ust=1605639832354000&amp;usg=AFQjCNHWdURpOSglALybz7p2CtUtRn1ETg" TargetMode="External"/><Relationship Id="rId296" Type="http://schemas.openxmlformats.org/officeDocument/2006/relationships/hyperlink" Target="https://www.google.com/url?q=https://github.com/mostafa-saad/MyCompetitiveProgramming/blob/master/Olympiad/Baltic/Baltic-16-park.txt&amp;sa=D&amp;ust=1605639832038000&amp;usg=AFQjCNGsYv5gs2GX3k5_gwZSqa4b2SPA6Q" TargetMode="External"/><Relationship Id="rId2184" Type="http://schemas.openxmlformats.org/officeDocument/2006/relationships/hyperlink" Target="https://www.google.com/url?q=https://oj.uz/problem/view/JOI17_long_mansion&amp;sa=D&amp;ust=1605639832607000&amp;usg=AFQjCNGZXAiO7u2SKUQdepFmyxz4Qc3-Kg" TargetMode="External"/><Relationship Id="rId2391" Type="http://schemas.openxmlformats.org/officeDocument/2006/relationships/hyperlink" Target="https://www.google.com/url?q=https://dunjudge.me/analysis/problems/1826/&amp;sa=D&amp;ust=1605639832670000&amp;usg=AFQjCNEPCE2NeyWkjHa019JA1-b0swnGQA" TargetMode="External"/><Relationship Id="rId156" Type="http://schemas.openxmlformats.org/officeDocument/2006/relationships/hyperlink" Target="https://www.google.com/url?q=https://github.com/mostafa-saad/MyCompetitiveProgramming/blob/master/Olympiad/Baltic/official/boi2005_solutions&amp;sa=D&amp;ust=1605639832002000&amp;usg=AFQjCNGNLRRBiGNXGUQPsuyWc0xt6oMPIQ" TargetMode="External"/><Relationship Id="rId363" Type="http://schemas.openxmlformats.org/officeDocument/2006/relationships/hyperlink" Target="https://www.google.com/url?q=https://dmoj.ca/contest/cco18d1&amp;sa=D&amp;ust=1605639832056000&amp;usg=AFQjCNEBZZvtLe6g3M9xt3L5o7xIbTB-7A" TargetMode="External"/><Relationship Id="rId570" Type="http://schemas.openxmlformats.org/officeDocument/2006/relationships/hyperlink" Target="https://www.google.com/url?q=https://dmoj.ca/problem/coci06c1p6&amp;sa=D&amp;ust=1605639832124000&amp;usg=AFQjCNHunttQMA990W4WxKFkw15Oi1cFKQ" TargetMode="External"/><Relationship Id="rId2044" Type="http://schemas.openxmlformats.org/officeDocument/2006/relationships/hyperlink" Target="https://www.google.com/url?q=https://github.com/stefdasca/CompetitiveProgramming/blob/master/JOI/JOI%252017-joioi.cpp&amp;sa=D&amp;ust=1605639832552000&amp;usg=AFQjCNEu5zRW0Si-i1NdsGAgHkgEqAFmsg" TargetMode="External"/><Relationship Id="rId2251" Type="http://schemas.openxmlformats.org/officeDocument/2006/relationships/hyperlink" Target="https://www.google.com/url?q=https://dunjudge.me/analysis/problems/959/&amp;sa=D&amp;ust=1605639832630000&amp;usg=AFQjCNFVegafNwoP48gF4TLTDgrQna8b0A" TargetMode="External"/><Relationship Id="rId223" Type="http://schemas.openxmlformats.org/officeDocument/2006/relationships/hyperlink" Target="https://www.google.com/url?q=https://cses.fi/105/list/&amp;sa=D&amp;ust=1605639832022000&amp;usg=AFQjCNGUIs2aCzHXLVGwmWc8SUDYIF7-Eg" TargetMode="External"/><Relationship Id="rId430" Type="http://schemas.openxmlformats.org/officeDocument/2006/relationships/hyperlink" Target="https://www.google.com/url?q=https://github.com/mostafa-saad/MyCompetitiveProgramming/blob/master/Olympiad/CEOI/CEOI-08-Dominance.txt&amp;sa=D&amp;ust=1605639832086000&amp;usg=AFQjCNEbKMEJ2nC5l3NtgIxSwaQwLv05gg" TargetMode="External"/><Relationship Id="rId1060" Type="http://schemas.openxmlformats.org/officeDocument/2006/relationships/hyperlink" Target="https://www.google.com/url?q=https://oj.uz/problem/view/COCI17_baza&amp;sa=D&amp;ust=1605639832248000&amp;usg=AFQjCNFIPxDbP5prnotgUFzsGCP2wx2REQ" TargetMode="External"/><Relationship Id="rId2111" Type="http://schemas.openxmlformats.org/officeDocument/2006/relationships/hyperlink" Target="https://www.google.com/url?q=https://oj.uz/problems/source/351&amp;sa=D&amp;ust=1605639832572000&amp;usg=AFQjCNFiychgQVVYhqpXZdHy9Z1gpBy_pw" TargetMode="External"/><Relationship Id="rId1877" Type="http://schemas.openxmlformats.org/officeDocument/2006/relationships/hyperlink" Target="https://www.google.com/url?q=https://github.com/nikolapesic2802/Programming-Practice/blob/master/Seats/IOI%25202018%2520Seats.txt&amp;sa=D&amp;ust=1605639832501000&amp;usg=AFQjCNGf70cX5htrzPmQnQ5HOw3ZIgwN6w" TargetMode="External"/><Relationship Id="rId2928" Type="http://schemas.openxmlformats.org/officeDocument/2006/relationships/hyperlink" Target="https://www.google.com/url?q=http://usaco.org/index.php?page%3Dviewproblem2%26cpid%3D576&amp;sa=D&amp;ust=1605639832829000&amp;usg=AFQjCNFofmP6vNa1Ngw7CHyrj8JuET6w8g" TargetMode="External"/><Relationship Id="rId1737" Type="http://schemas.openxmlformats.org/officeDocument/2006/relationships/hyperlink" Target="https://www.google.com/url?q=https://oj.uz/problem/view/IOI08_linear_garden&amp;sa=D&amp;ust=1605639832454000&amp;usg=AFQjCNHqPHVZwJcH3SbI3qVpB-QnKa-AJw" TargetMode="External"/><Relationship Id="rId1944" Type="http://schemas.openxmlformats.org/officeDocument/2006/relationships/hyperlink" Target="https://www.google.com/url?q=https://github.com/tmwilliamlin168/CompetitiveProgramming/blob/master/IOI/19P-Packing.cpp&amp;sa=D&amp;ust=1605639832522000&amp;usg=AFQjCNGx_qzzTNdkBiT9zxKsztyAeBVoGg" TargetMode="External"/><Relationship Id="rId29" Type="http://schemas.openxmlformats.org/officeDocument/2006/relationships/hyperlink" Target="https://www.google.com/url?q=https://github.com/mostafa-saad/MyCompetitiveProgramming/blob/master/Olympiad/APIO/APIO-11-Path.txt&amp;sa=D&amp;ust=1605639831959000&amp;usg=AFQjCNFJireJdoTCYzSyF3ml26EXWL4F5g" TargetMode="External"/><Relationship Id="rId1804" Type="http://schemas.openxmlformats.org/officeDocument/2006/relationships/hyperlink" Target="https://www.google.com/url?q=https://github.com/MohamedAhmed04/Competitive-programming/blob/master/IOI/IOI%25202013-Dreaming.cpp&amp;sa=D&amp;ust=1605639832476000&amp;usg=AFQjCNFXaBghulB8vcI_OPsdmIApV0C2UA" TargetMode="External"/><Relationship Id="rId897" Type="http://schemas.openxmlformats.org/officeDocument/2006/relationships/hyperlink" Target="https://www.google.com/url?q=https://dunjudge.me/analysis/problems/1417/&amp;sa=D&amp;ust=1605639832208000&amp;usg=AFQjCNGIxGrnPCC2Or1GdrNr3A3Ug3pbeg" TargetMode="External"/><Relationship Id="rId2578" Type="http://schemas.openxmlformats.org/officeDocument/2006/relationships/hyperlink" Target="https://www.google.com/url?q=https://github.com/mostafa-saad/MyCompetitiveProgramming/blob/master/Olympiad/POI/official/find_editorial_sols_guidelines.txt&amp;sa=D&amp;ust=1605639832733000&amp;usg=AFQjCNG-3-jDXrCBsl_z8WgUA_CJ2oBMkQ" TargetMode="External"/><Relationship Id="rId2785" Type="http://schemas.openxmlformats.org/officeDocument/2006/relationships/hyperlink" Target="https://www.google.com/url?q=https://szkopul.edu.pl/problemset/problem/07Q0fFk7fU2TmGr6wpPeDCZj/site/&amp;sa=D&amp;ust=1605639832782000&amp;usg=AFQjCNGd8byfsztSx4_4XXayCrFXmBpk2g" TargetMode="External"/><Relationship Id="rId2992" Type="http://schemas.openxmlformats.org/officeDocument/2006/relationships/hyperlink" Target="https://www.google.com/url?q=https://github.com/ihdignite/CompetitiveProgramming/blob/master/USACO/1819_3P/Mowing.cpp&amp;sa=D&amp;ust=1605639832863000&amp;usg=AFQjCNEzNCjm92GIIAA_fQIv72ZTFMN4VQ" TargetMode="External"/><Relationship Id="rId757" Type="http://schemas.openxmlformats.org/officeDocument/2006/relationships/hyperlink" Target="https://www.google.com/url?q=https://github.com/mostafa-saad/MyCompetitiveProgramming/blob/master/Olympiad/COCI/official/2009/contest4_solutions&amp;sa=D&amp;ust=1605639832164000&amp;usg=AFQjCNEwQdKdU1oHaZAxtrCZmiZ5OVcRcQ" TargetMode="External"/><Relationship Id="rId964" Type="http://schemas.openxmlformats.org/officeDocument/2006/relationships/hyperlink" Target="https://www.google.com/url?q=https://github.com/mostafa-saad/MyCompetitiveProgramming/blob/master/Olympiad/COCI/COCI-14-Sabor.txt&amp;sa=D&amp;ust=1605639832224000&amp;usg=AFQjCNF4iVW0XWU-dSOnlgeklq9hdCdsUA" TargetMode="External"/><Relationship Id="rId1387" Type="http://schemas.openxmlformats.org/officeDocument/2006/relationships/hyperlink" Target="https://www.google.com/url?q=https://github.com/mostafa-saad/MyCompetitiveProgramming/blob/master/Olympiad/infoarena/amici2-statement.txt&amp;sa=D&amp;ust=1605639832349000&amp;usg=AFQjCNHXLBe2CSqqtVsLYMPweRICKypS_Q" TargetMode="External"/><Relationship Id="rId1594" Type="http://schemas.openxmlformats.org/officeDocument/2006/relationships/hyperlink" Target="https://www.google.com/url?q=https://github.com/mostafa-saad/MyCompetitiveProgramming/blob/master/Olympiad/infoarena/infoarena_shgraf.txt&amp;sa=D&amp;ust=1605639832412000&amp;usg=AFQjCNHZO8aTMB34mDocghKrcLpycivoeA" TargetMode="External"/><Relationship Id="rId2438" Type="http://schemas.openxmlformats.org/officeDocument/2006/relationships/hyperlink" Target="https://www.google.com/url?q=https://dunjudge.me/analysis/problems/675/&amp;sa=D&amp;ust=1605639832691000&amp;usg=AFQjCNGe_-aCjYRm4YEycPK8V9G4mQD5VQ" TargetMode="External"/><Relationship Id="rId2645" Type="http://schemas.openxmlformats.org/officeDocument/2006/relationships/hyperlink" Target="https://www.google.com/url?q=https://szkopul.edu.pl/problemset/problem/TJVrS_hRC8W5Q6ZBW6mETAIm/site/&amp;sa=D&amp;ust=1605639832747000&amp;usg=AFQjCNHA_6ZtaaX_Gr8rlvNYCbXdym-oPg" TargetMode="External"/><Relationship Id="rId2852" Type="http://schemas.openxmlformats.org/officeDocument/2006/relationships/hyperlink" Target="https://www.google.com/url?q=https://szkopul.edu.pl/problemset/problem/URPMk7vthz60i1J3MT3XbIIO/site/&amp;sa=D&amp;ust=1605639832804000&amp;usg=AFQjCNHHStubA4nyhfgn-6jSHYthgaL9BQ" TargetMode="External"/><Relationship Id="rId93" Type="http://schemas.openxmlformats.org/officeDocument/2006/relationships/hyperlink" Target="https://www.google.com/url?q=https://oj.uz/problem/view/balkan11_cmp&amp;sa=D&amp;ust=1605639831980000&amp;usg=AFQjCNGiC8f3itQtGPdTAMYm4PAyJICHrA" TargetMode="External"/><Relationship Id="rId617" Type="http://schemas.openxmlformats.org/officeDocument/2006/relationships/hyperlink" Target="https://www.google.com/url?q=https://github.com/mostafa-saad/MyCompetitiveProgramming/tree/master/Olympiad/COCI/official/2007/contest2_solutions&amp;sa=D&amp;ust=1605639832135000&amp;usg=AFQjCNHjZoQmsYuDP8n9LcP2C-Zcle8YYA" TargetMode="External"/><Relationship Id="rId824" Type="http://schemas.openxmlformats.org/officeDocument/2006/relationships/hyperlink" Target="https://www.google.com/url?q=https://github.com/mostafa-saad/MyCompetitiveProgramming/blob/master/Olympiad/COCI/official/2010/contest5_solutions&amp;sa=D&amp;ust=1605639832185000&amp;usg=AFQjCNHYmG9LpSvTJPYwoE_v-4jHUGx8DQ" TargetMode="External"/><Relationship Id="rId1247" Type="http://schemas.openxmlformats.org/officeDocument/2006/relationships/hyperlink" Target="https://www.google.com/url?q=https://github.com/mostafa-saad/MyCompetitiveProgramming/tree/master/Olympiad/COI/official/2014&amp;sa=D&amp;ust=1605639832313000&amp;usg=AFQjCNHaipJ_NblrNOGD_tbids9qcPy-NQ" TargetMode="External"/><Relationship Id="rId1454" Type="http://schemas.openxmlformats.org/officeDocument/2006/relationships/hyperlink" Target="https://www.google.com/url?q=https://github.com/mostafa-saad/MyCompetitiveProgramming/blob/master/Olympiad/infoarena/infoarena_deletegcd.txt&amp;sa=D&amp;ust=1605639832364000&amp;usg=AFQjCNEhv11MKIqijStiuNDRFbpzLxJ0Dw" TargetMode="External"/><Relationship Id="rId1661" Type="http://schemas.openxmlformats.org/officeDocument/2006/relationships/hyperlink" Target="https://www.google.com/url?q=http://poj.org/problem?id%3D1196&amp;sa=D&amp;ust=1605639832432000&amp;usg=AFQjCNE8XSiBrqlagwb68D7KivcZI3yLnw" TargetMode="External"/><Relationship Id="rId2505" Type="http://schemas.openxmlformats.org/officeDocument/2006/relationships/hyperlink" Target="https://www.google.com/url?q=https://szkopul.edu.pl/problemset/problem/klvaggzD-q4Acz_WLtkn0JXJ/site/&amp;sa=D&amp;ust=1605639832715000&amp;usg=AFQjCNHq7qwXOi3NU7eUgMxqiY5ftoYh9Q" TargetMode="External"/><Relationship Id="rId2712" Type="http://schemas.openxmlformats.org/officeDocument/2006/relationships/hyperlink" Target="https://www.google.com/url?q=https://github.com/mostafa-saad/MyCompetitiveProgramming/blob/master/Olympiad/POI/official/find_editorial_sols_guidelines.txt&amp;sa=D&amp;ust=1605639832759000&amp;usg=AFQjCNHIMJzGUfikQplL92bk6hFLEYeMWA" TargetMode="External"/><Relationship Id="rId1107" Type="http://schemas.openxmlformats.org/officeDocument/2006/relationships/hyperlink" Target="https://www.google.com/url?q=https://github.com/mostafa-saad/MyCompetitiveProgramming/blob/master/Olympiad/COCI/official/2017/contest4_solutions&amp;sa=D&amp;ust=1605639832261000&amp;usg=AFQjCNE3AUBy6FLyukTlLYzBk8AxmRgolg" TargetMode="External"/><Relationship Id="rId1314" Type="http://schemas.openxmlformats.org/officeDocument/2006/relationships/hyperlink" Target="https://www.google.com/url?q=https://dmoj.ca/problem/bf3hard&amp;sa=D&amp;ust=1605639832329000&amp;usg=AFQjCNHUuC8QPgh_XwfUhWqaYq4jOBZh7Q" TargetMode="External"/><Relationship Id="rId1521" Type="http://schemas.openxmlformats.org/officeDocument/2006/relationships/hyperlink" Target="https://www.google.com/url?q=https://github.com/stefdasca/CompetitiveProgramming/blob/master/Infoarena/minim2.cpp&amp;sa=D&amp;ust=1605639832386000&amp;usg=AFQjCNHgftMUV6jwqR-Q8xIS_NmAc2dolA" TargetMode="External"/><Relationship Id="rId20" Type="http://schemas.openxmlformats.org/officeDocument/2006/relationships/hyperlink" Target="https://www.google.com/url?q=https://github.com/timpostuvan/CompetitiveProgramming/blob/master/Olympiad/APIO/Commando2010.cpp&amp;sa=D&amp;ust=1605639831957000&amp;usg=AFQjCNHmvYPYtuTyJXQJXr2iq2QI3BVi3A" TargetMode="External"/><Relationship Id="rId2088" Type="http://schemas.openxmlformats.org/officeDocument/2006/relationships/hyperlink" Target="https://www.google.com/url?q=https://github.com/Yehezkiel01/CompetitiveProgramming/blob/master/JOIOC/JOIOC-14-secret.cpp&amp;sa=D&amp;ust=1605639832564000&amp;usg=AFQjCNEPNhb9bwTiju7o83YksuRwjh4JSg" TargetMode="External"/><Relationship Id="rId2295" Type="http://schemas.openxmlformats.org/officeDocument/2006/relationships/hyperlink" Target="https://www.google.com/url?q=https://dunjudge.me/analysis/problems/108/&amp;sa=D&amp;ust=1605639832645000&amp;usg=AFQjCNEfE2Bri5zH9kffny8WSshpPPeFgQ" TargetMode="External"/><Relationship Id="rId267" Type="http://schemas.openxmlformats.org/officeDocument/2006/relationships/hyperlink" Target="https://www.google.com/url?q=https://oj.uz/problem/view/BOI14_demarcation&amp;sa=D&amp;ust=1605639832032000&amp;usg=AFQjCNHnBaC1jtqX-DRS5ClNJqxS0fZrfA" TargetMode="External"/><Relationship Id="rId474" Type="http://schemas.openxmlformats.org/officeDocument/2006/relationships/hyperlink" Target="https://www.google.com/url?q=https://oj.uz/problem/view/CEOI12_highway&amp;sa=D&amp;ust=1605639832099000&amp;usg=AFQjCNFp51SDqiEe0SKtQJc1EmpNNmUcAw" TargetMode="External"/><Relationship Id="rId2155" Type="http://schemas.openxmlformats.org/officeDocument/2006/relationships/hyperlink" Target="https://www.google.com/url?q=https://joisc2015.contest.atcoder.jp/tasks/joisc2015_g&amp;sa=D&amp;ust=1605639832595000&amp;usg=AFQjCNFWbmQot8OesJiweFftGkES58gbvA" TargetMode="External"/><Relationship Id="rId127" Type="http://schemas.openxmlformats.org/officeDocument/2006/relationships/hyperlink" Target="https://www.google.com/url?q=https://github.com/mostafa-saad/MyCompetitiveProgramming/blob/master/Olympiad/Balkan/Balkan-16-Conference.txt&amp;sa=D&amp;ust=1605639831992000&amp;usg=AFQjCNFeXJmrBlGnPIRyNi38p4UGzqz8Vw" TargetMode="External"/><Relationship Id="rId681" Type="http://schemas.openxmlformats.org/officeDocument/2006/relationships/hyperlink" Target="https://www.google.com/url?q=https://github.com/mostafa-saad/MyCompetitiveProgramming/tree/master/Olympiad/COCI/official/2008/contest3_solutions&amp;sa=D&amp;ust=1605639832149000&amp;usg=AFQjCNEFv6avyjnFuDJ-PmG2lFiAmQ81ow" TargetMode="External"/><Relationship Id="rId2362" Type="http://schemas.openxmlformats.org/officeDocument/2006/relationships/hyperlink" Target="https://www.google.com/url?q=https://github.com/mostafa-saad/MyCompetitiveProgramming/blob/master/Olympiad/NOI/official&amp;sa=D&amp;ust=1605639832661000&amp;usg=AFQjCNE8MucSuBHA59Vj6oGM0HI8ITFLRg" TargetMode="External"/><Relationship Id="rId334" Type="http://schemas.openxmlformats.org/officeDocument/2006/relationships/hyperlink" Target="https://www.google.com/url?q=https://github.com/mostafa-saad/MyCompetitiveProgramming/blob/master/Olympiad/Baltic/Baltic-19-olympiads.txt&amp;sa=D&amp;ust=1605639832047000&amp;usg=AFQjCNGbj2N5JVSzkBJrSiz_SBtG8e63mQ" TargetMode="External"/><Relationship Id="rId541" Type="http://schemas.openxmlformats.org/officeDocument/2006/relationships/hyperlink" Target="https://www.google.com/url?q=https://csacademy.com/contest/ceoi-2018-day-1/task/lottery/&amp;sa=D&amp;ust=1605639832118000&amp;usg=AFQjCNG1i3T2QeG39BT6lU1Wfml7osbkCA" TargetMode="External"/><Relationship Id="rId1171" Type="http://schemas.openxmlformats.org/officeDocument/2006/relationships/hyperlink" Target="https://www.google.com/url?q=https://oj.uz/problem/view/COCI19_lun&amp;sa=D&amp;ust=1605639832284000&amp;usg=AFQjCNEHieprUCjCJJbQl1U4KJQF1Kaq4A" TargetMode="External"/><Relationship Id="rId2015" Type="http://schemas.openxmlformats.org/officeDocument/2006/relationships/hyperlink" Target="https://www.google.com/url?q=https://oj.uz/problem/view/IZhO19_xorsum&amp;sa=D&amp;ust=1605639832543000&amp;usg=AFQjCNFYTuPa94UbbRLmDJaiuD5FPKwOAA" TargetMode="External"/><Relationship Id="rId2222" Type="http://schemas.openxmlformats.org/officeDocument/2006/relationships/hyperlink" Target="https://www.google.com/url?q=https://oj.uz/problem/view/JOI19_lamps&amp;sa=D&amp;ust=1605639832620000&amp;usg=AFQjCNHXn_Y0xvsLm5dxFwcHHXDan5KHhA" TargetMode="External"/><Relationship Id="rId401" Type="http://schemas.openxmlformats.org/officeDocument/2006/relationships/hyperlink" Target="https://www.google.com/url?q=https://cses.fi/192/list/&amp;sa=D&amp;ust=1605639832076000&amp;usg=AFQjCNEyB53BCTA5jHa1IH6eVNsLsZXQiQ" TargetMode="External"/><Relationship Id="rId1031" Type="http://schemas.openxmlformats.org/officeDocument/2006/relationships/hyperlink" Target="https://www.google.com/url?q=https://github.com/mostafa-saad/MyCompetitiveProgramming/blob/master/Olympiad/COCI/official/2017/contest1_solutions&amp;sa=D&amp;ust=1605639832241000&amp;usg=AFQjCNF_a0ncc3i2IMMlxQib4P4LAMLsig" TargetMode="External"/><Relationship Id="rId1988" Type="http://schemas.openxmlformats.org/officeDocument/2006/relationships/hyperlink" Target="https://www.google.com/url?q=https://oj.uz/problem/view/IZhO14_ufo&amp;sa=D&amp;ust=1605639832535000&amp;usg=AFQjCNEyZtJ4PWYKlCqCc8xe7oLvn5JsVw" TargetMode="External"/><Relationship Id="rId1848" Type="http://schemas.openxmlformats.org/officeDocument/2006/relationships/hyperlink" Target="https://www.google.com/url?q=https://github.com/mostafa-saad/MyCompetitiveProgramming/blob/master/Olympiad/IOI/official/2016&amp;sa=D&amp;ust=1605639832491000&amp;usg=AFQjCNGtcodmGHG_z32If3MPY1hXrPbBeQ" TargetMode="External"/><Relationship Id="rId191" Type="http://schemas.openxmlformats.org/officeDocument/2006/relationships/hyperlink" Target="https://www.google.com/url?q=https://cses.fi/113/list/&amp;sa=D&amp;ust=1605639832013000&amp;usg=AFQjCNHduE7COXHx-iQHGkovWhXwWEWc9A" TargetMode="External"/><Relationship Id="rId1708" Type="http://schemas.openxmlformats.org/officeDocument/2006/relationships/hyperlink" Target="https://www.google.com/url?q=https://github.com/mostafa-saad/MyCompetitiveProgramming/blob/master/Olympiad/IOI/IOI-05-rivers.txt&amp;sa=D&amp;ust=1605639832445000&amp;usg=AFQjCNH8qxzk6icn0A9ETtamLRUsWSYPfw" TargetMode="External"/><Relationship Id="rId1915" Type="http://schemas.openxmlformats.org/officeDocument/2006/relationships/hyperlink" Target="https://www.google.com/url?q=https://github.com/updown2/OI-Practice/blob/master/IOI/IOI%25202014/World%2520Peace%2520%255BPractice%255D.cpp&amp;sa=D&amp;ust=1605639832512000&amp;usg=AFQjCNGPOP3lh034uWuV0foxc3-BPXei6w" TargetMode="External"/><Relationship Id="rId2689" Type="http://schemas.openxmlformats.org/officeDocument/2006/relationships/hyperlink" Target="https://www.google.com/url?q=https://szkopul.edu.pl/problemset/problem/7u_14yXL3mR3mO0seZLusF5U/site/&amp;sa=D&amp;ust=1605639832755000&amp;usg=AFQjCNF9ZQDSLTs_7sYnZf7TJgMS3Vf8tA" TargetMode="External"/><Relationship Id="rId2896" Type="http://schemas.openxmlformats.org/officeDocument/2006/relationships/hyperlink" Target="https://www.google.com/url?q=https://training.ia-toki.org/problemsets/87/problems/445/&amp;sa=D&amp;ust=1605639832819000&amp;usg=AFQjCNEQPVW_fTFtlCN1bEl3l5qb_wgMJQ" TargetMode="External"/><Relationship Id="rId868" Type="http://schemas.openxmlformats.org/officeDocument/2006/relationships/hyperlink" Target="https://www.google.com/url?q=https://github.com/mostafa-saad/MyCompetitiveProgramming/blob/master/Olympiad/COCI/COCI-09-Zuma.txt&amp;sa=D&amp;ust=1605639832199000&amp;usg=AFQjCNFx_d3h9dplrptwfETNq_QCcisz3A" TargetMode="External"/><Relationship Id="rId1498" Type="http://schemas.openxmlformats.org/officeDocument/2006/relationships/hyperlink" Target="https://www.google.com/url?q=https://www.infoarena.ro/problema/lautari&amp;sa=D&amp;ust=1605639832379000&amp;usg=AFQjCNFqIPpJwsK1cYSeDP6dL44C74Ompg" TargetMode="External"/><Relationship Id="rId2549" Type="http://schemas.openxmlformats.org/officeDocument/2006/relationships/hyperlink" Target="https://www.google.com/url?q=https://szkopul.edu.pl/problemset/problem/7Tut6VBMo0evZZ34EhdNuuOm/site/&amp;sa=D&amp;ust=1605639832726000&amp;usg=AFQjCNH4fLtZfgAhAy3SPZ8uTmdO89x7HA" TargetMode="External"/><Relationship Id="rId2756" Type="http://schemas.openxmlformats.org/officeDocument/2006/relationships/hyperlink" Target="https://www.google.com/url?q=https://szkopul.edu.pl/problemset/problem/3zwfwt3ZGc2f6NndNgzS3Dfu/site/&amp;sa=D&amp;ust=1605639832772000&amp;usg=AFQjCNFdtBI30qugDBvU3IB7hnEjclYfvQ" TargetMode="External"/><Relationship Id="rId2963" Type="http://schemas.openxmlformats.org/officeDocument/2006/relationships/hyperlink" Target="https://www.google.com/url?q=http://usaco.org/index.php?page%3Dviewproblem2%26cpid%3D862&amp;sa=D&amp;ust=1605639832841000&amp;usg=AFQjCNH7NJo1H9fszrupuMu-61Xk6zhdUg" TargetMode="External"/><Relationship Id="rId728" Type="http://schemas.openxmlformats.org/officeDocument/2006/relationships/hyperlink" Target="https://www.google.com/url?q=https://dmoj.ca/problem/coci08c3p3&amp;sa=D&amp;ust=1605639832158000&amp;usg=AFQjCNEynbTJp6V-bu3eJ_psU8BS4EWYmQ" TargetMode="External"/><Relationship Id="rId935" Type="http://schemas.openxmlformats.org/officeDocument/2006/relationships/hyperlink" Target="https://www.google.com/url?q=https://dmoj.ca/problem/coci14c1p2&amp;sa=D&amp;ust=1605639832217000&amp;usg=AFQjCNGBuTqDc4cRuXeq3zYKWCFzFUd-DA" TargetMode="External"/><Relationship Id="rId1358" Type="http://schemas.openxmlformats.org/officeDocument/2006/relationships/hyperlink" Target="https://www.google.com/url?q=https://oj.uz/problem/view/info1cup17_xorsum&amp;sa=D&amp;ust=1605639832342000&amp;usg=AFQjCNEBJoLwfCa3f29ZvJ4Nl4XgcV88Gw" TargetMode="External"/><Relationship Id="rId1565" Type="http://schemas.openxmlformats.org/officeDocument/2006/relationships/hyperlink" Target="https://www.google.com/url?q=https://infoarena.ro/problema/poarta2&amp;sa=D&amp;ust=1605639832402000&amp;usg=AFQjCNGY8wpAigOEZoGQgGp87RbP_a_X5Q" TargetMode="External"/><Relationship Id="rId1772" Type="http://schemas.openxmlformats.org/officeDocument/2006/relationships/hyperlink" Target="https://www.google.com/url?q=https://github.com/mostafa-saad/MyCompetitiveProgramming/blob/master/Olympiad/IOI/IOI-10-quality.txt&amp;sa=D&amp;ust=1605639832463000&amp;usg=AFQjCNG0yv1A_CyJmilLYAYvf4kwXQ-yXw" TargetMode="External"/><Relationship Id="rId2409" Type="http://schemas.openxmlformats.org/officeDocument/2006/relationships/hyperlink" Target="https://www.google.com/url?q=https://dunjudge.me/analysis/problems/1478/&amp;sa=D&amp;ust=1605639832677000&amp;usg=AFQjCNGB7rIy8QXTPNrcIuDkveyCBI8hCg" TargetMode="External"/><Relationship Id="rId2616" Type="http://schemas.openxmlformats.org/officeDocument/2006/relationships/hyperlink" Target="https://www.google.com/url?q=https://github.com/mostafa-saad/MyCompetitiveProgramming/blob/master/Olympiad/POI/POI-09-Island.txt&amp;sa=D&amp;ust=1605639832740000&amp;usg=AFQjCNH2EdH2HfhbjGuwOxN4z2Tfyyrf5A" TargetMode="External"/><Relationship Id="rId64" Type="http://schemas.openxmlformats.org/officeDocument/2006/relationships/hyperlink" Target="https://www.google.com/url?q=https://oj.uz/problems/source/326&amp;sa=D&amp;ust=1605639831969000&amp;usg=AFQjCNFC3bM3wUVbOMkVt1eS1-LhCb3lwA" TargetMode="External"/><Relationship Id="rId1218" Type="http://schemas.openxmlformats.org/officeDocument/2006/relationships/hyperlink" Target="https://www.google.com/url?q=https://github.com/mostafa-saad/MyCompetitiveProgramming/blob/master/Olympiad/COCI/official/2009/regional_solutions&amp;sa=D&amp;ust=1605639832304000&amp;usg=AFQjCNEMqE0YaVKYEa5LvB6JUyQedQAMZQ" TargetMode="External"/><Relationship Id="rId1425" Type="http://schemas.openxmlformats.org/officeDocument/2006/relationships/hyperlink" Target="https://www.google.com/url?q=https://www.infoarena.ro/problema/cifru&amp;sa=D&amp;ust=1605639832358000&amp;usg=AFQjCNG5yNYyedXTMSXoqScmcH6279OgEQ" TargetMode="External"/><Relationship Id="rId2823" Type="http://schemas.openxmlformats.org/officeDocument/2006/relationships/hyperlink" Target="https://www.google.com/url?q=https://szkopul.edu.pl/problemset/problem/cSnlafnvkbirhnQrS9CQ9MEw/site/&amp;sa=D&amp;ust=1605639832794000&amp;usg=AFQjCNGt_u8LY1gVxT6ntTP_Di5GjKVcGQ" TargetMode="External"/><Relationship Id="rId1632" Type="http://schemas.openxmlformats.org/officeDocument/2006/relationships/hyperlink" Target="https://www.google.com/url?q=https://github.com/stefdasca/CompetitiveProgramming/blob/master/Infoarena/zuma.cpp&amp;sa=D&amp;ust=1605639832423000&amp;usg=AFQjCNGmq-tVIMXT4NKR6Muv2kLdy0pYIg" TargetMode="External"/><Relationship Id="rId2199" Type="http://schemas.openxmlformats.org/officeDocument/2006/relationships/hyperlink" Target="https://www.google.com/url?q=https://github.com/mostafa-saad/MyCompetitiveProgramming/blob/master/Olympiad/JOI/JOISC-18-bitaro.txt&amp;sa=D&amp;ust=1605639832612000&amp;usg=AFQjCNEAHFG-HxL1RKxjsXc_4GbQQaLFBA" TargetMode="External"/><Relationship Id="rId378" Type="http://schemas.openxmlformats.org/officeDocument/2006/relationships/hyperlink" Target="https://www.google.com/url?q=https://www.acmicpc.net/problem/7058&amp;sa=D&amp;ust=1605639832065000&amp;usg=AFQjCNEuKpaQbEYWvkd4ZWjjRmpYMVTrHw" TargetMode="External"/><Relationship Id="rId585" Type="http://schemas.openxmlformats.org/officeDocument/2006/relationships/hyperlink" Target="https://www.google.com/url?q=https://github.com/mostafa-saad/MyCompetitiveProgramming/blob/master/Olympiad/CEOI/COCI-06-Kamen.txt&amp;sa=D&amp;ust=1605639832128000&amp;usg=AFQjCNGaHfmJMSRQXIczFtT0Ol0b-UoNmg" TargetMode="External"/><Relationship Id="rId792" Type="http://schemas.openxmlformats.org/officeDocument/2006/relationships/hyperlink" Target="https://www.google.com/url?q=https://wcipeg.com/problem/coci091p6&amp;sa=D&amp;ust=1605639832174000&amp;usg=AFQjCNFx1TjYqiEWa1yWjgSEvmD-Jq15rQ" TargetMode="External"/><Relationship Id="rId2059" Type="http://schemas.openxmlformats.org/officeDocument/2006/relationships/hyperlink" Target="https://www.google.com/url?q=https://oj.uz/problem/view/JOI19_ho_t1&amp;sa=D&amp;ust=1605639832557000&amp;usg=AFQjCNFwIaCXfvbVLoZiSDguB5WEfmz8xA" TargetMode="External"/><Relationship Id="rId2266" Type="http://schemas.openxmlformats.org/officeDocument/2006/relationships/hyperlink" Target="https://www.google.com/url?q=https://codeforces.com/group/R2SERIff4f/contest/213171/problem/R&amp;sa=D&amp;ust=1605639832635000&amp;usg=AFQjCNG6WOdJNKn_1AGKYEDhd4seU-9Oow" TargetMode="External"/><Relationship Id="rId2473" Type="http://schemas.openxmlformats.org/officeDocument/2006/relationships/hyperlink" Target="https://www.google.com/url?q=https://training.ia-toki.org/problemsets/3/problems/9/&amp;sa=D&amp;ust=1605639832706000&amp;usg=AFQjCNH5RrqAs3BCgaoh3B2cS65mWJwuHg" TargetMode="External"/><Relationship Id="rId2680" Type="http://schemas.openxmlformats.org/officeDocument/2006/relationships/hyperlink" Target="https://www.google.com/url?q=https://github.com/mostafa-saad/MyCompetitiveProgramming/blob/master/Olympiad/POI/POI-11-Sticks.txt&amp;sa=D&amp;ust=1605639832753000&amp;usg=AFQjCNFu8uRR6FGcNhn8srnKEnpHgsQ2gg" TargetMode="External"/><Relationship Id="rId238" Type="http://schemas.openxmlformats.org/officeDocument/2006/relationships/hyperlink" Target="https://www.google.com/url?q=https://github.com/mostafa-saad/MyCompetitiveProgramming/blob/master/Olympiad/Baltic/official/boi2011_solutions&amp;sa=D&amp;ust=1605639832025000&amp;usg=AFQjCNEGFBlbVECZC-fAf0EWmGEKuWrGCw" TargetMode="External"/><Relationship Id="rId445" Type="http://schemas.openxmlformats.org/officeDocument/2006/relationships/hyperlink" Target="https://www.google.com/url?q=https://cses.fi/180/list/&amp;sa=D&amp;ust=1605639832091000&amp;usg=AFQjCNH_pTvuFKQ8Z777BWFh4nQOGgtyYg" TargetMode="External"/><Relationship Id="rId652" Type="http://schemas.openxmlformats.org/officeDocument/2006/relationships/hyperlink" Target="https://www.google.com/url?q=https://dmoj.ca/problem/coci07c1p1&amp;sa=D&amp;ust=1605639832142000&amp;usg=AFQjCNGDUYXA22DmsJReiRFDwiHou8bimQ" TargetMode="External"/><Relationship Id="rId1075" Type="http://schemas.openxmlformats.org/officeDocument/2006/relationships/hyperlink" Target="https://www.google.com/url?q=https://github.com/mostafa-saad/MyCompetitiveProgramming/blob/master/Olympiad/COCI/official/2018/contest1_solutions&amp;sa=D&amp;ust=1605639832253000&amp;usg=AFQjCNEh8fNErZkVEOBDaq34DUaj0s-qlQ" TargetMode="External"/><Relationship Id="rId1282" Type="http://schemas.openxmlformats.org/officeDocument/2006/relationships/hyperlink" Target="https://www.google.com/url?q=https://oj.uz/problem/view/COI18_pick&amp;sa=D&amp;ust=1605639832321000&amp;usg=AFQjCNGZpwgiCiqW6kiX2AiIlX7XFrIZMQ" TargetMode="External"/><Relationship Id="rId2126" Type="http://schemas.openxmlformats.org/officeDocument/2006/relationships/hyperlink" Target="https://www.google.com/url?q=https://joisc2013-day3.contest.atcoder.jp/tasks/joisc2013_mountain&amp;sa=D&amp;ust=1605639832579000&amp;usg=AFQjCNFYY-teEVpi6hyrxPYCp3eZiYhBLw" TargetMode="External"/><Relationship Id="rId2333" Type="http://schemas.openxmlformats.org/officeDocument/2006/relationships/hyperlink" Target="https://www.google.com/url?q=https://github.com/mostafa-saad/MyCompetitiveProgramming/blob/master/Olympiad/NOI/official/2011.pptx&amp;sa=D&amp;ust=1605639832655000&amp;usg=AFQjCNFzuwOjFKR7AJwUGLrNpqPhRQNd_A" TargetMode="External"/><Relationship Id="rId2540" Type="http://schemas.openxmlformats.org/officeDocument/2006/relationships/hyperlink" Target="https://www.google.com/url?q=https://github.com/mostafa-saad/MyCompetitiveProgramming/blob/master/Olympiad/POI/POI-06-Frogs.txt&amp;sa=D&amp;ust=1605639832724000&amp;usg=AFQjCNFaInElEq1fWimUPXHbn5fEgh0VDw" TargetMode="External"/><Relationship Id="rId305" Type="http://schemas.openxmlformats.org/officeDocument/2006/relationships/hyperlink" Target="https://www.google.com/url?q=https://open.kattis.com/problem-sources/Baltic%2520Olympiad%2520in%2520Informatics%25202017%252C%2520Day%25202&amp;sa=D&amp;ust=1605639832040000&amp;usg=AFQjCNF_yhl0-k4j49oP2G_DfsBF2324OQ" TargetMode="External"/><Relationship Id="rId512" Type="http://schemas.openxmlformats.org/officeDocument/2006/relationships/hyperlink" Target="https://www.google.com/url?q=https://oj.uz/problem/view/CEOI16_icc&amp;sa=D&amp;ust=1605639832111000&amp;usg=AFQjCNH6dtgwDXfe8ADaaQCMEgPs6k0hOA" TargetMode="External"/><Relationship Id="rId1142" Type="http://schemas.openxmlformats.org/officeDocument/2006/relationships/hyperlink" Target="https://www.google.com/url?q=https://github.com/mostafa-saad/MyCompetitiveProgramming/blob/master/Olympiad/COCI/COCI-18-karte.txt&amp;sa=D&amp;ust=1605639832272000&amp;usg=AFQjCNFsRDcqtuThc10xn9TLt4pHc4xM_A" TargetMode="External"/><Relationship Id="rId2400" Type="http://schemas.openxmlformats.org/officeDocument/2006/relationships/hyperlink" Target="https://www.google.com/url?q=https://dunjudge.me/analysis/problems/698/&amp;sa=D&amp;ust=1605639832673000&amp;usg=AFQjCNEq9fCKaNwMiIC1dYDbHUumF6yOog" TargetMode="External"/><Relationship Id="rId1002" Type="http://schemas.openxmlformats.org/officeDocument/2006/relationships/hyperlink" Target="https://www.google.com/url?q=https://oj.uz/problem/view/COCI15_karte&amp;sa=D&amp;ust=1605639832234000&amp;usg=AFQjCNFSa2sYrfI9h0Dzlj5D1gEcBwtHwA" TargetMode="External"/><Relationship Id="rId1959" Type="http://schemas.openxmlformats.org/officeDocument/2006/relationships/hyperlink" Target="https://www.google.com/url?q=https://codeforces.com/group/swEqtABRxe/contest/243431/problem/A&amp;sa=D&amp;ust=1605639832525000&amp;usg=AFQjCNHMchSyxDU2bdF1SmOti3yX7G55Xg" TargetMode="External"/><Relationship Id="rId1819" Type="http://schemas.openxmlformats.org/officeDocument/2006/relationships/hyperlink" Target="https://www.google.com/url?q=https://oj.uz/problem/view/IOI14_rail&amp;sa=D&amp;ust=1605639832481000&amp;usg=AFQjCNGzK0x9TtuRfQTkYoW5hFr3DDSROQ" TargetMode="External"/><Relationship Id="rId2190" Type="http://schemas.openxmlformats.org/officeDocument/2006/relationships/hyperlink" Target="https://www.google.com/url?q=https://oj.uz/problem/view/JOI17_railway_trip&amp;sa=D&amp;ust=1605639832609000&amp;usg=AFQjCNGe94Dthpq2C4jlerIZa1BU_toCiA" TargetMode="External"/><Relationship Id="rId162" Type="http://schemas.openxmlformats.org/officeDocument/2006/relationships/hyperlink" Target="https://www.google.com/url?q=https://github.com/mostafa-saad/MyCompetitiveProgramming/blob/master/Olympiad/JOI/Baltic/Baltic-05-Magic.txt&amp;sa=D&amp;ust=1605639832004000&amp;usg=AFQjCNEvw8eCF1EFskpfV7La5N8x9eu65A" TargetMode="External"/><Relationship Id="rId2050" Type="http://schemas.openxmlformats.org/officeDocument/2006/relationships/hyperlink" Target="https://www.google.com/url?q=https://github.com/updown2/OI-Practice/blob/master/JOI/2018/Art.cpp&amp;sa=D&amp;ust=1605639832554000&amp;usg=AFQjCNEOaAk1QJUXBMP8lCv29R5PUXwpEA" TargetMode="External"/><Relationship Id="rId979" Type="http://schemas.openxmlformats.org/officeDocument/2006/relationships/hyperlink" Target="https://www.google.com/url?q=https://oj.uz/problem/view/COCI14_utrka&amp;sa=D&amp;ust=1605639832228000&amp;usg=AFQjCNGFc-Pe10LvJHpxj_IpoCNqjhTchw" TargetMode="External"/><Relationship Id="rId839" Type="http://schemas.openxmlformats.org/officeDocument/2006/relationships/hyperlink" Target="https://www.google.com/url?q=https://wcipeg.com/problem/coci093p5&amp;sa=D&amp;ust=1605639832189000&amp;usg=AFQjCNEyP8f2efWq76gxeMaS1ySO8pYerw" TargetMode="External"/><Relationship Id="rId1469" Type="http://schemas.openxmlformats.org/officeDocument/2006/relationships/hyperlink" Target="https://www.google.com/url?q=https://github.com/mostafa-saad/MyCompetitiveProgramming/blob/master/Olympiad/infoarena/infoarena_fibo4.txt&amp;sa=D&amp;ust=1605639832370000&amp;usg=AFQjCNHNA6K5-yLekQFwMQ0x0Ng1mD5ZUg" TargetMode="External"/><Relationship Id="rId2867" Type="http://schemas.openxmlformats.org/officeDocument/2006/relationships/hyperlink" Target="https://www.google.com/url?q=https://csacademy.com/contest/junior-challenge-2017-day-1/task/palindromic-tree/&amp;sa=D&amp;ust=1605639832809000&amp;usg=AFQjCNEfswifSVvfMOKsR0UVAnTGg_nMkw" TargetMode="External"/><Relationship Id="rId1676" Type="http://schemas.openxmlformats.org/officeDocument/2006/relationships/hyperlink" Target="https://www.google.com/url?q=https://github.com/mostafa-saad/MyCompetitiveProgramming/blob/master/Olympiad/IOI/IOI-03-code.txt&amp;sa=D&amp;ust=1605639832436000&amp;usg=AFQjCNH0FPTEHZ5Pmr-P0ZaXbpaicVay_A" TargetMode="External"/><Relationship Id="rId1883" Type="http://schemas.openxmlformats.org/officeDocument/2006/relationships/hyperlink" Target="https://www.google.com/url?q=https://github.com/mostafa-saad/MyCompetitiveProgramming/blob/master/Olympiad/IOI/IOI-19-rect.txt&amp;sa=D&amp;ust=1605639832502000&amp;usg=AFQjCNFOrRFPGtEMsR2xmam8HwHqN9kZlA" TargetMode="External"/><Relationship Id="rId2727" Type="http://schemas.openxmlformats.org/officeDocument/2006/relationships/hyperlink" Target="https://www.google.com/url?q=https://github.com/mostafa-saad/MyCompetitiveProgramming/blob/master/Olympiad/POI/POI-13-Price.txt&amp;sa=D&amp;ust=1605639832763000&amp;usg=AFQjCNHkwXqlL7IJOpovbodDUTFVzqkGMQ" TargetMode="External"/><Relationship Id="rId2934" Type="http://schemas.openxmlformats.org/officeDocument/2006/relationships/hyperlink" Target="https://www.google.com/url?q=http://usaco.org/index.php?page%3Dviewproblem2%26cpid%3D515&amp;sa=D&amp;ust=1605639832830000&amp;usg=AFQjCNHVRVt8iDALiYt8VlWgdv9tfgTFVQ" TargetMode="External"/><Relationship Id="rId906" Type="http://schemas.openxmlformats.org/officeDocument/2006/relationships/hyperlink" Target="https://www.google.com/url?q=https://github.com/mostafa-saad/MyCompetitiveProgramming/blob/master/Olympiad/COCI/official/2014/contest2_solutions&amp;sa=D&amp;ust=1605639832210000&amp;usg=AFQjCNETH1tgGltDn5Ambu4uqvM9C7V-SA" TargetMode="External"/><Relationship Id="rId1329" Type="http://schemas.openxmlformats.org/officeDocument/2006/relationships/hyperlink" Target="https://www.google.com/url?q=https://dmoj.ca/problem/dmpg15s5&amp;sa=D&amp;ust=1605639832333000&amp;usg=AFQjCNGz8O-CuY43YF6GaGRKcC8-camwKw" TargetMode="External"/><Relationship Id="rId1536" Type="http://schemas.openxmlformats.org/officeDocument/2006/relationships/hyperlink" Target="https://www.google.com/url?q=https://infoarena.ro/problema/overpower&amp;sa=D&amp;ust=1605639832392000&amp;usg=AFQjCNFisG1rkweW9e4gAqJPb6XPOGjapw" TargetMode="External"/><Relationship Id="rId1743" Type="http://schemas.openxmlformats.org/officeDocument/2006/relationships/hyperlink" Target="https://www.google.com/url?q=https://oj.uz/problem/view/IOI08_teleporters&amp;sa=D&amp;ust=1605639832455000&amp;usg=AFQjCNEtKhKz2yRvRea0h42JVsgNRBbpyQ" TargetMode="External"/><Relationship Id="rId1950" Type="http://schemas.openxmlformats.org/officeDocument/2006/relationships/hyperlink" Target="https://www.google.com/url?q=https://ideone.com/gbGHt9&amp;sa=D&amp;ust=1605639832523000&amp;usg=AFQjCNGvgrmtJGIq6RtIwnfGdFVO6lufqQ" TargetMode="External"/><Relationship Id="rId35" Type="http://schemas.openxmlformats.org/officeDocument/2006/relationships/hyperlink" Target="https://www.google.com/url?q=https://oj.uz/problem/view/APIO13_robots&amp;sa=D&amp;ust=1605639831960000&amp;usg=AFQjCNFLd2s0zKOsBEj4exjJ916JhbMQEg" TargetMode="External"/><Relationship Id="rId1603" Type="http://schemas.openxmlformats.org/officeDocument/2006/relationships/hyperlink" Target="https://www.google.com/url?q=https://www.infoarena.ro/problema/ssdj&amp;sa=D&amp;ust=1605639832414000&amp;usg=AFQjCNE3n6MCFxbgmXO8wFANC1A-6z0R0g" TargetMode="External"/><Relationship Id="rId1810" Type="http://schemas.openxmlformats.org/officeDocument/2006/relationships/hyperlink" Target="https://www.google.com/url?q=https://github.com/mostafa-saad/MyCompetitiveProgramming/blob/master/Olympiad/IOI/IOI-13-wombats.txt&amp;sa=D&amp;ust=1605639832478000&amp;usg=AFQjCNGJtXZ8NwWwXTt3cCexk6a0ck4k7Q" TargetMode="External"/><Relationship Id="rId489" Type="http://schemas.openxmlformats.org/officeDocument/2006/relationships/hyperlink" Target="https://www.google.com/url?q=https://github.com/mostafa-saad/MyCompetitiveProgramming/blob/master/Olympiad/CEOI/CEOI-13-treasure2.txt&amp;sa=D&amp;ust=1605639832104000&amp;usg=AFQjCNHsvhBoTKkJi7n1CwYde-XZSdupwQ" TargetMode="External"/><Relationship Id="rId696" Type="http://schemas.openxmlformats.org/officeDocument/2006/relationships/hyperlink" Target="https://www.google.com/url?q=https://dmoj.ca/problem/coci07c1p3&amp;sa=D&amp;ust=1605639832151000&amp;usg=AFQjCNFPRgp20UBPE5OnMWz6zMREktaz2A" TargetMode="External"/><Relationship Id="rId2377" Type="http://schemas.openxmlformats.org/officeDocument/2006/relationships/hyperlink" Target="https://www.google.com/url?q=https://dunjudge.me/analysis/problems/1227/&amp;sa=D&amp;ust=1605639832665000&amp;usg=AFQjCNF1G6SpCzzv6QOeKWB0dNEnlUp8uQ" TargetMode="External"/><Relationship Id="rId2584" Type="http://schemas.openxmlformats.org/officeDocument/2006/relationships/hyperlink" Target="https://www.google.com/url?q=https://github.com/mostafa-saad/MyCompetitiveProgramming/blob/master/Olympiad/POI/POI-08-Mafia.txt&amp;sa=D&amp;ust=1605639832734000&amp;usg=AFQjCNFeu11jYe9pgA_dIkPIcz1Hyz7msQ" TargetMode="External"/><Relationship Id="rId2791" Type="http://schemas.openxmlformats.org/officeDocument/2006/relationships/hyperlink" Target="https://www.google.com/url?q=https://szkopul.edu.pl/problemset/problem/3Kqkgeapr-W-MBprNjUDGICL/site/&amp;sa=D&amp;ust=1605639832783000&amp;usg=AFQjCNHIm2hKBhIL_RLzD6mdyBT2pPl-hg" TargetMode="External"/><Relationship Id="rId349" Type="http://schemas.openxmlformats.org/officeDocument/2006/relationships/hyperlink" Target="https://www.google.com/url?q=https://dmoj.ca/problem/nccc6s2&amp;sa=D&amp;ust=1605639832051000&amp;usg=AFQjCNHPgpfIh4freTgCCVcRFi089GY8aw" TargetMode="External"/><Relationship Id="rId556" Type="http://schemas.openxmlformats.org/officeDocument/2006/relationships/hyperlink" Target="https://www.google.com/url?q=https://codeforces.com/contest/1192/problem/A&amp;sa=D&amp;ust=1605639832122000&amp;usg=AFQjCNEv32uBFupzcq1F942tVEArhrt_0g" TargetMode="External"/><Relationship Id="rId763" Type="http://schemas.openxmlformats.org/officeDocument/2006/relationships/hyperlink" Target="https://www.google.com/url?q=https://github.com/mostafa-saad/MyCompetitiveProgramming/blob/master/Olympiad/COCI/official/2009/contest6_solutions&amp;sa=D&amp;ust=1605639832165000&amp;usg=AFQjCNHBvsS1Cf-p7Mi34SZulVzJmd0QtQ" TargetMode="External"/><Relationship Id="rId1186" Type="http://schemas.openxmlformats.org/officeDocument/2006/relationships/hyperlink" Target="https://www.google.com/url?q=https://github.com/Szawinis/CompetitiveProgramming/blob/master/Olympiad/COCI/COCI18-suncanje.cpp&amp;sa=D&amp;ust=1605639832288000&amp;usg=AFQjCNFc9qjpJw5JHYgU6UqWXqJuudF0CA" TargetMode="External"/><Relationship Id="rId1393" Type="http://schemas.openxmlformats.org/officeDocument/2006/relationships/hyperlink" Target="https://www.google.com/url?q=https://www.infoarena.ro/problema/arb&amp;sa=D&amp;ust=1605639832350000&amp;usg=AFQjCNEaW60cHJrtv4KOGvV4kwiFkB26uw" TargetMode="External"/><Relationship Id="rId2237" Type="http://schemas.openxmlformats.org/officeDocument/2006/relationships/hyperlink" Target="https://www.google.com/url?q=https://dunjudge.me/analysis/problems/553/&amp;sa=D&amp;ust=1605639832626000&amp;usg=AFQjCNGuWIhwU6uhHU1yAm8YWb1wRCmyKw" TargetMode="External"/><Relationship Id="rId2444" Type="http://schemas.openxmlformats.org/officeDocument/2006/relationships/hyperlink" Target="https://www.google.com/url?q=https://dunjudge.me/analysis/problems/932/&amp;sa=D&amp;ust=1605639832693000&amp;usg=AFQjCNHJzu9o-D7_5t35S5lfG7E96yj3Uw" TargetMode="External"/><Relationship Id="rId209" Type="http://schemas.openxmlformats.org/officeDocument/2006/relationships/hyperlink" Target="https://www.google.com/url?q=https://cses.fi/107/list/&amp;sa=D&amp;ust=1605639832017000&amp;usg=AFQjCNG0Qa7q6vm1DX4RKhCjCZRn_OD8dw" TargetMode="External"/><Relationship Id="rId416" Type="http://schemas.openxmlformats.org/officeDocument/2006/relationships/hyperlink" Target="https://www.google.com/url?q=https://github.com/mostafa-saad/MyCompetitiveProgramming/tree/master/Olympiad/CEOI/official/2006&amp;sa=D&amp;ust=1605639832081000&amp;usg=AFQjCNGrl_wjwtXYTTHYktZ1C4jgrys5og" TargetMode="External"/><Relationship Id="rId970" Type="http://schemas.openxmlformats.org/officeDocument/2006/relationships/hyperlink" Target="https://www.google.com/url?q=https://github.com/mostafa-saad/MyCompetitiveProgramming/blob/master/Olympiad/COCI/COCI-14-Stogovi.txt&amp;sa=D&amp;ust=1605639832225000&amp;usg=AFQjCNHccOf7_9C4kQqrbWUl20CyseS_pw" TargetMode="External"/><Relationship Id="rId1046" Type="http://schemas.openxmlformats.org/officeDocument/2006/relationships/hyperlink" Target="https://www.google.com/url?q=https://oj.uz/problem/view/COCI16_prosjecni&amp;sa=D&amp;ust=1605639832245000&amp;usg=AFQjCNHGa6_fwFFRnh_scL68EXlJ0EfeVQ" TargetMode="External"/><Relationship Id="rId1253" Type="http://schemas.openxmlformats.org/officeDocument/2006/relationships/hyperlink" Target="https://www.google.com/url?q=https://github.com/mostafa-saad/MyCompetitiveProgramming/tree/master/Olympiad/COI/official/2015&amp;sa=D&amp;ust=1605639832314000&amp;usg=AFQjCNFcFPcl_xsFkwUJhFuPH57PNcG5vA" TargetMode="External"/><Relationship Id="rId2651" Type="http://schemas.openxmlformats.org/officeDocument/2006/relationships/hyperlink" Target="https://www.google.com/url?q=https://szkopul.edu.pl/problemset/problem/Arkza0f7GKKb-m1YZJulnlMk/site/&amp;sa=D&amp;ust=1605639832748000&amp;usg=AFQjCNFFqaM3lnVLBLiIt-bPoJKTCS4OcA" TargetMode="External"/><Relationship Id="rId623" Type="http://schemas.openxmlformats.org/officeDocument/2006/relationships/hyperlink" Target="https://www.google.com/url?q=https://github.com/mostafa-saad/MyCompetitiveProgramming/tree/master/Olympiad/COCI/official/2007/contest2_solutions&amp;sa=D&amp;ust=1605639832136000&amp;usg=AFQjCNFCTlyUojYhgCbjLqlZpBobXJ12Eg" TargetMode="External"/><Relationship Id="rId830" Type="http://schemas.openxmlformats.org/officeDocument/2006/relationships/hyperlink" Target="https://www.google.com/url?q=https://wcipeg.com/problem/coci096p2&amp;sa=D&amp;ust=1605639832187000&amp;usg=AFQjCNGkgLEPxya41MOU9Mywaul7AbB62A" TargetMode="External"/><Relationship Id="rId1460" Type="http://schemas.openxmlformats.org/officeDocument/2006/relationships/hyperlink" Target="https://www.google.com/url?q=https://github.com/mostafa-saad/MyCompetitiveProgramming/blob/master/Olympiad/infoarena/drumuri5-statement.txt&amp;sa=D&amp;ust=1605639832367000&amp;usg=AFQjCNG5EDZJdU_uqJLuufJM5KtISTqvhw" TargetMode="External"/><Relationship Id="rId2304" Type="http://schemas.openxmlformats.org/officeDocument/2006/relationships/hyperlink" Target="https://www.google.com/url?q=https://github.com/mostafa-saad/MyCompetitiveProgramming/blob/master/Olympiad/NOI/official&amp;sa=D&amp;ust=1605639832647000&amp;usg=AFQjCNGEpgu53O1jnwa0L2xFWYM1DN0oAQ" TargetMode="External"/><Relationship Id="rId2511" Type="http://schemas.openxmlformats.org/officeDocument/2006/relationships/hyperlink" Target="https://www.google.com/url?q=https://szkopul.edu.pl/problemset/problem/kxK8IowlpnNmHqkDDoK-hIeZ/site/&amp;sa=D&amp;ust=1605639832716000&amp;usg=AFQjCNEtebWljCl5UGOWPzMzRZT4bRRiIQ" TargetMode="External"/><Relationship Id="rId1113" Type="http://schemas.openxmlformats.org/officeDocument/2006/relationships/hyperlink" Target="https://www.google.com/url?q=https://github.com/mostafa-saad/MyCompetitiveProgramming/blob/master/Olympiad/COCI/official/2017/contest6_solutions&amp;sa=D&amp;ust=1605639832262000&amp;usg=AFQjCNGb7YTMq3nOLnOnYHJUkWdSV2qrHw" TargetMode="External"/><Relationship Id="rId1320" Type="http://schemas.openxmlformats.org/officeDocument/2006/relationships/hyperlink" Target="https://www.google.com/url?q=https://dmoj.ca/problem/dmopc15c1p6&amp;sa=D&amp;ust=1605639832330000&amp;usg=AFQjCNHjV-A6H0JZmxRFTx5aqGbjzUuvJg" TargetMode="External"/><Relationship Id="rId2094" Type="http://schemas.openxmlformats.org/officeDocument/2006/relationships/hyperlink" Target="https://www.google.com/url?q=https://oj.uz/problem/view/JOI16_joiris&amp;sa=D&amp;ust=1605639832566000&amp;usg=AFQjCNEHpvejLyM8MajNjp72P3Jy8l56VQ" TargetMode="External"/><Relationship Id="rId273" Type="http://schemas.openxmlformats.org/officeDocument/2006/relationships/hyperlink" Target="https://www.google.com/url?q=https://oj.uz/problem/view/BOI14_portals&amp;sa=D&amp;ust=1605639832033000&amp;usg=AFQjCNHZ0Wapmdid3I9LrNORzZrrKQUqiA" TargetMode="External"/><Relationship Id="rId480" Type="http://schemas.openxmlformats.org/officeDocument/2006/relationships/hyperlink" Target="https://www.google.com/url?q=https://oj.uz/problems/source/60&amp;sa=D&amp;ust=1605639832101000&amp;usg=AFQjCNF7ynkNatKBBeLMpi0ym910Y6bArQ" TargetMode="External"/><Relationship Id="rId2161" Type="http://schemas.openxmlformats.org/officeDocument/2006/relationships/hyperlink" Target="https://www.google.com/url?q=https://joisc2016.contest.atcoder.jp/tasks/joisc2016_b&amp;sa=D&amp;ust=1605639832598000&amp;usg=AFQjCNHH78abjbMa4-oQPcXP8JQ7Zp_YFw" TargetMode="External"/><Relationship Id="rId3005" Type="http://schemas.openxmlformats.org/officeDocument/2006/relationships/hyperlink" Target="https://www.google.com/url?q=http://www.usaco.org/index.php?page%3Dviewproblem2%26cpid%3D1020&amp;sa=D&amp;ust=1605639832869000&amp;usg=AFQjCNGogSct8nK7X1gkH12wchY05xVV_w" TargetMode="External"/><Relationship Id="rId133" Type="http://schemas.openxmlformats.org/officeDocument/2006/relationships/hyperlink" Target="https://www.google.com/url?q=https://www.hackerrank.com/contests/boi-2016/challenges&amp;sa=D&amp;ust=1605639831993000&amp;usg=AFQjCNEnJWtQA6mPrJQxQlfXrBtc_DRuHg" TargetMode="External"/><Relationship Id="rId340" Type="http://schemas.openxmlformats.org/officeDocument/2006/relationships/hyperlink" Target="https://www.google.com/url?q=https://open.kattis.com/problem-sources/Baltic%2520Olympiad%2520in%2520Informatics%25202017%252C%2520Warmup&amp;sa=D&amp;ust=1605639832048000&amp;usg=AFQjCNHO1pqZGd9nOWj_SbIZ0HI1ufiKsw" TargetMode="External"/><Relationship Id="rId2021" Type="http://schemas.openxmlformats.org/officeDocument/2006/relationships/hyperlink" Target="https://www.google.com/url?q=https://joi2013ho.contest.atcoder.jp/tasks/joi2013ho4&amp;sa=D&amp;ust=1605639832545000&amp;usg=AFQjCNEOh7rD1KEycWlhlRqTA9zxk5yvOg" TargetMode="External"/><Relationship Id="rId200" Type="http://schemas.openxmlformats.org/officeDocument/2006/relationships/hyperlink" Target="https://www.google.com/url?q=https://github.com/mostafa-saad/MyCompetitiveProgramming/blob/master/Olympiad/Baltic/Baltic-08-Magical.txt&amp;sa=D&amp;ust=1605639832015000&amp;usg=AFQjCNE-xHF1uekWD1ezLDMQDcmqFhGTXQ" TargetMode="External"/><Relationship Id="rId2978" Type="http://schemas.openxmlformats.org/officeDocument/2006/relationships/hyperlink" Target="https://www.google.com/url?q=http://usaco.org/index.php?page%3Dviewproblem2%26cpid%3D842&amp;sa=D&amp;ust=1605639832859000&amp;usg=AFQjCNHt-V63O6cVgI7zqd3pfgdfTG_jcA" TargetMode="External"/><Relationship Id="rId1787" Type="http://schemas.openxmlformats.org/officeDocument/2006/relationships/hyperlink" Target="https://www.google.com/url?q=https://oj.uz/problem/view/IOI11_ricehub&amp;sa=D&amp;ust=1605639832472000&amp;usg=AFQjCNFvAb4ErYqAxpJ7px_alBlA85ijDA" TargetMode="External"/><Relationship Id="rId1994" Type="http://schemas.openxmlformats.org/officeDocument/2006/relationships/hyperlink" Target="https://www.google.com/url?q=https://oj.uz/problem/view/IZhO17_money&amp;sa=D&amp;ust=1605639832537000&amp;usg=AFQjCNGWMuyAI5vMdOBz54OpJhtndpbbZw" TargetMode="External"/><Relationship Id="rId2838" Type="http://schemas.openxmlformats.org/officeDocument/2006/relationships/hyperlink" Target="https://www.google.com/url?q=https://szkopul.edu.pl/problemset/problem/eHGwrk9xShVF-z_2f7K4Yyb_/site/&amp;sa=D&amp;ust=1605639832799000&amp;usg=AFQjCNFiNGp9tGNJCy1pEzn4zS8mPW9BoQ" TargetMode="External"/><Relationship Id="rId79" Type="http://schemas.openxmlformats.org/officeDocument/2006/relationships/hyperlink" Target="https://www.google.com/url?q=https://www.acmicpc.net/problem/2192&amp;sa=D&amp;ust=1605639831974000&amp;usg=AFQjCNFVaVfV5KqIi-YwfKyfnGSYPsHUBA" TargetMode="External"/><Relationship Id="rId1647" Type="http://schemas.openxmlformats.org/officeDocument/2006/relationships/hyperlink" Target="https://www.google.com/url?q=http://poj.org/problem?id%3D1159&amp;sa=D&amp;ust=1605639832428000&amp;usg=AFQjCNGax37ewrB8qnq3oIgTAz3upDTkDg" TargetMode="External"/><Relationship Id="rId1854" Type="http://schemas.openxmlformats.org/officeDocument/2006/relationships/hyperlink" Target="https://www.google.com/url?q=https://oj.uz/problem/view/IOI17_books&amp;sa=D&amp;ust=1605639832494000&amp;usg=AFQjCNFVkwYTGBzOT_ti1QHSyxncgYGlsA" TargetMode="External"/><Relationship Id="rId2905" Type="http://schemas.openxmlformats.org/officeDocument/2006/relationships/hyperlink" Target="https://www.google.com/url?q=http://usaco.org/index.php?page%3Dviewproblem2%26cpid%3D100&amp;sa=D&amp;ust=1605639832821000&amp;usg=AFQjCNGV9zD1x5t6zPB391k4pNwE2o6kvw" TargetMode="External"/><Relationship Id="rId1507" Type="http://schemas.openxmlformats.org/officeDocument/2006/relationships/hyperlink" Target="https://www.google.com/url?q=https://github.com/stefdasca/CompetitiveProgramming/blob/master/Infoarena/matrice.cpp&amp;sa=D&amp;ust=1605639832382000&amp;usg=AFQjCNHV6Clb_9y6XqjosdFuq_MCGD2hoQ" TargetMode="External"/><Relationship Id="rId1714" Type="http://schemas.openxmlformats.org/officeDocument/2006/relationships/hyperlink" Target="https://www.google.com/url?q=https://github.com/mostafa-saad/MyCompetitiveProgramming/blob/master/Olympiad/IOI/official/2006/ioi06_mexico_sol.pdf&amp;sa=D&amp;ust=1605639832446000&amp;usg=AFQjCNERppNTsK9dlWMbk5ji5ZI3d39G6w" TargetMode="External"/><Relationship Id="rId1921" Type="http://schemas.openxmlformats.org/officeDocument/2006/relationships/hyperlink" Target="https://www.google.com/url?q=https://csacademy.com/contest/ioi-2016-training-round-1/task/hallway&amp;sa=D&amp;ust=1605639832515000&amp;usg=AFQjCNERSxRB1RI7Uy2dfH1qh8_2AwSy5g" TargetMode="External"/><Relationship Id="rId2488" Type="http://schemas.openxmlformats.org/officeDocument/2006/relationships/hyperlink" Target="https://www.google.com/url?q=https://github.com/mostafa-saad/MyCompetitiveProgramming/blob/master/Olympiad/POI/POI-04-East_West.txt&amp;sa=D&amp;ust=1605639832710000&amp;usg=AFQjCNGoUcB1pcf6fKNV84FzTY80uYVBQA" TargetMode="External"/><Relationship Id="rId1297" Type="http://schemas.openxmlformats.org/officeDocument/2006/relationships/hyperlink" Target="https://www.google.com/url?q=https://github.com/nya-nya-meow/CompetitiveProgramming/blob/master/CSES/CSES%25201112%2520-%2520Substrings.cpp&amp;sa=D&amp;ust=1605639832324000&amp;usg=AFQjCNHeZHxx4mkqr7kz-QIr1n_ElqEKfw" TargetMode="External"/><Relationship Id="rId2695" Type="http://schemas.openxmlformats.org/officeDocument/2006/relationships/hyperlink" Target="https://www.google.com/url?q=https://szkopul.edu.pl/problemset/problem/MZTXfOVnJmac175TTH5Lr9Q3/site/&amp;sa=D&amp;ust=1605639832756000&amp;usg=AFQjCNEeTE4YNow_a29ANcsj92JPQdiONw" TargetMode="External"/><Relationship Id="rId667" Type="http://schemas.openxmlformats.org/officeDocument/2006/relationships/hyperlink" Target="https://www.google.com/url?q=https://github.com/mostafa-saad/MyCompetitiveProgramming/blob/master/Olympiad/COCI/COCI-07-Jednakost.txt&amp;sa=D&amp;ust=1605639832145000&amp;usg=AFQjCNEBKoQolIe6ACeqKIZ6HtbF6kED-g" TargetMode="External"/><Relationship Id="rId874" Type="http://schemas.openxmlformats.org/officeDocument/2006/relationships/hyperlink" Target="https://www.google.com/url?q=https://github.com/mostafa-saad/MyCompetitiveProgramming/blob/master/Olympiad/COCI/official/2013/contest1_solutions&amp;sa=D&amp;ust=1605639832201000&amp;usg=AFQjCNHAYV2kWfqhQ7Rjpu18Wg_9UE4k_g" TargetMode="External"/><Relationship Id="rId2348" Type="http://schemas.openxmlformats.org/officeDocument/2006/relationships/hyperlink" Target="https://www.google.com/url?q=https://github.com/mostafa-saad/MyCompetitiveProgramming/blob/master/Olympiad/NOI/NOI-14-obelisk.txt&amp;sa=D&amp;ust=1605639832658000&amp;usg=AFQjCNG5uoN66GiqDlst_iZF5O4EHXk1wA" TargetMode="External"/><Relationship Id="rId2555" Type="http://schemas.openxmlformats.org/officeDocument/2006/relationships/hyperlink" Target="https://www.google.com/url?q=https://szkopul.edu.pl/problemset/problem/VutzcR1iPvGuYRGZgvNksmV1/site/&amp;sa=D&amp;ust=1605639832727000&amp;usg=AFQjCNErIYEUVwKjyQxTDXvoSyqK5QsaHA" TargetMode="External"/><Relationship Id="rId2762" Type="http://schemas.openxmlformats.org/officeDocument/2006/relationships/hyperlink" Target="https://www.google.com/url?q=https://github.com/mostafa-saad/MyCompetitiveProgramming/blob/master/Olympiad/POI/official/find_editorial_sols_guidelines.txt&amp;sa=D&amp;ust=1605639832774000&amp;usg=AFQjCNFwVZ2kMdpb7dLDFLIz1syJ9rVFNQ" TargetMode="External"/><Relationship Id="rId527" Type="http://schemas.openxmlformats.org/officeDocument/2006/relationships/hyperlink" Target="https://www.google.com/url?q=https://github.com/samyravitoria/olympics-problems/blob/master/CEOI/2017/chase.cpp&amp;sa=D&amp;ust=1605639832115000&amp;usg=AFQjCNFporUQGC4AhKN31rHhVWgPpVAo9A" TargetMode="External"/><Relationship Id="rId734" Type="http://schemas.openxmlformats.org/officeDocument/2006/relationships/hyperlink" Target="https://www.google.com/url?q=https://dmoj.ca/problem/coci08c6p5&amp;sa=D&amp;ust=1605639832159000&amp;usg=AFQjCNGQ-_0LPqlrlFHGyTdse1FrVZgZuQ" TargetMode="External"/><Relationship Id="rId941" Type="http://schemas.openxmlformats.org/officeDocument/2006/relationships/hyperlink" Target="https://www.google.com/url?q=https://github.com/mostafa-saad/MyCompetitiveProgramming/blob/master/Olympiad/COCI/COCI-14-Mafija.txt&amp;sa=D&amp;ust=1605639832218000&amp;usg=AFQjCNEuMenEadS7oTfYNhpBC9D-JEYwIA" TargetMode="External"/><Relationship Id="rId1157" Type="http://schemas.openxmlformats.org/officeDocument/2006/relationships/hyperlink" Target="https://www.google.com/url?q=https://oj.uz/problem/view/COCI18_sajam&amp;sa=D&amp;ust=1605639832278000&amp;usg=AFQjCNFKYo6WaYfPkHNqMOmobX7ppRl0lA" TargetMode="External"/><Relationship Id="rId1364" Type="http://schemas.openxmlformats.org/officeDocument/2006/relationships/hyperlink" Target="https://www.google.com/url?q=https://oj.uz/problem/view/info1cup18_maxcomp&amp;sa=D&amp;ust=1605639832344000&amp;usg=AFQjCNF85eTPg04-bIrVxd_FUyI4I57TOw" TargetMode="External"/><Relationship Id="rId1571" Type="http://schemas.openxmlformats.org/officeDocument/2006/relationships/hyperlink" Target="https://www.google.com/url?q=https://www.infoarena.ro/problema/profit&amp;sa=D&amp;ust=1605639832404000&amp;usg=AFQjCNFQY8Y7zf3Lb-oxnbzeqMH4pHVBfg" TargetMode="External"/><Relationship Id="rId2208" Type="http://schemas.openxmlformats.org/officeDocument/2006/relationships/hyperlink" Target="https://www.google.com/url?q=https://oj.uz/problem/view/JOI18_security_gate&amp;sa=D&amp;ust=1605639832615000&amp;usg=AFQjCNHvszlWVHPwyZ-4D7SxA7vnccm79Q" TargetMode="External"/><Relationship Id="rId2415" Type="http://schemas.openxmlformats.org/officeDocument/2006/relationships/hyperlink" Target="https://www.google.com/url?q=https://dunjudge.me/analysis/problems/88/&amp;sa=D&amp;ust=1605639832681000&amp;usg=AFQjCNGy4s-jbCsUUvM9-_lwgQFDYi_VJw" TargetMode="External"/><Relationship Id="rId2622" Type="http://schemas.openxmlformats.org/officeDocument/2006/relationships/hyperlink" Target="https://www.google.com/url?q=https://github.com/mostafa-saad/MyCompetitiveProgramming/blob/master/Olympiad/POI/POI-09-Words.txt&amp;sa=D&amp;ust=1605639832742000&amp;usg=AFQjCNHyBba57__HRINiX9JEot6K1BmXsQ" TargetMode="External"/><Relationship Id="rId70" Type="http://schemas.openxmlformats.org/officeDocument/2006/relationships/hyperlink" Target="https://www.google.com/url?q=https://codeforces.com/gym/102257/&amp;sa=D&amp;ust=1605639831971000&amp;usg=AFQjCNHRnzJmR_gBMY-V-6bzkanhVPz-8w" TargetMode="External"/><Relationship Id="rId801" Type="http://schemas.openxmlformats.org/officeDocument/2006/relationships/hyperlink" Target="https://www.google.com/url?q=https://github.com/mostafa-saad/MyCompetitiveProgramming/blob/master/Olympiad/COCI/official/2010/contest5_solutions&amp;sa=D&amp;ust=1605639832177000&amp;usg=AFQjCNFJooTPCsiv4wL3EFFFPn-y3AZugA" TargetMode="External"/><Relationship Id="rId1017" Type="http://schemas.openxmlformats.org/officeDocument/2006/relationships/hyperlink" Target="https://www.google.com/url?q=https://oj.uz/problem/view/COCI15_uzastopni&amp;sa=D&amp;ust=1605639832238000&amp;usg=AFQjCNGdt99zsL0xzQvaw_MXah8V1-v2_A" TargetMode="External"/><Relationship Id="rId1224" Type="http://schemas.openxmlformats.org/officeDocument/2006/relationships/hyperlink" Target="https://www.google.com/url?q=https://github.com/mostafa-saad/MyCompetitiveProgramming/tree/master/Olympiad/COCI/official/2009/olympiad_solutions&amp;sa=D&amp;ust=1605639832306000&amp;usg=AFQjCNEx4pwmefBjB5JriWmEGjKHTUK3Fw" TargetMode="External"/><Relationship Id="rId1431" Type="http://schemas.openxmlformats.org/officeDocument/2006/relationships/hyperlink" Target="https://www.google.com/url?q=https://www.infoarena.ro/problema/color&amp;sa=D&amp;ust=1605639832359000&amp;usg=AFQjCNE0E_RhpKjlMvaZvulEPE6DB40wMQ" TargetMode="External"/><Relationship Id="rId177" Type="http://schemas.openxmlformats.org/officeDocument/2006/relationships/hyperlink" Target="https://www.google.com/url?q=https://cses.fi/111/list/&amp;sa=D&amp;ust=1605639832008000&amp;usg=AFQjCNF_yBs5Qi8sAFd3mOT8B-p7Fa3Dvg" TargetMode="External"/><Relationship Id="rId384" Type="http://schemas.openxmlformats.org/officeDocument/2006/relationships/hyperlink" Target="https://www.google.com/url?q=https://github.com/mostafa-saad/MyCompetitiveProgramming/tree/master/Olympiad/CEOI/official/2003&amp;sa=D&amp;ust=1605639832071000&amp;usg=AFQjCNEoV7l-oN-CkcK9Kb7Xi48TgrLZ7Q" TargetMode="External"/><Relationship Id="rId591" Type="http://schemas.openxmlformats.org/officeDocument/2006/relationships/hyperlink" Target="https://www.google.com/url?q=https://github.com/tsouza0/CompetitiveProgramming/blob/master/Olympiads/COCI/lista.cpp&amp;sa=D&amp;ust=1605639832130000&amp;usg=AFQjCNGa55nnNT3mZAGk4ikx2AzQuJ__cw" TargetMode="External"/><Relationship Id="rId2065" Type="http://schemas.openxmlformats.org/officeDocument/2006/relationships/hyperlink" Target="https://www.google.com/url?q=https://oj.uz/problem/view/JOI19_ho_t5&amp;sa=D&amp;ust=1605639832559000&amp;usg=AFQjCNGZJqTyMhDJo5T5kHStSZxOQopUIg" TargetMode="External"/><Relationship Id="rId2272" Type="http://schemas.openxmlformats.org/officeDocument/2006/relationships/hyperlink" Target="https://www.google.com/url?q=https://codeforces.com/group/R2SERIff4f/contest/213171&amp;sa=D&amp;ust=1605639832637000&amp;usg=AFQjCNHb3q7WDQlTs4C9Vc2vimCGBh822w" TargetMode="External"/><Relationship Id="rId244" Type="http://schemas.openxmlformats.org/officeDocument/2006/relationships/hyperlink" Target="https://www.google.com/url?q=https://cses.fi/99/list/&amp;sa=D&amp;ust=1605639832027000&amp;usg=AFQjCNEXZu_X5Qq2wZV33McGnyP7ikRctA" TargetMode="External"/><Relationship Id="rId1081" Type="http://schemas.openxmlformats.org/officeDocument/2006/relationships/hyperlink" Target="https://www.google.com/url?q=https://oj.uz/problem/view/COCI17_kas&amp;sa=D&amp;ust=1605639832254000&amp;usg=AFQjCNFRJ8gsDdps1BzGaHVjaTLw0X6LEw" TargetMode="External"/><Relationship Id="rId451" Type="http://schemas.openxmlformats.org/officeDocument/2006/relationships/hyperlink" Target="https://www.google.com/url?q=https://cses.fi/180/list/&amp;sa=D&amp;ust=1605639832093000&amp;usg=AFQjCNHoBAKOg7NxCWmp5qLjmZoI7dFcnw" TargetMode="External"/><Relationship Id="rId2132" Type="http://schemas.openxmlformats.org/officeDocument/2006/relationships/hyperlink" Target="https://www.google.com/url?q=https://joisc2014.contest.atcoder.jp/tasks/joisc2014_a&amp;sa=D&amp;ust=1605639832582000&amp;usg=AFQjCNHOqo2h9zWxIh2MItbkZ6JF3rxQiQ" TargetMode="External"/><Relationship Id="rId104" Type="http://schemas.openxmlformats.org/officeDocument/2006/relationships/hyperlink" Target="https://www.google.com/url?q=https://github.com/mostafa-saad/MyCompetitiveProgramming/blob/master/Olympiad/Balkan/Balkan-12-balls.txt&amp;sa=D&amp;ust=1605639831983000&amp;usg=AFQjCNFAXovkhL28qsfu12sopRJcxHbdiA" TargetMode="External"/><Relationship Id="rId311" Type="http://schemas.openxmlformats.org/officeDocument/2006/relationships/hyperlink" Target="https://www.google.com/url?q=https://open.kattis.com/problem-sources/Baltic%2520Olympiad%2520in%2520Informatics%25202017%252C%2520Day%25201&amp;sa=D&amp;ust=1605639832041000&amp;usg=AFQjCNFCEwvy6RsN3ZZBxIAPD7WnIfyDtA" TargetMode="External"/><Relationship Id="rId1898" Type="http://schemas.openxmlformats.org/officeDocument/2006/relationships/hyperlink" Target="https://www.google.com/url?q=https://www.hackerrank.com/contests/ioi-2014-practice-contest-1/challenges&amp;sa=D&amp;ust=1605639832508000&amp;usg=AFQjCNEo_ovPL00N6LB7k_IeRnLtxxtzSA" TargetMode="External"/><Relationship Id="rId2949" Type="http://schemas.openxmlformats.org/officeDocument/2006/relationships/hyperlink" Target="https://www.google.com/url?q=http://usaco.org/index.php?page%3Dviewproblem2%26cpid%3D722&amp;sa=D&amp;ust=1605639832836000&amp;usg=AFQjCNEdKP32-0lo3O7rgHiZRHJcD4xzSw" TargetMode="External"/><Relationship Id="rId1758" Type="http://schemas.openxmlformats.org/officeDocument/2006/relationships/hyperlink" Target="https://www.google.com/url?q=https://github.com/mostafa-saad/MyCompetitiveProgramming/blob/master/Olympiad/IOI/IOI-09-regions.txt&amp;sa=D&amp;ust=1605639832460000&amp;usg=AFQjCNHgfPrGSVYVOdMf_PY84IqxADsbWA" TargetMode="External"/><Relationship Id="rId2809" Type="http://schemas.openxmlformats.org/officeDocument/2006/relationships/hyperlink" Target="https://www.google.com/url?q=https://szkopul.edu.pl/problemset/problem/1QaUWE_ePAmitZjgAszOVD1U/site/&amp;sa=D&amp;ust=1605639832789000&amp;usg=AFQjCNGdR6heD1Xyn79zSQqlhjDBIlk1QQ" TargetMode="External"/><Relationship Id="rId1965" Type="http://schemas.openxmlformats.org/officeDocument/2006/relationships/hyperlink" Target="https://www.google.com/url?q=https://ipsc.ksp.sk/2018/real/problems/j.html&amp;sa=D&amp;ust=1605639832527000&amp;usg=AFQjCNEnt22IICgMkW_u9uWO278IrU7QYw" TargetMode="External"/><Relationship Id="rId1618" Type="http://schemas.openxmlformats.org/officeDocument/2006/relationships/hyperlink" Target="https://www.google.com/url?q=https://github.com/mostafa-saad/MyCompetitiveProgramming/blob/master/Olympiad/infoarena/infoarena_unique.txt&amp;sa=D&amp;ust=1605639832418000&amp;usg=AFQjCNFGu0s4NOZc05jCI8Dh8DuetjjFtQ" TargetMode="External"/><Relationship Id="rId1825" Type="http://schemas.openxmlformats.org/officeDocument/2006/relationships/hyperlink" Target="https://www.google.com/url?q=https://oj.uz/problem/view/IOI15_horses&amp;sa=D&amp;ust=1605639832483000&amp;usg=AFQjCNFY3bPHmLomVibWIwWpR4bDkedbBg" TargetMode="External"/><Relationship Id="rId2599" Type="http://schemas.openxmlformats.org/officeDocument/2006/relationships/hyperlink" Target="https://www.google.com/url?q=https://szkopul.edu.pl/problemset/problem/ci05UTAWBFeYYWnidnK1zzQl/site/&amp;sa=D&amp;ust=1605639832737000&amp;usg=AFQjCNEpeOuxJNo-ONiLuTqV0uqemy0EDg" TargetMode="External"/><Relationship Id="rId778" Type="http://schemas.openxmlformats.org/officeDocument/2006/relationships/hyperlink" Target="https://www.google.com/url?q=https://dmoj.ca/problem/coci08c1p5&amp;sa=D&amp;ust=1605639832169000&amp;usg=AFQjCNGKontSr949qMn4rXE88tdLF8h5qw" TargetMode="External"/><Relationship Id="rId985" Type="http://schemas.openxmlformats.org/officeDocument/2006/relationships/hyperlink" Target="https://www.google.com/url?q=https://github.com/mostafa-saad/MyCompetitiveProgramming/blob/master/Olympiad/COCI/official/2015/contest5_solutions&amp;sa=D&amp;ust=1605639832229000&amp;usg=AFQjCNH1TYJk9M7wiq8kU_2igXqRVDfHKg" TargetMode="External"/><Relationship Id="rId2459" Type="http://schemas.openxmlformats.org/officeDocument/2006/relationships/hyperlink" Target="https://www.google.com/url?q=https://dunjudge.me/analysis/problems/1190/&amp;sa=D&amp;ust=1605639832699000&amp;usg=AFQjCNFCRRsLE21-ecU8EwzNU8WJ1NYsog" TargetMode="External"/><Relationship Id="rId2666" Type="http://schemas.openxmlformats.org/officeDocument/2006/relationships/hyperlink" Target="https://www.google.com/url?q=https://github.com/mostafa-saad/MyCompetitiveProgramming/blob/master/Olympiad/POI/POI-11-ins.txt&amp;sa=D&amp;ust=1605639832751000&amp;usg=AFQjCNH_rgVYAPVUl9zYkXyS43SQMAPsvQ" TargetMode="External"/><Relationship Id="rId2873" Type="http://schemas.openxmlformats.org/officeDocument/2006/relationships/hyperlink" Target="https://www.google.com/url?q=https://csacademy.com/contest/romanian-ioi-2017-selection-1/task/rooms/&amp;sa=D&amp;ust=1605639832811000&amp;usg=AFQjCNEMoErPG5xjVCINwDUyyFcc30Z9aw" TargetMode="External"/><Relationship Id="rId638" Type="http://schemas.openxmlformats.org/officeDocument/2006/relationships/hyperlink" Target="https://www.google.com/url?q=https://dmoj.ca/problem/coci06c4p4&amp;sa=D&amp;ust=1605639832139000&amp;usg=AFQjCNGP051RLVUwS6nUw1xT4zD5wm-NYA" TargetMode="External"/><Relationship Id="rId845" Type="http://schemas.openxmlformats.org/officeDocument/2006/relationships/hyperlink" Target="https://www.google.com/url?q=https://wcipeg.com/problem/coci095p5&amp;sa=D&amp;ust=1605639832192000&amp;usg=AFQjCNEMU_jMk_qAZfSfr-tiNjOpr60u9Q" TargetMode="External"/><Relationship Id="rId1268" Type="http://schemas.openxmlformats.org/officeDocument/2006/relationships/hyperlink" Target="https://www.google.com/url?q=https://oj.uz/problem/view/COI16_palinilap&amp;sa=D&amp;ust=1605639832317000&amp;usg=AFQjCNG2i6lhp59vGYj2gyquiuVkTrp31A" TargetMode="External"/><Relationship Id="rId1475" Type="http://schemas.openxmlformats.org/officeDocument/2006/relationships/hyperlink" Target="https://www.google.com/url?q=https://github.com/stefdasca/CompetitiveProgramming/blob/master/Infoarena/hacker2.cpp&amp;sa=D&amp;ust=1605639832372000&amp;usg=AFQjCNEKrv7PX52aBXJ2IQdNiNTXpV4Czg" TargetMode="External"/><Relationship Id="rId1682" Type="http://schemas.openxmlformats.org/officeDocument/2006/relationships/hyperlink" Target="https://www.google.com/url?q=https://github.com/mostafa-saad/MyCompetitiveProgramming/blob/master/Olympiad/IOI/official/2003&amp;sa=D&amp;ust=1605639832438000&amp;usg=AFQjCNGIJdr0Y1E6Jpx4xFmu8RNksfB0ZQ" TargetMode="External"/><Relationship Id="rId2319" Type="http://schemas.openxmlformats.org/officeDocument/2006/relationships/hyperlink" Target="https://www.google.com/url?q=https://github.com/mostafa-saad/MyCompetitiveProgramming/blob/master/Olympiad/NOI/official&amp;sa=D&amp;ust=1605639832651000&amp;usg=AFQjCNFLXLwVOkAQ0lx3N4j6eejIG1Pqew" TargetMode="External"/><Relationship Id="rId2526" Type="http://schemas.openxmlformats.org/officeDocument/2006/relationships/hyperlink" Target="https://www.google.com/url?q=https://github.com/mostafa-saad/MyCompetitiveProgramming/blob/master/Olympiad/POI/POI-05-Parties.txt&amp;sa=D&amp;ust=1605639832721000&amp;usg=AFQjCNGQUNW4DWoeej9EhjcNih9o6Rtc_w" TargetMode="External"/><Relationship Id="rId2733" Type="http://schemas.openxmlformats.org/officeDocument/2006/relationships/hyperlink" Target="https://www.google.com/url?q=https://szkopul.edu.pl/problemset/problem/YXgT8J1eHCc3h8z5RW69thmy/site/?key%3Dstatement&amp;sa=D&amp;ust=1605639832764000&amp;usg=AFQjCNE6qsRmj2ZdkMbAFzX8SKDTscQbLg" TargetMode="External"/><Relationship Id="rId705" Type="http://schemas.openxmlformats.org/officeDocument/2006/relationships/hyperlink" Target="https://www.google.com/url?q=https://github.com/mostafa-saad/MyCompetitiveProgramming/tree/master/Olympiad/COCI/official/2008/contest1_solutions&amp;sa=D&amp;ust=1605639832153000&amp;usg=AFQjCNG-Q3-I3wcru0aR7a6JNRBVrFN0ZQ" TargetMode="External"/><Relationship Id="rId1128" Type="http://schemas.openxmlformats.org/officeDocument/2006/relationships/hyperlink" Target="https://www.google.com/url?q=https://github.com/AhmedElsisy/CompetitiveProgramming/blob/master/Olympiad/COCI/COCI%252017-uzastopni.cpp&amp;sa=D&amp;ust=1605639832266000&amp;usg=AFQjCNGnKlIN7VIVW-a5BGhVtwKyhNO_rA" TargetMode="External"/><Relationship Id="rId1335" Type="http://schemas.openxmlformats.org/officeDocument/2006/relationships/hyperlink" Target="https://www.google.com/url?q=https://csacademy.com/contest/ejoi-2017-day-2/task/game/&amp;sa=D&amp;ust=1605639832335000&amp;usg=AFQjCNE9dCYZe-VdMTE-M1TPRzrrVKI1cA" TargetMode="External"/><Relationship Id="rId1542" Type="http://schemas.openxmlformats.org/officeDocument/2006/relationships/hyperlink" Target="https://www.google.com/url?q=https://www.infoarena.ro/problema/panza&amp;sa=D&amp;ust=1605639832394000&amp;usg=AFQjCNHHmANPtd27ypGIcpUZLKvj-TnOww" TargetMode="External"/><Relationship Id="rId2940" Type="http://schemas.openxmlformats.org/officeDocument/2006/relationships/hyperlink" Target="https://www.google.com/url?q=http://usaco.org/index.php?page%3Dviewproblem2%26cpid%3D672&amp;sa=D&amp;ust=1605639832832000&amp;usg=AFQjCNHpGwP1zu7zf1wlHX8my7mvM-ne9Q" TargetMode="External"/><Relationship Id="rId912" Type="http://schemas.openxmlformats.org/officeDocument/2006/relationships/hyperlink" Target="https://www.google.com/url?q=https://github.com/mostafa-saad/MyCompetitiveProgramming/blob/master/Olympiad/COCI/official/2014/contest1_solutions&amp;sa=D&amp;ust=1605639832211000&amp;usg=AFQjCNENtucFH4j83X8AOIIHwDvsQ47OeA" TargetMode="External"/><Relationship Id="rId2800" Type="http://schemas.openxmlformats.org/officeDocument/2006/relationships/hyperlink" Target="https://www.google.com/url?q=https://github.com/mostafa-saad/MyCompetitiveProgramming/blob/master/Olympiad/POI/POI-16-Journey.txt&amp;sa=D&amp;ust=1605639832786000&amp;usg=AFQjCNEWkch9FXsA4sOOuLRyLGhcGMgPAw" TargetMode="External"/><Relationship Id="rId41" Type="http://schemas.openxmlformats.org/officeDocument/2006/relationships/hyperlink" Target="https://www.google.com/url?q=https://github.com/tmwilliamlin168/CompetitiveProgramming/blob/master/APIO/14-Beads.cpp&amp;sa=D&amp;ust=1605639831961000&amp;usg=AFQjCNEUebtZt5KHt_nocD62czZmX3VclA" TargetMode="External"/><Relationship Id="rId1402" Type="http://schemas.openxmlformats.org/officeDocument/2006/relationships/hyperlink" Target="https://www.google.com/url?q=https://www.infoarena.ro/problema/asmin&amp;sa=D&amp;ust=1605639832352000&amp;usg=AFQjCNF7crJBPIhLrK9naooTHy11NEfMoA" TargetMode="External"/><Relationship Id="rId288" Type="http://schemas.openxmlformats.org/officeDocument/2006/relationships/hyperlink" Target="https://www.google.com/url?q=https://github.com/mostafa-saad/MyCompetitiveProgramming/blob/master/Olympiad/Baltic/Baltic-15-net.txt&amp;sa=D&amp;ust=1605639832037000&amp;usg=AFQjCNHrA1IX1M0qZ1QQlRfBjZPeSc5WOA" TargetMode="External"/><Relationship Id="rId495" Type="http://schemas.openxmlformats.org/officeDocument/2006/relationships/hyperlink" Target="https://www.google.com/url?q=https://github.com/stefdasca/CompetitiveProgramming/blob/master/CEOI/CEOI%252014-cake.cpp&amp;sa=D&amp;ust=1605639832105000&amp;usg=AFQjCNEyEEhqXMll8gpBNjcID-UzGmlfgQ" TargetMode="External"/><Relationship Id="rId2176" Type="http://schemas.openxmlformats.org/officeDocument/2006/relationships/hyperlink" Target="https://www.google.com/url?q=https://oj.uz/problem/view/JOI17_city&amp;sa=D&amp;ust=1605639832605000&amp;usg=AFQjCNHC28X5GEwbB98aIRTc60jil_k7Zw" TargetMode="External"/><Relationship Id="rId2383" Type="http://schemas.openxmlformats.org/officeDocument/2006/relationships/hyperlink" Target="https://www.google.com/url?q=https://oj.uz/problem/view/NOI18_collectmushrooms&amp;sa=D&amp;ust=1605639832666000&amp;usg=AFQjCNEGO6aBNaYgRmss6AjmVKCHTw59Lw" TargetMode="External"/><Relationship Id="rId2590" Type="http://schemas.openxmlformats.org/officeDocument/2006/relationships/hyperlink" Target="https://www.google.com/url?q=https://github.com/mostafa-saad/MyCompetitiveProgramming/blob/master/Olympiad/POI/official/find_editorial_sols_guidelines.txt&amp;sa=D&amp;ust=1605639832736000&amp;usg=AFQjCNG_naUuTDvT_ZpKT3X-iUpGZ6X7xg" TargetMode="External"/><Relationship Id="rId148" Type="http://schemas.openxmlformats.org/officeDocument/2006/relationships/hyperlink" Target="https://www.google.com/url?q=https://github.com/mostafa-saad/MyCompetitiveProgramming/blob/master/Olympiad/Balkan/Balkan-18-minmaxtree.txt&amp;sa=D&amp;ust=1605639831999000&amp;usg=AFQjCNFPev8FhPUHY_U3242LUw-O8xaucA" TargetMode="External"/><Relationship Id="rId355" Type="http://schemas.openxmlformats.org/officeDocument/2006/relationships/hyperlink" Target="https://www.google.com/url?q=https://dmoj.ca/problem/cco12p6&amp;sa=D&amp;ust=1605639832053000&amp;usg=AFQjCNFw0xueTdpEO7-ySaQ5OdPa5tdjbA" TargetMode="External"/><Relationship Id="rId562" Type="http://schemas.openxmlformats.org/officeDocument/2006/relationships/hyperlink" Target="https://www.google.com/url?q=https://wcipeg.com/problem/coci067p1&amp;sa=D&amp;ust=1605639832123000&amp;usg=AFQjCNGn4ye28Mp_tnkP0DAtE7WJgnSegQ" TargetMode="External"/><Relationship Id="rId1192" Type="http://schemas.openxmlformats.org/officeDocument/2006/relationships/hyperlink" Target="https://www.google.com/url?q=https://oj.uz/problem/view/COCI18_zamjena&amp;sa=D&amp;ust=1605639832291000&amp;usg=AFQjCNE8FLc2_y3p5ZUiw0LVa6gwt32y0Q" TargetMode="External"/><Relationship Id="rId2036" Type="http://schemas.openxmlformats.org/officeDocument/2006/relationships/hyperlink" Target="https://www.google.com/url?q=https://joi2016ho.contest.atcoder.jp/tasks/joi2016ho_e&amp;sa=D&amp;ust=1605639832550000&amp;usg=AFQjCNF4ScFH9btgXy5mcsIbFC-u2vXm9A" TargetMode="External"/><Relationship Id="rId2243" Type="http://schemas.openxmlformats.org/officeDocument/2006/relationships/hyperlink" Target="https://www.google.com/url?q=https://dunjudge.me/analysis/problems/722/&amp;sa=D&amp;ust=1605639832627000&amp;usg=AFQjCNEByayBYQbQ1Gw1krZydfTt1FLI7w" TargetMode="External"/><Relationship Id="rId2450" Type="http://schemas.openxmlformats.org/officeDocument/2006/relationships/hyperlink" Target="https://www.google.com/url?q=https://dunjudge.me/analysis/problems/1189/&amp;sa=D&amp;ust=1605639832696000&amp;usg=AFQjCNHaRMwwg4FvmSgAE_4lbVxodL92aA" TargetMode="External"/><Relationship Id="rId215" Type="http://schemas.openxmlformats.org/officeDocument/2006/relationships/hyperlink" Target="https://www.google.com/url?q=https://cses.fi/106/list/&amp;sa=D&amp;ust=1605639832019000&amp;usg=AFQjCNEnF1pbPiRTaKa3o1ckd6KnpVM0ug" TargetMode="External"/><Relationship Id="rId422" Type="http://schemas.openxmlformats.org/officeDocument/2006/relationships/hyperlink" Target="https://www.google.com/url?q=https://github.com/mostafa-saad/MyCompetitiveProgramming/blob/master/Olympiad/CEOI/CEOI-06-Walk.txt&amp;sa=D&amp;ust=1605639832083000&amp;usg=AFQjCNHW2DrQIxTf5iI1T1xoju2RZORUzg" TargetMode="External"/><Relationship Id="rId1052" Type="http://schemas.openxmlformats.org/officeDocument/2006/relationships/hyperlink" Target="https://www.google.com/url?q=https://github.com/mostafa-saad/MyCompetitiveProgramming/blob/master/Olympiad/COCI/COCI-16-vjestica.txt&amp;sa=D&amp;ust=1605639832246000&amp;usg=AFQjCNHoxrD6wGXlu7px8hW_18zui4b_kQ" TargetMode="External"/><Relationship Id="rId2103" Type="http://schemas.openxmlformats.org/officeDocument/2006/relationships/hyperlink" Target="https://www.google.com/url?q=https://github.com/mostafa-saad/MyCompetitiveProgramming/blob/master/Olympiad/JOI/JOIOC-17-bulldozer.txt&amp;sa=D&amp;ust=1605639832569000&amp;usg=AFQjCNHmjBRR4RH8ALfvCiGplS2ZUA8kwg" TargetMode="External"/><Relationship Id="rId2310" Type="http://schemas.openxmlformats.org/officeDocument/2006/relationships/hyperlink" Target="https://www.google.com/url?q=https://github.com/mostafa-saad/MyCompetitiveProgramming/blob/master/Olympiad/NOI/official&amp;sa=D&amp;ust=1605639832649000&amp;usg=AFQjCNFLKzE6amzfKSlWg38WXqzjg5E0yA" TargetMode="External"/><Relationship Id="rId1869" Type="http://schemas.openxmlformats.org/officeDocument/2006/relationships/hyperlink" Target="https://www.google.com/url?q=https://github.com/mostafa-saad/MyCompetitiveProgramming/blob/master/Olympiad/IOI/IOI-18-Combo.txt&amp;sa=D&amp;ust=1605639832498000&amp;usg=AFQjCNGRTWSi5aLOLE2KffkMqRbPtk3ZFA" TargetMode="External"/><Relationship Id="rId1729" Type="http://schemas.openxmlformats.org/officeDocument/2006/relationships/hyperlink" Target="https://www.google.com/url?q=https://oj.uz/problem/view/IOI07_sails&amp;sa=D&amp;ust=1605639832451000&amp;usg=AFQjCNGEbyF7FxRdbjwUirsVeAqIisb9BQ" TargetMode="External"/><Relationship Id="rId1936" Type="http://schemas.openxmlformats.org/officeDocument/2006/relationships/hyperlink" Target="https://www.google.com/url?q=https://dunjudge.me/analysis/problems/1660/&amp;sa=D&amp;ust=1605639832519000&amp;usg=AFQjCNEjV520BaAAXdj9nDx3kcUH7GOhjA" TargetMode="External"/><Relationship Id="rId3011" Type="http://schemas.openxmlformats.org/officeDocument/2006/relationships/hyperlink" Target="https://www.google.com/url?q=https://github.com/win11905/submission/blob/61c76f8b073e5e5446e7688626c487a4dcbfcd9e/Dmoj/utso15p5.cpp&amp;sa=D&amp;ust=1605639832872000&amp;usg=AFQjCNGk9GHL44_MfOKrEwcukvppPXAbeQ" TargetMode="External"/><Relationship Id="rId5" Type="http://schemas.openxmlformats.org/officeDocument/2006/relationships/hyperlink" Target="https://www.google.com/url?q=https://www.spoj.com/problems/ZOO/&amp;sa=D&amp;ust=1605639831954000&amp;usg=AFQjCNEYRLh8ayYRqPNzqzBEBARs-nrOFA" TargetMode="External"/><Relationship Id="rId889" Type="http://schemas.openxmlformats.org/officeDocument/2006/relationships/hyperlink" Target="https://www.google.com/url?q=https://dunjudge.me/analysis/problems/1375/&amp;sa=D&amp;ust=1605639832206000&amp;usg=AFQjCNHgSjztaTHMqgxAWu1S4nddbB94Zw" TargetMode="External"/><Relationship Id="rId2777" Type="http://schemas.openxmlformats.org/officeDocument/2006/relationships/hyperlink" Target="https://www.google.com/url?q=https://szkopul.edu.pl/problemset/problem/vX48bEW0i5IRszoCOP_f78Dc/site/&amp;sa=D&amp;ust=1605639832778000&amp;usg=AFQjCNEnqVJ1IDJNu-g2soQS-w9kmegzyA" TargetMode="External"/><Relationship Id="rId749" Type="http://schemas.openxmlformats.org/officeDocument/2006/relationships/hyperlink" Target="https://www.google.com/url?q=https://github.com/mostafa-saad/MyCompetitiveProgramming/blob/master/Olympiad/COCI/official/2009/contest5_solutions&amp;sa=D&amp;ust=1605639832162000&amp;usg=AFQjCNHotv96q2CdU-R9WmKw9I_04GXggg" TargetMode="External"/><Relationship Id="rId1379" Type="http://schemas.openxmlformats.org/officeDocument/2006/relationships/hyperlink" Target="https://www.google.com/url?q=https://www.infoarena.ro/problema/aiacubiti&amp;sa=D&amp;ust=1605639832347000&amp;usg=AFQjCNFT_SXd2HXAyBF48kNhV0T7QVLBMw" TargetMode="External"/><Relationship Id="rId1586" Type="http://schemas.openxmlformats.org/officeDocument/2006/relationships/hyperlink" Target="https://www.google.com/url?q=https://github.com/mostafa-saad/MyCompetitiveProgramming/blob/master/Olympiad/infoarena/infoarena_sabin.txt&amp;sa=D&amp;ust=1605639832408000&amp;usg=AFQjCNH9LP5KhzqRryzhqCGEUGgjoCUQyA" TargetMode="External"/><Relationship Id="rId2984" Type="http://schemas.openxmlformats.org/officeDocument/2006/relationships/hyperlink" Target="https://www.google.com/url?q=http://www.usaco.org/index.php?page%3Dviewproblem2%26cpid%3D972&amp;sa=D&amp;ust=1605639832861000&amp;usg=AFQjCNFES4bc00xfvWJ30Z5aupfUVPYOng" TargetMode="External"/><Relationship Id="rId609" Type="http://schemas.openxmlformats.org/officeDocument/2006/relationships/hyperlink" Target="https://www.google.com/url?q=https://github.com/mostafa-saad/MyCompetitiveProgramming/blob/master/Olympiad/COCI/COCI-06-Prostor.txt&amp;sa=D&amp;ust=1605639832133000&amp;usg=AFQjCNGes8aPGI8TLI3LK506XF4cOlTU7Q" TargetMode="External"/><Relationship Id="rId956" Type="http://schemas.openxmlformats.org/officeDocument/2006/relationships/hyperlink" Target="https://www.google.com/url?q=https://dmoj.ca/problem/coci14c7p6&amp;sa=D&amp;ust=1605639832222000&amp;usg=AFQjCNHb9-dCcQF-X3so-pNsie_Jyb8lRg" TargetMode="External"/><Relationship Id="rId1239" Type="http://schemas.openxmlformats.org/officeDocument/2006/relationships/hyperlink" Target="https://www.google.com/url?q=https://github.com/mostafa-saad/MyCompetitiveProgramming/tree/master/Olympiad/COI/official/2014&amp;sa=D&amp;ust=1605639832310000&amp;usg=AFQjCNGpUsduk3vKd17cHhkwbWr5xuIeOw" TargetMode="External"/><Relationship Id="rId1793" Type="http://schemas.openxmlformats.org/officeDocument/2006/relationships/hyperlink" Target="https://www.google.com/url?q=https://oj.uz/problem/view/IOI12_rings&amp;sa=D&amp;ust=1605639832473000&amp;usg=AFQjCNEhgdB6ICoAo1gRJz7KdZMYSOMVOg" TargetMode="External"/><Relationship Id="rId2637" Type="http://schemas.openxmlformats.org/officeDocument/2006/relationships/hyperlink" Target="https://www.google.com/url?q=https://szkopul.edu.pl/problemset/problem/qQGtOc61vnHgCrs01ORC7iD1/site/&amp;sa=D&amp;ust=1605639832746000&amp;usg=AFQjCNHTcSxRY5sCgbCGh-D33mCRw4L-0A" TargetMode="External"/><Relationship Id="rId2844" Type="http://schemas.openxmlformats.org/officeDocument/2006/relationships/hyperlink" Target="https://www.google.com/url?q=https://github.com/mostafa-saad/MyCompetitiveProgramming/blob/master/Olympiad/POI/POI-18-Plan_Metra.txt&amp;sa=D&amp;ust=1605639832802000&amp;usg=AFQjCNExrwDGSvvn29qaZb2HRWjMU3OMYQ" TargetMode="External"/><Relationship Id="rId85" Type="http://schemas.openxmlformats.org/officeDocument/2006/relationships/hyperlink" Target="https://www.google.com/url?q=https://www.acmicpc.net/problem/7087&amp;sa=D&amp;ust=1605639831976000&amp;usg=AFQjCNGgiplmzZ5lgO27U_c-J8T77d21GQ" TargetMode="External"/><Relationship Id="rId816" Type="http://schemas.openxmlformats.org/officeDocument/2006/relationships/hyperlink" Target="https://www.google.com/url?q=https://wcipeg.com/problem/coci096p5&amp;sa=D&amp;ust=1605639832182000&amp;usg=AFQjCNFutOYVc8jjJ8Uq-QUksE3duDF3iA" TargetMode="External"/><Relationship Id="rId1446" Type="http://schemas.openxmlformats.org/officeDocument/2006/relationships/hyperlink" Target="https://www.google.com/url?q=https://www.infoarena.ro/problema/culmi&amp;sa=D&amp;ust=1605639832362000&amp;usg=AFQjCNGDy0D3NBkGVzgV1J_7hUPOl6yHZg" TargetMode="External"/><Relationship Id="rId1653" Type="http://schemas.openxmlformats.org/officeDocument/2006/relationships/hyperlink" Target="https://www.google.com/url?q=http://poj.org/problem?id%3D1147&amp;sa=D&amp;ust=1605639832429000&amp;usg=AFQjCNE2AKSeZqoLkX3muJVao2uTL9Fb2g" TargetMode="External"/><Relationship Id="rId1860" Type="http://schemas.openxmlformats.org/officeDocument/2006/relationships/hyperlink" Target="https://www.google.com/url?q=https://oj.uz/problem/view/IOI17_prize&amp;sa=D&amp;ust=1605639832496000&amp;usg=AFQjCNHwQW8p8cKdpmVAqhcPEaSWuv86OQ" TargetMode="External"/><Relationship Id="rId2704" Type="http://schemas.openxmlformats.org/officeDocument/2006/relationships/hyperlink" Target="https://www.google.com/url?q=https://github.com/mostafa-saad/MyCompetitiveProgramming/blob/master/Olympiad/POI/POI-12-WarehouseStore.txt&amp;sa=D&amp;ust=1605639832758000&amp;usg=AFQjCNHTnMd7bBadJw7yzDqYZufbUsNKIg" TargetMode="External"/><Relationship Id="rId2911" Type="http://schemas.openxmlformats.org/officeDocument/2006/relationships/hyperlink" Target="https://www.google.com/url?q=https://github.com/updown2/OI-Practice/blob/master/USACO/2012-2013/December/Gold/Gangs.cpp&amp;sa=D&amp;ust=1605639832823000&amp;usg=AFQjCNHqIaTT9aeNrDOXRFy9UzhN34eQ9w" TargetMode="External"/><Relationship Id="rId1306" Type="http://schemas.openxmlformats.org/officeDocument/2006/relationships/hyperlink" Target="https://www.google.com/url?q=https://dmoj.ca/problem/ccoprep16q1&amp;sa=D&amp;ust=1605639832326000&amp;usg=AFQjCNFZZl-UEHBfTaP4LsaIVT6-C3jzvw" TargetMode="External"/><Relationship Id="rId1513" Type="http://schemas.openxmlformats.org/officeDocument/2006/relationships/hyperlink" Target="https://www.google.com/url?q=https://github.com/stefdasca/CompetitiveProgramming/blob/master/Infoarena/meneaito.cpp&amp;sa=D&amp;ust=1605639832384000&amp;usg=AFQjCNHlRlwR9rBMh1UaPTxwPEH6vrtrNQ" TargetMode="External"/><Relationship Id="rId1720" Type="http://schemas.openxmlformats.org/officeDocument/2006/relationships/hyperlink" Target="https://www.google.com/url?q=https://github.com/mostafa-saad/MyCompetitiveProgramming/blob/master/Olympiad/IOI/official/2006/ioi06_writing_sol.pdf&amp;sa=D&amp;ust=1605639832448000&amp;usg=AFQjCNEegoXdxinZkPDUx_o00NV9E5MisA" TargetMode="External"/><Relationship Id="rId12" Type="http://schemas.openxmlformats.org/officeDocument/2006/relationships/hyperlink" Target="https://www.google.com/url?q=https://github.com/mostafa-saad/MyCompetitiveProgramming/blob/master/Olympiad/APIO/APIO-08-Roads.txt&amp;sa=D&amp;ust=1605639831956000&amp;usg=AFQjCNHibbsI0hHuI_ppzEBnCjhaExR8dA" TargetMode="External"/><Relationship Id="rId399" Type="http://schemas.openxmlformats.org/officeDocument/2006/relationships/hyperlink" Target="https://www.google.com/url?q=https://cses.fi/191/list/&amp;sa=D&amp;ust=1605639832075000&amp;usg=AFQjCNF7E_Xl-aTKxYXBEBvnCuANkELJNw" TargetMode="External"/><Relationship Id="rId2287" Type="http://schemas.openxmlformats.org/officeDocument/2006/relationships/hyperlink" Target="https://www.google.com/url?q=https://dunjudge.me/analysis/problems/238/&amp;sa=D&amp;ust=1605639832643000&amp;usg=AFQjCNEQY4rblNepQ-IJNLuSNEK2q6o5tQ" TargetMode="External"/><Relationship Id="rId2494" Type="http://schemas.openxmlformats.org/officeDocument/2006/relationships/hyperlink" Target="https://www.google.com/url?q=https://github.com/mostafa-saad/MyCompetitiveProgramming/blob/master/Olympiad/POI/POI-04-Islands.txt&amp;sa=D&amp;ust=1605639832712000&amp;usg=AFQjCNEqDhUtYAWWnVoAxAg_nuXDWV6NtQ" TargetMode="External"/><Relationship Id="rId259" Type="http://schemas.openxmlformats.org/officeDocument/2006/relationships/hyperlink" Target="https://www.google.com/url?q=https://oj.uz/problem/view/BOI13_pipes&amp;sa=D&amp;ust=1605639832031000&amp;usg=AFQjCNEGUxkiPjJvEOABtKuTIzxRJDHisQ" TargetMode="External"/><Relationship Id="rId466" Type="http://schemas.openxmlformats.org/officeDocument/2006/relationships/hyperlink" Target="https://www.google.com/url?q=https://szkopul.edu.pl/problemset/problem/XZhW8DteK37aYwrB_JoHxd2E/site/&amp;sa=D&amp;ust=1605639832097000&amp;usg=AFQjCNGgWdkX4EMwVPmEoNY_Pt04dAjmrg" TargetMode="External"/><Relationship Id="rId673" Type="http://schemas.openxmlformats.org/officeDocument/2006/relationships/hyperlink" Target="https://www.google.com/url?q=https://github.com/mostafa-saad/MyCompetitiveProgramming/tree/master/Olympiad/COCI/official/2008/regional_solutions&amp;sa=D&amp;ust=1605639832146000&amp;usg=AFQjCNEr0J6mp7YBApGluNYfnPUy3mZhwQ" TargetMode="External"/><Relationship Id="rId880" Type="http://schemas.openxmlformats.org/officeDocument/2006/relationships/hyperlink" Target="https://www.google.com/url?q=https://github.com/mostafa-saad/MyCompetitiveProgramming/tree/master/Olympiad/COCI/official/2012/contest6_solutions&amp;sa=D&amp;ust=1605639832204000&amp;usg=AFQjCNGSyn0mlh7CIxAVlgvX-rsft3AHHw" TargetMode="External"/><Relationship Id="rId1096" Type="http://schemas.openxmlformats.org/officeDocument/2006/relationships/hyperlink" Target="https://www.google.com/url?q=https://github.com/mostafa-saad/MyCompetitiveProgramming/blob/master/Olympiad/COCI/official/2018/contest1_solutions&amp;sa=D&amp;ust=1605639832258000&amp;usg=AFQjCNFEZ56IKBHNOSl2ti-FnC7CJ8IDDg" TargetMode="External"/><Relationship Id="rId2147" Type="http://schemas.openxmlformats.org/officeDocument/2006/relationships/hyperlink" Target="https://www.google.com/url?q=https://dunjudge.me/analysis/problems/732/&amp;sa=D&amp;ust=1605639832592000&amp;usg=AFQjCNGCUYLbXgS8dEcksqko0PYMG3493A" TargetMode="External"/><Relationship Id="rId2354" Type="http://schemas.openxmlformats.org/officeDocument/2006/relationships/hyperlink" Target="https://www.google.com/url?q=https://github.com/mostafa-saad/MyCompetitiveProgramming/blob/master/Olympiad/NOI/official&amp;sa=D&amp;ust=1605639832660000&amp;usg=AFQjCNFhKVbrpwcaTcs_9XLBI9NZlNg2ZA" TargetMode="External"/><Relationship Id="rId2561" Type="http://schemas.openxmlformats.org/officeDocument/2006/relationships/hyperlink" Target="https://www.google.com/url?q=https://szkopul.edu.pl/problemset/problem/zWn2E-v-nn-bozeXQrykmCgD/site/&amp;sa=D&amp;ust=1605639832729000&amp;usg=AFQjCNGRKisZj-d4H__r55DKicloyb6ysQ" TargetMode="External"/><Relationship Id="rId119" Type="http://schemas.openxmlformats.org/officeDocument/2006/relationships/hyperlink" Target="https://www.google.com/url?q=https://github.com/mostafa-saad/MyCompetitiveProgramming/tree/master/Olympiad/Balkan/official/2015&amp;sa=D&amp;ust=1605639831988000&amp;usg=AFQjCNGmD7IDhrOLSYl63_ZuQtca16cZQw" TargetMode="External"/><Relationship Id="rId326" Type="http://schemas.openxmlformats.org/officeDocument/2006/relationships/hyperlink" Target="https://www.google.com/url?q=https://github.com/mostafa-saad/MyCompetitiveProgramming/tree/master/Olympiad/Baltic/official/boi2019_solutions&amp;sa=D&amp;ust=1605639832045000&amp;usg=AFQjCNGOG1_j5F1LJdG7dWBqvSRAFnm3HA" TargetMode="External"/><Relationship Id="rId533" Type="http://schemas.openxmlformats.org/officeDocument/2006/relationships/hyperlink" Target="https://www.google.com/url?q=https://csacademy.com/contest/ceoi-2017-day-1/tasks/&amp;sa=D&amp;ust=1605639832116000&amp;usg=AFQjCNEEqu_aeS4vP1gF8JfYzaODYkkgDw" TargetMode="External"/><Relationship Id="rId1163" Type="http://schemas.openxmlformats.org/officeDocument/2006/relationships/hyperlink" Target="https://www.google.com/url?q=https://oj.uz/problem/view/COCI18_deblo&amp;sa=D&amp;ust=1605639832281000&amp;usg=AFQjCNGSJSPZ5cUjrsrpLez4KF5j_u1q9g" TargetMode="External"/><Relationship Id="rId1370" Type="http://schemas.openxmlformats.org/officeDocument/2006/relationships/hyperlink" Target="https://www.google.com/url?q=https://github.com/stefdasca/CompetitiveProgramming/blob/master/Info1Cup/National%2520Round/mean.cpp&amp;sa=D&amp;ust=1605639832345000&amp;usg=AFQjCNENUuiYf0IlPOBF0zuQg2cAh8eUqQ" TargetMode="External"/><Relationship Id="rId2007" Type="http://schemas.openxmlformats.org/officeDocument/2006/relationships/hyperlink" Target="https://www.google.com/url?q=https://github.com/mostafa-saad/MyCompetitiveProgramming/blob/master/Olympiad/IZhO/IZhO-18-treearray.txt&amp;sa=D&amp;ust=1605639832542000&amp;usg=AFQjCNF50ASDrmZCxsFWo5m24P1GhJWGpw" TargetMode="External"/><Relationship Id="rId2214" Type="http://schemas.openxmlformats.org/officeDocument/2006/relationships/hyperlink" Target="https://www.google.com/url?q=https://codeforces.com/blog/entry/58433&amp;sa=D&amp;ust=1605639832617000&amp;usg=AFQjCNE76CMr4pnvPTquvA7tH-R-KYfHkQ" TargetMode="External"/><Relationship Id="rId740" Type="http://schemas.openxmlformats.org/officeDocument/2006/relationships/hyperlink" Target="https://www.google.com/url?q=https://dmoj.ca/problem/coci08c1p4&amp;sa=D&amp;ust=1605639832160000&amp;usg=AFQjCNEECy_OYOPsOVTFLvRcSrJdoHoHCw" TargetMode="External"/><Relationship Id="rId1023" Type="http://schemas.openxmlformats.org/officeDocument/2006/relationships/hyperlink" Target="https://www.google.com/url?q=https://github.com/mostafa-saad/MyCompetitiveProgramming/blob/master/Olympiad/COCI/COCI-16-burza.txt&amp;sa=D&amp;ust=1605639832240000&amp;usg=AFQjCNHXWcA-PxlHYFDw7MifACnRx5K9dg" TargetMode="External"/><Relationship Id="rId2421" Type="http://schemas.openxmlformats.org/officeDocument/2006/relationships/hyperlink" Target="https://www.google.com/url?q=https://dunjudge.me/analysis/problems/87/&amp;sa=D&amp;ust=1605639832683000&amp;usg=AFQjCNFIdjERuQ8vN_7QctrvPbn1o5Tu3Q" TargetMode="External"/><Relationship Id="rId600" Type="http://schemas.openxmlformats.org/officeDocument/2006/relationships/hyperlink" Target="https://www.google.com/url?q=https://dmoj.ca/problem/coci06c3p2&amp;sa=D&amp;ust=1605639832131000&amp;usg=AFQjCNH4dhY1D56HYdkHPZSV6394-lCTGQ" TargetMode="External"/><Relationship Id="rId1230" Type="http://schemas.openxmlformats.org/officeDocument/2006/relationships/hyperlink" Target="https://www.google.com/url?q=https://github.com/mostafa-saad/MyCompetitiveProgramming/blob/master/COI/official/2010&amp;sa=D&amp;ust=1605639832307000&amp;usg=AFQjCNHGC1q2mwJW-uQ8O-zcznY5xIV4gA" TargetMode="External"/><Relationship Id="rId183" Type="http://schemas.openxmlformats.org/officeDocument/2006/relationships/hyperlink" Target="https://www.google.com/url?q=https://cses.fi/112/list/&amp;sa=D&amp;ust=1605639832009000&amp;usg=AFQjCNFuH_rxHdgVUFeJwXWCBBNL5i4T9w" TargetMode="External"/><Relationship Id="rId390" Type="http://schemas.openxmlformats.org/officeDocument/2006/relationships/hyperlink" Target="https://www.google.com/url?q=https://github.com/mostafa-saad/MyCompetitiveProgramming/blob/master/Olympiad/CEOI/CEOI-04-Clouds.txt&amp;sa=D&amp;ust=1605639832072000&amp;usg=AFQjCNHLh5bolKJJXhKGIPEOlsU5ASqIvw" TargetMode="External"/><Relationship Id="rId1907" Type="http://schemas.openxmlformats.org/officeDocument/2006/relationships/hyperlink" Target="https://www.google.com/url?q=https://github.com/Yehezkiel01/CompetitiveProgramming/blob/master/IOIPractice/IOIPractice-14-questions-i-ask-myself-ioi14.cpp&amp;sa=D&amp;ust=1605639832510000&amp;usg=AFQjCNG4UOUTq_KT9UlJKZcckoUOlHCwaQ" TargetMode="External"/><Relationship Id="rId2071" Type="http://schemas.openxmlformats.org/officeDocument/2006/relationships/hyperlink" Target="https://www.google.com/url?q=https://github.com/dolphingarlic/CompetitiveProgramming/blob/master/JOI/JOI%252020-jjooii.cpp&amp;sa=D&amp;ust=1605639832560000&amp;usg=AFQjCNHl6-1KLrE7Ih92vt5PVQaDp1JiTg" TargetMode="External"/><Relationship Id="rId250" Type="http://schemas.openxmlformats.org/officeDocument/2006/relationships/hyperlink" Target="https://www.google.com/url?q=https://cses.fi/98/list/&amp;sa=D&amp;ust=1605639832028000&amp;usg=AFQjCNEI8nS7wAvWGNPGQ-06U5Iu9kLSFw" TargetMode="External"/><Relationship Id="rId110" Type="http://schemas.openxmlformats.org/officeDocument/2006/relationships/hyperlink" Target="https://www.google.com/url?q=https://www.acmicpc.net/problem/5250&amp;sa=D&amp;ust=1605639831985000&amp;usg=AFQjCNHdDEK8ycQZGqPsxbmS1a9OWSGjuQ" TargetMode="External"/><Relationship Id="rId2888" Type="http://schemas.openxmlformats.org/officeDocument/2006/relationships/hyperlink" Target="https://www.google.com/url?q=https://github.com/SpeedOfMagic/CompetitiveProgramming/blob/master/SNSS/18-R1-A.cpp&amp;sa=D&amp;ust=1605639832816000&amp;usg=AFQjCNFhRP0RlP_W27mQyGZ3-QKNIYbS0A" TargetMode="External"/><Relationship Id="rId1697" Type="http://schemas.openxmlformats.org/officeDocument/2006/relationships/hyperlink" Target="https://www.google.com/url?q=https://contest.yandex.ru/ioi/contest/566/enter/&amp;sa=D&amp;ust=1605639832442000&amp;usg=AFQjCNFUHcUj7gPLiNKQ7tuVAZ4svUHRYw" TargetMode="External"/><Relationship Id="rId2748" Type="http://schemas.openxmlformats.org/officeDocument/2006/relationships/hyperlink" Target="https://www.google.com/url?q=https://szkopul.edu.pl/problemset/problem/2yK6zUTXvAjhxSDfbjE4Zx7k/site/&amp;sa=D&amp;ust=1605639832768000&amp;usg=AFQjCNH0vnpOIFur1Lkzb9_GWzKMKxN-RA" TargetMode="External"/><Relationship Id="rId2955" Type="http://schemas.openxmlformats.org/officeDocument/2006/relationships/hyperlink" Target="https://www.google.com/url?q=http://usaco.org/index.php?page%3Dviewproblem2%26cpid%3D698&amp;sa=D&amp;ust=1605639832839000&amp;usg=AFQjCNHQb9mMMD0hm2qrP9hzuvVIJM9j_Q" TargetMode="External"/><Relationship Id="rId927" Type="http://schemas.openxmlformats.org/officeDocument/2006/relationships/hyperlink" Target="https://www.google.com/url?q=https://dmoj.ca/problem/coci14c5p1&amp;sa=D&amp;ust=1605639832215000&amp;usg=AFQjCNEz-iJ-hfwD_f7_kt4p97PAe_F3CA" TargetMode="External"/><Relationship Id="rId1557" Type="http://schemas.openxmlformats.org/officeDocument/2006/relationships/hyperlink" Target="https://www.google.com/url?q=https://github.com/stefdasca/CompetitiveProgramming/blob/master/Infoarena/pesaptecarari.cpp&amp;sa=D&amp;ust=1605639832400000&amp;usg=AFQjCNGpTPnTrvpRNADrgCyBszlbh5-DZA" TargetMode="External"/><Relationship Id="rId1764" Type="http://schemas.openxmlformats.org/officeDocument/2006/relationships/hyperlink" Target="https://www.google.com/url?q=https://github.com/mostafa-saad/MyCompetitiveProgramming/blob/master/Olympiad/IOI/official/2010&amp;sa=D&amp;ust=1605639832461000&amp;usg=AFQjCNGqnpoZXmGf-gfxvtcE31g7OOaspg" TargetMode="External"/><Relationship Id="rId1971" Type="http://schemas.openxmlformats.org/officeDocument/2006/relationships/hyperlink" Target="https://www.google.com/url?q=https://github.com/mostafa-saad/MyCompetitiveProgramming/blob/master/Olympiad/IZhO/IZhO-12-biochips.txt&amp;sa=D&amp;ust=1605639832530000&amp;usg=AFQjCNHcfIgyoS4iNZp6NhBqV1RihYpShQ" TargetMode="External"/><Relationship Id="rId2608" Type="http://schemas.openxmlformats.org/officeDocument/2006/relationships/hyperlink" Target="https://www.google.com/url?q=https://github.com/mostafa-saad/MyCompetitiveProgramming/blob/master/Olympiad/POI/official/find_editorial_sols_guidelines.txt&amp;sa=D&amp;ust=1605639832739000&amp;usg=AFQjCNFKRoYdG9iXNQt7O_glsZ7PWG_ktg" TargetMode="External"/><Relationship Id="rId2815" Type="http://schemas.openxmlformats.org/officeDocument/2006/relationships/hyperlink" Target="https://www.google.com/url?q=https://szkopul.edu.pl/problemset/problem/sKmyIHBMNi9EV3WO6GQ4xoFt/site/&amp;sa=D&amp;ust=1605639832792000&amp;usg=AFQjCNEc4yUXr0lnQgm0jKrplSsOr2fC8w" TargetMode="External"/><Relationship Id="rId56" Type="http://schemas.openxmlformats.org/officeDocument/2006/relationships/hyperlink" Target="https://www.google.com/url?q=https://oj.uz/problems/source/184&amp;sa=D&amp;ust=1605639831965000&amp;usg=AFQjCNFgjxR7aJqCX4npqQlQ_UDgdFRv3g" TargetMode="External"/><Relationship Id="rId1417" Type="http://schemas.openxmlformats.org/officeDocument/2006/relationships/hyperlink" Target="https://www.google.com/url?q=https://www.infoarena.ro/problema/casute&amp;sa=D&amp;ust=1605639832355000&amp;usg=AFQjCNHuSCh4BVq6qiJhQIiZ5UGfYAApXQ" TargetMode="External"/><Relationship Id="rId1624" Type="http://schemas.openxmlformats.org/officeDocument/2006/relationships/hyperlink" Target="https://www.google.com/url?q=https://github.com/mostafa-saad/MyCompetitiveProgramming/blob/master/Olympiad/infoarena/infoarena_xortransform.txt&amp;sa=D&amp;ust=1605639832421000&amp;usg=AFQjCNGAbS2iX_ax3XdXp1MwYjEYO1IetA" TargetMode="External"/><Relationship Id="rId1831" Type="http://schemas.openxmlformats.org/officeDocument/2006/relationships/hyperlink" Target="https://www.google.com/url?q=https://oj.uz/problem/view/IOI15_teams&amp;sa=D&amp;ust=1605639832486000&amp;usg=AFQjCNGFYcxc_fw_xq8TIlaJhTVWZZoZCg" TargetMode="External"/><Relationship Id="rId2398" Type="http://schemas.openxmlformats.org/officeDocument/2006/relationships/hyperlink" Target="https://www.google.com/url?q=https://dunjudge.me/analysis/problems/1828/&amp;sa=D&amp;ust=1605639832672000&amp;usg=AFQjCNGlLNhiNDm8fp-Qem00f5_sjlT0AA" TargetMode="External"/><Relationship Id="rId577" Type="http://schemas.openxmlformats.org/officeDocument/2006/relationships/hyperlink" Target="https://www.google.com/url?q=https://github.com/mostafa-saad/MyCompetitiveProgramming/tree/master/Olympiad/COCI/official/2007/contest1_solutions&amp;sa=D&amp;ust=1605639832127000&amp;usg=AFQjCNFn4UviGz6zohrmKO5YxkpOZDci5g" TargetMode="External"/><Relationship Id="rId2258" Type="http://schemas.openxmlformats.org/officeDocument/2006/relationships/hyperlink" Target="https://www.google.com/url?q=https://dunjudge.me/analysis/problems/962/&amp;sa=D&amp;ust=1605639832633000&amp;usg=AFQjCNEKt3GItjYeB2uUkjLBsycExOTkaw" TargetMode="External"/><Relationship Id="rId784" Type="http://schemas.openxmlformats.org/officeDocument/2006/relationships/hyperlink" Target="https://www.google.com/url?q=https://dmoj.ca/problem/coci08c4p4&amp;sa=D&amp;ust=1605639832172000&amp;usg=AFQjCNFoXIBKVkA_BjMObR-awyBkrEvIyQ" TargetMode="External"/><Relationship Id="rId991" Type="http://schemas.openxmlformats.org/officeDocument/2006/relationships/hyperlink" Target="https://www.google.com/url?q=https://dmoj.ca/problem/coci15c3p6&amp;sa=D&amp;ust=1605639832231000&amp;usg=AFQjCNEPVzM891JYrD-qVAYBYbnFtpMY-g" TargetMode="External"/><Relationship Id="rId1067" Type="http://schemas.openxmlformats.org/officeDocument/2006/relationships/hyperlink" Target="https://www.google.com/url?q=https://oj.uz/problem/view/COCI17_dojave&amp;sa=D&amp;ust=1605639832250000&amp;usg=AFQjCNF42zoZOC9Wjejcl26CweEafm_0Yw" TargetMode="External"/><Relationship Id="rId2465" Type="http://schemas.openxmlformats.org/officeDocument/2006/relationships/hyperlink" Target="https://www.google.com/url?q=https://dunjudge.me/analysis/problems/1475/&amp;sa=D&amp;ust=1605639832703000&amp;usg=AFQjCNFYcfHd3u4fP2S5E-3hRKuocyeRWQ" TargetMode="External"/><Relationship Id="rId2672" Type="http://schemas.openxmlformats.org/officeDocument/2006/relationships/hyperlink" Target="https://www.google.com/url?q=https://github.com/mostafa-saad/MyCompetitiveProgramming/blob/master/Olympiad/POI/official/find_editorial_sols_guidelines.txt&amp;sa=D&amp;ust=1605639832752000&amp;usg=AFQjCNGTA8S8HQmHaAURzp9cjhG7SE1SbQ" TargetMode="External"/><Relationship Id="rId437" Type="http://schemas.openxmlformats.org/officeDocument/2006/relationships/hyperlink" Target="https://www.google.com/url?q=https://cses.fi/190/list/&amp;sa=D&amp;ust=1605639832088000&amp;usg=AFQjCNECMOV6rEni6ed8A4h4CeCuclelLg" TargetMode="External"/><Relationship Id="rId644" Type="http://schemas.openxmlformats.org/officeDocument/2006/relationships/hyperlink" Target="https://www.google.com/url?q=https://dmoj.ca/problem/coci07c5p6&amp;sa=D&amp;ust=1605639832141000&amp;usg=AFQjCNHqxiKaoAr23PRk67gW5dW6IP7z4w" TargetMode="External"/><Relationship Id="rId851" Type="http://schemas.openxmlformats.org/officeDocument/2006/relationships/hyperlink" Target="https://www.google.com/url?q=https://wcipeg.com/problem/coci093p2&amp;sa=D&amp;ust=1605639832194000&amp;usg=AFQjCNGBs-1Smw2740aOUKXNkypgPMfkTg" TargetMode="External"/><Relationship Id="rId1274" Type="http://schemas.openxmlformats.org/officeDocument/2006/relationships/hyperlink" Target="https://www.google.com/url?q=https://oj.uz/problem/view/COI17_ili&amp;sa=D&amp;ust=1605639832318000&amp;usg=AFQjCNFft3knmUJN68vFuJohGDKE7VSSFQ" TargetMode="External"/><Relationship Id="rId1481" Type="http://schemas.openxmlformats.org/officeDocument/2006/relationships/hyperlink" Target="https://www.google.com/url?q=https://github.com/stefdasca/CompetitiveProgramming/blob/master/Infoarena/incurcatura.cpp&amp;sa=D&amp;ust=1605639832373000&amp;usg=AFQjCNFtLh0O4cOrljfI8do1RYNnBypyuA" TargetMode="External"/><Relationship Id="rId2118" Type="http://schemas.openxmlformats.org/officeDocument/2006/relationships/hyperlink" Target="https://www.google.com/url?q=https://github.com/tmwilliamlin168/CompetitiveProgramming/blob/master/JOI/19O-Virus.cpp&amp;sa=D&amp;ust=1605639832575000&amp;usg=AFQjCNF6xWUj5l52612gjpdwW1yeijaEQg" TargetMode="External"/><Relationship Id="rId2325" Type="http://schemas.openxmlformats.org/officeDocument/2006/relationships/hyperlink" Target="https://www.google.com/url?q=https://github.com/mostafa-saad/MyCompetitiveProgramming/blob/master/Olympiad/NOI/official/2011.pptx&amp;sa=D&amp;ust=1605639832653000&amp;usg=AFQjCNFjJRZMEueG8KWon2lP2t3E6s9MZQ" TargetMode="External"/><Relationship Id="rId2532" Type="http://schemas.openxmlformats.org/officeDocument/2006/relationships/hyperlink" Target="https://www.google.com/url?q=https://github.com/mostafa-saad/MyCompetitiveProgramming/blob/master/Olympiad/POI/official/find_editorial_sols_guidelines.txt&amp;sa=D&amp;ust=1605639832722000&amp;usg=AFQjCNGhwjdFl_5aYlMO1aNMSiGE97Lt_w" TargetMode="External"/><Relationship Id="rId504" Type="http://schemas.openxmlformats.org/officeDocument/2006/relationships/hyperlink" Target="https://www.google.com/url?q=https://github.com/SpeedOfMagic/CompetitiveProgramming/blob/master/CEOI/15-bobek.cpp&amp;sa=D&amp;ust=1605639832108000&amp;usg=AFQjCNFCxpZuBbY0MoxIP9mFdv6_yX1WgQ" TargetMode="External"/><Relationship Id="rId711" Type="http://schemas.openxmlformats.org/officeDocument/2006/relationships/hyperlink" Target="https://www.google.com/url?q=https://github.com/mostafa-saad/MyCompetitiveProgramming/tree/master/Olympiad/COCI/official/2008/contest5_solutions&amp;sa=D&amp;ust=1605639832155000&amp;usg=AFQjCNHOshPrB5z5ErDCzw9UIxBCzMpOAw" TargetMode="External"/><Relationship Id="rId1134" Type="http://schemas.openxmlformats.org/officeDocument/2006/relationships/hyperlink" Target="https://www.google.com/url?q=https://oj.uz/problem/view/COCI18_clickbait&amp;sa=D&amp;ust=1605639832270000&amp;usg=AFQjCNHhquvvkgdnwXHDwrGo-qUr2uxcOQ" TargetMode="External"/><Relationship Id="rId1341" Type="http://schemas.openxmlformats.org/officeDocument/2006/relationships/hyperlink" Target="https://www.google.com/url?q=https://codeforces.com/group/swEqtABRxe/contest/243429/problem/A&amp;sa=D&amp;ust=1605639832337000&amp;usg=AFQjCNHItO0Qqs8odbQ5H0P5hmCI3cAdVQ" TargetMode="External"/><Relationship Id="rId1201" Type="http://schemas.openxmlformats.org/officeDocument/2006/relationships/hyperlink" Target="https://www.google.com/url?q=https://dmoj.ca/problem/coi06p3&amp;sa=D&amp;ust=1605639832298000&amp;usg=AFQjCNEngzw-nsek1BJmQHIPmPOEhakpSw" TargetMode="External"/><Relationship Id="rId294" Type="http://schemas.openxmlformats.org/officeDocument/2006/relationships/hyperlink" Target="https://www.google.com/url?q=https://github.com/tmwilliamlin168/CompetitiveProgramming/blob/master/BtOI/16-Cities.cpp&amp;sa=D&amp;ust=1605639832038000&amp;usg=AFQjCNE4oGyTMrla-XFtVv1nz51dPDLlpg" TargetMode="External"/><Relationship Id="rId2182" Type="http://schemas.openxmlformats.org/officeDocument/2006/relationships/hyperlink" Target="https://www.google.com/url?q=https://oj.uz/problem/view/JOI17_dragon2&amp;sa=D&amp;ust=1605639832606000&amp;usg=AFQjCNFLgIkbnrlA-fT1kAWZt7fzeYZcRg" TargetMode="External"/><Relationship Id="rId154" Type="http://schemas.openxmlformats.org/officeDocument/2006/relationships/hyperlink" Target="https://www.google.com/url?q=https://github.com/mostafa-saad/MyCompetitiveProgramming/blob/master/Olympiad/Balkan/Balkan-18-zalmoxis.txt&amp;sa=D&amp;ust=1605639832000000&amp;usg=AFQjCNG8gTcQZYVMd7a105WpJ60O834ltQ" TargetMode="External"/><Relationship Id="rId361" Type="http://schemas.openxmlformats.org/officeDocument/2006/relationships/hyperlink" Target="https://www.google.com/url?q=https://github.com/luciocf/OI-Problems/blob/master/CCO/CCO%25202018/boring.cpp&amp;sa=D&amp;ust=1605639832055000&amp;usg=AFQjCNGVN9AD-zeDWeev8Z8WtX7_LFFjwQ" TargetMode="External"/><Relationship Id="rId2042" Type="http://schemas.openxmlformats.org/officeDocument/2006/relationships/hyperlink" Target="https://www.google.com/url?q=https://github.com/nikolapesic2802/Programming-Practice/blob/master/Foehn%2520Phenomena/main.cpp&amp;sa=D&amp;ust=1605639832551000&amp;usg=AFQjCNFo7flYL3QA9cdiWtRHdAZawJ-ETA" TargetMode="External"/><Relationship Id="rId2999" Type="http://schemas.openxmlformats.org/officeDocument/2006/relationships/hyperlink" Target="https://www.google.com/url?q=http://usaco.org/index.php?page%3Dviewproblem2%26cpid%3D947&amp;sa=D&amp;ust=1605639832866000&amp;usg=AFQjCNEUdxdE3dvfkehB8CNaccn-TmYYUw" TargetMode="External"/><Relationship Id="rId221" Type="http://schemas.openxmlformats.org/officeDocument/2006/relationships/hyperlink" Target="https://www.google.com/url?q=https://cses.fi/106/list/&amp;sa=D&amp;ust=1605639832021000&amp;usg=AFQjCNECBHAhDtplsW7tjf_2-Csy3B5GzA" TargetMode="External"/><Relationship Id="rId2859" Type="http://schemas.openxmlformats.org/officeDocument/2006/relationships/hyperlink" Target="https://www.google.com/url?q=https://csacademy.com/contest/rmi-2017-day-1/task/hangman2/&amp;sa=D&amp;ust=1605639832806000&amp;usg=AFQjCNG0MrPhUyS1RiF2z0ivcEuznKNgfQ" TargetMode="External"/><Relationship Id="rId1668" Type="http://schemas.openxmlformats.org/officeDocument/2006/relationships/hyperlink" Target="https://www.google.com/url?q=https://github.com/mostafa-saad/MyCompetitiveProgramming/blob/master/Olympiad/IOI/IOI-02-Frog.txt&amp;sa=D&amp;ust=1605639832434000&amp;usg=AFQjCNGQt20MLkdljA3ajzA8eGPYVj25aA" TargetMode="External"/><Relationship Id="rId1875" Type="http://schemas.openxmlformats.org/officeDocument/2006/relationships/hyperlink" Target="https://www.google.com/url?q=https://github.com/mostafa-saad/MyCompetitiveProgramming/blob/master/Olympiad/IOI/IOI-18-meetings.txt&amp;sa=D&amp;ust=1605639832500000&amp;usg=AFQjCNHVyQUE3bmhcukpwiVIjUFVsh8eiw" TargetMode="External"/><Relationship Id="rId2719" Type="http://schemas.openxmlformats.org/officeDocument/2006/relationships/hyperlink" Target="https://www.google.com/url?q=https://szkopul.edu.pl/problemset/problem/TE77UNYEUxsFcrRxYRPc99na/site/&amp;sa=D&amp;ust=1605639832761000&amp;usg=AFQjCNE0asKoboKwRfcX7JDqc5Xc7lrt_Q" TargetMode="External"/><Relationship Id="rId1528" Type="http://schemas.openxmlformats.org/officeDocument/2006/relationships/hyperlink" Target="https://www.google.com/url?q=https://www.infoarena.ro/problema/nrsec&amp;sa=D&amp;ust=1605639832390000&amp;usg=AFQjCNF6yyOQFLrOyIc9QNhZq-TDg3CDqw" TargetMode="External"/><Relationship Id="rId2926" Type="http://schemas.openxmlformats.org/officeDocument/2006/relationships/hyperlink" Target="https://www.google.com/url?q=http://usaco.org/index.php?page%3Dviewproblem2%26cpid%3D577&amp;sa=D&amp;ust=1605639832828000&amp;usg=AFQjCNFFwxJIZLwgbJzeIQ7uJ5EFYWJQUg" TargetMode="External"/><Relationship Id="rId1735" Type="http://schemas.openxmlformats.org/officeDocument/2006/relationships/hyperlink" Target="https://www.google.com/url?q=https://oj.uz/problem/view/IOI08_islands&amp;sa=D&amp;ust=1605639832453000&amp;usg=AFQjCNH6A1b7VJcsJ3JRYI7dr-6QbUC3Ng" TargetMode="External"/><Relationship Id="rId1942" Type="http://schemas.openxmlformats.org/officeDocument/2006/relationships/hyperlink" Target="https://www.google.com/url?q=https://github.com/mostafa-saad/MyCompetitiveProgramming/blob/master/Olympiad/IOI/IOIPractice-19-Job.txt&amp;sa=D&amp;ust=1605639832521000&amp;usg=AFQjCNHerrfbN7fntlY7PtI1qaW5aojJ8A" TargetMode="External"/><Relationship Id="rId27" Type="http://schemas.openxmlformats.org/officeDocument/2006/relationships/hyperlink" Target="https://www.google.com/url?q=https://tioj.ck.tp.edu.tw/problems/1750&amp;sa=D&amp;ust=1605639831958000&amp;usg=AFQjCNFHDZtMzh_vUYlIRRFZzifxt86L8g" TargetMode="External"/><Relationship Id="rId1802" Type="http://schemas.openxmlformats.org/officeDocument/2006/relationships/hyperlink" Target="https://www.google.com/url?q=https://github.com/mostafa-saad/MyCompetitiveProgramming/blob/master/Olympiad/IOI/IOI-13-cave.txt&amp;sa=D&amp;ust=1605639832476000&amp;usg=AFQjCNFEBnuzmE-9UOs-elgeWOMQuhbBMA" TargetMode="External"/><Relationship Id="rId688" Type="http://schemas.openxmlformats.org/officeDocument/2006/relationships/hyperlink" Target="https://www.google.com/url?q=https://dmoj.ca/problem/crci07p1&amp;sa=D&amp;ust=1605639832150000&amp;usg=AFQjCNFGdbTCUaYssg_afFCpAVrtMAiqXg" TargetMode="External"/><Relationship Id="rId895" Type="http://schemas.openxmlformats.org/officeDocument/2006/relationships/hyperlink" Target="https://www.google.com/url?q=https://dunjudge.me/analysis/problems/1413/&amp;sa=D&amp;ust=1605639832207000&amp;usg=AFQjCNEKhrHJUmXQSmMBSikmRQjJFZQTwg" TargetMode="External"/><Relationship Id="rId2369" Type="http://schemas.openxmlformats.org/officeDocument/2006/relationships/hyperlink" Target="https://www.google.com/url?q=https://dunjudge.me/analysis/problems/958/&amp;sa=D&amp;ust=1605639832663000&amp;usg=AFQjCNEZFE_hF6py88g95m_fniVw517Kgg" TargetMode="External"/><Relationship Id="rId2576" Type="http://schemas.openxmlformats.org/officeDocument/2006/relationships/hyperlink" Target="https://www.google.com/url?q=https://github.com/mostafa-saad/MyCompetitiveProgramming/blob/master/Olympiad/POI/POI-08-BBB.txt&amp;sa=D&amp;ust=1605639832732000&amp;usg=AFQjCNHqUKbLTK6vGhtUavXf8G4-QWFX3Q" TargetMode="External"/><Relationship Id="rId2783" Type="http://schemas.openxmlformats.org/officeDocument/2006/relationships/hyperlink" Target="https://www.google.com/url?q=https://szkopul.edu.pl/problemset/problem/zKf5Ua8okcS0jngsrTgKVM9L/site/&amp;sa=D&amp;ust=1605639832781000&amp;usg=AFQjCNGG2FUcq8kZrNmBr1FJ_jdH_MZ9Bg" TargetMode="External"/><Relationship Id="rId2990" Type="http://schemas.openxmlformats.org/officeDocument/2006/relationships/hyperlink" Target="https://www.google.com/url?q=http://usaco.org/index.php?page%3Dviewproblem2%26cpid%3D923&amp;sa=D&amp;ust=1605639832863000&amp;usg=AFQjCNG7mXLrB3WVYKFGBf3pjxNt6VKFqA" TargetMode="External"/><Relationship Id="rId548" Type="http://schemas.openxmlformats.org/officeDocument/2006/relationships/hyperlink" Target="https://www.google.com/url?q=https://codeforces.com/contest/1192/problem/C&amp;sa=D&amp;ust=1605639832120000&amp;usg=AFQjCNFHbG6iibDbb3TMZlJRztOtbgkC1g" TargetMode="External"/><Relationship Id="rId755" Type="http://schemas.openxmlformats.org/officeDocument/2006/relationships/hyperlink" Target="https://www.google.com/url?q=https://github.com/mostafa-saad/MyCompetitiveProgramming/blob/master/Olympiad/COCI/COCI-08-Matrica&amp;sa=D&amp;ust=1605639832163000&amp;usg=AFQjCNFOqadPoV8nt98Rj14eZgyoI9dJSA" TargetMode="External"/><Relationship Id="rId962" Type="http://schemas.openxmlformats.org/officeDocument/2006/relationships/hyperlink" Target="https://www.google.com/url?q=https://github.com/mostafa-saad/MyCompetitiveProgramming/blob/master/Olympiad/COCI/official/2015/contest4_solutions&amp;sa=D&amp;ust=1605639832223000&amp;usg=AFQjCNELk2CDG9m_n5vIoNmwTnqwa_25ng" TargetMode="External"/><Relationship Id="rId1178" Type="http://schemas.openxmlformats.org/officeDocument/2006/relationships/hyperlink" Target="https://www.google.com/url?q=https://oj.uz/problem/view/COCI19_simfonija&amp;sa=D&amp;ust=1605639832286000&amp;usg=AFQjCNFeOJXBh9KxRamBTKq_nzhFrCA_7w" TargetMode="External"/><Relationship Id="rId1385" Type="http://schemas.openxmlformats.org/officeDocument/2006/relationships/hyperlink" Target="https://www.google.com/url?q=https://www.infoarena.ro/problema/amenzi&amp;sa=D&amp;ust=1605639832348000&amp;usg=AFQjCNFwbsDaZLiikjETqnDq7Ju2lfsUGg" TargetMode="External"/><Relationship Id="rId1592" Type="http://schemas.openxmlformats.org/officeDocument/2006/relationships/hyperlink" Target="https://www.google.com/url?q=https://github.com/stefdasca/CompetitiveProgramming/blob/master/Infoarena/secvmax.cpp&amp;sa=D&amp;ust=1605639832411000&amp;usg=AFQjCNEKcOkTSkeSJYkxJ4JjljN9ovVBaA" TargetMode="External"/><Relationship Id="rId2229" Type="http://schemas.openxmlformats.org/officeDocument/2006/relationships/hyperlink" Target="https://www.google.com/url?q=https://oj.uz/problem/view/JOI19_timeleap&amp;sa=D&amp;ust=1605639832623000&amp;usg=AFQjCNFJKu5GaBtg_BcmvD-oTkBCb18Q7g" TargetMode="External"/><Relationship Id="rId2436" Type="http://schemas.openxmlformats.org/officeDocument/2006/relationships/hyperlink" Target="https://www.google.com/url?q=https://dunjudge.me/analysis/problems/677/&amp;sa=D&amp;ust=1605639832689000&amp;usg=AFQjCNGAkmyij1EYvoJn35v_Ff9HFwmQKQ" TargetMode="External"/><Relationship Id="rId2643" Type="http://schemas.openxmlformats.org/officeDocument/2006/relationships/hyperlink" Target="https://www.google.com/url?q=https://szkopul.edu.pl/problemset/problem/lcU5m2RAICwNHsdzydb8JTQw/site/&amp;sa=D&amp;ust=1605639832747000&amp;usg=AFQjCNHlX3k1_qDR2ZScb5spzdgfQKh6Zw" TargetMode="External"/><Relationship Id="rId2850" Type="http://schemas.openxmlformats.org/officeDocument/2006/relationships/hyperlink" Target="https://www.google.com/url?q=https://szkopul.edu.pl/problemset/problem/pxbqUTPy3IuPDul9FdT2_Sth/site/&amp;sa=D&amp;ust=1605639832804000&amp;usg=AFQjCNHoSErYNrWQ9xprPMYbEJsG58K7dg" TargetMode="External"/><Relationship Id="rId91" Type="http://schemas.openxmlformats.org/officeDocument/2006/relationships/hyperlink" Target="https://www.google.com/url?q=https://oj.uz/problem/view/balkan11_2circles&amp;sa=D&amp;ust=1605639831978000&amp;usg=AFQjCNFCXxDL5ALtG96fojgFK6Z13IQCIQ" TargetMode="External"/><Relationship Id="rId408" Type="http://schemas.openxmlformats.org/officeDocument/2006/relationships/hyperlink" Target="https://www.google.com/url?q=https://github.com/mostafa-saad/MyCompetitiveProgramming/tree/master/Olympiad/CEOI/official/2005&amp;sa=D&amp;ust=1605639832078000&amp;usg=AFQjCNF-hw-LoQ3cCr9pP75NThQ6-ZEfNQ" TargetMode="External"/><Relationship Id="rId615" Type="http://schemas.openxmlformats.org/officeDocument/2006/relationships/hyperlink" Target="https://www.google.com/url?q=https://github.com/mostafa-saad/MyCompetitiveProgramming/tree/master/Olympiad/COCI/official/2007/contest4_solutions&amp;sa=D&amp;ust=1605639832135000&amp;usg=AFQjCNGMg7GssU5mQXJuAe9RwPetsYYbRw" TargetMode="External"/><Relationship Id="rId822" Type="http://schemas.openxmlformats.org/officeDocument/2006/relationships/hyperlink" Target="https://www.google.com/url?q=https://github.com/mostafa-saad/MyCompetitiveProgramming/blob/master/Olympiad/COCI/official/2010/contest6_solutions&amp;sa=D&amp;ust=1605639832184000&amp;usg=AFQjCNGR09CJPGqTlAIEz6x7BWFohr2_9w" TargetMode="External"/><Relationship Id="rId1038" Type="http://schemas.openxmlformats.org/officeDocument/2006/relationships/hyperlink" Target="https://www.google.com/url?q=https://oj.uz/problem/view/COCI16_mag&amp;sa=D&amp;ust=1605639832243000&amp;usg=AFQjCNEcQWdlWq3uifbdrSE7MpOGMFrjXg" TargetMode="External"/><Relationship Id="rId1245" Type="http://schemas.openxmlformats.org/officeDocument/2006/relationships/hyperlink" Target="https://www.google.com/url?q=https://github.com/mostafa-saad/MyCompetitiveProgramming/blob/master/Olympiad/COI/COI-14-krave.txt&amp;sa=D&amp;ust=1605639832312000&amp;usg=AFQjCNGK5alBqeiRN1fjGDgYkD2vaQlHmQ" TargetMode="External"/><Relationship Id="rId1452" Type="http://schemas.openxmlformats.org/officeDocument/2006/relationships/hyperlink" Target="https://www.google.com/url?q=https://github.com/stefdasca/CompetitiveProgramming/blob/master/Infoarena/danger.cpp&amp;sa=D&amp;ust=1605639832363000&amp;usg=AFQjCNFeAhQg54VtaScfoiWt8421fZwbtw" TargetMode="External"/><Relationship Id="rId2503" Type="http://schemas.openxmlformats.org/officeDocument/2006/relationships/hyperlink" Target="https://www.google.com/url?q=https://szkopul.edu.pl/problemset/problem/dq_rM2gOy4-8jYIsE7xgo-9l/site/&amp;sa=D&amp;ust=1605639832714000&amp;usg=AFQjCNE6nMumRZEMVAJ_8zcWqqURuX1FHw" TargetMode="External"/><Relationship Id="rId1105" Type="http://schemas.openxmlformats.org/officeDocument/2006/relationships/hyperlink" Target="https://www.google.com/url?q=https://oj.uz/problem/view/COCI17_retro&amp;sa=D&amp;ust=1605639832260000&amp;usg=AFQjCNEqytJsGScZTYRfHJAL45Qxkgr2Qw" TargetMode="External"/><Relationship Id="rId1312" Type="http://schemas.openxmlformats.org/officeDocument/2006/relationships/hyperlink" Target="https://www.google.com/url?q=https://dmoj.ca/problem/gfssoc2s4&amp;sa=D&amp;ust=1605639832328000&amp;usg=AFQjCNHQ7GgWGmdZXXyeOF93vtscoRa_lQ" TargetMode="External"/><Relationship Id="rId2710" Type="http://schemas.openxmlformats.org/officeDocument/2006/relationships/hyperlink" Target="https://www.google.com/url?q=https://github.com/mostafa-saad/MyCompetitiveProgramming/blob/master/Olympiad/POI/official/find_editorial_sols_guidelines.txt&amp;sa=D&amp;ust=1605639832759000&amp;usg=AFQjCNHIMJzGUfikQplL92bk6hFLEYeMWA" TargetMode="External"/><Relationship Id="rId198" Type="http://schemas.openxmlformats.org/officeDocument/2006/relationships/hyperlink" Target="https://www.google.com/url?q=https://github.com/mostafa-saad/MyCompetitiveProgramming/blob/master/Olympiad/Baltic/Baltic-08-Grid.txt&amp;sa=D&amp;ust=1605639832014000&amp;usg=AFQjCNEtHJ7giqQIP1xY2rJKSZr6xypteA" TargetMode="External"/><Relationship Id="rId2086" Type="http://schemas.openxmlformats.org/officeDocument/2006/relationships/hyperlink" Target="https://www.google.com/url?q=https://github.com/SpeedOfMagic/CompetitiveProgramming/blob/master/JOIOC/14-pinball.cpp&amp;sa=D&amp;ust=1605639832564000&amp;usg=AFQjCNG4hF1ccze7D3Ltw4e60RedMfdesg" TargetMode="External"/><Relationship Id="rId2293" Type="http://schemas.openxmlformats.org/officeDocument/2006/relationships/hyperlink" Target="https://www.google.com/url?q=https://dunjudge.me/analysis/problems/134/&amp;sa=D&amp;ust=1605639832644000&amp;usg=AFQjCNHjnkD8Zt9POfzwjb2kRySmpxIn1w" TargetMode="External"/><Relationship Id="rId265" Type="http://schemas.openxmlformats.org/officeDocument/2006/relationships/hyperlink" Target="https://www.google.com/url?q=https://oj.uz/problem/view/BOI14_coprobber&amp;sa=D&amp;ust=1605639832032000&amp;usg=AFQjCNFcMvWj1a5YowqgWCD_LgOI5cXY8A" TargetMode="External"/><Relationship Id="rId472" Type="http://schemas.openxmlformats.org/officeDocument/2006/relationships/hyperlink" Target="https://www.google.com/url?q=https://oj.uz/problem/view/CEOI12_circuit&amp;sa=D&amp;ust=1605639832099000&amp;usg=AFQjCNFF_6SKrT11MhTbIC3p9lG5uw8r0g" TargetMode="External"/><Relationship Id="rId2153" Type="http://schemas.openxmlformats.org/officeDocument/2006/relationships/hyperlink" Target="https://www.google.com/url?q=https://dunjudge.me/analysis/problems/762/&amp;sa=D&amp;ust=1605639832594000&amp;usg=AFQjCNFj90QyTpxxPs_qcbn7ZizUJLSHWQ" TargetMode="External"/><Relationship Id="rId2360" Type="http://schemas.openxmlformats.org/officeDocument/2006/relationships/hyperlink" Target="https://www.google.com/url?q=https://github.com/mostafa-saad/MyCompetitiveProgramming/blob/master/Olympiad/NOI/official&amp;sa=D&amp;ust=1605639832661000&amp;usg=AFQjCNE8MucSuBHA59Vj6oGM0HI8ITFLRg" TargetMode="External"/><Relationship Id="rId125" Type="http://schemas.openxmlformats.org/officeDocument/2006/relationships/hyperlink" Target="https://www.google.com/url?q=https://github.com/mostafa-saad/MyCompetitiveProgramming/tree/master/Olympiad/Balkan/official/2016&amp;sa=D&amp;ust=1605639831991000&amp;usg=AFQjCNFcHWxAdEhiuo5zzIJvA_VZjsZWcg" TargetMode="External"/><Relationship Id="rId332" Type="http://schemas.openxmlformats.org/officeDocument/2006/relationships/hyperlink" Target="https://www.google.com/url?q=https://github.com/mostafa-saad/MyCompetitiveProgramming/tree/master/Olympiad/Baltic/official/boi2019_solutions&amp;sa=D&amp;ust=1605639832046000&amp;usg=AFQjCNHUMmAmq0BPsSMZxV0EyAvGeInOYg" TargetMode="External"/><Relationship Id="rId2013" Type="http://schemas.openxmlformats.org/officeDocument/2006/relationships/hyperlink" Target="https://www.google.com/url?q=https://oj.uz/problem/view/IZhO19_xoractive&amp;sa=D&amp;ust=1605639832543000&amp;usg=AFQjCNEp4ZVwbmTsMsjW_V0BEygR8gw0DA" TargetMode="External"/><Relationship Id="rId2220" Type="http://schemas.openxmlformats.org/officeDocument/2006/relationships/hyperlink" Target="https://www.google.com/url?q=https://oj.uz/problem/view/JOI19_examination&amp;sa=D&amp;ust=1605639832619000&amp;usg=AFQjCNEpoeF0Einsyt2J2bcwtrhx83c7pg" TargetMode="External"/><Relationship Id="rId1779" Type="http://schemas.openxmlformats.org/officeDocument/2006/relationships/hyperlink" Target="https://www.google.com/url?q=https://oj.uz/problem/view/IOI11_elephants&amp;sa=D&amp;ust=1605639832465000&amp;usg=AFQjCNFQcAJjtLALqGEhdGjU1m1GkZ-_Gw" TargetMode="External"/><Relationship Id="rId1986" Type="http://schemas.openxmlformats.org/officeDocument/2006/relationships/hyperlink" Target="https://www.google.com/url?q=https://oj.uz/problem/view/IZhO14_shymbulak&amp;sa=D&amp;ust=1605639832534000&amp;usg=AFQjCNGtd3IHGE4nEhMiKqLKHfoE1DpIeQ" TargetMode="External"/><Relationship Id="rId1639" Type="http://schemas.openxmlformats.org/officeDocument/2006/relationships/hyperlink" Target="https://www.google.com/url?q=https://codeforces.com/gym/102436?locale%3Den&amp;sa=D&amp;ust=1605639832426000&amp;usg=AFQjCNEIZMgCQCzMb6SAPZl-ePFeyWQxaQ" TargetMode="External"/><Relationship Id="rId1846" Type="http://schemas.openxmlformats.org/officeDocument/2006/relationships/hyperlink" Target="https://www.google.com/url?q=https://github.com/mostafa-saad/MyCompetitiveProgramming/blob/master/Olympiad/IOI/IOI-16-paint.txt&amp;sa=D&amp;ust=1605639832490000&amp;usg=AFQjCNFsrl5Dm9EQghKuflJ_kNMtTssTKA" TargetMode="External"/><Relationship Id="rId1706" Type="http://schemas.openxmlformats.org/officeDocument/2006/relationships/hyperlink" Target="https://www.google.com/url?q=https://github.com/mostafa-saad/MyCompetitiveProgramming/blob/master/Olympiad/IOI/IOI-05-mountains.txt&amp;sa=D&amp;ust=1605639832444000&amp;usg=AFQjCNEx6cMBr-CooUotfywTuGNTWKr_uA" TargetMode="External"/><Relationship Id="rId1913" Type="http://schemas.openxmlformats.org/officeDocument/2006/relationships/hyperlink" Target="https://www.google.com/url?q=https://dunjudge.me/analysis/problems/592/&amp;sa=D&amp;ust=1605639832512000&amp;usg=AFQjCNG2ft6NGronNtSuNkOe_1OVXHKzGw" TargetMode="External"/><Relationship Id="rId799" Type="http://schemas.openxmlformats.org/officeDocument/2006/relationships/hyperlink" Target="https://www.google.com/url?q=https://github.com/mostafa-saad/MyCompetitiveProgramming/blob/master/Olympiad/COCI/official/2010/contest7_solutions&amp;sa=D&amp;ust=1605639832176000&amp;usg=AFQjCNE4eq_N4knMHG1xvcvtOt_sTsWdqQ" TargetMode="External"/><Relationship Id="rId2687" Type="http://schemas.openxmlformats.org/officeDocument/2006/relationships/hyperlink" Target="https://www.google.com/url?q=https://szkopul.edu.pl/problemset/problem/p9uJo01RR9ouMLLAYroFuQ-7/site/&amp;sa=D&amp;ust=1605639832755000&amp;usg=AFQjCNEcLm0VX1u6TXGyABELXmLSduPrhg" TargetMode="External"/><Relationship Id="rId2894" Type="http://schemas.openxmlformats.org/officeDocument/2006/relationships/hyperlink" Target="https://www.google.com/url?q=https://training.ia-toki.org/problemsets/87/problems/447/&amp;sa=D&amp;ust=1605639832818000&amp;usg=AFQjCNGkckQ236epGVaPjGaz_Piu654MEg" TargetMode="External"/><Relationship Id="rId659" Type="http://schemas.openxmlformats.org/officeDocument/2006/relationships/hyperlink" Target="https://www.google.com/url?q=https://github.com/mostafa-saad/MyCompetitiveProgramming/tree/master/Olympiad/COCI/official/2008/contest3_solutions&amp;sa=D&amp;ust=1605639832143000&amp;usg=AFQjCNHASIyIsgPMYnS3TYH_bp-5W1PJ0A" TargetMode="External"/><Relationship Id="rId866" Type="http://schemas.openxmlformats.org/officeDocument/2006/relationships/hyperlink" Target="https://www.google.com/url?q=https://github.com/mostafa-saad/MyCompetitiveProgramming/blob/master/Olympiad/COCI/COCI-09-Xor.txt&amp;sa=D&amp;ust=1605639832199000&amp;usg=AFQjCNFmLcu-GAhsQ1B2u-a3FeCbR_cf6A" TargetMode="External"/><Relationship Id="rId1289" Type="http://schemas.openxmlformats.org/officeDocument/2006/relationships/hyperlink" Target="https://www.google.com/url?q=https://github.com/mostafa-saad/MyCompetitiveProgramming/blob/master/Olympiad/COI/COI-19-ljetopica.txt&amp;sa=D&amp;ust=1605639832322000&amp;usg=AFQjCNFgyX-J_zGoXWKdz7SvZxzzJu6rQA" TargetMode="External"/><Relationship Id="rId1496" Type="http://schemas.openxmlformats.org/officeDocument/2006/relationships/hyperlink" Target="https://www.google.com/url?q=https://www.infoarena.ro/problema/ksecv&amp;sa=D&amp;ust=1605639832379000&amp;usg=AFQjCNGROSoQ1NIhKJbnib885VcU2e-fsA" TargetMode="External"/><Relationship Id="rId2547" Type="http://schemas.openxmlformats.org/officeDocument/2006/relationships/hyperlink" Target="https://www.google.com/url?q=https://szkopul.edu.pl/problemset/problem/EijIYL4qkxxGJGHaVVnvdmgY/site/&amp;sa=D&amp;ust=1605639832726000&amp;usg=AFQjCNF4_5xtIUonl8nU1dVzeoIHJE1-KA" TargetMode="External"/><Relationship Id="rId519" Type="http://schemas.openxmlformats.org/officeDocument/2006/relationships/hyperlink" Target="https://www.google.com/url?q=https://github.com/mostafa-saad/MyCompetitiveProgramming/blob/master/Olympiad/CEOI/CEOI-16-popeala.txt&amp;sa=D&amp;ust=1605639832113000&amp;usg=AFQjCNE3vrialT12Q_FbjEBTf3ZlMRHYEw" TargetMode="External"/><Relationship Id="rId1149" Type="http://schemas.openxmlformats.org/officeDocument/2006/relationships/hyperlink" Target="https://www.google.com/url?q=https://github.com/mostafa-saad/MyCompetitiveProgramming/blob/master/Olympiad/COCI/COCI-18-pictionary.txt&amp;sa=D&amp;ust=1605639832275000&amp;usg=AFQjCNE4p2PWno2Fj2JBNCV-7sjtYRosOQ" TargetMode="External"/><Relationship Id="rId1356" Type="http://schemas.openxmlformats.org/officeDocument/2006/relationships/hyperlink" Target="https://www.google.com/url?q=https://oj.uz/problem/view/info1cup17_eastereggs&amp;sa=D&amp;ust=1605639832341000&amp;usg=AFQjCNFKmS6-ZKfE84rzNyc2BD9uhgj9_A" TargetMode="External"/><Relationship Id="rId2754" Type="http://schemas.openxmlformats.org/officeDocument/2006/relationships/hyperlink" Target="https://www.google.com/url?q=https://szkopul.edu.pl/problemset/problem/d30xri2XGeuQ45CDrB7DWijK/site/&amp;sa=D&amp;ust=1605639832772000&amp;usg=AFQjCNEOkptl-pfTEP8kdvlkLQYzqQVubw" TargetMode="External"/><Relationship Id="rId2961" Type="http://schemas.openxmlformats.org/officeDocument/2006/relationships/hyperlink" Target="https://www.google.com/url?q=http://usaco.org/index.php?page%3Dviewproblem2%26cpid%3D864&amp;sa=D&amp;ust=1605639832841000&amp;usg=AFQjCNFqbE7jLXsbzPlNdg7GPfSbdO9IIw" TargetMode="External"/><Relationship Id="rId726" Type="http://schemas.openxmlformats.org/officeDocument/2006/relationships/hyperlink" Target="https://www.google.com/url?q=https://dmoj.ca/problem/coci08c2p6&amp;sa=D&amp;ust=1605639832157000&amp;usg=AFQjCNF4ujwsKvLORG_1tDKkTUfH0zEJEA" TargetMode="External"/><Relationship Id="rId933" Type="http://schemas.openxmlformats.org/officeDocument/2006/relationships/hyperlink" Target="https://www.google.com/url?q=https://dmoj.ca/problem/coci14c1p6&amp;sa=D&amp;ust=1605639832217000&amp;usg=AFQjCNG-8qP2U_BQ60nk7qYwOJBC1z2rGg" TargetMode="External"/><Relationship Id="rId1009" Type="http://schemas.openxmlformats.org/officeDocument/2006/relationships/hyperlink" Target="https://www.google.com/url?q=https://oj.uz/problem/view/COCI15_relativnost&amp;sa=D&amp;ust=1605639832237000&amp;usg=AFQjCNEDq6yLGVR9GOjUdpSQLcl27esrYA" TargetMode="External"/><Relationship Id="rId1563" Type="http://schemas.openxmlformats.org/officeDocument/2006/relationships/hyperlink" Target="https://www.google.com/url?q=https://www.infoarena.ro/problema/pm2&amp;sa=D&amp;ust=1605639832402000&amp;usg=AFQjCNFEjxPaV-LIJxWc24t3_DEXqJGktA" TargetMode="External"/><Relationship Id="rId1770" Type="http://schemas.openxmlformats.org/officeDocument/2006/relationships/hyperlink" Target="https://www.google.com/url?q=https://github.com/mostafa-saad/MyCompetitiveProgramming/blob/master/Olympiad/IOI/official/2010&amp;sa=D&amp;ust=1605639832463000&amp;usg=AFQjCNF2VtM8wZYA2SI0ow1Bp7TEMr81ig" TargetMode="External"/><Relationship Id="rId2407" Type="http://schemas.openxmlformats.org/officeDocument/2006/relationships/hyperlink" Target="https://www.google.com/url?q=https://dunjudge.me/analysis/problems/1479/&amp;sa=D&amp;ust=1605639832676000&amp;usg=AFQjCNF3liG3T4c6CX6mGerT8JEFWpwvmQ" TargetMode="External"/><Relationship Id="rId2614" Type="http://schemas.openxmlformats.org/officeDocument/2006/relationships/hyperlink" Target="https://www.google.com/url?q=https://github.com/mostafa-saad/MyCompetitiveProgramming/blob/master/Olympiad/POI/official/find_editorial_sols_guidelines.txt&amp;sa=D&amp;ust=1605639832740000&amp;usg=AFQjCNEYCkDWUkCj_WsMxb7J57ryftQsCQ" TargetMode="External"/><Relationship Id="rId2821" Type="http://schemas.openxmlformats.org/officeDocument/2006/relationships/hyperlink" Target="https://www.google.com/url?q=https://szkopul.edu.pl/problemset/problem/-7cqC3RrH4e-Ar7DWy4GKzLv/site/&amp;sa=D&amp;ust=1605639832793000&amp;usg=AFQjCNH5pPBQJx0dVemFrLwAdIaeV6KZqw" TargetMode="External"/><Relationship Id="rId62" Type="http://schemas.openxmlformats.org/officeDocument/2006/relationships/hyperlink" Target="https://www.google.com/url?q=https://oj.uz/problem/view/APIO17_rainbow&amp;sa=D&amp;ust=1605639831968000&amp;usg=AFQjCNGT2HkoeXtNl__opVyqxzthWJGfwA" TargetMode="External"/><Relationship Id="rId1216" Type="http://schemas.openxmlformats.org/officeDocument/2006/relationships/hyperlink" Target="https://www.google.com/url?q=https://github.com/mostafa-saad/MyCompetitiveProgramming/blob/master/Olympiad/COI/COI-08-Izbori.txt&amp;sa=D&amp;ust=1605639832303000&amp;usg=AFQjCNErV_-n9CHaqBtg7ZHs5yAlvSOfag" TargetMode="External"/><Relationship Id="rId1423" Type="http://schemas.openxmlformats.org/officeDocument/2006/relationships/hyperlink" Target="https://www.google.com/url?q=https://www.infoarena.ro/problema/cifra4&amp;sa=D&amp;ust=1605639832357000&amp;usg=AFQjCNFiFwO29INuPthUfKT5RfPw2IHHnQ" TargetMode="External"/><Relationship Id="rId1630" Type="http://schemas.openxmlformats.org/officeDocument/2006/relationships/hyperlink" Target="https://www.google.com/url?q=https://github.com/stefdasca/CompetitiveProgramming/blob/master/Infoarena/zmeu.cpp&amp;sa=D&amp;ust=1605639832423000&amp;usg=AFQjCNFAA78NNJp8VgtpWV4SQoH3I-aQkQ" TargetMode="External"/><Relationship Id="rId2197" Type="http://schemas.openxmlformats.org/officeDocument/2006/relationships/hyperlink" Target="https://www.google.com/url?q=https://github.com/tmwilliamlin168/CompetitiveProgramming/blob/master/JOI/18SC-Asceticism.cpp&amp;sa=D&amp;ust=1605639832612000&amp;usg=AFQjCNEqg1XKBw3asuO-QLK14_TApOzcfQ" TargetMode="External"/><Relationship Id="rId169" Type="http://schemas.openxmlformats.org/officeDocument/2006/relationships/hyperlink" Target="https://www.google.com/url?q=https://cses.fi/110/list/&amp;sa=D&amp;ust=1605639832005000&amp;usg=AFQjCNFoZ23ulc3qycDTckNDVniLhqLasQ" TargetMode="External"/><Relationship Id="rId376" Type="http://schemas.openxmlformats.org/officeDocument/2006/relationships/hyperlink" Target="https://www.google.com/url?q=https://www.acmicpc.net/problem/7056&amp;sa=D&amp;ust=1605639832059000&amp;usg=AFQjCNE6oSjceiVxIL_-U7F3YGH5T_DK9w" TargetMode="External"/><Relationship Id="rId583" Type="http://schemas.openxmlformats.org/officeDocument/2006/relationships/hyperlink" Target="https://www.google.com/url?q=https://github.com/mostafa-saad/MyCompetitiveProgramming/blob/master/Olympiad/COCI/COCI-06-Jogurt.txt&amp;sa=D&amp;ust=1605639832128000&amp;usg=AFQjCNGrR9syaz8sJ6F1vSt7imDwR_uaKQ" TargetMode="External"/><Relationship Id="rId790" Type="http://schemas.openxmlformats.org/officeDocument/2006/relationships/hyperlink" Target="https://www.google.com/url?q=https://dmoj.ca/problem/coci08c4p5&amp;sa=D&amp;ust=1605639832174000&amp;usg=AFQjCNHH4RKu55TfyjgvpT1DP7XFluboGw" TargetMode="External"/><Relationship Id="rId2057" Type="http://schemas.openxmlformats.org/officeDocument/2006/relationships/hyperlink" Target="https://www.google.com/url?q=https://oj.uz/problems/source/307&amp;sa=D&amp;ust=1605639832557000&amp;usg=AFQjCNE2QHiLjS6ukwdRionbewTazYqYjw" TargetMode="External"/><Relationship Id="rId2264" Type="http://schemas.openxmlformats.org/officeDocument/2006/relationships/hyperlink" Target="https://www.google.com/url?q=https://codeforces.com/group/R2SERIff4f/contest/213171&amp;sa=D&amp;ust=1605639832635000&amp;usg=AFQjCNENONGMbXziHQwL7pa4CWM4sq7ZQw" TargetMode="External"/><Relationship Id="rId2471" Type="http://schemas.openxmlformats.org/officeDocument/2006/relationships/hyperlink" Target="https://www.google.com/url?q=https://training.ia-toki.org/problemsets/2/problems/6/&amp;sa=D&amp;ust=1605639832705000&amp;usg=AFQjCNHcDKgFLGPzap1NrGXDgoMDxLiXiw" TargetMode="External"/><Relationship Id="rId236" Type="http://schemas.openxmlformats.org/officeDocument/2006/relationships/hyperlink" Target="https://www.google.com/url?q=https://github.com/mostafa-saad/MyCompetitiveProgramming/blob/master/Olympiad/Baltic/official/boi2011_solutions&amp;sa=D&amp;ust=1605639832025000&amp;usg=AFQjCNEGFBlbVECZC-fAf0EWmGEKuWrGCw" TargetMode="External"/><Relationship Id="rId443" Type="http://schemas.openxmlformats.org/officeDocument/2006/relationships/hyperlink" Target="https://www.google.com/url?q=https://cses.fi/179/list/&amp;sa=D&amp;ust=1605639832090000&amp;usg=AFQjCNFP7QArlo58foGKhIitP0pWZ0R39A" TargetMode="External"/><Relationship Id="rId650" Type="http://schemas.openxmlformats.org/officeDocument/2006/relationships/hyperlink" Target="https://www.google.com/url?q=https://dmoj.ca/problem/coci07c3p1&amp;sa=D&amp;ust=1605639832142000&amp;usg=AFQjCNHInYYpqFotBKram5dX62qoA_Fsgw" TargetMode="External"/><Relationship Id="rId1073" Type="http://schemas.openxmlformats.org/officeDocument/2006/relationships/hyperlink" Target="https://www.google.com/url?q=https://oj.uz/problem/view/COCI17_hindeks&amp;sa=D&amp;ust=1605639832252000&amp;usg=AFQjCNG1sKglL62F6X312zei8wfkMiyZxw" TargetMode="External"/><Relationship Id="rId1280" Type="http://schemas.openxmlformats.org/officeDocument/2006/relationships/hyperlink" Target="https://www.google.com/url?q=https://github.com/mostafa-saad/MyCompetitiveProgramming/blob/master/Olympiad/COI/COI-17-zagrade.txt&amp;sa=D&amp;ust=1605639832320000&amp;usg=AFQjCNFbSs1x7nwcQNSnpGmindHONnRrxQ" TargetMode="External"/><Relationship Id="rId2124" Type="http://schemas.openxmlformats.org/officeDocument/2006/relationships/hyperlink" Target="https://www.google.com/url?q=https://joisc2013-day2.contest.atcoder.jp/tasks/joisc2013_mascots&amp;sa=D&amp;ust=1605639832578000&amp;usg=AFQjCNFGEyHpDmgWQufi0r-GVQ9PXa6IfA" TargetMode="External"/><Relationship Id="rId2331" Type="http://schemas.openxmlformats.org/officeDocument/2006/relationships/hyperlink" Target="https://www.google.com/url?q=https://github.com/mostafa-saad/MyCompetitiveProgramming/blob/master/Olympiad/NOI/official/2011.pptx&amp;sa=D&amp;ust=1605639832654000&amp;usg=AFQjCNFmtkCn4DYPVnEZ1J68RwZbIXVj7Q" TargetMode="External"/><Relationship Id="rId303" Type="http://schemas.openxmlformats.org/officeDocument/2006/relationships/hyperlink" Target="https://www.google.com/url?q=https://oj.uz/problem/view/BOI17_friends&amp;sa=D&amp;ust=1605639832040000&amp;usg=AFQjCNFo3J7AFOT7aBnXr8aFO29of8-GOw" TargetMode="External"/><Relationship Id="rId1140" Type="http://schemas.openxmlformats.org/officeDocument/2006/relationships/hyperlink" Target="https://www.google.com/url?q=https://ideone.com/xq3cEb&amp;sa=D&amp;ust=1605639832271000&amp;usg=AFQjCNGhwwJy_b76BVtIOdMK5yAch2VTLA" TargetMode="External"/><Relationship Id="rId510" Type="http://schemas.openxmlformats.org/officeDocument/2006/relationships/hyperlink" Target="https://www.google.com/url?q=https://oj.uz/problems/source/245&amp;sa=D&amp;ust=1605639832111000&amp;usg=AFQjCNGIg6GhomO9fG_VtLIjSIXEpE2Kcg" TargetMode="External"/><Relationship Id="rId1000" Type="http://schemas.openxmlformats.org/officeDocument/2006/relationships/hyperlink" Target="https://www.google.com/url?q=https://oj.uz/problem/view/COCI15_geppetto&amp;sa=D&amp;ust=1605639832233000&amp;usg=AFQjCNHBx1QLcnlWqTC9gbfBgSpU-1SGhQ" TargetMode="External"/><Relationship Id="rId1957" Type="http://schemas.openxmlformats.org/officeDocument/2006/relationships/hyperlink" Target="https://www.google.com/url?q=https://codeforces.com/group/swEqtABRxe/contest/243438/problem/C&amp;sa=D&amp;ust=1605639832524000&amp;usg=AFQjCNFBjCUIoE__A-T9z3tC8CR4eeIP8Q" TargetMode="External"/><Relationship Id="rId1817" Type="http://schemas.openxmlformats.org/officeDocument/2006/relationships/hyperlink" Target="https://www.google.com/url?q=https://oj.uz/problem/view/IOI14_holiday&amp;sa=D&amp;ust=1605639832480000&amp;usg=AFQjCNFitlbaTObMBuc_OYUel3U9EbrRCQ" TargetMode="External"/><Relationship Id="rId160" Type="http://schemas.openxmlformats.org/officeDocument/2006/relationships/hyperlink" Target="https://www.google.com/url?q=https://github.com/mostafa-saad/MyCompetitiveProgramming/blob/master/Olympiad/Baltic/official/boi2005_solutions&amp;sa=D&amp;ust=1605639832003000&amp;usg=AFQjCNHxu9izZpYmUjV1WPd_DDRwsxG5IQ" TargetMode="External"/><Relationship Id="rId2798" Type="http://schemas.openxmlformats.org/officeDocument/2006/relationships/hyperlink" Target="https://www.google.com/url?q=https://github.com/mostafa-saad/MyCompetitiveProgramming/blob/master/Olympiad/POI/POI-05-Banknote.txt&amp;sa=D&amp;ust=1605639832786000&amp;usg=AFQjCNF2XhBsl3Cb7uZynfdo0BJoNmNqgw" TargetMode="External"/><Relationship Id="rId977" Type="http://schemas.openxmlformats.org/officeDocument/2006/relationships/hyperlink" Target="https://www.google.com/url?q=https://github.com/mostafa-saad/MyCompetitiveProgramming/blob/master/Olympiad/COCI/official/2015/contest7_solutions&amp;sa=D&amp;ust=1605639832227000&amp;usg=AFQjCNHJ1y4GMLTDxCsxMPGBmIASL4r38Q" TargetMode="External"/><Relationship Id="rId2658" Type="http://schemas.openxmlformats.org/officeDocument/2006/relationships/hyperlink" Target="https://www.google.com/url?q=https://github.com/mostafa-saad/MyCompetitiveProgramming/blob/master/Olympiad/POI/official/find_editorial_sols_guidelines.txt&amp;sa=D&amp;ust=1605639832750000&amp;usg=AFQjCNEeuy0c7BojsU1n-np6UoghjeFa5Q" TargetMode="External"/><Relationship Id="rId2865" Type="http://schemas.openxmlformats.org/officeDocument/2006/relationships/hyperlink" Target="https://www.google.com/url?q=https://github.com/MetalBall887/Competitive-Programming/blob/master/CSAcademy/ROJS%252017-cntgigelmat.cpp&amp;sa=D&amp;ust=1605639832807000&amp;usg=AFQjCNGUIGlT1H75gL4vJ6BC7xXfYL3RYg" TargetMode="External"/><Relationship Id="rId837" Type="http://schemas.openxmlformats.org/officeDocument/2006/relationships/hyperlink" Target="https://www.google.com/url?q=https://wcipeg.com/problem/coci092p6&amp;sa=D&amp;ust=1605639832189000&amp;usg=AFQjCNHQo5CoU7nvVGmneyFzoKlerHlzqw" TargetMode="External"/><Relationship Id="rId1467" Type="http://schemas.openxmlformats.org/officeDocument/2006/relationships/hyperlink" Target="https://www.google.com/url?q=https://github.com/mostafa-saad/MyCompetitiveProgramming/blob/master/Olympiad/infoarena/infoarena_fft2d.txt&amp;sa=D&amp;ust=1605639832369000&amp;usg=AFQjCNEw1El1jeVQ8wUZgcNwMbGELcVC8w" TargetMode="External"/><Relationship Id="rId1674" Type="http://schemas.openxmlformats.org/officeDocument/2006/relationships/hyperlink" Target="https://www.google.com/url?q=https://github.com/mostafa-saad/MyCompetitiveProgramming/blob/master/Olympiad/IOI/official/2003&amp;sa=D&amp;ust=1605639832436000&amp;usg=AFQjCNHuZHe3UHSIPKeg3KuovELKrTUEzA" TargetMode="External"/><Relationship Id="rId1881" Type="http://schemas.openxmlformats.org/officeDocument/2006/relationships/hyperlink" Target="https://www.google.com/url?q=https://github.com/mostafa-saad/MyCompetitiveProgramming/blob/master/Olympiad/IOI/IOI-19-line.txt&amp;sa=D&amp;ust=1605639832502000&amp;usg=AFQjCNFHJ8zyp7Br5Rurco5oPT8Gi4i1ag" TargetMode="External"/><Relationship Id="rId2518" Type="http://schemas.openxmlformats.org/officeDocument/2006/relationships/hyperlink" Target="https://www.google.com/url?q=https://github.com/mostafa-saad/MyCompetitiveProgramming/blob/master/Olympiad/POI/POI-05-Fibonacci.txt&amp;sa=D&amp;ust=1605639832718000&amp;usg=AFQjCNEuS5YYmeLq9L70MIgZbuPXPhDNwA" TargetMode="External"/><Relationship Id="rId2725" Type="http://schemas.openxmlformats.org/officeDocument/2006/relationships/hyperlink" Target="https://www.google.com/url?q=https://github.com/mostafa-saad/MyCompetitiveProgramming/blob/master/Olympiad/POI/POI-13-Polarization.txt&amp;sa=D&amp;ust=1605639832762000&amp;usg=AFQjCNGBDgc3hyPjALozVFlPyGXPH2cTfw" TargetMode="External"/><Relationship Id="rId2932" Type="http://schemas.openxmlformats.org/officeDocument/2006/relationships/hyperlink" Target="https://www.google.com/url?q=http://usaco.org/index.php?page%3Dviewproblem2%26cpid%3D532&amp;sa=D&amp;ust=1605639832830000&amp;usg=AFQjCNGH_Z1c0f5CT-2iu3w8siUmWgqHhg" TargetMode="External"/><Relationship Id="rId904" Type="http://schemas.openxmlformats.org/officeDocument/2006/relationships/hyperlink" Target="https://www.google.com/url?q=https://github.com/mostafa-saad/MyCompetitiveProgramming/blob/master/Olympiad/COCI/official/2014/contest1_solutions&amp;sa=D&amp;ust=1605639832210000&amp;usg=AFQjCNGAVEouF6cbhToKQC1uRXvW5qy7vA" TargetMode="External"/><Relationship Id="rId1327" Type="http://schemas.openxmlformats.org/officeDocument/2006/relationships/hyperlink" Target="https://www.google.com/url?q=https://dmoj.ca/problem/dmopc18c2p6&amp;sa=D&amp;ust=1605639832332000&amp;usg=AFQjCNGNTh5Guy3NvKU6vaWQDnF8LM0Urg" TargetMode="External"/><Relationship Id="rId1534" Type="http://schemas.openxmlformats.org/officeDocument/2006/relationships/hyperlink" Target="https://www.google.com/url?q=https://www.infoarena.ro/problema/omizi&amp;sa=D&amp;ust=1605639832392000&amp;usg=AFQjCNE1TVamYOhMFPM86YfYWBebfPYAeA" TargetMode="External"/><Relationship Id="rId1741" Type="http://schemas.openxmlformats.org/officeDocument/2006/relationships/hyperlink" Target="https://www.google.com/url?q=https://oj.uz/problem/view/IOI08_pyramid_base&amp;sa=D&amp;ust=1605639832455000&amp;usg=AFQjCNGcCMcZewP1J_9HX31azuqfqpqxZg" TargetMode="External"/><Relationship Id="rId33" Type="http://schemas.openxmlformats.org/officeDocument/2006/relationships/hyperlink" Target="https://www.google.com/url?q=https://dmoj.ca/problem/apio12p3&amp;sa=D&amp;ust=1605639831960000&amp;usg=AFQjCNEoo8b0-YkmlXYhsq6tEdC5xlp2Dw" TargetMode="External"/><Relationship Id="rId1601" Type="http://schemas.openxmlformats.org/officeDocument/2006/relationships/hyperlink" Target="https://www.google.com/url?q=https://www.infoarena.ro/problema/sormin&amp;sa=D&amp;ust=1605639832413000&amp;usg=AFQjCNE7tyW_maRY7qy7nly_1EXEk2tp2A" TargetMode="External"/><Relationship Id="rId487" Type="http://schemas.openxmlformats.org/officeDocument/2006/relationships/hyperlink" Target="https://www.google.com/url?q=https://github.com/tmwilliamlin168/CompetitiveProgramming/blob/master/CEOI/13-Tram.cpp&amp;sa=D&amp;ust=1605639832103000&amp;usg=AFQjCNHQP4FH3x3dBIh8unI1Z4aam-Pv6Q" TargetMode="External"/><Relationship Id="rId694" Type="http://schemas.openxmlformats.org/officeDocument/2006/relationships/hyperlink" Target="https://www.google.com/url?q=https://dmoj.ca/problem/coci07c6p5&amp;sa=D&amp;ust=1605639832151000&amp;usg=AFQjCNE6FkQXgydZnStkwE6wi4mc0Oqjgg" TargetMode="External"/><Relationship Id="rId2168" Type="http://schemas.openxmlformats.org/officeDocument/2006/relationships/hyperlink" Target="https://www.google.com/url?q=https://joisc2016.contest.atcoder.jp/tasks/joisc2016_i&amp;sa=D&amp;ust=1605639832602000&amp;usg=AFQjCNGo717qD56ZGWFnzNSLx3SPSpYFFQ" TargetMode="External"/><Relationship Id="rId2375" Type="http://schemas.openxmlformats.org/officeDocument/2006/relationships/hyperlink" Target="https://www.google.com/url?q=https://dunjudge.me/analysis/problems/1229/&amp;sa=D&amp;ust=1605639832664000&amp;usg=AFQjCNHO2wr0sX3y1T-85_mCJvsaFynmoA" TargetMode="External"/><Relationship Id="rId347" Type="http://schemas.openxmlformats.org/officeDocument/2006/relationships/hyperlink" Target="https://www.google.com/url?q=https://dmoj.ca/problem/ccc16s4&amp;sa=D&amp;ust=1605639832050000&amp;usg=AFQjCNHKsigxIjMsTyVSsUOOhNh6BZw12w" TargetMode="External"/><Relationship Id="rId1184" Type="http://schemas.openxmlformats.org/officeDocument/2006/relationships/hyperlink" Target="https://www.google.com/url?q=https://github.com/Szawinis/CompetitiveProgramming/blob/master/Olympiad/COCI/COCI18-strah.cpp&amp;sa=D&amp;ust=1605639832288000&amp;usg=AFQjCNG6eURKF0tMMG357WOqYL-FRsYHsQ" TargetMode="External"/><Relationship Id="rId2028" Type="http://schemas.openxmlformats.org/officeDocument/2006/relationships/hyperlink" Target="https://www.google.com/url?q=https://joi2015ho.contest.atcoder.jp/tasks/joi2015ho_b&amp;sa=D&amp;ust=1605639832547000&amp;usg=AFQjCNH3d47LzqNHCyYJ7KdX-JcCMUYL4g" TargetMode="External"/><Relationship Id="rId2582" Type="http://schemas.openxmlformats.org/officeDocument/2006/relationships/hyperlink" Target="https://www.google.com/url?q=https://github.com/mostafa-saad/MyCompetitiveProgramming/blob/master/Olympiad/POI/official/find_editorial_sols_guidelines.txt&amp;sa=D&amp;ust=1605639832734000&amp;usg=AFQjCNFAcDv_7amkngAUXozw_z22ZJ3Kew" TargetMode="External"/><Relationship Id="rId554" Type="http://schemas.openxmlformats.org/officeDocument/2006/relationships/hyperlink" Target="https://www.google.com/url?q=https://codeforces.com/contest/1193&amp;sa=D&amp;ust=1605639832121000&amp;usg=AFQjCNFyoorzW_dqujN64XlBNm8wDFDeOg" TargetMode="External"/><Relationship Id="rId761" Type="http://schemas.openxmlformats.org/officeDocument/2006/relationships/hyperlink" Target="https://www.google.com/url?q=https://github.com/mostafa-saad/MyCompetitiveProgramming/blob/master/Olympiad/COCI/COCI-08-Najkraci.txt&amp;sa=D&amp;ust=1605639832164000&amp;usg=AFQjCNHp_5u8jm716M9e1Vw_oZgvdVFMSg" TargetMode="External"/><Relationship Id="rId1391" Type="http://schemas.openxmlformats.org/officeDocument/2006/relationships/hyperlink" Target="https://www.google.com/url?q=https://www.infoarena.ro/problema/aranjare&amp;sa=D&amp;ust=1605639832350000&amp;usg=AFQjCNFLTv1aONeJIKE_OXTSRn2NceP5XQ" TargetMode="External"/><Relationship Id="rId2235" Type="http://schemas.openxmlformats.org/officeDocument/2006/relationships/hyperlink" Target="https://www.google.com/url?q=https://dunjudge.me/analysis/problems/552/&amp;sa=D&amp;ust=1605639832625000&amp;usg=AFQjCNGPPo29sWvdoQa9FbxoPF0zz312DA" TargetMode="External"/><Relationship Id="rId2442" Type="http://schemas.openxmlformats.org/officeDocument/2006/relationships/hyperlink" Target="https://www.google.com/url?q=https://dunjudge.me/analysis/problems/953/&amp;sa=D&amp;ust=1605639832693000&amp;usg=AFQjCNFiIom4bEh6ftYGZsyoQ1I2_ylsBg" TargetMode="External"/><Relationship Id="rId207" Type="http://schemas.openxmlformats.org/officeDocument/2006/relationships/hyperlink" Target="https://www.google.com/url?q=https://cses.fi/108/list/&amp;sa=D&amp;ust=1605639832017000&amp;usg=AFQjCNHIdYCps2rGo0SD7827kQzoy-qw8w" TargetMode="External"/><Relationship Id="rId414" Type="http://schemas.openxmlformats.org/officeDocument/2006/relationships/hyperlink" Target="https://www.google.com/url?q=https://github.com/mostafa-saad/MyCompetitiveProgramming/blob/master/Olympiad/CEOI/CEOI-06-Connect.txt&amp;sa=D&amp;ust=1605639832081000&amp;usg=AFQjCNGwIfQykf1iD6cygUov3nEcLOZYGg" TargetMode="External"/><Relationship Id="rId621" Type="http://schemas.openxmlformats.org/officeDocument/2006/relationships/hyperlink" Target="https://www.google.com/url?q=https://github.com/mostafa-saad/MyCompetitiveProgramming/tree/master/Olympiad/COCI/official/2007/contest1_solutions&amp;sa=D&amp;ust=1605639832136000&amp;usg=AFQjCNEtXe-zAu-5St8hghj3d-_SQ60EmQ" TargetMode="External"/><Relationship Id="rId1044" Type="http://schemas.openxmlformats.org/officeDocument/2006/relationships/hyperlink" Target="https://www.google.com/url?q=https://oj.uz/problem/view/COCI16_pohlepko&amp;sa=D&amp;ust=1605639832245000&amp;usg=AFQjCNGoH_LqQtPSiLzO2ClQUGl7n-hruQ" TargetMode="External"/><Relationship Id="rId1251" Type="http://schemas.openxmlformats.org/officeDocument/2006/relationships/hyperlink" Target="https://www.google.com/url?q=https://github.com/mostafa-saad/MyCompetitiveProgramming/blob/master/Olympiad/COI/COI-15-cvenk.txt&amp;sa=D&amp;ust=1605639832314000&amp;usg=AFQjCNGhWG4K2-sqxOHKfIWYJYEb3Lx3zw" TargetMode="External"/><Relationship Id="rId2302" Type="http://schemas.openxmlformats.org/officeDocument/2006/relationships/hyperlink" Target="https://www.google.com/url?q=https://github.com/mostafa-saad/MyCompetitiveProgramming/blob/master/Olympiad/NOI/official&amp;sa=D&amp;ust=1605639832647000&amp;usg=AFQjCNGEpgu53O1jnwa0L2xFWYM1DN0oAQ" TargetMode="External"/><Relationship Id="rId1111" Type="http://schemas.openxmlformats.org/officeDocument/2006/relationships/hyperlink" Target="https://www.google.com/url?q=https://github.com/mostafa-saad/MyCompetitiveProgramming/blob/master/Olympiad/COCI/official/2018/contest2_solutions&amp;sa=D&amp;ust=1605639832261000&amp;usg=AFQjCNEkM_zBHXw7cUT3Lmpx1xUdiCZcHA" TargetMode="External"/><Relationship Id="rId1928" Type="http://schemas.openxmlformats.org/officeDocument/2006/relationships/hyperlink" Target="https://www.google.com/url?q=https://csacademy.com/contest/ioi-2016-training-round-1/task/polygon_partition&amp;sa=D&amp;ust=1605639832517000&amp;usg=AFQjCNH5f5-M0pHLZeeJYJXZZ24lEAfDUw" TargetMode="External"/><Relationship Id="rId2092" Type="http://schemas.openxmlformats.org/officeDocument/2006/relationships/hyperlink" Target="https://www.google.com/url?q=https://oj.uz/problem/view/JOI15_sterilizing&amp;sa=D&amp;ust=1605639832566000&amp;usg=AFQjCNFBWwF1F0TtRK3rDk4GGtPr-PptLA" TargetMode="External"/><Relationship Id="rId271" Type="http://schemas.openxmlformats.org/officeDocument/2006/relationships/hyperlink" Target="https://www.google.com/url?q=https://oj.uz/problem/view/BOI14_network&amp;sa=D&amp;ust=1605639832033000&amp;usg=AFQjCNE92skM43Z8EdR4nMkrTZCIm0eGUA" TargetMode="External"/><Relationship Id="rId3003" Type="http://schemas.openxmlformats.org/officeDocument/2006/relationships/hyperlink" Target="https://www.google.com/url?q=http://usaco.org/index.php?page%3Dviewproblem2%26cpid%3D946&amp;sa=D&amp;ust=1605639832868000&amp;usg=AFQjCNHJlX0X5_JYVtfwJwHPhT9OoyQAcg" TargetMode="External"/><Relationship Id="rId131" Type="http://schemas.openxmlformats.org/officeDocument/2006/relationships/hyperlink" Target="https://www.google.com/url?q=https://www.hackerrank.com/contests/boi-2016/challenges&amp;sa=D&amp;ust=1605639831993000&amp;usg=AFQjCNEnJWtQA6mPrJQxQlfXrBtc_DRuHg" TargetMode="External"/><Relationship Id="rId2769" Type="http://schemas.openxmlformats.org/officeDocument/2006/relationships/hyperlink" Target="https://www.google.com/url?q=https://szkopul.edu.pl/problemset/problem/k-RYEjhwNTo_XdaCidXQUGMU/site/&amp;sa=D&amp;ust=1605639832776000&amp;usg=AFQjCNHHjAdWHXLA__ibY26eChXCB8qy_A" TargetMode="External"/><Relationship Id="rId2976" Type="http://schemas.openxmlformats.org/officeDocument/2006/relationships/hyperlink" Target="https://www.google.com/url?q=http://usaco.org/index.php?page%3Dviewproblem2%26cpid%3D794&amp;sa=D&amp;ust=1605639832858000&amp;usg=AFQjCNF2XKJLqa0v_ykxpnQPbf2utk2waw" TargetMode="External"/><Relationship Id="rId948" Type="http://schemas.openxmlformats.org/officeDocument/2006/relationships/hyperlink" Target="https://www.google.com/url?q=https://github.com/mostafa-saad/MyCompetitiveProgramming/blob/master/Olympiad/COCI/official/2015/contest6_solutions&amp;sa=D&amp;ust=1605639832220000&amp;usg=AFQjCNHypWBMGc1jqHYQ06ukDFCP2Cq8mA" TargetMode="External"/><Relationship Id="rId1578" Type="http://schemas.openxmlformats.org/officeDocument/2006/relationships/hyperlink" Target="https://www.google.com/url?q=https://github.com/mostafa-saad/MyCompetitiveProgramming/blob/master/Olympiad/infoarena/infoarena_ratway.txt&amp;sa=D&amp;ust=1605639832406000&amp;usg=AFQjCNFWI0SzdhAb3aMc8Eav-vAgQpm7Uw" TargetMode="External"/><Relationship Id="rId1785" Type="http://schemas.openxmlformats.org/officeDocument/2006/relationships/hyperlink" Target="https://www.google.com/url?q=https://oj.uz/problem/view/IOI11_race&amp;sa=D&amp;ust=1605639832467000&amp;usg=AFQjCNFS7ugH_GbSpB-AUFjAAc-5J2nAYQ" TargetMode="External"/><Relationship Id="rId1992" Type="http://schemas.openxmlformats.org/officeDocument/2006/relationships/hyperlink" Target="https://www.google.com/url?q=https://github.com/stefdasca/CompetitiveProgramming/blob/master/IZhO/IZhO%252017-bootfall.cpp&amp;sa=D&amp;ust=1605639832536000&amp;usg=AFQjCNHZFazC-XWefr3ZrzTUk0eiYYuT7g" TargetMode="External"/><Relationship Id="rId2629" Type="http://schemas.openxmlformats.org/officeDocument/2006/relationships/hyperlink" Target="https://www.google.com/url?q=https://szkopul.edu.pl/problemset/problem/hOwg83Xw_OnTpfQ9SroS0OJA/site/&amp;sa=D&amp;ust=1605639832744000&amp;usg=AFQjCNH93rAexWYxErbwSutQMvYRtMvaGQ" TargetMode="External"/><Relationship Id="rId2836" Type="http://schemas.openxmlformats.org/officeDocument/2006/relationships/hyperlink" Target="https://www.google.com/url?q=https://szkopul.edu.pl/problemset/problem/Kmofhbw9cTx06gSZg-C5MiBU/site/&amp;sa=D&amp;ust=1605639832799000&amp;usg=AFQjCNFbPz8IqSwgdFrzFDc3n-OQH72MSw" TargetMode="External"/><Relationship Id="rId77" Type="http://schemas.openxmlformats.org/officeDocument/2006/relationships/hyperlink" Target="https://www.google.com/url?q=https://github.com/mostafa-saad/MyCompetitiveProgramming/blob/master/Olympiad/APIO/APIOPractice-14-mcamp.txt&amp;sa=D&amp;ust=1605639831973000&amp;usg=AFQjCNHPifB0Qf0QaO8-QX-GmLZzEeAOKw" TargetMode="External"/><Relationship Id="rId808" Type="http://schemas.openxmlformats.org/officeDocument/2006/relationships/hyperlink" Target="https://www.google.com/url?q=https://wcipeg.com/problem/coci092p1&amp;sa=D&amp;ust=1605639832179000&amp;usg=AFQjCNHDypJqT8CMJh-OMSHucMPKHgumAQ" TargetMode="External"/><Relationship Id="rId1438" Type="http://schemas.openxmlformats.org/officeDocument/2006/relationships/hyperlink" Target="https://www.google.com/url?q=https://www.infoarena.ro/problema/countfefete&amp;sa=D&amp;ust=1605639832360000&amp;usg=AFQjCNGu0fqdjrqit49pyRXf-ERs21yzvA" TargetMode="External"/><Relationship Id="rId1645" Type="http://schemas.openxmlformats.org/officeDocument/2006/relationships/hyperlink" Target="https://www.google.com/url?q=https://dunjudge.me/analysis/problems/728/&amp;sa=D&amp;ust=1605639832427000&amp;usg=AFQjCNF430K7N3nzw4NhMFMVl6BDXakbIw" TargetMode="External"/><Relationship Id="rId1852" Type="http://schemas.openxmlformats.org/officeDocument/2006/relationships/hyperlink" Target="https://www.google.com/url?q=https://oj.uz/problem/view/IOI16_tetris&amp;sa=D&amp;ust=1605639832492000&amp;usg=AFQjCNH6opj9dHZgTK7e0LAWH3qofDNbBA" TargetMode="External"/><Relationship Id="rId2903" Type="http://schemas.openxmlformats.org/officeDocument/2006/relationships/hyperlink" Target="https://www.google.com/url?q=https://github.com/mostafa-saad/MyCompetitiveProgramming/blob/master/Olympiad/TOKI/TOKIOpen-18-TileCovering.txt&amp;sa=D&amp;ust=1605639832820000&amp;usg=AFQjCNHtGXbC2ri7x3s_0Pibkxre2wWSNA" TargetMode="External"/><Relationship Id="rId1505" Type="http://schemas.openxmlformats.org/officeDocument/2006/relationships/hyperlink" Target="https://www.google.com/url?q=https://github.com/mostafa-saad/MyCompetitiveProgramming/blob/master/Olympiad/infoarena/infoarena_matcnt.txt&amp;sa=D&amp;ust=1605639832382000&amp;usg=AFQjCNFtEn-_pT6G3hhZTc9ac55yNjDEVg" TargetMode="External"/><Relationship Id="rId1712" Type="http://schemas.openxmlformats.org/officeDocument/2006/relationships/hyperlink" Target="https://www.google.com/url?q=https://github.com/mostafa-saad/MyCompetitiveProgramming/blob/master/Olympiad/IOI/official/2006/ioi06_forbidden_sol.pdf&amp;sa=D&amp;ust=1605639832446000&amp;usg=AFQjCNH6RcmW2G4cQm06y9esQZA4jm5kuw" TargetMode="External"/><Relationship Id="rId598" Type="http://schemas.openxmlformats.org/officeDocument/2006/relationships/hyperlink" Target="https://www.google.com/url?q=https://dmoj.ca/problem/coci06c5p2&amp;sa=D&amp;ust=1605639832131000&amp;usg=AFQjCNHZ_wDG5o024Yq8D8qh6ID2Sg4hNA" TargetMode="External"/><Relationship Id="rId2279" Type="http://schemas.openxmlformats.org/officeDocument/2006/relationships/hyperlink" Target="https://www.google.com/url?q=https://github.com/fyquah95/ioi-malaysia-2016-training-camp&amp;sa=D&amp;ust=1605639832639000&amp;usg=AFQjCNESLDXlC9CtOE7vR4uc3QXdMPD8gw" TargetMode="External"/><Relationship Id="rId2486" Type="http://schemas.openxmlformats.org/officeDocument/2006/relationships/hyperlink" Target="https://www.google.com/url?q=https://github.com/mostafa-saad/MyCompetitiveProgramming/blob/master/Olympiad/POI/official/find_editorial_sols_guidelines.txt&amp;sa=D&amp;ust=1605639832709000&amp;usg=AFQjCNHChlA2cR5ZWKh1_hsD8afBUjp-3A" TargetMode="External"/><Relationship Id="rId2693" Type="http://schemas.openxmlformats.org/officeDocument/2006/relationships/hyperlink" Target="https://www.google.com/url?q=https://szkopul.edu.pl/problemset/problem/DkPj-ES6glaEwxppbuaxbOO6/site/&amp;sa=D&amp;ust=1605639832756000&amp;usg=AFQjCNEoJRI2RlokPgTcnxrcoKlC3G16cg" TargetMode="External"/><Relationship Id="rId458" Type="http://schemas.openxmlformats.org/officeDocument/2006/relationships/hyperlink" Target="https://www.google.com/url?q=https://github.com/mostafa-saad/MyCompetitiveProgramming/blob/master/Olympiad/CEOI/CEOI%252010-pin.cpp&amp;sa=D&amp;ust=1605639832095000&amp;usg=AFQjCNGO89Cx8oabZgMmWBJWO_RA6XlsbA" TargetMode="External"/><Relationship Id="rId665" Type="http://schemas.openxmlformats.org/officeDocument/2006/relationships/hyperlink" Target="https://www.google.com/url?q=https://github.com/mostafa-saad/MyCompetitiveProgramming/tree/master/Olympiad/COCI/official/2008/contest5_solutions&amp;sa=D&amp;ust=1605639832145000&amp;usg=AFQjCNHPVJIq0F8u99CKRpI_TOD-RYojMA" TargetMode="External"/><Relationship Id="rId872" Type="http://schemas.openxmlformats.org/officeDocument/2006/relationships/hyperlink" Target="https://www.google.com/url?q=https://github.com/mostafa-saad/MyCompetitiveProgramming/blob/master/Olympiad/COCI/official/2012/contest3_solutions&amp;sa=D&amp;ust=1605639832200000&amp;usg=AFQjCNHre7PTqOVAeJpq2R5MZgORb3xY-g" TargetMode="External"/><Relationship Id="rId1088" Type="http://schemas.openxmlformats.org/officeDocument/2006/relationships/hyperlink" Target="https://www.google.com/url?q=https://oj.uz/submission/85415&amp;sa=D&amp;ust=1605639832256000&amp;usg=AFQjCNFTyMlcIEXnFcoFZ3v5WhHJ8WVwsw" TargetMode="External"/><Relationship Id="rId1295" Type="http://schemas.openxmlformats.org/officeDocument/2006/relationships/hyperlink" Target="https://www.google.com/url?q=https://gist.github.com/luciocf/a551e013ef15b77288ff4786276d2dee&amp;sa=D&amp;ust=1605639832324000&amp;usg=AFQjCNHi89ZFdDayg9RGjLFebzWhUVR_VA" TargetMode="External"/><Relationship Id="rId2139" Type="http://schemas.openxmlformats.org/officeDocument/2006/relationships/hyperlink" Target="https://www.google.com/url?q=https://joisc2014.contest.atcoder.jp/tasks/joisc2014_g&amp;sa=D&amp;ust=1605639832586000&amp;usg=AFQjCNGlSiBF58abR3ug3JAaGblybk_fkg" TargetMode="External"/><Relationship Id="rId2346" Type="http://schemas.openxmlformats.org/officeDocument/2006/relationships/hyperlink" Target="https://www.google.com/url?q=https://github.com/mostafa-saad/MyCompetitiveProgramming/blob/master/Olympiad/NOI/NOI-14-cats.txt&amp;sa=D&amp;ust=1605639832658000&amp;usg=AFQjCNE3bBLk8GljG3qZjBp09l_NlzBjgQ" TargetMode="External"/><Relationship Id="rId2553" Type="http://schemas.openxmlformats.org/officeDocument/2006/relationships/hyperlink" Target="https://www.google.com/url?q=https://szkopul.edu.pl/problemset/problem/OQjANSOOD_-c38gh8p6g3Gxp/site/&amp;sa=D&amp;ust=1605639832727000&amp;usg=AFQjCNFEEgqFsUqGKr10tabyrm_cgPPvHQ" TargetMode="External"/><Relationship Id="rId2760" Type="http://schemas.openxmlformats.org/officeDocument/2006/relationships/hyperlink" Target="https://www.google.com/url?q=https://github.com/mostafa-saad/MyCompetitiveProgramming/blob/master/Olympiad/POI/official/find_editorial_sols_guidelines.txt&amp;sa=D&amp;ust=1605639832773000&amp;usg=AFQjCNF_WM6wbomvj5dOAU_QxPSRkoZVFA" TargetMode="External"/><Relationship Id="rId318" Type="http://schemas.openxmlformats.org/officeDocument/2006/relationships/hyperlink" Target="https://www.google.com/url?q=https://github.com/updown2/OI-Practice/blob/master/BOI/2018/Love%2520Polygon.txt&amp;sa=D&amp;ust=1605639832042000&amp;usg=AFQjCNHpDJyH3bD-duo26F93enCQ6TnGSQ" TargetMode="External"/><Relationship Id="rId525" Type="http://schemas.openxmlformats.org/officeDocument/2006/relationships/hyperlink" Target="https://www.google.com/url?q=https://github.com/mostafa-saad/MyCompetitiveProgramming/blob/master/Olympiad/CEOI/CEOI-17-Building.txt&amp;sa=D&amp;ust=1605639832114000&amp;usg=AFQjCNF6WIiBqGv5sJi3D51QBqfaKYaOyA" TargetMode="External"/><Relationship Id="rId732" Type="http://schemas.openxmlformats.org/officeDocument/2006/relationships/hyperlink" Target="https://www.google.com/url?q=https://dmoj.ca/problem/coci08c4p2&amp;sa=D&amp;ust=1605639832159000&amp;usg=AFQjCNGXs_Dk3OdNqWKjrJQgompcfBkqAw" TargetMode="External"/><Relationship Id="rId1155" Type="http://schemas.openxmlformats.org/officeDocument/2006/relationships/hyperlink" Target="https://www.google.com/url?q=https://github.com/farmerboy95/CompetitiveProgramming/blob/master/COCI/COCI%252018-priglavci.cpp&amp;sa=D&amp;ust=1605639832277000&amp;usg=AFQjCNFzJ0WPavLbtzvrmdlLQKC7P9bWeQ" TargetMode="External"/><Relationship Id="rId1362" Type="http://schemas.openxmlformats.org/officeDocument/2006/relationships/hyperlink" Target="https://www.google.com/url?q=https://oj.uz/problem/view/info1cup18_hidden&amp;sa=D&amp;ust=1605639832344000&amp;usg=AFQjCNGrewUOTTCY5j8boZrdkSIiLSYyTg" TargetMode="External"/><Relationship Id="rId2206" Type="http://schemas.openxmlformats.org/officeDocument/2006/relationships/hyperlink" Target="https://www.google.com/url?q=https://oj.uz/problems/source/314&amp;sa=D&amp;ust=1605639832614000&amp;usg=AFQjCNFJL97-XAi9_6mkFFUOC1ofDHLHjA" TargetMode="External"/><Relationship Id="rId2413" Type="http://schemas.openxmlformats.org/officeDocument/2006/relationships/hyperlink" Target="https://www.google.com/url?q=https://dunjudge.me/analysis/problems/15/&amp;sa=D&amp;ust=1605639832679000&amp;usg=AFQjCNGEjuWkggNJDxZDdjEK2wmRpI58eA" TargetMode="External"/><Relationship Id="rId2620" Type="http://schemas.openxmlformats.org/officeDocument/2006/relationships/hyperlink" Target="https://www.google.com/url?q=https://github.com/mostafa-saad/MyCompetitiveProgramming/blob/master/Olympiad/POI/POI-09-Walk.txt&amp;sa=D&amp;ust=1605639832741000&amp;usg=AFQjCNEhSB2Ta55PQG0RnTLo0UEU37mnhw" TargetMode="External"/><Relationship Id="rId1015" Type="http://schemas.openxmlformats.org/officeDocument/2006/relationships/hyperlink" Target="https://www.google.com/url?q=https://oj.uz/problem/view/COCI15_topovi&amp;sa=D&amp;ust=1605639832238000&amp;usg=AFQjCNEBjH7ujP4icuameW0GFPlZzXMg4w" TargetMode="External"/><Relationship Id="rId1222" Type="http://schemas.openxmlformats.org/officeDocument/2006/relationships/hyperlink" Target="https://www.google.com/url?q=https://github.com/mostafa-saad/MyCompetitiveProgramming/blob/master/Olympiad/COI/COI-08-Otoci.txt&amp;sa=D&amp;ust=1605639832305000&amp;usg=AFQjCNGCm1cRJXgJD0L3GLJKhXyabXpxGQ" TargetMode="External"/><Relationship Id="rId175" Type="http://schemas.openxmlformats.org/officeDocument/2006/relationships/hyperlink" Target="https://www.google.com/url?q=https://cses.fi/110/list/&amp;sa=D&amp;ust=1605639832007000&amp;usg=AFQjCNHz2v_r6Lfo9nhEpv9m_pG4co-R3Q" TargetMode="External"/><Relationship Id="rId382" Type="http://schemas.openxmlformats.org/officeDocument/2006/relationships/hyperlink" Target="https://www.google.com/url?q=https://github.com/mostafa-saad/MyCompetitiveProgramming/blob/master/Olympiad/CEOI/CEOI-03-Hanoi.txt&amp;sa=D&amp;ust=1605639832070000&amp;usg=AFQjCNFN1vk2VINpvI-TXlrN_EgpQiGLWQ" TargetMode="External"/><Relationship Id="rId2063" Type="http://schemas.openxmlformats.org/officeDocument/2006/relationships/hyperlink" Target="https://www.google.com/url?q=https://oj.uz/problem/view/JOI19_ho_t3&amp;sa=D&amp;ust=1605639832559000&amp;usg=AFQjCNGMUa5YmSpJ2lcpqhGWovW4c2BlAw" TargetMode="External"/><Relationship Id="rId2270" Type="http://schemas.openxmlformats.org/officeDocument/2006/relationships/hyperlink" Target="https://www.google.com/url?q=https://codeforces.com/group/R2SERIff4f/contest/213171&amp;sa=D&amp;ust=1605639832637000&amp;usg=AFQjCNHb3q7WDQlTs4C9Vc2vimCGBh822w" TargetMode="External"/><Relationship Id="rId242" Type="http://schemas.openxmlformats.org/officeDocument/2006/relationships/hyperlink" Target="https://www.google.com/url?q=https://cses.fi/98/list/&amp;sa=D&amp;ust=1605639832027000&amp;usg=AFQjCNHqf-BiQ-v1sE44OKH-qlaC4kTwyg" TargetMode="External"/><Relationship Id="rId2130" Type="http://schemas.openxmlformats.org/officeDocument/2006/relationships/hyperlink" Target="https://www.google.com/url?q=https://joisc2013-day2.contest.atcoder.jp/tasks/joisc2013_spy&amp;sa=D&amp;ust=1605639832581000&amp;usg=AFQjCNH2hHoF_rJhXhXQdeC8ajS_b_o7qw" TargetMode="External"/><Relationship Id="rId102" Type="http://schemas.openxmlformats.org/officeDocument/2006/relationships/hyperlink" Target="https://www.google.com/url?q=https://github.com/mostafa-saad/MyCompetitiveProgramming/blob/master/Olympiad/Balkan/Balkan-11-Trapezoid.txt&amp;sa=D&amp;ust=1605639831983000&amp;usg=AFQjCNH36-v_qKNT2DFGFb0J4At0-nPOIQ" TargetMode="External"/><Relationship Id="rId1689" Type="http://schemas.openxmlformats.org/officeDocument/2006/relationships/hyperlink" Target="https://www.google.com/url?q=https://contest.yandex.ru/ioi/contest/560/enter/&amp;sa=D&amp;ust=1605639832440000&amp;usg=AFQjCNG6t-wJb-tQkxPkbi4R2imAnkTFMw" TargetMode="External"/><Relationship Id="rId1896" Type="http://schemas.openxmlformats.org/officeDocument/2006/relationships/hyperlink" Target="https://www.google.com/url?q=https://www.hackerrank.com/contests/ioi-2014-practice-contest-1/challenges&amp;sa=D&amp;ust=1605639832507000&amp;usg=AFQjCNE2Xq9gy6hD7oUaT7lvCSVKbyUPSw" TargetMode="External"/><Relationship Id="rId2947" Type="http://schemas.openxmlformats.org/officeDocument/2006/relationships/hyperlink" Target="https://www.google.com/url?q=http://usaco.org/index.php?page%3Dviewproblem2%26cpid%3D769&amp;sa=D&amp;ust=1605639832835000&amp;usg=AFQjCNEyCf3Co36w1CQUfTNh1XFnafVCeQ" TargetMode="External"/><Relationship Id="rId919" Type="http://schemas.openxmlformats.org/officeDocument/2006/relationships/hyperlink" Target="https://www.google.com/url?q=https://oj.uz/problem/view/COCI14_bob&amp;sa=D&amp;ust=1605639832214000&amp;usg=AFQjCNHa7HzoKx0eIxwEJz13JZw_5kNgLA" TargetMode="External"/><Relationship Id="rId1549" Type="http://schemas.openxmlformats.org/officeDocument/2006/relationships/hyperlink" Target="https://www.google.com/url?q=https://github.com/stefdasca/CompetitiveProgramming/blob/master/Infoarena/peri.cpp&amp;sa=D&amp;ust=1605639832396000&amp;usg=AFQjCNGv-srnMhRT6U7pq5Gvb3FG2Knv3g" TargetMode="External"/><Relationship Id="rId1756" Type="http://schemas.openxmlformats.org/officeDocument/2006/relationships/hyperlink" Target="https://www.google.com/url?q=https://github.com/mostafa-saad/MyCompetitiveProgramming/blob/master/Olympiad/IOI/official/2009&amp;sa=D&amp;ust=1605639832460000&amp;usg=AFQjCNGXzqpz8xoDMfAk3Qx60-iZolE6Tg" TargetMode="External"/><Relationship Id="rId1963" Type="http://schemas.openxmlformats.org/officeDocument/2006/relationships/hyperlink" Target="https://www.google.com/url?q=https://codeforces.com/group/swEqtABRxe/contest/243435/problem/C&amp;sa=D&amp;ust=1605639832526000&amp;usg=AFQjCNHFXBjXb_ifv_SsenSKtjO9vhJB8w" TargetMode="External"/><Relationship Id="rId2807" Type="http://schemas.openxmlformats.org/officeDocument/2006/relationships/hyperlink" Target="https://www.google.com/url?q=https://szkopul.edu.pl/problemset/problem/M5CruI5eCu8elnNFHuiXBrvV/site/&amp;sa=D&amp;ust=1605639832788000&amp;usg=AFQjCNF6rG2pHuxgjbWAWSG68T_QmYYDZg" TargetMode="External"/><Relationship Id="rId48" Type="http://schemas.openxmlformats.org/officeDocument/2006/relationships/hyperlink" Target="https://www.google.com/url?q=https://oj.uz/problem/view/APIO15_sculpture&amp;sa=D&amp;ust=1605639831963000&amp;usg=AFQjCNGtI-lVX54r1IAxARjfOZQBI3pvQw" TargetMode="External"/><Relationship Id="rId1409" Type="http://schemas.openxmlformats.org/officeDocument/2006/relationships/hyperlink" Target="https://www.google.com/url?q=https://github.com/stefdasca/CompetitiveProgramming/blob/master/Infoarena/borcane.cpp&amp;sa=D&amp;ust=1605639832354000&amp;usg=AFQjCNH1M1gOZl2U2E5-EAqpvyyeHDqtCg" TargetMode="External"/><Relationship Id="rId1616" Type="http://schemas.openxmlformats.org/officeDocument/2006/relationships/hyperlink" Target="https://www.google.com/url?q=https://github.com/mostafa-saad/MyCompetitiveProgramming/blob/master/Olympiad/infoarena/infoarena_turnuri.txt&amp;sa=D&amp;ust=1605639832418000&amp;usg=AFQjCNFvwvHXP92LcLfOtnMaJQxYwZn-7Q" TargetMode="External"/><Relationship Id="rId1823" Type="http://schemas.openxmlformats.org/officeDocument/2006/relationships/hyperlink" Target="https://www.google.com/url?q=https://oj.uz/problem/view/IOI15_boxes&amp;sa=D&amp;ust=1605639832483000&amp;usg=AFQjCNEC6-X5HqBO1-75FH5go-i_DLn-6Q" TargetMode="External"/><Relationship Id="rId2597" Type="http://schemas.openxmlformats.org/officeDocument/2006/relationships/hyperlink" Target="https://www.google.com/url?q=https://szkopul.edu.pl/problemset/problem/zQvxlGgoPvqRrAK0TuLeWIRD/site/&amp;sa=D&amp;ust=1605639832737000&amp;usg=AFQjCNFk_Ff4X1LQJpCNaZkNJ3MjTeF6Ww" TargetMode="External"/><Relationship Id="rId569" Type="http://schemas.openxmlformats.org/officeDocument/2006/relationships/hyperlink" Target="https://www.google.com/url?q=https://github.com/mostafa-saad/MyCompetitiveProgramming/blob/master/Olympiad/COCI/COCI-06-Circle.txt&amp;sa=D&amp;ust=1605639832124000&amp;usg=AFQjCNF3zQpRiHVCBdf-FCnwOfWvZby5rA" TargetMode="External"/><Relationship Id="rId776" Type="http://schemas.openxmlformats.org/officeDocument/2006/relationships/hyperlink" Target="https://www.google.com/url?q=https://dmoj.ca/problem/coci08c2p5&amp;sa=D&amp;ust=1605639832169000&amp;usg=AFQjCNHxQw9pNhyAM6hcMxtvyvYXKk5ZUw" TargetMode="External"/><Relationship Id="rId983" Type="http://schemas.openxmlformats.org/officeDocument/2006/relationships/hyperlink" Target="https://www.google.com/url?q=https://github.com/mostafa-saad/MyCompetitiveProgramming/blob/master/Olympiad/COCI/official/2015/contest5_solutions&amp;sa=D&amp;ust=1605639832229000&amp;usg=AFQjCNH1TYJk9M7wiq8kU_2igXqRVDfHKg" TargetMode="External"/><Relationship Id="rId1199" Type="http://schemas.openxmlformats.org/officeDocument/2006/relationships/hyperlink" Target="https://www.google.com/url?q=https://dmoj.ca/problem/coi06p2&amp;sa=D&amp;ust=1605639832298000&amp;usg=AFQjCNFQK6FbEfzz-_8sIQ4kUSWO1fX3hQ" TargetMode="External"/><Relationship Id="rId2457" Type="http://schemas.openxmlformats.org/officeDocument/2006/relationships/hyperlink" Target="https://www.google.com/url?q=https://dunjudge.me/analysis/problems/1173/&amp;sa=D&amp;ust=1605639832698000&amp;usg=AFQjCNHpzTGMcNi1Jzg1KW8YXcGdbG0hqA" TargetMode="External"/><Relationship Id="rId2664" Type="http://schemas.openxmlformats.org/officeDocument/2006/relationships/hyperlink" Target="https://www.google.com/url?q=https://github.com/mostafa-saad/MyCompetitiveProgramming/blob/master/Olympiad/POI/official/find_editorial_sols_guidelines.txt&amp;sa=D&amp;ust=1605639832751000&amp;usg=AFQjCNFpH9m7x1NPpc46_XZV0aAvFjp-Fw" TargetMode="External"/><Relationship Id="rId429" Type="http://schemas.openxmlformats.org/officeDocument/2006/relationships/hyperlink" Target="https://www.google.com/url?q=https://cses.fi/189/list/&amp;sa=D&amp;ust=1605639832086000&amp;usg=AFQjCNGtXbfMGAPu8BUGeeQFLzHyQuISiw" TargetMode="External"/><Relationship Id="rId636" Type="http://schemas.openxmlformats.org/officeDocument/2006/relationships/hyperlink" Target="https://www.google.com/url?q=https://dmoj.ca/problem/coci06c6p5&amp;sa=D&amp;ust=1605639832138000&amp;usg=AFQjCNHbxEHImO7TDunDNPQ8L7HxrGbRDQ" TargetMode="External"/><Relationship Id="rId1059" Type="http://schemas.openxmlformats.org/officeDocument/2006/relationships/hyperlink" Target="https://www.google.com/url?q=https://ideone.com/Ejf10T&amp;sa=D&amp;ust=1605639832248000&amp;usg=AFQjCNFhVb84bS5extzN0uoMA_Kd-Z14Qg" TargetMode="External"/><Relationship Id="rId1266" Type="http://schemas.openxmlformats.org/officeDocument/2006/relationships/hyperlink" Target="https://www.google.com/url?q=https://oj.uz/problem/view/COI16_dijament&amp;sa=D&amp;ust=1605639832316000&amp;usg=AFQjCNGA1tfZ5b_kR-o4ZK2vhCRTcusWkw" TargetMode="External"/><Relationship Id="rId1473" Type="http://schemas.openxmlformats.org/officeDocument/2006/relationships/hyperlink" Target="https://www.google.com/url?q=https://github.com/stefdasca/CompetitiveProgramming/blob/master/Infoarena/greutati.cpp&amp;sa=D&amp;ust=1605639832371000&amp;usg=AFQjCNGD_pcMUz5U9IDVtoBpYNh2vvprJg" TargetMode="External"/><Relationship Id="rId2317" Type="http://schemas.openxmlformats.org/officeDocument/2006/relationships/hyperlink" Target="https://www.google.com/url?q=https://github.com/mostafa-saad/MyCompetitiveProgramming/blob/master/Olympiad/NOI/official&amp;sa=D&amp;ust=1605639832650000&amp;usg=AFQjCNHLK5p2GBCgpgFCX6NFVBFYL5vj2g" TargetMode="External"/><Relationship Id="rId2871" Type="http://schemas.openxmlformats.org/officeDocument/2006/relationships/hyperlink" Target="https://www.google.com/url?q=https://csacademy.com/contest/junior-challenge-2017-day-2/task/ultimateorbs&amp;sa=D&amp;ust=1605639832811000&amp;usg=AFQjCNGT0IQ0IiRszLT96AAHgQ5Rs7Zx-Q" TargetMode="External"/><Relationship Id="rId843" Type="http://schemas.openxmlformats.org/officeDocument/2006/relationships/hyperlink" Target="https://www.google.com/url?q=https://wcipeg.com/problem/coci092p5&amp;sa=D&amp;ust=1605639832191000&amp;usg=AFQjCNFifVGiOY9t-XzsMEbqtnzdhePtpw" TargetMode="External"/><Relationship Id="rId1126" Type="http://schemas.openxmlformats.org/officeDocument/2006/relationships/hyperlink" Target="https://www.google.com/url?q=https://github.com/mostafa-saad/MyCompetitiveProgramming/blob/master/Olympiad/COCI/official/2018/contest2_solutions&amp;sa=D&amp;ust=1605639832265000&amp;usg=AFQjCNHPb-p9R9XK-iesnI49BQkDu3XfAg" TargetMode="External"/><Relationship Id="rId1680" Type="http://schemas.openxmlformats.org/officeDocument/2006/relationships/hyperlink" Target="https://www.google.com/url?q=https://github.com/zoooma13/Competitive-Programming/blob/master/trail_maintenance.cpp&amp;sa=D&amp;ust=1605639832437000&amp;usg=AFQjCNF5X-JBKxhjiDiTSvOt-1X4JlbVaA" TargetMode="External"/><Relationship Id="rId2524" Type="http://schemas.openxmlformats.org/officeDocument/2006/relationships/hyperlink" Target="https://www.google.com/url?q=https://github.com/mostafa-saad/MyCompetitiveProgramming/blob/master/Olympiad/POI/official/find_editorial_sols_guidelines.txt&amp;sa=D&amp;ust=1605639832719000&amp;usg=AFQjCNEeXbgpfJNKdGG58oEHPvMb_6wsjA" TargetMode="External"/><Relationship Id="rId2731" Type="http://schemas.openxmlformats.org/officeDocument/2006/relationships/hyperlink" Target="https://www.google.com/url?q=https://github.com/mostafa-saad/MyCompetitiveProgramming/blob/master/Olympiad/POI/POI-13-Takeout.txt&amp;sa=D&amp;ust=1605639832763000&amp;usg=AFQjCNGdvpSkRKemO0FC9i0s9w93RBbQ7Q" TargetMode="External"/><Relationship Id="rId703" Type="http://schemas.openxmlformats.org/officeDocument/2006/relationships/hyperlink" Target="https://www.google.com/url?q=https://github.com/mostafa-saad/MyCompetitiveProgramming/tree/master/Olympiad/COCI/official/2008/contest6_solutions&amp;sa=D&amp;ust=1605639832153000&amp;usg=AFQjCNFDAbCHDYv1OmyOWatzeiaIQMriSw" TargetMode="External"/><Relationship Id="rId910" Type="http://schemas.openxmlformats.org/officeDocument/2006/relationships/hyperlink" Target="https://www.google.com/url?q=https://github.com/mostafa-saad/MyCompetitiveProgramming/blob/master/Olympiad/COCI/COCI-13-parovi.txt&amp;sa=D&amp;ust=1605639832211000&amp;usg=AFQjCNGau0hm048Sygv2URaAYW5Hi5K9vQ" TargetMode="External"/><Relationship Id="rId1333" Type="http://schemas.openxmlformats.org/officeDocument/2006/relationships/hyperlink" Target="https://www.google.com/url?q=https://csacademy.com/contest/ejoi-2017-day-2/task/camel/&amp;sa=D&amp;ust=1605639832335000&amp;usg=AFQjCNGN8fjfibam4VXNvQkG5HjZEDqCIA" TargetMode="External"/><Relationship Id="rId1540" Type="http://schemas.openxmlformats.org/officeDocument/2006/relationships/hyperlink" Target="https://www.google.com/url?q=https://infoarena.ro/problema/paintball&amp;sa=D&amp;ust=1605639832393000&amp;usg=AFQjCNG5iqs-qW0e8fsWuepzyw9HTBpDpA" TargetMode="External"/><Relationship Id="rId1400" Type="http://schemas.openxmlformats.org/officeDocument/2006/relationships/hyperlink" Target="https://www.google.com/url?q=https://www.infoarena.ro/problema/arbore7&amp;sa=D&amp;ust=1605639832352000&amp;usg=AFQjCNFJ6uwL4_Bppd0Meqg9VDeMCOMEPA" TargetMode="External"/><Relationship Id="rId286" Type="http://schemas.openxmlformats.org/officeDocument/2006/relationships/hyperlink" Target="https://www.google.com/url?q=https://github.com/mostafa-saad/MyCompetitiveProgramming/blob/master/Olympiad/Baltic/Baltic-15-hac.txt&amp;sa=D&amp;ust=1605639832036000&amp;usg=AFQjCNHOBfWhX6qmADVPtyLdoDKjP_BxtQ" TargetMode="External"/><Relationship Id="rId493" Type="http://schemas.openxmlformats.org/officeDocument/2006/relationships/hyperlink" Target="https://www.google.com/url?q=https://github.com/tmwilliamlin168/CompetitiveProgramming/blob/master/CEOI/14-007.cpp&amp;sa=D&amp;ust=1605639832105000&amp;usg=AFQjCNFuiDBeG94Mho-TqG3wNAJ2k9m9_w" TargetMode="External"/><Relationship Id="rId2174" Type="http://schemas.openxmlformats.org/officeDocument/2006/relationships/hyperlink" Target="https://www.google.com/url?q=https://oj.uz/problem/view/JOI17_broken_device&amp;sa=D&amp;ust=1605639832604000&amp;usg=AFQjCNG8fsETSRUE6LEJsNs5e1z-2pt9fA" TargetMode="External"/><Relationship Id="rId2381" Type="http://schemas.openxmlformats.org/officeDocument/2006/relationships/hyperlink" Target="https://www.google.com/url?q=https://oj.uz/problem/view/NOI18_citymapping&amp;sa=D&amp;ust=1605639832666000&amp;usg=AFQjCNHkqOL-FFy5tNpSz_Y-_qdM7UAbfg" TargetMode="External"/><Relationship Id="rId146" Type="http://schemas.openxmlformats.org/officeDocument/2006/relationships/hyperlink" Target="https://www.google.com/url?q=https://oj.uz/problem/view/BOI18_homecoming&amp;sa=D&amp;ust=1605639831998000&amp;usg=AFQjCNE7S7m_cEGTzXlfmaVDlGzueMGpmQ" TargetMode="External"/><Relationship Id="rId353" Type="http://schemas.openxmlformats.org/officeDocument/2006/relationships/hyperlink" Target="https://www.google.com/url?q=https://github.com/win11905/submission/blob/61c76f8b073e5e5446e7688626c487a4dcbfcd9e/CCO/14/RoadConstruction.cpp&amp;sa=D&amp;ust=1605639832053000&amp;usg=AFQjCNHDMAmqAJ48gMN_HNKm7EJ3aEqqig" TargetMode="External"/><Relationship Id="rId560" Type="http://schemas.openxmlformats.org/officeDocument/2006/relationships/hyperlink" Target="https://www.google.com/url?q=https://dmoj.ca/problem/coci06c2p2&amp;sa=D&amp;ust=1605639832122000&amp;usg=AFQjCNEBwqe06118Lq6sh8xuO0OR7bSbDA" TargetMode="External"/><Relationship Id="rId1190" Type="http://schemas.openxmlformats.org/officeDocument/2006/relationships/hyperlink" Target="https://www.google.com/url?q=https://github.com/mostafa-saad/MyCompetitiveProgramming/blob/master/Olympiad/COCI/COCI-19-transport.txt&amp;sa=D&amp;ust=1605639832291000&amp;usg=AFQjCNHlvuNisLTMxQTkGthZdRsIErWAtA" TargetMode="External"/><Relationship Id="rId2034" Type="http://schemas.openxmlformats.org/officeDocument/2006/relationships/hyperlink" Target="https://www.google.com/url?q=https://joi2016ho.contest.atcoder.jp/tasks/joi2016ho_b&amp;sa=D&amp;ust=1605639832549000&amp;usg=AFQjCNH_03FDjKOVzC4GUpyau2EI1K02JQ" TargetMode="External"/><Relationship Id="rId2241" Type="http://schemas.openxmlformats.org/officeDocument/2006/relationships/hyperlink" Target="https://www.google.com/url?q=https://dunjudge.me/analysis/problems/723/&amp;sa=D&amp;ust=1605639832627000&amp;usg=AFQjCNFjiJ81WTQwLIgQe_a_RmxYZlT31w" TargetMode="External"/><Relationship Id="rId213" Type="http://schemas.openxmlformats.org/officeDocument/2006/relationships/hyperlink" Target="https://www.google.com/url?q=https://cses.fi/105/list/&amp;sa=D&amp;ust=1605639832018000&amp;usg=AFQjCNHYpbVuXgaXV6SUmknK4YmmMkHWlw" TargetMode="External"/><Relationship Id="rId420" Type="http://schemas.openxmlformats.org/officeDocument/2006/relationships/hyperlink" Target="https://www.google.com/url?q=https://github.com/mostafa-saad/MyCompetitiveProgramming/blob/master/Olympiad/CEOI/CEOI-06-Queue.txt&amp;sa=D&amp;ust=1605639832082000&amp;usg=AFQjCNF8X6TvLKISK8H4hGJc41AnqE07xw" TargetMode="External"/><Relationship Id="rId658" Type="http://schemas.openxmlformats.org/officeDocument/2006/relationships/hyperlink" Target="https://www.google.com/url?q=https://dmoj.ca/problem/coci07c3p4&amp;sa=D&amp;ust=1605639832143000&amp;usg=AFQjCNEDvKUXbiyvkxXuYxYbPdPn5Hty8A" TargetMode="External"/><Relationship Id="rId865" Type="http://schemas.openxmlformats.org/officeDocument/2006/relationships/hyperlink" Target="https://www.google.com/url?q=https://wcipeg.com/problem/coci096p4&amp;sa=D&amp;ust=1605639832198000&amp;usg=AFQjCNGmsuUdBO_fk7fVRtFEUI_hM47zEw" TargetMode="External"/><Relationship Id="rId1050" Type="http://schemas.openxmlformats.org/officeDocument/2006/relationships/hyperlink" Target="https://www.google.com/url?q=https://github.com/mostafa-saad/MyCompetitiveProgramming/blob/master/Olympiad/COCI/official/2017/contest2_solutions&amp;sa=D&amp;ust=1605639832246000&amp;usg=AFQjCNGwDlDXns0CjO7X7uFn5IFpvRBYhw" TargetMode="External"/><Relationship Id="rId1288" Type="http://schemas.openxmlformats.org/officeDocument/2006/relationships/hyperlink" Target="https://www.google.com/url?q=https://oj.uz/problem/view/COI19_ljetopica&amp;sa=D&amp;ust=1605639832322000&amp;usg=AFQjCNEzDgThb9clhasCyxoJuUfPXYbqzw" TargetMode="External"/><Relationship Id="rId1495" Type="http://schemas.openxmlformats.org/officeDocument/2006/relationships/hyperlink" Target="https://www.google.com/url?q=https://github.com/stefdasca/CompetitiveProgramming/blob/master/Infoarena/kinder.cpp&amp;sa=D&amp;ust=1605639832378000&amp;usg=AFQjCNGQakvbZfQ5s2t9EMOTP4A4zrtTLw" TargetMode="External"/><Relationship Id="rId2101" Type="http://schemas.openxmlformats.org/officeDocument/2006/relationships/hyperlink" Target="https://www.google.com/url?q=https://github.com/mostafa-saad/MyCompetitiveProgramming/blob/master/Olympiad/JOI/JOIOC-17-amusementPark.txt&amp;sa=D&amp;ust=1605639832568000&amp;usg=AFQjCNEGVQpg3zduABVh6LzADbCb1kU3VQ" TargetMode="External"/><Relationship Id="rId2339" Type="http://schemas.openxmlformats.org/officeDocument/2006/relationships/hyperlink" Target="https://www.google.com/url?q=https://www.comp.nus.edu.sg/~noi/2012/2012_soln.pdf&amp;sa=D&amp;ust=1605639832656000&amp;usg=AFQjCNHP3ewc0RUVA1h0Y2o3gRkkuyfFSQ" TargetMode="External"/><Relationship Id="rId2546" Type="http://schemas.openxmlformats.org/officeDocument/2006/relationships/hyperlink" Target="https://www.google.com/url?q=https://github.com/mostafa-saad/MyCompetitiveProgramming/blob/master/Olympiad/POI/POI-06-Ploughing.txt&amp;sa=D&amp;ust=1605639832725000&amp;usg=AFQjCNFfg2vTsIVx9i6IndPSZm2SZ-bOeg" TargetMode="External"/><Relationship Id="rId2753" Type="http://schemas.openxmlformats.org/officeDocument/2006/relationships/hyperlink" Target="https://www.google.com/url?q=https://szkopul.edu.pl/problemset/problem/BnzEADCfeJFjjev1Y9iHQANg/site/&amp;sa=D&amp;ust=1605639832771000&amp;usg=AFQjCNEXNGFbOOi6ZOSU8M9IDU5XFwyEDQ" TargetMode="External"/><Relationship Id="rId2960" Type="http://schemas.openxmlformats.org/officeDocument/2006/relationships/hyperlink" Target="https://www.google.com/url?q=https://github.com/tmwilliamlin168/CompetitiveProgramming/blob/master/USACO/Contests/1617_4P/grass.cpp&amp;sa=D&amp;ust=1605639832841000&amp;usg=AFQjCNF1vesKoKtgw415n6U0NgE0aGezow" TargetMode="External"/><Relationship Id="rId518" Type="http://schemas.openxmlformats.org/officeDocument/2006/relationships/hyperlink" Target="https://www.google.com/url?q=https://oj.uz/problems/source/197&amp;sa=D&amp;ust=1605639832113000&amp;usg=AFQjCNFDZJQyyhBWVC2erxlv3COFCsAo6w" TargetMode="External"/><Relationship Id="rId725" Type="http://schemas.openxmlformats.org/officeDocument/2006/relationships/hyperlink" Target="https://www.google.com/url?q=https://github.com/mostafa-saad/MyCompetitiveProgramming/blob/master/Olympiad/COCI/official/2009/contest6_solutions&amp;sa=D&amp;ust=1605639832157000&amp;usg=AFQjCNHua_fF7J7y6nu3MroxXrNwHMWvfw" TargetMode="External"/><Relationship Id="rId932" Type="http://schemas.openxmlformats.org/officeDocument/2006/relationships/hyperlink" Target="https://www.google.com/url?q=https://github.com/mostafa-saad/MyCompetitiveProgramming/blob/master/Olympiad/COCI/COCI-14-Kamioni.txt&amp;sa=D&amp;ust=1605639832216000&amp;usg=AFQjCNHh-B1BCjPMyoJSiGmE6NlaReWagQ" TargetMode="External"/><Relationship Id="rId1148" Type="http://schemas.openxmlformats.org/officeDocument/2006/relationships/hyperlink" Target="https://www.google.com/url?q=https://oj.uz/problem/view/COCI18_pictionary&amp;sa=D&amp;ust=1605639832275000&amp;usg=AFQjCNHpn3ZBC8gHMVgRLUdl8Yci1rR4Hw" TargetMode="External"/><Relationship Id="rId1355" Type="http://schemas.openxmlformats.org/officeDocument/2006/relationships/hyperlink" Target="https://www.google.com/url?q=https://oj.uz/problem/view/info1cup17_binary&amp;sa=D&amp;ust=1605639832341000&amp;usg=AFQjCNHvEazYrX8ohzKpshKhCoDRoHQEaw" TargetMode="External"/><Relationship Id="rId1562" Type="http://schemas.openxmlformats.org/officeDocument/2006/relationships/hyperlink" Target="https://www.google.com/url?q=https://github.com/mostafa-saad/MyCompetitiveProgramming/blob/master/Olympiad/infoarena/infoarena-plimbare3.txt&amp;sa=D&amp;ust=1605639832401000&amp;usg=AFQjCNG1ukBX4BHqAobwK3iojzYTXVE6iw" TargetMode="External"/><Relationship Id="rId2406" Type="http://schemas.openxmlformats.org/officeDocument/2006/relationships/hyperlink" Target="https://www.google.com/url?q=https://dunjudge.me/analysis/problems/697/&amp;sa=D&amp;ust=1605639832676000&amp;usg=AFQjCNGZWVDzwEkljE3qnX4li8QyVXYXiw" TargetMode="External"/><Relationship Id="rId2613" Type="http://schemas.openxmlformats.org/officeDocument/2006/relationships/hyperlink" Target="https://www.google.com/url?q=https://szkopul.edu.pl/problemset/problem/uABxo7lIMMVDn0-HB1wCE02w/site/&amp;sa=D&amp;ust=1605639832740000&amp;usg=AFQjCNGqxcKbRvPZrED3lbK_yUrityaYig" TargetMode="External"/><Relationship Id="rId1008" Type="http://schemas.openxmlformats.org/officeDocument/2006/relationships/hyperlink" Target="https://www.google.com/url?q=https://oj.uz/problem/view/COCI15_pot&amp;sa=D&amp;ust=1605639832236000&amp;usg=AFQjCNEbt_f-fpyGjX80R6GyhFHoSWIQeQ" TargetMode="External"/><Relationship Id="rId1215" Type="http://schemas.openxmlformats.org/officeDocument/2006/relationships/hyperlink" Target="https://www.google.com/url?q=https://wcipeg.com/problem/coi08p1&amp;sa=D&amp;ust=1605639832303000&amp;usg=AFQjCNGLhd8LMcdqCFa85I7E9xTgvohr3A" TargetMode="External"/><Relationship Id="rId1422" Type="http://schemas.openxmlformats.org/officeDocument/2006/relationships/hyperlink" Target="https://www.google.com/url?q=https://github.com/stefdasca/CompetitiveProgramming/blob/master/Infoarena/cerc3.cpp&amp;sa=D&amp;ust=1605639832357000&amp;usg=AFQjCNEbIrCtzBCwYAGCnm4Pdl0zNw_ToA" TargetMode="External"/><Relationship Id="rId1867" Type="http://schemas.openxmlformats.org/officeDocument/2006/relationships/hyperlink" Target="https://www.google.com/url?q=https://github.com/mostafa-saad/MyCompetitiveProgramming/blob/master/Olympiad/IOI/IOI-17-wiring.txt&amp;sa=D&amp;ust=1605639832498000&amp;usg=AFQjCNElpVm-fbB9mBAY22gpFCyWUkt1JA" TargetMode="External"/><Relationship Id="rId2820" Type="http://schemas.openxmlformats.org/officeDocument/2006/relationships/hyperlink" Target="https://www.google.com/url?q=https://szkopul.edu.pl/problemset/problem/9NFtPM59qGWa7wdn570ifuP0/site/&amp;sa=D&amp;ust=1605639832793000&amp;usg=AFQjCNHZmH1n575bBaw2d7niJ6EUnrtUyQ" TargetMode="External"/><Relationship Id="rId2918" Type="http://schemas.openxmlformats.org/officeDocument/2006/relationships/hyperlink" Target="https://www.google.com/url?q=http://usaco.org/index.php?page%3Dviewproblem2%26cpid%3D229&amp;sa=D&amp;ust=1605639832825000&amp;usg=AFQjCNFgZ5SBHg2HjRe1DcETswrFkPe3Gg" TargetMode="External"/><Relationship Id="rId61" Type="http://schemas.openxmlformats.org/officeDocument/2006/relationships/hyperlink" Target="https://www.google.com/url?q=https://github.com/mostafa-saad/MyCompetitiveProgramming/blob/master/Olympiad/APIO/APIO-17-merchant.txt&amp;sa=D&amp;ust=1605639831966000&amp;usg=AFQjCNGMJ88uEtqrkKbFfWpQZZqkE-YeBw" TargetMode="External"/><Relationship Id="rId1727" Type="http://schemas.openxmlformats.org/officeDocument/2006/relationships/hyperlink" Target="https://www.google.com/url?q=https://oj.uz/problem/view/IOI07_pairs&amp;sa=D&amp;ust=1605639832451000&amp;usg=AFQjCNEhZlKZTHDzTUuEmvWLA5duR4limg" TargetMode="External"/><Relationship Id="rId1934" Type="http://schemas.openxmlformats.org/officeDocument/2006/relationships/hyperlink" Target="https://www.google.com/url?q=https://github.com/mostafa-saad/MyCompetitiveProgramming/blob/master/Olympiad/IOI/IOIPractice-17-coins.txt&amp;sa=D&amp;ust=1605639832518000&amp;usg=AFQjCNG2aP0BTig2vJSDQL_oNcraWoYq2A" TargetMode="External"/><Relationship Id="rId19" Type="http://schemas.openxmlformats.org/officeDocument/2006/relationships/hyperlink" Target="https://www.google.com/url?q=https://dmoj.ca/problem/apio10p1&amp;sa=D&amp;ust=1605639831957000&amp;usg=AFQjCNGbObxT3uHrM5ogcNqmryM8bDa7lQ" TargetMode="External"/><Relationship Id="rId2196" Type="http://schemas.openxmlformats.org/officeDocument/2006/relationships/hyperlink" Target="https://www.google.com/url?q=https://oj.uz/problems/source/314&amp;sa=D&amp;ust=1605639832612000&amp;usg=AFQjCNEI5rvwBjAxp2t0DCIDJzZXSwk_3g" TargetMode="External"/><Relationship Id="rId168" Type="http://schemas.openxmlformats.org/officeDocument/2006/relationships/hyperlink" Target="https://www.google.com/url?q=https://github.com/mostafa-saad/MyCompetitiveProgramming/blob/master/Olympiad/Baltic/Baltic-06-Bitwise.txt&amp;sa=D&amp;ust=1605639832005000&amp;usg=AFQjCNHKk8PzJaUXcsHTaEItW-Y9qbBmUw" TargetMode="External"/><Relationship Id="rId375" Type="http://schemas.openxmlformats.org/officeDocument/2006/relationships/hyperlink" Target="https://www.google.com/url?q=https://github.com/mostafa-saad/MyCompetitiveProgramming/tree/master/Olympiad/CEOI/official/2002&amp;sa=D&amp;ust=1605639832058000&amp;usg=AFQjCNFVqDrDGWRZiM34H3T7asnHnJZ9Qw" TargetMode="External"/><Relationship Id="rId582" Type="http://schemas.openxmlformats.org/officeDocument/2006/relationships/hyperlink" Target="https://www.google.com/url?q=https://dmoj.ca/problem/coci06c4p5&amp;sa=D&amp;ust=1605639832128000&amp;usg=AFQjCNHyaIBLPcuMRQDlms24qjltPjA8Vw" TargetMode="External"/><Relationship Id="rId2056" Type="http://schemas.openxmlformats.org/officeDocument/2006/relationships/hyperlink" Target="https://www.google.com/url?q=https://github.com/mostafa-saad/MyCompetitiveProgramming/blob/master/Olympiad/JOI/JOI-18-snakeescaping.txt&amp;sa=D&amp;ust=1605639832557000&amp;usg=AFQjCNE5OFWOAh7fBhZYR7M2bqZKy_A6BA" TargetMode="External"/><Relationship Id="rId2263" Type="http://schemas.openxmlformats.org/officeDocument/2006/relationships/hyperlink" Target="https://www.google.com/url?q=https://github.com/mostafa-saad/MyCompetitiveProgramming/tree/master/Olympiad/MCO/official&amp;sa=D&amp;ust=1605639832635000&amp;usg=AFQjCNF2DT8IFwwWigSluFOt2ZnKmmoPvA" TargetMode="External"/><Relationship Id="rId2470" Type="http://schemas.openxmlformats.org/officeDocument/2006/relationships/hyperlink" Target="https://www.google.com/url?q=https://github.com/mostafa-saad/MyCompetitiveProgramming/blob/master/Olympiad/OII/OII-18-cena.txt&amp;sa=D&amp;ust=1605639832705000&amp;usg=AFQjCNFisyTKdUyZsB19QJXqA6ETOuolbQ" TargetMode="External"/><Relationship Id="rId3" Type="http://schemas.openxmlformats.org/officeDocument/2006/relationships/hyperlink" Target="https://www.google.com/url?q=http://www.spoj.com/problems/MOBILE2/&amp;sa=D&amp;ust=1605639831954000&amp;usg=AFQjCNFVywFA-tdPM6nqMtM31-r2Yh4N2A" TargetMode="External"/><Relationship Id="rId235" Type="http://schemas.openxmlformats.org/officeDocument/2006/relationships/hyperlink" Target="https://www.google.com/url?q=https://cses.fi/101/list/&amp;sa=D&amp;ust=1605639832025000&amp;usg=AFQjCNGrYp8jZRtQBvMJ_KIp2iHJkUnb7A" TargetMode="External"/><Relationship Id="rId442" Type="http://schemas.openxmlformats.org/officeDocument/2006/relationships/hyperlink" Target="https://www.google.com/url?q=https://github.com/mostafa-saad/MyCompetitiveProgramming/blob/master/Olympiad/CEOI/CEOI-09-Boxes.txt&amp;sa=D&amp;ust=1605639832089000&amp;usg=AFQjCNGecq7xEBb_cX-Su2u9ZZv6hWAYJw" TargetMode="External"/><Relationship Id="rId887" Type="http://schemas.openxmlformats.org/officeDocument/2006/relationships/hyperlink" Target="https://www.google.com/url?q=https://dunjudge.me/analysis/problems/1362/&amp;sa=D&amp;ust=1605639832206000&amp;usg=AFQjCNFRQXswj_tcCHwMr1-IbXOfiM6rbA" TargetMode="External"/><Relationship Id="rId1072" Type="http://schemas.openxmlformats.org/officeDocument/2006/relationships/hyperlink" Target="https://www.google.com/url?q=https://oj.uz/problem/view/COCI17_gauss&amp;sa=D&amp;ust=1605639832252000&amp;usg=AFQjCNFeeY-WRCk_gCwjUVlMF7h7yGbW6Q" TargetMode="External"/><Relationship Id="rId2123" Type="http://schemas.openxmlformats.org/officeDocument/2006/relationships/hyperlink" Target="https://www.google.com/url?q=https://joisc2013-day1.contest.atcoder.jp/tasks/joisc2013_communication&amp;sa=D&amp;ust=1605639832578000&amp;usg=AFQjCNE-RKVufMFyNebjw7RrV5VrsVIfhw" TargetMode="External"/><Relationship Id="rId2330" Type="http://schemas.openxmlformats.org/officeDocument/2006/relationships/hyperlink" Target="https://www.google.com/url?q=https://dunjudge.me/analysis/problems/26/&amp;sa=D&amp;ust=1605639832654000&amp;usg=AFQjCNFrfB37amSTVJSabos3O5zIeX6LEQ" TargetMode="External"/><Relationship Id="rId2568" Type="http://schemas.openxmlformats.org/officeDocument/2006/relationships/hyperlink" Target="https://www.google.com/url?q=https://github.com/mostafa-saad/MyCompetitiveProgramming/blob/master/Olympiad/POI/official/find_editorial_sols_guidelines.txt&amp;sa=D&amp;ust=1605639832731000&amp;usg=AFQjCNGLW9bFzqP-NWrqcxCrSYcbLOdnFA" TargetMode="External"/><Relationship Id="rId2775" Type="http://schemas.openxmlformats.org/officeDocument/2006/relationships/hyperlink" Target="https://www.google.com/url?q=https://szkopul.edu.pl/problemset/problem/fuTBSUcQ2U9sVPYJUDI4JwIe/site/&amp;sa=D&amp;ust=1605639832777000&amp;usg=AFQjCNFFxng1Zg6DDuErrhxmzjgeYXh6iw" TargetMode="External"/><Relationship Id="rId2982" Type="http://schemas.openxmlformats.org/officeDocument/2006/relationships/hyperlink" Target="https://www.google.com/url?q=http://usaco.org/index.php?page%3Dviewproblem2%26cpid%3D840&amp;sa=D&amp;ust=1605639832860000&amp;usg=AFQjCNHboeauMOJYxEFxjbq9DBBYrZyb9g" TargetMode="External"/><Relationship Id="rId302" Type="http://schemas.openxmlformats.org/officeDocument/2006/relationships/hyperlink" Target="https://www.google.com/url?q=https://github.com/mostafa-saad/MyCompetitiveProgramming/blob/master/Olympiad/Baltic/Baltic-17-Cat.txt&amp;sa=D&amp;ust=1605639832039000&amp;usg=AFQjCNEAJyeEOlPVNrDu1sjZ7gHti1Ya0g" TargetMode="External"/><Relationship Id="rId747" Type="http://schemas.openxmlformats.org/officeDocument/2006/relationships/hyperlink" Target="https://www.google.com/url?q=https://github.com/mostafa-saad/MyCompetitiveProgramming/blob/master/Olympiad/COCI/COCI-08-Krtica.txt&amp;sa=D&amp;ust=1605639832162000&amp;usg=AFQjCNHwq4fWIedggB52F5lpiNL7tIxP6A" TargetMode="External"/><Relationship Id="rId954" Type="http://schemas.openxmlformats.org/officeDocument/2006/relationships/hyperlink" Target="https://www.google.com/url?q=https://github.com/mostafa-saad/MyCompetitiveProgramming/blob/master/Olympiad/COCI/official/2015/contest6_solutions&amp;sa=D&amp;ust=1605639832222000&amp;usg=AFQjCNHr6n2u5Xd_o_CXySb4vuC3ZdGQww" TargetMode="External"/><Relationship Id="rId1377" Type="http://schemas.openxmlformats.org/officeDocument/2006/relationships/hyperlink" Target="https://www.google.com/url?q=https://infoarena.ro/problema/abx&amp;sa=D&amp;ust=1605639832347000&amp;usg=AFQjCNFobKf4DjVgxWkPKxw4iIuRUQso3A" TargetMode="External"/><Relationship Id="rId1584" Type="http://schemas.openxmlformats.org/officeDocument/2006/relationships/hyperlink" Target="https://www.google.com/url?q=https://github.com/stefdasca/CompetitiveProgramming/blob/master/Infoarena/rfinv.cpp&amp;sa=D&amp;ust=1605639832408000&amp;usg=AFQjCNEyE4T5klxnpNcUqBlQlXYpcK8wDg" TargetMode="External"/><Relationship Id="rId1791" Type="http://schemas.openxmlformats.org/officeDocument/2006/relationships/hyperlink" Target="https://www.google.com/url?q=https://contest.yandex.ru/ioi/contest/572/enter/&amp;sa=D&amp;ust=1605639832473000&amp;usg=AFQjCNGi57U_DOFHQjSrddakmjdpRmdCWg" TargetMode="External"/><Relationship Id="rId2428" Type="http://schemas.openxmlformats.org/officeDocument/2006/relationships/hyperlink" Target="https://www.google.com/url?q=https://dunjudge.me/analysis/problems/420/&amp;sa=D&amp;ust=1605639832686000&amp;usg=AFQjCNHD_sutBIvPTdaWBvYapEtNoW0_MA" TargetMode="External"/><Relationship Id="rId2635" Type="http://schemas.openxmlformats.org/officeDocument/2006/relationships/hyperlink" Target="https://www.google.com/url?q=https://szkopul.edu.pl/problemset/problem/oTsXNiT3SD45VgVS2zqQWj7F/site/&amp;sa=D&amp;ust=1605639832745000&amp;usg=AFQjCNEJmtUqq6seD7dP8JBtSm4lGutYlg" TargetMode="External"/><Relationship Id="rId2842" Type="http://schemas.openxmlformats.org/officeDocument/2006/relationships/hyperlink" Target="https://www.google.com/url?q=https://szkopul.edu.pl/problemset/problem/GfNdWdsmfgHxoByl0ETuZW9c/site/&amp;sa=D&amp;ust=1605639832802000&amp;usg=AFQjCNE4fWVsAhkO36p-n1OrbxjtbHJNbA" TargetMode="External"/><Relationship Id="rId83" Type="http://schemas.openxmlformats.org/officeDocument/2006/relationships/hyperlink" Target="https://www.google.com/url?q=https://www.acmicpc.net/problem/7086&amp;sa=D&amp;ust=1605639831976000&amp;usg=AFQjCNHoeXasGtMcNVEiW93ajyqqTM3fcQ" TargetMode="External"/><Relationship Id="rId607" Type="http://schemas.openxmlformats.org/officeDocument/2006/relationships/hyperlink" Target="https://www.google.com/url?q=https://github.com/mostafa-saad/MyCompetitiveProgramming/tree/master/Olympiad/COCI/official/2007/contest6_solutions&amp;sa=D&amp;ust=1605639832133000&amp;usg=AFQjCNHq1Umr-69iePPipzcNO23_hBXQug" TargetMode="External"/><Relationship Id="rId814" Type="http://schemas.openxmlformats.org/officeDocument/2006/relationships/hyperlink" Target="https://www.google.com/url?q=https://wcipeg.com/problem/coci096p6&amp;sa=D&amp;ust=1605639832181000&amp;usg=AFQjCNGDiIfG_R51KQZBykxCN8HOC3mcSA" TargetMode="External"/><Relationship Id="rId1237" Type="http://schemas.openxmlformats.org/officeDocument/2006/relationships/hyperlink" Target="https://www.google.com/url?q=https://oj.uz/problem/view/COI14_css&amp;sa=D&amp;ust=1605639832309000&amp;usg=AFQjCNHuRMGY4OdcE_NcZsIelnRI_cUuLQ" TargetMode="External"/><Relationship Id="rId1444" Type="http://schemas.openxmlformats.org/officeDocument/2006/relationships/hyperlink" Target="https://www.google.com/url?q=https://www.infoarena.ro/problema/euclid1&amp;sa=D&amp;ust=1605639832361000&amp;usg=AFQjCNHxcSuYDB_UZ29QKs9WJWrfCgIFNQ" TargetMode="External"/><Relationship Id="rId1651" Type="http://schemas.openxmlformats.org/officeDocument/2006/relationships/hyperlink" Target="https://www.google.com/url?q=http://poj.org/problem?id%3D1161&amp;sa=D&amp;ust=1605639832429000&amp;usg=AFQjCNG_0ndV9cZ0UAurky2FXhTd5UuGUg" TargetMode="External"/><Relationship Id="rId1889" Type="http://schemas.openxmlformats.org/officeDocument/2006/relationships/hyperlink" Target="https://www.google.com/url?q=https://github.com/mostafa-saad/MyCompetitiveProgramming/blob/master/Olympiad/IOI/IOI-19-vision.txt&amp;sa=D&amp;ust=1605639832505000&amp;usg=AFQjCNE_4U--RMfvDM1L74EVQU2fsHu3jg" TargetMode="External"/><Relationship Id="rId2702" Type="http://schemas.openxmlformats.org/officeDocument/2006/relationships/hyperlink" Target="https://www.google.com/url?q=https://github.com/mostafa-saad/MyCompetitiveProgramming/blob/master/Olympiad/POI/official/find_editorial_sols_guidelines.txt&amp;sa=D&amp;ust=1605639832758000&amp;usg=AFQjCNH47kGECJGv3ybGv0Eq0T662LrXRA" TargetMode="External"/><Relationship Id="rId1304" Type="http://schemas.openxmlformats.org/officeDocument/2006/relationships/hyperlink" Target="https://www.google.com/url?q=https://dmoj.ca/problem/ccoprep4p3&amp;sa=D&amp;ust=1605639832326000&amp;usg=AFQjCNEcqCMDhxKuaCLyVrtF_IKQCOJRUg" TargetMode="External"/><Relationship Id="rId1511" Type="http://schemas.openxmlformats.org/officeDocument/2006/relationships/hyperlink" Target="https://www.google.com/url?q=https://github.com/mostafa-saad/MyCompetitiveProgramming/blob/master/Olympiad/infoarena/infoarena_maxdist.txt&amp;sa=D&amp;ust=1605639832383000&amp;usg=AFQjCNEMgsaumlcwdr9RYSIl4QyBHdhRNQ" TargetMode="External"/><Relationship Id="rId1749" Type="http://schemas.openxmlformats.org/officeDocument/2006/relationships/hyperlink" Target="https://www.google.com/url?q=https://contest.yandex.ru/ioi/contest/568/enter/&amp;sa=D&amp;ust=1605639832457000&amp;usg=AFQjCNGDw41cqltf9Abb9FRHPDSqelWGGQ" TargetMode="External"/><Relationship Id="rId1956" Type="http://schemas.openxmlformats.org/officeDocument/2006/relationships/hyperlink" Target="https://www.google.com/url?q=https://github.com/ahmedibrahim404/CompetitiveProgramming/blob/master/EOI/IOI_Quals%2719/D2_A/main.cpp&amp;sa=D&amp;ust=1605639832524000&amp;usg=AFQjCNFJFbgZHH-uNEoQTiJEOdVJJ9kJ8g" TargetMode="External"/><Relationship Id="rId1609" Type="http://schemas.openxmlformats.org/officeDocument/2006/relationships/hyperlink" Target="https://www.google.com/url?q=https://www.infoarena.ro/problema/treesearch&amp;sa=D&amp;ust=1605639832416000&amp;usg=AFQjCNGJK2L7uyrprMcWiOsnertiZD9yEg" TargetMode="External"/><Relationship Id="rId1816" Type="http://schemas.openxmlformats.org/officeDocument/2006/relationships/hyperlink" Target="https://www.google.com/url?q=http://blog.brucemerry.org.za/2014/07/&amp;sa=D&amp;ust=1605639832480000&amp;usg=AFQjCNGUXISSt6wNFB_LaPYMhc4iGo7qDA" TargetMode="External"/><Relationship Id="rId10" Type="http://schemas.openxmlformats.org/officeDocument/2006/relationships/hyperlink" Target="https://www.google.com/url?q=https://github.com/mostafa-saad/MyCompetitiveProgramming/blob/master/Olympiad/APIO/APIO-08-DNA.txt&amp;sa=D&amp;ust=1605639831955000&amp;usg=AFQjCNF1kQAa_nrRikQo8zIIaw3jDRW5qA" TargetMode="External"/><Relationship Id="rId397" Type="http://schemas.openxmlformats.org/officeDocument/2006/relationships/hyperlink" Target="https://www.google.com/url?q=https://szkopul.edu.pl/problemset/problem/ovRIpLFK3IhyFPjnVXeZtGxH/site/?key%3Dstatement&amp;sa=D&amp;ust=1605639832075000&amp;usg=AFQjCNGMdAcEMGEC0pkEnTDpbcj1y3DKqw" TargetMode="External"/><Relationship Id="rId2078" Type="http://schemas.openxmlformats.org/officeDocument/2006/relationships/hyperlink" Target="https://www.google.com/url?q=https://github.com/mostafa-saad/MyCompetitiveProgramming/blob/master/Olympiad/JOI/JOIOC-13-synchronization.txt&amp;sa=D&amp;ust=1605639832561000&amp;usg=AFQjCNFnQM3GFMla1FwOitr04SQ1XJc7eA" TargetMode="External"/><Relationship Id="rId2285" Type="http://schemas.openxmlformats.org/officeDocument/2006/relationships/hyperlink" Target="https://www.google.com/url?q=https://dunjudge.me/analysis/problems/1498/&amp;sa=D&amp;ust=1605639832641000&amp;usg=AFQjCNGXl5my74ReSuU7wGZpSrYoNjsaeQ" TargetMode="External"/><Relationship Id="rId2492" Type="http://schemas.openxmlformats.org/officeDocument/2006/relationships/hyperlink" Target="https://www.google.com/url?q=https://github.com/mostafa-saad/MyCompetitiveProgramming/blob/master/Olympiad/POI/POI-04-Gates.txt&amp;sa=D&amp;ust=1605639832712000&amp;usg=AFQjCNHXGhOlrwRVSHL2xyp55QBZI0kLfw" TargetMode="External"/><Relationship Id="rId257" Type="http://schemas.openxmlformats.org/officeDocument/2006/relationships/hyperlink" Target="https://www.google.com/url?q=https://oj.uz/problem/view/BOI13_numbers&amp;sa=D&amp;ust=1605639832030000&amp;usg=AFQjCNFg68fh04_N7L-Adb3lP76gOKsOaQ" TargetMode="External"/><Relationship Id="rId464" Type="http://schemas.openxmlformats.org/officeDocument/2006/relationships/hyperlink" Target="https://www.google.com/url?q=https://szkopul.edu.pl/problemset/problem/in7jx1ATY7fnkmK87b9m_Nu_/site/&amp;sa=D&amp;ust=1605639832097000&amp;usg=AFQjCNFfvAybZMihbq6bhY4dPwEa9_4QrA" TargetMode="External"/><Relationship Id="rId1094" Type="http://schemas.openxmlformats.org/officeDocument/2006/relationships/hyperlink" Target="https://www.google.com/url?q=https://github.com/mostafa-saad/MyCompetitiveProgramming/blob/master/Olympiad/COCI/official/2017/contest5_solutions&amp;sa=D&amp;ust=1605639832257000&amp;usg=AFQjCNEBTIIGvZ9S6ywzWUdrszXLWTp9Ow" TargetMode="External"/><Relationship Id="rId2145" Type="http://schemas.openxmlformats.org/officeDocument/2006/relationships/hyperlink" Target="https://www.google.com/url?q=https://joisc2015.contest.atcoder.jp/tasks/joisc2015_i&amp;sa=D&amp;ust=1605639832591000&amp;usg=AFQjCNEG72IA5bHr7j59klJSIHYKSDa1QA" TargetMode="External"/><Relationship Id="rId2797" Type="http://schemas.openxmlformats.org/officeDocument/2006/relationships/hyperlink" Target="https://www.google.com/url?q=https://szkopul.edu.pl/problemset/problem/_cVmDXXn2TjF0dF1rW6eazA0/site/&amp;sa=D&amp;ust=1605639832785000&amp;usg=AFQjCNGsUSl8RIlb8drHQsoXhKUXJXpayA" TargetMode="External"/><Relationship Id="rId117" Type="http://schemas.openxmlformats.org/officeDocument/2006/relationships/hyperlink" Target="https://www.google.com/url?q=https://github.com/mostafa-saad/MyCompetitiveProgramming/tree/master/Olympiad/Balkan/official/2015&amp;sa=D&amp;ust=1605639831987000&amp;usg=AFQjCNEFo8nS2NPeDSb51fuAlqp3yHNk6g" TargetMode="External"/><Relationship Id="rId671" Type="http://schemas.openxmlformats.org/officeDocument/2006/relationships/hyperlink" Target="https://www.google.com/url?q=https://github.com/mostafa-saad/MyCompetitiveProgramming/blob/master/Olympiad/COCI/COCI-07-Kocke.txt&amp;sa=D&amp;ust=1605639832146000&amp;usg=AFQjCNFfH3oxe8Y0aOBkNxoYz47g0Ha02w" TargetMode="External"/><Relationship Id="rId769" Type="http://schemas.openxmlformats.org/officeDocument/2006/relationships/hyperlink" Target="https://www.google.com/url?q=https://github.com/mostafa-saad/MyCompetitiveProgramming/blob/master/Olympiad/COCI/official/2009/contest3_solutions&amp;sa=D&amp;ust=1605639832167000&amp;usg=AFQjCNFxERdHFEiGrJXj-Y-RMeJkGBvWsA" TargetMode="External"/><Relationship Id="rId976" Type="http://schemas.openxmlformats.org/officeDocument/2006/relationships/hyperlink" Target="https://www.google.com/url?q=https://dmoj.ca/problem/coci14c7p1&amp;sa=D&amp;ust=1605639832226000&amp;usg=AFQjCNF7S0Nwp6F0zqPz07AUPaVdp2cmwA" TargetMode="External"/><Relationship Id="rId1399" Type="http://schemas.openxmlformats.org/officeDocument/2006/relationships/hyperlink" Target="https://www.google.com/url?q=https://github.com/mostafa-saad/MyCompetitiveProgramming/blob/master/Olympiad/infoarena/infoarena_arbore.txt&amp;sa=D&amp;ust=1605639832352000&amp;usg=AFQjCNGfQhrByakIGwlb_fNyLwCc-TS-yA" TargetMode="External"/><Relationship Id="rId2352" Type="http://schemas.openxmlformats.org/officeDocument/2006/relationships/hyperlink" Target="https://www.google.com/url?q=https://github.com/mostafa-saad/MyCompetitiveProgramming/blob/master/Olympiad/NOI/official&amp;sa=D&amp;ust=1605639832659000&amp;usg=AFQjCNEXDXs3eOcQaVtkEvH_gA1Jd5t6RQ" TargetMode="External"/><Relationship Id="rId2657" Type="http://schemas.openxmlformats.org/officeDocument/2006/relationships/hyperlink" Target="https://www.google.com/url?q=https://szkopul.edu.pl/problemset/problem/xmyBMI5AsEiW30_RyePNSXiG/site/&amp;sa=D&amp;ust=1605639832749000&amp;usg=AFQjCNGNBcqBLZlHAjX9BT5DzBHL_ovMHg" TargetMode="External"/><Relationship Id="rId324" Type="http://schemas.openxmlformats.org/officeDocument/2006/relationships/hyperlink" Target="https://www.google.com/url?q=https://github.com/mostafa-saad/MyCompetitiveProgramming/tree/master/Olympiad/Baltic/official/boi2018_solutions&amp;sa=D&amp;ust=1605639832044000&amp;usg=AFQjCNE44kIgxCSjOqZylhZZsLtquNa9xg" TargetMode="External"/><Relationship Id="rId531" Type="http://schemas.openxmlformats.org/officeDocument/2006/relationships/hyperlink" Target="https://www.google.com/url?q=https://github.com/mostafa-saad/MyCompetitiveProgramming/blob/master/Olympiad/CEOI/CEOI-17-OneWay.txt&amp;sa=D&amp;ust=1605639832116000&amp;usg=AFQjCNEx65B84CSsc7i-xWQbZsZ9lM4VNA" TargetMode="External"/><Relationship Id="rId629" Type="http://schemas.openxmlformats.org/officeDocument/2006/relationships/hyperlink" Target="https://www.google.com/url?q=https://github.com/mostafa-saad/MyCompetitiveProgramming/blob/master/Olympiad/CEOI/COCI-06-Tenkici&amp;sa=D&amp;ust=1605639832137000&amp;usg=AFQjCNEYIcX4HVPkFyLmRBxOH-_vq0MHkA" TargetMode="External"/><Relationship Id="rId1161" Type="http://schemas.openxmlformats.org/officeDocument/2006/relationships/hyperlink" Target="https://www.google.com/url?q=https://oj.uz/problem/view/COCI19_akvizna&amp;sa=D&amp;ust=1605639832281000&amp;usg=AFQjCNFlAGzsgvQ-U7ny16aKB_1zYtu23g" TargetMode="External"/><Relationship Id="rId1259" Type="http://schemas.openxmlformats.org/officeDocument/2006/relationships/hyperlink" Target="https://www.google.com/url?q=https://github.com/mostafa-saad/MyCompetitiveProgramming/tree/master/Olympiad/COI/official/2015&amp;sa=D&amp;ust=1605639832315000&amp;usg=AFQjCNHXqKTN3OT7RMeRwFntaUPR21QQMQ" TargetMode="External"/><Relationship Id="rId1466" Type="http://schemas.openxmlformats.org/officeDocument/2006/relationships/hyperlink" Target="https://www.google.com/url?q=https://www.infoarena.ro/problema/fft2d&amp;sa=D&amp;ust=1605639832369000&amp;usg=AFQjCNHAP9Cw56KIfvgHw_uS7-VvH697TQ" TargetMode="External"/><Relationship Id="rId2005" Type="http://schemas.openxmlformats.org/officeDocument/2006/relationships/hyperlink" Target="https://www.google.com/url?q=https://oj.uz/problem/view/IZhO18_sequence&amp;sa=D&amp;ust=1605639832541000&amp;usg=AFQjCNEfiTNqIXatIXKua5fUaIrKIDAwRQ" TargetMode="External"/><Relationship Id="rId2212" Type="http://schemas.openxmlformats.org/officeDocument/2006/relationships/hyperlink" Target="https://www.google.com/url?q=https://github.com/mostafa-saad/MyCompetitiveProgramming/blob/master/Olympiad/JOI/JOISC-18-wildboar.txt&amp;sa=D&amp;ust=1605639832616000&amp;usg=AFQjCNGD6pRqx83JzVmdCw4TYrR_SQoSMQ" TargetMode="External"/><Relationship Id="rId2864" Type="http://schemas.openxmlformats.org/officeDocument/2006/relationships/hyperlink" Target="https://www.google.com/url?q=https://csacademy.com/contest/junior-challenge-2017-day-2/task/cntgigelmat&amp;sa=D&amp;ust=1605639832807000&amp;usg=AFQjCNGDl-77jKN6xXZbBmrRh4OFojEjzA" TargetMode="External"/><Relationship Id="rId836" Type="http://schemas.openxmlformats.org/officeDocument/2006/relationships/hyperlink" Target="https://www.google.com/url?q=https://github.com/mostafa-saad/MyCompetitiveProgramming/blob/master/Olympiad/COCI/COCI-09-Palacinke.txt&amp;sa=D&amp;ust=1605639832189000&amp;usg=AFQjCNF4VEyjSZcc-XX46NLV5lIivrshug" TargetMode="External"/><Relationship Id="rId1021" Type="http://schemas.openxmlformats.org/officeDocument/2006/relationships/hyperlink" Target="https://www.google.com/url?q=https://dmoj.ca/problem/coci15c4p1&amp;sa=D&amp;ust=1605639832239000&amp;usg=AFQjCNG3P64x0AbMhfYxXpYEYljOqBNNeg" TargetMode="External"/><Relationship Id="rId1119" Type="http://schemas.openxmlformats.org/officeDocument/2006/relationships/hyperlink" Target="https://www.google.com/url?q=https://oj.uz/problem/view/COCI17_tetris&amp;sa=D&amp;ust=1605639832263000&amp;usg=AFQjCNF89RGBvMXnajiWfD_-MZyY-qDHnw" TargetMode="External"/><Relationship Id="rId1673" Type="http://schemas.openxmlformats.org/officeDocument/2006/relationships/hyperlink" Target="https://www.google.com/url?q=https://contest.yandex.ru/ioi/contest/558/enter/&amp;sa=D&amp;ust=1605639832435000&amp;usg=AFQjCNGDaW2qyGptT73P_jqd8ONHuSJigg" TargetMode="External"/><Relationship Id="rId1880" Type="http://schemas.openxmlformats.org/officeDocument/2006/relationships/hyperlink" Target="https://www.google.com/url?q=https://oj.uz/problem/view/IOI19_line&amp;sa=D&amp;ust=1605639832501000&amp;usg=AFQjCNGXjncA97nVL8UNPdJs1Clbr3orCg" TargetMode="External"/><Relationship Id="rId1978" Type="http://schemas.openxmlformats.org/officeDocument/2006/relationships/hyperlink" Target="https://www.google.com/url?q=https://github.com/tmwilliamlin168/CompetitiveProgramming/blob/master/IZHO/13-Trading.cpp&amp;sa=D&amp;ust=1605639832532000&amp;usg=AFQjCNExBlh-bEZu_T3FSYcbBi8CXo3rSw" TargetMode="External"/><Relationship Id="rId2517" Type="http://schemas.openxmlformats.org/officeDocument/2006/relationships/hyperlink" Target="https://www.google.com/url?q=https://szkopul.edu.pl/problemset/problem/98e_K-Vvcg5TnMG4-hXTNsFG/site/&amp;sa=D&amp;ust=1605639832718000&amp;usg=AFQjCNFNZEueeidfZStXu6BF3dFB7Okd7g" TargetMode="External"/><Relationship Id="rId2724" Type="http://schemas.openxmlformats.org/officeDocument/2006/relationships/hyperlink" Target="https://www.google.com/url?q=https://szkopul.edu.pl/problemset/problem/3bBT-3VuSu78UsxTQSwaJzVo/site/&amp;sa=D&amp;ust=1605639832762000&amp;usg=AFQjCNGkl9YrpWdG0LZ9tzbndPmxDEKLQA" TargetMode="External"/><Relationship Id="rId2931" Type="http://schemas.openxmlformats.org/officeDocument/2006/relationships/hyperlink" Target="https://www.google.com/url?q=http://usaco.org/index.php?page%3Dviewproblem2%26cpid%3D533&amp;sa=D&amp;ust=1605639832829000&amp;usg=AFQjCNEtu7vRwSl7v8vupfiacfbj32cG3w" TargetMode="External"/><Relationship Id="rId903" Type="http://schemas.openxmlformats.org/officeDocument/2006/relationships/hyperlink" Target="https://www.google.com/url?q=https://dmoj.ca/problem/coci13c1p4&amp;sa=D&amp;ust=1605639832209000&amp;usg=AFQjCNFOalddSndt41ED_fY6nxWu19lqoA" TargetMode="External"/><Relationship Id="rId1326" Type="http://schemas.openxmlformats.org/officeDocument/2006/relationships/hyperlink" Target="https://www.google.com/url?q=https://dmoj.ca/problem/dmopc18c4p4&amp;sa=D&amp;ust=1605639832332000&amp;usg=AFQjCNE0NmRcHksY0E73RcYsJiZd9X6owQ" TargetMode="External"/><Relationship Id="rId1533" Type="http://schemas.openxmlformats.org/officeDocument/2006/relationships/hyperlink" Target="https://www.google.com/url?q=https://github.com/stefdasca/CompetitiveProgramming/blob/master/Infoarena/nuke.cpp&amp;sa=D&amp;ust=1605639832391000&amp;usg=AFQjCNG7VrUPV2wcU4Thj51PPL1qbJ6w_g" TargetMode="External"/><Relationship Id="rId1740" Type="http://schemas.openxmlformats.org/officeDocument/2006/relationships/hyperlink" Target="https://www.google.com/url?q=https://github.com/updown2/OI-Practice/blob/master/IOI/IOI%25202008/Type%2520Printer.cpp&amp;sa=D&amp;ust=1605639832455000&amp;usg=AFQjCNGIY-LvqAUnSjpTRlup8tY0GN2VsQ" TargetMode="External"/><Relationship Id="rId32" Type="http://schemas.openxmlformats.org/officeDocument/2006/relationships/hyperlink" Target="https://www.google.com/url?q=https://dmoj.ca/problem/apio12p2&amp;sa=D&amp;ust=1605639831959000&amp;usg=AFQjCNGitK0VeaLrATiQEAJwb8OR24k-AQ" TargetMode="External"/><Relationship Id="rId1600" Type="http://schemas.openxmlformats.org/officeDocument/2006/relationships/hyperlink" Target="https://www.google.com/url?q=https://github.com/stefdasca/CompetitiveProgramming/blob/master/Infoarena/sms.cpp&amp;sa=D&amp;ust=1605639832413000&amp;usg=AFQjCNEqL1HwuwWKM2Ar50AQBnpJRjU_7A" TargetMode="External"/><Relationship Id="rId1838" Type="http://schemas.openxmlformats.org/officeDocument/2006/relationships/hyperlink" Target="https://www.google.com/url?q=https://codeforces.com/blog/entry/46525?%23comment-310021&amp;sa=D&amp;ust=1605639832488000&amp;usg=AFQjCNHYcyezpXJq2prmU767Gm7wZBQBRA" TargetMode="External"/><Relationship Id="rId181" Type="http://schemas.openxmlformats.org/officeDocument/2006/relationships/hyperlink" Target="https://www.google.com/url?q=https://cses.fi/112/list/&amp;sa=D&amp;ust=1605639832009000&amp;usg=AFQjCNFuH_rxHdgVUFeJwXWCBBNL5i4T9w" TargetMode="External"/><Relationship Id="rId1905" Type="http://schemas.openxmlformats.org/officeDocument/2006/relationships/hyperlink" Target="https://www.google.com/url?q=https://github.com/mostafa-saad/MyCompetitiveProgramming/blob/master/Olympiad/IOI/IOIPractice-14-guardians-lunatics-ioi14.txt&amp;sa=D&amp;ust=1605639832510000&amp;usg=AFQjCNFpnr-lyz_gHREbpQYm6e_m_y4cAQ" TargetMode="External"/><Relationship Id="rId279" Type="http://schemas.openxmlformats.org/officeDocument/2006/relationships/hyperlink" Target="https://www.google.com/url?q=https://oj.uz/problem/view/BOI15_bow&amp;sa=D&amp;ust=1605639832035000&amp;usg=AFQjCNEJstW7F3aT4vH1wrSZWtqm19DXog" TargetMode="External"/><Relationship Id="rId486" Type="http://schemas.openxmlformats.org/officeDocument/2006/relationships/hyperlink" Target="https://www.google.com/url?q=https://oj.uz/problems/source/59&amp;sa=D&amp;ust=1605639832103000&amp;usg=AFQjCNE3OnW33VLHOP5oydLHKPZlalkS7w" TargetMode="External"/><Relationship Id="rId693" Type="http://schemas.openxmlformats.org/officeDocument/2006/relationships/hyperlink" Target="https://www.google.com/url?q=https://github.com/mostafa-saad/MyCompetitiveProgramming/blob/master/Olympiad/COCI/COCI-07-Pravokutni.txt&amp;sa=D&amp;ust=1605639832151000&amp;usg=AFQjCNHTekoPBsrI3ml5ge4hO9-VNq4a2A" TargetMode="External"/><Relationship Id="rId2167" Type="http://schemas.openxmlformats.org/officeDocument/2006/relationships/hyperlink" Target="https://www.google.com/url?q=https://joisc2016.contest.atcoder.jp/tasks/joisc2016_h&amp;sa=D&amp;ust=1605639832602000&amp;usg=AFQjCNHuXOfxue3YsMLfDn7bi7A-gn5KtQ" TargetMode="External"/><Relationship Id="rId2374" Type="http://schemas.openxmlformats.org/officeDocument/2006/relationships/hyperlink" Target="https://www.google.com/url?q=https://github.com/mostafa-saad/MyCompetitiveProgramming/blob/master/Olympiad/NOI/official&amp;sa=D&amp;ust=1605639832664000&amp;usg=AFQjCNG3ZQflVnr6EALIyt1qkeo5SX9MEg" TargetMode="External"/><Relationship Id="rId2581" Type="http://schemas.openxmlformats.org/officeDocument/2006/relationships/hyperlink" Target="https://www.google.com/url?q=https://szkopul.edu.pl/problemset/problem/0EGjXu64CRLc5S2-EQOZ0eR1/site/&amp;sa=D&amp;ust=1605639832733000&amp;usg=AFQjCNHHG9OJ1z91RhjW7tPkQwqcT7XSfQ" TargetMode="External"/><Relationship Id="rId139" Type="http://schemas.openxmlformats.org/officeDocument/2006/relationships/hyperlink" Target="https://www.google.com/url?q=https://csacademy.com/contest/balkan-oi-2017-day-2/&amp;sa=D&amp;ust=1605639831995000&amp;usg=AFQjCNHfEa9KVop0Rz3xEU3SrO_USAuE3w" TargetMode="External"/><Relationship Id="rId346" Type="http://schemas.openxmlformats.org/officeDocument/2006/relationships/hyperlink" Target="https://www.google.com/url?q=https://dmoj.ca/problem/ccc16s5&amp;sa=D&amp;ust=1605639832050000&amp;usg=AFQjCNHbpq-RPiwmMHFGEVDt3aF1Ni6zFw" TargetMode="External"/><Relationship Id="rId553" Type="http://schemas.openxmlformats.org/officeDocument/2006/relationships/hyperlink" Target="https://www.google.com/url?q=https://github.com/mostafa-saad/MyCompetitiveProgramming/blob/master/Olympiad/CEOI/CEOI-19-MagicTree.txt&amp;sa=D&amp;ust=1605639832121000&amp;usg=AFQjCNEXI9qCx8YreV1vn-WEc9ztH4GpSg" TargetMode="External"/><Relationship Id="rId760" Type="http://schemas.openxmlformats.org/officeDocument/2006/relationships/hyperlink" Target="https://www.google.com/url?q=https://dmoj.ca/problem/coci08c3p6&amp;sa=D&amp;ust=1605639832164000&amp;usg=AFQjCNEdQrlGGgDVCF6xVeDkjnKCa6Gwig" TargetMode="External"/><Relationship Id="rId998" Type="http://schemas.openxmlformats.org/officeDocument/2006/relationships/hyperlink" Target="https://www.google.com/url?q=https://dmoj.ca/problem/coci15c4p5&amp;sa=D&amp;ust=1605639832233000&amp;usg=AFQjCNFbSZ7W4N_JR9YA2rzCQTaogmclFg" TargetMode="External"/><Relationship Id="rId1183" Type="http://schemas.openxmlformats.org/officeDocument/2006/relationships/hyperlink" Target="https://www.google.com/url?q=https://oj.uz/problem/view/COCI18_strah&amp;sa=D&amp;ust=1605639832288000&amp;usg=AFQjCNGwKR1jGIivvY-T_zhQk16_knrkjg" TargetMode="External"/><Relationship Id="rId1390" Type="http://schemas.openxmlformats.org/officeDocument/2006/relationships/hyperlink" Target="https://www.google.com/url?q=https://github.com/stefdasca/CompetitiveProgramming/blob/master/Infoarena/anagrame.cpp&amp;sa=D&amp;ust=1605639832350000&amp;usg=AFQjCNHCqWBrZdjTAXvSMQZe10LAAiu6dA" TargetMode="External"/><Relationship Id="rId2027" Type="http://schemas.openxmlformats.org/officeDocument/2006/relationships/hyperlink" Target="https://www.google.com/url?q=https://joi2015ho.contest.atcoder.jp/tasks/joi2015ho_d&amp;sa=D&amp;ust=1605639832547000&amp;usg=AFQjCNEO5Kg1s5sy2l0MOmEcexF6A2oCBg" TargetMode="External"/><Relationship Id="rId2234" Type="http://schemas.openxmlformats.org/officeDocument/2006/relationships/hyperlink" Target="https://www.google.com/url?q=https://github.com/mostafa-saad/MyCompetitiveProgramming/tree/master/Olympiad/MCO/official/2014&amp;sa=D&amp;ust=1605639832625000&amp;usg=AFQjCNFWKdjnKIe48f5srCnIhCj1J1PE1w" TargetMode="External"/><Relationship Id="rId2441" Type="http://schemas.openxmlformats.org/officeDocument/2006/relationships/hyperlink" Target="https://www.google.com/url?q=https://dunjudge.me/analysis/problems/676/&amp;sa=D&amp;ust=1605639832692000&amp;usg=AFQjCNHJCsF_fUd9nlKWYSSh9UN_8mMI0g" TargetMode="External"/><Relationship Id="rId2679" Type="http://schemas.openxmlformats.org/officeDocument/2006/relationships/hyperlink" Target="https://www.google.com/url?q=https://oj.uz/problem/view/POI11_pat&amp;sa=D&amp;ust=1605639832753000&amp;usg=AFQjCNE7lVGALGuaNcYoczQdRwi9lC214w" TargetMode="External"/><Relationship Id="rId2886" Type="http://schemas.openxmlformats.org/officeDocument/2006/relationships/hyperlink" Target="https://www.google.com/url?q=https://contest.yandex.ru/roiarchive/contest/2170/problems/8&amp;sa=D&amp;ust=1605639832815000&amp;usg=AFQjCNFoesK9jSng1MPiKR1c1lGqEb28iQ" TargetMode="External"/><Relationship Id="rId206" Type="http://schemas.openxmlformats.org/officeDocument/2006/relationships/hyperlink" Target="https://www.google.com/url?q=https://github.com/mostafa-saad/MyCompetitiveProgramming/blob/master/Olympiad/Baltic/Baltic-09-Monument.txt&amp;sa=D&amp;ust=1605639832017000&amp;usg=AFQjCNEdA6yTNpv5krQYzFvFnUFWGV9C1w" TargetMode="External"/><Relationship Id="rId413" Type="http://schemas.openxmlformats.org/officeDocument/2006/relationships/hyperlink" Target="https://www.google.com/url?q=https://cses.fi/186/list/&amp;sa=D&amp;ust=1605639832081000&amp;usg=AFQjCNFHIJOJAvLpchLO8nY58Mvr5Fjv6A" TargetMode="External"/><Relationship Id="rId858" Type="http://schemas.openxmlformats.org/officeDocument/2006/relationships/hyperlink" Target="https://www.google.com/url?q=https://github.com/mostafa-saad/MyCompetitiveProgramming/blob/master/Olympiad/COCI/official/2010/contest3_solutions&amp;sa=D&amp;ust=1605639832196000&amp;usg=AFQjCNEhYU-qALOwdqX74RHgWtVkMRv54A" TargetMode="External"/><Relationship Id="rId1043" Type="http://schemas.openxmlformats.org/officeDocument/2006/relationships/hyperlink" Target="https://www.google.com/url?q=https://github.com/mostafa-saad/MyCompetitiveProgramming/blob/master/Olympiad/COCI/official/2017/contest2_solutions&amp;sa=D&amp;ust=1605639832245000&amp;usg=AFQjCNH3tWyhBVU1RWvEY1K98Z_2ozPUaw" TargetMode="External"/><Relationship Id="rId1488" Type="http://schemas.openxmlformats.org/officeDocument/2006/relationships/hyperlink" Target="https://www.google.com/url?q=https://www.infoarena.ro/problema/karb&amp;sa=D&amp;ust=1605639832376000&amp;usg=AFQjCNHhTPG7WMvc_BW_jaSc2mfOCvNBSg" TargetMode="External"/><Relationship Id="rId1695" Type="http://schemas.openxmlformats.org/officeDocument/2006/relationships/hyperlink" Target="https://www.google.com/url?q=https://contest.yandex.ru/ioi/contest/560/enter/&amp;sa=D&amp;ust=1605639832442000&amp;usg=AFQjCNFgwIQOKKDp3AT_f0_hEVyqKuzZvQ" TargetMode="External"/><Relationship Id="rId2539" Type="http://schemas.openxmlformats.org/officeDocument/2006/relationships/hyperlink" Target="https://www.google.com/url?q=https://szkopul.edu.pl/problemset/problem/HH7LQVRVHom1g8YRe9423d1P/site/&amp;sa=D&amp;ust=1605639832723000&amp;usg=AFQjCNGM-8k6SFMBOekI9WInJ00O1GSKOQ" TargetMode="External"/><Relationship Id="rId2746" Type="http://schemas.openxmlformats.org/officeDocument/2006/relationships/hyperlink" Target="https://www.google.com/url?q=https://szkopul.edu.pl/problemset/problem/gDw3iFkeVm7ZA3j_16-XR7jI/site/&amp;sa=D&amp;ust=1605639832768000&amp;usg=AFQjCNEYo5AUJJlSh-d83lR7WUbihiH2-w" TargetMode="External"/><Relationship Id="rId2953" Type="http://schemas.openxmlformats.org/officeDocument/2006/relationships/hyperlink" Target="https://www.google.com/url?q=http://usaco.org/index.php?page%3Dviewproblem2%26cpid%3D721&amp;sa=D&amp;ust=1605639832838000&amp;usg=AFQjCNGfSScBpUCIJREIV9LtzdqUeg_kxA" TargetMode="External"/><Relationship Id="rId620" Type="http://schemas.openxmlformats.org/officeDocument/2006/relationships/hyperlink" Target="https://www.google.com/url?q=https://dmoj.ca/problem/coci06c1p4&amp;sa=D&amp;ust=1605639832135000&amp;usg=AFQjCNGl87EnLi69Uw0rRSKrxQk4UiqonQ" TargetMode="External"/><Relationship Id="rId718" Type="http://schemas.openxmlformats.org/officeDocument/2006/relationships/hyperlink" Target="https://www.google.com/url?q=https://dmoj.ca/problem/coci07c1p4&amp;sa=D&amp;ust=1605639832156000&amp;usg=AFQjCNFc_EhI9jGjBGHJ_XcO9VjQmO89yA" TargetMode="External"/><Relationship Id="rId925" Type="http://schemas.openxmlformats.org/officeDocument/2006/relationships/hyperlink" Target="https://www.google.com/url?q=https://github.com/mostafa-saad/MyCompetitiveProgramming/blob/master/Olympiad/COCI/official/2015/contest5_solutions&amp;sa=D&amp;ust=1605639832215000&amp;usg=AFQjCNFC9TIUktJ7aCeT4iertvkKBTAI0g" TargetMode="External"/><Relationship Id="rId1250" Type="http://schemas.openxmlformats.org/officeDocument/2006/relationships/hyperlink" Target="https://www.google.com/url?q=https://oj.uz/problem/view/COI15_cvenk&amp;sa=D&amp;ust=1605639832313000&amp;usg=AFQjCNEHQkdAAWJbgjwDZqPSQ5DrQL5ocA" TargetMode="External"/><Relationship Id="rId1348" Type="http://schemas.openxmlformats.org/officeDocument/2006/relationships/hyperlink" Target="https://www.google.com/url?q=https://codeforces.com/group/swEqtABRxe/contest/227524/problem/A&amp;sa=D&amp;ust=1605639832339000&amp;usg=AFQjCNGEk80s1PSb4yeBwNeqy_utL1e05w" TargetMode="External"/><Relationship Id="rId1555" Type="http://schemas.openxmlformats.org/officeDocument/2006/relationships/hyperlink" Target="https://www.google.com/url?q=https://github.com/mostafa-saad/MyCompetitiveProgramming/blob/master/Olympiad/infoarena/infoarena_permsort2.txt&amp;sa=D&amp;ust=1605639832398000&amp;usg=AFQjCNGYcCLwKHvwSe8m2s66XbLsoC1A6g" TargetMode="External"/><Relationship Id="rId1762" Type="http://schemas.openxmlformats.org/officeDocument/2006/relationships/hyperlink" Target="https://www.google.com/url?q=https://github.com/mostafa-saad/MyCompetitiveProgramming/blob/master/Olympiad/IOI/official/2010&amp;sa=D&amp;ust=1605639832461000&amp;usg=AFQjCNGqnpoZXmGf-gfxvtcE31g7OOaspg" TargetMode="External"/><Relationship Id="rId2301" Type="http://schemas.openxmlformats.org/officeDocument/2006/relationships/hyperlink" Target="https://www.google.com/url?q=https://dunjudge.me/analysis/problems/272/&amp;sa=D&amp;ust=1605639832647000&amp;usg=AFQjCNEWIeN_mfcBMGJzYnbfUEscyr2icQ" TargetMode="External"/><Relationship Id="rId2606" Type="http://schemas.openxmlformats.org/officeDocument/2006/relationships/hyperlink" Target="https://www.google.com/url?q=https://github.com/mostafa-saad/MyCompetitiveProgramming/blob/master/Olympiad/POI/POI-09-Code.txt&amp;sa=D&amp;ust=1605639832738000&amp;usg=AFQjCNGSNtrb4qxlAafoxdM0VCD9x30rkA" TargetMode="External"/><Relationship Id="rId1110" Type="http://schemas.openxmlformats.org/officeDocument/2006/relationships/hyperlink" Target="https://www.google.com/url?q=https://oj.uz/problem/view/COCI17_san&amp;sa=D&amp;ust=1605639832261000&amp;usg=AFQjCNHOXVBNbSQSkojNCWO2nj0OCY3ujA" TargetMode="External"/><Relationship Id="rId1208" Type="http://schemas.openxmlformats.org/officeDocument/2006/relationships/hyperlink" Target="https://www.google.com/url?q=https://github.com/mostafa-saad/MyCompetitiveProgramming/blob/master/Olympiad/COI/COI-07-Tamnica.txt&amp;sa=D&amp;ust=1605639832300000&amp;usg=AFQjCNFvkUTG3rpCAaiqcLPw9lFZwk1ydQ" TargetMode="External"/><Relationship Id="rId1415" Type="http://schemas.openxmlformats.org/officeDocument/2006/relationships/hyperlink" Target="https://www.google.com/url?q=https://www.infoarena.ro/problema/cartite&amp;sa=D&amp;ust=1605639832355000&amp;usg=AFQjCNHZWcgS6xFFmoeU8x4tfwHPXWmA2w" TargetMode="External"/><Relationship Id="rId2813" Type="http://schemas.openxmlformats.org/officeDocument/2006/relationships/hyperlink" Target="https://www.google.com/url?q=https://szkopul.edu.pl/problemset/problem/Orc2Z7ti1xLaUUQDT1a6RGR5/site/&amp;sa=D&amp;ust=1605639832790000&amp;usg=AFQjCNEU8AW9aEt04fYu8IqcY7ZejWTYQw" TargetMode="External"/><Relationship Id="rId54" Type="http://schemas.openxmlformats.org/officeDocument/2006/relationships/hyperlink" Target="https://www.google.com/url?q=https://oj.uz/problem/view/APIO16_fireworks&amp;sa=D&amp;ust=1605639831964000&amp;usg=AFQjCNEBM33W_NB_bBwfjoN3ooz6JPh8WA" TargetMode="External"/><Relationship Id="rId1622" Type="http://schemas.openxmlformats.org/officeDocument/2006/relationships/hyperlink" Target="https://www.google.com/url?q=https://github.com/mostafa-saad/MyCompetitiveProgramming/blob/master/Olympiad/infoarena/Infoarena_vmin.txt&amp;sa=D&amp;ust=1605639832419000&amp;usg=AFQjCNHX7eOJf-faeNEHMugpM2GVy6zXfg" TargetMode="External"/><Relationship Id="rId1927" Type="http://schemas.openxmlformats.org/officeDocument/2006/relationships/hyperlink" Target="https://www.google.com/url?q=https://csacademy.com/contest/ioi-2016-training-round-3/task/network-rumour/&amp;sa=D&amp;ust=1605639832517000&amp;usg=AFQjCNFO0yEx_aOc9grsRuR-7dKI0fmesA" TargetMode="External"/><Relationship Id="rId2091" Type="http://schemas.openxmlformats.org/officeDocument/2006/relationships/hyperlink" Target="https://www.google.com/url?q=https://oj.uz/problem/view/JOI15_election_campaign&amp;sa=D&amp;ust=1605639832565000&amp;usg=AFQjCNFl3sdoPer2l0b5vl5LSGHWqCJDAw" TargetMode="External"/><Relationship Id="rId2189" Type="http://schemas.openxmlformats.org/officeDocument/2006/relationships/hyperlink" Target="https://www.google.com/url?q=https://github.com/mostafa-saad/MyCompetitiveProgramming/blob/master/Olympiad/JOI/JOISC-17-PortFacility.txt&amp;sa=D&amp;ust=1605639832608000&amp;usg=AFQjCNE2VeNwVCwTWeykCTKSB9J4o1wP_A" TargetMode="External"/><Relationship Id="rId270" Type="http://schemas.openxmlformats.org/officeDocument/2006/relationships/hyperlink" Target="https://www.google.com/url?q=https://github.com/SpeedOfMagic/CompetitiveProgramming/blob/master/Baltic/14-friends.cpp&amp;sa=D&amp;ust=1605639832033000&amp;usg=AFQjCNF-xHbAe5yhSDHEpMHPfnRsfcLFVw" TargetMode="External"/><Relationship Id="rId2396" Type="http://schemas.openxmlformats.org/officeDocument/2006/relationships/hyperlink" Target="https://www.google.com/url?q=https://dunjudge.me/analysis/problems/1827/&amp;sa=D&amp;ust=1605639832672000&amp;usg=AFQjCNHp-yplvwsS_APhpCA-mqqd-uHurA" TargetMode="External"/><Relationship Id="rId3002" Type="http://schemas.openxmlformats.org/officeDocument/2006/relationships/hyperlink" Target="https://www.google.com/url?q=https://github.com/Szawinis/CompetitiveProgramming/blob/master/Olympiad/USACO/USACO19mar-valleys-plat.cpp&amp;sa=D&amp;ust=1605639832868000&amp;usg=AFQjCNEnN0rF0JmvBqk7rtRy4-Z84JPRyw" TargetMode="External"/><Relationship Id="rId130" Type="http://schemas.openxmlformats.org/officeDocument/2006/relationships/hyperlink" Target="https://www.google.com/url?q=https://www.hackerrank.com/contests/boi-2016/challenges&amp;sa=D&amp;ust=1605639831992000&amp;usg=AFQjCNGUspRLpeArndwzQ-DdVOMAo0L8rA" TargetMode="External"/><Relationship Id="rId368" Type="http://schemas.openxmlformats.org/officeDocument/2006/relationships/hyperlink" Target="https://www.google.com/url?q=https://dmoj.ca/contest/cco18d1&amp;sa=D&amp;ust=1605639832057000&amp;usg=AFQjCNHBF35P0-ruKgTU9en-bKi5C0f-aA" TargetMode="External"/><Relationship Id="rId575" Type="http://schemas.openxmlformats.org/officeDocument/2006/relationships/hyperlink" Target="https://www.google.com/url?q=https://github.com/mostafa-saad/MyCompetitiveProgramming/tree/master/Olympiad/COCI/official/2007/regional_solutions&amp;sa=D&amp;ust=1605639832126000&amp;usg=AFQjCNEmHl6LJKU8nTH-d_QxOE7Sf2h17Q" TargetMode="External"/><Relationship Id="rId782" Type="http://schemas.openxmlformats.org/officeDocument/2006/relationships/hyperlink" Target="https://www.google.com/url?q=https://dmoj.ca/problem/coci08c6p6&amp;sa=D&amp;ust=1605639832171000&amp;usg=AFQjCNHBeVSb7CS0f_uMhRrU3lH5tTT_Hg" TargetMode="External"/><Relationship Id="rId2049" Type="http://schemas.openxmlformats.org/officeDocument/2006/relationships/hyperlink" Target="https://www.google.com/url?q=https://oj.uz/problems/source/307&amp;sa=D&amp;ust=1605639832554000&amp;usg=AFQjCNF-PoGbsh7aKcugF6hROj09lzz8wA" TargetMode="External"/><Relationship Id="rId2256" Type="http://schemas.openxmlformats.org/officeDocument/2006/relationships/hyperlink" Target="https://www.google.com/url?q=https://dunjudge.me/analysis/problems/960/&amp;sa=D&amp;ust=1605639832633000&amp;usg=AFQjCNGpjQIBCRMiM9jlL2kEquyQiBW4VQ" TargetMode="External"/><Relationship Id="rId2463" Type="http://schemas.openxmlformats.org/officeDocument/2006/relationships/hyperlink" Target="https://www.google.com/url?q=https://dunjudge.me/analysis/problems/1462/&amp;sa=D&amp;ust=1605639832702000&amp;usg=AFQjCNGaFoWs2m3zhJx1J_oBfeo0lBov0Q" TargetMode="External"/><Relationship Id="rId2670" Type="http://schemas.openxmlformats.org/officeDocument/2006/relationships/hyperlink" Target="https://www.google.com/url?q=https://github.com/mostafa-saad/MyCompetitiveProgramming/blob/master/Olympiad/POI/POI-11-okr.txt&amp;sa=D&amp;ust=1605639832751000&amp;usg=AFQjCNGsNyYGqrr6H3JqpcI883lG40fpYg" TargetMode="External"/><Relationship Id="rId228" Type="http://schemas.openxmlformats.org/officeDocument/2006/relationships/hyperlink" Target="https://www.google.com/url?q=https://github.com/mostafa-saad/MyCompetitiveProgramming/blob/master/Olympiad/Baltic/official/boi2011_solutions&amp;sa=D&amp;ust=1605639832023000&amp;usg=AFQjCNEBfcABWpvdWUJWR3zFCicOhBiTnA" TargetMode="External"/><Relationship Id="rId435" Type="http://schemas.openxmlformats.org/officeDocument/2006/relationships/hyperlink" Target="https://www.google.com/url?q=https://cses.fi/189/list/&amp;sa=D&amp;ust=1605639832088000&amp;usg=AFQjCNEquxZUnheTkbUjA-CBz62s1-yiBA" TargetMode="External"/><Relationship Id="rId642" Type="http://schemas.openxmlformats.org/officeDocument/2006/relationships/hyperlink" Target="https://www.google.com/url?q=https://dmoj.ca/problem/coci07c5p5&amp;sa=D&amp;ust=1605639832139000&amp;usg=AFQjCNHEcw6FlO27aPH84MuI7jboS3FXug" TargetMode="External"/><Relationship Id="rId1065" Type="http://schemas.openxmlformats.org/officeDocument/2006/relationships/hyperlink" Target="https://www.google.com/url?q=https://oj.uz/problem/view/COCI17_deda&amp;sa=D&amp;ust=1605639832249000&amp;usg=AFQjCNFzBwK1tca8dQ2kNsr9dX_jPNKg_g" TargetMode="External"/><Relationship Id="rId1272" Type="http://schemas.openxmlformats.org/officeDocument/2006/relationships/hyperlink" Target="https://www.google.com/url?q=https://oj.uz/problem/view/COI16_torrent&amp;sa=D&amp;ust=1605639832318000&amp;usg=AFQjCNHvEd6nkMxZwxXs2gR93XQZzSHwWg" TargetMode="External"/><Relationship Id="rId2116" Type="http://schemas.openxmlformats.org/officeDocument/2006/relationships/hyperlink" Target="https://www.google.com/url?q=https://github.com/mostafa-saad/MyCompetitiveProgramming/blob/master/Olympiad/JOI/JOIOC-19-Remittance.txt&amp;sa=D&amp;ust=1605639832573000&amp;usg=AFQjCNEItHoVqst0fkJtwTCgngtHPaS9uA" TargetMode="External"/><Relationship Id="rId2323" Type="http://schemas.openxmlformats.org/officeDocument/2006/relationships/hyperlink" Target="https://www.google.com/url?q=https://github.com/mostafa-saad/MyCompetitiveProgramming/blob/master/Olympiad/NOI/official/2011.pptx&amp;sa=D&amp;ust=1605639832653000&amp;usg=AFQjCNFjJRZMEueG8KWon2lP2t3E6s9MZQ" TargetMode="External"/><Relationship Id="rId2530" Type="http://schemas.openxmlformats.org/officeDocument/2006/relationships/hyperlink" Target="https://www.google.com/url?q=https://github.com/mostafa-saad/MyCompetitiveProgramming/blob/master/Olympiad/POI/POI-05-Template.txt&amp;sa=D&amp;ust=1605639832721000&amp;usg=AFQjCNGFDrIjzhJC2ZDSQX8hex75lbKdMw" TargetMode="External"/><Relationship Id="rId2768" Type="http://schemas.openxmlformats.org/officeDocument/2006/relationships/hyperlink" Target="https://www.google.com/url?q=https://github.com/mostafa-saad/MyCompetitiveProgramming/blob/master/Olympiad/POI/official/find_editorial_sols_guidelines.txt&amp;sa=D&amp;ust=1605639832776000&amp;usg=AFQjCNEZa3FOBDp-2eD1hiAd8Ctao1jg2g" TargetMode="External"/><Relationship Id="rId2975" Type="http://schemas.openxmlformats.org/officeDocument/2006/relationships/hyperlink" Target="https://www.google.com/url?q=https://github.com/thecodingwizard/competitive-programming/blob/master/USACO/2018jan/plat/lifeguards%2520(legit%2520solution).cpp&amp;sa=D&amp;ust=1605639832858000&amp;usg=AFQjCNG5RucZvZdicQF_82z_DHLQZT4sDg" TargetMode="External"/><Relationship Id="rId502" Type="http://schemas.openxmlformats.org/officeDocument/2006/relationships/hyperlink" Target="https://www.google.com/url?q=https://github.com/tmwilliamlin168/CompetitiveProgramming/blob/master/CEOI/14-Wall.cpp&amp;sa=D&amp;ust=1605639832107000&amp;usg=AFQjCNE3hahQUad7Ah1GYfO6DIayiRfLdA" TargetMode="External"/><Relationship Id="rId947" Type="http://schemas.openxmlformats.org/officeDocument/2006/relationships/hyperlink" Target="https://www.google.com/url?q=https://dmoj.ca/problem/coci14c6p5&amp;sa=D&amp;ust=1605639832220000&amp;usg=AFQjCNFeJMoBS28pip5CnsR4V_XY3UqLSg" TargetMode="External"/><Relationship Id="rId1132" Type="http://schemas.openxmlformats.org/officeDocument/2006/relationships/hyperlink" Target="https://www.google.com/url?q=https://oj.uz/problem/view/COCI18_alkemija&amp;sa=D&amp;ust=1605639832267000&amp;usg=AFQjCNH8JhpKz83VvXxcOJ86jiRJnp1SZw" TargetMode="External"/><Relationship Id="rId1577" Type="http://schemas.openxmlformats.org/officeDocument/2006/relationships/hyperlink" Target="https://www.google.com/url?q=https://infoarena.ro/problema/ratway&amp;sa=D&amp;ust=1605639832406000&amp;usg=AFQjCNG0gxvJ06ndXV9lGXu3vpt3CjKhEw" TargetMode="External"/><Relationship Id="rId1784" Type="http://schemas.openxmlformats.org/officeDocument/2006/relationships/hyperlink" Target="https://www.google.com/url?q=http://www.ioi2011.or.th/hsc/tasks/EN/parrots.pdf&amp;sa=D&amp;ust=1605639832466000&amp;usg=AFQjCNEm-bfjhz5OG3ttCIHz6jk8rYrjWw" TargetMode="External"/><Relationship Id="rId1991" Type="http://schemas.openxmlformats.org/officeDocument/2006/relationships/hyperlink" Target="https://www.google.com/url?q=https://oj.uz/problem/view/IZhO17_bootfall&amp;sa=D&amp;ust=1605639832536000&amp;usg=AFQjCNEbCSFgL5KDTCNl5VM-B4XHX7HThA" TargetMode="External"/><Relationship Id="rId2628" Type="http://schemas.openxmlformats.org/officeDocument/2006/relationships/hyperlink" Target="https://www.google.com/url?q=https://github.com/mostafa-saad/MyCompetitiveProgramming/blob/master/Olympiad/POI/POI-10-Bridges.txt&amp;sa=D&amp;ust=1605639832744000&amp;usg=AFQjCNHKrT2j_6vrl_cWcmdtqAnMLO2sog" TargetMode="External"/><Relationship Id="rId2835" Type="http://schemas.openxmlformats.org/officeDocument/2006/relationships/hyperlink" Target="https://www.google.com/url?q=https://szkopul.edu.pl/problemset/problem/aKKSmtjWTtDOEHDqnmQ3-eAA/site/&amp;sa=D&amp;ust=1605639832798000&amp;usg=AFQjCNGZq9YNGyX1ny7cYk7dO9sZT1NohA" TargetMode="External"/><Relationship Id="rId76" Type="http://schemas.openxmlformats.org/officeDocument/2006/relationships/hyperlink" Target="https://www.google.com/url?q=http://www.spoj.com/problems/MCAMP/&amp;sa=D&amp;ust=1605639831973000&amp;usg=AFQjCNG94SZp3zQt_zD4PkBkbodgtz27dw" TargetMode="External"/><Relationship Id="rId807" Type="http://schemas.openxmlformats.org/officeDocument/2006/relationships/hyperlink" Target="https://www.google.com/url?q=https://github.com/mostafa-saad/MyCompetitiveProgramming/blob/master/Olympiad/COCI/official/2010/contest6_solutions&amp;sa=D&amp;ust=1605639832179000&amp;usg=AFQjCNGi4rQFTwV8szTnD8cvMo0XKLde4g" TargetMode="External"/><Relationship Id="rId1437" Type="http://schemas.openxmlformats.org/officeDocument/2006/relationships/hyperlink" Target="https://www.google.com/url?q=https://github.com/stefdasca/CompetitiveProgramming/blob/master/Infoarena/copii2.cpp&amp;sa=D&amp;ust=1605639832360000&amp;usg=AFQjCNEmfRiB6gV4_ssbcIFw_85-rCz3bQ" TargetMode="External"/><Relationship Id="rId1644" Type="http://schemas.openxmlformats.org/officeDocument/2006/relationships/hyperlink" Target="https://www.google.com/url?q=https://github.com/mostafa-saad/MyCompetitiveProgramming/blob/master/Olympiad/IOI/official/2000&amp;sa=D&amp;ust=1605639832427000&amp;usg=AFQjCNFjCh568eFnwhYGeQjm39m4Yj_yZQ" TargetMode="External"/><Relationship Id="rId1851" Type="http://schemas.openxmlformats.org/officeDocument/2006/relationships/hyperlink" Target="https://www.google.com/url?q=https://github.com/mostafa-saad/MyCompetitiveProgramming/blob/master/Olympiad/IOI/official/2016&amp;sa=D&amp;ust=1605639832492000&amp;usg=AFQjCNHJ4sVFoUW1cEQgjLwVKBIeTCztlQ" TargetMode="External"/><Relationship Id="rId2902" Type="http://schemas.openxmlformats.org/officeDocument/2006/relationships/hyperlink" Target="https://www.google.com/url?q=https://training.ia-toki.org/problemsets/113/problems&amp;sa=D&amp;ust=1605639832820000&amp;usg=AFQjCNGT5qfHvjkbj9fG_Osy3blrKM4JTw" TargetMode="External"/><Relationship Id="rId1504" Type="http://schemas.openxmlformats.org/officeDocument/2006/relationships/hyperlink" Target="https://www.google.com/url?q=https://www.infoarena.ro/problema/matcnt&amp;sa=D&amp;ust=1605639832381000&amp;usg=AFQjCNFGz9gkFjd5ogszsn2i57kZ1zK-5A" TargetMode="External"/><Relationship Id="rId1711" Type="http://schemas.openxmlformats.org/officeDocument/2006/relationships/hyperlink" Target="https://www.google.com/url?q=https://contest.yandex.ru/ioi/contest/562/problems/C/&amp;sa=D&amp;ust=1605639832445000&amp;usg=AFQjCNE32l76zzOVA88JhgeORd5VlxJyTw" TargetMode="External"/><Relationship Id="rId1949" Type="http://schemas.openxmlformats.org/officeDocument/2006/relationships/hyperlink" Target="https://www.google.com/url?q=https://codeforces.com/group/swEqtABRxe/contest/227527/problem/A&amp;sa=D&amp;ust=1605639832523000&amp;usg=AFQjCNHy9PBpj2sfRBzRuLt2rShErzr6xA" TargetMode="External"/><Relationship Id="rId292" Type="http://schemas.openxmlformats.org/officeDocument/2006/relationships/hyperlink" Target="https://www.google.com/url?q=https://github.com/mostafa-saad/MyCompetitiveProgramming/blob/master/Olympiad/Baltic/Baltic-16-bosses.txt&amp;sa=D&amp;ust=1605639832038000&amp;usg=AFQjCNHa6B5sGmNysiU25LlRXQIE50ZhgQ" TargetMode="External"/><Relationship Id="rId1809" Type="http://schemas.openxmlformats.org/officeDocument/2006/relationships/hyperlink" Target="https://www.google.com/url?q=https://oj.uz/problem/view/IOI13_wombats&amp;sa=D&amp;ust=1605639832478000&amp;usg=AFQjCNFPHjGtxBLa49iOCyO2SRP-IPf1AA" TargetMode="External"/><Relationship Id="rId597" Type="http://schemas.openxmlformats.org/officeDocument/2006/relationships/hyperlink" Target="https://www.google.com/url?q=https://github.com/mostafa-saad/MyCompetitiveProgramming/tree/master/Olympiad/COCI/official/2007/contest1_solutions&amp;sa=D&amp;ust=1605639832131000&amp;usg=AFQjCNEoSctmKxUzhxj3ID_eGT9lRXS1mA" TargetMode="External"/><Relationship Id="rId2180" Type="http://schemas.openxmlformats.org/officeDocument/2006/relationships/hyperlink" Target="https://www.google.com/url?q=https://oj.uz/problem/view/JOI17_cultivation&amp;sa=D&amp;ust=1605639832606000&amp;usg=AFQjCNFFzn8ZI3NRKGUNCNcE1bMwSYTKxQ" TargetMode="External"/><Relationship Id="rId2278" Type="http://schemas.openxmlformats.org/officeDocument/2006/relationships/hyperlink" Target="https://www.google.com/url?q=https://dunjudge.me/analysis/problems/975/&amp;sa=D&amp;ust=1605639832639000&amp;usg=AFQjCNFidJ_d3wtLeKXCAvK81s787dpVrQ" TargetMode="External"/><Relationship Id="rId2485" Type="http://schemas.openxmlformats.org/officeDocument/2006/relationships/hyperlink" Target="https://www.google.com/url?q=https://szkopul.edu.pl/problemset/problem/Jnq0pGf9q3nVm-b1h6Bg23G9/site/&amp;sa=D&amp;ust=1605639832709000&amp;usg=AFQjCNHr-3myIzi1Tud9wW0dxLDjFiv6uQ" TargetMode="External"/><Relationship Id="rId152" Type="http://schemas.openxmlformats.org/officeDocument/2006/relationships/hyperlink" Target="https://www.google.com/url?q=https://github.com/mostafa-saad/MyCompetitiveProgramming/blob/master/Olympiad/Balkan/Balkan-18-popa.txt&amp;sa=D&amp;ust=1605639832000000&amp;usg=AFQjCNHL1KzGsv_G1mYiFbdBFnCyZKWSEA" TargetMode="External"/><Relationship Id="rId457" Type="http://schemas.openxmlformats.org/officeDocument/2006/relationships/hyperlink" Target="https://www.google.com/url?q=https://szkopul.edu.pl/problemset/problem/v6-xa-25AJSF4_oV5LAKvz7H/site/&amp;sa=D&amp;ust=1605639832095000&amp;usg=AFQjCNF78ZoAWdKPgQTHs-J0EoA2Wqwj5w" TargetMode="External"/><Relationship Id="rId1087" Type="http://schemas.openxmlformats.org/officeDocument/2006/relationships/hyperlink" Target="https://www.google.com/url?q=https://oj.uz/problem/view/COCI17_lozinke&amp;sa=D&amp;ust=1605639832256000&amp;usg=AFQjCNGW4L-j5JQlLywNQv902qv47Q_YNg" TargetMode="External"/><Relationship Id="rId1294" Type="http://schemas.openxmlformats.org/officeDocument/2006/relationships/hyperlink" Target="https://www.google.com/url?q=https://csacademy.com/contest/archive/task/circuits/&amp;sa=D&amp;ust=1605639832323000&amp;usg=AFQjCNF2OLQpOsnX07hlMZKdBCK05xSyjA" TargetMode="External"/><Relationship Id="rId2040" Type="http://schemas.openxmlformats.org/officeDocument/2006/relationships/hyperlink" Target="https://www.google.com/url?q=https://joi2016ho.contest.atcoder.jp/tasks/joi2016ho_c&amp;sa=D&amp;ust=1605639832551000&amp;usg=AFQjCNFXEcs8K1oWEPMR-l219V68LLp2Fg" TargetMode="External"/><Relationship Id="rId2138" Type="http://schemas.openxmlformats.org/officeDocument/2006/relationships/hyperlink" Target="https://www.google.com/url?q=https://joisc2014.contest.atcoder.jp/tasks/joisc2014_i&amp;sa=D&amp;ust=1605639832585000&amp;usg=AFQjCNFGWxGZ7LjjZVa7r2mvnp9d81A3Mg" TargetMode="External"/><Relationship Id="rId2692" Type="http://schemas.openxmlformats.org/officeDocument/2006/relationships/hyperlink" Target="https://www.google.com/url?q=https://github.com/mostafa-saad/MyCompetitiveProgramming/blob/master/Olympiad/POI/official/find_editorial_sols_guidelines.txt&amp;sa=D&amp;ust=1605639832756000&amp;usg=AFQjCNHOK9EBeZNDHU8dIVvvUAnORxMs2Q" TargetMode="External"/><Relationship Id="rId2997" Type="http://schemas.openxmlformats.org/officeDocument/2006/relationships/hyperlink" Target="https://www.google.com/url?q=http://usaco.org/index.php?page%3Dviewproblem2%26cpid%3D900&amp;sa=D&amp;ust=1605639832865000&amp;usg=AFQjCNEAN6TiDBMNAHFRBkEQC_L6FAabpA" TargetMode="External"/><Relationship Id="rId664" Type="http://schemas.openxmlformats.org/officeDocument/2006/relationships/hyperlink" Target="https://www.google.com/url?q=https://dmoj.ca/problem/coci07c5p3&amp;sa=D&amp;ust=1605639832145000&amp;usg=AFQjCNH0F3Yjk9SHvGzzA51ZujjT317iTg" TargetMode="External"/><Relationship Id="rId871" Type="http://schemas.openxmlformats.org/officeDocument/2006/relationships/hyperlink" Target="https://www.google.com/url?q=https://dunjudge.me/analysis/problems/752/&amp;sa=D&amp;ust=1605639832200000&amp;usg=AFQjCNFRnHRqqxfNWGXH121RstSPZpG8fA" TargetMode="External"/><Relationship Id="rId969" Type="http://schemas.openxmlformats.org/officeDocument/2006/relationships/hyperlink" Target="https://www.google.com/url?q=https://dmoj.ca/problem/coci14c3p5&amp;sa=D&amp;ust=1605639832225000&amp;usg=AFQjCNHOnf8EiOEiy0tI_8Tyg3ONah_m8Q" TargetMode="External"/><Relationship Id="rId1599" Type="http://schemas.openxmlformats.org/officeDocument/2006/relationships/hyperlink" Target="https://www.google.com/url?q=https://infoarena.ro/problema/sms&amp;sa=D&amp;ust=1605639832413000&amp;usg=AFQjCNFp2TWUdscarCADTF9F6bT35xbYcg" TargetMode="External"/><Relationship Id="rId2345" Type="http://schemas.openxmlformats.org/officeDocument/2006/relationships/hyperlink" Target="https://www.google.com/url?q=https://oj.uz/problem/view/NOI14_cats&amp;sa=D&amp;ust=1605639832657000&amp;usg=AFQjCNECqgAH9t-o8Q8yFI2c3ulqe1YEYA" TargetMode="External"/><Relationship Id="rId2552" Type="http://schemas.openxmlformats.org/officeDocument/2006/relationships/hyperlink" Target="https://www.google.com/url?q=https://github.com/mostafa-saad/MyCompetitiveProgramming/blob/master/Olympiad/POI/POI-06-Teddies.txt&amp;sa=D&amp;ust=1605639832727000&amp;usg=AFQjCNE5KS4GGb4q03r97WDaN2KdAiHamg" TargetMode="External"/><Relationship Id="rId317" Type="http://schemas.openxmlformats.org/officeDocument/2006/relationships/hyperlink" Target="https://www.google.com/url?q=https://boi18-day1-open.kattis.com/problems&amp;sa=D&amp;ust=1605639832042000&amp;usg=AFQjCNG4593hB4trPWRl8MBq9-oxSWrDrg" TargetMode="External"/><Relationship Id="rId524" Type="http://schemas.openxmlformats.org/officeDocument/2006/relationships/hyperlink" Target="https://www.google.com/url?q=https://csacademy.com/contest/ceoi-2017-day-2/&amp;sa=D&amp;ust=1605639832114000&amp;usg=AFQjCNHEIv8I80U2NhLStTexkAPIxoYEVw" TargetMode="External"/><Relationship Id="rId731" Type="http://schemas.openxmlformats.org/officeDocument/2006/relationships/hyperlink" Target="https://www.google.com/url?q=https://github.com/mostafa-saad/MyCompetitiveProgramming/blob/master/Olympiad/COCI/official/2009/contest6_solutions&amp;sa=D&amp;ust=1605639832158000&amp;usg=AFQjCNFUN6CwO5MQo6ttt4ZBT8IFRWaJYg" TargetMode="External"/><Relationship Id="rId1154" Type="http://schemas.openxmlformats.org/officeDocument/2006/relationships/hyperlink" Target="https://www.google.com/url?q=https://oj.uz/problem/view/COCI18_priglavci&amp;sa=D&amp;ust=1605639832277000&amp;usg=AFQjCNEVo2Z8CrI3kVzCBKHbRHrQ6PjVrw" TargetMode="External"/><Relationship Id="rId1361" Type="http://schemas.openxmlformats.org/officeDocument/2006/relationships/hyperlink" Target="https://www.google.com/url?q=https://oj.uz/problem/view/info1cup18_del13&amp;sa=D&amp;ust=1605639832343000&amp;usg=AFQjCNFUnMsz2uO-ByLhz9ZyoWfEy4DjUw" TargetMode="External"/><Relationship Id="rId1459" Type="http://schemas.openxmlformats.org/officeDocument/2006/relationships/hyperlink" Target="https://www.google.com/url?q=https://www.infoarena.ro/problema/drept2&amp;sa=D&amp;ust=1605639832366000&amp;usg=AFQjCNHeManH2nU_m210jU11PwD3z1tjeQ" TargetMode="External"/><Relationship Id="rId2205" Type="http://schemas.openxmlformats.org/officeDocument/2006/relationships/hyperlink" Target="https://www.google.com/url?q=https://github.com/mostafa-saad/MyCompetitiveProgramming/blob/master/Olympiad/JOI/JOISC-18-library.txt&amp;sa=D&amp;ust=1605639832614000&amp;usg=AFQjCNEXfj0NdPZ90Y3nDsn_9edCULDopw" TargetMode="External"/><Relationship Id="rId2412" Type="http://schemas.openxmlformats.org/officeDocument/2006/relationships/hyperlink" Target="https://www.google.com/url?q=https://dunjudge.me/analysis/problems/141/&amp;sa=D&amp;ust=1605639832678000&amp;usg=AFQjCNFNrUXXeve7epL1BPxDWuKDiCTolQ" TargetMode="External"/><Relationship Id="rId2857" Type="http://schemas.openxmlformats.org/officeDocument/2006/relationships/hyperlink" Target="https://www.google.com/url?q=https://szkopul.edu.pl/problemset/problem/4CirgBfxbj9tIAS2C7DWCCd7/site/?key%3Dstatement&amp;sa=D&amp;ust=1605639832806000&amp;usg=AFQjCNHul1O6u3zwaUzltsb1NJq79CdhxA" TargetMode="External"/><Relationship Id="rId98" Type="http://schemas.openxmlformats.org/officeDocument/2006/relationships/hyperlink" Target="https://www.google.com/url?q=https://github.com/mostafa-saad/MyCompetitiveProgramming/blob/master/Olympiad/Balkan/Balkan-11-Medians.txt&amp;sa=D&amp;ust=1605639831981000&amp;usg=AFQjCNGdJWB-9RmEBGDXxIRqhSmRCcJ88g" TargetMode="External"/><Relationship Id="rId829" Type="http://schemas.openxmlformats.org/officeDocument/2006/relationships/hyperlink" Target="https://www.google.com/url?q=https://github.com/mostafa-saad/MyCompetitiveProgramming/blob/master/Olympiad/COCI/official/2010/contest1_solutions&amp;sa=D&amp;ust=1605639832186000&amp;usg=AFQjCNFIYkG6usvuoXO-bBfV66H1KzPkfg" TargetMode="External"/><Relationship Id="rId1014" Type="http://schemas.openxmlformats.org/officeDocument/2006/relationships/hyperlink" Target="https://www.google.com/url?q=https://github.com/mostafa-saad/MyCompetitiveProgramming/blob/master/Olympiad/COCI/official/2016/contest3_solutions&amp;sa=D&amp;ust=1605639832238000&amp;usg=AFQjCNFNTF9OdtaEHJO1IofdStKNII_N3Q" TargetMode="External"/><Relationship Id="rId1221" Type="http://schemas.openxmlformats.org/officeDocument/2006/relationships/hyperlink" Target="https://www.google.com/url?q=https://wcipeg.com/problem/coi08p2&amp;sa=D&amp;ust=1605639832305000&amp;usg=AFQjCNHMxzeVVTIanL8cE_NjLQhefQO_cg" TargetMode="External"/><Relationship Id="rId1666" Type="http://schemas.openxmlformats.org/officeDocument/2006/relationships/hyperlink" Target="https://www.google.com/url?q=https://github.com/mostafa-saad/MyCompetitiveProgramming/blob/master/Olympiad/IOI/IOI-02-Bus.txt&amp;sa=D&amp;ust=1605639832434000&amp;usg=AFQjCNFUuUQF1nNbdosPreGt3-3aTSNnag" TargetMode="External"/><Relationship Id="rId1873" Type="http://schemas.openxmlformats.org/officeDocument/2006/relationships/hyperlink" Target="https://www.google.com/url?q=https://github.com/mostafa-saad/MyCompetitiveProgramming/blob/master/Olympiad/IOI/official/2018&amp;sa=D&amp;ust=1605639832499000&amp;usg=AFQjCNFLsAZBgXNuPayuvxBEOfNRpUg9rA" TargetMode="External"/><Relationship Id="rId2717" Type="http://schemas.openxmlformats.org/officeDocument/2006/relationships/hyperlink" Target="https://www.google.com/url?q=https://oj.uz/problem/view/POI13_luk&amp;sa=D&amp;ust=1605639832760000&amp;usg=AFQjCNHNo_LkSPllldiQTPbid9Ju5tUMSA" TargetMode="External"/><Relationship Id="rId2924" Type="http://schemas.openxmlformats.org/officeDocument/2006/relationships/hyperlink" Target="https://www.google.com/url?q=http://usaco.org/index.php?page%3Dviewproblem2%26cpid%3D495&amp;sa=D&amp;ust=1605639832827000&amp;usg=AFQjCNHhXuK96yWAu1uVcwPwdZdZoNAteQ" TargetMode="External"/><Relationship Id="rId1319" Type="http://schemas.openxmlformats.org/officeDocument/2006/relationships/hyperlink" Target="https://www.google.com/url?q=https://dmoj.ca/problem/dmopc14c4p6&amp;sa=D&amp;ust=1605639832330000&amp;usg=AFQjCNHUjDXdL0R1LJgM9SETIY15bbc6jg" TargetMode="External"/><Relationship Id="rId1526" Type="http://schemas.openxmlformats.org/officeDocument/2006/relationships/hyperlink" Target="https://www.google.com/url?q=https://www.infoarena.ro/problema/nkbiti&amp;sa=D&amp;ust=1605639832389000&amp;usg=AFQjCNHfjRtVxZ72j9Id90YInkfyekZzfg" TargetMode="External"/><Relationship Id="rId1733" Type="http://schemas.openxmlformats.org/officeDocument/2006/relationships/hyperlink" Target="https://www.google.com/url?q=https://oj.uz/problem/view/IOI08_fish&amp;sa=D&amp;ust=1605639832453000&amp;usg=AFQjCNGttHgEzJln41tlqdIDf8tJ_-LFKg" TargetMode="External"/><Relationship Id="rId1940" Type="http://schemas.openxmlformats.org/officeDocument/2006/relationships/hyperlink" Target="https://www.google.com/url?q=https://github.com/nikolapesic2802/Programming-Practice/blob/master/Cycle/main.cpp&amp;sa=D&amp;ust=1605639832520000&amp;usg=AFQjCNEBkK2yoxlVM4J1n84GS-8Qv22jUw" TargetMode="External"/><Relationship Id="rId25" Type="http://schemas.openxmlformats.org/officeDocument/2006/relationships/hyperlink" Target="https://www.google.com/url?q=https://tioj.ck.tp.edu.tw/problems/1748&amp;sa=D&amp;ust=1605639831958000&amp;usg=AFQjCNFzXm8_6YVf7_r15pLtUgYUngnjgA" TargetMode="External"/><Relationship Id="rId1800" Type="http://schemas.openxmlformats.org/officeDocument/2006/relationships/hyperlink" Target="https://www.google.com/url?q=https://github.com/mostafa-saad/MyCompetitiveProgramming/blob/master/Olympiad/IOI/IOI-12-tournament.txt&amp;sa=D&amp;ust=1605639832475000&amp;usg=AFQjCNEKtaXW9E98FTH2Mk9ed5tWnLkNig" TargetMode="External"/><Relationship Id="rId174" Type="http://schemas.openxmlformats.org/officeDocument/2006/relationships/hyperlink" Target="https://www.google.com/url?q=https://github.com/mostafa-saad/MyCompetitiveProgramming/blob/master/Olympiad/Baltic/official/boi2006_solutions&amp;sa=D&amp;ust=1605639832007000&amp;usg=AFQjCNFiKMs573HSd3nqsr5NLOiw_x9VQQ" TargetMode="External"/><Relationship Id="rId381" Type="http://schemas.openxmlformats.org/officeDocument/2006/relationships/hyperlink" Target="https://www.google.com/url?q=https://www.acmicpc.net/problem/2270&amp;sa=D&amp;ust=1605639832070000&amp;usg=AFQjCNFQWyBAx93xVuJprGyjlf8ey6r57A" TargetMode="External"/><Relationship Id="rId2062" Type="http://schemas.openxmlformats.org/officeDocument/2006/relationships/hyperlink" Target="https://www.google.com/url?q=https://oj.uz/problem/view/JOI19_ho_t2&amp;sa=D&amp;ust=1605639832558000&amp;usg=AFQjCNFlFRWU5EVBBM1DAQaEX9FS75tCSg" TargetMode="External"/><Relationship Id="rId241" Type="http://schemas.openxmlformats.org/officeDocument/2006/relationships/hyperlink" Target="https://www.google.com/url?q=https://github.com/mostafa-saad/MyCompetitiveProgramming/blob/master/Olympiad/Baltic/Baltic-11-Vikings.txt&amp;sa=D&amp;ust=1605639832026000&amp;usg=AFQjCNE__N94nu5ycvUBXLTzcnNOQVqBhA" TargetMode="External"/><Relationship Id="rId479" Type="http://schemas.openxmlformats.org/officeDocument/2006/relationships/hyperlink" Target="https://www.google.com/url?q=https://github.com/mostafa-saad/MyCompetitiveProgramming/blob/master/Olympiad/CEOI/CEOI-12-race.txt&amp;sa=D&amp;ust=1605639832101000&amp;usg=AFQjCNGwa-iN3NJrpTp227eNopUyzl_rqQ" TargetMode="External"/><Relationship Id="rId686" Type="http://schemas.openxmlformats.org/officeDocument/2006/relationships/hyperlink" Target="https://www.google.com/url?q=https://wcipeg.com/problem/coci071p2&amp;sa=D&amp;ust=1605639832150000&amp;usg=AFQjCNGBFOQneVXNvlBpgHQ0hhVMd8SLXw" TargetMode="External"/><Relationship Id="rId893" Type="http://schemas.openxmlformats.org/officeDocument/2006/relationships/hyperlink" Target="https://www.google.com/url?q=https://dunjudge.me/analysis/problems/1382/&amp;sa=D&amp;ust=1605639832207000&amp;usg=AFQjCNF677gQJ6ewGPX8qZz1FVMaU6ikZA" TargetMode="External"/><Relationship Id="rId2367" Type="http://schemas.openxmlformats.org/officeDocument/2006/relationships/hyperlink" Target="https://www.google.com/url?q=https://dunjudge.me/analysis/problems/956/&amp;sa=D&amp;ust=1605639832662000&amp;usg=AFQjCNGz3EM2E4tmHSsq2f3pVIH4QHoCTA" TargetMode="External"/><Relationship Id="rId2574" Type="http://schemas.openxmlformats.org/officeDocument/2006/relationships/hyperlink" Target="https://www.google.com/url?q=https://github.com/peon-pasado/CompetitiveProgramming/blob/master/szkoput/POI_07-Weights.cpp&amp;sa=D&amp;ust=1605639832732000&amp;usg=AFQjCNHlYGdy12dg3G6J8dehwwODZG-EkQ" TargetMode="External"/><Relationship Id="rId2781" Type="http://schemas.openxmlformats.org/officeDocument/2006/relationships/hyperlink" Target="https://www.google.com/url?q=https://szkopul.edu.pl/problemset/problem/Grfouq9u3g_TYktFXO2sNjCU/site/&amp;sa=D&amp;ust=1605639832779000&amp;usg=AFQjCNF0_u_BqqEPwNEqE7AUpS8x1fP5CA" TargetMode="External"/><Relationship Id="rId339" Type="http://schemas.openxmlformats.org/officeDocument/2006/relationships/hyperlink" Target="https://www.google.com/url?q=https://boi18-practice-open.kattis.com/problems&amp;sa=D&amp;ust=1605639832048000&amp;usg=AFQjCNFsMb8A3jNbQXMeCJOVzqdXiFH5HQ" TargetMode="External"/><Relationship Id="rId546" Type="http://schemas.openxmlformats.org/officeDocument/2006/relationships/hyperlink" Target="https://www.google.com/url?q=https://codeforces.com/contest/1193&amp;sa=D&amp;ust=1605639832119000&amp;usg=AFQjCNFBfPyPWtg0qQ50UQ1xmc1XAGm0Yw" TargetMode="External"/><Relationship Id="rId753" Type="http://schemas.openxmlformats.org/officeDocument/2006/relationships/hyperlink" Target="https://www.google.com/url?q=https://github.com/mostafa-saad/MyCompetitiveProgramming/blob/master/Olympiad/COCI/COCI-08-Lubenica.txt&amp;sa=D&amp;ust=1605639832163000&amp;usg=AFQjCNFmNZ_sE_2d_sxa2D4lVovXs9Jciw" TargetMode="External"/><Relationship Id="rId1176" Type="http://schemas.openxmlformats.org/officeDocument/2006/relationships/hyperlink" Target="https://www.google.com/url?q=https://github.com/Szawinis/CompetitiveProgramming/blob/master/Olympiad/COCI/COCI19-parametriziran.cpp&amp;sa=D&amp;ust=1605639832285000&amp;usg=AFQjCNE6B0GGNzcpl_qiRpS2ophYOywO5A" TargetMode="External"/><Relationship Id="rId1383" Type="http://schemas.openxmlformats.org/officeDocument/2006/relationships/hyperlink" Target="https://www.google.com/url?q=https://infoarena.ro/problema/album2&amp;sa=D&amp;ust=1605639832348000&amp;usg=AFQjCNEceDuGiEVNboPrMa3hSlHe2onqXQ" TargetMode="External"/><Relationship Id="rId2227" Type="http://schemas.openxmlformats.org/officeDocument/2006/relationships/hyperlink" Target="https://www.google.com/url?q=https://oj.uz/problem/view/JOI19_naan&amp;sa=D&amp;ust=1605639832623000&amp;usg=AFQjCNGns8XcJuMfyb56N6WB3aWyyZYsiQ" TargetMode="External"/><Relationship Id="rId2434" Type="http://schemas.openxmlformats.org/officeDocument/2006/relationships/hyperlink" Target="https://www.google.com/url?q=https://dunjudge.me/analysis/problems/680/&amp;sa=D&amp;ust=1605639832688000&amp;usg=AFQjCNG35XUHDqDUPn24ePl_kA8Q58TvPA" TargetMode="External"/><Relationship Id="rId2879" Type="http://schemas.openxmlformats.org/officeDocument/2006/relationships/hyperlink" Target="https://www.google.com/url?q=https://csacademy.com/contest/round-80/task/sortall/&amp;sa=D&amp;ust=1605639832813000&amp;usg=AFQjCNHBDuCHmd3Lp62IMtnkuSinn0vpPQ" TargetMode="External"/><Relationship Id="rId101" Type="http://schemas.openxmlformats.org/officeDocument/2006/relationships/hyperlink" Target="https://www.google.com/url?q=https://oj.uz/problem/view/balkan11_trapezoid&amp;sa=D&amp;ust=1605639831982000&amp;usg=AFQjCNHJQ06yLjYvR7-U2PwALPsz0HVBDQ" TargetMode="External"/><Relationship Id="rId406" Type="http://schemas.openxmlformats.org/officeDocument/2006/relationships/hyperlink" Target="https://www.google.com/url?q=https://github.com/mostafa-saad/MyCompetitiveProgramming/blob/master/Olympiad/CEOI/CEOI-05-Net.txt&amp;sa=D&amp;ust=1605639832077000&amp;usg=AFQjCNHaTKXOjixUwfy9OB-SyHIXV8TeIQ" TargetMode="External"/><Relationship Id="rId960" Type="http://schemas.openxmlformats.org/officeDocument/2006/relationships/hyperlink" Target="https://www.google.com/url?q=https://oj.uz/problem/view/COCI14_prosjek&amp;sa=D&amp;ust=1605639832223000&amp;usg=AFQjCNG_wG9l8E0GZC1z6cX5f7Peh-4tfg" TargetMode="External"/><Relationship Id="rId1036" Type="http://schemas.openxmlformats.org/officeDocument/2006/relationships/hyperlink" Target="https://www.google.com/url?q=https://oj.uz/problem/view/COCI16_kvalitetni&amp;sa=D&amp;ust=1605639832242000&amp;usg=AFQjCNEFNsd1MDyE3VAsBsShCyS0eYlXdg" TargetMode="External"/><Relationship Id="rId1243" Type="http://schemas.openxmlformats.org/officeDocument/2006/relationships/hyperlink" Target="https://www.google.com/url?q=https://github.com/mostafa-saad/MyCompetitiveProgramming/tree/master/Olympiad/COI/official/2014&amp;sa=D&amp;ust=1605639832311000&amp;usg=AFQjCNHjq5UjsdzUJFJcksDsu709piHuew" TargetMode="External"/><Relationship Id="rId1590" Type="http://schemas.openxmlformats.org/officeDocument/2006/relationships/hyperlink" Target="https://www.google.com/url?q=https://github.com/stefdasca/CompetitiveProgramming/blob/master/Infoarena/secvbest.cpp&amp;sa=D&amp;ust=1605639832411000&amp;usg=AFQjCNF7vUpGBrdi8Wffbtq3FXXn0TtiKA" TargetMode="External"/><Relationship Id="rId1688" Type="http://schemas.openxmlformats.org/officeDocument/2006/relationships/hyperlink" Target="https://www.google.com/url?q=https://github.com/mostafa-saad/MyCompetitiveProgramming/blob/master/Olympiad/IOI/IOI-04-empodia.txt&amp;sa=D&amp;ust=1605639832440000&amp;usg=AFQjCNEf7iC5Hcsmgug_LDItiXscHFjswQ" TargetMode="External"/><Relationship Id="rId1895" Type="http://schemas.openxmlformats.org/officeDocument/2006/relationships/hyperlink" Target="https://www.google.com/url?q=https://github.com/tmwilliamlin168/CompetitiveProgramming/blob/master/HackerRank/bounce-bounce-bounce-ioi14.cpp&amp;sa=D&amp;ust=1605639832507000&amp;usg=AFQjCNFkcgbof25Fo8ZnMUUoeirqNna1sA" TargetMode="External"/><Relationship Id="rId2641" Type="http://schemas.openxmlformats.org/officeDocument/2006/relationships/hyperlink" Target="https://www.google.com/url?q=https://szkopul.edu.pl/problemset/problem/ttMOxHYN1BPMG8oXYiIzIXB9/site/&amp;sa=D&amp;ust=1605639832746000&amp;usg=AFQjCNHAaeoKx7YlJ7lNGim4wsvhkRmQ7A" TargetMode="External"/><Relationship Id="rId2739" Type="http://schemas.openxmlformats.org/officeDocument/2006/relationships/hyperlink" Target="https://www.google.com/url?q=https://szkopul.edu.pl/problemset/problem/Cs38m8lWFnOfDskXf43HR3lN/site/&amp;sa=D&amp;ust=1605639832766000&amp;usg=AFQjCNHfl8gZiH3zxrKAiptSMsufN2o3tw" TargetMode="External"/><Relationship Id="rId2946" Type="http://schemas.openxmlformats.org/officeDocument/2006/relationships/hyperlink" Target="https://www.google.com/url?q=http://usaco.org/index.php?page%3Dviewproblem2%26cpid%3D770&amp;sa=D&amp;ust=1605639832834000&amp;usg=AFQjCNF7Ya746SpQlh5fbrvdgzVXEV95hQ" TargetMode="External"/><Relationship Id="rId613" Type="http://schemas.openxmlformats.org/officeDocument/2006/relationships/hyperlink" Target="https://www.google.com/url?q=https://github.com/mostafa-saad/MyCompetitiveProgramming/tree/master/Olympiad/COCI/official/2007/contest2_solutions&amp;sa=D&amp;ust=1605639832134000&amp;usg=AFQjCNEBkfSy2tRQ9tRKr4fLNQSuMqvGZQ" TargetMode="External"/><Relationship Id="rId820" Type="http://schemas.openxmlformats.org/officeDocument/2006/relationships/hyperlink" Target="https://www.google.com/url?q=https://github.com/mostafa-saad/MyCompetitiveProgramming/blob/master/Olympiad/CEOI/COCI-09-Kaboom&amp;sa=D&amp;ust=1605639832184000&amp;usg=AFQjCNFlo0GRefoAwnS5sC2qikblMCJJog" TargetMode="External"/><Relationship Id="rId918" Type="http://schemas.openxmlformats.org/officeDocument/2006/relationships/hyperlink" Target="https://www.google.com/url?q=https://github.com/mostafa-saad/MyCompetitiveProgramming/blob/master/Olympiad/COCI/official/2015/contest7_solutions&amp;sa=D&amp;ust=1605639832213000&amp;usg=AFQjCNGPqrOUbtHMe9Ebr3aYO0cLTAmhQA" TargetMode="External"/><Relationship Id="rId1450" Type="http://schemas.openxmlformats.org/officeDocument/2006/relationships/hyperlink" Target="https://www.google.com/url?q=https://github.com/stefdasca/CompetitiveProgramming/blob/master/Infoarena/curent.cpp&amp;sa=D&amp;ust=1605639832363000&amp;usg=AFQjCNFxmSXi-I-xT0KQieijn7XKo9M0MA" TargetMode="External"/><Relationship Id="rId1548" Type="http://schemas.openxmlformats.org/officeDocument/2006/relationships/hyperlink" Target="https://www.google.com/url?q=https://www.infoarena.ro/problema/peri&amp;sa=D&amp;ust=1605639832396000&amp;usg=AFQjCNFQu4ekFcyoh2od2T7oVoAcD7lU0A" TargetMode="External"/><Relationship Id="rId1755" Type="http://schemas.openxmlformats.org/officeDocument/2006/relationships/hyperlink" Target="https://www.google.com/url?q=https://contest.yandex.ru/ioi/contest/568/enter/&amp;sa=D&amp;ust=1605639832459000&amp;usg=AFQjCNET_2ETTPzVwPW4-lRLTFtUxdyyRw" TargetMode="External"/><Relationship Id="rId2501" Type="http://schemas.openxmlformats.org/officeDocument/2006/relationships/hyperlink" Target="https://www.google.com/url?q=https://szkopul.edu.pl/problemset/problem/JyanwtKuk_ER10eZ7Yv0q72d/site/&amp;sa=D&amp;ust=1605639832714000&amp;usg=AFQjCNGdJmfuJfwlamA5gUxRZs7ILYPrFA" TargetMode="External"/><Relationship Id="rId1103" Type="http://schemas.openxmlformats.org/officeDocument/2006/relationships/hyperlink" Target="https://www.google.com/url?q=https://oj.uz/problem/view/COCI17_programiranje&amp;sa=D&amp;ust=1605639832260000&amp;usg=AFQjCNH2J7jywJoYBSyMySlzDU7cAVIdBw" TargetMode="External"/><Relationship Id="rId1310" Type="http://schemas.openxmlformats.org/officeDocument/2006/relationships/hyperlink" Target="https://www.google.com/url?q=https://dmoj.ca/problem/ccoprep16c2q3&amp;sa=D&amp;ust=1605639832328000&amp;usg=AFQjCNHUsk86ElLVunmZqi8SMmw1uB5ZaQ" TargetMode="External"/><Relationship Id="rId1408" Type="http://schemas.openxmlformats.org/officeDocument/2006/relationships/hyperlink" Target="https://www.google.com/url?q=https://www.infoarena.ro/problema/borcane&amp;sa=D&amp;ust=1605639832354000&amp;usg=AFQjCNFUCE5U5FQKmA0YRsiaeFiAXWxhtw" TargetMode="External"/><Relationship Id="rId1962" Type="http://schemas.openxmlformats.org/officeDocument/2006/relationships/hyperlink" Target="https://www.google.com/url?q=https://codeforces.com/group/swEqtABRxe/contest/243435/problem/B&amp;sa=D&amp;ust=1605639832526000&amp;usg=AFQjCNFxRVdakdRT1xm6Lsd4KCj_sF3oeQ" TargetMode="External"/><Relationship Id="rId2806" Type="http://schemas.openxmlformats.org/officeDocument/2006/relationships/hyperlink" Target="https://www.google.com/url?q=https://github.com/mostafa-saad/MyCompetitiveProgramming/blob/master/Olympiad/POI/POI-16-Nim.txt&amp;sa=D&amp;ust=1605639832788000&amp;usg=AFQjCNGcJmd6-3U0R6nCz_w22Zzc-K-irQ" TargetMode="External"/><Relationship Id="rId47" Type="http://schemas.openxmlformats.org/officeDocument/2006/relationships/hyperlink" Target="https://www.google.com/url?q=https://github.com/mostafa-saad/MyCompetitiveProgramming/blob/master/Olympiad/APIO/APIO-15-bridge.txt&amp;sa=D&amp;ust=1605639831962000&amp;usg=AFQjCNELqmuRGjZduA7YKGUP23zodXFFzQ" TargetMode="External"/><Relationship Id="rId1615" Type="http://schemas.openxmlformats.org/officeDocument/2006/relationships/hyperlink" Target="https://www.google.com/url?q=https://www.infoarena.ro/problema/turnuri&amp;sa=D&amp;ust=1605639832417000&amp;usg=AFQjCNGNToq3XXhO_2bbPOJwWIYCMLXprw" TargetMode="External"/><Relationship Id="rId1822" Type="http://schemas.openxmlformats.org/officeDocument/2006/relationships/hyperlink" Target="https://www.google.com/url?q=http://blog.brucemerry.org.za/2014/07/&amp;sa=D&amp;ust=1605639832483000&amp;usg=AFQjCNEFVzNAKLJJDcdGvhS06MUQ24vwYw" TargetMode="External"/><Relationship Id="rId196" Type="http://schemas.openxmlformats.org/officeDocument/2006/relationships/hyperlink" Target="https://www.google.com/url?q=https://github.com/mostafa-saad/MyCompetitiveProgramming/blob/master/Olympiad/Baltic/Baltic-08-Gloves.txt&amp;sa=D&amp;ust=1605639832014000&amp;usg=AFQjCNG7ODlNWUcuw35f59YjFnF_MlP7HA" TargetMode="External"/><Relationship Id="rId2084" Type="http://schemas.openxmlformats.org/officeDocument/2006/relationships/hyperlink" Target="https://www.google.com/url?q=https://oj.uz/problems/source/56&amp;sa=D&amp;ust=1605639832562000&amp;usg=AFQjCNF8TwXq89QLYxU7QcPFZMMY_b9hgg" TargetMode="External"/><Relationship Id="rId2291" Type="http://schemas.openxmlformats.org/officeDocument/2006/relationships/hyperlink" Target="https://www.google.com/url?q=https://dunjudge.me/analysis/problems/144/&amp;sa=D&amp;ust=1605639832644000&amp;usg=AFQjCNHEgNLIlEJKsL8kOwKI8UMwiCzVUQ" TargetMode="External"/><Relationship Id="rId263" Type="http://schemas.openxmlformats.org/officeDocument/2006/relationships/hyperlink" Target="https://www.google.com/url?q=https://oj.uz/problem/view/BOI13_vim&amp;sa=D&amp;ust=1605639832031000&amp;usg=AFQjCNHFOLergtWT4ZKP5aUB83V7hDEhNw" TargetMode="External"/><Relationship Id="rId470" Type="http://schemas.openxmlformats.org/officeDocument/2006/relationships/hyperlink" Target="https://www.google.com/url?q=https://szkopul.edu.pl/problemset/problem/pWnFB3uRHH0y29PwkMBS2T0Z/site/&amp;sa=D&amp;ust=1605639832098000&amp;usg=AFQjCNEEB6u-xkfpP-S1aQNu8PxQ9nWlGw" TargetMode="External"/><Relationship Id="rId2151" Type="http://schemas.openxmlformats.org/officeDocument/2006/relationships/hyperlink" Target="https://www.google.com/url?q=https://joisc2015.contest.atcoder.jp/tasks/joisc2015_b&amp;sa=D&amp;ust=1605639832594000&amp;usg=AFQjCNErQk_4JMNiCqJWcRKMqdYkvBxU0Q" TargetMode="External"/><Relationship Id="rId2389" Type="http://schemas.openxmlformats.org/officeDocument/2006/relationships/hyperlink" Target="https://www.google.com/url?q=https://oj.uz/problem/view/NOI18_safety&amp;sa=D&amp;ust=1605639832670000&amp;usg=AFQjCNENlpq6lRew3eo3foUqhDqcWl1xqw" TargetMode="External"/><Relationship Id="rId2596" Type="http://schemas.openxmlformats.org/officeDocument/2006/relationships/hyperlink" Target="https://www.google.com/url?q=https://github.com/mostafa-saad/MyCompetitiveProgramming/blob/master/Olympiad/POI/official/find_editorial_sols_guidelines.txt&amp;sa=D&amp;ust=1605639832737000&amp;usg=AFQjCNHbPRZ-ZUnwqmRY546b4OL3fnbroQ" TargetMode="External"/><Relationship Id="rId123" Type="http://schemas.openxmlformats.org/officeDocument/2006/relationships/hyperlink" Target="https://www.google.com/url?q=https://www.acmicpc.net/category/94&amp;sa=D&amp;ust=1605639831989000&amp;usg=AFQjCNHlNP_DIegA_KcwdpcrzFAW9dLPqg" TargetMode="External"/><Relationship Id="rId330" Type="http://schemas.openxmlformats.org/officeDocument/2006/relationships/hyperlink" Target="https://www.google.com/url?q=https://github.com/mostafa-saad/MyCompetitiveProgramming/blob/master/Olympiad/Baltic/Baltic-19-necklace1.txt&amp;sa=D&amp;ust=1605639832046000&amp;usg=AFQjCNFAJEtSRFmqmKJPeI6RwolkZW0sWw" TargetMode="External"/><Relationship Id="rId568" Type="http://schemas.openxmlformats.org/officeDocument/2006/relationships/hyperlink" Target="https://www.google.com/url?q=https://wcipeg.com/problem/coci067p4&amp;sa=D&amp;ust=1605639832124000&amp;usg=AFQjCNG5Z2YHzXQ8CYbHHBqWnIjxH8CZUA" TargetMode="External"/><Relationship Id="rId775" Type="http://schemas.openxmlformats.org/officeDocument/2006/relationships/hyperlink" Target="https://www.google.com/url?q=https://github.com/mostafa-saad/MyCompetitiveProgramming/blob/master/Olympiad/COCI/official/2009/contest4_solutions&amp;sa=D&amp;ust=1605639832168000&amp;usg=AFQjCNH8ezVGjH3IS5WjlOnex6KXED0i0A" TargetMode="External"/><Relationship Id="rId982" Type="http://schemas.openxmlformats.org/officeDocument/2006/relationships/hyperlink" Target="https://www.google.com/url?q=https://dmoj.ca/problem/coci14c5p4&amp;sa=D&amp;ust=1605639832229000&amp;usg=AFQjCNH_Dm6xsGgF5fAtyBfEQYnY-zjTBA" TargetMode="External"/><Relationship Id="rId1198" Type="http://schemas.openxmlformats.org/officeDocument/2006/relationships/hyperlink" Target="https://www.google.com/url?q=https://github.com/mostafa-saad/MyCompetitiveProgramming/blob/master/Olympiad/COI/COI-06-Patrik.txt&amp;sa=D&amp;ust=1605639832297000&amp;usg=AFQjCNGHYfRUGP5_8C0afRvZUhKMP8aGWA" TargetMode="External"/><Relationship Id="rId2011" Type="http://schemas.openxmlformats.org/officeDocument/2006/relationships/hyperlink" Target="https://www.google.com/url?q=https://oj.uz/problem/view/IZhO19_sortbooks&amp;sa=D&amp;ust=1605639832542000&amp;usg=AFQjCNHNm0LAFDaHBtLF9CsNR4N3HZDExA" TargetMode="External"/><Relationship Id="rId2249" Type="http://schemas.openxmlformats.org/officeDocument/2006/relationships/hyperlink" Target="https://www.google.com/url?q=https://dunjudge.me/analysis/problems/964/&amp;sa=D&amp;ust=1605639832629000&amp;usg=AFQjCNFvBDQFxsLjr1wYIvnnGMCHuQkqIA" TargetMode="External"/><Relationship Id="rId2456" Type="http://schemas.openxmlformats.org/officeDocument/2006/relationships/hyperlink" Target="https://www.google.com/url?q=https://dunjudge.me/analysis/problems/1188/&amp;sa=D&amp;ust=1605639832698000&amp;usg=AFQjCNGYCQRKpalMh28LLayFJwDhxqqwlw" TargetMode="External"/><Relationship Id="rId2663" Type="http://schemas.openxmlformats.org/officeDocument/2006/relationships/hyperlink" Target="https://www.google.com/url?q=https://oj.uz/problem/view/POI11_imp&amp;sa=D&amp;ust=1605639832750000&amp;usg=AFQjCNGpC7TLHvlWlEA2Rb7yVmsy-nUDgQ" TargetMode="External"/><Relationship Id="rId2870" Type="http://schemas.openxmlformats.org/officeDocument/2006/relationships/hyperlink" Target="https://www.google.com/url?q=https://csacademy.com/contest/junior-challenge-2017-day-2/task/set-subtraction&amp;sa=D&amp;ust=1605639832810000&amp;usg=AFQjCNEG9WQhvy8z1fcnyhzqaJQr6VP1pg" TargetMode="External"/><Relationship Id="rId428" Type="http://schemas.openxmlformats.org/officeDocument/2006/relationships/hyperlink" Target="https://www.google.com/url?q=https://cses.fi/188/list/&amp;sa=D&amp;ust=1605639832086000&amp;usg=AFQjCNHPE9hvRA8TVdDvK0341aiGU-KEWQ" TargetMode="External"/><Relationship Id="rId635" Type="http://schemas.openxmlformats.org/officeDocument/2006/relationships/hyperlink" Target="https://www.google.com/url?q=https://github.com/mostafa-saad/MyCompetitiveProgramming/tree/master/Olympiad/COCI/official/2007/contest3_solutions&amp;sa=D&amp;ust=1605639832138000&amp;usg=AFQjCNFByfhgJBzX5CtIx_Nq1nVjC4FtpA" TargetMode="External"/><Relationship Id="rId842" Type="http://schemas.openxmlformats.org/officeDocument/2006/relationships/hyperlink" Target="https://www.google.com/url?q=https://github.com/mostafa-saad/MyCompetitiveProgramming/blob/master/Olympiad/COCI/official/2010/contest4_solutions&amp;sa=D&amp;ust=1605639832190000&amp;usg=AFQjCNHYCl5gMmjmGy2KKbLv1kg-VP52fg" TargetMode="External"/><Relationship Id="rId1058" Type="http://schemas.openxmlformats.org/officeDocument/2006/relationships/hyperlink" Target="https://www.google.com/url?q=https://oj.uz/problem/view/COCI17_automobil&amp;sa=D&amp;ust=1605639832248000&amp;usg=AFQjCNGHI-DYDSuWzNwaizLUk9IzcxI8Sg" TargetMode="External"/><Relationship Id="rId1265" Type="http://schemas.openxmlformats.org/officeDocument/2006/relationships/hyperlink" Target="https://www.google.com/url?q=https://github.com/mostafa-saad/MyCompetitiveProgramming/blob/master/Olympiad/COI/COI-15-zarulje.txt&amp;sa=D&amp;ust=1605639832316000&amp;usg=AFQjCNHgn3SQGIjRt2te6tIGUJQC0OdOMw" TargetMode="External"/><Relationship Id="rId1472" Type="http://schemas.openxmlformats.org/officeDocument/2006/relationships/hyperlink" Target="https://www.google.com/url?q=https://www.infoarena.ro/problema/greutati&amp;sa=D&amp;ust=1605639832371000&amp;usg=AFQjCNGCaujwbfTOSLEi1ret4df0UWarVg" TargetMode="External"/><Relationship Id="rId2109" Type="http://schemas.openxmlformats.org/officeDocument/2006/relationships/hyperlink" Target="https://www.google.com/url?q=https://oj.uz/problems/source/351&amp;sa=D&amp;ust=1605639832571000&amp;usg=AFQjCNFSuXSNw7thEkb42MiTbcc1DtK7Mw" TargetMode="External"/><Relationship Id="rId2316" Type="http://schemas.openxmlformats.org/officeDocument/2006/relationships/hyperlink" Target="https://www.google.com/url?q=https://dunjudge.me/analysis/problems/73/&amp;sa=D&amp;ust=1605639832650000&amp;usg=AFQjCNHe-b_97dE7sZ7NRnBzli_wceykEQ" TargetMode="External"/><Relationship Id="rId2523" Type="http://schemas.openxmlformats.org/officeDocument/2006/relationships/hyperlink" Target="https://www.google.com/url?q=https://szkopul.edu.pl/problemset/problem/DKfNUFPEex9M2RZxld6pPcxT/site/&amp;sa=D&amp;ust=1605639832719000&amp;usg=AFQjCNH0sRdQp0UxAxWznkWB6PaY8f-t_A" TargetMode="External"/><Relationship Id="rId2730" Type="http://schemas.openxmlformats.org/officeDocument/2006/relationships/hyperlink" Target="https://www.google.com/url?q=https://oj.uz/problem/view/POI13_usu&amp;sa=D&amp;ust=1605639832763000&amp;usg=AFQjCNHj74SGdgcA7AjLPm0ggUGP885Xdw" TargetMode="External"/><Relationship Id="rId2968" Type="http://schemas.openxmlformats.org/officeDocument/2006/relationships/hyperlink" Target="https://www.google.com/url?q=http://usaco.org/index.php?page%3Dviewproblem2%26cpid%3D814&amp;sa=D&amp;ust=1605639832843000&amp;usg=AFQjCNEpGNIvQ3tKF-a6OVESE8yUJuwU7Q" TargetMode="External"/><Relationship Id="rId702" Type="http://schemas.openxmlformats.org/officeDocument/2006/relationships/hyperlink" Target="https://www.google.com/url?q=https://dmoj.ca/problem/coci07c6p2&amp;sa=D&amp;ust=1605639832152000&amp;usg=AFQjCNGvpHpHPuIVRn0uBQq7rhLKbr69Jg" TargetMode="External"/><Relationship Id="rId1125" Type="http://schemas.openxmlformats.org/officeDocument/2006/relationships/hyperlink" Target="https://www.google.com/url?q=https://oj.uz/problem/view/COCI17_usmjeri&amp;sa=D&amp;ust=1605639832265000&amp;usg=AFQjCNEA9wMBtTJBUZWqY80h4k3931Byeg" TargetMode="External"/><Relationship Id="rId1332" Type="http://schemas.openxmlformats.org/officeDocument/2006/relationships/hyperlink" Target="https://www.google.com/url?q=https://dmoj.ca/problem/dwite11c5p5&amp;sa=D&amp;ust=1605639832333000&amp;usg=AFQjCNG2laFkg30ysZGYKaJaWD0DEOa7WQ" TargetMode="External"/><Relationship Id="rId1777" Type="http://schemas.openxmlformats.org/officeDocument/2006/relationships/hyperlink" Target="https://www.google.com/url?q=https://oj.uz/problem/view/IOI11_crocodile&amp;sa=D&amp;ust=1605639832464000&amp;usg=AFQjCNGPdJcsxoTZU88lZ6Z2Gj_0s3JnAg" TargetMode="External"/><Relationship Id="rId1984" Type="http://schemas.openxmlformats.org/officeDocument/2006/relationships/hyperlink" Target="https://www.google.com/url?q=https://oj.uz/problem/view/IZhO14_marriage&amp;sa=D&amp;ust=1605639832534000&amp;usg=AFQjCNHiHZ28v99Z0BP8ybBuc-fhDf9Sqg" TargetMode="External"/><Relationship Id="rId2828" Type="http://schemas.openxmlformats.org/officeDocument/2006/relationships/hyperlink" Target="https://www.google.com/url?q=https://szkopul.edu.pl/problemset/problem/CUjJDGGSEZmO7HvdZU4FKrL6/site/&amp;sa=D&amp;ust=1605639832796000&amp;usg=AFQjCNHpQOs77nPhmjsAgETCGATXUSRQJw" TargetMode="External"/><Relationship Id="rId69" Type="http://schemas.openxmlformats.org/officeDocument/2006/relationships/hyperlink" Target="https://www.google.com/url?q=https://github.com/mostafa-saad/MyCompetitiveProgramming/blob/master/Olympiad/APIO/APIO-18-newhome.txt&amp;sa=D&amp;ust=1605639831971000&amp;usg=AFQjCNF5p-k_0Gnt07Ku6o7PNEYvbTK89g" TargetMode="External"/><Relationship Id="rId1637" Type="http://schemas.openxmlformats.org/officeDocument/2006/relationships/hyperlink" Target="https://www.google.com/url?q=https://oj.uz/problem/view/innopolis2018_final_E&amp;sa=D&amp;ust=1605639832425000&amp;usg=AFQjCNHfdYl5umHEheP8kz6Jsuvy1c1hQQ" TargetMode="External"/><Relationship Id="rId1844" Type="http://schemas.openxmlformats.org/officeDocument/2006/relationships/hyperlink" Target="https://www.google.com/url?q=https://github.com/mostafa-saad/MyCompetitiveProgramming/blob/master/Olympiad/IOI/official/2016&amp;sa=D&amp;ust=1605639832490000&amp;usg=AFQjCNEf8fDqTIsiYtVxpoTWs5IVqcXdKw" TargetMode="External"/><Relationship Id="rId1704" Type="http://schemas.openxmlformats.org/officeDocument/2006/relationships/hyperlink" Target="https://www.google.com/url?q=https://www.oi.edu.pl/old/ioi/downloads/ioi2005-tasks-and-solutions-a5.pdf&amp;sa=D&amp;ust=1605639832444000&amp;usg=AFQjCNEbCKkb5YoAnSt_HTNX1x814qKoHQ" TargetMode="External"/><Relationship Id="rId285" Type="http://schemas.openxmlformats.org/officeDocument/2006/relationships/hyperlink" Target="https://www.google.com/url?q=https://oj.uz/problem/view/BOI15_hac&amp;sa=D&amp;ust=1605639832036000&amp;usg=AFQjCNFGGCRJXWPfYcfzoqRA9oBVY6P31Q" TargetMode="External"/><Relationship Id="rId1911" Type="http://schemas.openxmlformats.org/officeDocument/2006/relationships/hyperlink" Target="https://www.google.com/url?q=https://wcipeg.com/problem/ioi1402&amp;sa=D&amp;ust=1605639832511000&amp;usg=AFQjCNFUy7TYiMmzTUb_82QYAlsKkVocKw" TargetMode="External"/><Relationship Id="rId492" Type="http://schemas.openxmlformats.org/officeDocument/2006/relationships/hyperlink" Target="https://www.google.com/url?q=https://oj.uz/problems/source/121&amp;sa=D&amp;ust=1605639832104000&amp;usg=AFQjCNHKnhdzYtF9mbGnU8qwb2eNTesjdw" TargetMode="External"/><Relationship Id="rId797" Type="http://schemas.openxmlformats.org/officeDocument/2006/relationships/hyperlink" Target="https://www.google.com/url?q=https://github.com/mostafa-saad/MyCompetitiveProgramming/blob/master/Olympiad/COCI/official/2010/contest7_solutions&amp;sa=D&amp;ust=1605639832176000&amp;usg=AFQjCNE4eq_N4knMHG1xvcvtOt_sTsWdqQ" TargetMode="External"/><Relationship Id="rId2173" Type="http://schemas.openxmlformats.org/officeDocument/2006/relationships/hyperlink" Target="https://www.google.com/url?q=https://github.com/mostafa-saad/MyCompetitiveProgramming/blob/master/Olympiad/JOI/JOISC-17-arranging_tickets.txt&amp;sa=D&amp;ust=1605639832604000&amp;usg=AFQjCNH1cIRyei8e7aHscjduXzy1-HnJTw" TargetMode="External"/><Relationship Id="rId2380" Type="http://schemas.openxmlformats.org/officeDocument/2006/relationships/hyperlink" Target="https://www.google.com/url?q=https://github.com/mostafa-saad/MyCompetitiveProgramming/blob/master/Olympiad/NOI/NOI-17-very_best_pokemon.txt&amp;sa=D&amp;ust=1605639832665000&amp;usg=AFQjCNGV9FUOiMSqsX3UKY_EiPNa0SKcdA" TargetMode="External"/><Relationship Id="rId2478" Type="http://schemas.openxmlformats.org/officeDocument/2006/relationships/hyperlink" Target="https://www.google.com/url?q=https://github.com/guskal01/CompetitiveProgramming/blob/master/Kattis/PO-Kattis.cpp&amp;sa=D&amp;ust=1605639832707000&amp;usg=AFQjCNH5TJ7BXQQV26YKT_X8hNyXeT4qSw" TargetMode="External"/><Relationship Id="rId145" Type="http://schemas.openxmlformats.org/officeDocument/2006/relationships/hyperlink" Target="https://www.google.com/url?q=https://github.com/mostafa-saad/MyCompetitiveProgramming/blob/master/Olympiad/Balkan/Balkan-18-election.txt&amp;sa=D&amp;ust=1605639831997000&amp;usg=AFQjCNEemWjAyyXGi05wG6nlaouFbMwuLw" TargetMode="External"/><Relationship Id="rId352" Type="http://schemas.openxmlformats.org/officeDocument/2006/relationships/hyperlink" Target="https://www.google.com/url?q=https://dmoj.ca/problem/cco07p6&amp;sa=D&amp;ust=1605639832053000&amp;usg=AFQjCNGpVYf4KELiJpXx2eNO6-P-BtRN8g" TargetMode="External"/><Relationship Id="rId1287" Type="http://schemas.openxmlformats.org/officeDocument/2006/relationships/hyperlink" Target="https://www.google.com/url?q=https://github.com/win11905/submission/blob/master/COI/19/ljepotica.cpp&amp;sa=D&amp;ust=1605639832322000&amp;usg=AFQjCNGpyM7nvvGVjHGC6oeKn5ARImvXUg" TargetMode="External"/><Relationship Id="rId2033" Type="http://schemas.openxmlformats.org/officeDocument/2006/relationships/hyperlink" Target="https://www.google.com/url?q=https://joi2015ho.contest.atcoder.jp/tasks/joi2015ho_e&amp;sa=D&amp;ust=1605639832549000&amp;usg=AFQjCNHSWP68ue_WpgpAaCnhQf-10p8l_Q" TargetMode="External"/><Relationship Id="rId2240" Type="http://schemas.openxmlformats.org/officeDocument/2006/relationships/hyperlink" Target="https://www.google.com/url?q=https://github.com/mostafa-saad/MyCompetitiveProgramming/tree/master/Olympiad/MCO/official/2015&amp;sa=D&amp;ust=1605639832627000&amp;usg=AFQjCNGiaBO61Lz125P14DzoIbHYcj9Ipw" TargetMode="External"/><Relationship Id="rId2685" Type="http://schemas.openxmlformats.org/officeDocument/2006/relationships/hyperlink" Target="https://www.google.com/url?q=https://szkopul.edu.pl/problemset/problem/Phel_x2Ny30OUh7z1RhCtzEG/site/&amp;sa=D&amp;ust=1605639832754000&amp;usg=AFQjCNFA0PyDK5_90PYD3JNTijGYy6oVCQ" TargetMode="External"/><Relationship Id="rId2892" Type="http://schemas.openxmlformats.org/officeDocument/2006/relationships/hyperlink" Target="https://www.google.com/url?q=https://training.ia-toki.org/problemsets/87/problems/445/&amp;sa=D&amp;ust=1605639832817000&amp;usg=AFQjCNFAFkMgomk9wQdf5v8tVakANno2Jg" TargetMode="External"/><Relationship Id="rId212" Type="http://schemas.openxmlformats.org/officeDocument/2006/relationships/hyperlink" Target="https://www.google.com/url?q=https://github.com/mostafa-saad/MyCompetitiveProgramming/blob/master/Olympiad/Baltic/Baltic-09-Triangulate.txt&amp;sa=D&amp;ust=1605639832018000&amp;usg=AFQjCNGC7JFIDTFojy1tNqxf9bUDMHO8xA" TargetMode="External"/><Relationship Id="rId657" Type="http://schemas.openxmlformats.org/officeDocument/2006/relationships/hyperlink" Target="https://www.google.com/url?q=https://github.com/mostafa-saad/MyCompetitiveProgramming/tree/master/Olympiad/COCI/official/2008/contest3_solutions&amp;sa=D&amp;ust=1605639832143000&amp;usg=AFQjCNHASIyIsgPMYnS3TYH_bp-5W1PJ0A" TargetMode="External"/><Relationship Id="rId864" Type="http://schemas.openxmlformats.org/officeDocument/2006/relationships/hyperlink" Target="https://www.google.com/url?q=https://github.com/mostafa-saad/MyCompetitiveProgramming/blob/master/Olympiad/COCI/official/2010/contest2_solutions&amp;sa=D&amp;ust=1605639832198000&amp;usg=AFQjCNFRd6hUrdf-pObNO0ITRwq4dZkQZw" TargetMode="External"/><Relationship Id="rId1494" Type="http://schemas.openxmlformats.org/officeDocument/2006/relationships/hyperlink" Target="https://www.google.com/url?q=https://www.infoarena.ro/problema/kinder&amp;sa=D&amp;ust=1605639832378000&amp;usg=AFQjCNFzPwFaG5oW1nCAUEhEppmsnMNpww" TargetMode="External"/><Relationship Id="rId1799" Type="http://schemas.openxmlformats.org/officeDocument/2006/relationships/hyperlink" Target="https://www.google.com/url?q=https://oj.uz/problem/view/IOI12_tournament&amp;sa=D&amp;ust=1605639832475000&amp;usg=AFQjCNGdIDNwcgINbJyixhyuEqXGKL9EBQ" TargetMode="External"/><Relationship Id="rId2100" Type="http://schemas.openxmlformats.org/officeDocument/2006/relationships/hyperlink" Target="https://www.google.com/url?q=https://oj.uz/problem/view/JOI17_amusement_park&amp;sa=D&amp;ust=1605639832568000&amp;usg=AFQjCNGGO7LUsSXHYJGnTBpSQrl3RUqsBA" TargetMode="External"/><Relationship Id="rId2338" Type="http://schemas.openxmlformats.org/officeDocument/2006/relationships/hyperlink" Target="https://www.google.com/url?q=https://oj.uz/problem/view/NOI12_walking&amp;sa=D&amp;ust=1605639832656000&amp;usg=AFQjCNFRg980Bc3_64zCIwf0Zq9KuxF8mw" TargetMode="External"/><Relationship Id="rId2545" Type="http://schemas.openxmlformats.org/officeDocument/2006/relationships/hyperlink" Target="https://www.google.com/url?q=https://szkopul.edu.pl/problemset/problem/6YiP6JA5U15hY94pLwuHoYPg/site/&amp;sa=D&amp;ust=1605639832725000&amp;usg=AFQjCNGLvzs3ZpH9RA7Q7_9oQTFJTEjs9w" TargetMode="External"/><Relationship Id="rId2752" Type="http://schemas.openxmlformats.org/officeDocument/2006/relationships/hyperlink" Target="https://www.google.com/url?q=https://github.com/mostafa-saad/MyCompetitiveProgramming/blob/master/Olympiad/POI/POI-14-Panels.txt&amp;sa=D&amp;ust=1605639832771000&amp;usg=AFQjCNGXgSRO4r8VyRmEj509Exq8VYDSww" TargetMode="External"/><Relationship Id="rId517" Type="http://schemas.openxmlformats.org/officeDocument/2006/relationships/hyperlink" Target="https://www.google.com/url?q=https://github.com/mostafa-saad/MyCompetitiveProgramming/blob/master/Olympiad/CEOI/CEOI-16-match.txt&amp;sa=D&amp;ust=1605639832112000&amp;usg=AFQjCNHEiOrmaL2hTVYkqMPI_f4eEUwMcQ" TargetMode="External"/><Relationship Id="rId724" Type="http://schemas.openxmlformats.org/officeDocument/2006/relationships/hyperlink" Target="https://www.google.com/url?q=https://dmoj.ca/problem/coci08c6p1&amp;sa=D&amp;ust=1605639832157000&amp;usg=AFQjCNH2NojYnYeL0Pcn0sYubVFqdkndSA" TargetMode="External"/><Relationship Id="rId931" Type="http://schemas.openxmlformats.org/officeDocument/2006/relationships/hyperlink" Target="https://www.google.com/url?q=https://dmoj.ca/problem/coci14c3p6&amp;sa=D&amp;ust=1605639832216000&amp;usg=AFQjCNECJOaRKTI67KHuAyXWxziCtQ_U6w" TargetMode="External"/><Relationship Id="rId1147" Type="http://schemas.openxmlformats.org/officeDocument/2006/relationships/hyperlink" Target="https://www.google.com/url?q=https://oj.uz/problem/view/COCI18_olivander&amp;sa=D&amp;ust=1605639832274000&amp;usg=AFQjCNEFh8h6x8toNzWyH0laj2DCiy1jUw" TargetMode="External"/><Relationship Id="rId1354" Type="http://schemas.openxmlformats.org/officeDocument/2006/relationships/hyperlink" Target="https://www.google.com/url?q=https://dunjudge.me/analysis/problems/1243/&amp;sa=D&amp;ust=1605639832341000&amp;usg=AFQjCNHHCFvZgwIQuLQkmWo3eKziVcvCZg" TargetMode="External"/><Relationship Id="rId1561" Type="http://schemas.openxmlformats.org/officeDocument/2006/relationships/hyperlink" Target="https://www.google.com/url?q=https://infoarena.ro/problema/plimbare3&amp;sa=D&amp;ust=1605639832401000&amp;usg=AFQjCNGJK6zPSgcUjkiUKbZI6OkLeov9Mg" TargetMode="External"/><Relationship Id="rId2405" Type="http://schemas.openxmlformats.org/officeDocument/2006/relationships/hyperlink" Target="https://www.google.com/url?q=https://dunjudge.me/analysis/problems/695/&amp;sa=D&amp;ust=1605639832675000&amp;usg=AFQjCNGG4lSTGBLvSZA959jwyNn9LimyAg" TargetMode="External"/><Relationship Id="rId2612" Type="http://schemas.openxmlformats.org/officeDocument/2006/relationships/hyperlink" Target="https://www.google.com/url?q=https://github.com/mostafa-saad/MyCompetitiveProgramming/blob/master/Olympiad/POI/POI-09-Ice_Skates.txt&amp;sa=D&amp;ust=1605639832739000&amp;usg=AFQjCNHt9CFhYB5hMCvXHh93Xfr3EsEuGw" TargetMode="External"/><Relationship Id="rId60" Type="http://schemas.openxmlformats.org/officeDocument/2006/relationships/hyperlink" Target="https://www.google.com/url?q=https://oj.uz/problem/view/APIO17_merchant&amp;sa=D&amp;ust=1605639831966000&amp;usg=AFQjCNGZ-vQkher0DDdZwyP76l6wvcMEgA" TargetMode="External"/><Relationship Id="rId1007" Type="http://schemas.openxmlformats.org/officeDocument/2006/relationships/hyperlink" Target="https://www.google.com/url?q=https://github.com/mostafa-saad/MyCompetitiveProgramming/blob/master/Olympiad/COCI/COCI-15-Nekameleoni.txt&amp;sa=D&amp;ust=1605639832236000&amp;usg=AFQjCNHBF3FM-_3HX86qvqrOBsunYKPzaw" TargetMode="External"/><Relationship Id="rId1214" Type="http://schemas.openxmlformats.org/officeDocument/2006/relationships/hyperlink" Target="https://www.google.com/url?q=https://github.com/mostafa-saad/MyCompetitiveProgramming/blob/master/Olympiad/COI/COI-08-Cvjetici.txt&amp;sa=D&amp;ust=1605639832303000&amp;usg=AFQjCNHntH63uxc7a5_m2BZBbxUbEzf9pg" TargetMode="External"/><Relationship Id="rId1421" Type="http://schemas.openxmlformats.org/officeDocument/2006/relationships/hyperlink" Target="https://www.google.com/url?q=https://www.infoarena.ro/problema/cerc3&amp;sa=D&amp;ust=1605639832357000&amp;usg=AFQjCNF9DpwlhiQWKKoCsb_DfE8c987QLw" TargetMode="External"/><Relationship Id="rId1659" Type="http://schemas.openxmlformats.org/officeDocument/2006/relationships/hyperlink" Target="https://www.google.com/url?q=https://dmoj.ca/problem/ioi01p1&amp;sa=D&amp;ust=1605639832432000&amp;usg=AFQjCNF2bAMcs1OQpHQcEUg2xNbH0qPCtg" TargetMode="External"/><Relationship Id="rId1866" Type="http://schemas.openxmlformats.org/officeDocument/2006/relationships/hyperlink" Target="https://www.google.com/url?q=https://oj.uz/problem/view/IOI17_wiring&amp;sa=D&amp;ust=1605639832498000&amp;usg=AFQjCNHiWVsLqlCgWOYELVPkZ5GlyB-EtA" TargetMode="External"/><Relationship Id="rId2917" Type="http://schemas.openxmlformats.org/officeDocument/2006/relationships/hyperlink" Target="https://www.google.com/url?q=http://usaco.org/index.php?page%3Dviewproblem2%26cpid%3D230&amp;sa=D&amp;ust=1605639832825000&amp;usg=AFQjCNHB7T9xQ2o3jmjKKskY3n0mdFs-uw" TargetMode="External"/><Relationship Id="rId1519" Type="http://schemas.openxmlformats.org/officeDocument/2006/relationships/hyperlink" Target="https://www.google.com/url?q=https://github.com/mostafa-saad/MyCompetitiveProgramming/blob/master/Olympiad/infoarena/infoarena-mindist.txt&amp;sa=D&amp;ust=1605639832386000&amp;usg=AFQjCNEXo2wMDZOduCDSeFrPXjoemoBqvQ" TargetMode="External"/><Relationship Id="rId1726" Type="http://schemas.openxmlformats.org/officeDocument/2006/relationships/hyperlink" Target="https://www.google.com/url?q=https://github.com/mostafa-saad/MyCompetitiveProgramming/blob/master/Olympiad/IOI/official/2007&amp;sa=D&amp;ust=1605639832450000&amp;usg=AFQjCNG0itsp0r8tBGfGVKj2vxtQHEBeKg" TargetMode="External"/><Relationship Id="rId1933" Type="http://schemas.openxmlformats.org/officeDocument/2006/relationships/hyperlink" Target="https://www.google.com/url?q=https://dunjudge.me/analysis/problems/1663/&amp;sa=D&amp;ust=1605639832518000&amp;usg=AFQjCNFQElIYMYnjTZb5M-zYkC4MXMPmwg" TargetMode="External"/><Relationship Id="rId18" Type="http://schemas.openxmlformats.org/officeDocument/2006/relationships/hyperlink" Target="https://www.google.com/url?q=https://github.com/mostafa-saad/MyCompetitiveProgramming/blob/master/Olympiad/APIO/APIO-09-Oil.txt&amp;sa=D&amp;ust=1605639831957000&amp;usg=AFQjCNFkCyyTZBDiyCMrlkyNyrK3ccTR0w" TargetMode="External"/><Relationship Id="rId2195" Type="http://schemas.openxmlformats.org/officeDocument/2006/relationships/hyperlink" Target="https://www.google.com/url?q=https://github.com/mostafa-saad/MyCompetitiveProgramming/blob/master/Olympiad/JOI/JOISC-18-airline.txt&amp;sa=D&amp;ust=1605639832611000&amp;usg=AFQjCNFN0EykU62xNZ9hszlBPw4GbuSkuQ" TargetMode="External"/><Relationship Id="rId167" Type="http://schemas.openxmlformats.org/officeDocument/2006/relationships/hyperlink" Target="https://www.google.com/url?q=https://cses.fi/109/list/&amp;sa=D&amp;ust=1605639832005000&amp;usg=AFQjCNGLRUpuUUNNaFFyOMtV42QkDkXNPg" TargetMode="External"/><Relationship Id="rId374" Type="http://schemas.openxmlformats.org/officeDocument/2006/relationships/hyperlink" Target="https://www.google.com/url?q=http://poj.org/problem?id%3D1912&amp;sa=D&amp;ust=1605639832058000&amp;usg=AFQjCNHSoG9Ivux3Ucn3IATkvQdGmHMtQA" TargetMode="External"/><Relationship Id="rId581" Type="http://schemas.openxmlformats.org/officeDocument/2006/relationships/hyperlink" Target="https://www.google.com/url?q=https://github.com/mostafa-saad/MyCompetitiveProgramming/tree/master/Olympiad/COCI/official/2007/contest5_solutions&amp;sa=D&amp;ust=1605639832127000&amp;usg=AFQjCNEZ3Wt7-WMyVej0WGlkFB6lsXOfgg" TargetMode="External"/><Relationship Id="rId2055" Type="http://schemas.openxmlformats.org/officeDocument/2006/relationships/hyperlink" Target="https://www.google.com/url?q=https://oj.uz/problem/view/JOI18_snake_escaping&amp;sa=D&amp;ust=1605639832556000&amp;usg=AFQjCNFdcpzrUTtrk2iVwAgRb7VtCTOqJg" TargetMode="External"/><Relationship Id="rId2262" Type="http://schemas.openxmlformats.org/officeDocument/2006/relationships/hyperlink" Target="https://www.google.com/url?q=https://codeforces.com/group/R2SERIff4f/contest/213171&amp;sa=D&amp;ust=1605639832634000&amp;usg=AFQjCNGhEYqGaNumeXwy46V5bFRh8AHuOg" TargetMode="External"/><Relationship Id="rId234" Type="http://schemas.openxmlformats.org/officeDocument/2006/relationships/hyperlink" Target="https://www.google.com/url?q=https://github.com/mostafa-saad/MyCompetitiveProgramming/blob/master/Olympiad/Baltic/Baltic-11-Mirroring.txt&amp;sa=D&amp;ust=1605639832024000&amp;usg=AFQjCNE6D3Q7mslA3thWGnb03HLau1q3nA" TargetMode="External"/><Relationship Id="rId679" Type="http://schemas.openxmlformats.org/officeDocument/2006/relationships/hyperlink" Target="https://www.google.com/url?q=https://github.com/mostafa-saad/MyCompetitiveProgramming/tree/master/Olympiad/COCI/official/2008/regional_solutions&amp;sa=D&amp;ust=1605639832148000&amp;usg=AFQjCNF5mRWK5jMvBv9qpjg0sUYDJuGJ1A" TargetMode="External"/><Relationship Id="rId886" Type="http://schemas.openxmlformats.org/officeDocument/2006/relationships/hyperlink" Target="https://www.google.com/url?q=https://github.com/mostafa-saad/MyCompetitiveProgramming/blob/master/Olympiad/COCI/official/2013/contest3_solutions&amp;sa=D&amp;ust=1605639832205000&amp;usg=AFQjCNEDtBRxtIzg2xBMiwqQRHDCVvVMEg" TargetMode="External"/><Relationship Id="rId2567" Type="http://schemas.openxmlformats.org/officeDocument/2006/relationships/hyperlink" Target="https://www.google.com/url?q=https://szkopul.edu.pl/problemset/problem/ETArorvqQVqRUJRa4kx02f8D/site/&amp;sa=D&amp;ust=1605639832730000&amp;usg=AFQjCNGli2XAAld8lThAlYNJznQoUkgDfg" TargetMode="External"/><Relationship Id="rId2774" Type="http://schemas.openxmlformats.org/officeDocument/2006/relationships/hyperlink" Target="https://www.google.com/url?q=https://github.com/mostafa-saad/MyCompetitiveProgramming/blob/master/Olympiad/POI/POI-15-Seals.txt&amp;sa=D&amp;ust=1605639832777000&amp;usg=AFQjCNGBPJvBiyGcPOOH0mWGvDO3RhKaWA" TargetMode="External"/><Relationship Id="rId2" Type="http://schemas.openxmlformats.org/officeDocument/2006/relationships/hyperlink" Target="https://www.google.com/url?q=https://github.com/mostafa-saad/MyCompetitiveProgramming/blob/master/Olympiad/APIO/APIO-07-Backup.txt&amp;sa=D&amp;ust=1605639831954000&amp;usg=AFQjCNHg36mzT40BCW8-TwFnkNCvdW2Vyg" TargetMode="External"/><Relationship Id="rId441" Type="http://schemas.openxmlformats.org/officeDocument/2006/relationships/hyperlink" Target="https://www.google.com/url?q=https://cses.fi/179/list/&amp;sa=D&amp;ust=1605639832089000&amp;usg=AFQjCNF5bRid2Df7pDOG3nNF5krX0LGlxw" TargetMode="External"/><Relationship Id="rId539" Type="http://schemas.openxmlformats.org/officeDocument/2006/relationships/hyperlink" Target="https://www.google.com/url?q=https://csacademy.com/contest/ceoi-2018-day-1/task/global-warming/&amp;sa=D&amp;ust=1605639832117000&amp;usg=AFQjCNHlZ6CpXJAJdBb2z4Cyq92E74-oOQ" TargetMode="External"/><Relationship Id="rId746" Type="http://schemas.openxmlformats.org/officeDocument/2006/relationships/hyperlink" Target="https://www.google.com/url?q=https://dmoj.ca/problem/coci08c1p6&amp;sa=D&amp;ust=1605639832162000&amp;usg=AFQjCNH5FP9m1Y_hzvhXYeu-j0VkoF0BzA" TargetMode="External"/><Relationship Id="rId1071" Type="http://schemas.openxmlformats.org/officeDocument/2006/relationships/hyperlink" Target="https://www.google.com/url?q=https://github.com/mostafa-saad/MyCompetitiveProgramming/blob/master/Olympiad/COCI/official/2018/contest2_solutions&amp;sa=D&amp;ust=1605639832252000&amp;usg=AFQjCNFYgKPPedldeffCXep3ZoK_Xhfjew" TargetMode="External"/><Relationship Id="rId1169" Type="http://schemas.openxmlformats.org/officeDocument/2006/relationships/hyperlink" Target="https://www.google.com/url?q=https://github.com/ZeyadKhattab/Competitive-Programming/blob/master/Problems/COCI%252019-kocka.java&amp;sa=D&amp;ust=1605639832283000&amp;usg=AFQjCNHxsqlpbqViowcPozGWgssdY1PUrw" TargetMode="External"/><Relationship Id="rId1376" Type="http://schemas.openxmlformats.org/officeDocument/2006/relationships/hyperlink" Target="https://www.google.com/url?q=https://github.com/stefdasca/CompetitiveProgramming/blob/master/Info1Cup/National%2520Round/treasure.cpp&amp;sa=D&amp;ust=1605639832347000&amp;usg=AFQjCNHb0gblVWpYa1otKW8l7qLwNkBK1g" TargetMode="External"/><Relationship Id="rId1583" Type="http://schemas.openxmlformats.org/officeDocument/2006/relationships/hyperlink" Target="https://www.google.com/url?q=https://www.infoarena.ro/problema/rfinv&amp;sa=D&amp;ust=1605639832407000&amp;usg=AFQjCNGVKG5U_WZj96Q8XkZCunx8i5D8EA" TargetMode="External"/><Relationship Id="rId2122" Type="http://schemas.openxmlformats.org/officeDocument/2006/relationships/hyperlink" Target="https://www.google.com/url?q=https://joisc2013-day2.contest.atcoder.jp/tasks/joisc2013_construction&amp;sa=D&amp;ust=1605639832577000&amp;usg=AFQjCNEbZJ43RN1upw78TNnt6vDqzOTiRw" TargetMode="External"/><Relationship Id="rId2427" Type="http://schemas.openxmlformats.org/officeDocument/2006/relationships/hyperlink" Target="https://www.google.com/url?q=https://dunjudge.me/analysis/problems/421/&amp;sa=D&amp;ust=1605639832685000&amp;usg=AFQjCNEUpEelr7Q0SFSo6Gca6PbdagIASg" TargetMode="External"/><Relationship Id="rId2981" Type="http://schemas.openxmlformats.org/officeDocument/2006/relationships/hyperlink" Target="https://www.google.com/url?q=https://github.com/dolphingarlic/CompetitiveProgramming/blob/master/USACO/USACO%252018-out_of_sorts_gold.cpp&amp;sa=D&amp;ust=1605639832860000&amp;usg=AFQjCNHsRE5P-jvWduq8ZFLVMLmBf81R4Q" TargetMode="External"/><Relationship Id="rId301" Type="http://schemas.openxmlformats.org/officeDocument/2006/relationships/hyperlink" Target="https://www.google.com/url?q=https://open.kattis.com/problems/catinatree&amp;sa=D&amp;ust=1605639832039000&amp;usg=AFQjCNHMABklBzCY64eGHUKuOeDVRgtsTw" TargetMode="External"/><Relationship Id="rId953" Type="http://schemas.openxmlformats.org/officeDocument/2006/relationships/hyperlink" Target="https://www.google.com/url?q=https://dmoj.ca/problem/coci14c6p1&amp;sa=D&amp;ust=1605639832222000&amp;usg=AFQjCNEDaFWn0mJk-_41PHw97hq3woI32A" TargetMode="External"/><Relationship Id="rId1029" Type="http://schemas.openxmlformats.org/officeDocument/2006/relationships/hyperlink" Target="https://www.google.com/url?q=https://github.com/mostafa-saad/MyCompetitiveProgramming/blob/master/Olympiad/COCI/official/2017/contest3_solutions&amp;sa=D&amp;ust=1605639832241000&amp;usg=AFQjCNEi6TNhu9ILwE-cjB0oOrnUL0ZurQ" TargetMode="External"/><Relationship Id="rId1236" Type="http://schemas.openxmlformats.org/officeDocument/2006/relationships/hyperlink" Target="https://www.google.com/url?q=https://github.com/mostafa-saad/MyCompetitiveProgramming/blob/master/Olympiad/COI/COI-10-kamion.txt&amp;sa=D&amp;ust=1605639832309000&amp;usg=AFQjCNEQUYEG-Ms1sFlb9eZn60h2-x6jJQ" TargetMode="External"/><Relationship Id="rId1790" Type="http://schemas.openxmlformats.org/officeDocument/2006/relationships/hyperlink" Target="https://www.google.com/url?q=https://github.com/mostafa-saad/MyCompetitiveProgramming/blob/master/Olympiad/IOI/IOI-12-city.txt&amp;sa=D&amp;ust=1605639832472000&amp;usg=AFQjCNG9CRoTRIniNObAev7c_581IVmi1Q" TargetMode="External"/><Relationship Id="rId1888" Type="http://schemas.openxmlformats.org/officeDocument/2006/relationships/hyperlink" Target="https://www.google.com/url?q=https://oj.uz/problem/view/IOI19_vision&amp;sa=D&amp;ust=1605639832505000&amp;usg=AFQjCNFRg_0TA0vP-eV_6suEUW8wYpLHXw" TargetMode="External"/><Relationship Id="rId2634" Type="http://schemas.openxmlformats.org/officeDocument/2006/relationships/hyperlink" Target="https://www.google.com/url?q=https://github.com/mostafa-saad/MyCompetitiveProgramming/blob/master/Olympiad/POI/official/find_editorial_sols_guidelines.txt&amp;sa=D&amp;ust=1605639832745000&amp;usg=AFQjCNE0q1YlXCXLSM-XCwhPvgXWrvhRIQ" TargetMode="External"/><Relationship Id="rId2841" Type="http://schemas.openxmlformats.org/officeDocument/2006/relationships/hyperlink" Target="https://www.google.com/url?q=https://szkopul.edu.pl/problemset/problem/KkN5UonnNGIG3AuMqoI6xr62/site/&amp;sa=D&amp;ust=1605639832801000&amp;usg=AFQjCNF9UwnPxK-ZAChO3_RbBDy5xNYDLQ" TargetMode="External"/><Relationship Id="rId2939" Type="http://schemas.openxmlformats.org/officeDocument/2006/relationships/hyperlink" Target="https://www.google.com/url?q=http://usaco.org/index.php?page%3Dviewproblem2%26cpid%3D673&amp;sa=D&amp;ust=1605639832832000&amp;usg=AFQjCNHlPYITLFCAPbB_zFeBgCZQo9VAIQ" TargetMode="External"/><Relationship Id="rId82" Type="http://schemas.openxmlformats.org/officeDocument/2006/relationships/hyperlink" Target="https://www.google.com/url?q=https://www.acmicpc.net/problem/7084&amp;sa=D&amp;ust=1605639831975000&amp;usg=AFQjCNH_KjVDC71Aycvj10Y2HnGES9oVKQ" TargetMode="External"/><Relationship Id="rId606" Type="http://schemas.openxmlformats.org/officeDocument/2006/relationships/hyperlink" Target="https://www.google.com/url?q=https://dmoj.ca/problem/coci06c6p1&amp;sa=D&amp;ust=1605639832132000&amp;usg=AFQjCNGpV2nUQ2-414rmrs_2MoCSZhn0mw" TargetMode="External"/><Relationship Id="rId813" Type="http://schemas.openxmlformats.org/officeDocument/2006/relationships/hyperlink" Target="https://www.google.com/url?q=https://github.com/mostafa-saad/MyCompetitiveProgramming/blob/master/Olympiad/COCI/official/2010/contest1_solutions&amp;sa=D&amp;ust=1605639832180000&amp;usg=AFQjCNE86rMyR5poNxVvoxKsVHOfqOneGA" TargetMode="External"/><Relationship Id="rId1443" Type="http://schemas.openxmlformats.org/officeDocument/2006/relationships/hyperlink" Target="https://www.google.com/url?q=https://github.com/stefdasca/CompetitiveProgramming/blob/master/Infoarena/covor&amp;sa=D&amp;ust=1605639832361000&amp;usg=AFQjCNFjzFNarpjeThimaHQqZimokFj33A" TargetMode="External"/><Relationship Id="rId1650" Type="http://schemas.openxmlformats.org/officeDocument/2006/relationships/hyperlink" Target="https://www.google.com/url?q=https://github.com/mostafa-saad/MyCompetitiveProgramming/blob/master/Olympiad/IOI/official/2000&amp;sa=D&amp;ust=1605639832428000&amp;usg=AFQjCNGZoukRAHU0EZAKZikdS6df_ZV0YA" TargetMode="External"/><Relationship Id="rId1748" Type="http://schemas.openxmlformats.org/officeDocument/2006/relationships/hyperlink" Target="https://www.google.com/url?q=https://github.com/mostafa-saad/MyCompetitiveProgramming/blob/master/Olympiad/IOI/official/2009&amp;sa=D&amp;ust=1605639832457000&amp;usg=AFQjCNG2QDApUFooe3nRQ7E-HB1A7Pwogw" TargetMode="External"/><Relationship Id="rId2701" Type="http://schemas.openxmlformats.org/officeDocument/2006/relationships/hyperlink" Target="https://www.google.com/url?q=https://szkopul.edu.pl/problemset/problem/xfTByTABS18uZ1lmg4wQkVf2/site/&amp;sa=D&amp;ust=1605639832757000&amp;usg=AFQjCNGS97D6n8ydlTw_1F95CcxBCBBcGg" TargetMode="External"/><Relationship Id="rId1303" Type="http://schemas.openxmlformats.org/officeDocument/2006/relationships/hyperlink" Target="https://www.google.com/url?q=https://cses.fi/231/task/A&amp;sa=D&amp;ust=1605639832325000&amp;usg=AFQjCNEjPcj2Q_ieuFjJJehcn86AwXdQ2g" TargetMode="External"/><Relationship Id="rId1510" Type="http://schemas.openxmlformats.org/officeDocument/2006/relationships/hyperlink" Target="https://www.google.com/url?q=https://infoarena.ro/problema/maxdist&amp;sa=D&amp;ust=1605639832383000&amp;usg=AFQjCNFVeCgpmIkUpF7hCF4glVDlfkHjlQ" TargetMode="External"/><Relationship Id="rId1955" Type="http://schemas.openxmlformats.org/officeDocument/2006/relationships/hyperlink" Target="https://www.google.com/url?q=https://codeforces.com/group/swEqtABRxe/contest/243438/problem/A&amp;sa=D&amp;ust=1605639832524000&amp;usg=AFQjCNEB9tofgZ0RxEy47o9HF8o95P4YKg" TargetMode="External"/><Relationship Id="rId1608" Type="http://schemas.openxmlformats.org/officeDocument/2006/relationships/hyperlink" Target="https://www.google.com/url?q=https://github.com/stefdasca/CompetitiveProgramming/blob/master/Infoarena/tablou.cpp&amp;sa=D&amp;ust=1605639832415000&amp;usg=AFQjCNFcf8r_y0caqXZ17GNDeudO2YPtbA" TargetMode="External"/><Relationship Id="rId1815" Type="http://schemas.openxmlformats.org/officeDocument/2006/relationships/hyperlink" Target="https://www.google.com/url?q=https://oj.uz/problem/view/IOI14_gondola&amp;sa=D&amp;ust=1605639832479000&amp;usg=AFQjCNHClMhvlZkHpF6hqU2iOeilqjIkUQ" TargetMode="External"/><Relationship Id="rId189" Type="http://schemas.openxmlformats.org/officeDocument/2006/relationships/hyperlink" Target="https://www.google.com/url?q=https://cses.fi/114/list/&amp;sa=D&amp;ust=1605639832012000&amp;usg=AFQjCNEitwab1JlnlbSgaVREqnj4W_9xEw" TargetMode="External"/><Relationship Id="rId396" Type="http://schemas.openxmlformats.org/officeDocument/2006/relationships/hyperlink" Target="https://www.google.com/url?q=https://github.com/mostafa-saad/MyCompetitiveProgramming/blob/master/Olympiad/CEOI/CEOI-04-Trips.txt&amp;sa=D&amp;ust=1605639832074000&amp;usg=AFQjCNFuFHRhe432QV06zAyHQYwZcq0rDQ" TargetMode="External"/><Relationship Id="rId2077" Type="http://schemas.openxmlformats.org/officeDocument/2006/relationships/hyperlink" Target="https://www.google.com/url?q=https://oj.uz/problems/source/6&amp;sa=D&amp;ust=1605639832561000&amp;usg=AFQjCNGAc7VTu_qmOC2c0_F7dVsYRWH02A" TargetMode="External"/><Relationship Id="rId2284" Type="http://schemas.openxmlformats.org/officeDocument/2006/relationships/hyperlink" Target="https://www.google.com/url?q=https://dunjudge.me/analysis/problems/1499/&amp;sa=D&amp;ust=1605639832641000&amp;usg=AFQjCNGTy5tSIWLChLDZCe7do-hEXEGTDg" TargetMode="External"/><Relationship Id="rId2491" Type="http://schemas.openxmlformats.org/officeDocument/2006/relationships/hyperlink" Target="https://www.google.com/url?q=https://szkopul.edu.pl/problemset/problem/L_1w_HVIsvm4fBksvCo7fYJT/site/&amp;sa=D&amp;ust=1605639832710000&amp;usg=AFQjCNENETa31fsvn1Pylgh9K_On_IcFxg" TargetMode="External"/><Relationship Id="rId256" Type="http://schemas.openxmlformats.org/officeDocument/2006/relationships/hyperlink" Target="https://www.google.com/url?q=https://github.com/mostafa-saad/MyCompetitiveProgramming/blob/master/Olympiad/Baltic/Baltic-13-brunhilda.txt&amp;sa=D&amp;ust=1605639832030000&amp;usg=AFQjCNHEFHVHFTu5_m_Ldok_4p42oGlPFw" TargetMode="External"/><Relationship Id="rId463" Type="http://schemas.openxmlformats.org/officeDocument/2006/relationships/hyperlink" Target="https://www.google.com/url?q=https://github.com/mostafa-saad/MyCompetitiveProgramming/blob/master/Olympiad/CEOI/CEOI-11-Hotel.txt&amp;sa=D&amp;ust=1605639832096000&amp;usg=AFQjCNGUqLBljhU1qmWCttsNvxyngVccAQ" TargetMode="External"/><Relationship Id="rId670" Type="http://schemas.openxmlformats.org/officeDocument/2006/relationships/hyperlink" Target="https://www.google.com/url?q=https://wcipeg.com/problem/coci074p6&amp;sa=D&amp;ust=1605639832146000&amp;usg=AFQjCNH0QLvgRCvEIIrFy5MUWxvLQH1x2Q" TargetMode="External"/><Relationship Id="rId1093" Type="http://schemas.openxmlformats.org/officeDocument/2006/relationships/hyperlink" Target="https://www.google.com/url?q=https://oj.uz/problem/view/COCI17_pareto&amp;sa=D&amp;ust=1605639832257000&amp;usg=AFQjCNGjVIPdYmua9lX2pkAgmL3y6YcuXg" TargetMode="External"/><Relationship Id="rId2144" Type="http://schemas.openxmlformats.org/officeDocument/2006/relationships/hyperlink" Target="https://www.google.com/url?q=https://joisc2015.contest.atcoder.jp/tasks/joisc2015_e&amp;sa=D&amp;ust=1605639832590000&amp;usg=AFQjCNHehBiJs6d_MrgaluMpUAWmT1bBPQ" TargetMode="External"/><Relationship Id="rId2351" Type="http://schemas.openxmlformats.org/officeDocument/2006/relationships/hyperlink" Target="https://www.google.com/url?q=https://oj.uz/problem/view/NOI14_sightseeing&amp;sa=D&amp;ust=1605639832659000&amp;usg=AFQjCNH3DmYe9W5inFUyB_rEib0QVaY8Kg" TargetMode="External"/><Relationship Id="rId2589" Type="http://schemas.openxmlformats.org/officeDocument/2006/relationships/hyperlink" Target="https://www.google.com/url?q=https://szkopul.edu.pl/problemset/problem/hwbyoUkNFPXQLOPcw3x5huTR/site/&amp;sa=D&amp;ust=1605639832736000&amp;usg=AFQjCNFODehBkQFCvBKDVA6b8nD6Bs3DXw" TargetMode="External"/><Relationship Id="rId2796" Type="http://schemas.openxmlformats.org/officeDocument/2006/relationships/hyperlink" Target="https://www.google.com/url?q=https://github.com/mostafa-saad/MyCompetitiveProgramming/blob/master/Olympiad/POI/POI-16-Hydro.txt&amp;sa=D&amp;ust=1605639832785000&amp;usg=AFQjCNEzwGxlHahANMVOOs49rmu2podW7g" TargetMode="External"/><Relationship Id="rId116" Type="http://schemas.openxmlformats.org/officeDocument/2006/relationships/hyperlink" Target="https://www.google.com/url?q=https://www.acmicpc.net/problem/11555&amp;sa=D&amp;ust=1605639831987000&amp;usg=AFQjCNGDBvKtQt9bIvtmbkZOeRGFbJXQvQ" TargetMode="External"/><Relationship Id="rId323" Type="http://schemas.openxmlformats.org/officeDocument/2006/relationships/hyperlink" Target="https://www.google.com/url?q=https://cses.fi/204/list/&amp;sa=D&amp;ust=1605639832044000&amp;usg=AFQjCNHXprWxfRfrxTNt9FxedAX2RIA6lA" TargetMode="External"/><Relationship Id="rId530" Type="http://schemas.openxmlformats.org/officeDocument/2006/relationships/hyperlink" Target="https://www.google.com/url?q=https://csacademy.com/contest/ceoi-2017-day-1/tasks/&amp;sa=D&amp;ust=1605639832116000&amp;usg=AFQjCNEEqu_aeS4vP1gF8JfYzaODYkkgDw" TargetMode="External"/><Relationship Id="rId768" Type="http://schemas.openxmlformats.org/officeDocument/2006/relationships/hyperlink" Target="https://www.google.com/url?q=https://dmoj.ca/problem/coci08c3p1&amp;sa=D&amp;ust=1605639832166000&amp;usg=AFQjCNF3BNiArVCOio9UtLz-dyF1KFmsHA" TargetMode="External"/><Relationship Id="rId975" Type="http://schemas.openxmlformats.org/officeDocument/2006/relationships/hyperlink" Target="https://www.google.com/url?q=https://github.com/mostafa-saad/MyCompetitiveProgramming/blob/master/Olympiad/CEOI/COCI-14-Suma.txt&amp;sa=D&amp;ust=1605639832226000&amp;usg=AFQjCNEv8Vo0c7EpIhoutSR-RR5_j3taww" TargetMode="External"/><Relationship Id="rId1160" Type="http://schemas.openxmlformats.org/officeDocument/2006/relationships/hyperlink" Target="https://www.google.com/url?q=https://oj.uz/problem/view/COCI18_vrtic&amp;sa=D&amp;ust=1605639832279000&amp;usg=AFQjCNFP8XiFilQoQi1sVeAKv5w5kI1SDA" TargetMode="External"/><Relationship Id="rId1398" Type="http://schemas.openxmlformats.org/officeDocument/2006/relationships/hyperlink" Target="https://www.google.com/url?q=https://www.infoarena.ro/problema/arbore&amp;sa=D&amp;ust=1605639832352000&amp;usg=AFQjCNHLisZw2eeiPZHGnr8W2aSSjT4cTA" TargetMode="External"/><Relationship Id="rId2004" Type="http://schemas.openxmlformats.org/officeDocument/2006/relationships/hyperlink" Target="https://www.google.com/url?q=https://github.com/mostafa-saad/MyCompetitiveProgramming/blob/master/Olympiad/IZhO/IZhO-18-segments.txt&amp;sa=D&amp;ust=1605639832541000&amp;usg=AFQjCNGo1xteu6kmChhcvNQ3oKvkQDX6iQ" TargetMode="External"/><Relationship Id="rId2211" Type="http://schemas.openxmlformats.org/officeDocument/2006/relationships/hyperlink" Target="https://www.google.com/url?q=https://oj.uz/problems/source/316&amp;sa=D&amp;ust=1605639832616000&amp;usg=AFQjCNFWvAZ3Vcb0XhKvv5j4_QjWEXgiuw" TargetMode="External"/><Relationship Id="rId2449" Type="http://schemas.openxmlformats.org/officeDocument/2006/relationships/hyperlink" Target="https://www.google.com/url?q=https://dunjudge.me/analysis/problems/952/&amp;sa=D&amp;ust=1605639832695000&amp;usg=AFQjCNHfZQlCewplNIPiLcwb8HkZFqOz-w" TargetMode="External"/><Relationship Id="rId2656" Type="http://schemas.openxmlformats.org/officeDocument/2006/relationships/hyperlink" Target="https://www.google.com/url?q=https://github.com/mostafa-saad/MyCompetitiveProgramming/blob/master/Olympiad/POI/POI-11-Contest.txt&amp;sa=D&amp;ust=1605639832749000&amp;usg=AFQjCNHuq_rvNDIeF3hchSWj6Fp5ZLI79A" TargetMode="External"/><Relationship Id="rId2863" Type="http://schemas.openxmlformats.org/officeDocument/2006/relationships/hyperlink" Target="https://www.google.com/url?q=https://csacademy.com/contest/junior-challenge-2017-day-1/task/chromatic-number/&amp;sa=D&amp;ust=1605639832807000&amp;usg=AFQjCNHMNqtGZJOAGw0YaWIg4qFLV-u4ag" TargetMode="External"/><Relationship Id="rId628" Type="http://schemas.openxmlformats.org/officeDocument/2006/relationships/hyperlink" Target="https://www.google.com/url?q=https://wcipeg.com/problem/coci063p4&amp;sa=D&amp;ust=1605639832137000&amp;usg=AFQjCNFRoEiBKzI470wiUKF4g8Y4kW7EGg" TargetMode="External"/><Relationship Id="rId835" Type="http://schemas.openxmlformats.org/officeDocument/2006/relationships/hyperlink" Target="https://www.google.com/url?q=https://wcipeg.com/problem/coci094p6&amp;sa=D&amp;ust=1605639832188000&amp;usg=AFQjCNEzj677fVOiAiHUn22PvqHzw_r2mw" TargetMode="External"/><Relationship Id="rId1258" Type="http://schemas.openxmlformats.org/officeDocument/2006/relationships/hyperlink" Target="https://www.google.com/url?q=https://oj.uz/problem/view/COI15_ogledala&amp;sa=D&amp;ust=1605639832315000&amp;usg=AFQjCNH3FFE1ONls_h72jjYhu1uBwlKxpw" TargetMode="External"/><Relationship Id="rId1465" Type="http://schemas.openxmlformats.org/officeDocument/2006/relationships/hyperlink" Target="https://www.google.com/url?q=https://github.com/mostafa-saad/MyCompetitiveProgramming/blob/master/Olympiad/infoarena/infoarena-eq.txt&amp;sa=D&amp;ust=1605639832369000&amp;usg=AFQjCNFX7ylWEiDHSCeDj7SYHq2CZkeaVA" TargetMode="External"/><Relationship Id="rId1672" Type="http://schemas.openxmlformats.org/officeDocument/2006/relationships/hyperlink" Target="https://www.google.com/url?q=https://github.com/mostafa-saad/MyCompetitiveProgramming/blob/master/Olympiad/IOI/official/2002&amp;sa=D&amp;ust=1605639832435000&amp;usg=AFQjCNGs4kkud9Qcsi7WIUIKcWKGWU7Heg" TargetMode="External"/><Relationship Id="rId2309" Type="http://schemas.openxmlformats.org/officeDocument/2006/relationships/hyperlink" Target="https://www.google.com/url?q=https://dunjudge.me/analysis/problems/150/&amp;sa=D&amp;ust=1605639832649000&amp;usg=AFQjCNHCZDfEZXwo2Vjnk7cf1XLsJ7WlJw" TargetMode="External"/><Relationship Id="rId2516" Type="http://schemas.openxmlformats.org/officeDocument/2006/relationships/hyperlink" Target="https://www.google.com/url?q=https://github.com/mostafa-saad/MyCompetitiveProgramming/blob/master/Olympiad/POI/POI-05-Double_Row.txt&amp;sa=D&amp;ust=1605639832717000&amp;usg=AFQjCNFF9IsBHQTwU4WyevbWAzvmzBCgEQ" TargetMode="External"/><Relationship Id="rId2723" Type="http://schemas.openxmlformats.org/officeDocument/2006/relationships/hyperlink" Target="https://www.google.com/url?q=https://oj.uz/problem/view/POI13_mul&amp;sa=D&amp;ust=1605639832762000&amp;usg=AFQjCNG7tObzp3FYpd1W2XRIYzyFfD4LqQ" TargetMode="External"/><Relationship Id="rId1020" Type="http://schemas.openxmlformats.org/officeDocument/2006/relationships/hyperlink" Target="https://www.google.com/url?q=https://github.com/mostafa-saad/MyCompetitiveProgramming/blob/master/Olympiad/JOI/COCI/COCI-15-vudu.txt&amp;sa=D&amp;ust=1605639832239000&amp;usg=AFQjCNH5N33QNYLCntRs1Dh40d2J8rfGag" TargetMode="External"/><Relationship Id="rId1118" Type="http://schemas.openxmlformats.org/officeDocument/2006/relationships/hyperlink" Target="https://www.google.com/url?q=https://github.com/mostafa-saad/MyCompetitiveProgramming/blob/master/Olympiad/COCI/official/2017/contest6_solutions&amp;sa=D&amp;ust=1605639832263000&amp;usg=AFQjCNFZeqHypk7nkywhdc0iTgjANKjrGQ" TargetMode="External"/><Relationship Id="rId1325" Type="http://schemas.openxmlformats.org/officeDocument/2006/relationships/hyperlink" Target="https://www.google.com/url?q=https://github.com/mostafa-saad/MyCompetitiveProgramming/blob/master/Olympiad/Misc/DMOPC-18-BobEnglishClass.txt&amp;sa=D&amp;ust=1605639832332000&amp;usg=AFQjCNFLa3M6gPwE1AN1z34yw9bLTgpdvQ" TargetMode="External"/><Relationship Id="rId1532" Type="http://schemas.openxmlformats.org/officeDocument/2006/relationships/hyperlink" Target="https://www.google.com/url?q=https://infoarena.ro/problema/nuke&amp;sa=D&amp;ust=1605639832391000&amp;usg=AFQjCNGq44JkeiDXkO2t-Ma3jtnprHXfUw" TargetMode="External"/><Relationship Id="rId1977" Type="http://schemas.openxmlformats.org/officeDocument/2006/relationships/hyperlink" Target="https://www.google.com/url?q=https://www.e-olymp.com/en/problems/7482&amp;sa=D&amp;ust=1605639832531000&amp;usg=AFQjCNF1k7ZyOYLBjKD49rBc0UR9FO1i-A" TargetMode="External"/><Relationship Id="rId2930" Type="http://schemas.openxmlformats.org/officeDocument/2006/relationships/hyperlink" Target="https://www.google.com/url?q=https://github.com/updown2/OI-Practice/blob/master/USACO/2014-2015/February/Gold/Censoring.cpp&amp;sa=D&amp;ust=1605639832829000&amp;usg=AFQjCNHgLK273qU0wVh4PBbuPeemt85bPw" TargetMode="External"/><Relationship Id="rId902" Type="http://schemas.openxmlformats.org/officeDocument/2006/relationships/hyperlink" Target="https://www.google.com/url?q=https://github.com/mostafa-saad/MyCompetitiveProgramming/blob/master/Olympiad/COCI/official/2014/contest5_solutions&amp;sa=D&amp;ust=1605639832209000&amp;usg=AFQjCNHh4SBJ0k3Rr36rggIVTRKnsRHS4g" TargetMode="External"/><Relationship Id="rId1837" Type="http://schemas.openxmlformats.org/officeDocument/2006/relationships/hyperlink" Target="https://www.google.com/url?q=https://oj.uz/problem/view/IOI16_dna&amp;sa=D&amp;ust=1605639832488000&amp;usg=AFQjCNGSHrLdDcvdI3paz-kOHmzFBok7Gw" TargetMode="External"/><Relationship Id="rId31" Type="http://schemas.openxmlformats.org/officeDocument/2006/relationships/hyperlink" Target="https://www.google.com/url?q=https://github.com/mostafa-saad/MyCompetitiveProgramming/blob/master/Olympiad/APIO/APIO-12-Dispatching.txt&amp;sa=D&amp;ust=1605639831959000&amp;usg=AFQjCNEhgEIY2Lugn7RAU30zS_qJHtVy5A" TargetMode="External"/><Relationship Id="rId2099" Type="http://schemas.openxmlformats.org/officeDocument/2006/relationships/hyperlink" Target="https://www.google.com/url?q=http://codeforces.com/blog/entry/47764&amp;sa=D&amp;ust=1605639832568000&amp;usg=AFQjCNGaF5uvWU0PVHa9iT0tyZAWfjN9hg" TargetMode="External"/><Relationship Id="rId180" Type="http://schemas.openxmlformats.org/officeDocument/2006/relationships/hyperlink" Target="https://www.google.com/url?q=https://github.com/mostafa-saad/MyCompetitiveProgramming/blob/master/Olympiad/Baltic/Baltic-07-Fence.txt&amp;sa=D&amp;ust=1605639832009000&amp;usg=AFQjCNEMcsmSQ3M0iJpnc3hMijbtygRomw" TargetMode="External"/><Relationship Id="rId278" Type="http://schemas.openxmlformats.org/officeDocument/2006/relationships/hyperlink" Target="https://www.google.com/url?q=https://github.com/mostafa-saad/MyCompetitiveProgramming/blob/master/Olympiad/Baltic/Baltic-14-sequence.txt&amp;sa=D&amp;ust=1605639832034000&amp;usg=AFQjCNF9hg_eT-sWVR5qE9OsH0TmENHzCQ" TargetMode="External"/><Relationship Id="rId1904" Type="http://schemas.openxmlformats.org/officeDocument/2006/relationships/hyperlink" Target="https://www.google.com/url?q=https://www.hackerrank.com/contests/ioi-2014-practice-contest-2/challenges&amp;sa=D&amp;ust=1605639832510000&amp;usg=AFQjCNHUdz-BfNc56PJJhGNJeExiUsQ9YQ" TargetMode="External"/><Relationship Id="rId485" Type="http://schemas.openxmlformats.org/officeDocument/2006/relationships/hyperlink" Target="https://www.google.com/url?q=https://github.com/mostafa-saad/MyCompetitiveProgramming/blob/master/Olympiad/CEOI/official/2013&amp;sa=D&amp;ust=1605639832102000&amp;usg=AFQjCNF0XzQl9DkzhfcVhUPSR3_kTgRT8A" TargetMode="External"/><Relationship Id="rId692" Type="http://schemas.openxmlformats.org/officeDocument/2006/relationships/hyperlink" Target="https://www.google.com/url?q=https://dmoj.ca/problem/coci07c2p6&amp;sa=D&amp;ust=1605639832151000&amp;usg=AFQjCNHPpp6IsfZoT9WssgxqHF4_yxDtqw" TargetMode="External"/><Relationship Id="rId2166" Type="http://schemas.openxmlformats.org/officeDocument/2006/relationships/hyperlink" Target="https://www.google.com/url?q=https://joisc2016.contest.atcoder.jp/tasks/joisc2016_c&amp;sa=D&amp;ust=1605639832601000&amp;usg=AFQjCNFgN3F1iqcEdjzzWA88RKm6ztjprw" TargetMode="External"/><Relationship Id="rId2373" Type="http://schemas.openxmlformats.org/officeDocument/2006/relationships/hyperlink" Target="https://www.google.com/url?q=https://dunjudge.me/analysis/problems/1228/&amp;sa=D&amp;ust=1605639832663000&amp;usg=AFQjCNFjvbMjYByFJf1BSSlPhjlDr1e_SQ" TargetMode="External"/><Relationship Id="rId2580" Type="http://schemas.openxmlformats.org/officeDocument/2006/relationships/hyperlink" Target="https://www.google.com/url?q=https://github.com/mostafa-saad/MyCompetitiveProgramming/blob/master/Olympiad/POI/POI-08-Escape.txt&amp;sa=D&amp;ust=1605639832733000&amp;usg=AFQjCNEHnqnbS5jSiUZ7aNxxtiw_OVAnHQ" TargetMode="External"/><Relationship Id="rId138" Type="http://schemas.openxmlformats.org/officeDocument/2006/relationships/hyperlink" Target="https://www.google.com/url?q=https://github.com/mostafa-saad/MyCompetitiveProgramming/blob/master/Olympiad/Balkan/Balkan-17-CityAttractions.txt&amp;sa=D&amp;ust=1605639831995000&amp;usg=AFQjCNGUOyL6yL3SMG1Cfh7lhZu_Y6IIDQ" TargetMode="External"/><Relationship Id="rId345" Type="http://schemas.openxmlformats.org/officeDocument/2006/relationships/hyperlink" Target="https://www.google.com/url?q=https://dmoj.ca/problem/ccc15s4&amp;sa=D&amp;ust=1605639832050000&amp;usg=AFQjCNF-8JpXWwSby3k7m7eTQaStdU7rLg" TargetMode="External"/><Relationship Id="rId552" Type="http://schemas.openxmlformats.org/officeDocument/2006/relationships/hyperlink" Target="https://www.google.com/url?q=https://codeforces.com/contest/1193&amp;sa=D&amp;ust=1605639832121000&amp;usg=AFQjCNFyoorzW_dqujN64XlBNm8wDFDeOg" TargetMode="External"/><Relationship Id="rId997" Type="http://schemas.openxmlformats.org/officeDocument/2006/relationships/hyperlink" Target="https://www.google.com/url?q=https://oj.uz/problem/view/COCI15_esej&amp;sa=D&amp;ust=1605639832233000&amp;usg=AFQjCNF6zbSvyZFblFLZGv0J5sKsAu3J6w" TargetMode="External"/><Relationship Id="rId1182" Type="http://schemas.openxmlformats.org/officeDocument/2006/relationships/hyperlink" Target="https://www.google.com/url?q=https://github.com/CPSolutionsSzawinis/CompetitiveProgramming/blob/master/Olympiad/COCI/COCI19-slicice.cpp&amp;sa=D&amp;ust=1605639832287000&amp;usg=AFQjCNHLDxMMGk1w8-SbHd7YSSbYKMeZsQ" TargetMode="External"/><Relationship Id="rId2026" Type="http://schemas.openxmlformats.org/officeDocument/2006/relationships/hyperlink" Target="https://www.google.com/url?q=https://joi2014ho.contest.atcoder.jp/tasks/joi2014ho4&amp;sa=D&amp;ust=1605639832546000&amp;usg=AFQjCNHi_UklYNfM6HLjEeLB38aJh6pBmA" TargetMode="External"/><Relationship Id="rId2233" Type="http://schemas.openxmlformats.org/officeDocument/2006/relationships/hyperlink" Target="https://www.google.com/url?q=https://dunjudge.me/analysis/problems/551/&amp;sa=D&amp;ust=1605639832625000&amp;usg=AFQjCNHRLGL6LpAsyUpj1R2PbZoJ4bwUgA" TargetMode="External"/><Relationship Id="rId2440" Type="http://schemas.openxmlformats.org/officeDocument/2006/relationships/hyperlink" Target="https://www.google.com/url?q=https://dunjudge.me/analysis/problems/682/&amp;sa=D&amp;ust=1605639832692000&amp;usg=AFQjCNE1RWs6TuhhG2WFTcYUnD7kb0I_Hw" TargetMode="External"/><Relationship Id="rId2678" Type="http://schemas.openxmlformats.org/officeDocument/2006/relationships/hyperlink" Target="https://www.google.com/url?q=https://github.com/mostafa-saad/MyCompetitiveProgramming/blob/master/Olympiad/POI/POI-11-sej.txt&amp;sa=D&amp;ust=1605639832753000&amp;usg=AFQjCNHKqctUHwccL3i3UFb3Lcdfbh2p1g" TargetMode="External"/><Relationship Id="rId2885" Type="http://schemas.openxmlformats.org/officeDocument/2006/relationships/hyperlink" Target="https://www.google.com/url?q=https://contest.yandex.com/roiarchive/contest/2012/problems/D&amp;sa=D&amp;ust=1605639832815000&amp;usg=AFQjCNEX6ybIRz_6g8D6wa1ypGFW0Pltdg" TargetMode="External"/><Relationship Id="rId205" Type="http://schemas.openxmlformats.org/officeDocument/2006/relationships/hyperlink" Target="https://www.google.com/url?q=https://cses.fi/108/list/&amp;sa=D&amp;ust=1605639832016000&amp;usg=AFQjCNH8YuQjm48QqWYAF8gM5udguEjB5A" TargetMode="External"/><Relationship Id="rId412" Type="http://schemas.openxmlformats.org/officeDocument/2006/relationships/hyperlink" Target="https://www.google.com/url?q=https://github.com/mostafa-saad/MyCompetitiveProgramming/blob/master/Olympiad/CEOI/CEOI-06-Antenna.txt&amp;sa=D&amp;ust=1605639832079000&amp;usg=AFQjCNH2E9yaCjXjenPZz-vBddQaRXsmYg" TargetMode="External"/><Relationship Id="rId857" Type="http://schemas.openxmlformats.org/officeDocument/2006/relationships/hyperlink" Target="https://www.google.com/url?q=https://wcipeg.com/problem/coci093p3&amp;sa=D&amp;ust=1605639832196000&amp;usg=AFQjCNGVQSRkUEuv8hLW1dxbDyAgyuF3xg" TargetMode="External"/><Relationship Id="rId1042" Type="http://schemas.openxmlformats.org/officeDocument/2006/relationships/hyperlink" Target="https://www.google.com/url?q=https://oj.uz/problem/view/COCI16_nizin&amp;sa=D&amp;ust=1605639832244000&amp;usg=AFQjCNGP8HEjLoYpIYPrd6NaC1IuWZB3-w" TargetMode="External"/><Relationship Id="rId1487" Type="http://schemas.openxmlformats.org/officeDocument/2006/relationships/hyperlink" Target="https://www.google.com/url?q=https://github.com/stefdasca/CompetitiveProgramming/blob/master/Infoarena/jsched.cpp&amp;sa=D&amp;ust=1605639832375000&amp;usg=AFQjCNFyGpESlsqNt6n0-cyrd1chcvJq9w" TargetMode="External"/><Relationship Id="rId1694" Type="http://schemas.openxmlformats.org/officeDocument/2006/relationships/hyperlink" Target="https://www.google.com/url?q=https://github.com/mostafa-saad/MyCompetitiveProgramming/blob/master/Olympiad/IOI/official/2004&amp;sa=D&amp;ust=1605639832441000&amp;usg=AFQjCNE8hHYpze6Nzq1UTze3XKcTAm8ORg" TargetMode="External"/><Relationship Id="rId2300" Type="http://schemas.openxmlformats.org/officeDocument/2006/relationships/hyperlink" Target="https://www.google.com/url?q=https://github.com/mostafa-saad/MyCompetitiveProgramming/blob/master/Olympiad/NOI/official&amp;sa=D&amp;ust=1605639832646000&amp;usg=AFQjCNEaNP5HLP8WCOKJi3prruU2OncYbQ" TargetMode="External"/><Relationship Id="rId2538" Type="http://schemas.openxmlformats.org/officeDocument/2006/relationships/hyperlink" Target="https://www.google.com/url?q=https://github.com/mostafa-saad/MyCompetitiveProgramming/blob/master/Olympiad/POI/official/find_editorial_sols_guidelines.txt&amp;sa=D&amp;ust=1605639832723000&amp;usg=AFQjCNF2jpRsoKY5Hgbu5NRdQARbC5c_AQ" TargetMode="External"/><Relationship Id="rId2745" Type="http://schemas.openxmlformats.org/officeDocument/2006/relationships/hyperlink" Target="https://www.google.com/url?q=https://szkopul.edu.pl/problemset/problem/i5L29vV7ud8D_VU-PXyaA_2L/site/&amp;sa=D&amp;ust=1605639832767000&amp;usg=AFQjCNH6SLGTxSG0nEzEoUzFn8zc_vmE0w" TargetMode="External"/><Relationship Id="rId2952" Type="http://schemas.openxmlformats.org/officeDocument/2006/relationships/hyperlink" Target="https://www.google.com/url?q=http://usaco.org/index.php?page%3Dviewproblem2%26cpid%3D720&amp;sa=D&amp;ust=1605639832837000&amp;usg=AFQjCNFGA9xKgU7Y-VyHA8oZYAUkekr6XA" TargetMode="External"/><Relationship Id="rId717" Type="http://schemas.openxmlformats.org/officeDocument/2006/relationships/hyperlink" Target="https://www.google.com/url?q=https://github.com/mostafa-saad/MyCompetitiveProgramming/tree/master/Olympiad/COCI/official/2008/contest4_solutions&amp;sa=D&amp;ust=1605639832156000&amp;usg=AFQjCNFFTnJyA9jypCZy3w2Kggj6CrIQYw" TargetMode="External"/><Relationship Id="rId924" Type="http://schemas.openxmlformats.org/officeDocument/2006/relationships/hyperlink" Target="https://www.google.com/url?q=https://dmoj.ca/problem/coci14c5p6&amp;sa=D&amp;ust=1605639832215000&amp;usg=AFQjCNGjHbkqE21xtUKDvVGUyX3xQJVA8g" TargetMode="External"/><Relationship Id="rId1347" Type="http://schemas.openxmlformats.org/officeDocument/2006/relationships/hyperlink" Target="https://www.google.com/url?q=https://ideone.com/iw7JBC&amp;sa=D&amp;ust=1605639832339000&amp;usg=AFQjCNGiyGw_mSYzr1tid2B_3WvIkAPabw" TargetMode="External"/><Relationship Id="rId1554" Type="http://schemas.openxmlformats.org/officeDocument/2006/relationships/hyperlink" Target="https://www.google.com/url?q=https://www.infoarena.ro/problema/permsort2&amp;sa=D&amp;ust=1605639832398000&amp;usg=AFQjCNGIVv85YZumbJ7jft2P4EPw01ARUA" TargetMode="External"/><Relationship Id="rId1761" Type="http://schemas.openxmlformats.org/officeDocument/2006/relationships/hyperlink" Target="https://www.google.com/url?q=https://contest.yandex.ru/ioi/contest/570/enter/&amp;sa=D&amp;ust=1605639832461000&amp;usg=AFQjCNHTdON0S92pzpGa9Nk6O2EDJrGyDQ" TargetMode="External"/><Relationship Id="rId1999" Type="http://schemas.openxmlformats.org/officeDocument/2006/relationships/hyperlink" Target="https://www.google.com/url?q=https://github.com/mostafa-saad/MyCompetitiveProgramming/blob/master/Olympiad/IZhO/IZhO-17-subsequence.txt&amp;sa=D&amp;ust=1605639832538000&amp;usg=AFQjCNEFqNXKSh4kPGlNUzvj9g_kZcUxJw" TargetMode="External"/><Relationship Id="rId2605" Type="http://schemas.openxmlformats.org/officeDocument/2006/relationships/hyperlink" Target="https://www.google.com/url?q=https://szkopul.edu.pl/problemset/problem/pBkLSmvYN2S1-4G9s8UqOB7s/site/&amp;sa=D&amp;ust=1605639832738000&amp;usg=AFQjCNGDCPfqDH5fi8XoaYkztRyO6LQUPQ" TargetMode="External"/><Relationship Id="rId2812" Type="http://schemas.openxmlformats.org/officeDocument/2006/relationships/hyperlink" Target="https://www.google.com/url?q=https://github.com/mostafa-saad/MyCompetitiveProgramming/blob/master/Olympiad/POI/POI-16-Streets.txt&amp;sa=D&amp;ust=1605639832790000&amp;usg=AFQjCNFYmu4XINdutTGN_vE2Zq8TSjamxg" TargetMode="External"/><Relationship Id="rId53" Type="http://schemas.openxmlformats.org/officeDocument/2006/relationships/hyperlink" Target="https://www.google.com/url?q=https://github.com/mostafa-saad/MyCompetitiveProgramming/blob/master/Olympiad/APIO/APIO-16-boat.txt&amp;sa=D&amp;ust=1605639831964000&amp;usg=AFQjCNGqawWyhuEYGN0ek6B72BlM9uOrKQ" TargetMode="External"/><Relationship Id="rId1207" Type="http://schemas.openxmlformats.org/officeDocument/2006/relationships/hyperlink" Target="https://www.google.com/url?q=https://wcipeg.com/problem/coi07p3&amp;sa=D&amp;ust=1605639832300000&amp;usg=AFQjCNFZA57RgmF1jc8rboY356Qvuo3F2g" TargetMode="External"/><Relationship Id="rId1414" Type="http://schemas.openxmlformats.org/officeDocument/2006/relationships/hyperlink" Target="https://www.google.com/url?q=https://github.com/stefdasca/CompetitiveProgramming/blob/master/Infoarena/calorifer.cpp&amp;sa=D&amp;ust=1605639832355000&amp;usg=AFQjCNFop5PRXR_8U5QXcDih21fH8ayuSw" TargetMode="External"/><Relationship Id="rId1621" Type="http://schemas.openxmlformats.org/officeDocument/2006/relationships/hyperlink" Target="https://www.google.com/url?q=https://www.infoarena.ro/problema/vmin&amp;sa=D&amp;ust=1605639832419000&amp;usg=AFQjCNFSvLa30ZkUXy-us2WJ3hW1C4eK8A" TargetMode="External"/><Relationship Id="rId1859" Type="http://schemas.openxmlformats.org/officeDocument/2006/relationships/hyperlink" Target="https://www.google.com/url?q=https://github.com/ZeyadKhattab/Competitive-Programming/blob/master/Problems/IOI%252017-mountains.cpp&amp;sa=D&amp;ust=1605639832496000&amp;usg=AFQjCNGbxGEHRQSAOFctIRpJfOt4tVUFyA" TargetMode="External"/><Relationship Id="rId1719" Type="http://schemas.openxmlformats.org/officeDocument/2006/relationships/hyperlink" Target="https://www.google.com/url?q=https://contest.yandex.ru/ioi/contest/562/problems/A/&amp;sa=D&amp;ust=1605639832448000&amp;usg=AFQjCNFOoj-A2m3tOouVsh0feHL6GvzOlw" TargetMode="External"/><Relationship Id="rId1926" Type="http://schemas.openxmlformats.org/officeDocument/2006/relationships/hyperlink" Target="https://www.google.com/url?q=https://csacademy.com/contest/ioi-2016-training-round-5/task/lights-out/&amp;sa=D&amp;ust=1605639832516000&amp;usg=AFQjCNGFXnd9bn05ZeBvhFYKkG1_elfL4g" TargetMode="External"/><Relationship Id="rId2090" Type="http://schemas.openxmlformats.org/officeDocument/2006/relationships/hyperlink" Target="https://www.google.com/url?q=https://oj.uz/problems/source/214&amp;sa=D&amp;ust=1605639832565000&amp;usg=AFQjCNHEDLpt47Wl5XOOnQyOgnCHvNeRoA" TargetMode="External"/><Relationship Id="rId2188" Type="http://schemas.openxmlformats.org/officeDocument/2006/relationships/hyperlink" Target="https://www.google.com/url?q=https://oj.uz/problem/view/JOI17_port_facility&amp;sa=D&amp;ust=1605639832608000&amp;usg=AFQjCNFUriHlyLdfI99zKm7M99p86tdhCQ" TargetMode="External"/><Relationship Id="rId2395" Type="http://schemas.openxmlformats.org/officeDocument/2006/relationships/hyperlink" Target="https://www.google.com/url?q=https://github.com/MohamedAhmed04/Competitive-programming/blob/master/SingaporeNOI/2019-Pilot.cpp&amp;sa=D&amp;ust=1605639832671000&amp;usg=AFQjCNFqh_b1qWneVfvbBQ4i9KNSrbQYHw" TargetMode="External"/><Relationship Id="rId367" Type="http://schemas.openxmlformats.org/officeDocument/2006/relationships/hyperlink" Target="https://www.google.com/url?q=https://github.com/mostafa-saad/MyCompetitiveProgramming/blob/master/Olympiad/CCO/CCO-18-GradientDescent.txt&amp;sa=D&amp;ust=1605639832057000&amp;usg=AFQjCNH1hgka-ZXVLhkOX4hOn9h4v9pQXw" TargetMode="External"/><Relationship Id="rId574" Type="http://schemas.openxmlformats.org/officeDocument/2006/relationships/hyperlink" Target="https://www.google.com/url?q=https://wcipeg.com/problem/coci067p3&amp;sa=D&amp;ust=1605639832126000&amp;usg=AFQjCNGuCRFBuqj1Mbn4d_nIu4NOaTo3iw" TargetMode="External"/><Relationship Id="rId2048" Type="http://schemas.openxmlformats.org/officeDocument/2006/relationships/hyperlink" Target="https://www.google.com/url?q=https://github.com/mostafa-saad/MyCompetitiveProgramming/tree/master/Olympiad/JOI/official/JOI/JOI-17-soccer.txt&amp;sa=D&amp;ust=1605639832553000&amp;usg=AFQjCNGZ-CRM2H-EfZzcDKg_W1dOq8Xqhg" TargetMode="External"/><Relationship Id="rId2255" Type="http://schemas.openxmlformats.org/officeDocument/2006/relationships/hyperlink" Target="https://www.google.com/url?q=https://github.com/mostafa-saad/MyCompetitiveProgramming/tree/master/Olympiad/MCO/official&amp;sa=D&amp;ust=1605639832631000&amp;usg=AFQjCNGe83lflPsg3lI_JSVPEQ_AfiQUHw" TargetMode="External"/><Relationship Id="rId3001" Type="http://schemas.openxmlformats.org/officeDocument/2006/relationships/hyperlink" Target="https://www.google.com/url?q=http://usaco.org/index.php?page%3Dviewproblem2%26cpid%3D950&amp;sa=D&amp;ust=1605639832868000&amp;usg=AFQjCNEKH35qL7zpJibtnOiQlX4gF8XEew" TargetMode="External"/><Relationship Id="rId227" Type="http://schemas.openxmlformats.org/officeDocument/2006/relationships/hyperlink" Target="https://www.google.com/url?q=https://cses.fi/100/list/&amp;sa=D&amp;ust=1605639832023000&amp;usg=AFQjCNEyjDvatqo5p3rsLfc70p_pTXnV1g" TargetMode="External"/><Relationship Id="rId781" Type="http://schemas.openxmlformats.org/officeDocument/2006/relationships/hyperlink" Target="https://www.google.com/url?q=https://github.com/mostafa-saad/MyCompetitiveProgramming/blob/master/Olympiad/COCI/official/2009/contest1_solutions&amp;sa=D&amp;ust=1605639832171000&amp;usg=AFQjCNH38zJORN5x1EVxScuf2jc6W8vW4w" TargetMode="External"/><Relationship Id="rId879" Type="http://schemas.openxmlformats.org/officeDocument/2006/relationships/hyperlink" Target="https://www.google.com/url?q=http://hsin.hr/coci/archive/2011_2012/&amp;sa=D&amp;ust=1605639832203000&amp;usg=AFQjCNEyrwLE1Vncv9yNaERWyqnTBs1-nA" TargetMode="External"/><Relationship Id="rId2462" Type="http://schemas.openxmlformats.org/officeDocument/2006/relationships/hyperlink" Target="https://www.google.com/url?q=https://dunjudge.me/analysis/problems/1461/&amp;sa=D&amp;ust=1605639832702000&amp;usg=AFQjCNHHgmagukJdqmk4eru64LVpoLfRNg" TargetMode="External"/><Relationship Id="rId2767" Type="http://schemas.openxmlformats.org/officeDocument/2006/relationships/hyperlink" Target="https://www.google.com/url?q=https://szkopul.edu.pl/problemset/problem/z0rincXf7fi157ycO_Sl0bCb/site/&amp;sa=D&amp;ust=1605639832775000&amp;usg=AFQjCNEgcaS4THGByU_etA2w4hh6MDceWA" TargetMode="External"/><Relationship Id="rId434" Type="http://schemas.openxmlformats.org/officeDocument/2006/relationships/hyperlink" Target="https://www.google.com/url?q=https://github.com/mostafa-saad/MyCompetitiveProgramming/tree/master/Olympiad/CEOI/official/2008&amp;sa=D&amp;ust=1605639832087000&amp;usg=AFQjCNGeKSr9JUlF-VHL35Y0kpJVpEB9kA" TargetMode="External"/><Relationship Id="rId641" Type="http://schemas.openxmlformats.org/officeDocument/2006/relationships/hyperlink" Target="https://www.google.com/url?q=https://github.com/mostafa-saad/MyCompetitiveProgramming/tree/master/Olympiad/COCI/official/2008/contest5_solutions&amp;sa=D&amp;ust=1605639832139000&amp;usg=AFQjCNGdnlzG0Ea44GYjkJ95ggBTkIZqKg" TargetMode="External"/><Relationship Id="rId739" Type="http://schemas.openxmlformats.org/officeDocument/2006/relationships/hyperlink" Target="https://www.google.com/url?q=https://github.com/mostafa-saad/MyCompetitiveProgramming/blob/master/Olympiad/COCI/official/2009/contest5_solutions&amp;sa=D&amp;ust=1605639832160000&amp;usg=AFQjCNGY7GjhLX3NAnZZBSwON3uEwKiUVg" TargetMode="External"/><Relationship Id="rId1064" Type="http://schemas.openxmlformats.org/officeDocument/2006/relationships/hyperlink" Target="https://www.google.com/url?q=https://oj.uz/problem/view/COCI17_cezar&amp;sa=D&amp;ust=1605639832249000&amp;usg=AFQjCNGH1uclBxnYJVlrzMbdGLDDNue83Q" TargetMode="External"/><Relationship Id="rId1271" Type="http://schemas.openxmlformats.org/officeDocument/2006/relationships/hyperlink" Target="https://www.google.com/url?q=https://github.com/mostafa-saad/MyCompetitiveProgramming/blob/master/Olympiad/COI/COI-16-relay.txt&amp;sa=D&amp;ust=1605639832317000&amp;usg=AFQjCNHYRx4DXdaO2wEj3D3-LLpHXNSRDw" TargetMode="External"/><Relationship Id="rId1369" Type="http://schemas.openxmlformats.org/officeDocument/2006/relationships/hyperlink" Target="https://www.google.com/url?q=https://github.com/stefdasca/CompetitiveProgramming/blob/master/Info1Cup/National%2520Round/Mean%2520(RO).pdf&amp;sa=D&amp;ust=1605639832345000&amp;usg=AFQjCNEKfogft9DKPTxduZG0mW7K6kquew" TargetMode="External"/><Relationship Id="rId1576" Type="http://schemas.openxmlformats.org/officeDocument/2006/relationships/hyperlink" Target="https://www.google.com/url?q=https://github.com/mostafa-saad/MyCompetitiveProgramming/blob/master/Olympiad/infoarena/infoarena-radare.txt&amp;sa=D&amp;ust=1605639832405000&amp;usg=AFQjCNFadxE5bprWlsTH-QH_r6129N62Pg" TargetMode="External"/><Relationship Id="rId2115" Type="http://schemas.openxmlformats.org/officeDocument/2006/relationships/hyperlink" Target="https://www.google.com/url?q=https://oj.uz/problem/view/JOI19_remittance&amp;sa=D&amp;ust=1605639832573000&amp;usg=AFQjCNH8Ae59XpS22WLCTKv_jy2nJGj7IQ" TargetMode="External"/><Relationship Id="rId2322" Type="http://schemas.openxmlformats.org/officeDocument/2006/relationships/hyperlink" Target="https://www.google.com/url?q=https://dunjudge.me/analysis/problems/18/&amp;sa=D&amp;ust=1605639832653000&amp;usg=AFQjCNE4qXt1tcT5RH_Jgp-3GW35VikVAw" TargetMode="External"/><Relationship Id="rId2974" Type="http://schemas.openxmlformats.org/officeDocument/2006/relationships/hyperlink" Target="https://www.google.com/url?q=http://usaco.org/index.php?page%3Dviewproblem2%26cpid%3D792&amp;sa=D&amp;ust=1605639832858000&amp;usg=AFQjCNHQZPwBNTY5Gu7athhVXcLJ_4QomA" TargetMode="External"/><Relationship Id="rId501" Type="http://schemas.openxmlformats.org/officeDocument/2006/relationships/hyperlink" Target="https://www.google.com/url?q=https://oj.uz/problems/source/121&amp;sa=D&amp;ust=1605639832107000&amp;usg=AFQjCNFaruONyuTBK9i8aJuoSsJTcf_OEA" TargetMode="External"/><Relationship Id="rId946" Type="http://schemas.openxmlformats.org/officeDocument/2006/relationships/hyperlink" Target="https://www.google.com/url?q=https://github.com/mostafa-saad/MyCompetitiveProgramming/blob/master/Olympiad/COCI/official/2015/contest4_solutions&amp;sa=D&amp;ust=1605639832220000&amp;usg=AFQjCNGST2AMfFv89Lw4f2WK_q8ouLFjOg" TargetMode="External"/><Relationship Id="rId1131" Type="http://schemas.openxmlformats.org/officeDocument/2006/relationships/hyperlink" Target="https://www.google.com/url?q=https://oj.uz/problem/view/COCI17_zigzag&amp;sa=D&amp;ust=1605639832267000&amp;usg=AFQjCNHd3yhqFlEbriJuD7KZ3raAJN7pVg" TargetMode="External"/><Relationship Id="rId1229" Type="http://schemas.openxmlformats.org/officeDocument/2006/relationships/hyperlink" Target="https://www.google.com/url?q=https://wcipeg.com/problem/coi09p1&amp;sa=D&amp;ust=1605639832307000&amp;usg=AFQjCNEp1d-Uqmhi0_Jgl5xBTdZFhuu7bA" TargetMode="External"/><Relationship Id="rId1783" Type="http://schemas.openxmlformats.org/officeDocument/2006/relationships/hyperlink" Target="https://www.google.com/url?q=https://oj.uz/problem/view/IOI11_parrots&amp;sa=D&amp;ust=1605639832466000&amp;usg=AFQjCNFIAz05zmiX51yVg4zF5AIvNc15WQ" TargetMode="External"/><Relationship Id="rId1990" Type="http://schemas.openxmlformats.org/officeDocument/2006/relationships/hyperlink" Target="https://www.google.com/url?q=https://github.com/ihdignite/CompetitiveProgramming/blob/master/IZHO/17-Bomb.cpp&amp;sa=D&amp;ust=1605639832535000&amp;usg=AFQjCNEPOPKMfIhX2s29BXJGEFHtNIB2ow" TargetMode="External"/><Relationship Id="rId2627" Type="http://schemas.openxmlformats.org/officeDocument/2006/relationships/hyperlink" Target="https://www.google.com/url?q=https://szkopul.edu.pl/problemset/problem/gh2Yj6Ckrt4Lo_RojONuljuC/site/&amp;sa=D&amp;ust=1605639832743000&amp;usg=AFQjCNESrBLN7F1pSoML6eOP_U756WsfdQ" TargetMode="External"/><Relationship Id="rId2834" Type="http://schemas.openxmlformats.org/officeDocument/2006/relationships/hyperlink" Target="https://www.google.com/url?q=https://szkopul.edu.pl/problemset/problem/kqBM3UKWL-qlFiXIOxPXL35m/site/&amp;sa=D&amp;ust=1605639832798000&amp;usg=AFQjCNFZ11JDhQeZc44hTh5EDFFHEXsKbQ" TargetMode="External"/><Relationship Id="rId75" Type="http://schemas.openxmlformats.org/officeDocument/2006/relationships/hyperlink" Target="https://www.google.com/url?q=https://github.com/Evilandrew228/CompetitiveProgramming/blob/master/APIO%252019-street_lamps&amp;sa=D&amp;ust=1605639831973000&amp;usg=AFQjCNHlE97cPbPDnvQwb1uUTTuMHL20Bg" TargetMode="External"/><Relationship Id="rId806" Type="http://schemas.openxmlformats.org/officeDocument/2006/relationships/hyperlink" Target="https://www.google.com/url?q=https://wcipeg.com/problem/coci096p3&amp;sa=D&amp;ust=1605639832178000&amp;usg=AFQjCNGckcHv5XzS5Xd5zZlxLv4l-ZMsdA" TargetMode="External"/><Relationship Id="rId1436" Type="http://schemas.openxmlformats.org/officeDocument/2006/relationships/hyperlink" Target="https://www.google.com/url?q=https://www.infoarena.ro/problema/copii2&amp;sa=D&amp;ust=1605639832360000&amp;usg=AFQjCNEyhcEfwNRNqFr9sckPkl9FXwVENg" TargetMode="External"/><Relationship Id="rId1643" Type="http://schemas.openxmlformats.org/officeDocument/2006/relationships/hyperlink" Target="https://www.google.com/url?q=https://dunjudge.me/analysis/problems/727/&amp;sa=D&amp;ust=1605639832427000&amp;usg=AFQjCNFVYPNBp5363XzMV4nAhvSO25khqg" TargetMode="External"/><Relationship Id="rId1850" Type="http://schemas.openxmlformats.org/officeDocument/2006/relationships/hyperlink" Target="https://www.google.com/url?q=https://oj.uz/problem/view/IOI16_shortcut&amp;sa=D&amp;ust=1605639832491000&amp;usg=AFQjCNGgSgkPKUa5ySLUrj466f-bHfyS-Q" TargetMode="External"/><Relationship Id="rId2901" Type="http://schemas.openxmlformats.org/officeDocument/2006/relationships/hyperlink" Target="https://www.google.com/url?q=https://github.com/mostafa-saad/MyCompetitiveProgramming/blob/master/Olympiad/TOKI/TOKIOpen-18-GroupChat.txt&amp;sa=D&amp;ust=1605639832820000&amp;usg=AFQjCNF7T1rpsufjtme3Kc1pj9VgmQ7Uxg" TargetMode="External"/><Relationship Id="rId1503" Type="http://schemas.openxmlformats.org/officeDocument/2006/relationships/hyperlink" Target="https://www.google.com/url?q=https://github.com/stefdasca/CompetitiveProgramming/blob/master/Infoarena/marceland.cpp&amp;sa=D&amp;ust=1605639832381000&amp;usg=AFQjCNHIonX0LuqG9OEpvGFgmrtvwTCsOQ" TargetMode="External"/><Relationship Id="rId1710" Type="http://schemas.openxmlformats.org/officeDocument/2006/relationships/hyperlink" Target="https://www.google.com/url?q=https://github.com/mostafa-saad/MyCompetitiveProgramming/blob/master/Olympiad/IOI/official/2006/ioi06_blackbox_sol.pdf&amp;sa=D&amp;ust=1605639832445000&amp;usg=AFQjCNENJpZsq4PnMmvXUxerFoIp18k6Dg" TargetMode="External"/><Relationship Id="rId1948" Type="http://schemas.openxmlformats.org/officeDocument/2006/relationships/hyperlink" Target="https://www.google.com/url?q=https://ideone.com/iyHw7X&amp;sa=D&amp;ust=1605639832522000&amp;usg=AFQjCNGY2MdtZJ8eXqIpezuyO_dAQqvToQ" TargetMode="External"/><Relationship Id="rId291" Type="http://schemas.openxmlformats.org/officeDocument/2006/relationships/hyperlink" Target="https://www.google.com/url?q=https://oj.uz/problem/view/BOI16_bosses&amp;sa=D&amp;ust=1605639832038000&amp;usg=AFQjCNGCKmnBGzTYlI5Qa8IpsL5xGyNhDA" TargetMode="External"/><Relationship Id="rId1808" Type="http://schemas.openxmlformats.org/officeDocument/2006/relationships/hyperlink" Target="https://www.google.com/url?q=https://github.com/mostafa-saad/MyCompetitiveProgramming/blob/master/Olympiad/IOI/IOI-13-robots.txt&amp;sa=D&amp;ust=1605639832477000&amp;usg=AFQjCNFMqWnGpogwBu8jkPG4cqzYcojTWQ" TargetMode="External"/><Relationship Id="rId151" Type="http://schemas.openxmlformats.org/officeDocument/2006/relationships/hyperlink" Target="https://www.google.com/url?q=https://oj.uz/problem/view/BOI18_popa&amp;sa=D&amp;ust=1605639832000000&amp;usg=AFQjCNHp682-kxmKauY8UMC-WAWgA6mdjQ" TargetMode="External"/><Relationship Id="rId389" Type="http://schemas.openxmlformats.org/officeDocument/2006/relationships/hyperlink" Target="https://www.google.com/url?q=https://szkopul.edu.pl/problemset/problem/qYS15kJB5WGKbGxqJCIEVM1I/site/&amp;sa=D&amp;ust=1605639832072000&amp;usg=AFQjCNGQ6JjWtZ2ugK2uZAPLnb68roq3yA" TargetMode="External"/><Relationship Id="rId596" Type="http://schemas.openxmlformats.org/officeDocument/2006/relationships/hyperlink" Target="https://www.google.com/url?q=https://dmoj.ca/problem/coci06c1p1&amp;sa=D&amp;ust=1605639832131000&amp;usg=AFQjCNEEyjPMWsPCY3qCOb5iOIz5JjxOyA" TargetMode="External"/><Relationship Id="rId2277" Type="http://schemas.openxmlformats.org/officeDocument/2006/relationships/hyperlink" Target="https://www.google.com/url?q=https://github.com/fyquah95/ioi-malaysia-2016-training-camp&amp;sa=D&amp;ust=1605639832638000&amp;usg=AFQjCNFpIYwLhmQCgWBKxENbVHd2tbAYpA" TargetMode="External"/><Relationship Id="rId2484" Type="http://schemas.openxmlformats.org/officeDocument/2006/relationships/hyperlink" Target="https://www.google.com/url?q=https://github.com/mostafa-saad/MyCompetitiveProgramming/blob/master/Olympiad/POI/POI-04-Cave.txt&amp;sa=D&amp;ust=1605639832708000&amp;usg=AFQjCNGVbQVU-nvD2HaVc9OxbepI0MDjyA" TargetMode="External"/><Relationship Id="rId2691" Type="http://schemas.openxmlformats.org/officeDocument/2006/relationships/hyperlink" Target="https://www.google.com/url?q=https://szkopul.edu.pl/problemset/problem/W54iZIwStF1TYWRxa1bdVPQo/site/&amp;sa=D&amp;ust=1605639832756000&amp;usg=AFQjCNECuNzSlmzJC4m8Y9a8xsFJQUmhxw" TargetMode="External"/><Relationship Id="rId249" Type="http://schemas.openxmlformats.org/officeDocument/2006/relationships/hyperlink" Target="https://www.google.com/url?q=https://github.com/mostafa-saad/MyCompetitiveProgramming/blob/master/Olympiad/Baltic/Baltic-12-mobile.txt&amp;sa=D&amp;ust=1605639832028000&amp;usg=AFQjCNE97r0I6CpWft-IAECHwp6WuvOXsw" TargetMode="External"/><Relationship Id="rId456" Type="http://schemas.openxmlformats.org/officeDocument/2006/relationships/hyperlink" Target="https://www.google.com/url?q=https://szkopul.edu.pl/problemset/problem/M09kYLBv3P6homsLzx_fmpgn/site/&amp;sa=D&amp;ust=1605639832094000&amp;usg=AFQjCNFEocF9a8AezBEv3Pz0b9wkp0gwiQ" TargetMode="External"/><Relationship Id="rId663" Type="http://schemas.openxmlformats.org/officeDocument/2006/relationships/hyperlink" Target="https://www.google.com/url?q=https://github.com/mostafa-saad/MyCompetitiveProgramming/blob/master/Olympiad/COCI/COCI-07-Granica.txt&amp;sa=D&amp;ust=1605639832144000&amp;usg=AFQjCNHJ2u2W4R2MNOQu2X1E9eK-_b1P5w" TargetMode="External"/><Relationship Id="rId870" Type="http://schemas.openxmlformats.org/officeDocument/2006/relationships/hyperlink" Target="https://www.google.com/url?q=https://github.com/mostafa-saad/MyCompetitiveProgramming/blob/master/Olympiad/CEOI/COCI-10-upit.txt&amp;sa=D&amp;ust=1605639832200000&amp;usg=AFQjCNERXNXuH1SqcpBZ0kGq-ojKG2YKVQ" TargetMode="External"/><Relationship Id="rId1086" Type="http://schemas.openxmlformats.org/officeDocument/2006/relationships/hyperlink" Target="https://www.google.com/url?q=https://oj.uz/problem/view/COCI17_krov&amp;sa=D&amp;ust=1605639832255000&amp;usg=AFQjCNHpWxJca2CZr1dTdXYOdsHEWUCDWQ" TargetMode="External"/><Relationship Id="rId1293" Type="http://schemas.openxmlformats.org/officeDocument/2006/relationships/hyperlink" Target="https://www.google.com/url?q=https://github.com/mostafa-saad/MyCompetitiveProgramming/blob/master/Olympiad/COI/COI-19-tenis.txt&amp;sa=D&amp;ust=1605639832323000&amp;usg=AFQjCNFrx2DZtn__dWqafCSm_Y5eXKM-CQ" TargetMode="External"/><Relationship Id="rId2137" Type="http://schemas.openxmlformats.org/officeDocument/2006/relationships/hyperlink" Target="https://www.google.com/url?q=https://joisc2014.contest.atcoder.jp/tasks/joisc2014_d&amp;sa=D&amp;ust=1605639832585000&amp;usg=AFQjCNFoayYN7H6-DxRsXuNuurQV9tUF-w" TargetMode="External"/><Relationship Id="rId2344" Type="http://schemas.openxmlformats.org/officeDocument/2006/relationships/hyperlink" Target="https://www.google.com/url?q=https://github.com/sjhuang26/competitive-programming/blob/master/noi/NOI%252013-gw.cpp&amp;sa=D&amp;ust=1605639832657000&amp;usg=AFQjCNFRJnE8TbjuDt99G2d0auA2VTkz5Q" TargetMode="External"/><Relationship Id="rId2551" Type="http://schemas.openxmlformats.org/officeDocument/2006/relationships/hyperlink" Target="https://www.google.com/url?q=https://szkopul.edu.pl/problemset/problem/xFjhysZvLsUxEXMI-nHXao74/site/&amp;sa=D&amp;ust=1605639832726000&amp;usg=AFQjCNHb6-xPHK7NhrLYy8Kd3HcU5WZUdA" TargetMode="External"/><Relationship Id="rId2789" Type="http://schemas.openxmlformats.org/officeDocument/2006/relationships/hyperlink" Target="https://www.google.com/url?q=https://szkopul.edu.pl/problemset/problem/cSa80AKpjHR8FlWE4BCpLGT3/site/?key%3Dstatement&amp;sa=D&amp;ust=1605639832783000&amp;usg=AFQjCNEp_eFAZzIppo-p__gM4fIcYdKLuw" TargetMode="External"/><Relationship Id="rId2996" Type="http://schemas.openxmlformats.org/officeDocument/2006/relationships/hyperlink" Target="https://www.google.com/url?q=http://usaco.org/index.php?page%3Dviewproblem2%26cpid%3D901&amp;sa=D&amp;ust=1605639832864000&amp;usg=AFQjCNEPArlafiNWyU2trw6x3NwQaPCTGg" TargetMode="External"/><Relationship Id="rId109" Type="http://schemas.openxmlformats.org/officeDocument/2006/relationships/hyperlink" Target="https://www.google.com/url?q=https://github.com/mostafa-saad/MyCompetitiveProgramming/blob/master/Olympiad/Balkan/Balkan-12-Fan_Groups.txt&amp;sa=D&amp;ust=1605639831985000&amp;usg=AFQjCNFHoWAsOwzBlVfNIrS6LlRo_l6uzQ" TargetMode="External"/><Relationship Id="rId316" Type="http://schemas.openxmlformats.org/officeDocument/2006/relationships/hyperlink" Target="https://www.google.com/url?q=https://github.com/mostafa-saad/MyCompetitiveProgramming/tree/master/Olympiad/Baltic/official/boi2018_solutions&amp;sa=D&amp;ust=1605639832042000&amp;usg=AFQjCNH_z6WgHNIjPHL_DZCcPw4hFW21dQ" TargetMode="External"/><Relationship Id="rId523" Type="http://schemas.openxmlformats.org/officeDocument/2006/relationships/hyperlink" Target="https://www.google.com/url?q=https://github.com/mostafa-saad/MyCompetitiveProgramming/blob/master/Olympiad/CEOI/CEOI-16-trick.txt&amp;sa=D&amp;ust=1605639832114000&amp;usg=AFQjCNG5gxzfFFWWejXn4P4cUJXSqeWpYg" TargetMode="External"/><Relationship Id="rId968" Type="http://schemas.openxmlformats.org/officeDocument/2006/relationships/hyperlink" Target="https://www.google.com/url?q=https://github.com/mostafa-saad/MyCompetitiveProgramming/blob/master/Olympiad/COCI/COCI-14-Stanovi.txt&amp;sa=D&amp;ust=1605639832224000&amp;usg=AFQjCNEV5MSR_JK8mnnluL_5dCrySGCTxg" TargetMode="External"/><Relationship Id="rId1153" Type="http://schemas.openxmlformats.org/officeDocument/2006/relationships/hyperlink" Target="https://www.google.com/url?q=https://oj.uz/problem/view/COCI18_prakticni&amp;sa=D&amp;ust=1605639832276000&amp;usg=AFQjCNFfL7NvS3dLWcrX1MVTEyJrolmxWg" TargetMode="External"/><Relationship Id="rId1598" Type="http://schemas.openxmlformats.org/officeDocument/2006/relationships/hyperlink" Target="https://www.google.com/url?q=https://github.com/stefdasca/CompetitiveProgramming/blob/master/Infoarena/sir42.cpp&amp;sa=D&amp;ust=1605639832413000&amp;usg=AFQjCNGhHw2soXNDdlkdRBl77Z3HT4nHUw" TargetMode="External"/><Relationship Id="rId2204" Type="http://schemas.openxmlformats.org/officeDocument/2006/relationships/hyperlink" Target="https://www.google.com/url?q=https://www.ioi-jp.org/camp/2018/2018-sp-tasks/index.html&amp;sa=D&amp;ust=1605639832614000&amp;usg=AFQjCNHZkjTQ8UsuPhnAiSkvXMz08_VNvA" TargetMode="External"/><Relationship Id="rId2649" Type="http://schemas.openxmlformats.org/officeDocument/2006/relationships/hyperlink" Target="https://www.google.com/url?q=https://szkopul.edu.pl/problemset/problem/fKO3YZL0f_UM1nHQNDvw7mku/site/&amp;sa=D&amp;ust=1605639832748000&amp;usg=AFQjCNH7j3ZG30d2_YvS99fousJ3Wcohfw" TargetMode="External"/><Relationship Id="rId2856" Type="http://schemas.openxmlformats.org/officeDocument/2006/relationships/hyperlink" Target="https://www.google.com/url?q=https://github.com/mostafa-saad/MyCompetitiveProgramming/blob/master/Olympiad/POI/POI-96-wie.txt&amp;sa=D&amp;ust=1605639832805000&amp;usg=AFQjCNGzVBoDxvO_atX2yfdCFa-SSoeTCQ" TargetMode="External"/><Relationship Id="rId97" Type="http://schemas.openxmlformats.org/officeDocument/2006/relationships/hyperlink" Target="https://www.google.com/url?q=https://oj.uz/problems/source/113&amp;sa=D&amp;ust=1605639831981000&amp;usg=AFQjCNF687uzTFmVtGDz8qXKh3UEc9GYkQ" TargetMode="External"/><Relationship Id="rId730" Type="http://schemas.openxmlformats.org/officeDocument/2006/relationships/hyperlink" Target="https://www.google.com/url?q=https://dmoj.ca/problem/coci08c6p4&amp;sa=D&amp;ust=1605639832158000&amp;usg=AFQjCNG2CfR64OZ97Tcyrv7jg62SO5CEcQ" TargetMode="External"/><Relationship Id="rId828" Type="http://schemas.openxmlformats.org/officeDocument/2006/relationships/hyperlink" Target="https://www.google.com/url?q=https://wcipeg.com/problem/coci091p4&amp;sa=D&amp;ust=1605639832186000&amp;usg=AFQjCNG7jbDmDrLKDY6f6knHWo4ueSxV6w" TargetMode="External"/><Relationship Id="rId1013" Type="http://schemas.openxmlformats.org/officeDocument/2006/relationships/hyperlink" Target="https://www.google.com/url?q=https://dmoj.ca/problem/coci15c3p4&amp;sa=D&amp;ust=1605639832238000&amp;usg=AFQjCNGH1JQATQWnVbw0WsWPmq0rcfALAQ" TargetMode="External"/><Relationship Id="rId1360" Type="http://schemas.openxmlformats.org/officeDocument/2006/relationships/hyperlink" Target="https://www.google.com/url?q=https://oj.uz/problem/view/info1cup18_cambridge&amp;sa=D&amp;ust=1605639832343000&amp;usg=AFQjCNHFXyCl3GOZcGxJWPWpY3hX6Ei_XQ" TargetMode="External"/><Relationship Id="rId1458" Type="http://schemas.openxmlformats.org/officeDocument/2006/relationships/hyperlink" Target="https://www.google.com/url?q=https://github.com/mostafa-saad/MyCompetitiveProgramming/blob/master/Olympiad/infoarena/infoarena-disconnect.txt&amp;sa=D&amp;ust=1605639832366000&amp;usg=AFQjCNE5eQ3HIDy4_trWLCLlZ_KF0m0scQ" TargetMode="External"/><Relationship Id="rId1665" Type="http://schemas.openxmlformats.org/officeDocument/2006/relationships/hyperlink" Target="https://www.google.com/url?q=https://www.acmicpc.net/problem/2209&amp;sa=D&amp;ust=1605639832433000&amp;usg=AFQjCNFdbnmmz8c7GkttwsIkPTLuSioucQ" TargetMode="External"/><Relationship Id="rId1872" Type="http://schemas.openxmlformats.org/officeDocument/2006/relationships/hyperlink" Target="https://www.google.com/url?q=https://oj.uz/problem/view/IOI18_highway&amp;sa=D&amp;ust=1605639832499000&amp;usg=AFQjCNHp2s02nYn0yij7TWXsJyqrRIpG2w" TargetMode="External"/><Relationship Id="rId2411" Type="http://schemas.openxmlformats.org/officeDocument/2006/relationships/hyperlink" Target="https://www.google.com/url?q=https://dunjudge.me/analysis/problems/214/&amp;sa=D&amp;ust=1605639832678000&amp;usg=AFQjCNGvsf-_9McGF5ySXyAV0WtpP6nV8Q" TargetMode="External"/><Relationship Id="rId2509" Type="http://schemas.openxmlformats.org/officeDocument/2006/relationships/hyperlink" Target="https://www.google.com/url?q=https://szkopul.edu.pl/problemset/problem/Syg2bcb2gzeOcCBXcL4ap80b/site/&amp;sa=D&amp;ust=1605639832716000&amp;usg=AFQjCNFGxL3K5OMt8u8hwzNEJyCVexzwSw" TargetMode="External"/><Relationship Id="rId2716" Type="http://schemas.openxmlformats.org/officeDocument/2006/relationships/hyperlink" Target="https://www.google.com/url?q=https://github.com/mostafa-saad/MyCompetitiveProgramming/blob/master/Olympiad/POI/POI-13-kon.txt&amp;sa=D&amp;ust=1605639832760000&amp;usg=AFQjCNEMIKLxM4GuQfwiqMJAscDzRuDyag" TargetMode="External"/><Relationship Id="rId1220" Type="http://schemas.openxmlformats.org/officeDocument/2006/relationships/hyperlink" Target="https://www.google.com/url?q=https://github.com/mostafa-saad/MyCompetitiveProgramming/blob/master/Olympiad/COCI/official/2009/regional_solutions&amp;sa=D&amp;ust=1605639832305000&amp;usg=AFQjCNEgAPcECGXRnI8a3dCisF678Hq1Hw" TargetMode="External"/><Relationship Id="rId1318" Type="http://schemas.openxmlformats.org/officeDocument/2006/relationships/hyperlink" Target="https://www.google.com/url?q=https://dmoj.ca/problem/dmopc14ce1p4&amp;sa=D&amp;ust=1605639832330000&amp;usg=AFQjCNEaP3qNtSceGb9JpIgL5DW5SWfycA" TargetMode="External"/><Relationship Id="rId1525" Type="http://schemas.openxmlformats.org/officeDocument/2006/relationships/hyperlink" Target="https://www.google.com/url?q=https://github.com/stefdasca/CompetitiveProgramming/blob/master/Infoarena/munte4.cpp&amp;sa=D&amp;ust=1605639832389000&amp;usg=AFQjCNHhI6NCmQYu0CFxCYyGzsWnbaQUYw" TargetMode="External"/><Relationship Id="rId2923" Type="http://schemas.openxmlformats.org/officeDocument/2006/relationships/hyperlink" Target="https://www.google.com/url?q=https://github.com/goar5670/CompetitiveProgramming/blob/master/USACO%252014dec-guard.cpp&amp;sa=D&amp;ust=1605639832827000&amp;usg=AFQjCNHqxZU2wqhXh7jXFF08OrPTcv13FQ" TargetMode="External"/><Relationship Id="rId1732" Type="http://schemas.openxmlformats.org/officeDocument/2006/relationships/hyperlink" Target="https://www.google.com/url?q=https://github.com/mostafa-saad/MyCompetitiveProgramming/blob/master/Olympiad/IOI/IOI-07-training.txt&amp;sa=D&amp;ust=1605639832452000&amp;usg=AFQjCNEvMtp8sNLkPLcl_GJCLUmsTzgIpg" TargetMode="External"/><Relationship Id="rId24" Type="http://schemas.openxmlformats.org/officeDocument/2006/relationships/hyperlink" Target="https://www.google.com/url?q=https://github.com/shanto86/Training/blob/master/Dmoj/APIO%252010-Signaling.cpp&amp;sa=D&amp;ust=1605639831958000&amp;usg=AFQjCNHV_8mm-7yeRBySZ5lFDThibeMdXw" TargetMode="External"/><Relationship Id="rId2299" Type="http://schemas.openxmlformats.org/officeDocument/2006/relationships/hyperlink" Target="https://www.google.com/url?q=https://dunjudge.me/analysis/problems/67/&amp;sa=D&amp;ust=1605639832646000&amp;usg=AFQjCNEOZU5mi9TKQBtWc-NoegtA7lprog" TargetMode="External"/><Relationship Id="rId173" Type="http://schemas.openxmlformats.org/officeDocument/2006/relationships/hyperlink" Target="https://www.google.com/url?q=https://cses.fi/110/list/&amp;sa=D&amp;ust=1605639832007000&amp;usg=AFQjCNHz2v_r6Lfo9nhEpv9m_pG4co-R3Q" TargetMode="External"/><Relationship Id="rId380" Type="http://schemas.openxmlformats.org/officeDocument/2006/relationships/hyperlink" Target="https://www.google.com/url?q=https://www.acmicpc.net/problem/1760&amp;sa=D&amp;ust=1605639832069000&amp;usg=AFQjCNG2Rhr9dCFNSdx1VYgVPJtShksbfA" TargetMode="External"/><Relationship Id="rId2061" Type="http://schemas.openxmlformats.org/officeDocument/2006/relationships/hyperlink" Target="https://www.google.com/url?q=https://github.com/mostafa-saad/MyCompetitiveProgramming/blob/master/Olympiad/JOI/JOI-19-Coin.txt&amp;sa=D&amp;ust=1605639832558000&amp;usg=AFQjCNGik8t3bcZU_CE7w1T6AZ1_zpPuJQ" TargetMode="External"/><Relationship Id="rId240" Type="http://schemas.openxmlformats.org/officeDocument/2006/relationships/hyperlink" Target="https://www.google.com/url?q=https://cses.fi/100/list/&amp;sa=D&amp;ust=1605639832026000&amp;usg=AFQjCNFUpidkeNyHRkBPb64FVuUNoPW7Wg" TargetMode="External"/><Relationship Id="rId478" Type="http://schemas.openxmlformats.org/officeDocument/2006/relationships/hyperlink" Target="https://www.google.com/url?q=https://oj.uz/problem/view/CEOI12_race&amp;sa=D&amp;ust=1605639832101000&amp;usg=AFQjCNHHIheNN2fpu-Wr39m0gLsiotoM_Q" TargetMode="External"/><Relationship Id="rId685" Type="http://schemas.openxmlformats.org/officeDocument/2006/relationships/hyperlink" Target="https://www.google.com/url?q=https://github.com/mostafa-saad/MyCompetitiveProgramming/tree/master/Olympiad/COCI/official/2008/contest5_solutions&amp;sa=D&amp;ust=1605639832149000&amp;usg=AFQjCNG0A23bwgmuPFIEV6jzeGhK2Y2I-g" TargetMode="External"/><Relationship Id="rId892" Type="http://schemas.openxmlformats.org/officeDocument/2006/relationships/hyperlink" Target="https://www.google.com/url?q=https://github.com/mostafa-saad/MyCompetitiveProgramming/blob/master/Olympiad/COCI/official/2013/contest3_solutions&amp;sa=D&amp;ust=1605639832207000&amp;usg=AFQjCNF70SznTUP8LCtsG5vuzb8A5BjQYQ" TargetMode="External"/><Relationship Id="rId2159" Type="http://schemas.openxmlformats.org/officeDocument/2006/relationships/hyperlink" Target="https://www.google.com/url?q=https://joisc2016.contest.atcoder.jp/tasks/joisc2016_d&amp;sa=D&amp;ust=1605639832597000&amp;usg=AFQjCNG9FGYt8cIhNweuEkrcRtA84FqD9w" TargetMode="External"/><Relationship Id="rId2366" Type="http://schemas.openxmlformats.org/officeDocument/2006/relationships/hyperlink" Target="https://www.google.com/url?q=https://github.com/mostafa-saad/MyCompetitiveProgramming/blob/master/Olympiad/NOI/official&amp;sa=D&amp;ust=1605639832662000&amp;usg=AFQjCNH4lJBAqN5KtjEpsplcTOdEH6KOTw" TargetMode="External"/><Relationship Id="rId2573" Type="http://schemas.openxmlformats.org/officeDocument/2006/relationships/hyperlink" Target="https://www.google.com/url?q=https://szkopul.edu.pl/problemset/problem/y7tXjqVq0gPZjc8kPrscs2CJ/site/&amp;sa=D&amp;ust=1605639832732000&amp;usg=AFQjCNGPiiarfaFKJc5BHfys2xmSHezwow" TargetMode="External"/><Relationship Id="rId2780" Type="http://schemas.openxmlformats.org/officeDocument/2006/relationships/hyperlink" Target="https://www.google.com/url?q=https://github.com/mostafa-saad/MyCompetitiveProgramming/blob/master/Olympiad/POI/POI-15-Squares.txt&amp;sa=D&amp;ust=1605639832779000&amp;usg=AFQjCNHw0NPCWqS3Spl9SToqF0FGccckbw" TargetMode="External"/><Relationship Id="rId100" Type="http://schemas.openxmlformats.org/officeDocument/2006/relationships/hyperlink" Target="https://www.google.com/url?q=https://github.com/tmwilliamlin168/CompetitiveProgramming/blob/master/BkOI/11-Time_Is_Money.cpp&amp;sa=D&amp;ust=1605639831982000&amp;usg=AFQjCNGYy7NsWYt81gqA554ZUN3pULJ3aw" TargetMode="External"/><Relationship Id="rId338" Type="http://schemas.openxmlformats.org/officeDocument/2006/relationships/hyperlink" Target="https://www.google.com/url?q=https://github.com/updown2/OI-Practice/blob/master/BOI/2018/Citations%2520(Practice%2520Session).txt&amp;sa=D&amp;ust=1605639832047000&amp;usg=AFQjCNE1kBdtV3P-D0FkhfAlSi_bi8ROhA" TargetMode="External"/><Relationship Id="rId545" Type="http://schemas.openxmlformats.org/officeDocument/2006/relationships/hyperlink" Target="https://www.google.com/url?q=https://oj.uz/problem/view/CEOI18_tri&amp;sa=D&amp;ust=1605639832119000&amp;usg=AFQjCNEmkm3KRNul1E2DmwkvPxrjVSu6FQ" TargetMode="External"/><Relationship Id="rId752" Type="http://schemas.openxmlformats.org/officeDocument/2006/relationships/hyperlink" Target="https://www.google.com/url?q=https://dmoj.ca/problem/coci08c5p4&amp;sa=D&amp;ust=1605639832163000&amp;usg=AFQjCNEk4Yeykqf63MvM5NFSoCwuZufHhg" TargetMode="External"/><Relationship Id="rId1175" Type="http://schemas.openxmlformats.org/officeDocument/2006/relationships/hyperlink" Target="https://www.google.com/url?q=https://oj.uz/problem/view/COCI19_parametriziran&amp;sa=D&amp;ust=1605639832285000&amp;usg=AFQjCNFzZnbtI-8xNdfKUNBIX7hSPLxCUQ" TargetMode="External"/><Relationship Id="rId1382" Type="http://schemas.openxmlformats.org/officeDocument/2006/relationships/hyperlink" Target="https://www.google.com/url?q=https://github.com/stefdasca/CompetitiveProgramming/blob/master/Infoarena/aiacupalindroame.cpp&amp;sa=D&amp;ust=1605639832348000&amp;usg=AFQjCNFW8AEhtqA64C5sSkR_zAouy1rdew" TargetMode="External"/><Relationship Id="rId2019" Type="http://schemas.openxmlformats.org/officeDocument/2006/relationships/hyperlink" Target="https://www.google.com/url?q=https://joi2013ho.contest.atcoder.jp/tasks/joi2013ho3&amp;sa=D&amp;ust=1605639832544000&amp;usg=AFQjCNER152MPI0ehCMtXBfSCcJ0FX6UCA" TargetMode="External"/><Relationship Id="rId2226" Type="http://schemas.openxmlformats.org/officeDocument/2006/relationships/hyperlink" Target="https://www.google.com/url?q=https://oj.uz/problem/view/JOI19_minerals&amp;sa=D&amp;ust=1605639832622000&amp;usg=AFQjCNEGDvWe5B1G6iWsEqfqlgXHrV6s2Q" TargetMode="External"/><Relationship Id="rId2433" Type="http://schemas.openxmlformats.org/officeDocument/2006/relationships/hyperlink" Target="https://www.google.com/url?q=https://dunjudge.me/analysis/problems/423/&amp;sa=D&amp;ust=1605639832688000&amp;usg=AFQjCNHJ--vUbvwSOffa3BE-mlE8uFRltQ" TargetMode="External"/><Relationship Id="rId2640" Type="http://schemas.openxmlformats.org/officeDocument/2006/relationships/hyperlink" Target="https://www.google.com/url?q=https://github.com/mostafa-saad/MyCompetitiveProgramming/blob/master/Olympiad/POI/official/find_editorial_sols_guidelines.txt&amp;sa=D&amp;ust=1605639832746000&amp;usg=AFQjCNEi8V0NOFkJxBE_HAq8EcZ_0umfrQ" TargetMode="External"/><Relationship Id="rId2878" Type="http://schemas.openxmlformats.org/officeDocument/2006/relationships/hyperlink" Target="https://www.google.com/url?q=https://csacademy.com/contest/round-80/task/shampoo-exchange/&amp;sa=D&amp;ust=1605639832813000&amp;usg=AFQjCNFsNBhYsPEVheMNgr2L0HFnBOybGQ" TargetMode="External"/><Relationship Id="rId405" Type="http://schemas.openxmlformats.org/officeDocument/2006/relationships/hyperlink" Target="https://www.google.com/url?q=https://cses.fi/192/list/&amp;sa=D&amp;ust=1605639832077000&amp;usg=AFQjCNH6odW9s9gXDAAprnMe0Xw1NEKzhg" TargetMode="External"/><Relationship Id="rId612" Type="http://schemas.openxmlformats.org/officeDocument/2006/relationships/hyperlink" Target="https://www.google.com/url?q=https://dmoj.ca/problem/coci06c2p1&amp;sa=D&amp;ust=1605639832134000&amp;usg=AFQjCNFNfxN3-wzNuNPlVosfjxqCsuIngw" TargetMode="External"/><Relationship Id="rId1035" Type="http://schemas.openxmlformats.org/officeDocument/2006/relationships/hyperlink" Target="https://www.google.com/url?q=https://github.com/mostafa-saad/MyCompetitiveProgramming/blob/master/Olympiad/COCI/official/2017/contest3_solutions&amp;sa=D&amp;ust=1605639832242000&amp;usg=AFQjCNG063KRxb5evnYO4AoxdrBhKlO_3w" TargetMode="External"/><Relationship Id="rId1242" Type="http://schemas.openxmlformats.org/officeDocument/2006/relationships/hyperlink" Target="https://www.google.com/url?q=https://oj.uz/problem/view/COI14_kosta&amp;sa=D&amp;ust=1605639832311000&amp;usg=AFQjCNEgeTgeZnocw0d7S-UQ_Y2lv6dQKA" TargetMode="External"/><Relationship Id="rId1687" Type="http://schemas.openxmlformats.org/officeDocument/2006/relationships/hyperlink" Target="https://www.google.com/url?q=https://contest.yandex.ru/ioi/contest/560/enter/&amp;sa=D&amp;ust=1605639832439000&amp;usg=AFQjCNF-JSYGs_uHcpvFiwuerG2IF5QzSQ" TargetMode="External"/><Relationship Id="rId1894" Type="http://schemas.openxmlformats.org/officeDocument/2006/relationships/hyperlink" Target="https://www.google.com/url?q=https://www.hackerrank.com/contests/ioi-2014-practice-contest-1/challenges&amp;sa=D&amp;ust=1605639832507000&amp;usg=AFQjCNE2Xq9gy6hD7oUaT7lvCSVKbyUPSw" TargetMode="External"/><Relationship Id="rId2500" Type="http://schemas.openxmlformats.org/officeDocument/2006/relationships/hyperlink" Target="https://www.google.com/url?q=https://github.com/mostafa-saad/MyCompetitiveProgramming/blob/master/Olympiad/POI/official/find_editorial_sols_guidelines.txt&amp;sa=D&amp;ust=1605639832714000&amp;usg=AFQjCNGSpgqzkTQ_dg8EHY7s6bMslJV04w" TargetMode="External"/><Relationship Id="rId2738" Type="http://schemas.openxmlformats.org/officeDocument/2006/relationships/hyperlink" Target="https://www.google.com/url?q=https://github.com/peon-pasado/CompetitiveProgramming/blob/master/szkoput/POI-14-Bricks.cpp&amp;sa=D&amp;ust=1605639832765000&amp;usg=AFQjCNHlUazWCHQEDt6LydpsCULyVRQdDA" TargetMode="External"/><Relationship Id="rId2945" Type="http://schemas.openxmlformats.org/officeDocument/2006/relationships/hyperlink" Target="https://www.google.com/url?q=http://usaco.org/index.php?page%3Dviewproblem2%26cpid%3D648&amp;sa=D&amp;ust=1605639832834000&amp;usg=AFQjCNHmXNzFSgDN7ftSCJ18DzIm0HwePw" TargetMode="External"/><Relationship Id="rId917" Type="http://schemas.openxmlformats.org/officeDocument/2006/relationships/hyperlink" Target="https://www.google.com/url?q=https://dunjudge.me/analysis/problems/1221/&amp;sa=D&amp;ust=1605639832213000&amp;usg=AFQjCNHIBCgdBwY8trVhyietqoThDlqTgg" TargetMode="External"/><Relationship Id="rId1102" Type="http://schemas.openxmlformats.org/officeDocument/2006/relationships/hyperlink" Target="https://www.google.com/url?q=https://github.com/luciocf/OI-Problems/blob/master/COCI/COCI%25202017-2018/portals.cpp&amp;sa=D&amp;ust=1605639832259000&amp;usg=AFQjCNFju61UDjMSfwFdCLA43-P0tXHG8A" TargetMode="External"/><Relationship Id="rId1547" Type="http://schemas.openxmlformats.org/officeDocument/2006/relationships/hyperlink" Target="https://www.google.com/url?q=https://github.com/stefdasca/CompetitiveProgramming/blob/master/Infoarena/penal.cpp&amp;sa=D&amp;ust=1605639832395000&amp;usg=AFQjCNGfV_Der30MgW9uCEGuN2tFE1FYLA" TargetMode="External"/><Relationship Id="rId1754" Type="http://schemas.openxmlformats.org/officeDocument/2006/relationships/hyperlink" Target="https://www.google.com/url?q=https://github.com/updown2/OI-Practice/blob/master/JOI/2018/Stove.cpp&amp;sa=D&amp;ust=1605639832459000&amp;usg=AFQjCNHsdAilbZN2eP__hPMXGt-cNzHvnQ" TargetMode="External"/><Relationship Id="rId1961" Type="http://schemas.openxmlformats.org/officeDocument/2006/relationships/hyperlink" Target="https://www.google.com/url?q=https://codeforces.com/group/swEqtABRxe/contest/243435/problem/A&amp;sa=D&amp;ust=1605639832525000&amp;usg=AFQjCNHjHRvOY-nEdrXVorwAUWbmCxgmlg" TargetMode="External"/><Relationship Id="rId2805" Type="http://schemas.openxmlformats.org/officeDocument/2006/relationships/hyperlink" Target="https://www.google.com/url?q=https://szkopul.edu.pl/problemset/problem/X6IwPa2H9FSd3Ly6bYp5t8Vu/site/&amp;sa=D&amp;ust=1605639832788000&amp;usg=AFQjCNFIQz8r7Fw4LNL3QlaUqWH_l35-4w" TargetMode="External"/><Relationship Id="rId46" Type="http://schemas.openxmlformats.org/officeDocument/2006/relationships/hyperlink" Target="https://www.google.com/url?q=https://oj.uz/problem/view/APIO15_bridge&amp;sa=D&amp;ust=1605639831962000&amp;usg=AFQjCNGFhN6XlCkUfRROX8RQ0e8Q9BaWUA" TargetMode="External"/><Relationship Id="rId1407" Type="http://schemas.openxmlformats.org/officeDocument/2006/relationships/hyperlink" Target="https://www.google.com/url?q=https://github.com/stefdasca/CompetitiveProgramming/blob/master/Infoarena/bitcost.cpp&amp;sa=D&amp;ust=1605639832353000&amp;usg=AFQjCNHBUdLRRQbyhBdgCSOdLEB8uTx3tQ" TargetMode="External"/><Relationship Id="rId1614" Type="http://schemas.openxmlformats.org/officeDocument/2006/relationships/hyperlink" Target="https://www.google.com/url?q=https://github.com/stefdasca/CompetitiveProgramming/blob/master/Infoarena/troll.cpp&amp;sa=D&amp;ust=1605639832417000&amp;usg=AFQjCNH_Xygb0QLiHFof-Q3jbJ6s2ypvrw" TargetMode="External"/><Relationship Id="rId1821" Type="http://schemas.openxmlformats.org/officeDocument/2006/relationships/hyperlink" Target="https://www.google.com/url?q=https://oj.uz/problem/view/IOI14_wall&amp;sa=D&amp;ust=1605639832482000&amp;usg=AFQjCNEf72N5x4txWxOpeyfd36w3qdFLRw" TargetMode="External"/><Relationship Id="rId195" Type="http://schemas.openxmlformats.org/officeDocument/2006/relationships/hyperlink" Target="https://www.google.com/url?q=https://cses.fi/114/list/&amp;sa=D&amp;ust=1605639832014000&amp;usg=AFQjCNEZgZCVzgMmpwlky0-Qd7F_7zjduA" TargetMode="External"/><Relationship Id="rId1919" Type="http://schemas.openxmlformats.org/officeDocument/2006/relationships/hyperlink" Target="https://www.google.com/url?q=https://csacademy.com/contest/ioi-2016-training-round-5/task/empty-triangles/&amp;sa=D&amp;ust=1605639832514000&amp;usg=AFQjCNFZABEtJzwM7I5v3F1ryS9fYqYYtQ" TargetMode="External"/><Relationship Id="rId2083" Type="http://schemas.openxmlformats.org/officeDocument/2006/relationships/hyperlink" Target="https://www.google.com/url?q=https://oj.uz/problems/source/55&amp;sa=D&amp;ust=1605639832562000&amp;usg=AFQjCNFrFaaz9F8UfXBGR_hwE3yuEH98-Q" TargetMode="External"/><Relationship Id="rId2290" Type="http://schemas.openxmlformats.org/officeDocument/2006/relationships/hyperlink" Target="https://www.google.com/url?q=https://github.com/mostafa-saad/MyCompetitiveProgramming/blob/master/Olympiad/NOI/NOI-07-hole.txt&amp;sa=D&amp;ust=1605639832643000&amp;usg=AFQjCNE0OEwoAjM4tIUXoUqWNoro1-W72g" TargetMode="External"/><Relationship Id="rId2388" Type="http://schemas.openxmlformats.org/officeDocument/2006/relationships/hyperlink" Target="https://www.google.com/url?q=https://github.com/mostafa-saad/MyCompetitiveProgramming/blob/master/Olympiad/NOI/official&amp;sa=D&amp;ust=1605639832669000&amp;usg=AFQjCNHR6Nu0qk2c5vsmTHPvCZwUsz7B0w" TargetMode="External"/><Relationship Id="rId2595" Type="http://schemas.openxmlformats.org/officeDocument/2006/relationships/hyperlink" Target="https://www.google.com/url?q=https://szkopul.edu.pl/problemset/problem/xDISetKx9cPPrOT_t2ZqgEyr/site/&amp;sa=D&amp;ust=1605639832737000&amp;usg=AFQjCNG0tEPD01bsyCA4aB3CfDxPcX1pxQ" TargetMode="External"/><Relationship Id="rId262" Type="http://schemas.openxmlformats.org/officeDocument/2006/relationships/hyperlink" Target="https://www.google.com/url?q=https://github.com/mostafa-saad/MyCompetitiveProgramming/blob/master/Olympiad/Baltic/Baltic-13-tracks.txt&amp;sa=D&amp;ust=1605639832031000&amp;usg=AFQjCNGShzMwFTXeBagZg8eMFv1zp7WMfQ" TargetMode="External"/><Relationship Id="rId567" Type="http://schemas.openxmlformats.org/officeDocument/2006/relationships/hyperlink" Target="https://www.google.com/url?q=https://github.com/mostafa-saad/MyCompetitiveProgramming/tree/master/Olympiad/COCI/official/2007/contest1_solutions&amp;sa=D&amp;ust=1605639832124000&amp;usg=AFQjCNGeRdsmdg7HOLR349MIEqUhuQ7ImQ" TargetMode="External"/><Relationship Id="rId1197" Type="http://schemas.openxmlformats.org/officeDocument/2006/relationships/hyperlink" Target="https://www.google.com/url?q=https://dmoj.ca/problem/coi06p1&amp;sa=D&amp;ust=1605639832297000&amp;usg=AFQjCNFiDxeMsP058sIPdIKoorOlHo9WRw" TargetMode="External"/><Relationship Id="rId2150" Type="http://schemas.openxmlformats.org/officeDocument/2006/relationships/hyperlink" Target="https://www.google.com/url?q=https://dunjudge.me/analysis/problems/751/&amp;sa=D&amp;ust=1605639832593000&amp;usg=AFQjCNG8UfuMlERyH66hsrmHvME0gdslig" TargetMode="External"/><Relationship Id="rId2248" Type="http://schemas.openxmlformats.org/officeDocument/2006/relationships/hyperlink" Target="https://www.google.com/url?q=https://github.com/mostafa-saad/MyCompetitiveProgramming/tree/master/Olympiad/MCO/official/2015&amp;sa=D&amp;ust=1605639832629000&amp;usg=AFQjCNHBHJtxPlSE8m0pMkU5uxCMUQhM-A" TargetMode="External"/><Relationship Id="rId122" Type="http://schemas.openxmlformats.org/officeDocument/2006/relationships/hyperlink" Target="https://www.google.com/url?q=https://www.acmicpc.net/problem/11782&amp;sa=D&amp;ust=1605639831989000&amp;usg=AFQjCNG5bMQA8lpS6HW79j4Vezxc8Tcbww" TargetMode="External"/><Relationship Id="rId774" Type="http://schemas.openxmlformats.org/officeDocument/2006/relationships/hyperlink" Target="https://www.google.com/url?q=https://dmoj.ca/problem/coci08c4p3&amp;sa=D&amp;ust=1605639832168000&amp;usg=AFQjCNFS95snQcasReYWZKM0ytEosfxJMg" TargetMode="External"/><Relationship Id="rId981" Type="http://schemas.openxmlformats.org/officeDocument/2006/relationships/hyperlink" Target="https://www.google.com/url?q=https://github.com/mostafa-saad/MyCompetitiveProgramming/blob/master/Olympiad/COCI/official/2015/contest1_solutions&amp;sa=D&amp;ust=1605639832228000&amp;usg=AFQjCNGSuKW2BZPVEtK8hhQz1L3xk51zAg" TargetMode="External"/><Relationship Id="rId1057" Type="http://schemas.openxmlformats.org/officeDocument/2006/relationships/hyperlink" Target="https://www.google.com/url?q=https://oj.uz/problem/view/COCI17_aron&amp;sa=D&amp;ust=1605639832247000&amp;usg=AFQjCNFDHTljNoOnHghp6nu11ilLM7M8dg" TargetMode="External"/><Relationship Id="rId2010" Type="http://schemas.openxmlformats.org/officeDocument/2006/relationships/hyperlink" Target="https://www.google.com/url?q=https://github.com/stefdasca/CompetitiveProgramming/blob/master/IZhO/IZhO%252019-segments.cpp&amp;sa=D&amp;ust=1605639832542000&amp;usg=AFQjCNEsmJOCIcXEnq3VhZ6yEy7i7EeipQ" TargetMode="External"/><Relationship Id="rId2455" Type="http://schemas.openxmlformats.org/officeDocument/2006/relationships/hyperlink" Target="https://www.google.com/url?q=https://dunjudge.me/analysis/problems/1175/&amp;sa=D&amp;ust=1605639832698000&amp;usg=AFQjCNHZUZIu4CHeT8D7DeSMP1o8wzHjnw" TargetMode="External"/><Relationship Id="rId2662" Type="http://schemas.openxmlformats.org/officeDocument/2006/relationships/hyperlink" Target="https://www.google.com/url?q=https://github.com/nikolapesic2802/Programming-Practice/blob/master/Garbage/main.cpp&amp;sa=D&amp;ust=1605639832750000&amp;usg=AFQjCNEjlFEwIg_9n2ex5s-pBvsm84N_6Q" TargetMode="External"/><Relationship Id="rId427" Type="http://schemas.openxmlformats.org/officeDocument/2006/relationships/hyperlink" Target="https://www.google.com/url?q=https://cses.fi/187/list/&amp;sa=D&amp;ust=1605639832085000&amp;usg=AFQjCNEXoxozx3QytZtDAa8dbh6ReWloVw" TargetMode="External"/><Relationship Id="rId634" Type="http://schemas.openxmlformats.org/officeDocument/2006/relationships/hyperlink" Target="https://www.google.com/url?q=https://dmoj.ca/problem/coci06c3p3&amp;sa=D&amp;ust=1605639832138000&amp;usg=AFQjCNGqCUC10PPYm_SeWtQV3uXQrByfvw" TargetMode="External"/><Relationship Id="rId841" Type="http://schemas.openxmlformats.org/officeDocument/2006/relationships/hyperlink" Target="https://www.google.com/url?q=https://wcipeg.com/problem/coci094p2&amp;sa=D&amp;ust=1605639832190000&amp;usg=AFQjCNGu59mRMct-nUlY8OK0DnsU5lYPqw" TargetMode="External"/><Relationship Id="rId1264" Type="http://schemas.openxmlformats.org/officeDocument/2006/relationships/hyperlink" Target="https://www.google.com/url?q=https://oj.uz/problem/view/COI15_zarulje&amp;sa=D&amp;ust=1605639832316000&amp;usg=AFQjCNH0-UwTLUlOyruhvuWU_7TzRZ_I-Q" TargetMode="External"/><Relationship Id="rId1471" Type="http://schemas.openxmlformats.org/officeDocument/2006/relationships/hyperlink" Target="https://www.google.com/url?q=https://github.com/stefdasca/CompetitiveProgramming/blob/master/Infoarena/grea.cpp&amp;sa=D&amp;ust=1605639832370000&amp;usg=AFQjCNEIqlBJgvALxJH8b8EfHlDheR9FMw" TargetMode="External"/><Relationship Id="rId1569" Type="http://schemas.openxmlformats.org/officeDocument/2006/relationships/hyperlink" Target="https://www.google.com/url?q=https://infoarena.ro/problema/posta2&amp;sa=D&amp;ust=1605639832403000&amp;usg=AFQjCNFYIgiJLVyk-LB0rc6OHBAO_CXHoQ" TargetMode="External"/><Relationship Id="rId2108" Type="http://schemas.openxmlformats.org/officeDocument/2006/relationships/hyperlink" Target="https://www.google.com/url?q=https://github.com/mostafa-saad/MyCompetitiveProgramming/tree/master/Olympiad/JOI/official/JOIOC/2018&amp;sa=D&amp;ust=1605639832571000&amp;usg=AFQjCNHEEECrSxJgWWfd86jxnsVSfEnOSA" TargetMode="External"/><Relationship Id="rId2315" Type="http://schemas.openxmlformats.org/officeDocument/2006/relationships/hyperlink" Target="https://www.google.com/url?q=https://dunjudge.me/analysis/problems/13/&amp;sa=D&amp;ust=1605639832650000&amp;usg=AFQjCNGPCwsfjG6uaXTUuir5Q1ouTwiYRA" TargetMode="External"/><Relationship Id="rId2522" Type="http://schemas.openxmlformats.org/officeDocument/2006/relationships/hyperlink" Target="https://www.google.com/url?q=https://github.com/mostafa-saad/MyCompetitiveProgramming/blob/master/Olympiad/POI/official/find_editorial_sols_guidelines.txt&amp;sa=D&amp;ust=1605639832719000&amp;usg=AFQjCNEeXbgpfJNKdGG58oEHPvMb_6wsjA" TargetMode="External"/><Relationship Id="rId2967" Type="http://schemas.openxmlformats.org/officeDocument/2006/relationships/hyperlink" Target="https://www.google.com/url?q=https://github.com/tmwilliamlin168/CompetitiveProgramming/blob/master/USACO/Contests/1819_1P/Itout.cpp&amp;sa=D&amp;ust=1605639832843000&amp;usg=AFQjCNFO7k3Clae33ILD3_olHA3MhmMIAA" TargetMode="External"/><Relationship Id="rId701" Type="http://schemas.openxmlformats.org/officeDocument/2006/relationships/hyperlink" Target="https://www.google.com/url?q=https://github.com/mostafa-saad/MyCompetitiveProgramming/blob/master/Olympiad/COCI/COCI-07-Redoks.txt&amp;sa=D&amp;ust=1605639832152000&amp;usg=AFQjCNFQkJOWVHsbb4PS6-8C2FyoqfRuFA" TargetMode="External"/><Relationship Id="rId939" Type="http://schemas.openxmlformats.org/officeDocument/2006/relationships/hyperlink" Target="https://www.google.com/url?q=https://github.com/mostafa-saad/MyCompetitiveProgramming/blob/master/Olympiad/COCI/official/2015/contest7_solutions&amp;sa=D&amp;ust=1605639832218000&amp;usg=AFQjCNEKvOjD5yoe4toziVstoXdN9TE41w" TargetMode="External"/><Relationship Id="rId1124" Type="http://schemas.openxmlformats.org/officeDocument/2006/relationships/hyperlink" Target="https://www.google.com/url?q=https://github.com/mostafa-saad/MyCompetitiveProgramming/blob/master/Olympiad/COCI/official/2017/contest5_solutions&amp;sa=D&amp;ust=1605639832264000&amp;usg=AFQjCNF6xXoNrUJCFqs8hwSVymQDCZiJJg" TargetMode="External"/><Relationship Id="rId1331" Type="http://schemas.openxmlformats.org/officeDocument/2006/relationships/hyperlink" Target="https://www.google.com/url?q=https://dmoj.ca/problem/dmpg18s5&amp;sa=D&amp;ust=1605639832333000&amp;usg=AFQjCNHKihDvqUzVuN4vZZxn1OTAH_v5FA" TargetMode="External"/><Relationship Id="rId1776" Type="http://schemas.openxmlformats.org/officeDocument/2006/relationships/hyperlink" Target="https://www.google.com/url?q=https://github.com/mostafa-saad/MyCompetitiveProgramming/blob/master/Olympiad/IOI/IOI-10-traffic.txt&amp;sa=D&amp;ust=1605639832464000&amp;usg=AFQjCNEyF4nYGxR_WX743dfbX-UodKznoQ" TargetMode="External"/><Relationship Id="rId1983" Type="http://schemas.openxmlformats.org/officeDocument/2006/relationships/hyperlink" Target="https://www.google.com/url?q=https://github.com/Coder-Boy1/Others/blob/master/IZHO%252014-divide&amp;sa=D&amp;ust=1605639832533000&amp;usg=AFQjCNGREJ9vdYzatfEWS501l9tZFDnJRA" TargetMode="External"/><Relationship Id="rId2827" Type="http://schemas.openxmlformats.org/officeDocument/2006/relationships/hyperlink" Target="https://www.google.com/url?q=https://szkopul.edu.pl/problemset/problem/w-dbshXVyRol4LIT9jeP-bNn/site/&amp;sa=D&amp;ust=1605639832796000&amp;usg=AFQjCNHTKNv1Ht7oaHyXgjeIvo-fohCH5A" TargetMode="External"/><Relationship Id="rId68" Type="http://schemas.openxmlformats.org/officeDocument/2006/relationships/hyperlink" Target="https://www.google.com/url?q=https://oj.uz/problems/source/326&amp;sa=D&amp;ust=1605639831970000&amp;usg=AFQjCNHqYs5z_sZfmYur9BZDSMpDqAaf5A" TargetMode="External"/><Relationship Id="rId1429" Type="http://schemas.openxmlformats.org/officeDocument/2006/relationships/hyperlink" Target="https://www.google.com/url?q=https://www.infoarena.ro/problema/cmmp&amp;sa=D&amp;ust=1605639832358000&amp;usg=AFQjCNGy4LXybsb907p-IOzV4srU5nYVzA" TargetMode="External"/><Relationship Id="rId1636" Type="http://schemas.openxmlformats.org/officeDocument/2006/relationships/hyperlink" Target="https://www.google.com/url?q=https://oj.uz/problem/view/innopolis2018_final_D&amp;sa=D&amp;ust=1605639832424000&amp;usg=AFQjCNE5ruXXQ7lRlUOTAoB_Ekuivk8HeQ" TargetMode="External"/><Relationship Id="rId1843" Type="http://schemas.openxmlformats.org/officeDocument/2006/relationships/hyperlink" Target="https://www.google.com/url?q=https://oj.uz/problem/view/IOI16_molecules&amp;sa=D&amp;ust=1605639832490000&amp;usg=AFQjCNGB3LkCLI8JPWTnTqLqnf8q1EfKqw" TargetMode="External"/><Relationship Id="rId1703" Type="http://schemas.openxmlformats.org/officeDocument/2006/relationships/hyperlink" Target="https://www.google.com/url?q=https://contest.yandex.ru/ioi/contest/566/enter/&amp;sa=D&amp;ust=1605639832443000&amp;usg=AFQjCNFa_7h7sUAR1mFQW1pHnVMOw7dHyg" TargetMode="External"/><Relationship Id="rId1910" Type="http://schemas.openxmlformats.org/officeDocument/2006/relationships/hyperlink" Target="https://www.google.com/url?q=https://wcipeg.com/problem/ioi1401&amp;sa=D&amp;ust=1605639832511000&amp;usg=AFQjCNHP00a4EuAV0T9H0oapTxXNNRsxXg" TargetMode="External"/><Relationship Id="rId284" Type="http://schemas.openxmlformats.org/officeDocument/2006/relationships/hyperlink" Target="https://www.google.com/url?q=https://github.com/mostafa-saad/MyCompetitiveProgramming/blob/master/Olympiad/Baltic/Baltic-15-fil.txt&amp;sa=D&amp;ust=1605639832036000&amp;usg=AFQjCNG36-_42nqbw-6baYM3Xm-rrqF-hQ" TargetMode="External"/><Relationship Id="rId491" Type="http://schemas.openxmlformats.org/officeDocument/2006/relationships/hyperlink" Target="https://www.google.com/url?q=https://github.com/mostafa-saad/MyCompetitiveProgramming/blob/master/Olympiad/CEOI/official/2013&amp;sa=D&amp;ust=1605639832104000&amp;usg=AFQjCNHgkFYF15Ho6d052lfVrPa_WCYCnA" TargetMode="External"/><Relationship Id="rId2172" Type="http://schemas.openxmlformats.org/officeDocument/2006/relationships/hyperlink" Target="https://www.google.com/url?q=https://oj.uz/problem/view/JOI17_arranging_tickets&amp;sa=D&amp;ust=1605639832604000&amp;usg=AFQjCNGnAXXhQTZjZdR2ClmxbP_EnAvAmg" TargetMode="External"/><Relationship Id="rId144" Type="http://schemas.openxmlformats.org/officeDocument/2006/relationships/hyperlink" Target="https://www.google.com/url?q=https://oj.uz/problem/view/BOI18_election&amp;sa=D&amp;ust=1605639831997000&amp;usg=AFQjCNHQJFXDIvCifhmxrVIvivvqmMTXaQ" TargetMode="External"/><Relationship Id="rId589" Type="http://schemas.openxmlformats.org/officeDocument/2006/relationships/hyperlink" Target="https://www.google.com/url?q=https://github.com/mostafa-saad/MyCompetitiveProgramming/tree/master/Olympiad/COCI/official/2007/contest5_solutions&amp;sa=D&amp;ust=1605639832129000&amp;usg=AFQjCNHWXYhHiz9_X2Uf3Vn3jFgrlihtKA" TargetMode="External"/><Relationship Id="rId796" Type="http://schemas.openxmlformats.org/officeDocument/2006/relationships/hyperlink" Target="https://www.google.com/url?q=https://wcipeg.com/problem/coci097p3&amp;sa=D&amp;ust=1605639832175000&amp;usg=AFQjCNEMkqgLAik36a8jclYpcGQ3voDBvA" TargetMode="External"/><Relationship Id="rId2477" Type="http://schemas.openxmlformats.org/officeDocument/2006/relationships/hyperlink" Target="https://www.google.com/url?q=https://po.kattis.com/problems/kattis/no&amp;sa=D&amp;ust=1605639832707000&amp;usg=AFQjCNHPijRpEn3uVmv9qOgZ91LUhgHLQg" TargetMode="External"/><Relationship Id="rId2684" Type="http://schemas.openxmlformats.org/officeDocument/2006/relationships/hyperlink" Target="https://www.google.com/url?q=https://github.com/mostafa-saad/MyCompetitiveProgramming/blob/master/Olympiad/POI/official/find_editorial_sols_guidelines.txt&amp;sa=D&amp;ust=1605639832754000&amp;usg=AFQjCNE1eRPu5aSNf41ivv7QHMjClfcwTQ" TargetMode="External"/><Relationship Id="rId351" Type="http://schemas.openxmlformats.org/officeDocument/2006/relationships/hyperlink" Target="https://www.google.com/url?q=https://dmoj.ca/problem/cco07p1&amp;sa=D&amp;ust=1605639832052000&amp;usg=AFQjCNFZyL7sJX_7vT1XTkYXC4HFY0ov6g" TargetMode="External"/><Relationship Id="rId449" Type="http://schemas.openxmlformats.org/officeDocument/2006/relationships/hyperlink" Target="https://www.google.com/url?q=https://cses.fi/180/list/&amp;sa=D&amp;ust=1605639832092000&amp;usg=AFQjCNEafgd8eLgDYQGrM17tVUrhHL93pA" TargetMode="External"/><Relationship Id="rId656" Type="http://schemas.openxmlformats.org/officeDocument/2006/relationships/hyperlink" Target="https://www.google.com/url?q=https://dmoj.ca/problem/coci07c3p5&amp;sa=D&amp;ust=1605639832143000&amp;usg=AFQjCNHdzauahT5UHAXpL-gM_7FqOA1S0Q" TargetMode="External"/><Relationship Id="rId863" Type="http://schemas.openxmlformats.org/officeDocument/2006/relationships/hyperlink" Target="https://www.google.com/url?q=https://wcipeg.com/problem/coci092p4&amp;sa=D&amp;ust=1605639832198000&amp;usg=AFQjCNGzzEj9eUaQ9vYYcxZ-V7Sqw48g3A" TargetMode="External"/><Relationship Id="rId1079" Type="http://schemas.openxmlformats.org/officeDocument/2006/relationships/hyperlink" Target="https://www.google.com/url?q=https://oj.uz/problem/view/COCI17_kartomat&amp;sa=D&amp;ust=1605639832254000&amp;usg=AFQjCNEIsPp8OIMh54PgvJGsrJTvn6jQbA" TargetMode="External"/><Relationship Id="rId1286" Type="http://schemas.openxmlformats.org/officeDocument/2006/relationships/hyperlink" Target="https://www.google.com/url?q=https://codeforces.com/blog/entry/66506&amp;sa=D&amp;ust=1605639832322000&amp;usg=AFQjCNHqfGGfI_ktmjwSXgnfutW6QdWU-Q" TargetMode="External"/><Relationship Id="rId1493" Type="http://schemas.openxmlformats.org/officeDocument/2006/relationships/hyperlink" Target="https://www.google.com/url?q=https://github.com/stefdasca/CompetitiveProgramming/blob/master/Infoarena/kdtree.cpp&amp;sa=D&amp;ust=1605639832378000&amp;usg=AFQjCNHYV4Jqz5KL2Zo0XRJYss5TX9rchg" TargetMode="External"/><Relationship Id="rId2032" Type="http://schemas.openxmlformats.org/officeDocument/2006/relationships/hyperlink" Target="https://www.google.com/url?q=https://github.com/nikolapesic2802/Programming-Practice/blob/master/Railroad%2520Trip/main.cpp&amp;sa=D&amp;ust=1605639832549000&amp;usg=AFQjCNFtFeHKkjuUzXwSh36jbUNLSl_y-w" TargetMode="External"/><Relationship Id="rId2337" Type="http://schemas.openxmlformats.org/officeDocument/2006/relationships/hyperlink" Target="https://www.google.com/url?q=https://www.comp.nus.edu.sg/~noi/2012/2012_soln.pdf&amp;sa=D&amp;ust=1605639832655000&amp;usg=AFQjCNHc2kN95eoA6RehqBaYR5P5cNc8dw" TargetMode="External"/><Relationship Id="rId2544" Type="http://schemas.openxmlformats.org/officeDocument/2006/relationships/hyperlink" Target="https://www.google.com/url?q=https://github.com/mostafa-saad/MyCompetitiveProgramming/blob/master/Olympiad/POI/official/find_editorial_sols_guidelines.txt&amp;sa=D&amp;ust=1605639832725000&amp;usg=AFQjCNH66WYwZdS1XQJXS_mmj3bTwIX4nw" TargetMode="External"/><Relationship Id="rId2891" Type="http://schemas.openxmlformats.org/officeDocument/2006/relationships/hyperlink" Target="https://www.google.com/url?q=https://github.com/SpeedOfMagic/CompetitiveProgramming/blob/master/SNSS/18-R5-A.cpp&amp;sa=D&amp;ust=1605639832817000&amp;usg=AFQjCNGexorQvAjB23PUKFowvnuZg34IVg" TargetMode="External"/><Relationship Id="rId2989" Type="http://schemas.openxmlformats.org/officeDocument/2006/relationships/hyperlink" Target="https://www.google.com/url?q=http://usaco.org/index.php?page%3Dviewproblem2%26cpid%3D921&amp;sa=D&amp;ust=1605639832862000&amp;usg=AFQjCNEaQZkt25-nGSJXB08937K6gXGcbg" TargetMode="External"/><Relationship Id="rId211" Type="http://schemas.openxmlformats.org/officeDocument/2006/relationships/hyperlink" Target="https://www.google.com/url?q=https://cses.fi/108/list/&amp;sa=D&amp;ust=1605639832018000&amp;usg=AFQjCNG_4Rl91fqOlD0Ns2JwRO_oVYj3Dw" TargetMode="External"/><Relationship Id="rId309" Type="http://schemas.openxmlformats.org/officeDocument/2006/relationships/hyperlink" Target="https://www.google.com/url?q=https://open.kattis.com/problem-sources/Baltic%2520Olympiad%2520in%2520Informatics%25202017%252C%2520Day%25201&amp;sa=D&amp;ust=1605639832041000&amp;usg=AFQjCNFCEwvy6RsN3ZZBxIAPD7WnIfyDtA" TargetMode="External"/><Relationship Id="rId516" Type="http://schemas.openxmlformats.org/officeDocument/2006/relationships/hyperlink" Target="https://www.google.com/url?q=https://oj.uz/problems/source/197&amp;sa=D&amp;ust=1605639832112000&amp;usg=AFQjCNE9d1-blwFja-afPoD9tp4oyx4HOg" TargetMode="External"/><Relationship Id="rId1146" Type="http://schemas.openxmlformats.org/officeDocument/2006/relationships/hyperlink" Target="https://www.google.com/url?q=https://oj.uz/problem/view/COCI18_nlo&amp;sa=D&amp;ust=1605639832274000&amp;usg=AFQjCNGiGlbgWCqd9jiXmPFDHtQ9_ZuG_A" TargetMode="External"/><Relationship Id="rId1798" Type="http://schemas.openxmlformats.org/officeDocument/2006/relationships/hyperlink" Target="https://www.google.com/url?q=https://github.com/mostafa-saad/MyCompetitiveProgramming/blob/master/Olympiad/IOI/IOI-12-editorials.txt&amp;sa=D&amp;ust=1605639832475000&amp;usg=AFQjCNFFzx-3d_qnxsWrIccjLh1G4CLxlA" TargetMode="External"/><Relationship Id="rId2751" Type="http://schemas.openxmlformats.org/officeDocument/2006/relationships/hyperlink" Target="https://www.google.com/url?q=https://szkopul.edu.pl/problemset/problem/rfG3gSJfUHoOk3t6379xduHr/site/&amp;sa=D&amp;ust=1605639832771000&amp;usg=AFQjCNFseDYKI6b_sDy0Q8GpfyykPpTgmQ" TargetMode="External"/><Relationship Id="rId2849" Type="http://schemas.openxmlformats.org/officeDocument/2006/relationships/hyperlink" Target="https://www.google.com/url?q=https://szkopul.edu.pl/problemset/problem/vvd6w7n7EXFVEg3nkqGxEirV/site/&amp;sa=D&amp;ust=1605639832803000&amp;usg=AFQjCNEzXl2kkCL_HKG3jzdBMuZ7c5xOaA" TargetMode="External"/><Relationship Id="rId723" Type="http://schemas.openxmlformats.org/officeDocument/2006/relationships/hyperlink" Target="https://www.google.com/url?q=https://github.com/mostafa-saad/MyCompetitiveProgramming/blob/master/Olympiad/COCI/COCI-08-BST.txt&amp;sa=D&amp;ust=1605639832157000&amp;usg=AFQjCNHdIcF97YT4jnXjJnF3Tq4KqQmUPw" TargetMode="External"/><Relationship Id="rId930" Type="http://schemas.openxmlformats.org/officeDocument/2006/relationships/hyperlink" Target="https://www.google.com/url?q=https://dmoj.ca/problem/coci14c7p4&amp;sa=D&amp;ust=1605639832216000&amp;usg=AFQjCNF9WWcY5CqrYS5NliBFpJSDAOj6TA" TargetMode="External"/><Relationship Id="rId1006" Type="http://schemas.openxmlformats.org/officeDocument/2006/relationships/hyperlink" Target="https://www.google.com/url?q=https://dmoj.ca/problem/coci15c3p5&amp;sa=D&amp;ust=1605639832235000&amp;usg=AFQjCNGt1pjA1TEXjqJXuY364ViJOCEqdA" TargetMode="External"/><Relationship Id="rId1353" Type="http://schemas.openxmlformats.org/officeDocument/2006/relationships/hyperlink" Target="https://www.google.com/url?q=https://codeforces.com/group/swEqtABRxe/contest/243427/problem/C&amp;sa=D&amp;ust=1605639832340000&amp;usg=AFQjCNG3CqOX5Y6puo32GNFUO504lAnzwQ" TargetMode="External"/><Relationship Id="rId1560" Type="http://schemas.openxmlformats.org/officeDocument/2006/relationships/hyperlink" Target="https://www.google.com/url?q=https://github.com/mostafa-saad/MyCompetitiveProgramming/blob/master/Olympiad/infoarena/infoarena-pitici3.txt&amp;sa=D&amp;ust=1605639832401000&amp;usg=AFQjCNFakyNpJ-GKV6u-MF_mIP6VRL7bdw" TargetMode="External"/><Relationship Id="rId1658" Type="http://schemas.openxmlformats.org/officeDocument/2006/relationships/hyperlink" Target="https://www.google.com/url?q=https://github.com/mostafa-saad/MyCompetitiveProgramming/blob/master/Olympiad/IOI/official/2001&amp;sa=D&amp;ust=1605639832431000&amp;usg=AFQjCNFnkEd9ChEf4OA52EH1rknh-FoWAQ" TargetMode="External"/><Relationship Id="rId1865" Type="http://schemas.openxmlformats.org/officeDocument/2006/relationships/hyperlink" Target="https://www.google.com/url?q=https://github.com/mostafa-saad/MyCompetitiveProgramming/blob/master/Olympiad/IOI/IOI-17-toytrain.txt&amp;sa=D&amp;ust=1605639832497000&amp;usg=AFQjCNGciS2RlS2-7CHvnqZQAFbEJ11Rkw" TargetMode="External"/><Relationship Id="rId2404" Type="http://schemas.openxmlformats.org/officeDocument/2006/relationships/hyperlink" Target="https://www.google.com/url?q=https://dunjudge.me/analysis/problems/699/&amp;sa=D&amp;ust=1605639832675000&amp;usg=AFQjCNEMbDdJusE6ELIV_ePW4I7O29Z6PA" TargetMode="External"/><Relationship Id="rId2611" Type="http://schemas.openxmlformats.org/officeDocument/2006/relationships/hyperlink" Target="https://www.google.com/url?q=https://szkopul.edu.pl/problemset/problem/EwpbJWZPly_zZ5i4ytg_8fDE/site/&amp;sa=D&amp;ust=1605639832739000&amp;usg=AFQjCNF-SHs4ucFci80hpvV5djoaLJlTLw" TargetMode="External"/><Relationship Id="rId2709" Type="http://schemas.openxmlformats.org/officeDocument/2006/relationships/hyperlink" Target="https://www.google.com/url?q=https://szkopul.edu.pl/problemset/problem/SXtZ8jxPUjMD5cLWqCI1EZLT/site/&amp;sa=D&amp;ust=1605639832759000&amp;usg=AFQjCNGooGaghHzFKOC5P61SICVh8oixGg" TargetMode="External"/><Relationship Id="rId1213" Type="http://schemas.openxmlformats.org/officeDocument/2006/relationships/hyperlink" Target="https://www.google.com/url?q=https://wcipeg.com/problem/coci087p6&amp;sa=D&amp;ust=1605639832303000&amp;usg=AFQjCNHRmuPRqFuXGb0Wezxxq8G-yKMpUA" TargetMode="External"/><Relationship Id="rId1420" Type="http://schemas.openxmlformats.org/officeDocument/2006/relationships/hyperlink" Target="https://www.google.com/url?q=https://github.com/stefdasca/CompetitiveProgramming/blob/master/Infoarena/cate3cifre.cpp&amp;sa=D&amp;ust=1605639832356000&amp;usg=AFQjCNEdNcu80La4m8ab1HIjxkQGNHGZ4g" TargetMode="External"/><Relationship Id="rId1518" Type="http://schemas.openxmlformats.org/officeDocument/2006/relationships/hyperlink" Target="https://www.google.com/url?q=https://infoarena.ro/problema/mindist&amp;sa=D&amp;ust=1605639832386000&amp;usg=AFQjCNEH070g2jspo4D80TF3n5n7xlfafQ" TargetMode="External"/><Relationship Id="rId2916" Type="http://schemas.openxmlformats.org/officeDocument/2006/relationships/hyperlink" Target="https://www.google.com/url?q=http://usaco.org/index.php?page%3Dviewproblem2%26cpid%3D194&amp;sa=D&amp;ust=1605639832824000&amp;usg=AFQjCNHjUUP0ztA7CvVc1_kJ42EuQFX5-g" TargetMode="External"/><Relationship Id="rId1725" Type="http://schemas.openxmlformats.org/officeDocument/2006/relationships/hyperlink" Target="https://www.google.com/url?q=https://oj.uz/problem/view/IOI07_miners&amp;sa=D&amp;ust=1605639832450000&amp;usg=AFQjCNFBuArRnrUkA4thW_4I7prqZea8pg" TargetMode="External"/><Relationship Id="rId1932" Type="http://schemas.openxmlformats.org/officeDocument/2006/relationships/hyperlink" Target="https://www.google.com/url?q=https://csacademy.com/contest/ioi-2016-training-round-5/task/tree-square/&amp;sa=D&amp;ust=1605639832518000&amp;usg=AFQjCNFi2_H1a13mbSJRf02h59Sn_-jHcQ" TargetMode="External"/><Relationship Id="rId17" Type="http://schemas.openxmlformats.org/officeDocument/2006/relationships/hyperlink" Target="https://www.google.com/url?q=https://tioj.ck.tp.edu.tw/problems/1742&amp;sa=D&amp;ust=1605639831957000&amp;usg=AFQjCNFNbINRbhjaZZ7nOOqX6E28b2i4JQ" TargetMode="External"/><Relationship Id="rId2194" Type="http://schemas.openxmlformats.org/officeDocument/2006/relationships/hyperlink" Target="https://www.google.com/url?q=https://oj.uz/problems/source/315&amp;sa=D&amp;ust=1605639832611000&amp;usg=AFQjCNF5-mXE9YQZoRoO40gkzfT5SjK6DA" TargetMode="External"/><Relationship Id="rId166" Type="http://schemas.openxmlformats.org/officeDocument/2006/relationships/hyperlink" Target="https://www.google.com/url?q=https://github.com/mostafa-saad/MyCompetitiveProgramming/blob/master/Olympiad/Baltic/Baltic-05-Polygon.txt&amp;sa=D&amp;ust=1605639832005000&amp;usg=AFQjCNGra1cAyXafibbFfHt-DXCtsLZfCg" TargetMode="External"/><Relationship Id="rId373" Type="http://schemas.openxmlformats.org/officeDocument/2006/relationships/hyperlink" Target="https://www.google.com/url?q=https://github.com/mostafa-saad/MyCompetitiveProgramming/blob/master/Olympiad/CEOI/CEOI-02-Bugs.txt&amp;sa=D&amp;ust=1605639832058000&amp;usg=AFQjCNHTQOEE34Adn1KtDhmBpGpWoLt7yA" TargetMode="External"/><Relationship Id="rId580" Type="http://schemas.openxmlformats.org/officeDocument/2006/relationships/hyperlink" Target="https://www.google.com/url?q=https://dmoj.ca/problem/coci06c5p5&amp;sa=D&amp;ust=1605639832127000&amp;usg=AFQjCNFSgGEBhrwsXj_k_NiyhJrwW9KOWw" TargetMode="External"/><Relationship Id="rId2054" Type="http://schemas.openxmlformats.org/officeDocument/2006/relationships/hyperlink" Target="https://www.google.com/url?q=https://github.com/mostafa-saad/MyCompetitiveProgramming/blob/master/Olympiad/JOI/JOI-18-Dangomaker.txt&amp;sa=D&amp;ust=1605639832555000&amp;usg=AFQjCNFbSDVTPOXzk1GKJM4ST2iiS8OqhA" TargetMode="External"/><Relationship Id="rId2261" Type="http://schemas.openxmlformats.org/officeDocument/2006/relationships/hyperlink" Target="https://www.google.com/url?q=https://github.com/mostafa-saad/MyCompetitiveProgramming/blob/master/Olympiad/MCO/MCO-16-town_planning.txt&amp;sa=D&amp;ust=1605639832634000&amp;usg=AFQjCNHiQWqgbIreUWvmD83oPkuHz1eUNQ" TargetMode="External"/><Relationship Id="rId2499" Type="http://schemas.openxmlformats.org/officeDocument/2006/relationships/hyperlink" Target="https://www.google.com/url?q=https://szkopul.edu.pl/problemset/problem/r6tMTfvQFPAEfQioYMCQndQe/site/&amp;sa=D&amp;ust=1605639832713000&amp;usg=AFQjCNF6BK76NlpzieDUU9iRZf9y7LETFA" TargetMode="External"/><Relationship Id="rId1" Type="http://schemas.openxmlformats.org/officeDocument/2006/relationships/hyperlink" Target="https://www.google.com/url?q=http://www.spoj.com/problems/BACKUP/&amp;sa=D&amp;ust=1605639831954000&amp;usg=AFQjCNGe7T80OYypPwFC9HoUOB4BEORtQA" TargetMode="External"/><Relationship Id="rId233" Type="http://schemas.openxmlformats.org/officeDocument/2006/relationships/hyperlink" Target="https://www.google.com/url?q=https://cses.fi/101/list/&amp;sa=D&amp;ust=1605639832024000&amp;usg=AFQjCNFWd8HGEcqR4ZQMkbiJZCYkVcoFug" TargetMode="External"/><Relationship Id="rId440" Type="http://schemas.openxmlformats.org/officeDocument/2006/relationships/hyperlink" Target="https://www.google.com/url?q=https://github.com/mostafa-saad/MyCompetitiveProgramming/blob/master/Olympiad/CEOI/CEOI-08-Snake.txt&amp;sa=D&amp;ust=1605639832089000&amp;usg=AFQjCNGdUeDvwA4-THuU_mWZJYDENTTYnA" TargetMode="External"/><Relationship Id="rId678" Type="http://schemas.openxmlformats.org/officeDocument/2006/relationships/hyperlink" Target="https://www.google.com/url?q=https://dmoj.ca/problem/crci07p2&amp;sa=D&amp;ust=1605639832148000&amp;usg=AFQjCNGz0fwAPs1m0AqP2h-OxxnHsRFK-A" TargetMode="External"/><Relationship Id="rId885" Type="http://schemas.openxmlformats.org/officeDocument/2006/relationships/hyperlink" Target="https://www.google.com/url?q=https://dunjudge.me/analysis/problems/1356/&amp;sa=D&amp;ust=1605639832205000&amp;usg=AFQjCNEsINN5oDp9VeQKaR_jAts2U2GO4Q" TargetMode="External"/><Relationship Id="rId1070" Type="http://schemas.openxmlformats.org/officeDocument/2006/relationships/hyperlink" Target="https://www.google.com/url?q=https://oj.uz/problem/view/COCI17_garaza&amp;sa=D&amp;ust=1605639832251000&amp;usg=AFQjCNFqJTw99hQwh3ftYKfVIlsZYT9lZw" TargetMode="External"/><Relationship Id="rId2121" Type="http://schemas.openxmlformats.org/officeDocument/2006/relationships/hyperlink" Target="https://www.google.com/url?q=https://joisc2013-day1.contest.atcoder.jp/tasks/joisc2013_collecting&amp;sa=D&amp;ust=1605639832577000&amp;usg=AFQjCNGlhXxIS4p5sUZVCwqjZwoVOuPL7g" TargetMode="External"/><Relationship Id="rId2359" Type="http://schemas.openxmlformats.org/officeDocument/2006/relationships/hyperlink" Target="https://www.google.com/url?q=https://dunjudge.me/analysis/problems/706/&amp;sa=D&amp;ust=1605639832661000&amp;usg=AFQjCNGUPmM84UT4yQyrT8TQKWCG9_8VFg" TargetMode="External"/><Relationship Id="rId2566" Type="http://schemas.openxmlformats.org/officeDocument/2006/relationships/hyperlink" Target="https://www.google.com/url?q=https://github.com/mostafa-saad/MyCompetitiveProgramming/blob/master/Olympiad/POI/official/find_editorial_sols_guidelines.txt&amp;sa=D&amp;ust=1605639832730000&amp;usg=AFQjCNEeoO4emLWLsWA2b5TW6ZPExKhKbQ" TargetMode="External"/><Relationship Id="rId2773" Type="http://schemas.openxmlformats.org/officeDocument/2006/relationships/hyperlink" Target="https://www.google.com/url?q=https://github.com/mostafa-saad/MyCompetitiveProgramming/blob/master/Olympiad/POI/POI-15-Seals-desc.txt&amp;sa=D&amp;ust=1605639832777000&amp;usg=AFQjCNEr5SD6-BMFJZwYchCblIOKK4xbtQ" TargetMode="External"/><Relationship Id="rId2980" Type="http://schemas.openxmlformats.org/officeDocument/2006/relationships/hyperlink" Target="https://www.google.com/url?q=http://usaco.org/index.php?page%3Dviewproblem2%26cpid%3D837&amp;sa=D&amp;ust=1605639832859000&amp;usg=AFQjCNFbHHjrp87RDkPLgVjzrKbMUbKudQ" TargetMode="External"/><Relationship Id="rId300" Type="http://schemas.openxmlformats.org/officeDocument/2006/relationships/hyperlink" Target="https://www.google.com/url?q=https://github.com/mostafa-saad/MyCompetitiveProgramming/blob/master/Olympiad/Baltic/Baltic-16-swap.txt&amp;sa=D&amp;ust=1605639832039000&amp;usg=AFQjCNHCgXHbyyjfPkWBm2yWXwJM5q7G-Q" TargetMode="External"/><Relationship Id="rId538" Type="http://schemas.openxmlformats.org/officeDocument/2006/relationships/hyperlink" Target="https://www.google.com/url?q=https://github.com/mostafa-saad/MyCompetitiveProgramming/tree/master/Olympiad/CEOI/official/2018/day2&amp;sa=D&amp;ust=1605639832117000&amp;usg=AFQjCNHkwkKY-M7ejHq-oSYNb9bIVN9jmg" TargetMode="External"/><Relationship Id="rId745" Type="http://schemas.openxmlformats.org/officeDocument/2006/relationships/hyperlink" Target="https://www.google.com/url?q=https://github.com/mostafa-saad/MyCompetitiveProgramming/blob/master/Olympiad/COCI/official/2009/contest2_solutions&amp;sa=D&amp;ust=1605639832161000&amp;usg=AFQjCNEKzNzxkGlXvIVGm437pRi_WmpO4g" TargetMode="External"/><Relationship Id="rId952" Type="http://schemas.openxmlformats.org/officeDocument/2006/relationships/hyperlink" Target="https://www.google.com/url?q=https://github.com/mostafa-saad/MyCompetitiveProgramming/blob/master/Olympiad/COCI/COCI-14-norma.txt&amp;sa=D&amp;ust=1605639832221000&amp;usg=AFQjCNHY_x1ybzk9vC0AyMHAZ5QzseKP0Q" TargetMode="External"/><Relationship Id="rId1168" Type="http://schemas.openxmlformats.org/officeDocument/2006/relationships/hyperlink" Target="https://www.google.com/url?q=https://oj.uz/problem/view/COCI18_kocka&amp;sa=D&amp;ust=1605639832283000&amp;usg=AFQjCNGmqGV0AT8F7VoIfWreuOZKUect6w" TargetMode="External"/><Relationship Id="rId1375" Type="http://schemas.openxmlformats.org/officeDocument/2006/relationships/hyperlink" Target="https://www.google.com/url?q=https://github.com/stefdasca/CompetitiveProgramming/blob/master/Info1Cup/National%2520Round/Treasure%2520(RO).pdf&amp;sa=D&amp;ust=1605639832346000&amp;usg=AFQjCNEn00xF6O0qdXlJ_5QmrH-DkdJDqQ" TargetMode="External"/><Relationship Id="rId1582" Type="http://schemas.openxmlformats.org/officeDocument/2006/relationships/hyperlink" Target="https://www.google.com/url?q=https://github.com/mostafa-saad/MyCompetitiveProgramming/blob/master/Olympiad/infoarena/infoarena-retea3.txt&amp;sa=D&amp;ust=1605639832407000&amp;usg=AFQjCNHuejQ1ze1F9DrNMurqw4ENYVM05g" TargetMode="External"/><Relationship Id="rId2219" Type="http://schemas.openxmlformats.org/officeDocument/2006/relationships/hyperlink" Target="https://www.google.com/url?q=https://oj.uz/problem/view/JOI19_dishes&amp;sa=D&amp;ust=1605639832619000&amp;usg=AFQjCNHMlYCmoe1MO272-7gS8WP4jWb_LQ" TargetMode="External"/><Relationship Id="rId2426" Type="http://schemas.openxmlformats.org/officeDocument/2006/relationships/hyperlink" Target="https://www.google.com/url?q=https://dunjudge.me/analysis/problems/186/&amp;sa=D&amp;ust=1605639832685000&amp;usg=AFQjCNEUh4lh7DxNjVqRNs9ttTtcanXwLA" TargetMode="External"/><Relationship Id="rId2633" Type="http://schemas.openxmlformats.org/officeDocument/2006/relationships/hyperlink" Target="https://www.google.com/url?q=https://szkopul.edu.pl/problemset/problem/3buviDQZWLE83AxVhvJJurgU/site/&amp;sa=D&amp;ust=1605639832745000&amp;usg=AFQjCNHn6KFbiA5ztKSYNTpODZBQU_NBlg" TargetMode="External"/><Relationship Id="rId81" Type="http://schemas.openxmlformats.org/officeDocument/2006/relationships/hyperlink" Target="https://www.google.com/url?q=https://www.acmicpc.net/problem/7083&amp;sa=D&amp;ust=1605639831975000&amp;usg=AFQjCNEQkePEE12WuVk0OpFb3YEsTJlOnQ" TargetMode="External"/><Relationship Id="rId605" Type="http://schemas.openxmlformats.org/officeDocument/2006/relationships/hyperlink" Target="https://www.google.com/url?q=https://github.com/mostafa-saad/MyCompetitiveProgramming/tree/master/Olympiad/COCI/official/2007/contest3_solutions&amp;sa=D&amp;ust=1605639832132000&amp;usg=AFQjCNEIPjgGFGq_ZiFW7J2qE6v7U3ZLbQ" TargetMode="External"/><Relationship Id="rId812" Type="http://schemas.openxmlformats.org/officeDocument/2006/relationships/hyperlink" Target="https://www.google.com/url?q=https://wcipeg.com/problem/coci091p5&amp;sa=D&amp;ust=1605639832180000&amp;usg=AFQjCNFqmlIrrjvpMoVH7TrM_GDZhXGE7w" TargetMode="External"/><Relationship Id="rId1028" Type="http://schemas.openxmlformats.org/officeDocument/2006/relationships/hyperlink" Target="https://www.google.com/url?q=https://oj.uz/problem/view/COCI16_imena&amp;sa=D&amp;ust=1605639832241000&amp;usg=AFQjCNG-B6lHBwLx1UbpYJE1mLBgIPJd2g" TargetMode="External"/><Relationship Id="rId1235" Type="http://schemas.openxmlformats.org/officeDocument/2006/relationships/hyperlink" Target="https://www.google.com/url?q=https://dunjudge.me/analysis/problems/543/&amp;sa=D&amp;ust=1605639832309000&amp;usg=AFQjCNFxwDwSBX0YEHfILxt55esVmn3JgA" TargetMode="External"/><Relationship Id="rId1442" Type="http://schemas.openxmlformats.org/officeDocument/2006/relationships/hyperlink" Target="https://www.google.com/url?q=https://www.infoarena.ro/problema/covor&amp;sa=D&amp;ust=1605639832361000&amp;usg=AFQjCNFyKQYDaLad2U8IxlcXwgiUtguM9A" TargetMode="External"/><Relationship Id="rId1887" Type="http://schemas.openxmlformats.org/officeDocument/2006/relationships/hyperlink" Target="https://www.google.com/url?q=https://github.com/mostafa-saad/MyCompetitiveProgramming/tree/master/Olympiad/IOI/official/2019&amp;sa=D&amp;ust=1605639832505000&amp;usg=AFQjCNFY3jC3_HTJBfh7IWWGIULSTs3sTw" TargetMode="External"/><Relationship Id="rId2840" Type="http://schemas.openxmlformats.org/officeDocument/2006/relationships/hyperlink" Target="https://www.google.com/url?q=https://szkopul.edu.pl/problemset/problem/xCiDtZ0ZX70fyac1Sav8d37J/site/&amp;sa=D&amp;ust=1605639832801000&amp;usg=AFQjCNFHcgTlJ1jiPbRCwpQD_QTg2ePLpQ" TargetMode="External"/><Relationship Id="rId2938" Type="http://schemas.openxmlformats.org/officeDocument/2006/relationships/hyperlink" Target="https://www.google.com/url?q=http://usaco.org/index.php?page%3Dviewproblem2%26cpid%3D674&amp;sa=D&amp;ust=1605639832831000&amp;usg=AFQjCNHFwCaCyfogIRCSMc9u7iuZHFd0IA" TargetMode="External"/><Relationship Id="rId1302" Type="http://schemas.openxmlformats.org/officeDocument/2006/relationships/hyperlink" Target="https://www.google.com/url?q=https://cses.fi/231/task/D&amp;sa=D&amp;ust=1605639832325000&amp;usg=AFQjCNErQeXqBOcLDPSiBdK6cmDbGq4mhw" TargetMode="External"/><Relationship Id="rId1747" Type="http://schemas.openxmlformats.org/officeDocument/2006/relationships/hyperlink" Target="https://www.google.com/url?q=https://oj.uz/problem/view/IOI09_garage&amp;sa=D&amp;ust=1605639832457000&amp;usg=AFQjCNHduYPkfp8Vi2fRybdZlj1lT4tqvQ" TargetMode="External"/><Relationship Id="rId1954" Type="http://schemas.openxmlformats.org/officeDocument/2006/relationships/hyperlink" Target="https://www.google.com/url?q=https://codeforces.com/group/swEqtABRxe/contest/243437/problem/A&amp;sa=D&amp;ust=1605639832524000&amp;usg=AFQjCNFs-nOWgciZJbJgDm6PEolmDYZaAA" TargetMode="External"/><Relationship Id="rId2700" Type="http://schemas.openxmlformats.org/officeDocument/2006/relationships/hyperlink" Target="https://www.google.com/url?q=https://github.com/mostafa-saad/MyCompetitiveProgramming/blob/master/Olympiad/POI/POI-12-Squarks.txt&amp;sa=D&amp;ust=1605639832757000&amp;usg=AFQjCNE2HJ7oCDlXPlMn-CtFMjFFZBmFfw" TargetMode="External"/><Relationship Id="rId39" Type="http://schemas.openxmlformats.org/officeDocument/2006/relationships/hyperlink" Target="https://www.google.com/url?q=https://github.com/tmwilliamlin168/CompetitiveProgramming/blob/master/APIO/13-Toll.cpp&amp;sa=D&amp;ust=1605639831961000&amp;usg=AFQjCNFCm4F-g7YMZPZEDKgTWlGpVUIAsQ" TargetMode="External"/><Relationship Id="rId1607" Type="http://schemas.openxmlformats.org/officeDocument/2006/relationships/hyperlink" Target="https://www.google.com/url?q=https://www.infoarena.ro/problema/tablou&amp;sa=D&amp;ust=1605639832415000&amp;usg=AFQjCNG6iXZJ5pzBWJUZpmIM8Y4a-Tl_ig" TargetMode="External"/><Relationship Id="rId1814" Type="http://schemas.openxmlformats.org/officeDocument/2006/relationships/hyperlink" Target="https://www.google.com/url?q=https://github.com/mostafa-saad/MyCompetitiveProgramming/blob/master/Olympiad/IOI/IOI-14-game.txt&amp;sa=D&amp;ust=1605639832479000&amp;usg=AFQjCNH2JeDoKRXLW4jBO15bCdDrWafNSw" TargetMode="External"/><Relationship Id="rId188" Type="http://schemas.openxmlformats.org/officeDocument/2006/relationships/hyperlink" Target="https://www.google.com/url?q=https://github.com/mostafa-saad/MyCompetitiveProgramming/blob/master/Olympiad/Baltic/official/boi2007_solutions&amp;sa=D&amp;ust=1605639832012000&amp;usg=AFQjCNEzjQJaeT3xhr-4ls3_4f5ja5x97A" TargetMode="External"/><Relationship Id="rId395" Type="http://schemas.openxmlformats.org/officeDocument/2006/relationships/hyperlink" Target="https://www.google.com/url?q=https://szkopul.edu.pl/problemset/problem/bNkLWTHzQeDyEuAUiKCwuxnG/site/&amp;sa=D&amp;ust=1605639832074000&amp;usg=AFQjCNGvHibcQxvRF2KhOvhauHXt97-PYw" TargetMode="External"/><Relationship Id="rId2076" Type="http://schemas.openxmlformats.org/officeDocument/2006/relationships/hyperlink" Target="https://www.google.com/url?q=https://oj.uz/problems/source/6&amp;sa=D&amp;ust=1605639832561000&amp;usg=AFQjCNGAc7VTu_qmOC2c0_F7dVsYRWH02A" TargetMode="External"/><Relationship Id="rId2283" Type="http://schemas.openxmlformats.org/officeDocument/2006/relationships/hyperlink" Target="https://www.google.com/url?q=https://dunjudge.me/analysis/problems/1495/&amp;sa=D&amp;ust=1605639832640000&amp;usg=AFQjCNGPO-CNAGA64w7TYY4EG9FrKbViaA" TargetMode="External"/><Relationship Id="rId2490" Type="http://schemas.openxmlformats.org/officeDocument/2006/relationships/hyperlink" Target="https://www.google.com/url?q=https://github.com/mostafa-saad/MyCompetitiveProgramming/blob/master/Olympiad/POI/POI-04-Game.txt&amp;sa=D&amp;ust=1605639832710000&amp;usg=AFQjCNHCP54qbECpuok8Nz6J9ck4z30Fhw" TargetMode="External"/><Relationship Id="rId2588" Type="http://schemas.openxmlformats.org/officeDocument/2006/relationships/hyperlink" Target="https://www.google.com/url?q=https://github.com/mostafa-saad/MyCompetitiveProgramming/blob/master/Olympiad/POI/POI-08-Permutation.txt&amp;sa=D&amp;ust=1605639832735000&amp;usg=AFQjCNGg0NodLY75WGAue4k5ycUCMvjOjg" TargetMode="External"/><Relationship Id="rId255" Type="http://schemas.openxmlformats.org/officeDocument/2006/relationships/hyperlink" Target="https://www.google.com/url?q=https://oj.uz/problem/view/BOI13_brunhilda&amp;sa=D&amp;ust=1605639832030000&amp;usg=AFQjCNGvc4Aj6ve6HqEFYPg7FeuWioK1EA" TargetMode="External"/><Relationship Id="rId462" Type="http://schemas.openxmlformats.org/officeDocument/2006/relationships/hyperlink" Target="https://www.google.com/url?q=https://szkopul.edu.pl/problemset/problem/a9Oxizbg6JUS3CkEZr9BOd_H/site/?key%3Dstatement&amp;sa=D&amp;ust=1605639832096000&amp;usg=AFQjCNG0LAbzoKMHlMWoNS-FAf-MqZ0ZaQ" TargetMode="External"/><Relationship Id="rId1092" Type="http://schemas.openxmlformats.org/officeDocument/2006/relationships/hyperlink" Target="https://www.google.com/url?q=https://github.com/mostafa-saad/MyCompetitiveProgramming/blob/master/Olympiad/COCI/official/2017/contest7_solutions&amp;sa=D&amp;ust=1605639832257000&amp;usg=AFQjCNFyi7rOVtLdHj48zquFR6anYOe0Mw" TargetMode="External"/><Relationship Id="rId1397" Type="http://schemas.openxmlformats.org/officeDocument/2006/relationships/hyperlink" Target="https://www.google.com/url?q=https://github.com/mostafa-saad/MyCompetitiveProgramming/blob/master/Olympiad/infoarena/infoarena-arb3.txt&amp;sa=D&amp;ust=1605639832351000&amp;usg=AFQjCNEsxcpqE4VEbghyZ8wGg2L-ccXPcg" TargetMode="External"/><Relationship Id="rId2143" Type="http://schemas.openxmlformats.org/officeDocument/2006/relationships/hyperlink" Target="https://www.google.com/url?q=https://dunjudge.me/analysis/problems/771/&amp;sa=D&amp;ust=1605639832590000&amp;usg=AFQjCNHr7s1y88Qt9s4XR1lWxy8C7nthBQ" TargetMode="External"/><Relationship Id="rId2350" Type="http://schemas.openxmlformats.org/officeDocument/2006/relationships/hyperlink" Target="https://www.google.com/url?q=https://github.com/mostafa-saad/MyCompetitiveProgramming/blob/master/Olympiad/NOI/official&amp;sa=D&amp;ust=1605639832659000&amp;usg=AFQjCNEXDXs3eOcQaVtkEvH_gA1Jd5t6RQ" TargetMode="External"/><Relationship Id="rId2795" Type="http://schemas.openxmlformats.org/officeDocument/2006/relationships/hyperlink" Target="https://www.google.com/url?q=https://szkopul.edu.pl/problemset/problem/y9HM1ctDU8V8xLMRUYACDIRs/site/&amp;sa=D&amp;ust=1605639832785000&amp;usg=AFQjCNEou9h1Svjtl3_y3A-ENeC1SbREIw" TargetMode="External"/><Relationship Id="rId115" Type="http://schemas.openxmlformats.org/officeDocument/2006/relationships/hyperlink" Target="https://www.google.com/url?q=https://github.com/mostafa-saad/MyCompetitiveProgramming/tree/master/Olympiad/Balkan/official/2015&amp;sa=D&amp;ust=1605639831987000&amp;usg=AFQjCNEFo8nS2NPeDSb51fuAlqp3yHNk6g" TargetMode="External"/><Relationship Id="rId322" Type="http://schemas.openxmlformats.org/officeDocument/2006/relationships/hyperlink" Target="https://www.google.com/url?q=https://github.com/mostafa-saad/MyCompetitiveProgramming/blob/master/Olympiad/Baltic/Baltic-18-Paths.txt&amp;sa=D&amp;ust=1605639832044000&amp;usg=AFQjCNELyy23Sng2-C7r8XkDcgXTmqya9Q" TargetMode="External"/><Relationship Id="rId767" Type="http://schemas.openxmlformats.org/officeDocument/2006/relationships/hyperlink" Target="https://www.google.com/url?q=https://github.com/mostafa-saad/MyCompetitiveProgramming/blob/master/Olympiad/COCI/official/2009/contest2_solutions&amp;sa=D&amp;ust=1605639832166000&amp;usg=AFQjCNGcdU-8XTS0CuT0yVS_ISM2TAbVtQ" TargetMode="External"/><Relationship Id="rId974" Type="http://schemas.openxmlformats.org/officeDocument/2006/relationships/hyperlink" Target="https://www.google.com/url?q=https://dmoj.ca/problem/coci14c2p5&amp;sa=D&amp;ust=1605639832226000&amp;usg=AFQjCNEByNY7RnXomFaVYjPQMq6_IndzPw" TargetMode="External"/><Relationship Id="rId2003" Type="http://schemas.openxmlformats.org/officeDocument/2006/relationships/hyperlink" Target="https://www.google.com/url?q=https://oj.uz/problem/view/IZhO18_segments&amp;sa=D&amp;ust=1605639832541000&amp;usg=AFQjCNH0V8rDsBxPjK7_tr7ywiBwW1WA9w" TargetMode="External"/><Relationship Id="rId2210" Type="http://schemas.openxmlformats.org/officeDocument/2006/relationships/hyperlink" Target="https://www.google.com/url?q=https://codeforces.com/blog/entry/58433&amp;sa=D&amp;ust=1605639832616000&amp;usg=AFQjCNEpHIxGiPWiGxOI9JmEyoXHI6iqyw" TargetMode="External"/><Relationship Id="rId2448" Type="http://schemas.openxmlformats.org/officeDocument/2006/relationships/hyperlink" Target="https://www.google.com/url?q=https://dunjudge.me/analysis/problems/951/&amp;sa=D&amp;ust=1605639832695000&amp;usg=AFQjCNFP_zDiJVr480oBWsaEmQ97WYK_ZQ" TargetMode="External"/><Relationship Id="rId2655" Type="http://schemas.openxmlformats.org/officeDocument/2006/relationships/hyperlink" Target="https://www.google.com/url?q=https://oj.uz/problem/view/POI11_pro&amp;sa=D&amp;ust=1605639832749000&amp;usg=AFQjCNGpjCpLjW8TV_laBBhaZpHX69qa-Q" TargetMode="External"/><Relationship Id="rId2862" Type="http://schemas.openxmlformats.org/officeDocument/2006/relationships/hyperlink" Target="https://www.google.com/url?q=https://github.com/MetalBall887/Competitive-Programming/blob/master/CSAcademy/ROJS%252017-borland.cpp&amp;sa=D&amp;ust=1605639832807000&amp;usg=AFQjCNHJwZkL8iPdyXLpRxfsLBV1ia93ig" TargetMode="External"/><Relationship Id="rId627" Type="http://schemas.openxmlformats.org/officeDocument/2006/relationships/hyperlink" Target="https://www.google.com/url?q=https://github.com/mostafa-saad/MyCompetitiveProgramming/tree/master/Olympiad/COCI/official/2007/contest5_solutions&amp;sa=D&amp;ust=1605639832137000&amp;usg=AFQjCNHDsz8aX-M1KAJTuywfCjwRtxin4Q" TargetMode="External"/><Relationship Id="rId834" Type="http://schemas.openxmlformats.org/officeDocument/2006/relationships/hyperlink" Target="https://www.google.com/url?q=https://github.com/mostafa-saad/MyCompetitiveProgramming/blob/master/Olympiad/COCI/COCI-09-Ograda.txt&amp;sa=D&amp;ust=1605639832188000&amp;usg=AFQjCNEWqze7LNalMxifd6Pti3Sv4rsibg" TargetMode="External"/><Relationship Id="rId1257" Type="http://schemas.openxmlformats.org/officeDocument/2006/relationships/hyperlink" Target="https://www.google.com/url?q=https://github.com/mostafa-saad/MyCompetitiveProgramming/blob/master/Olympiad/COI/COI-15-nafta.txt&amp;sa=D&amp;ust=1605639832315000&amp;usg=AFQjCNEnYYoMuheMmTvpWZp4EeFspk_aVA" TargetMode="External"/><Relationship Id="rId1464" Type="http://schemas.openxmlformats.org/officeDocument/2006/relationships/hyperlink" Target="https://www.google.com/url?q=https://infoarena.ro/problema/eq&amp;sa=D&amp;ust=1605639832368000&amp;usg=AFQjCNGpdlz1irk8AttsCu9TOUhHApAoQQ" TargetMode="External"/><Relationship Id="rId1671" Type="http://schemas.openxmlformats.org/officeDocument/2006/relationships/hyperlink" Target="https://www.google.com/url?q=https://dunjudge.me/analysis/problems/738/&amp;sa=D&amp;ust=1605639832435000&amp;usg=AFQjCNHXpMHM3mpGDh469cxGB8wWCdvKHw" TargetMode="External"/><Relationship Id="rId2308" Type="http://schemas.openxmlformats.org/officeDocument/2006/relationships/hyperlink" Target="https://www.google.com/url?q=https://github.com/mostafa-saad/MyCompetitiveProgramming/blob/master/Olympiad/NOI/official&amp;sa=D&amp;ust=1605639832648000&amp;usg=AFQjCNHBivXXbG7FlY52J8yObjmCv43sKw" TargetMode="External"/><Relationship Id="rId2515" Type="http://schemas.openxmlformats.org/officeDocument/2006/relationships/hyperlink" Target="https://www.google.com/url?q=https://szkopul.edu.pl/problemset/problem/cB5m-M5ddsFOWLds2CwcYKge/site/&amp;sa=D&amp;ust=1605639832717000&amp;usg=AFQjCNHY8PNs5xD2V7_W1z5osIbnuDLk-w" TargetMode="External"/><Relationship Id="rId2722" Type="http://schemas.openxmlformats.org/officeDocument/2006/relationships/hyperlink" Target="https://www.google.com/url?q=https://github.com/mostafa-saad/MyCompetitiveProgramming/blob/master/Olympiad/POI/official/find_editorial_sols_guidelines.txt&amp;sa=D&amp;ust=1605639832762000&amp;usg=AFQjCNF41WY9-gAXc4oEmeHoXMVncoMo7w" TargetMode="External"/><Relationship Id="rId901" Type="http://schemas.openxmlformats.org/officeDocument/2006/relationships/hyperlink" Target="https://www.google.com/url?q=https://dunjudge.me/analysis/problems/777/&amp;sa=D&amp;ust=1605639832209000&amp;usg=AFQjCNGo7BMIMbS94vSnBu6Iw1KzVIFlxg" TargetMode="External"/><Relationship Id="rId1117" Type="http://schemas.openxmlformats.org/officeDocument/2006/relationships/hyperlink" Target="https://www.google.com/url?q=https://oj.uz/problem/view/COCI17_telefoni&amp;sa=D&amp;ust=1605639832263000&amp;usg=AFQjCNFe4n_ZTpHebvj2qtkiNIF0Tb88yw" TargetMode="External"/><Relationship Id="rId1324" Type="http://schemas.openxmlformats.org/officeDocument/2006/relationships/hyperlink" Target="https://www.google.com/url?q=https://dmoj.ca/problem/dmopc18c3p4&amp;sa=D&amp;ust=1605639832331000&amp;usg=AFQjCNFJmiOIFcquhYIs8xPssZB3aJan4A" TargetMode="External"/><Relationship Id="rId1531" Type="http://schemas.openxmlformats.org/officeDocument/2006/relationships/hyperlink" Target="https://www.google.com/url?q=https://github.com/stefdasca/CompetitiveProgramming/blob/master/Infoarena/nrsubsecv.cpp&amp;sa=D&amp;ust=1605639832391000&amp;usg=AFQjCNHKOt8RQs4ayMwAq_0WSNu3oqOlGw" TargetMode="External"/><Relationship Id="rId1769" Type="http://schemas.openxmlformats.org/officeDocument/2006/relationships/hyperlink" Target="https://www.google.com/url?q=https://contest.yandex.ru/ioi/contest/570/enter/&amp;sa=D&amp;ust=1605639832462000&amp;usg=AFQjCNGIqBk6bBI69hY2TMX62BnyNa4ZuQ" TargetMode="External"/><Relationship Id="rId1976" Type="http://schemas.openxmlformats.org/officeDocument/2006/relationships/hyperlink" Target="https://www.google.com/url?q=https://github.com/mostafa-saad/MyCompetitiveProgramming/blob/master/Olympiad/IZhO/IZhO-13-school.txt&amp;sa=D&amp;ust=1605639832531000&amp;usg=AFQjCNHPRi1KQmk0Br21BgH94pfYa1whZw" TargetMode="External"/><Relationship Id="rId30" Type="http://schemas.openxmlformats.org/officeDocument/2006/relationships/hyperlink" Target="https://www.google.com/url?q=https://dmoj.ca/problem/apio12p1&amp;sa=D&amp;ust=1605639831959000&amp;usg=AFQjCNEijPUixe9izfM7mS2pdpSRdt0tKA" TargetMode="External"/><Relationship Id="rId1629" Type="http://schemas.openxmlformats.org/officeDocument/2006/relationships/hyperlink" Target="https://www.google.com/url?q=https://www.infoarena.ro/problema/zmeu&amp;sa=D&amp;ust=1605639832422000&amp;usg=AFQjCNH_qg8a0z2otGH54BdyQxSnHHpfHg" TargetMode="External"/><Relationship Id="rId1836" Type="http://schemas.openxmlformats.org/officeDocument/2006/relationships/hyperlink" Target="https://www.google.com/url?q=https://github.com/mostafa-saad/MyCompetitiveProgramming/blob/master/Olympiad/IOI/IOI-16-aliens.txt&amp;sa=D&amp;ust=1605639832488000&amp;usg=AFQjCNG8SRfub3LDG7h87SsuobQTtH8cfg" TargetMode="External"/><Relationship Id="rId1903" Type="http://schemas.openxmlformats.org/officeDocument/2006/relationships/hyperlink" Target="https://www.google.com/url?q=https://www.hackerrank.com/contests/ioi-2014-practice-contest-2/challenges&amp;sa=D&amp;ust=1605639832509000&amp;usg=AFQjCNEBuA6Gox_rfmcTN_6AtX7Nea03rA" TargetMode="External"/><Relationship Id="rId2098" Type="http://schemas.openxmlformats.org/officeDocument/2006/relationships/hyperlink" Target="https://www.google.com/url?q=https://oj.uz/problems/source/213&amp;sa=D&amp;ust=1605639832567000&amp;usg=AFQjCNHp3J7PitlM7YsbyxH_k8SJ9Sbvsw" TargetMode="External"/><Relationship Id="rId277" Type="http://schemas.openxmlformats.org/officeDocument/2006/relationships/hyperlink" Target="https://www.google.com/url?q=https://oj.uz/problem/view/BOI14_sequence&amp;sa=D&amp;ust=1605639832034000&amp;usg=AFQjCNG925xE8D0PGa-Ox01hn4iT31iVaQ" TargetMode="External"/><Relationship Id="rId484" Type="http://schemas.openxmlformats.org/officeDocument/2006/relationships/hyperlink" Target="https://www.google.com/url?q=https://www.acmicpc.net/problem/9282&amp;sa=D&amp;ust=1605639832102000&amp;usg=AFQjCNHxpZNbXl_R_lFjnkwkOy-D0VpNDg" TargetMode="External"/><Relationship Id="rId2165" Type="http://schemas.openxmlformats.org/officeDocument/2006/relationships/hyperlink" Target="https://www.google.com/url?q=https://joisc2016.contest.atcoder.jp/tasks/joisc2016_k&amp;sa=D&amp;ust=1605639832601000&amp;usg=AFQjCNH839stVes8g8lAnNv81pv7itFu2w" TargetMode="External"/><Relationship Id="rId3009" Type="http://schemas.openxmlformats.org/officeDocument/2006/relationships/hyperlink" Target="https://www.google.com/url?q=http://www.usaco.org/index.php?page%3Dviewproblem2%26cpid%3D994&amp;sa=D&amp;ust=1605639832871000&amp;usg=AFQjCNFE2t-Obnl7MDvj8oeue5PfScYfTg" TargetMode="External"/><Relationship Id="rId137" Type="http://schemas.openxmlformats.org/officeDocument/2006/relationships/hyperlink" Target="https://www.google.com/url?q=https://csacademy.com/contest/balkan-oi-2017-day-2/&amp;sa=D&amp;ust=1605639831995000&amp;usg=AFQjCNHfEa9KVop0Rz3xEU3SrO_USAuE3w" TargetMode="External"/><Relationship Id="rId344" Type="http://schemas.openxmlformats.org/officeDocument/2006/relationships/hyperlink" Target="https://www.google.com/url?q=https://dmoj.ca/problem/ccc13s5&amp;sa=D&amp;ust=1605639832049000&amp;usg=AFQjCNE5J0p_ieaVfNCVQiUU3W0v1GfViQ" TargetMode="External"/><Relationship Id="rId691" Type="http://schemas.openxmlformats.org/officeDocument/2006/relationships/hyperlink" Target="https://www.google.com/url?q=https://github.com/mostafa-saad/MyCompetitiveProgramming/tree/master/Olympiad/COCI/official/2008/contest4_solutions&amp;sa=D&amp;ust=1605639832150000&amp;usg=AFQjCNHeNaTF4ZOfSIhH6XD6C-nOcCNORw" TargetMode="External"/><Relationship Id="rId789" Type="http://schemas.openxmlformats.org/officeDocument/2006/relationships/hyperlink" Target="https://www.google.com/url?q=https://github.com/mostafa-saad/MyCompetitiveProgramming/blob/master/Olympiad/COCI/COCI-08-Tresnja.txt&amp;sa=D&amp;ust=1605639832173000&amp;usg=AFQjCNHhw7zliF5gXzLMToGTBT1F_hX23w" TargetMode="External"/><Relationship Id="rId996" Type="http://schemas.openxmlformats.org/officeDocument/2006/relationships/hyperlink" Target="https://www.google.com/url?q=https://github.com/mostafa-saad/MyCompetitiveProgramming/blob/master/Olympiad/COCI/COCI-15-Endor.txt&amp;sa=D&amp;ust=1605639832232000&amp;usg=AFQjCNFKvYHhbigqT6s7gXHkiZ0vR6tkVQ" TargetMode="External"/><Relationship Id="rId2025" Type="http://schemas.openxmlformats.org/officeDocument/2006/relationships/hyperlink" Target="https://www.google.com/url?q=https://joi2014ho.contest.atcoder.jp/tasks/joi2014ho1&amp;sa=D&amp;ust=1605639832546000&amp;usg=AFQjCNEziMO-9xBvervAbtWfibmEQhYVtA" TargetMode="External"/><Relationship Id="rId2372" Type="http://schemas.openxmlformats.org/officeDocument/2006/relationships/hyperlink" Target="https://www.google.com/url?q=https://github.com/mostafa-saad/MyCompetitiveProgramming/blob/master/Olympiad/NOI/official&amp;sa=D&amp;ust=1605639832663000&amp;usg=AFQjCNGJYxZPGzN7IFVtrj0k0RQ1RqHt9w" TargetMode="External"/><Relationship Id="rId2677" Type="http://schemas.openxmlformats.org/officeDocument/2006/relationships/hyperlink" Target="https://www.google.com/url?q=https://oj.uz/problem/view/POI11_sej&amp;sa=D&amp;ust=1605639832753000&amp;usg=AFQjCNG5YTsRNF5HKiGBd0dlEB23JQ27SQ" TargetMode="External"/><Relationship Id="rId2884" Type="http://schemas.openxmlformats.org/officeDocument/2006/relationships/hyperlink" Target="https://www.google.com/url?q=https://github.com/SpeedOfMagic/CompetitiveProgramming/blob/master/RusOI-reg/13-capitals.cpp&amp;sa=D&amp;ust=1605639832815000&amp;usg=AFQjCNGgqZKW7F5Jv0_Pjl9-JAshTwfFHQ" TargetMode="External"/><Relationship Id="rId551" Type="http://schemas.openxmlformats.org/officeDocument/2006/relationships/hyperlink" Target="https://www.google.com/url?q=https://codeforces.com/blog/entry/68676&amp;sa=D&amp;ust=1605639832120000&amp;usg=AFQjCNGXJZnhhGhJyGQrQ6owtwd1iigkRA" TargetMode="External"/><Relationship Id="rId649" Type="http://schemas.openxmlformats.org/officeDocument/2006/relationships/hyperlink" Target="https://www.google.com/url?q=https://github.com/mostafa-saad/MyCompetitiveProgramming/blob/master/Olympiad/COCI/COCI-07-Cestarine.txt&amp;sa=D&amp;ust=1605639832142000&amp;usg=AFQjCNGare0g5pl5Sa_HJ_K98gCEhxPV8g" TargetMode="External"/><Relationship Id="rId856" Type="http://schemas.openxmlformats.org/officeDocument/2006/relationships/hyperlink" Target="https://www.google.com/url?q=https://github.com/mostafa-saad/MyCompetitiveProgramming/blob/master/Olympiad/COCI/official/2010/contest5_solutions&amp;sa=D&amp;ust=1605639832196000&amp;usg=AFQjCNESFRicoJwcYLf5QtUWXHCK0_KZyg" TargetMode="External"/><Relationship Id="rId1181" Type="http://schemas.openxmlformats.org/officeDocument/2006/relationships/hyperlink" Target="https://www.google.com/url?q=https://oj.uz/problem/view/COCI19_slicice&amp;sa=D&amp;ust=1605639832287000&amp;usg=AFQjCNHvNxWAqw9aKKNJtF75G1GToEGvUQ" TargetMode="External"/><Relationship Id="rId1279" Type="http://schemas.openxmlformats.org/officeDocument/2006/relationships/hyperlink" Target="https://www.google.com/url?q=https://oj.uz/problem/view/COI17_zagrade&amp;sa=D&amp;ust=1605639832320000&amp;usg=AFQjCNFkDDTyXvo5FBL-wRG1jd8unzeb9A" TargetMode="External"/><Relationship Id="rId1486" Type="http://schemas.openxmlformats.org/officeDocument/2006/relationships/hyperlink" Target="https://www.google.com/url?q=https://www.infoarena.ro/problema/jsched&amp;sa=D&amp;ust=1605639832375000&amp;usg=AFQjCNGBhzFWqT2r2uMdrehTLER6cGb6Bg" TargetMode="External"/><Relationship Id="rId2232" Type="http://schemas.openxmlformats.org/officeDocument/2006/relationships/hyperlink" Target="https://www.google.com/url?q=https://github.com/dolphingarlic/CompetitiveProgramming/blob/master/LMIO/LMIO%252019-bulves.cpp&amp;sa=D&amp;ust=1605639832624000&amp;usg=AFQjCNHrAv33Ty0I-WS_RjQZiSGQavKahw" TargetMode="External"/><Relationship Id="rId2537" Type="http://schemas.openxmlformats.org/officeDocument/2006/relationships/hyperlink" Target="https://www.google.com/url?q=https://szkopul.edu.pl/problemset/problem/d5W4-JZbz1vSmQCLIJ91__9N/site/&amp;sa=D&amp;ust=1605639832723000&amp;usg=AFQjCNHtuGWZ3FbciBPuDKwG2mh73sV9vg" TargetMode="External"/><Relationship Id="rId204" Type="http://schemas.openxmlformats.org/officeDocument/2006/relationships/hyperlink" Target="https://www.google.com/url?q=https://github.com/Szawinis/CompetitiveProgramming/blob/master/Olympiad/Baltic/Baltic09-candy.cpp&amp;sa=D&amp;ust=1605639832016000&amp;usg=AFQjCNF_2cTE-tsVuDIWAEZA7Xsf2gU-RQ" TargetMode="External"/><Relationship Id="rId411" Type="http://schemas.openxmlformats.org/officeDocument/2006/relationships/hyperlink" Target="https://www.google.com/url?q=https://cses.fi/185/list/&amp;sa=D&amp;ust=1605639832079000&amp;usg=AFQjCNHXZiJ-V997PxZ63CdfLjm8mjXxkA" TargetMode="External"/><Relationship Id="rId509" Type="http://schemas.openxmlformats.org/officeDocument/2006/relationships/hyperlink" Target="https://www.google.com/url?q=https://oj.uz/problems/source/245&amp;sa=D&amp;ust=1605639832110000&amp;usg=AFQjCNE9U1zQhvWHMxmdjP4F6xxfge-7WA" TargetMode="External"/><Relationship Id="rId1041" Type="http://schemas.openxmlformats.org/officeDocument/2006/relationships/hyperlink" Target="https://www.google.com/url?q=https://github.com/mostafa-saad/MyCompetitiveProgramming/blob/master/Olympiad/COCI/official/2017/contest3_solutions&amp;sa=D&amp;ust=1605639832244000&amp;usg=AFQjCNEStpR7X0JiRlPU7dLG9Ast_BXS6w" TargetMode="External"/><Relationship Id="rId1139" Type="http://schemas.openxmlformats.org/officeDocument/2006/relationships/hyperlink" Target="https://www.google.com/url?q=https://oj.uz/problem/view/COCI18_go&amp;sa=D&amp;ust=1605639832271000&amp;usg=AFQjCNFTgUYwnE81MLNct1CJ9fTObMyahA" TargetMode="External"/><Relationship Id="rId1346" Type="http://schemas.openxmlformats.org/officeDocument/2006/relationships/hyperlink" Target="https://www.google.com/url?q=https://codeforces.com/group/swEqtABRxe/contest/227531/problem/C&amp;sa=D&amp;ust=1605639832338000&amp;usg=AFQjCNF3vO-tX0gU0_Ix7hHFVfjMyQ3_zg" TargetMode="External"/><Relationship Id="rId1693" Type="http://schemas.openxmlformats.org/officeDocument/2006/relationships/hyperlink" Target="https://www.google.com/url?q=https://contest.yandex.ru/ioi/contest/560/enter/&amp;sa=D&amp;ust=1605639832441000&amp;usg=AFQjCNF1CPJcL9nVVq2vlEH9PTt3xWbF2g" TargetMode="External"/><Relationship Id="rId1998" Type="http://schemas.openxmlformats.org/officeDocument/2006/relationships/hyperlink" Target="https://www.google.com/url?q=https://oj.uz/problem/view/IZhO17_subsequence&amp;sa=D&amp;ust=1605639832538000&amp;usg=AFQjCNFaO5PgMgsjljhT21ZksRKeIH1O-A" TargetMode="External"/><Relationship Id="rId2744" Type="http://schemas.openxmlformats.org/officeDocument/2006/relationships/hyperlink" Target="https://www.google.com/url?q=https://github.com/mostafa-saad/MyCompetitiveProgramming/blob/master/Olympiad/POI/POI-14-FarmCraft.txt&amp;sa=D&amp;ust=1605639832767000&amp;usg=AFQjCNFWs-ftYjSgk82jURczxaYe8Pyf3Q" TargetMode="External"/><Relationship Id="rId2951" Type="http://schemas.openxmlformats.org/officeDocument/2006/relationships/hyperlink" Target="https://www.google.com/url?q=https://github.com/MohamedAhmed04/Competitive-programming/blob/master/USACO/17-February-Platinum-WhyDidTheCowCrossTheRoadIII.cpp&amp;sa=D&amp;ust=1605639832837000&amp;usg=AFQjCNGRSAptv8nHQMxmSu1o_hD1gRrD3g" TargetMode="External"/><Relationship Id="rId716" Type="http://schemas.openxmlformats.org/officeDocument/2006/relationships/hyperlink" Target="https://www.google.com/url?q=https://dmoj.ca/problem/coci07c4p2&amp;sa=D&amp;ust=1605639832156000&amp;usg=AFQjCNE7NBrAhi_MOCiPqS8WrjKWmRWjVw" TargetMode="External"/><Relationship Id="rId923" Type="http://schemas.openxmlformats.org/officeDocument/2006/relationships/hyperlink" Target="https://www.google.com/url?q=https://github.com/mostafa-saad/MyCompetitiveProgramming/blob/master/Olympiad/COCI/official/2015/contest3_solutions&amp;sa=D&amp;ust=1605639832214000&amp;usg=AFQjCNEsi2UPwDTSWSPXn_ej4ryWIxHeZA" TargetMode="External"/><Relationship Id="rId1553" Type="http://schemas.openxmlformats.org/officeDocument/2006/relationships/hyperlink" Target="https://www.google.com/url?q=https://github.com/mostafa-saad/MyCompetitiveProgramming/blob/master/Olympiad/infoarena/infoarena-permsort.txt&amp;sa=D&amp;ust=1605639832397000&amp;usg=AFQjCNFb8GhIXP9_GXwOHwdmu4FaMUs_Jg" TargetMode="External"/><Relationship Id="rId1760" Type="http://schemas.openxmlformats.org/officeDocument/2006/relationships/hyperlink" Target="https://www.google.com/url?q=https://github.com/mostafa-saad/MyCompetitiveProgramming/blob/master/Olympiad/IOI/IOI-09-salesman.txt&amp;sa=D&amp;ust=1605639832460000&amp;usg=AFQjCNFzFTavh0a_wEQKJnf81lHGAT5rJA" TargetMode="External"/><Relationship Id="rId1858" Type="http://schemas.openxmlformats.org/officeDocument/2006/relationships/hyperlink" Target="https://www.google.com/url?q=https://oj.uz/problem/view/IOI17_mountains&amp;sa=D&amp;ust=1605639832496000&amp;usg=AFQjCNFn4ikN7Wzl_IfceYdw-muNzyXONA" TargetMode="External"/><Relationship Id="rId2604" Type="http://schemas.openxmlformats.org/officeDocument/2006/relationships/hyperlink" Target="https://www.google.com/url?q=https://github.com/mostafa-saad/MyCompetitiveProgramming/blob/master/Olympiad/POI/official/find_editorial_sols_guidelines.txt&amp;sa=D&amp;ust=1605639832738000&amp;usg=AFQjCNHYiKFtBeUG42yKDSY6asoT0h6FmQ" TargetMode="External"/><Relationship Id="rId2811" Type="http://schemas.openxmlformats.org/officeDocument/2006/relationships/hyperlink" Target="https://www.google.com/url?q=https://szkopul.edu.pl/problemset/problem/9TaxfuNdAv2FPpQ6PeB-vlti/site/&amp;sa=D&amp;ust=1605639832789000&amp;usg=AFQjCNFlbMTywCh4tOzeWL0vA4MUTIm6hg" TargetMode="External"/><Relationship Id="rId52" Type="http://schemas.openxmlformats.org/officeDocument/2006/relationships/hyperlink" Target="https://www.google.com/url?q=https://oj.uz/problem/view/APIO16_boat&amp;sa=D&amp;ust=1605639831964000&amp;usg=AFQjCNGjOJCHrwRyvecP_Rjp3V7WL_W-kw" TargetMode="External"/><Relationship Id="rId1206" Type="http://schemas.openxmlformats.org/officeDocument/2006/relationships/hyperlink" Target="https://www.google.com/url?q=https://github.com/mostafa-saad/MyCompetitiveProgramming/blob/master/Olympiad/COI/COI_07-Kolekcija.txt&amp;sa=D&amp;ust=1605639832300000&amp;usg=AFQjCNHd3oysPXZ-NChQeqGZDLxMdl53pg" TargetMode="External"/><Relationship Id="rId1413" Type="http://schemas.openxmlformats.org/officeDocument/2006/relationships/hyperlink" Target="https://www.google.com/url?q=https://www.infoarena.ro/problema/calorifer&amp;sa=D&amp;ust=1605639832355000&amp;usg=AFQjCNHTCkmMOM1DubCJlfcAKJaZkpXWSA" TargetMode="External"/><Relationship Id="rId1620" Type="http://schemas.openxmlformats.org/officeDocument/2006/relationships/hyperlink" Target="https://www.google.com/url?q=https://github.com/stefdasca/CompetitiveProgramming/blob/master/Infoarena/v2d.cpp&amp;sa=D&amp;ust=1605639832419000&amp;usg=AFQjCNF6LkUEJxEWc0dKWlpjJeMukRACNA" TargetMode="External"/><Relationship Id="rId2909" Type="http://schemas.openxmlformats.org/officeDocument/2006/relationships/hyperlink" Target="https://www.google.com/url?q=http://usaco.org/index.php?page%3Dviewproblem2%26cpid%3D93&amp;sa=D&amp;ust=1605639832822000&amp;usg=AFQjCNGDMekNBqQaSyZhQoBh3Wh8bHo9MA" TargetMode="External"/><Relationship Id="rId1718" Type="http://schemas.openxmlformats.org/officeDocument/2006/relationships/hyperlink" Target="https://www.google.com/url?q=https://github.com/mostafa-saad/MyCompetitiveProgramming/blob/master/Olympiad/IOI/IOI-06-pyramid.txt&amp;sa=D&amp;ust=1605639832447000&amp;usg=AFQjCNHqzrHX60_CEaa2SoZhWBFkN-9qfQ" TargetMode="External"/><Relationship Id="rId1925" Type="http://schemas.openxmlformats.org/officeDocument/2006/relationships/hyperlink" Target="https://www.google.com/url?q=https://github.com/mostafa-saad/MyCompetitiveProgramming/blob/master/Olympiad/IOI/IOIPractice-16-k-consecutive.txt&amp;sa=D&amp;ust=1605639832516000&amp;usg=AFQjCNHqMUpYMZLptLYjBKppJN0I_I_gKg" TargetMode="External"/><Relationship Id="rId299" Type="http://schemas.openxmlformats.org/officeDocument/2006/relationships/hyperlink" Target="https://www.google.com/url?q=https://oj.uz/problem/view/BOI16_swap&amp;sa=D&amp;ust=1605639832039000&amp;usg=AFQjCNH-1dsl5sKLNhmzcW0FByoqWYjdJg" TargetMode="External"/><Relationship Id="rId2187" Type="http://schemas.openxmlformats.org/officeDocument/2006/relationships/hyperlink" Target="https://www.google.com/url?q=https://github.com/mostafa-saad/MyCompetitiveProgramming/blob/master/Olympiad/JOI/JOISC-17-park.txt&amp;sa=D&amp;ust=1605639832608000&amp;usg=AFQjCNFZfCW2iXYOLYFkbbkazwPHSEKANw" TargetMode="External"/><Relationship Id="rId2394" Type="http://schemas.openxmlformats.org/officeDocument/2006/relationships/hyperlink" Target="https://www.google.com/url?q=https://dunjudge.me/analysis/problems/1824/&amp;sa=D&amp;ust=1605639832671000&amp;usg=AFQjCNFczxDe4jT-xe1178MRoLa4RJ1CcA" TargetMode="External"/><Relationship Id="rId159" Type="http://schemas.openxmlformats.org/officeDocument/2006/relationships/hyperlink" Target="https://www.google.com/url?q=https://cses.fi/115/list/&amp;sa=D&amp;ust=1605639832003000&amp;usg=AFQjCNHrVjncbELkcT0WlWsjGg_8vdXODQ" TargetMode="External"/><Relationship Id="rId366" Type="http://schemas.openxmlformats.org/officeDocument/2006/relationships/hyperlink" Target="https://www.google.com/url?q=https://dmoj.ca/contest/cco18d2&amp;sa=D&amp;ust=1605639832056000&amp;usg=AFQjCNELekQanmlSqw8Kr88C5yXe5kCPHA" TargetMode="External"/><Relationship Id="rId573" Type="http://schemas.openxmlformats.org/officeDocument/2006/relationships/hyperlink" Target="https://www.google.com/url?q=https://github.com/mostafa-saad/MyCompetitiveProgramming/blob/master/Olympiad/COCI/COCI-06-Dvaput.txt&amp;sa=D&amp;ust=1605639832125000&amp;usg=AFQjCNErbfph0j1UgzMAegbDob8hJbag8Q" TargetMode="External"/><Relationship Id="rId780" Type="http://schemas.openxmlformats.org/officeDocument/2006/relationships/hyperlink" Target="https://www.google.com/url?q=https://dmoj.ca/problem/coci08c1p1&amp;sa=D&amp;ust=1605639832171000&amp;usg=AFQjCNHj5i79XqSUIYwacJuonfXAsWPbMQ" TargetMode="External"/><Relationship Id="rId2047" Type="http://schemas.openxmlformats.org/officeDocument/2006/relationships/hyperlink" Target="https://www.google.com/url?q=https://oj.uz/problem/view/JOI17_soccer&amp;sa=D&amp;ust=1605639832553000&amp;usg=AFQjCNE0hgi8wCa990EDxlbaEINXozvR0Q" TargetMode="External"/><Relationship Id="rId2254" Type="http://schemas.openxmlformats.org/officeDocument/2006/relationships/hyperlink" Target="https://www.google.com/url?q=https://dunjudge.me/analysis/problems/963/&amp;sa=D&amp;ust=1605639832631000&amp;usg=AFQjCNGVlp0z6SsNiX-F2-IILh_zTnPrsQ" TargetMode="External"/><Relationship Id="rId2461" Type="http://schemas.openxmlformats.org/officeDocument/2006/relationships/hyperlink" Target="https://www.google.com/url?q=https://dunjudge.me/analysis/problems/1471/&amp;sa=D&amp;ust=1605639832700000&amp;usg=AFQjCNEW94LchoBSyF3tLyoC-O5SjUuS6A" TargetMode="External"/><Relationship Id="rId2699" Type="http://schemas.openxmlformats.org/officeDocument/2006/relationships/hyperlink" Target="https://www.google.com/url?q=https://szkopul.edu.pl/problemset/problem/lo_jOsVfQ4ajCSHxFGZS27W-/site/?key%3Dstatement&amp;sa=D&amp;ust=1605639832757000&amp;usg=AFQjCNHehtbG2VTKZ2Tmta4Q_AaBeNfIMg" TargetMode="External"/><Relationship Id="rId3000" Type="http://schemas.openxmlformats.org/officeDocument/2006/relationships/hyperlink" Target="https://www.google.com/url?q=http://usaco.org/index.php?page%3Dviewproblem2%26cpid%3D945&amp;sa=D&amp;ust=1605639832867000&amp;usg=AFQjCNF9PT_eqVyLvLoHzaagGk4DGjKuwQ" TargetMode="External"/><Relationship Id="rId226" Type="http://schemas.openxmlformats.org/officeDocument/2006/relationships/hyperlink" Target="https://www.google.com/url?q=https://github.com/mostafa-saad/MyCompetitiveProgramming/blob/master/Olympiad/Baltic/Baltic-11-grow.txt&amp;sa=D&amp;ust=1605639832022000&amp;usg=AFQjCNH57i4Fqn2eAxuj2G1K6aci3wvB-A" TargetMode="External"/><Relationship Id="rId433" Type="http://schemas.openxmlformats.org/officeDocument/2006/relationships/hyperlink" Target="https://www.google.com/url?q=https://cses.fi/189/list/&amp;sa=D&amp;ust=1605639832087000&amp;usg=AFQjCNEpzGknB3naGn6EiaIZSpIFwuZ8tg" TargetMode="External"/><Relationship Id="rId878" Type="http://schemas.openxmlformats.org/officeDocument/2006/relationships/hyperlink" Target="https://www.google.com/url?q=https://github.com/mostafa-saad/MyCompetitiveProgramming/blob/master/Olympiad/COCI/official/2013/contest6_solutions&amp;sa=D&amp;ust=1605639832202000&amp;usg=AFQjCNEI2g_uiXm1096e5K-5yLHWGfz8VA" TargetMode="External"/><Relationship Id="rId1063" Type="http://schemas.openxmlformats.org/officeDocument/2006/relationships/hyperlink" Target="https://www.google.com/url?q=https://github.com/MohamedAhmed04/Competitive-programming/blob/master/COCI/COCI%252017-Ceste.cpp&amp;sa=D&amp;ust=1605639832249000&amp;usg=AFQjCNEvsuFFD7GCTeg3N0uHkxBBcPS17g" TargetMode="External"/><Relationship Id="rId1270" Type="http://schemas.openxmlformats.org/officeDocument/2006/relationships/hyperlink" Target="https://www.google.com/url?q=https://oj.uz/problem/view/COI16_relay&amp;sa=D&amp;ust=1605639832317000&amp;usg=AFQjCNHpzzzHIC_BpWTVGYh0jszeaEIUyA" TargetMode="External"/><Relationship Id="rId2114" Type="http://schemas.openxmlformats.org/officeDocument/2006/relationships/hyperlink" Target="https://www.google.com/url?q=https://github.com/tmwilliamlin168/CompetitiveProgramming/blob/master/JOI/19O-Jumps.cpp&amp;sa=D&amp;ust=1605639832572000&amp;usg=AFQjCNE6goOFLkgyjYE6DKDFKM6M19UdAA" TargetMode="External"/><Relationship Id="rId2559" Type="http://schemas.openxmlformats.org/officeDocument/2006/relationships/hyperlink" Target="https://www.google.com/url?q=https://szkopul.edu.pl/problemset/problem/G-ZVHDa7y3xWk2PQM27uNq3n/site/&amp;sa=D&amp;ust=1605639832729000&amp;usg=AFQjCNHOzFLKmgJXTyo-k8AqYSQRZ81xOw" TargetMode="External"/><Relationship Id="rId2766" Type="http://schemas.openxmlformats.org/officeDocument/2006/relationships/hyperlink" Target="https://www.google.com/url?q=https://github.com/mostafa-saad/MyCompetitiveProgramming/blob/master/Olympiad/POI/POI-15-Gluttons.txt&amp;sa=D&amp;ust=1605639832775000&amp;usg=AFQjCNHuwWpx2PU9H0IIT82ighJ1Bul33g" TargetMode="External"/><Relationship Id="rId2973" Type="http://schemas.openxmlformats.org/officeDocument/2006/relationships/hyperlink" Target="https://www.google.com/url?q=https://github.com/gametothepower8/Solutions-to-OI-problems/blob/master/USACO18Janplat-atlarge.cpp&amp;sa=D&amp;ust=1605639832857000&amp;usg=AFQjCNG-bb6TuKPD3EjHybngLE3CGeHgQw" TargetMode="External"/><Relationship Id="rId640" Type="http://schemas.openxmlformats.org/officeDocument/2006/relationships/hyperlink" Target="https://www.google.com/url?q=https://dmoj.ca/problem/coci07c5p4&amp;sa=D&amp;ust=1605639832139000&amp;usg=AFQjCNFCZ21rkHH39Sjot-7Bseo83WcCsQ" TargetMode="External"/><Relationship Id="rId738" Type="http://schemas.openxmlformats.org/officeDocument/2006/relationships/hyperlink" Target="https://www.google.com/url?q=https://dmoj.ca/problem/coci08c5p3&amp;sa=D&amp;ust=1605639832160000&amp;usg=AFQjCNEJBLBRaoHzfF4fSoKL_t14MY767g" TargetMode="External"/><Relationship Id="rId945" Type="http://schemas.openxmlformats.org/officeDocument/2006/relationships/hyperlink" Target="https://www.google.com/url?q=https://dmoj.ca/problem/coci14c4p4&amp;sa=D&amp;ust=1605639832220000&amp;usg=AFQjCNFmuGPGiZkgWYpSoIMWSaq5IWeikg" TargetMode="External"/><Relationship Id="rId1368" Type="http://schemas.openxmlformats.org/officeDocument/2006/relationships/hyperlink" Target="https://www.google.com/url?q=https://oj.uz/problem/view/info1cup18_thegrade&amp;sa=D&amp;ust=1605639832345000&amp;usg=AFQjCNEwfwlXfbEjnp3dmvPvq0AJrtNUHw" TargetMode="External"/><Relationship Id="rId1575" Type="http://schemas.openxmlformats.org/officeDocument/2006/relationships/hyperlink" Target="https://www.google.com/url?q=https://infoarena.ro/problema/radare&amp;sa=D&amp;ust=1605639832405000&amp;usg=AFQjCNFRStoorQFtI2ceHvjXeLm8SyNuTg" TargetMode="External"/><Relationship Id="rId1782" Type="http://schemas.openxmlformats.org/officeDocument/2006/relationships/hyperlink" Target="https://www.google.com/url?q=https://github.com/mostafa-saad/MyCompetitiveProgramming/blob/master/Olympiad/IOI/IOI-11-garden.txt&amp;sa=D&amp;ust=1605639832466000&amp;usg=AFQjCNH0vAnRub5acfLVhmO9xolWa42Tlg" TargetMode="External"/><Relationship Id="rId2321" Type="http://schemas.openxmlformats.org/officeDocument/2006/relationships/hyperlink" Target="https://www.google.com/url?q=https://github.com/mostafa-saad/MyCompetitiveProgramming/blob/master/Olympiad/NOI/official&amp;sa=D&amp;ust=1605639832652000&amp;usg=AFQjCNGk_4iX9_hE9xzCKpZhKGZkVLnEOQ" TargetMode="External"/><Relationship Id="rId2419" Type="http://schemas.openxmlformats.org/officeDocument/2006/relationships/hyperlink" Target="https://www.google.com/url?q=https://dunjudge.me/analysis/problems/43/&amp;sa=D&amp;ust=1605639832682000&amp;usg=AFQjCNFy-4EcgZ1n1K3HKCx47k-jEmTlKg" TargetMode="External"/><Relationship Id="rId2626" Type="http://schemas.openxmlformats.org/officeDocument/2006/relationships/hyperlink" Target="https://www.google.com/url?q=https://ideone.com/iOUxs7&amp;sa=D&amp;ust=1605639832743000&amp;usg=AFQjCNHD9_CiHx68Vki3BhnPAd7AKvuXMg" TargetMode="External"/><Relationship Id="rId2833" Type="http://schemas.openxmlformats.org/officeDocument/2006/relationships/hyperlink" Target="https://www.google.com/url?q=https://szkopul.edu.pl/problemset/problem/Ng815bt4Fko9lj2-l7eVl3Aw/site/&amp;sa=D&amp;ust=1605639832797000&amp;usg=AFQjCNEeRjdD-DQvrxKHtbxZe5Xt1cvyNQ" TargetMode="External"/><Relationship Id="rId74" Type="http://schemas.openxmlformats.org/officeDocument/2006/relationships/hyperlink" Target="https://www.google.com/url?q=https://codeforces.com/gym/102257/&amp;sa=D&amp;ust=1605639831972000&amp;usg=AFQjCNGOY3MEPOpaB8luOATXF-cie2cO1Q" TargetMode="External"/><Relationship Id="rId500" Type="http://schemas.openxmlformats.org/officeDocument/2006/relationships/hyperlink" Target="https://www.google.com/url?q=https://oj.uz/problems/source/120&amp;sa=D&amp;ust=1605639832107000&amp;usg=AFQjCNEM7y-WjM4Kd7m7xGmZcbHoiqMhkg" TargetMode="External"/><Relationship Id="rId805" Type="http://schemas.openxmlformats.org/officeDocument/2006/relationships/hyperlink" Target="https://www.google.com/url?q=https://github.com/mostafa-saad/MyCompetitiveProgramming/blob/master/Olympiad/COCI/official/2010/contest1_solutions&amp;sa=D&amp;ust=1605639832178000&amp;usg=AFQjCNGXThd5-EC6R7d8aN96yo5Tom0zug" TargetMode="External"/><Relationship Id="rId1130" Type="http://schemas.openxmlformats.org/officeDocument/2006/relationships/hyperlink" Target="https://www.google.com/url?q=https://github.com/Rockbet/Problems/blob/master/COCI/COCI%25202017-2018/Vode.cpp&amp;sa=D&amp;ust=1605639832266000&amp;usg=AFQjCNFcyJWwoBJGCUE-p1qMC3d-5FDtaQ" TargetMode="External"/><Relationship Id="rId1228" Type="http://schemas.openxmlformats.org/officeDocument/2006/relationships/hyperlink" Target="https://www.google.com/url?q=https://github.com/mostafa-saad/MyCompetitiveProgramming/blob/master/Olympiad/COCI/official/2009/regional_solutions&amp;sa=D&amp;ust=1605639832307000&amp;usg=AFQjCNEbNIGferWW_3IJ--A2SjoVfEHHmQ" TargetMode="External"/><Relationship Id="rId1435" Type="http://schemas.openxmlformats.org/officeDocument/2006/relationships/hyperlink" Target="https://www.google.com/url?q=https://ideone.com/iT1ggW&amp;sa=D&amp;ust=1605639832360000&amp;usg=AFQjCNGF_jx1VRQLcv31nrJ_1613hEiaZg" TargetMode="External"/><Relationship Id="rId1642" Type="http://schemas.openxmlformats.org/officeDocument/2006/relationships/hyperlink" Target="https://www.google.com/url?q=https://github.com/mostafa-saad/MyCompetitiveProgramming/blob/master/Olympiad/IOI/IOI-00-Blocks.txt&amp;sa=D&amp;ust=1605639832426000&amp;usg=AFQjCNFGgpKRUNonVn7OZkyu_dz1YGZZMg" TargetMode="External"/><Relationship Id="rId1947" Type="http://schemas.openxmlformats.org/officeDocument/2006/relationships/hyperlink" Target="https://www.google.com/url?q=https://codeforces.com/group/swEqtABRxe/contest/227531/problem/C&amp;sa=D&amp;ust=1605639832522000&amp;usg=AFQjCNF9kSGBxIrV7_GD_aaBzikgXRWZoA" TargetMode="External"/><Relationship Id="rId2900" Type="http://schemas.openxmlformats.org/officeDocument/2006/relationships/hyperlink" Target="https://www.google.com/url?q=https://training.ia-toki.org/problemsets/113/problems/629/&amp;sa=D&amp;ust=1605639832820000&amp;usg=AFQjCNH4Kut_a_mn2-WPRjAL7-73Q7vBSw" TargetMode="External"/><Relationship Id="rId1502" Type="http://schemas.openxmlformats.org/officeDocument/2006/relationships/hyperlink" Target="https://www.google.com/url?q=https://www.infoarena.ro/problema/marceland&amp;sa=D&amp;ust=1605639832381000&amp;usg=AFQjCNFc2TYktTJgjW1OxdUkDxKxV9IxNw" TargetMode="External"/><Relationship Id="rId1807" Type="http://schemas.openxmlformats.org/officeDocument/2006/relationships/hyperlink" Target="https://www.google.com/url?q=https://oj.uz/problem/view/IOI13_robots&amp;sa=D&amp;ust=1605639832477000&amp;usg=AFQjCNFm6kF_0GAr-ZDO_rq6aKF2tnAv9g" TargetMode="External"/><Relationship Id="rId290" Type="http://schemas.openxmlformats.org/officeDocument/2006/relationships/hyperlink" Target="https://www.google.com/url?q=https://github.com/mostafa-saad/MyCompetitiveProgramming/blob/master/Olympiad/Baltic/Baltic-15-tug.txt&amp;sa=D&amp;ust=1605639832037000&amp;usg=AFQjCNHqP6jJfpQfwfRcFyhgQfeSCe9X9A" TargetMode="External"/><Relationship Id="rId388" Type="http://schemas.openxmlformats.org/officeDocument/2006/relationships/hyperlink" Target="https://www.google.com/url?q=https://github.com/mostafa-saad/MyCompetitiveProgramming/tree/master/Olympiad/CEOI/official/2003&amp;sa=D&amp;ust=1605639832072000&amp;usg=AFQjCNGqRpOJ4XZgUOyU0vQ7F1wFNtAHng" TargetMode="External"/><Relationship Id="rId2069" Type="http://schemas.openxmlformats.org/officeDocument/2006/relationships/hyperlink" Target="https://www.google.com/url?q=https://github.com/mostafa-saad/MyCompetitiveProgramming/tree/master/Olympiad/JOI/official/JOI/2020&amp;sa=D&amp;ust=1605639832560000&amp;usg=AFQjCNHt_EJHLtlIHP1LHe6ZoLSVDTW5zw" TargetMode="External"/><Relationship Id="rId150" Type="http://schemas.openxmlformats.org/officeDocument/2006/relationships/hyperlink" Target="https://www.google.com/url?q=https://github.com/mostafa-saad/MyCompetitiveProgramming/blob/master/Olympiad/Balkan/official/2018/&amp;sa=D&amp;ust=1605639831999000&amp;usg=AFQjCNGoHczcJeKaJlgPuDtOja_JqVCJvA" TargetMode="External"/><Relationship Id="rId595" Type="http://schemas.openxmlformats.org/officeDocument/2006/relationships/hyperlink" Target="https://www.google.com/url?q=https://github.com/mostafa-saad/MyCompetitiveProgramming/tree/master/Olympiad/COCI/official/2007/contest6_solutions&amp;sa=D&amp;ust=1605639832130000&amp;usg=AFQjCNGuQiFOODJCz0PWEGmaxkprXgqsBg" TargetMode="External"/><Relationship Id="rId2276" Type="http://schemas.openxmlformats.org/officeDocument/2006/relationships/hyperlink" Target="https://www.google.com/url?q=https://dunjudge.me/analysis/problems/974/&amp;sa=D&amp;ust=1605639832638000&amp;usg=AFQjCNHROtB0a7x6avv0SdYvYEEPJzYJJQ" TargetMode="External"/><Relationship Id="rId2483" Type="http://schemas.openxmlformats.org/officeDocument/2006/relationships/hyperlink" Target="https://www.google.com/url?q=https://szkopul.edu.pl/problemset/problem/5Z9PRRPP-R90WhmbSY_qHd-1/site/&amp;sa=D&amp;ust=1605639832708000&amp;usg=AFQjCNFfVrY9DD9twPHIdvppG0YgsqkSHQ" TargetMode="External"/><Relationship Id="rId2690" Type="http://schemas.openxmlformats.org/officeDocument/2006/relationships/hyperlink" Target="https://www.google.com/url?q=https://github.com/mostafa-saad/MyCompetitiveProgramming/blob/master/Olympiad/POI/official/find_editorial_sols_guidelines.txt&amp;sa=D&amp;ust=1605639832755000&amp;usg=AFQjCNHksHzoawqhobzpp7XjOKppOw_8rQ" TargetMode="External"/><Relationship Id="rId248" Type="http://schemas.openxmlformats.org/officeDocument/2006/relationships/hyperlink" Target="https://www.google.com/url?q=https://oj.uz/problem/view/BOI12_mobile&amp;sa=D&amp;ust=1605639832028000&amp;usg=AFQjCNHddkniSXLrBdE8cr-DoiXghdt4sA" TargetMode="External"/><Relationship Id="rId455" Type="http://schemas.openxmlformats.org/officeDocument/2006/relationships/hyperlink" Target="https://www.google.com/url?q=https://cses.fi/197/list/&amp;sa=D&amp;ust=1605639832094000&amp;usg=AFQjCNGzl1t20qvWXY1gkLuLd17bCy5Q3A" TargetMode="External"/><Relationship Id="rId662" Type="http://schemas.openxmlformats.org/officeDocument/2006/relationships/hyperlink" Target="https://www.google.com/url?q=https://dmoj.ca/problem/coci07c6p3&amp;sa=D&amp;ust=1605639832144000&amp;usg=AFQjCNHciuyUTo_vbdh8Ux5d6ZH9ojH41A" TargetMode="External"/><Relationship Id="rId1085" Type="http://schemas.openxmlformats.org/officeDocument/2006/relationships/hyperlink" Target="https://www.google.com/url?q=https://oj.uz/problem/view/COCI17_kosnja&amp;sa=D&amp;ust=1605639832255000&amp;usg=AFQjCNEZRCKwTxTeOxf-J5i66gNpZx_ZqQ" TargetMode="External"/><Relationship Id="rId1292" Type="http://schemas.openxmlformats.org/officeDocument/2006/relationships/hyperlink" Target="https://www.google.com/url?q=https://oj.uz/problem/view/COI19_tenis&amp;sa=D&amp;ust=1605639832323000&amp;usg=AFQjCNHXTHjswQIqJBM4UXqP9LecHabKDA" TargetMode="External"/><Relationship Id="rId2136" Type="http://schemas.openxmlformats.org/officeDocument/2006/relationships/hyperlink" Target="https://www.google.com/url?q=https://joisc2014.contest.atcoder.jp/tasks/joisc2014_l&amp;sa=D&amp;ust=1605639832584000&amp;usg=AFQjCNH6YwBb09pBGbjZ8rV2H7HpJa5UbQ" TargetMode="External"/><Relationship Id="rId2343" Type="http://schemas.openxmlformats.org/officeDocument/2006/relationships/hyperlink" Target="https://www.google.com/url?q=https://oj.uz/problem/view/NOI13_gw&amp;sa=D&amp;ust=1605639832657000&amp;usg=AFQjCNGCVJJHkuY_ezUUlmVMTnbxfSB_XA" TargetMode="External"/><Relationship Id="rId2550" Type="http://schemas.openxmlformats.org/officeDocument/2006/relationships/hyperlink" Target="https://www.google.com/url?q=https://github.com/mostafa-saad/MyCompetitiveProgramming/blob/master/Olympiad/POI/POI-06-Sophie.txt&amp;sa=D&amp;ust=1605639832726000&amp;usg=AFQjCNG48tYgOHENl9cCUeqf8M-5OcelMg" TargetMode="External"/><Relationship Id="rId2788" Type="http://schemas.openxmlformats.org/officeDocument/2006/relationships/hyperlink" Target="https://www.google.com/url?q=https://github.com/mostafa-saad/MyCompetitiveProgramming/blob/master/Olympiad/POI/POI-16-Arkanoid.txt&amp;sa=D&amp;ust=1605639832783000&amp;usg=AFQjCNH4-eTOysg7iBZCffqNtWXsMcxZRw" TargetMode="External"/><Relationship Id="rId2995" Type="http://schemas.openxmlformats.org/officeDocument/2006/relationships/hyperlink" Target="https://www.google.com/url?q=https://github.com/thecodingwizard/competitive-programming/blob/master/USACO/2019feb/plat/mooriokart.cpp&amp;sa=D&amp;ust=1605639832864000&amp;usg=AFQjCNECEoIRxAyXCEGV8pjVFT1FaMh3ag" TargetMode="External"/><Relationship Id="rId108" Type="http://schemas.openxmlformats.org/officeDocument/2006/relationships/hyperlink" Target="https://www.google.com/url?q=https://www.acmicpc.net/problem/5253&amp;sa=D&amp;ust=1605639831985000&amp;usg=AFQjCNGeO84qY52CoO3y1nLzmsvckFf_sQ" TargetMode="External"/><Relationship Id="rId315" Type="http://schemas.openxmlformats.org/officeDocument/2006/relationships/hyperlink" Target="https://www.google.com/url?q=https://boi18-day2-open.kattis.com/problems&amp;sa=D&amp;ust=1605639832042000&amp;usg=AFQjCNEvMLP5OKcjrFvMTM8DgS7zMCCTVQ" TargetMode="External"/><Relationship Id="rId522" Type="http://schemas.openxmlformats.org/officeDocument/2006/relationships/hyperlink" Target="https://www.google.com/url?q=https://cses.fi/193/list/&amp;sa=D&amp;ust=1605639832114000&amp;usg=AFQjCNEjilf1pYNxJr5IT11-lqCXnRa3AQ" TargetMode="External"/><Relationship Id="rId967" Type="http://schemas.openxmlformats.org/officeDocument/2006/relationships/hyperlink" Target="https://www.google.com/url?q=https://dmoj.ca/problem/coci14c4p6&amp;sa=D&amp;ust=1605639832224000&amp;usg=AFQjCNEzfPRQa-8tN-me7ZuJbO_iDo0hyg" TargetMode="External"/><Relationship Id="rId1152" Type="http://schemas.openxmlformats.org/officeDocument/2006/relationships/hyperlink" Target="https://www.google.com/url?q=http://blog.brucemerry.org.za/2018/01/coci-20172018-r5-analysis.html&amp;sa=D&amp;ust=1605639832276000&amp;usg=AFQjCNFTBCZzA-Hz-rkoTMOe7PfQg-QNlA" TargetMode="External"/><Relationship Id="rId1597" Type="http://schemas.openxmlformats.org/officeDocument/2006/relationships/hyperlink" Target="https://www.google.com/url?q=https://www.infoarena.ro/problema/sir42&amp;sa=D&amp;ust=1605639832412000&amp;usg=AFQjCNGxxr-kuI4rUR9nMlhTdluUjUeTOw" TargetMode="External"/><Relationship Id="rId2203" Type="http://schemas.openxmlformats.org/officeDocument/2006/relationships/hyperlink" Target="https://www.google.com/url?q=https://github.com/tmwilliamlin168/CompetitiveProgramming/blob/master/JOI/18SC-Fences.cpp&amp;sa=D&amp;ust=1605639832613000&amp;usg=AFQjCNGdbZe6JQcCE7BO4dRGmmrOjIGIWA" TargetMode="External"/><Relationship Id="rId2410" Type="http://schemas.openxmlformats.org/officeDocument/2006/relationships/hyperlink" Target="https://www.google.com/url?q=https://dunjudge.me/analysis/problems/16/&amp;sa=D&amp;ust=1605639832677000&amp;usg=AFQjCNEzgSzD4-2tzHos6HvKcmBDwzrnrQ" TargetMode="External"/><Relationship Id="rId2648" Type="http://schemas.openxmlformats.org/officeDocument/2006/relationships/hyperlink" Target="https://www.google.com/url?q=https://github.com/mostafa-saad/MyCompetitiveProgramming/blob/master/Olympiad/POI/POI-10-Sheep.txt&amp;sa=D&amp;ust=1605639832747000&amp;usg=AFQjCNG54bNKjYDTm5ngchXug2lIR82pkw" TargetMode="External"/><Relationship Id="rId2855" Type="http://schemas.openxmlformats.org/officeDocument/2006/relationships/hyperlink" Target="https://www.google.com/url?q=https://szkopul.edu.pl/problemset/problem/dIejmvqlAbsoU1hkjNbd4KtF/site/?key%3Dstatement&amp;sa=D&amp;ust=1605639832805000&amp;usg=AFQjCNFlhjAvon3MFzFjaCzb0nPYV6G_Yg" TargetMode="External"/><Relationship Id="rId96" Type="http://schemas.openxmlformats.org/officeDocument/2006/relationships/hyperlink" Target="https://www.google.com/url?q=https://github.com/mostafa-saad/MyCompetitiveProgramming/blob/master/Olympiad/Balkan/Balkan-11-decrypt.txt&amp;sa=D&amp;ust=1605639831981000&amp;usg=AFQjCNEISdY_0Zi3NHRcYy6x3XY2_zKPrw" TargetMode="External"/><Relationship Id="rId827" Type="http://schemas.openxmlformats.org/officeDocument/2006/relationships/hyperlink" Target="https://www.google.com/url?q=https://wcipeg.com/problem/coci092p3&amp;sa=D&amp;ust=1605639832186000&amp;usg=AFQjCNH6cBpO0QRfxSOVEDBPpqg5G9iivg" TargetMode="External"/><Relationship Id="rId1012" Type="http://schemas.openxmlformats.org/officeDocument/2006/relationships/hyperlink" Target="https://www.google.com/url?q=https://github.com/mostafa-saad/MyCompetitiveProgramming/blob/master/Olympiad/COCI/COCI-15-savez.txt&amp;sa=D&amp;ust=1605639832237000&amp;usg=AFQjCNEP3gPFDcUP1MfooDu8FAcEcbz48w" TargetMode="External"/><Relationship Id="rId1457" Type="http://schemas.openxmlformats.org/officeDocument/2006/relationships/hyperlink" Target="https://www.google.com/url?q=https://www.infoarena.ro/problema/disconnect&amp;sa=D&amp;ust=1605639832366000&amp;usg=AFQjCNGNpYSzQ3uVKnxqaTDTkNK6I-LyLw" TargetMode="External"/><Relationship Id="rId1664" Type="http://schemas.openxmlformats.org/officeDocument/2006/relationships/hyperlink" Target="https://www.google.com/url?q=https://github.com/mostafa-saad/MyCompetitiveProgramming/blob/master/Olympiad/IOI/IOI-02-Batch.txt&amp;sa=D&amp;ust=1605639832433000&amp;usg=AFQjCNE5dxhS2x_8e8-YUsVz-iNeWsEDaQ" TargetMode="External"/><Relationship Id="rId1871" Type="http://schemas.openxmlformats.org/officeDocument/2006/relationships/hyperlink" Target="https://www.google.com/url?q=https://github.com/mostafa-saad/MyCompetitiveProgramming/blob/master/Olympiad/IOI/IOI-18-Doll.txt&amp;sa=D&amp;ust=1605639832499000&amp;usg=AFQjCNGLGLj4yqvkyRBvL0lJDkQDLYvXaA" TargetMode="External"/><Relationship Id="rId2508" Type="http://schemas.openxmlformats.org/officeDocument/2006/relationships/hyperlink" Target="https://www.google.com/url?q=https://github.com/mostafa-saad/MyCompetitiveProgramming/blob/master/Olympiad/POI/official/find_editorial_sols_guidelines.txt&amp;sa=D&amp;ust=1605639832715000&amp;usg=AFQjCNGtsYDG1XqzS0YZxWXevMECH5FMjQ" TargetMode="External"/><Relationship Id="rId2715" Type="http://schemas.openxmlformats.org/officeDocument/2006/relationships/hyperlink" Target="https://www.google.com/url?q=https://oj.uz/problem/view/POI13_kon&amp;sa=D&amp;ust=1605639832760000&amp;usg=AFQjCNHoi_2cdF6g-U4X_rB0ggQR0zPlzA" TargetMode="External"/><Relationship Id="rId2922" Type="http://schemas.openxmlformats.org/officeDocument/2006/relationships/hyperlink" Target="https://www.google.com/url?q=http://usaco.org/index.php?page%3Dviewproblem2%26cpid%3D494&amp;sa=D&amp;ust=1605639832827000&amp;usg=AFQjCNE710opyq1B7E62uJMYSiz3rM2M_A" TargetMode="External"/><Relationship Id="rId1317" Type="http://schemas.openxmlformats.org/officeDocument/2006/relationships/hyperlink" Target="https://www.google.com/url?q=https://dmoj.ca/problem/phantom3&amp;sa=D&amp;ust=1605639832329000&amp;usg=AFQjCNG-TGuCCalziBclTspq5VeGcKQ2ng" TargetMode="External"/><Relationship Id="rId1524" Type="http://schemas.openxmlformats.org/officeDocument/2006/relationships/hyperlink" Target="https://www.google.com/url?q=https://www.infoarena.ro/problema/munte4&amp;sa=D&amp;ust=1605639832389000&amp;usg=AFQjCNFFy4mTtST5FB6eTsxGW1PI_Pe1fQ" TargetMode="External"/><Relationship Id="rId1731" Type="http://schemas.openxmlformats.org/officeDocument/2006/relationships/hyperlink" Target="https://www.google.com/url?q=https://oj.uz/problem/view/IOI07_training&amp;sa=D&amp;ust=1605639832452000&amp;usg=AFQjCNG92Zu-43_7A8gHQIe8oGyaUyLmKw" TargetMode="External"/><Relationship Id="rId1969" Type="http://schemas.openxmlformats.org/officeDocument/2006/relationships/hyperlink" Target="https://www.google.com/url?q=https://github.com/ShabdanBatyrkulov/codee/blob/master/IZhO%252012-beauty.cpp&amp;sa=D&amp;ust=1605639832528000&amp;usg=AFQjCNEYNQEOPxvqVMwYybR5PaYEucZ-Dg" TargetMode="External"/><Relationship Id="rId23" Type="http://schemas.openxmlformats.org/officeDocument/2006/relationships/hyperlink" Target="https://www.google.com/url?q=https://dmoj.ca/problem/apio10p3&amp;sa=D&amp;ust=1605639831958000&amp;usg=AFQjCNHlmAIlKYrvJi57n8qZ4qtPOWs7lg" TargetMode="External"/><Relationship Id="rId1829" Type="http://schemas.openxmlformats.org/officeDocument/2006/relationships/hyperlink" Target="https://www.google.com/url?q=https://oj.uz/problem/view/IOI15_sorting&amp;sa=D&amp;ust=1605639832486000&amp;usg=AFQjCNE6sSrKBWaojWv04_pmfU1bIAdfLw" TargetMode="External"/><Relationship Id="rId2298" Type="http://schemas.openxmlformats.org/officeDocument/2006/relationships/hyperlink" Target="https://www.google.com/url?q=https://github.com/mostafa-saad/MyCompetitiveProgramming/blob/master/Olympiad/NOI/official&amp;sa=D&amp;ust=1605639832646000&amp;usg=AFQjCNEaNP5HLP8WCOKJi3prruU2OncYbQ" TargetMode="External"/><Relationship Id="rId172" Type="http://schemas.openxmlformats.org/officeDocument/2006/relationships/hyperlink" Target="https://www.google.com/url?q=https://github.com/mostafa-saad/MyCompetitiveProgramming/blob/master/Olympiad/Baltic/Baltic-06-Countries.txt&amp;sa=D&amp;ust=1605639832006000&amp;usg=AFQjCNFVYRyso-tLdRXYOzdR2c6ows6QFg" TargetMode="External"/><Relationship Id="rId477" Type="http://schemas.openxmlformats.org/officeDocument/2006/relationships/hyperlink" Target="https://www.google.com/url?q=https://github.com/SpeedOfMagic/CompetitiveProgramming/blob/master/CEOI/CEOI%252012-Jobs.cpp&amp;sa=D&amp;ust=1605639832101000&amp;usg=AFQjCNE0XewEc-opFYqgBQFW3qfgu7pkmQ" TargetMode="External"/><Relationship Id="rId684" Type="http://schemas.openxmlformats.org/officeDocument/2006/relationships/hyperlink" Target="https://www.google.com/url?q=https://dmoj.ca/problem/coci07c5p2&amp;sa=D&amp;ust=1605639832149000&amp;usg=AFQjCNEFeH8aZRnX1Pq5-QIh8t4qkw3NgA" TargetMode="External"/><Relationship Id="rId2060" Type="http://schemas.openxmlformats.org/officeDocument/2006/relationships/hyperlink" Target="https://www.google.com/url?q=https://oj.uz/problem/view/JOI19_ho_t4&amp;sa=D&amp;ust=1605639832558000&amp;usg=AFQjCNEmnAO6QUOQcH296_IvOECC2K02hQ" TargetMode="External"/><Relationship Id="rId2158" Type="http://schemas.openxmlformats.org/officeDocument/2006/relationships/hyperlink" Target="https://www.google.com/url?q=https://joisc2016.contest.atcoder.jp/tasks/joisc2016_g&amp;sa=D&amp;ust=1605639832596000&amp;usg=AFQjCNFcgGue68FCprb_6M3LBlnbIDVMwA" TargetMode="External"/><Relationship Id="rId2365" Type="http://schemas.openxmlformats.org/officeDocument/2006/relationships/hyperlink" Target="https://www.google.com/url?q=https://dunjudge.me/analysis/problems/957/&amp;sa=D&amp;ust=1605639832662000&amp;usg=AFQjCNFOANlmtB8bG2US_91j5m82QaqZIQ" TargetMode="External"/><Relationship Id="rId337" Type="http://schemas.openxmlformats.org/officeDocument/2006/relationships/hyperlink" Target="https://www.google.com/url?q=https://boi18-practice-open.kattis.com/problems&amp;sa=D&amp;ust=1605639832047000&amp;usg=AFQjCNFliR2rc8sy8nIG9tGWxE3PIZtvdA" TargetMode="External"/><Relationship Id="rId891" Type="http://schemas.openxmlformats.org/officeDocument/2006/relationships/hyperlink" Target="https://www.google.com/url?q=https://dunjudge.me/analysis/problems/1357/&amp;sa=D&amp;ust=1605639832207000&amp;usg=AFQjCNGuR6DSmOHm4jf4LNswgk2YFCGGMA" TargetMode="External"/><Relationship Id="rId989" Type="http://schemas.openxmlformats.org/officeDocument/2006/relationships/hyperlink" Target="https://www.google.com/url?q=https://dmoj.ca/problem/coci15c4p4&amp;sa=D&amp;ust=1605639832230000&amp;usg=AFQjCNFZ7obfp2V4-eJNwUG4mtU12Glegw" TargetMode="External"/><Relationship Id="rId2018" Type="http://schemas.openxmlformats.org/officeDocument/2006/relationships/hyperlink" Target="https://www.google.com/url?q=https://joi2013ho.contest.atcoder.jp/tasks/joi2013ho1&amp;sa=D&amp;ust=1605639832544000&amp;usg=AFQjCNHr4mObPQCGAFDgZ5cZqiFu732RgQ" TargetMode="External"/><Relationship Id="rId2572" Type="http://schemas.openxmlformats.org/officeDocument/2006/relationships/hyperlink" Target="https://www.google.com/url?q=https://github.com/mostafa-saad/MyCompetitiveProgramming/blob/master/Olympiad/POI/POI-07-Tourist.txt&amp;sa=D&amp;ust=1605639832732000&amp;usg=AFQjCNEhj5bq2n3OIaaQqhzC9eGijXscfA" TargetMode="External"/><Relationship Id="rId2877" Type="http://schemas.openxmlformats.org/officeDocument/2006/relationships/hyperlink" Target="https://www.google.com/url?q=https://csacademy.com/contest/round-78/task/generating-set/&amp;sa=D&amp;ust=1605639832812000&amp;usg=AFQjCNHjhWu828XbUsNc1HUHCGj_8jnjRQ" TargetMode="External"/><Relationship Id="rId544" Type="http://schemas.openxmlformats.org/officeDocument/2006/relationships/hyperlink" Target="https://www.google.com/url?q=https://github.com/tmwilliamlin168/CompetitiveProgramming/blob/master/CEOI/18-Toy.cpp&amp;sa=D&amp;ust=1605639832119000&amp;usg=AFQjCNH1S4lFt2qwNu9aexqVsogpa1IvhQ" TargetMode="External"/><Relationship Id="rId751" Type="http://schemas.openxmlformats.org/officeDocument/2006/relationships/hyperlink" Target="https://www.google.com/url?q=https://github.com/mostafa-saad/MyCompetitiveProgramming/blob/master/Olympiad/COCI/official/2009/contest5_solutions&amp;sa=D&amp;ust=1605639832163000&amp;usg=AFQjCNH9W89apzUg4t11oza1LgcSj-Ckcw" TargetMode="External"/><Relationship Id="rId849" Type="http://schemas.openxmlformats.org/officeDocument/2006/relationships/hyperlink" Target="https://www.google.com/url?q=https://wcipeg.com/problem/coci092p2&amp;sa=D&amp;ust=1605639832194000&amp;usg=AFQjCNHxZZEjcFDvzTpm3Zf7l73MrS74qg" TargetMode="External"/><Relationship Id="rId1174" Type="http://schemas.openxmlformats.org/officeDocument/2006/relationships/hyperlink" Target="https://www.google.com/url?q=https://oj.uz/problem/view/COCI18_nadan&amp;sa=D&amp;ust=1605639832285000&amp;usg=AFQjCNGDZBsAIk-pvXeenm7Ki5L3r3QOVw" TargetMode="External"/><Relationship Id="rId1381" Type="http://schemas.openxmlformats.org/officeDocument/2006/relationships/hyperlink" Target="https://www.google.com/url?q=https://www.infoarena.ro/problema/aiacupalindroame&amp;sa=D&amp;ust=1605639832348000&amp;usg=AFQjCNE1R74Dx_7qAKJcPb3ymRaDDO2PDQ" TargetMode="External"/><Relationship Id="rId1479" Type="http://schemas.openxmlformats.org/officeDocument/2006/relationships/hyperlink" Target="https://www.google.com/url?q=https://github.com/stefdasca/CompetitiveProgramming/blob/master/Infoarena/identice&amp;sa=D&amp;ust=1605639832373000&amp;usg=AFQjCNFgy2tH1l-ihv4HP2dENOe7t3paIA" TargetMode="External"/><Relationship Id="rId1686" Type="http://schemas.openxmlformats.org/officeDocument/2006/relationships/hyperlink" Target="https://www.google.com/url?q=https://github.com/mostafa-saad/MyCompetitiveProgramming/blob/master/Olympiad/IOI/IOI-04-artemis.txt&amp;sa=D&amp;ust=1605639832439000&amp;usg=AFQjCNGgyLQVSc83dgBLArHn0pVk-T0bDQ" TargetMode="External"/><Relationship Id="rId2225" Type="http://schemas.openxmlformats.org/officeDocument/2006/relationships/hyperlink" Target="https://www.google.com/url?q=https://github.com/mostafa-saad/MyCompetitiveProgramming/blob/master/Olympiad/JOI/JOISC-19-Mergers.txt&amp;sa=D&amp;ust=1605639832622000&amp;usg=AFQjCNExvrugmLecZlaxlEix4bxOcloWcw" TargetMode="External"/><Relationship Id="rId2432" Type="http://schemas.openxmlformats.org/officeDocument/2006/relationships/hyperlink" Target="https://www.google.com/url?q=https://dunjudge.me/analysis/problems/414/&amp;sa=D&amp;ust=1605639832687000&amp;usg=AFQjCNGvl4KMtC6rVHs1VIQdDG3eQvG9ZA" TargetMode="External"/><Relationship Id="rId404" Type="http://schemas.openxmlformats.org/officeDocument/2006/relationships/hyperlink" Target="https://www.google.com/url?q=https://github.com/mostafa-saad/MyCompetitiveProgramming/blob/master/Olympiad/CEOI/CEOI-05-keys.txt&amp;sa=D&amp;ust=1605639832077000&amp;usg=AFQjCNE_EHiXSd6BWPuNckhc4mb40ewmng" TargetMode="External"/><Relationship Id="rId611" Type="http://schemas.openxmlformats.org/officeDocument/2006/relationships/hyperlink" Target="https://www.google.com/url?q=https://github.com/mostafa-saad/MyCompetitiveProgramming/tree/master/Olympiad/COCI/official/2007/contest4_solutions&amp;sa=D&amp;ust=1605639832134000&amp;usg=AFQjCNGJ20PNY7JLa3s0Dwa55h3AlCRrGA" TargetMode="External"/><Relationship Id="rId1034" Type="http://schemas.openxmlformats.org/officeDocument/2006/relationships/hyperlink" Target="https://www.google.com/url?q=https://oj.uz/problem/view/COCI16_kronican&amp;sa=D&amp;ust=1605639832242000&amp;usg=AFQjCNHnNhE1Y6bA2nPvZadBRIMIHxgBnQ" TargetMode="External"/><Relationship Id="rId1241" Type="http://schemas.openxmlformats.org/officeDocument/2006/relationships/hyperlink" Target="https://www.google.com/url?q=https://github.com/mostafa-saad/MyCompetitiveProgramming/blob/master/Olympiad/COI/COI-14-gta.txt&amp;sa=D&amp;ust=1605639832311000&amp;usg=AFQjCNH7N3STFx7QzI2_fvdA3Fqb-CCEFg" TargetMode="External"/><Relationship Id="rId1339" Type="http://schemas.openxmlformats.org/officeDocument/2006/relationships/hyperlink" Target="https://www.google.com/url?q=https://csacademy.com/contest/ejoi-2017-day-1/task/particles/&amp;sa=D&amp;ust=1605639832336000&amp;usg=AFQjCNFhWDDW6FFfUsgrm-cKHV9xn5AzTw" TargetMode="External"/><Relationship Id="rId1893" Type="http://schemas.openxmlformats.org/officeDocument/2006/relationships/hyperlink" Target="https://www.google.com/url?q=http://olympiads.win.tue.nl/ioi/ioi97/contest/index.html&amp;sa=D&amp;ust=1605639832506000&amp;usg=AFQjCNFfItHJzTRzKXcdU6gMPXSxL9GV2Q" TargetMode="External"/><Relationship Id="rId2737" Type="http://schemas.openxmlformats.org/officeDocument/2006/relationships/hyperlink" Target="https://www.google.com/url?q=https://szkopul.edu.pl/problemset/problem/hepq5oWcHLsMo3oOy-dp3OZC/site/&amp;sa=D&amp;ust=1605639832765000&amp;usg=AFQjCNFfetGFHMyPuBkGmgZakebv1qOngg" TargetMode="External"/><Relationship Id="rId2944" Type="http://schemas.openxmlformats.org/officeDocument/2006/relationships/hyperlink" Target="https://www.google.com/url?q=http://usaco.org/index.php?page%3Dviewproblem2%26cpid%3D625&amp;sa=D&amp;ust=1605639832833000&amp;usg=AFQjCNFXxAHjt15YFC9Z-1MovHSZzrgUuQ" TargetMode="External"/><Relationship Id="rId709" Type="http://schemas.openxmlformats.org/officeDocument/2006/relationships/hyperlink" Target="https://www.google.com/url?q=https://github.com/mostafa-saad/MyCompetitiveProgramming/tree/master/Olympiad/COCI/official/2008/contest3_solutions&amp;sa=D&amp;ust=1605639832154000&amp;usg=AFQjCNEFvwGiVPm69zGmgL1wai1kippGtw" TargetMode="External"/><Relationship Id="rId916" Type="http://schemas.openxmlformats.org/officeDocument/2006/relationships/hyperlink" Target="https://www.google.com/url?q=https://github.com/mostafa-saad/MyCompetitiveProgramming/blob/master/Olympiad/COCI/official/2014/contest1_solutions&amp;sa=D&amp;ust=1605639832213000&amp;usg=AFQjCNGG4OMQYWnixd_zsVURQtehorvRdA" TargetMode="External"/><Relationship Id="rId1101" Type="http://schemas.openxmlformats.org/officeDocument/2006/relationships/hyperlink" Target="https://www.google.com/url?q=https://oj.uz/problem/view/COCI17_portal&amp;sa=D&amp;ust=1605639832258000&amp;usg=AFQjCNEUkcbZlC7-ArbSKE9bqg6iFU6FSA" TargetMode="External"/><Relationship Id="rId1546" Type="http://schemas.openxmlformats.org/officeDocument/2006/relationships/hyperlink" Target="https://www.google.com/url?q=https://www.infoarena.ro/problema/penal&amp;sa=D&amp;ust=1605639832395000&amp;usg=AFQjCNGqOEKLpGNVP8-zczakgbV6wQKXig" TargetMode="External"/><Relationship Id="rId1753" Type="http://schemas.openxmlformats.org/officeDocument/2006/relationships/hyperlink" Target="https://www.google.com/url?q=https://contest.yandex.ru/ioi/contest/568/enter/&amp;sa=D&amp;ust=1605639832458000&amp;usg=AFQjCNF5i8iAf20kOeeKAjv2J4qxid9Sug" TargetMode="External"/><Relationship Id="rId1960" Type="http://schemas.openxmlformats.org/officeDocument/2006/relationships/hyperlink" Target="https://www.google.com/url?q=https://codeforces.com/group/swEqtABRxe/contest/243431/problem/B&amp;sa=D&amp;ust=1605639832525000&amp;usg=AFQjCNGQzDo17r3m4Y3Z9CahUHZ3pl96nA" TargetMode="External"/><Relationship Id="rId2804" Type="http://schemas.openxmlformats.org/officeDocument/2006/relationships/hyperlink" Target="https://www.google.com/url?q=https://github.com/mostafa-saad/MyCompetitiveProgramming/blob/master/Olympiad/POI/POI-16-Necklace.txt&amp;sa=D&amp;ust=1605639832787000&amp;usg=AFQjCNHmJxp4NI6prGO8FtX7hF3KsrkoNg" TargetMode="External"/><Relationship Id="rId45" Type="http://schemas.openxmlformats.org/officeDocument/2006/relationships/hyperlink" Target="https://www.google.com/url?q=https://github.com/mostafa-saad/MyCompetitiveProgramming/blob/master/Olympiad/APIO/APIO-14-Sequence.txt&amp;sa=D&amp;ust=1605639831962000&amp;usg=AFQjCNFxCAsTC3xLFCQLx-F2BFLihybOZA" TargetMode="External"/><Relationship Id="rId1406" Type="http://schemas.openxmlformats.org/officeDocument/2006/relationships/hyperlink" Target="https://www.google.com/url?q=https://www.infoarena.ro/problema/bitcost&amp;sa=D&amp;ust=1605639832353000&amp;usg=AFQjCNFak2XLNU4pHhXWBgzDYzcaB5FjYQ" TargetMode="External"/><Relationship Id="rId1613" Type="http://schemas.openxmlformats.org/officeDocument/2006/relationships/hyperlink" Target="https://www.google.com/url?q=https://www.infoarena.ro/problema/troll&amp;sa=D&amp;ust=1605639832417000&amp;usg=AFQjCNE9Po5Q2-N5V77-CmJlQnnzNnQE3Q" TargetMode="External"/><Relationship Id="rId1820" Type="http://schemas.openxmlformats.org/officeDocument/2006/relationships/hyperlink" Target="https://www.google.com/url?q=https://github.com/mostafa-saad/MyCompetitiveProgramming/blob/master/Olympiad/IOI/IOI-14-rail.txt&amp;sa=D&amp;ust=1605639832481000&amp;usg=AFQjCNE-xWW7AnAJDfaunanh4jUHfVZvWw" TargetMode="External"/><Relationship Id="rId194" Type="http://schemas.openxmlformats.org/officeDocument/2006/relationships/hyperlink" Target="https://www.google.com/url?q=https://github.com/mostafa-saad/MyCompetitiveProgramming/blob/master/Olympiad/Baltic/Baltic-08-Gates.txt&amp;sa=D&amp;ust=1605639832013000&amp;usg=AFQjCNFhVVUBgS9qr2Gqav4ajUDC6B09Pw" TargetMode="External"/><Relationship Id="rId1918" Type="http://schemas.openxmlformats.org/officeDocument/2006/relationships/hyperlink" Target="https://www.google.com/url?q=https://csacademy.com/contest/ioi-2016-training-round-2/task/cograph_clique/&amp;sa=D&amp;ust=1605639832514000&amp;usg=AFQjCNH0SRYE1pJe9PSvl65gqB1iinU9QQ" TargetMode="External"/><Relationship Id="rId2082" Type="http://schemas.openxmlformats.org/officeDocument/2006/relationships/hyperlink" Target="https://www.google.com/url?q=https://github.com/Yehezkiel01/CompetitiveProgramming/blob/master/JOIOC/JOIOC-14-factories.cpp&amp;sa=D&amp;ust=1605639832562000&amp;usg=AFQjCNE7gUnoHZnHv4qV2sAiYkQdcHfadA" TargetMode="External"/><Relationship Id="rId261" Type="http://schemas.openxmlformats.org/officeDocument/2006/relationships/hyperlink" Target="https://www.google.com/url?q=https://oj.uz/problem/view/BOI13_tracks&amp;sa=D&amp;ust=1605639832031000&amp;usg=AFQjCNHM9y_TbgNr674hEzvJOPSmVE5aNw" TargetMode="External"/><Relationship Id="rId499" Type="http://schemas.openxmlformats.org/officeDocument/2006/relationships/hyperlink" Target="https://www.google.com/url?q=https://github.com/tmwilliamlin168/CompetitiveProgramming/blob/master/CEOI/14-Fangorn.cpp&amp;sa=D&amp;ust=1605639832106000&amp;usg=AFQjCNFNOfFeACeUH2kF7E3TW0yjtvVj1g" TargetMode="External"/><Relationship Id="rId2387" Type="http://schemas.openxmlformats.org/officeDocument/2006/relationships/hyperlink" Target="https://www.google.com/url?q=https://oj.uz/problem/view/NOI18_lightningrod&amp;sa=D&amp;ust=1605639832669000&amp;usg=AFQjCNFrZZc5cNsDG2KQyubg9rw-qX8WjQ" TargetMode="External"/><Relationship Id="rId2594" Type="http://schemas.openxmlformats.org/officeDocument/2006/relationships/hyperlink" Target="https://www.google.com/url?q=https://github.com/mostafa-saad/MyCompetitiveProgramming/blob/master/Olympiad/POI/POI-08-Robinson.txt&amp;sa=D&amp;ust=1605639832736000&amp;usg=AFQjCNF_kGnVFyvj70npGEKgxAptviREhw" TargetMode="External"/><Relationship Id="rId359" Type="http://schemas.openxmlformats.org/officeDocument/2006/relationships/hyperlink" Target="https://www.google.com/url?q=https://github.com/thecodingwizard/competitive-programming/blob/master/DMOJ/CCO%252017-Connection.cpp&amp;sa=D&amp;ust=1605639832054000&amp;usg=AFQjCNFwZjOiKLzjA8UvJTskrKOClOdIXA" TargetMode="External"/><Relationship Id="rId566" Type="http://schemas.openxmlformats.org/officeDocument/2006/relationships/hyperlink" Target="https://www.google.com/url?q=https://dmoj.ca/problem/coci06c1p5&amp;sa=D&amp;ust=1605639832124000&amp;usg=AFQjCNEExXlI-0zW8vN6gOhL4deCNkY6wQ" TargetMode="External"/><Relationship Id="rId773" Type="http://schemas.openxmlformats.org/officeDocument/2006/relationships/hyperlink" Target="https://www.google.com/url?q=https://github.com/mostafa-saad/MyCompetitiveProgramming/blob/master/Olympiad/COCI/official/2009/contest2_solutions&amp;sa=D&amp;ust=1605639832168000&amp;usg=AFQjCNFT1SQ3mnC6qUpdKyhlUtvG97YJYw" TargetMode="External"/><Relationship Id="rId1196" Type="http://schemas.openxmlformats.org/officeDocument/2006/relationships/hyperlink" Target="https://www.google.com/url?q=https://github.com/dolphingarlic/CompetitiveProgramming/blob/master/COI/COCI%252020-zapina.cpp&amp;sa=D&amp;ust=1605639832297000&amp;usg=AFQjCNGHfTyCMoSwhKphyqbsyeCFfMz2ug" TargetMode="External"/><Relationship Id="rId2247" Type="http://schemas.openxmlformats.org/officeDocument/2006/relationships/hyperlink" Target="https://www.google.com/url?q=https://dunjudge.me/analysis/problems/724/&amp;sa=D&amp;ust=1605639832629000&amp;usg=AFQjCNGp-W62FjvB-yO4ETjgkSlp7FOAwA" TargetMode="External"/><Relationship Id="rId2454" Type="http://schemas.openxmlformats.org/officeDocument/2006/relationships/hyperlink" Target="https://www.google.com/url?q=https://dunjudge.me/analysis/problems/1187/&amp;sa=D&amp;ust=1605639832697000&amp;usg=AFQjCNE7kp7RR6LcYiitTgPGLI-WrE8rlg" TargetMode="External"/><Relationship Id="rId2899" Type="http://schemas.openxmlformats.org/officeDocument/2006/relationships/hyperlink" Target="https://www.google.com/url?q=https://github.com/timpostuvan/CompetitiveProgramming/blob/master/Olympiad/TOKI/CellsTour2018.cpp&amp;sa=D&amp;ust=1605639832820000&amp;usg=AFQjCNEb7qmg01z6324_XRXjqhhCUvKClw" TargetMode="External"/><Relationship Id="rId121" Type="http://schemas.openxmlformats.org/officeDocument/2006/relationships/hyperlink" Target="https://www.google.com/url?q=https://github.com/mostafa-saad/MyCompetitiveProgramming/tree/master/Olympiad/Balkan/official/2015&amp;sa=D&amp;ust=1605639831988000&amp;usg=AFQjCNGmD7IDhrOLSYl63_ZuQtca16cZQw" TargetMode="External"/><Relationship Id="rId219" Type="http://schemas.openxmlformats.org/officeDocument/2006/relationships/hyperlink" Target="https://www.google.com/url?q=https://cses.fi/105/list/&amp;sa=D&amp;ust=1605639832020000&amp;usg=AFQjCNG7tvu9J73dv6GXiciUYq_jHBqqwQ" TargetMode="External"/><Relationship Id="rId426" Type="http://schemas.openxmlformats.org/officeDocument/2006/relationships/hyperlink" Target="https://www.google.com/url?q=https://cses.fi/188/list/&amp;sa=D&amp;ust=1605639832085000&amp;usg=AFQjCNF1EHNzJVfTzxtJbyBbl5ZqMikALg" TargetMode="External"/><Relationship Id="rId633" Type="http://schemas.openxmlformats.org/officeDocument/2006/relationships/hyperlink" Target="https://www.google.com/url?q=https://github.com/mostafa-saad/MyCompetitiveProgramming/tree/master/Olympiad/COCI/official/2007/contest5_solutions&amp;sa=D&amp;ust=1605639832138000&amp;usg=AFQjCNG6lbbhOauf4gfY259oZ_dqkFt_yA" TargetMode="External"/><Relationship Id="rId980" Type="http://schemas.openxmlformats.org/officeDocument/2006/relationships/hyperlink" Target="https://www.google.com/url?q=https://dmoj.ca/problem/coci14c1p5&amp;sa=D&amp;ust=1605639832228000&amp;usg=AFQjCNFejCpo01CBykN2pCLCfnfq4_Xgtg" TargetMode="External"/><Relationship Id="rId1056" Type="http://schemas.openxmlformats.org/officeDocument/2006/relationships/hyperlink" Target="https://www.google.com/url?q=https://github.com/mostafa-saad/MyCompetitiveProgramming/blob/master/Olympiad/COCI/COCI-16-zoltan.txt&amp;sa=D&amp;ust=1605639832247000&amp;usg=AFQjCNE0W6Hg_O4NEgqfCNRpvvWHeLMLMQ" TargetMode="External"/><Relationship Id="rId1263" Type="http://schemas.openxmlformats.org/officeDocument/2006/relationships/hyperlink" Target="https://www.google.com/url?q=https://github.com/mostafa-saad/MyCompetitiveProgramming/tree/master/Olympiad/COI/official/2015&amp;sa=D&amp;ust=1605639832316000&amp;usg=AFQjCNEuWF0U_JrT2cvnAfa1SkPmEmyJpg" TargetMode="External"/><Relationship Id="rId2107" Type="http://schemas.openxmlformats.org/officeDocument/2006/relationships/hyperlink" Target="https://www.google.com/url?q=https://oj.uz/problems/source/351&amp;sa=D&amp;ust=1605639832570000&amp;usg=AFQjCNF8d6n6BLA73QzbAVt46gAw5aNOEQ" TargetMode="External"/><Relationship Id="rId2314" Type="http://schemas.openxmlformats.org/officeDocument/2006/relationships/hyperlink" Target="https://www.google.com/url?q=https://github.com/mostafa-saad/MyCompetitiveProgramming/blob/master/Olympiad/NOI/official&amp;sa=D&amp;ust=1605639832649000&amp;usg=AFQjCNFLKzE6amzfKSlWg38WXqzjg5E0yA" TargetMode="External"/><Relationship Id="rId2661" Type="http://schemas.openxmlformats.org/officeDocument/2006/relationships/hyperlink" Target="https://www.google.com/url?q=https://oj.uz/problem/view/POI11_smi&amp;sa=D&amp;ust=1605639832750000&amp;usg=AFQjCNG-jwmeBiCm60KB7Zu2wv0rxEAbKw" TargetMode="External"/><Relationship Id="rId2759" Type="http://schemas.openxmlformats.org/officeDocument/2006/relationships/hyperlink" Target="https://www.google.com/url?q=https://szkopul.edu.pl/problemset/problem/kYVp05sX8lzHWNwn93xjcYwH/site/&amp;sa=D&amp;ust=1605639832773000&amp;usg=AFQjCNECyZigCDxgNzal913swVeynUtyMQ" TargetMode="External"/><Relationship Id="rId2966" Type="http://schemas.openxmlformats.org/officeDocument/2006/relationships/hyperlink" Target="https://www.google.com/url?q=http://usaco.org/index.php?page%3Dviewproblem2%26cpid%3D865&amp;sa=D&amp;ust=1605639832843000&amp;usg=AFQjCNFLp87txuJpxM4E49nd_8EPXl3ECg" TargetMode="External"/><Relationship Id="rId840" Type="http://schemas.openxmlformats.org/officeDocument/2006/relationships/hyperlink" Target="https://www.google.com/url?q=https://github.com/mostafa-saad/MyCompetitiveProgramming/blob/master/Olympiad/COCI/official/2010/contest3_solutions&amp;sa=D&amp;ust=1605639832190000&amp;usg=AFQjCNEkIyljTbnIr7GLbXuW9NYe8_2KPg" TargetMode="External"/><Relationship Id="rId938" Type="http://schemas.openxmlformats.org/officeDocument/2006/relationships/hyperlink" Target="https://www.google.com/url?q=https://dmoj.ca/problem/coci14c7p2&amp;sa=D&amp;ust=1605639832218000&amp;usg=AFQjCNGzIt9mcyY2F38fwDZQ10RM8hhSIQ" TargetMode="External"/><Relationship Id="rId1470" Type="http://schemas.openxmlformats.org/officeDocument/2006/relationships/hyperlink" Target="https://www.google.com/url?q=https://www.infoarena.ro/problema/grea&amp;sa=D&amp;ust=1605639832370000&amp;usg=AFQjCNEx4l5uJxihUT-SaFH0erJhIvXsSg" TargetMode="External"/><Relationship Id="rId1568" Type="http://schemas.openxmlformats.org/officeDocument/2006/relationships/hyperlink" Target="https://www.google.com/url?q=https://github.com/stefdasca/CompetitiveProgramming/blob/master/Infoarena/porcjoc.cpp&amp;sa=D&amp;ust=1605639832403000&amp;usg=AFQjCNEATSpc5MVhIJOBAvnPSHOEZKeQ1w" TargetMode="External"/><Relationship Id="rId1775" Type="http://schemas.openxmlformats.org/officeDocument/2006/relationships/hyperlink" Target="https://www.google.com/url?q=https://contest.yandex.ru/ioi/contest/570/enter/&amp;sa=D&amp;ust=1605639832464000&amp;usg=AFQjCNGVZcXO8eAHsP9m2vvOvqa-gr0bGQ" TargetMode="External"/><Relationship Id="rId2521" Type="http://schemas.openxmlformats.org/officeDocument/2006/relationships/hyperlink" Target="https://www.google.com/url?q=https://szkopul.edu.pl/problemset/problem/mjJWZowf-KgF_KX1Hi0bUDZN/site/&amp;sa=D&amp;ust=1605639832719000&amp;usg=AFQjCNHjXdtcqlX9GMAx5zf5Bcq0PAsgmA" TargetMode="External"/><Relationship Id="rId2619" Type="http://schemas.openxmlformats.org/officeDocument/2006/relationships/hyperlink" Target="https://www.google.com/url?q=https://szkopul.edu.pl/problemset/problem/F_PC7j8VzjiPwlNqg9Jr_tFg/site/&amp;sa=D&amp;ust=1605639832741000&amp;usg=AFQjCNEY6WnEsC7YzEezoBPdG2m4EXhsdg" TargetMode="External"/><Relationship Id="rId2826" Type="http://schemas.openxmlformats.org/officeDocument/2006/relationships/hyperlink" Target="https://www.google.com/url?q=https://szkopul.edu.pl/problemset/problem/wrTmzO9-dzEbLtsRUCdMV2_W/site/&amp;sa=D&amp;ust=1605639832795000&amp;usg=AFQjCNFWQcC6xnvB8Id8aRXphFD1HbFynQ" TargetMode="External"/><Relationship Id="rId67" Type="http://schemas.openxmlformats.org/officeDocument/2006/relationships/hyperlink" Target="https://www.google.com/url?q=https://github.com/mostafa-saad/MyCompetitiveProgramming/blob/master/Olympiad/APIO/APIO-18-duathlon.txt&amp;sa=D&amp;ust=1605639831970000&amp;usg=AFQjCNEABy0x-DaNuiswbIpv0YlrMZI8Kg" TargetMode="External"/><Relationship Id="rId700" Type="http://schemas.openxmlformats.org/officeDocument/2006/relationships/hyperlink" Target="https://www.google.com/url?q=https://dmoj.ca/problem/coci07c3p6&amp;sa=D&amp;ust=1605639832152000&amp;usg=AFQjCNHmE_Vfi_OHaWGsBUMwLC73Oofalg" TargetMode="External"/><Relationship Id="rId1123" Type="http://schemas.openxmlformats.org/officeDocument/2006/relationships/hyperlink" Target="https://www.google.com/url?q=https://oj.uz/problem/view/COCI17_unija&amp;sa=D&amp;ust=1605639832264000&amp;usg=AFQjCNEt2umQy8ZC0fbs0Qo8OJd-__-BSw" TargetMode="External"/><Relationship Id="rId1330" Type="http://schemas.openxmlformats.org/officeDocument/2006/relationships/hyperlink" Target="https://www.google.com/url?q=https://dmoj.ca/problem/dmpg16s4&amp;sa=D&amp;ust=1605639832333000&amp;usg=AFQjCNGmxmoK5hv8rfJsIJ10QN8g-l49vA" TargetMode="External"/><Relationship Id="rId1428" Type="http://schemas.openxmlformats.org/officeDocument/2006/relationships/hyperlink" Target="https://www.google.com/url?q=https://github.com/stefdasca/CompetitiveProgramming/blob/master/Infoarena/cladiri.cpp&amp;sa=D&amp;ust=1605639832358000&amp;usg=AFQjCNGDrxvSH2zwYqPycy2ogYvZf4itVA" TargetMode="External"/><Relationship Id="rId1635" Type="http://schemas.openxmlformats.org/officeDocument/2006/relationships/hyperlink" Target="https://www.google.com/url?q=https://oj.uz/problem/view/innopolis2018_final_C&amp;sa=D&amp;ust=1605639832424000&amp;usg=AFQjCNGbbREwZBTxBOar-EygiHWpN46o1A" TargetMode="External"/><Relationship Id="rId1982" Type="http://schemas.openxmlformats.org/officeDocument/2006/relationships/hyperlink" Target="https://www.google.com/url?q=https://oj.uz/problem/view/IZhO14_divide&amp;sa=D&amp;ust=1605639832533000&amp;usg=AFQjCNFa67Na4x9ebfzTaue1qFTiu5IdSA" TargetMode="External"/><Relationship Id="rId1842" Type="http://schemas.openxmlformats.org/officeDocument/2006/relationships/hyperlink" Target="https://www.google.com/url?q=https://github.com/mostafa-saad/MyCompetitiveProgramming/blob/master/Olympiad/IOI/IOI-16-messy.txt&amp;sa=D&amp;ust=1605639832489000&amp;usg=AFQjCNHIlf5XTCOoIGoEzp3Rwb1-rZ0CRw" TargetMode="External"/><Relationship Id="rId1702" Type="http://schemas.openxmlformats.org/officeDocument/2006/relationships/hyperlink" Target="https://www.google.com/url?q=https://www.oi.edu.pl/old/ioi/downloads/ioi2005-tasks-and-solutions-a5.pdf&amp;sa=D&amp;ust=1605639832443000&amp;usg=AFQjCNEzTqcZ-61VZ_QhvbTLgSo1jAKs_g" TargetMode="External"/><Relationship Id="rId283" Type="http://schemas.openxmlformats.org/officeDocument/2006/relationships/hyperlink" Target="https://www.google.com/url?q=https://oj.uz/problem/view/BOI15_fil&amp;sa=D&amp;ust=1605639832035000&amp;usg=AFQjCNEZmLb4fgu_LoHntuw9RhOt6x9KKg" TargetMode="External"/><Relationship Id="rId490" Type="http://schemas.openxmlformats.org/officeDocument/2006/relationships/hyperlink" Target="https://www.google.com/url?q=https://dunjudge.me/analysis/problems/802/&amp;sa=D&amp;ust=1605639832104000&amp;usg=AFQjCNEk1jkwwih3ZZnv3--heOnLJrAWZA" TargetMode="External"/><Relationship Id="rId2171" Type="http://schemas.openxmlformats.org/officeDocument/2006/relationships/hyperlink" Target="https://www.google.com/url?q=https://github.com/mostafa-saad/MyCompetitiveProgramming/blob/master/Olympiad/JOI/JOISC-17-abduction2.txt&amp;sa=D&amp;ust=1605639832603000&amp;usg=AFQjCNFCNSSkcLa2nHOHZyqH91ryDj1vtQ" TargetMode="External"/><Relationship Id="rId143" Type="http://schemas.openxmlformats.org/officeDocument/2006/relationships/hyperlink" Target="https://www.google.com/url?q=https://csacademy.com/contest/balkan-oi-2017-day-1/&amp;sa=D&amp;ust=1605639831997000&amp;usg=AFQjCNEkAzsqgBqVrn-Fo3KN2uHZiN3AUg" TargetMode="External"/><Relationship Id="rId350" Type="http://schemas.openxmlformats.org/officeDocument/2006/relationships/hyperlink" Target="https://www.google.com/url?q=https://dmoj.ca/problem/nccc6s1&amp;sa=D&amp;ust=1605639832052000&amp;usg=AFQjCNHQ6XdkJfhfcGX0-kwOxGIidzOQrg" TargetMode="External"/><Relationship Id="rId588" Type="http://schemas.openxmlformats.org/officeDocument/2006/relationships/hyperlink" Target="https://www.google.com/url?q=https://wcipeg.com/problem/coci065p4&amp;sa=D&amp;ust=1605639832129000&amp;usg=AFQjCNGWNNgDuATc62xA2LJnxJJ7nDR94g" TargetMode="External"/><Relationship Id="rId795" Type="http://schemas.openxmlformats.org/officeDocument/2006/relationships/hyperlink" Target="https://www.google.com/url?q=https://github.com/mostafa-saad/MyCompetitiveProgramming/blob/master/Olympiad/COCI/official/2010/contest4_solutions&amp;sa=D&amp;ust=1605639832175000&amp;usg=AFQjCNFo-5-m4VpWz-YIt48ev0ecsSLFNQ" TargetMode="External"/><Relationship Id="rId2031" Type="http://schemas.openxmlformats.org/officeDocument/2006/relationships/hyperlink" Target="https://www.google.com/url?q=https://joi2015ho.contest.atcoder.jp/tasks/joi2015ho_a&amp;sa=D&amp;ust=1605639832548000&amp;usg=AFQjCNE39wgKezqeIX_RIlNY1m3LaK9D0w" TargetMode="External"/><Relationship Id="rId2269" Type="http://schemas.openxmlformats.org/officeDocument/2006/relationships/hyperlink" Target="https://www.google.com/url?q=https://github.com/mostafa-saad/MyCompetitiveProgramming/blob/master/Olympiad/MCO/MCO-17-NewbieHacker.txt&amp;sa=D&amp;ust=1605639832636000&amp;usg=AFQjCNH-Athh7dXS6VYu9uRWBwVAm_YNew" TargetMode="External"/><Relationship Id="rId2476" Type="http://schemas.openxmlformats.org/officeDocument/2006/relationships/hyperlink" Target="https://www.google.com/url?q=https://github.com/mostafa-saad/MyCompetitiveProgramming/blob/master/Olympiad/OSN/OSN_16-1B.txt&amp;sa=D&amp;ust=1605639832706000&amp;usg=AFQjCNFHuxzcnTWEPNdiaUTCoyKNToSb_w" TargetMode="External"/><Relationship Id="rId2683" Type="http://schemas.openxmlformats.org/officeDocument/2006/relationships/hyperlink" Target="https://www.google.com/url?q=https://oj.uz/problem/view/POI11_wyk&amp;sa=D&amp;ust=1605639832754000&amp;usg=AFQjCNFjbAokY_FGtLI75_DGkpmEgt4oMQ" TargetMode="External"/><Relationship Id="rId2890" Type="http://schemas.openxmlformats.org/officeDocument/2006/relationships/hyperlink" Target="https://www.google.com/url?q=https://contest.yandex.ru/snss2018/contest/8703/problems/A&amp;sa=D&amp;ust=1605639832817000&amp;usg=AFQjCNFGAIeCz5neYbAN-tIwahS6cMg3rA" TargetMode="External"/><Relationship Id="rId9" Type="http://schemas.openxmlformats.org/officeDocument/2006/relationships/hyperlink" Target="https://www.google.com/url?q=https://dunjudge.me/analysis/problems/542/&amp;sa=D&amp;ust=1605639831955000&amp;usg=AFQjCNFRd8yBXdWAgNV-Q5OsPl9r-oya8g" TargetMode="External"/><Relationship Id="rId210" Type="http://schemas.openxmlformats.org/officeDocument/2006/relationships/hyperlink" Target="https://www.google.com/url?q=https://github.com/mostafa-saad/MyCompetitiveProgramming/blob/master/Olympiad/Baltic/Baltic-09-Subway.txt&amp;sa=D&amp;ust=1605639832017000&amp;usg=AFQjCNFE5X_mWn9SStmgiTVGULyMGM9Ttg" TargetMode="External"/><Relationship Id="rId448" Type="http://schemas.openxmlformats.org/officeDocument/2006/relationships/hyperlink" Target="https://www.google.com/url?q=https://github.com/mostafa-saad/MyCompetitiveProgramming/blob/master/Olympiad/CEOI/CEOI-09-Photo.txt&amp;sa=D&amp;ust=1605639832092000&amp;usg=AFQjCNHVBDQg3cs3x3OeKq7oy97GhLrusg" TargetMode="External"/><Relationship Id="rId655" Type="http://schemas.openxmlformats.org/officeDocument/2006/relationships/hyperlink" Target="https://www.google.com/url?q=https://github.com/mostafa-saad/MyCompetitiveProgramming/tree/master/Olympiad/COCI/official/2008/contest2_solutions&amp;sa=D&amp;ust=1605639832143000&amp;usg=AFQjCNFKr9A1ybs8NW_i3ApaaLoxW3PXbg" TargetMode="External"/><Relationship Id="rId862" Type="http://schemas.openxmlformats.org/officeDocument/2006/relationships/hyperlink" Target="https://www.google.com/url?q=https://github.com/mostafa-saad/MyCompetitiveProgramming/blob/master/Olympiad/COCI/official/2010/contest7_solutions&amp;sa=D&amp;ust=1605639832197000&amp;usg=AFQjCNG4JypWn-zk51gWcdEU0GELG-lBRg" TargetMode="External"/><Relationship Id="rId1078" Type="http://schemas.openxmlformats.org/officeDocument/2006/relationships/hyperlink" Target="https://www.google.com/url?q=https://oj.uz/problem/view/COCI17_izbori&amp;sa=D&amp;ust=1605639832253000&amp;usg=AFQjCNFHzzPcVN5Rsg3xuGf1w-JgxJzryg" TargetMode="External"/><Relationship Id="rId1285" Type="http://schemas.openxmlformats.org/officeDocument/2006/relationships/hyperlink" Target="https://www.google.com/url?q=https://oj.uz/problem/view/COI19_izlet&amp;sa=D&amp;ust=1605639832321000&amp;usg=AFQjCNHlAVlBMtnTc9JOSa8h7seDScXGKQ" TargetMode="External"/><Relationship Id="rId1492" Type="http://schemas.openxmlformats.org/officeDocument/2006/relationships/hyperlink" Target="https://www.google.com/url?q=https://infoarena.ro/problema/kdtree&amp;sa=D&amp;ust=1605639832378000&amp;usg=AFQjCNEV34R-mvOyI9rPwe09sOOZCgfdEw" TargetMode="External"/><Relationship Id="rId2129" Type="http://schemas.openxmlformats.org/officeDocument/2006/relationships/hyperlink" Target="https://www.google.com/url?q=https://joisc2013-day4.contest.atcoder.jp/tasks/joisc2013_spaceships&amp;sa=D&amp;ust=1605639832581000&amp;usg=AFQjCNFGTEI2GC-iZY1_uz1uoEtq4Mn9hg" TargetMode="External"/><Relationship Id="rId2336" Type="http://schemas.openxmlformats.org/officeDocument/2006/relationships/hyperlink" Target="https://www.google.com/url?q=https://oj.uz/problem/view/NOI12_pancake&amp;sa=D&amp;ust=1605639832655000&amp;usg=AFQjCNFsHiqE-g5HFSihAdBkx__GAwTp0g" TargetMode="External"/><Relationship Id="rId2543" Type="http://schemas.openxmlformats.org/officeDocument/2006/relationships/hyperlink" Target="https://www.google.com/url?q=https://szkopul.edu.pl/problemset/problem/k9UKIj11V6iPRc3LaiYQYHyi/site/&amp;sa=D&amp;ust=1605639832725000&amp;usg=AFQjCNGAcbJjQ1KW3Bp84eza0lTXcLomKA" TargetMode="External"/><Relationship Id="rId2750" Type="http://schemas.openxmlformats.org/officeDocument/2006/relationships/hyperlink" Target="https://www.google.com/url?q=https://github.com/mostafa-saad/MyCompetitiveProgramming/blob/master/Olympiad/POI/POI-14-Little_Bird.txt&amp;sa=D&amp;ust=1605639832769000&amp;usg=AFQjCNHbb7RsGO1JgPZa50crsPVH-o4aow" TargetMode="External"/><Relationship Id="rId2988" Type="http://schemas.openxmlformats.org/officeDocument/2006/relationships/hyperlink" Target="https://www.google.com/url?q=http://usaco.org/index.php?page%3Dviewproblem2%26cpid%3D924&amp;sa=D&amp;ust=1605639832862000&amp;usg=AFQjCNH3Q6zV_kqRDX6LxCZxp6CjGZCweA" TargetMode="External"/><Relationship Id="rId308" Type="http://schemas.openxmlformats.org/officeDocument/2006/relationships/hyperlink" Target="https://www.google.com/url?q=https://github.com/mostafa-saad/MyCompetitiveProgramming/blob/master/Olympiad/Baltic/Baltic-17-PoliticalDevelopment.txt&amp;sa=D&amp;ust=1605639832041000&amp;usg=AFQjCNG8QR0Jyf4KbgPdelvnmMEOYRbIGQ" TargetMode="External"/><Relationship Id="rId515" Type="http://schemas.openxmlformats.org/officeDocument/2006/relationships/hyperlink" Target="https://www.google.com/url?q=https://github.com/mostafa-saad/MyCompetitiveProgramming/blob/master/Olympiad/CEOI/CEOI-16-Kangaroo.txt&amp;sa=D&amp;ust=1605639832112000&amp;usg=AFQjCNF9959OI-ryJLuoJIyj65-mqrpxgA" TargetMode="External"/><Relationship Id="rId722" Type="http://schemas.openxmlformats.org/officeDocument/2006/relationships/hyperlink" Target="https://www.google.com/url?q=https://dmoj.ca/problem/coci08c3p5&amp;sa=D&amp;ust=1605639832157000&amp;usg=AFQjCNF8rPjqYiUm_MRlKS_Ar5NyBO4A5Q" TargetMode="External"/><Relationship Id="rId1145" Type="http://schemas.openxmlformats.org/officeDocument/2006/relationships/hyperlink" Target="https://www.google.com/url?q=https://oj.uz/problem/view/COCI18_mate&amp;sa=D&amp;ust=1605639832273000&amp;usg=AFQjCNHl0pspERzmPBgsD1hhRjuePmwINg" TargetMode="External"/><Relationship Id="rId1352" Type="http://schemas.openxmlformats.org/officeDocument/2006/relationships/hyperlink" Target="https://www.google.com/url?q=https://codeforces.com/group/swEqtABRxe/contest/243427/problem/B&amp;sa=D&amp;ust=1605639832340000&amp;usg=AFQjCNGhe249RYl0_yeHVP6T_wRMwablhQ" TargetMode="External"/><Relationship Id="rId1797" Type="http://schemas.openxmlformats.org/officeDocument/2006/relationships/hyperlink" Target="https://www.google.com/url?q=https://oj.uz/problem/view/IOI12_supper&amp;sa=D&amp;ust=1605639832474000&amp;usg=AFQjCNGEaD_V-5R1CC9eajYMH36w8BKxRQ" TargetMode="External"/><Relationship Id="rId2403" Type="http://schemas.openxmlformats.org/officeDocument/2006/relationships/hyperlink" Target="https://www.google.com/url?q=https://dunjudge.me/analysis/problems/693/&amp;sa=D&amp;ust=1605639832675000&amp;usg=AFQjCNG1I9epd0xV_cwp0Pw-sBw60twaEQ" TargetMode="External"/><Relationship Id="rId2848" Type="http://schemas.openxmlformats.org/officeDocument/2006/relationships/hyperlink" Target="https://www.google.com/url?q=https://szkopul.edu.pl/problemset/problem/NZSCUwz2ACePsBKuVCIVzrRt/site/&amp;sa=D&amp;ust=1605639832803000&amp;usg=AFQjCNF3io3sIjJy_elnG7cOY4Yz7VqoBA" TargetMode="External"/><Relationship Id="rId89" Type="http://schemas.openxmlformats.org/officeDocument/2006/relationships/hyperlink" Target="https://www.google.com/url?q=https://github.com/mostafa-saad/MyCompetitiveProgramming/blob/master/Olympiad/Balkan/Balkan-09-Reading.txt&amp;sa=D&amp;ust=1605639831978000&amp;usg=AFQjCNFe3iuti-2cLmvWiX2CkEoE3FNtTg" TargetMode="External"/><Relationship Id="rId1005" Type="http://schemas.openxmlformats.org/officeDocument/2006/relationships/hyperlink" Target="https://www.google.com/url?q=https://github.com/mostafa-saad/MyCompetitiveProgramming/blob/master/Olympiad/COCI/official/2016/contest3_solutions&amp;sa=D&amp;ust=1605639832235000&amp;usg=AFQjCNElICJNXehXDhg-4cxtZVUSSZdS8w" TargetMode="External"/><Relationship Id="rId1212" Type="http://schemas.openxmlformats.org/officeDocument/2006/relationships/hyperlink" Target="https://www.google.com/url?q=https://github.com/mostafa-saad/MyCompetitiveProgramming/blob/master/Olympiad/COCI/official/2009/regional_solutions&amp;sa=D&amp;ust=1605639832302000&amp;usg=AFQjCNEZqeBC1Em5RTDnFFkFRHWGOfGd1g" TargetMode="External"/><Relationship Id="rId1657" Type="http://schemas.openxmlformats.org/officeDocument/2006/relationships/hyperlink" Target="https://www.google.com/url?q=https://dunjudge.me/analysis/problems/753/&amp;sa=D&amp;ust=1605639832431000&amp;usg=AFQjCNErjdY2z8v2IIr6TEOb9bgPNqmy4w" TargetMode="External"/><Relationship Id="rId1864" Type="http://schemas.openxmlformats.org/officeDocument/2006/relationships/hyperlink" Target="https://www.google.com/url?q=https://oj.uz/problem/view/IOI17_train&amp;sa=D&amp;ust=1605639832497000&amp;usg=AFQjCNFu0Gp2qVxfan7Q_zqII7IwpZxDRA" TargetMode="External"/><Relationship Id="rId2610" Type="http://schemas.openxmlformats.org/officeDocument/2006/relationships/hyperlink" Target="https://www.google.com/url?q=https://github.com/mostafa-saad/MyCompetitiveProgramming/blob/master/Olympiad/POI/POI-09-Fire.txt&amp;sa=D&amp;ust=1605639832739000&amp;usg=AFQjCNGzCu2EdOTIA8CIXKvEwo8SDK7BNg" TargetMode="External"/><Relationship Id="rId2708" Type="http://schemas.openxmlformats.org/officeDocument/2006/relationships/hyperlink" Target="https://www.google.com/url?q=https://www.dropbox.com/s/smryqdsty3vu5br/Bytecomputer.cpp?dl%3D0&amp;sa=D&amp;ust=1605639832759000&amp;usg=AFQjCNGfIv1L-xAbo4HZO0O4KDMzNz4BTw" TargetMode="External"/><Relationship Id="rId2915" Type="http://schemas.openxmlformats.org/officeDocument/2006/relationships/hyperlink" Target="https://www.google.com/url?q=http://usaco.org/index.php?page%3Dviewproblem2%26cpid%3D195&amp;sa=D&amp;ust=1605639832824000&amp;usg=AFQjCNG8YtszMQ9fzlkPQTMMZ_Nd7sJjbw" TargetMode="External"/><Relationship Id="rId1517" Type="http://schemas.openxmlformats.org/officeDocument/2006/relationships/hyperlink" Target="https://www.google.com/url?q=https://github.com/mostafa-saad/MyCompetitiveProgramming/blob/master/Olympiad/infoarena/infoarena_mexc.txt&amp;sa=D&amp;ust=1605639832385000&amp;usg=AFQjCNGIH0GndSP1QAhIYrgFLvuBL_DR0Q" TargetMode="External"/><Relationship Id="rId1724" Type="http://schemas.openxmlformats.org/officeDocument/2006/relationships/hyperlink" Target="https://www.google.com/url?q=https://github.com/mostafa-saad/MyCompetitiveProgramming/blob/master/Olympiad/IOI/IOI-07-flood.txt&amp;sa=D&amp;ust=1605639832450000&amp;usg=AFQjCNHGnBHz2yPLt_JJ18a5ilAhiu9VEQ" TargetMode="External"/><Relationship Id="rId16" Type="http://schemas.openxmlformats.org/officeDocument/2006/relationships/hyperlink" Target="https://www.google.com/url?q=https://github.com/mostafa-saad/MyCompetitiveProgramming/blob/master/Olympiad/APIO/APIO-09-Convention.txt&amp;sa=D&amp;ust=1605639831956000&amp;usg=AFQjCNHd93roGIzqoIQlHv-_i83ezgxn4A" TargetMode="External"/><Relationship Id="rId1931" Type="http://schemas.openxmlformats.org/officeDocument/2006/relationships/hyperlink" Target="https://www.google.com/url?q=https://csacademy.com/contest/ioi-2016-training-round-3/task/tree-nodes-destruction/&amp;sa=D&amp;ust=1605639832518000&amp;usg=AFQjCNFJRqd5BydCmFcuIbiWfmRRAQtabw" TargetMode="External"/><Relationship Id="rId2193" Type="http://schemas.openxmlformats.org/officeDocument/2006/relationships/hyperlink" Target="https://www.google.com/url?q=https://github.com/nikolapesic2802/Programming-Practice/blob/master/Sparklersd/main.cpp&amp;sa=D&amp;ust=1605639832611000&amp;usg=AFQjCNHyrkEcZA5_xvmGune5H6sr6ldhZA" TargetMode="External"/><Relationship Id="rId2498" Type="http://schemas.openxmlformats.org/officeDocument/2006/relationships/hyperlink" Target="https://www.google.com/url?q=https://github.com/mostafa-saad/MyCompetitiveProgramming/blob/master/Olympiad/POI/POI-04-Passage.txt&amp;sa=D&amp;ust=1605639832713000&amp;usg=AFQjCNGvVRRGeSrWnO6d2ZgKPAMcj78deg" TargetMode="External"/><Relationship Id="rId165" Type="http://schemas.openxmlformats.org/officeDocument/2006/relationships/hyperlink" Target="https://www.google.com/url?q=https://cses.fi/116/list/&amp;sa=D&amp;ust=1605639832004000&amp;usg=AFQjCNFb02NRfrDrubuKP6x0F2qbeDSqOg" TargetMode="External"/><Relationship Id="rId372" Type="http://schemas.openxmlformats.org/officeDocument/2006/relationships/hyperlink" Target="https://www.google.com/url?q=https://www.acmicpc.net/problem/7055&amp;sa=D&amp;ust=1605639832058000&amp;usg=AFQjCNEIQp24GvmOQgWQ6L0p7yXRcwALSA" TargetMode="External"/><Relationship Id="rId677" Type="http://schemas.openxmlformats.org/officeDocument/2006/relationships/hyperlink" Target="https://www.google.com/url?q=https://github.com/mostafa-saad/MyCompetitiveProgramming/tree/master/Olympiad/COCI/official/2008/contest4_solutions&amp;sa=D&amp;ust=1605639832148000&amp;usg=AFQjCNHaX9c7Hi-_m000c54nl5ZQaZZlHw" TargetMode="External"/><Relationship Id="rId2053" Type="http://schemas.openxmlformats.org/officeDocument/2006/relationships/hyperlink" Target="https://www.google.com/url?q=https://oj.uz/problems/source/307&amp;sa=D&amp;ust=1605639832555000&amp;usg=AFQjCNFjVKWV_HCyKF4MAw2K59RBEtSj8g" TargetMode="External"/><Relationship Id="rId2260" Type="http://schemas.openxmlformats.org/officeDocument/2006/relationships/hyperlink" Target="https://www.google.com/url?q=https://dunjudge.me/analysis/problems/961/&amp;sa=D&amp;ust=1605639832634000&amp;usg=AFQjCNFc57WVQPVdJB89ccvPWmZrmLrgTg" TargetMode="External"/><Relationship Id="rId2358" Type="http://schemas.openxmlformats.org/officeDocument/2006/relationships/hyperlink" Target="https://www.google.com/url?q=https://github.com/mostafa-saad/MyCompetitiveProgramming/blob/master/Olympiad/NOI/official&amp;sa=D&amp;ust=1605639832661000&amp;usg=AFQjCNE8MucSuBHA59Vj6oGM0HI8ITFLRg" TargetMode="External"/><Relationship Id="rId232" Type="http://schemas.openxmlformats.org/officeDocument/2006/relationships/hyperlink" Target="https://www.google.com/url?q=https://github.com/mostafa-saad/MyCompetitiveProgramming/blob/master/Olympiad/Baltic/Baltic-11-Meetings.txt&amp;sa=D&amp;ust=1605639832024000&amp;usg=AFQjCNFL5HNlS0QziUAVEdwpGhVRKd1qJQ" TargetMode="External"/><Relationship Id="rId884" Type="http://schemas.openxmlformats.org/officeDocument/2006/relationships/hyperlink" Target="https://www.google.com/url?q=https://github.com/mostafa-saad/MyCompetitiveProgramming/blob/master/Olympiad/COCI/official/2013/contest1_solutions&amp;sa=D&amp;ust=1605639832205000&amp;usg=AFQjCNGMBMagrFO9AOu9KsXcGTEcT0CIvg" TargetMode="External"/><Relationship Id="rId2120" Type="http://schemas.openxmlformats.org/officeDocument/2006/relationships/hyperlink" Target="https://www.google.com/url?q=https://joisc2013-day3.contest.atcoder.jp/tasks/joisc2013_cake&amp;sa=D&amp;ust=1605639832576000&amp;usg=AFQjCNFmStR1jcsvxKYsbVRzGgPMymio1A" TargetMode="External"/><Relationship Id="rId2565" Type="http://schemas.openxmlformats.org/officeDocument/2006/relationships/hyperlink" Target="https://www.google.com/url?q=https://szkopul.edu.pl/problemset/problem/MVjuhH4JZu17rusHweyEdyJx/site/&amp;sa=D&amp;ust=1605639832730000&amp;usg=AFQjCNHH0KQA0ckdO1vVTeKhKsoTLrLmpw" TargetMode="External"/><Relationship Id="rId2772" Type="http://schemas.openxmlformats.org/officeDocument/2006/relationships/hyperlink" Target="https://www.google.com/url?q=https://github.com/mostafa-saad/MyCompetitiveProgramming/blob/master/Olympiad/POI/official/find_editorial_sols_guidelines.txt&amp;sa=D&amp;ust=1605639832777000&amp;usg=AFQjCNEDF12qsRt9CtfXgWrrh17YUaq_Og" TargetMode="External"/><Relationship Id="rId537" Type="http://schemas.openxmlformats.org/officeDocument/2006/relationships/hyperlink" Target="https://www.google.com/url?q=https://oj.uz/problem/view/CEOI18_fib&amp;sa=D&amp;ust=1605639832117000&amp;usg=AFQjCNGJhtH9xV5UzcalKHMmrIkYuk-JZQ" TargetMode="External"/><Relationship Id="rId744" Type="http://schemas.openxmlformats.org/officeDocument/2006/relationships/hyperlink" Target="https://www.google.com/url?q=https://dmoj.ca/problem/coci08c2p1&amp;sa=D&amp;ust=1605639832161000&amp;usg=AFQjCNHA4tiPA_wxuFpiEbclRH-RbJZXWQ" TargetMode="External"/><Relationship Id="rId951" Type="http://schemas.openxmlformats.org/officeDocument/2006/relationships/hyperlink" Target="https://www.google.com/url?q=https://dunjudge.me/analysis/problems/803/&amp;sa=D&amp;ust=1605639832221000&amp;usg=AFQjCNH6r04cLWVYXWhWA8YecQn4VWrvXA" TargetMode="External"/><Relationship Id="rId1167" Type="http://schemas.openxmlformats.org/officeDocument/2006/relationships/hyperlink" Target="https://www.google.com/url?q=https://oj.uz/problem/view/COCI19_kisik&amp;sa=D&amp;ust=1605639832283000&amp;usg=AFQjCNEshZuMlRKQFItarzXlRmuiNrl2Dg" TargetMode="External"/><Relationship Id="rId1374" Type="http://schemas.openxmlformats.org/officeDocument/2006/relationships/hyperlink" Target="https://www.google.com/url?q=https://github.com/stefdasca/CompetitiveProgramming/blob/master/Info1Cup/National%2520Round/subway.cpp&amp;sa=D&amp;ust=1605639832346000&amp;usg=AFQjCNFfUwC05nyyVoOTjSK59CAB6HLSIA" TargetMode="External"/><Relationship Id="rId1581" Type="http://schemas.openxmlformats.org/officeDocument/2006/relationships/hyperlink" Target="https://www.google.com/url?q=https://www.infoarena.ro/problema/retea3&amp;sa=D&amp;ust=1605639832407000&amp;usg=AFQjCNG182UtcsE9U_c2tt13OKn2RcOHAg" TargetMode="External"/><Relationship Id="rId1679" Type="http://schemas.openxmlformats.org/officeDocument/2006/relationships/hyperlink" Target="https://www.google.com/url?q=https://contest.yandex.ru/ioi/contest/558/enter/&amp;sa=D&amp;ust=1605639832437000&amp;usg=AFQjCNFW5_-vT1_6tFJKthlMtVPI73YQ7g" TargetMode="External"/><Relationship Id="rId2218" Type="http://schemas.openxmlformats.org/officeDocument/2006/relationships/hyperlink" Target="https://www.google.com/url?q=https://oj.uz/problem/view/JOI19_designated_cities&amp;sa=D&amp;ust=1605639832618000&amp;usg=AFQjCNGDQApfPSzl1GDpmURxXYjS9k_HBw" TargetMode="External"/><Relationship Id="rId2425" Type="http://schemas.openxmlformats.org/officeDocument/2006/relationships/hyperlink" Target="https://www.google.com/url?q=https://dunjudge.me/analysis/problems/188/&amp;sa=D&amp;ust=1605639832684000&amp;usg=AFQjCNEVOJYb-Ci4ZmHjhbpokeMwNoX1QA" TargetMode="External"/><Relationship Id="rId2632" Type="http://schemas.openxmlformats.org/officeDocument/2006/relationships/hyperlink" Target="https://www.google.com/url?q=https://github.com/mostafa-saad/MyCompetitiveProgramming/blob/master/Olympiad/POI/official/find_editorial_sols_guidelines.txt&amp;sa=D&amp;ust=1605639832745000&amp;usg=AFQjCNE0q1YlXCXLSM-XCwhPvgXWrvhRIQ" TargetMode="External"/><Relationship Id="rId80" Type="http://schemas.openxmlformats.org/officeDocument/2006/relationships/hyperlink" Target="https://www.google.com/url?q=https://www.acmicpc.net/problem/7085&amp;sa=D&amp;ust=1605639831974000&amp;usg=AFQjCNFE7ji2ckATmBfGiIAI8bAQUwhexw" TargetMode="External"/><Relationship Id="rId604" Type="http://schemas.openxmlformats.org/officeDocument/2006/relationships/hyperlink" Target="https://www.google.com/url?q=https://dmoj.ca/problem/coci06c3p1&amp;sa=D&amp;ust=1605639832132000&amp;usg=AFQjCNHo_yo30ouRVSEumxF7ETGmDSPmvg" TargetMode="External"/><Relationship Id="rId811" Type="http://schemas.openxmlformats.org/officeDocument/2006/relationships/hyperlink" Target="https://www.google.com/url?q=https://github.com/mostafa-saad/MyCompetitiveProgramming/blob/master/Olympiad/COCI/official/2010/contest3_solutions&amp;sa=D&amp;ust=1605639832180000&amp;usg=AFQjCNEaipeTRncDYMaJ_fgu2Yok2Io0Pg" TargetMode="External"/><Relationship Id="rId1027" Type="http://schemas.openxmlformats.org/officeDocument/2006/relationships/hyperlink" Target="https://www.google.com/url?q=https://github.com/mostafa-saad/MyCompetitiveProgramming/blob/master/Olympiad/COCI/official/2017/contest2_solutions&amp;sa=D&amp;ust=1605639832241000&amp;usg=AFQjCNEHgjN01C7KHGV9EFhXCoqxjgYUrg" TargetMode="External"/><Relationship Id="rId1234" Type="http://schemas.openxmlformats.org/officeDocument/2006/relationships/hyperlink" Target="https://www.google.com/url?q=https://github.com/mostafa-saad/MyCompetitiveProgramming/blob/master/Olympiad/COI/COI-09-Loza.txt&amp;sa=D&amp;ust=1605639832309000&amp;usg=AFQjCNE2dfN3PafxnIz4Z_Z7nG7_HtjJbg" TargetMode="External"/><Relationship Id="rId1441" Type="http://schemas.openxmlformats.org/officeDocument/2006/relationships/hyperlink" Target="https://www.google.com/url?q=https://github.com/stefdasca/CompetitiveProgramming/blob/master/Infoarena/cover.cpp&amp;sa=D&amp;ust=1605639832361000&amp;usg=AFQjCNE5rDwfUWuGiWCxK9x2QTT9hJdU3g" TargetMode="External"/><Relationship Id="rId1886" Type="http://schemas.openxmlformats.org/officeDocument/2006/relationships/hyperlink" Target="https://www.google.com/url?q=https://oj.uz/problem/view/IOI19_split&amp;sa=D&amp;ust=1605639832504000&amp;usg=AFQjCNG1XSMP7g2BDe6T7xjQE0su9EmpXw" TargetMode="External"/><Relationship Id="rId2937" Type="http://schemas.openxmlformats.org/officeDocument/2006/relationships/hyperlink" Target="https://www.google.com/url?q=http://www.usaco.org/index.php?page%3Dviewproblem2%26cpid%3D645&amp;sa=D&amp;ust=1605639832831000&amp;usg=AFQjCNHdGfAJTCyv30oiQjG8PVIc-DNOvg" TargetMode="External"/><Relationship Id="rId909" Type="http://schemas.openxmlformats.org/officeDocument/2006/relationships/hyperlink" Target="https://www.google.com/url?q=https://dunjudge.me/analysis/problems/1408/&amp;sa=D&amp;ust=1605639832211000&amp;usg=AFQjCNEf44KaavaMfrKK_uWgEWTJGpb4eg" TargetMode="External"/><Relationship Id="rId1301" Type="http://schemas.openxmlformats.org/officeDocument/2006/relationships/hyperlink" Target="https://www.google.com/url?q=https://cses.fi/231/task/C&amp;sa=D&amp;ust=1605639832325000&amp;usg=AFQjCNHmzK_Isc0vZ9x7-OgDQmryrmV4FA" TargetMode="External"/><Relationship Id="rId1539" Type="http://schemas.openxmlformats.org/officeDocument/2006/relationships/hyperlink" Target="https://www.google.com/url?q=https://github.com/stefdasca/CompetitiveProgramming/blob/master/Infoarena/padurari.cpp&amp;sa=D&amp;ust=1605639832393000&amp;usg=AFQjCNFWnmGxvRHftzF_eeR3URPhfr4CjQ" TargetMode="External"/><Relationship Id="rId1746" Type="http://schemas.openxmlformats.org/officeDocument/2006/relationships/hyperlink" Target="https://www.google.com/url?q=https://github.com/mostafa-saad/MyCompetitiveProgramming/blob/master/Olympiad/IOI/official/2009&amp;sa=D&amp;ust=1605639832456000&amp;usg=AFQjCNEczkh4QO5aiF8MBtHuy3tr2gi5cQ" TargetMode="External"/><Relationship Id="rId1953" Type="http://schemas.openxmlformats.org/officeDocument/2006/relationships/hyperlink" Target="https://www.google.com/url?q=https://github.com/ahmedibrahim404/CompetitiveProgramming/blob/master/EOI/IOI_Quals%2718/18-R2-B/src/main.cpp&amp;sa=D&amp;ust=1605639832523000&amp;usg=AFQjCNHQlgntfq1f2o6SM4CnE3VGnSmdAg" TargetMode="External"/><Relationship Id="rId38" Type="http://schemas.openxmlformats.org/officeDocument/2006/relationships/hyperlink" Target="https://www.google.com/url?q=https://oj.uz/problem/view/APIO13_toll&amp;sa=D&amp;ust=1605639831961000&amp;usg=AFQjCNHrfUN0zTCJBTp2f7pjdH4hNHl6Sw" TargetMode="External"/><Relationship Id="rId1606" Type="http://schemas.openxmlformats.org/officeDocument/2006/relationships/hyperlink" Target="https://www.google.com/url?q=https://github.com/stefdasca/CompetitiveProgramming/blob/master/Infoarena/struti.cpp&amp;sa=D&amp;ust=1605639832415000&amp;usg=AFQjCNFwAr2reahiBn49Av2Ym02CrHVZcA" TargetMode="External"/><Relationship Id="rId1813" Type="http://schemas.openxmlformats.org/officeDocument/2006/relationships/hyperlink" Target="https://www.google.com/url?q=https://oj.uz/problem/view/IOI14_game&amp;sa=D&amp;ust=1605639832479000&amp;usg=AFQjCNHNB1zDBPBrBCj0lpGw9SoqtivenA" TargetMode="External"/><Relationship Id="rId187" Type="http://schemas.openxmlformats.org/officeDocument/2006/relationships/hyperlink" Target="https://www.google.com/url?q=https://cses.fi/111/list/&amp;sa=D&amp;ust=1605639832011000&amp;usg=AFQjCNGDWzbTZBVOzzNhfs3SdHGfIqz-pQ" TargetMode="External"/><Relationship Id="rId394" Type="http://schemas.openxmlformats.org/officeDocument/2006/relationships/hyperlink" Target="https://www.google.com/url?q=https://github.com/mostafa-saad/MyCompetitiveProgramming/blob/master/Olympiad/CEOI/CEOI-04-Sweets.txt&amp;sa=D&amp;ust=1605639832074000&amp;usg=AFQjCNHrwf7XsRASXGEod6zu3Ze1VW-7jQ" TargetMode="External"/><Relationship Id="rId2075" Type="http://schemas.openxmlformats.org/officeDocument/2006/relationships/hyperlink" Target="https://www.google.com/url?q=https://github.com/mostafa-saad/MyCompetitiveProgramming/tree/master/Olympiad/JOI/official/JOI/2020&amp;sa=D&amp;ust=1605639832561000&amp;usg=AFQjCNEwJLJNr8RMGGU-fTnrl8w4ttHfpg" TargetMode="External"/><Relationship Id="rId2282" Type="http://schemas.openxmlformats.org/officeDocument/2006/relationships/hyperlink" Target="https://www.google.com/url?q=https://dunjudge.me/analysis/problems/1497/&amp;sa=D&amp;ust=1605639832640000&amp;usg=AFQjCNHbq69yukZmkqsnWnXUNZQdHrIbNg" TargetMode="External"/><Relationship Id="rId254" Type="http://schemas.openxmlformats.org/officeDocument/2006/relationships/hyperlink" Target="https://www.google.com/url?q=https://github.com/SpeedOfMagic/CompetitiveProgramming/blob/master/Baltic/13-ballmachine.cpp&amp;sa=D&amp;ust=1605639832030000&amp;usg=AFQjCNGduMK2Lf4zSBruGxxVnPbDHu79Ag" TargetMode="External"/><Relationship Id="rId699" Type="http://schemas.openxmlformats.org/officeDocument/2006/relationships/hyperlink" Target="https://www.google.com/url?q=https://github.com/mostafa-saad/MyCompetitiveProgramming/tree/master/Olympiad/COCI/official/2008/contest2_solutions&amp;sa=D&amp;ust=1605639832152000&amp;usg=AFQjCNHJaH6erkrEk1oojgFNwUvGdR6OTw" TargetMode="External"/><Relationship Id="rId1091" Type="http://schemas.openxmlformats.org/officeDocument/2006/relationships/hyperlink" Target="https://www.google.com/url?q=https://oj.uz/problem/view/COCI17_paralelogrami&amp;sa=D&amp;ust=1605639832256000&amp;usg=AFQjCNELTiLzVAgWWPd67ojQcDNxYXmjxg" TargetMode="External"/><Relationship Id="rId2587" Type="http://schemas.openxmlformats.org/officeDocument/2006/relationships/hyperlink" Target="https://www.google.com/url?q=https://szkopul.edu.pl/problemset/problem/etwe8b5zlM4uVn4dpxr32ua8/site/&amp;sa=D&amp;ust=1605639832735000&amp;usg=AFQjCNETPRCN4qIEs_47x-_EvXWilKGg8Q" TargetMode="External"/><Relationship Id="rId2794" Type="http://schemas.openxmlformats.org/officeDocument/2006/relationships/hyperlink" Target="https://www.google.com/url?q=https://github.com/mostafa-saad/MyCompetitiveProgramming/blob/master/Olympiad/POI/POI-16-Hedge.txt&amp;sa=D&amp;ust=1605639832784000&amp;usg=AFQjCNFuL4HwOo_44VA3POjWa9uE9pxU5A" TargetMode="External"/><Relationship Id="rId114" Type="http://schemas.openxmlformats.org/officeDocument/2006/relationships/hyperlink" Target="https://www.google.com/url?q=https://www.acmicpc.net/problem/12017&amp;sa=D&amp;ust=1605639831986000&amp;usg=AFQjCNEk-EcrhE2yBIGJOg5bjGbua3JGpQ" TargetMode="External"/><Relationship Id="rId461" Type="http://schemas.openxmlformats.org/officeDocument/2006/relationships/hyperlink" Target="https://www.google.com/url?q=https://szkopul.edu.pl/problemset/problem/XcxwG3EBHwd-6_fIF1NG3Wfg/site/?key%3Dstatement&amp;sa=D&amp;ust=1605639832096000&amp;usg=AFQjCNFWY_SoELTeNetkJEsq9X9KC2k7Cg" TargetMode="External"/><Relationship Id="rId559" Type="http://schemas.openxmlformats.org/officeDocument/2006/relationships/hyperlink" Target="https://www.google.com/url?q=https://github.com/mostafa-saad/MyCompetitiveProgramming/blob/master/Olympiad/CEOI/CEOIPractice_17-Museum.txt&amp;sa=D&amp;ust=1605639832122000&amp;usg=AFQjCNExaOsz_e9ewsUusEqyc1qx9jc7DA" TargetMode="External"/><Relationship Id="rId766" Type="http://schemas.openxmlformats.org/officeDocument/2006/relationships/hyperlink" Target="https://www.google.com/url?q=https://dmoj.ca/problem/coci08c2p3&amp;sa=D&amp;ust=1605639832166000&amp;usg=AFQjCNHn8s6N73OyQepmYO4b-GEv9Urvnw" TargetMode="External"/><Relationship Id="rId1189" Type="http://schemas.openxmlformats.org/officeDocument/2006/relationships/hyperlink" Target="https://www.google.com/url?q=https://oj.uz/problem/view/COCI19_transport&amp;sa=D&amp;ust=1605639832290000&amp;usg=AFQjCNFlDdwOdM0WDlQkIDdHGDF813DF2g" TargetMode="External"/><Relationship Id="rId1396" Type="http://schemas.openxmlformats.org/officeDocument/2006/relationships/hyperlink" Target="https://www.google.com/url?q=https://infoarena.ro/problema/arb3&amp;sa=D&amp;ust=1605639832351000&amp;usg=AFQjCNEqRFiedJo7ujCPYyCskTMwU0qL9g" TargetMode="External"/><Relationship Id="rId2142" Type="http://schemas.openxmlformats.org/officeDocument/2006/relationships/hyperlink" Target="https://www.google.com/url?q=https://joisc2014.contest.atcoder.jp/tasks/joisc2014_j&amp;sa=D&amp;ust=1605639832590000&amp;usg=AFQjCNFGdGA9hOf6r_tuROlRAeiuVM_Zog" TargetMode="External"/><Relationship Id="rId2447" Type="http://schemas.openxmlformats.org/officeDocument/2006/relationships/hyperlink" Target="https://www.google.com/url?q=https://dunjudge.me/analysis/problems/935/&amp;sa=D&amp;ust=1605639832695000&amp;usg=AFQjCNFXI84_7Bj_jp2L3tSUJwBWeFSmCw" TargetMode="External"/><Relationship Id="rId321" Type="http://schemas.openxmlformats.org/officeDocument/2006/relationships/hyperlink" Target="https://www.google.com/url?q=https://boi18-day2-open.kattis.com/problems&amp;sa=D&amp;ust=1605639832044000&amp;usg=AFQjCNGhjlFL6xTdnPsA0kOplP5QYJzXmg" TargetMode="External"/><Relationship Id="rId419" Type="http://schemas.openxmlformats.org/officeDocument/2006/relationships/hyperlink" Target="https://www.google.com/url?q=https://cses.fi/185/list/&amp;sa=D&amp;ust=1605639832082000&amp;usg=AFQjCNHvAGxN3xWRUSLLl_UyuasEunPKlg" TargetMode="External"/><Relationship Id="rId626" Type="http://schemas.openxmlformats.org/officeDocument/2006/relationships/hyperlink" Target="https://www.google.com/url?q=https://dmoj.ca/problem/coci06c5p3&amp;sa=D&amp;ust=1605639832137000&amp;usg=AFQjCNFfIH5WEi-R7ARdKz6B7Mw8H3K0aQ" TargetMode="External"/><Relationship Id="rId973" Type="http://schemas.openxmlformats.org/officeDocument/2006/relationships/hyperlink" Target="https://www.google.com/url?q=https://github.com/mostafa-saad/MyCompetitiveProgramming/blob/master/Olympiad/COCI/COCI-14-studentsko.txt&amp;sa=D&amp;ust=1605639832226000&amp;usg=AFQjCNFlvZJkaFHOWceieOlQ1tOdddb07g" TargetMode="External"/><Relationship Id="rId1049" Type="http://schemas.openxmlformats.org/officeDocument/2006/relationships/hyperlink" Target="https://www.google.com/url?q=https://oj.uz/problem/view/COCI16_tavan&amp;sa=D&amp;ust=1605639832246000&amp;usg=AFQjCNFpYuDk4ARWwXBEvk8PYrW71IYsVw" TargetMode="External"/><Relationship Id="rId1256" Type="http://schemas.openxmlformats.org/officeDocument/2006/relationships/hyperlink" Target="https://www.google.com/url?q=https://oj.uz/problem/view/COI15_nafta&amp;sa=D&amp;ust=1605639832315000&amp;usg=AFQjCNFR2LWT4OZyk3pN_C52eBSaHtbuCw" TargetMode="External"/><Relationship Id="rId2002" Type="http://schemas.openxmlformats.org/officeDocument/2006/relationships/hyperlink" Target="https://www.google.com/url?q=https://oj.uz/problem/view/IZhO18_plan&amp;sa=D&amp;ust=1605639832541000&amp;usg=AFQjCNELx_v-3G5b3AaAc5SASY_6wRqb1Q" TargetMode="External"/><Relationship Id="rId2307" Type="http://schemas.openxmlformats.org/officeDocument/2006/relationships/hyperlink" Target="https://www.google.com/url?q=https://dunjudge.me/analysis/problems/270/&amp;sa=D&amp;ust=1605639832648000&amp;usg=AFQjCNFMGKp-tSKmpqsApGqOo3bIpqA5rQ" TargetMode="External"/><Relationship Id="rId2654" Type="http://schemas.openxmlformats.org/officeDocument/2006/relationships/hyperlink" Target="https://www.google.com/url?q=https://github.com/mostafa-saad/MyCompetitiveProgramming/blob/master/Olympiad/POI/POI-11-Conductor.txt&amp;sa=D&amp;ust=1605639832749000&amp;usg=AFQjCNEBfgjykh_FaQ72rH4FnWa4DXkfzA" TargetMode="External"/><Relationship Id="rId2861" Type="http://schemas.openxmlformats.org/officeDocument/2006/relationships/hyperlink" Target="https://www.google.com/url?q=https://csacademy.com/contest/archive/task/borland&amp;sa=D&amp;ust=1605639832807000&amp;usg=AFQjCNFtYlP0plIWyP80kdo1UroCsIXFAA" TargetMode="External"/><Relationship Id="rId2959" Type="http://schemas.openxmlformats.org/officeDocument/2006/relationships/hyperlink" Target="https://www.google.com/url?q=http://usaco.org/index.php?page%3Dviewproblem2%26cpid%3D745&amp;sa=D&amp;ust=1605639832840000&amp;usg=AFQjCNEO49LSDVCUaoIDNiH2Y-bo6V7xqg" TargetMode="External"/><Relationship Id="rId833" Type="http://schemas.openxmlformats.org/officeDocument/2006/relationships/hyperlink" Target="https://www.google.com/url?q=https://wcipeg.com/problem/coci094p4&amp;sa=D&amp;ust=1605639832188000&amp;usg=AFQjCNF4BoA3kpnULHUXqXcABsgzwB76PA" TargetMode="External"/><Relationship Id="rId1116" Type="http://schemas.openxmlformats.org/officeDocument/2006/relationships/hyperlink" Target="https://www.google.com/url?q=https://github.com/mostafa-saad/MyCompetitiveProgramming/blob/master/Olympiad/COCI/COCI-17-sirni.txt&amp;sa=D&amp;ust=1605639832262000&amp;usg=AFQjCNHNCL74m77Z5neB2XSKm5TCMKW4AQ" TargetMode="External"/><Relationship Id="rId1463" Type="http://schemas.openxmlformats.org/officeDocument/2006/relationships/hyperlink" Target="https://www.google.com/url?q=https://github.com/stefdasca/CompetitiveProgramming/blob/master/Infoarena/engineer.cpp&amp;sa=D&amp;ust=1605639832367000&amp;usg=AFQjCNFrrUQoUo7smg3WVASqDYg3h4s3zg" TargetMode="External"/><Relationship Id="rId1670" Type="http://schemas.openxmlformats.org/officeDocument/2006/relationships/hyperlink" Target="https://www.google.com/url?q=https://github.com/mostafa-saad/MyCompetitiveProgramming/blob/master/Olympiad/IOI/IOI-02-Utopia.txt&amp;sa=D&amp;ust=1605639832435000&amp;usg=AFQjCNGuCOWm5d3rRYI-z_w6r3cMbPC4eA" TargetMode="External"/><Relationship Id="rId1768" Type="http://schemas.openxmlformats.org/officeDocument/2006/relationships/hyperlink" Target="https://www.google.com/url?q=https://github.com/mostafa-saad/MyCompetitiveProgramming/blob/master/Olympiad/IOI/official/2010&amp;sa=D&amp;ust=1605639832462000&amp;usg=AFQjCNFe-hL6djhZiwyEfkXbfTLFI3wg2Q" TargetMode="External"/><Relationship Id="rId2514" Type="http://schemas.openxmlformats.org/officeDocument/2006/relationships/hyperlink" Target="https://www.google.com/url?q=https://github.com/sofhiasouza/CompetitiveProgramming/blob/master/POI/cash.cpp&amp;sa=D&amp;ust=1605639832717000&amp;usg=AFQjCNFMjN9kGoqy475qYthEziiexywtWg" TargetMode="External"/><Relationship Id="rId2721" Type="http://schemas.openxmlformats.org/officeDocument/2006/relationships/hyperlink" Target="https://www.google.com/url?q=https://oj.uz/problem/view/POI13_mor&amp;sa=D&amp;ust=1605639832761000&amp;usg=AFQjCNF9p1LC4Gsh9W2Zk62_9rLxgGYp-g" TargetMode="External"/><Relationship Id="rId2819" Type="http://schemas.openxmlformats.org/officeDocument/2006/relationships/hyperlink" Target="https://www.google.com/url?q=https://szkopul.edu.pl/problemset/problem/oNnWY6ZuzzhvG-jCmijiXkIk/site/&amp;sa=D&amp;ust=1605639832793000&amp;usg=AFQjCNGHv9JHhF7ALRtVyzdzdXyHbfoqag" TargetMode="External"/><Relationship Id="rId900" Type="http://schemas.openxmlformats.org/officeDocument/2006/relationships/hyperlink" Target="https://www.google.com/url?q=https://github.com/mostafa-saad/MyCompetitiveProgramming/blob/master/Olympiad/COCI/official/2014/contest1_solutions&amp;sa=D&amp;ust=1605639832209000&amp;usg=AFQjCNGXvf8CFMgzyXTUHmCkZVRQIygwQA" TargetMode="External"/><Relationship Id="rId1323" Type="http://schemas.openxmlformats.org/officeDocument/2006/relationships/hyperlink" Target="https://www.google.com/url?q=https://dmoj.ca/problem/dmopc17c1p5&amp;sa=D&amp;ust=1605639832331000&amp;usg=AFQjCNHa7Ptg7onXxWfxk3O9v0NDLCuxwQ" TargetMode="External"/><Relationship Id="rId1530" Type="http://schemas.openxmlformats.org/officeDocument/2006/relationships/hyperlink" Target="https://www.google.com/url?q=https://www.infoarena.ro/problema/nrsubsecv&amp;sa=D&amp;ust=1605639832391000&amp;usg=AFQjCNET-wf-3411Y0EXXudbqorFMYOb5g" TargetMode="External"/><Relationship Id="rId1628" Type="http://schemas.openxmlformats.org/officeDocument/2006/relationships/hyperlink" Target="https://www.google.com/url?q=https://github.com/stefdasca/CompetitiveProgramming/blob/master/Infoarena/zip.cpp&amp;sa=D&amp;ust=1605639832422000&amp;usg=AFQjCNGwy10cDdzMpq_YuZfP6VBQ9TrYBQ" TargetMode="External"/><Relationship Id="rId1975" Type="http://schemas.openxmlformats.org/officeDocument/2006/relationships/hyperlink" Target="https://www.google.com/url?q=https://oj.uz/problem/view/IZhO13_school&amp;sa=D&amp;ust=1605639832531000&amp;usg=AFQjCNF3gE8lOLPMZmGB3IdmY1ml8FodvA" TargetMode="External"/><Relationship Id="rId1835" Type="http://schemas.openxmlformats.org/officeDocument/2006/relationships/hyperlink" Target="https://www.google.com/url?q=https://oj.uz/problem/view/IOI16_aliens&amp;sa=D&amp;ust=1605639832488000&amp;usg=AFQjCNHGRt2hPK7nfr9vuM-pdeD2JATwlg" TargetMode="External"/><Relationship Id="rId1902" Type="http://schemas.openxmlformats.org/officeDocument/2006/relationships/hyperlink" Target="https://www.google.com/url?q=https://github.com/tmwilliamlin168/CompetitiveProgramming/blob/master/HackerRank/family-ioi14.cpp&amp;sa=D&amp;ust=1605639832509000&amp;usg=AFQjCNGn1fQGxXp5Z93OMXdwNeGXzvWFhg" TargetMode="External"/><Relationship Id="rId2097" Type="http://schemas.openxmlformats.org/officeDocument/2006/relationships/hyperlink" Target="https://www.google.com/url?q=https://github.com/mostafa-saad/MyCompetitiveProgramming/blob/master/Olympiad/JOI/JOIOC-16-selling_rna.txt&amp;sa=D&amp;ust=1605639832567000&amp;usg=AFQjCNGSIRvfO20-FrVFRqSfep0b6h-qcQ" TargetMode="External"/><Relationship Id="rId276" Type="http://schemas.openxmlformats.org/officeDocument/2006/relationships/hyperlink" Target="https://www.google.com/url?q=https://github.com/mostafa-saad/MyCompetitiveProgramming/blob/master/Olympiad/Baltic/Baltic-14-postmen.txt&amp;sa=D&amp;ust=1605639832034000&amp;usg=AFQjCNF6f_R3GV1pVh8kKZtgPcXWjWXf_A" TargetMode="External"/><Relationship Id="rId483" Type="http://schemas.openxmlformats.org/officeDocument/2006/relationships/hyperlink" Target="https://www.google.com/url?q=https://github.com/mostafa-saad/MyCompetitiveProgramming/blob/master/Olympiad/CEOI/CEOI-13-board.txt&amp;sa=D&amp;ust=1605639832102000&amp;usg=AFQjCNE2YtT0RrL3uRPJ0CBrBUWozbz9Ww" TargetMode="External"/><Relationship Id="rId690" Type="http://schemas.openxmlformats.org/officeDocument/2006/relationships/hyperlink" Target="https://www.google.com/url?q=https://dmoj.ca/problem/coci07c4p5&amp;sa=D&amp;ust=1605639832150000&amp;usg=AFQjCNGKgqpwVQnB1wv5_GshBUJJfhB74A" TargetMode="External"/><Relationship Id="rId2164" Type="http://schemas.openxmlformats.org/officeDocument/2006/relationships/hyperlink" Target="https://www.google.com/url?q=https://joisc2016.contest.atcoder.jp/tasks/joisc2016_j&amp;sa=D&amp;ust=1605639832600000&amp;usg=AFQjCNEAH9VxxTgWg2qlQH19tVxJimTbDQ" TargetMode="External"/><Relationship Id="rId2371" Type="http://schemas.openxmlformats.org/officeDocument/2006/relationships/hyperlink" Target="https://www.google.com/url?q=https://dunjudge.me/analysis/problems/1226/&amp;sa=D&amp;ust=1605639832663000&amp;usg=AFQjCNHwehwCnx19vFievoVlLwbLk6FEfg" TargetMode="External"/><Relationship Id="rId3008" Type="http://schemas.openxmlformats.org/officeDocument/2006/relationships/hyperlink" Target="https://www.google.com/url?q=http://www.usaco.org/index.php?page%3Dviewproblem2%26cpid%3D996&amp;sa=D&amp;ust=1605639832871000&amp;usg=AFQjCNEgszBpxhRDwVEZZytxH2Icq0EnoQ" TargetMode="External"/><Relationship Id="rId136" Type="http://schemas.openxmlformats.org/officeDocument/2006/relationships/hyperlink" Target="https://www.google.com/url?q=https://github.com/mostafa-saad/MyCompetitiveProgramming/blob/master/Olympiad/Balkan/Balkan-17-Cats.txt&amp;sa=D&amp;ust=1605639831994000&amp;usg=AFQjCNFoYmLvaehySQr4QUd4KDtBkajEdQ" TargetMode="External"/><Relationship Id="rId343" Type="http://schemas.openxmlformats.org/officeDocument/2006/relationships/hyperlink" Target="https://www.google.com/url?q=https://github.com/mostafa-saad/MyCompetitiveProgramming/blob/master/Olympiad/Baltic/BalticWarmup-17-Toast.txt&amp;sa=D&amp;ust=1605639832049000&amp;usg=AFQjCNHReSGaU0Xam7XWB4jYz2gs_4O36g" TargetMode="External"/><Relationship Id="rId550" Type="http://schemas.openxmlformats.org/officeDocument/2006/relationships/hyperlink" Target="https://www.google.com/url?q=https://codeforces.com/contest/1192/problem/B&amp;sa=D&amp;ust=1605639832120000&amp;usg=AFQjCNH309uX2ikAmTwByEhvoX3ndwwPEw" TargetMode="External"/><Relationship Id="rId788" Type="http://schemas.openxmlformats.org/officeDocument/2006/relationships/hyperlink" Target="https://www.google.com/url?q=https://dmoj.ca/problem/coci08c5p5&amp;sa=D&amp;ust=1605639832173000&amp;usg=AFQjCNH5Lt2TQM4zsRzktafB74k7t9ZKHg" TargetMode="External"/><Relationship Id="rId995" Type="http://schemas.openxmlformats.org/officeDocument/2006/relationships/hyperlink" Target="https://www.google.com/url?q=https://dmoj.ca/problem/coci15c4p6&amp;sa=D&amp;ust=1605639832232000&amp;usg=AFQjCNF_O8b6Mre9AtWG-FLEoafn5OnUYg" TargetMode="External"/><Relationship Id="rId1180" Type="http://schemas.openxmlformats.org/officeDocument/2006/relationships/hyperlink" Target="https://www.google.com/url?q=https://oj.uz/problem/view/COCI19_slagalica&amp;sa=D&amp;ust=1605639832287000&amp;usg=AFQjCNGcU5WRpf0NrlKT5eA7nXOlxrWLdw" TargetMode="External"/><Relationship Id="rId2024" Type="http://schemas.openxmlformats.org/officeDocument/2006/relationships/hyperlink" Target="https://www.google.com/url?q=https://joi2014ho.contest.atcoder.jp/tasks/joi2014ho2&amp;sa=D&amp;ust=1605639832546000&amp;usg=AFQjCNEEzS1ESxKewKYL2r01_lXJlTPI_A" TargetMode="External"/><Relationship Id="rId2231" Type="http://schemas.openxmlformats.org/officeDocument/2006/relationships/hyperlink" Target="https://www.google.com/url?q=http://oj.uz/problem/view/LMIO19_bulves&amp;sa=D&amp;ust=1605639832624000&amp;usg=AFQjCNEvEePYRtnFAg-q1zKxosnQozWwyQ" TargetMode="External"/><Relationship Id="rId2469" Type="http://schemas.openxmlformats.org/officeDocument/2006/relationships/hyperlink" Target="https://www.google.com/url?q=https://training.olinfo.it/contests/oii2018/tasks/cena/description&amp;sa=D&amp;ust=1605639832704000&amp;usg=AFQjCNHn5tT8wlGopqoxSvaHUPWDcm73Zg" TargetMode="External"/><Relationship Id="rId2676" Type="http://schemas.openxmlformats.org/officeDocument/2006/relationships/hyperlink" Target="https://www.google.com/url?q=https://github.com/mostafa-saad/MyCompetitiveProgramming/blob/master/Olympiad/POI/official/find_editorial_sols_guidelines.txt&amp;sa=D&amp;ust=1605639832752000&amp;usg=AFQjCNGTA8S8HQmHaAURzp9cjhG7SE1SbQ" TargetMode="External"/><Relationship Id="rId2883" Type="http://schemas.openxmlformats.org/officeDocument/2006/relationships/hyperlink" Target="https://www.google.com/url?q=https://contest.yandex.ru/roiarchive/contest/3926/problems/8/&amp;sa=D&amp;ust=1605639832814000&amp;usg=AFQjCNEwBbqIWe2ftLYoVDTtodA_7TufFA" TargetMode="External"/><Relationship Id="rId203" Type="http://schemas.openxmlformats.org/officeDocument/2006/relationships/hyperlink" Target="https://www.google.com/url?q=https://cses.fi/107/list/&amp;sa=D&amp;ust=1605639832016000&amp;usg=AFQjCNHOMa_GKMTODNN-_jqvPiyhvdHoog" TargetMode="External"/><Relationship Id="rId648" Type="http://schemas.openxmlformats.org/officeDocument/2006/relationships/hyperlink" Target="https://www.google.com/url?q=https://dmoj.ca/problem/coci07c6p6&amp;sa=D&amp;ust=1605639832141000&amp;usg=AFQjCNFjQF0gxZ3x7hpvIbH9LXBjfe71HQ" TargetMode="External"/><Relationship Id="rId855" Type="http://schemas.openxmlformats.org/officeDocument/2006/relationships/hyperlink" Target="https://www.google.com/url?q=https://wcipeg.com/problem/coci095p1&amp;sa=D&amp;ust=1605639832195000&amp;usg=AFQjCNGPRdl-iY11tHb8ahMLdTtN8Xd8MQ" TargetMode="External"/><Relationship Id="rId1040" Type="http://schemas.openxmlformats.org/officeDocument/2006/relationships/hyperlink" Target="https://www.google.com/url?q=https://oj.uz/problem/view/COCI16_meksikanac&amp;sa=D&amp;ust=1605639832244000&amp;usg=AFQjCNHVrtwcLYdQEg89UWRNJpUgfrOFuw" TargetMode="External"/><Relationship Id="rId1278" Type="http://schemas.openxmlformats.org/officeDocument/2006/relationships/hyperlink" Target="https://www.google.com/url?q=https://codeforces.com/blog/entry/51198&amp;sa=D&amp;ust=1605639832319000&amp;usg=AFQjCNHdKHzrIuEqB4x6rtTP9BDOrExdbg" TargetMode="External"/><Relationship Id="rId1485" Type="http://schemas.openxmlformats.org/officeDocument/2006/relationships/hyperlink" Target="https://www.google.com/url?q=https://github.com/mostafa-saad/MyCompetitiveProgramming/blob/master/Olympiad/infoarena/infoarena-jap2.txt&amp;sa=D&amp;ust=1605639832374000&amp;usg=AFQjCNHG_apn6myoY3mUdA0-ie9eKvEYFw" TargetMode="External"/><Relationship Id="rId1692" Type="http://schemas.openxmlformats.org/officeDocument/2006/relationships/hyperlink" Target="https://www.google.com/url?q=https://github.com/mostafa-saad/MyCompetitiveProgramming/blob/master/Olympiad/IOI/official/2004&amp;sa=D&amp;ust=1605639832441000&amp;usg=AFQjCNE8hHYpze6Nzq1UTze3XKcTAm8ORg" TargetMode="External"/><Relationship Id="rId2329" Type="http://schemas.openxmlformats.org/officeDocument/2006/relationships/hyperlink" Target="https://www.google.com/url?q=https://github.com/mostafa-saad/MyCompetitiveProgramming/blob/master/Olympiad/NOI/NOI-11-tour.txt&amp;sa=D&amp;ust=1605639832654000&amp;usg=AFQjCNEtGh5zJ8AfVYsScKwkF6d5CQZoqA" TargetMode="External"/><Relationship Id="rId2536" Type="http://schemas.openxmlformats.org/officeDocument/2006/relationships/hyperlink" Target="https://www.google.com/url?q=https://github.com/mostafa-saad/MyCompetitiveProgramming/blob/master/Olympiad/POI/official/find_editorial_sols_guidelines.txt&amp;sa=D&amp;ust=1605639832723000&amp;usg=AFQjCNF2jpRsoKY5Hgbu5NRdQARbC5c_AQ" TargetMode="External"/><Relationship Id="rId2743" Type="http://schemas.openxmlformats.org/officeDocument/2006/relationships/hyperlink" Target="https://www.google.com/url?q=https://szkopul.edu.pl/portal/problemset_eng/oi/21&amp;sa=D&amp;ust=1605639832767000&amp;usg=AFQjCNFgmFrSXHqRUjZBsGhn8T0QDDxcRg" TargetMode="External"/><Relationship Id="rId410" Type="http://schemas.openxmlformats.org/officeDocument/2006/relationships/hyperlink" Target="https://www.google.com/url?q=https://github.com/mostafa-saad/MyCompetitiveProgramming/blob/master/Olympiad/CEOI/CEOI-05-Ticket.txt&amp;sa=D&amp;ust=1605639832078000&amp;usg=AFQjCNEun_hhiPGKn8cAwU3YNEX426OalQ" TargetMode="External"/><Relationship Id="rId508" Type="http://schemas.openxmlformats.org/officeDocument/2006/relationships/hyperlink" Target="https://www.google.com/url?q=https://github.com/mostafa-saad/MyCompetitiveProgramming/tree/master/Olympiad/CEOI/official/2015/day2&amp;sa=D&amp;ust=1605639832109000&amp;usg=AFQjCNFGCwyWpDjirs6UJHWoqRCXUahV3Q" TargetMode="External"/><Relationship Id="rId715" Type="http://schemas.openxmlformats.org/officeDocument/2006/relationships/hyperlink" Target="https://www.google.com/url?q=https://github.com/mostafa-saad/MyCompetitiveProgramming/tree/master/Olympiad/COCI/official/2008/contest4_solutions&amp;sa=D&amp;ust=1605639832155000&amp;usg=AFQjCNHd-gd_Yl0vPZWXLwDEn-r5cxBehg" TargetMode="External"/><Relationship Id="rId922" Type="http://schemas.openxmlformats.org/officeDocument/2006/relationships/hyperlink" Target="https://www.google.com/url?q=https://dmoj.ca/problem/coci14c3p4&amp;sa=D&amp;ust=1605639832214000&amp;usg=AFQjCNHlbc12zwq3JX3FPD5_qWjUPtczew" TargetMode="External"/><Relationship Id="rId1138" Type="http://schemas.openxmlformats.org/officeDocument/2006/relationships/hyperlink" Target="https://www.google.com/url?q=https://github.com/luciocf/OI-Problems/blob/master/COCI/COCI%25202017-2018/dostavljac.cpp&amp;sa=D&amp;ust=1605639832271000&amp;usg=AFQjCNFa3wmA82pTWd8eihBEXij_3v74EA" TargetMode="External"/><Relationship Id="rId1345" Type="http://schemas.openxmlformats.org/officeDocument/2006/relationships/hyperlink" Target="https://www.google.com/url?q=https://codeforces.com/group/swEqtABRxe/contest/243430/problem/B&amp;sa=D&amp;ust=1605639832338000&amp;usg=AFQjCNHxPKVJ54_eHEnyN-ouBModHaJpyg" TargetMode="External"/><Relationship Id="rId1552" Type="http://schemas.openxmlformats.org/officeDocument/2006/relationships/hyperlink" Target="https://www.google.com/url?q=https://www.infoarena.ro/problema/permsort&amp;sa=D&amp;ust=1605639832397000&amp;usg=AFQjCNE7gAHYw3sB_8l8oDmytpXeMqHFZw" TargetMode="External"/><Relationship Id="rId1997" Type="http://schemas.openxmlformats.org/officeDocument/2006/relationships/hyperlink" Target="https://www.google.com/url?q=https://github.com/LeTrongDat/CompetitiveProgramming/blob/master/IZhO/IZhO17-road.cpp&amp;sa=D&amp;ust=1605639832537000&amp;usg=AFQjCNGs8pXgtifaw34sA6ypM9ewkEecEA" TargetMode="External"/><Relationship Id="rId2603" Type="http://schemas.openxmlformats.org/officeDocument/2006/relationships/hyperlink" Target="https://www.google.com/url?q=https://szkopul.edu.pl/problemset/problem/NuGiXg5BO8iuLFU7vmhCmNWK/site/&amp;sa=D&amp;ust=1605639832738000&amp;usg=AFQjCNEVqMrAQ7g24k11D6amp373f1X7xA" TargetMode="External"/><Relationship Id="rId2950" Type="http://schemas.openxmlformats.org/officeDocument/2006/relationships/hyperlink" Target="https://www.google.com/url?q=http://usaco.org/index.php?page%3Dviewproblem2%26cpid%3D722&amp;sa=D&amp;ust=1605639832837000&amp;usg=AFQjCNEHJkr2ZfCycYRGToutsehXh1PTew" TargetMode="External"/><Relationship Id="rId1205" Type="http://schemas.openxmlformats.org/officeDocument/2006/relationships/hyperlink" Target="https://www.google.com/url?q=https://wcipeg.com/problem/coi07p2&amp;sa=D&amp;ust=1605639832299000&amp;usg=AFQjCNHcnOXW_Y4TZfjfPlVWf6tbyVULEw" TargetMode="External"/><Relationship Id="rId1857" Type="http://schemas.openxmlformats.org/officeDocument/2006/relationships/hyperlink" Target="https://www.google.com/url?q=https://oj.uz/problem/view/IOI17_cup&amp;sa=D&amp;ust=1605639832495000&amp;usg=AFQjCNH2Uvh6bx5yInipqEAuU9nxfh3urQ" TargetMode="External"/><Relationship Id="rId2810" Type="http://schemas.openxmlformats.org/officeDocument/2006/relationships/hyperlink" Target="https://www.google.com/url?q=https://github.com/win11905/submission/blob/master/POI/parade.cpp&amp;sa=D&amp;ust=1605639832789000&amp;usg=AFQjCNGSVd_q83tRj5tdV80x9jhYA6cqlw" TargetMode="External"/><Relationship Id="rId2908" Type="http://schemas.openxmlformats.org/officeDocument/2006/relationships/hyperlink" Target="https://www.google.com/url?q=http://usaco.org/index.php?page%3Dviewproblem2%26cpid%3D91&amp;sa=D&amp;ust=1605639832822000&amp;usg=AFQjCNE2jCvLj54VB6WxoCU4iLj9Rdxr7A" TargetMode="External"/><Relationship Id="rId51" Type="http://schemas.openxmlformats.org/officeDocument/2006/relationships/hyperlink" Target="https://www.google.com/url?q=https://github.com/mostafa-saad/MyCompetitiveProgramming/blob/master/Olympiad/APIO/APIO-15-skyscraper.txt&amp;sa=D&amp;ust=1605639831963000&amp;usg=AFQjCNHDoCX9RdO5u5Be9r735_oDz3yCsA" TargetMode="External"/><Relationship Id="rId1412" Type="http://schemas.openxmlformats.org/officeDocument/2006/relationships/hyperlink" Target="https://www.google.com/url?q=https://infoarena.ro/problema/calancea&amp;sa=D&amp;ust=1605639832354000&amp;usg=AFQjCNEFoqJ1rPU9qbIcpU1xfZxDq3BDOQ" TargetMode="External"/><Relationship Id="rId1717" Type="http://schemas.openxmlformats.org/officeDocument/2006/relationships/hyperlink" Target="https://www.google.com/url?q=https://contest.yandex.ru/ioi/contest/562/problems/B/&amp;sa=D&amp;ust=1605639832447000&amp;usg=AFQjCNGGCWGQZQHv7iDbRKSffhJWm4h9uw" TargetMode="External"/><Relationship Id="rId1924" Type="http://schemas.openxmlformats.org/officeDocument/2006/relationships/hyperlink" Target="https://www.google.com/url?q=https://csacademy.com/contest/ioi-2016-training-round-4/task/k-consecutive/&amp;sa=D&amp;ust=1605639832516000&amp;usg=AFQjCNEPKDlzXcZpAJLFKYmclnd0IEv6QA" TargetMode="External"/><Relationship Id="rId298" Type="http://schemas.openxmlformats.org/officeDocument/2006/relationships/hyperlink" Target="https://www.google.com/url?q=https://github.com/mostafa-saad/MyCompetitiveProgramming/blob/master/Olympiad/Baltic/official/boi2016_solutions&amp;sa=D&amp;ust=1605639832039000&amp;usg=AFQjCNFNZqu_4Yw3bV-1aciKbJRNMnc1jg" TargetMode="External"/><Relationship Id="rId158" Type="http://schemas.openxmlformats.org/officeDocument/2006/relationships/hyperlink" Target="https://www.google.com/url?q=https://github.com/mostafa-saad/MyCompetitiveProgramming/blob/master/Olympiad/Baltic/Baltic-05-Bus_Trip.txt&amp;sa=D&amp;ust=1605639832003000&amp;usg=AFQjCNE3Q-LzUKhVTE9iM9FVbWZPqs3vOg" TargetMode="External"/><Relationship Id="rId2186" Type="http://schemas.openxmlformats.org/officeDocument/2006/relationships/hyperlink" Target="https://www.google.com/url?q=https://oj.uz/problem/view/JOI17_park&amp;sa=D&amp;ust=1605639832608000&amp;usg=AFQjCNHnZqRjfsxi5ManIIZ--AyrPlYxtA" TargetMode="External"/><Relationship Id="rId2393" Type="http://schemas.openxmlformats.org/officeDocument/2006/relationships/hyperlink" Target="https://www.google.com/url?q=https://dunjudge.me/analysis/problems/1825/&amp;sa=D&amp;ust=1605639832671000&amp;usg=AFQjCNF1B3D-YmwZCjvCd_9EvrwZ56PTCA" TargetMode="External"/><Relationship Id="rId2698" Type="http://schemas.openxmlformats.org/officeDocument/2006/relationships/hyperlink" Target="https://www.google.com/url?q=https://github.com/mostafa-saad/MyCompetitiveProgramming/blob/master/Olympiad/POI/POI-12-Salaries.txt&amp;sa=D&amp;ust=1605639832757000&amp;usg=AFQjCNH2M1_gr7H-t9yKajFvvPn9mgwAQg" TargetMode="External"/><Relationship Id="rId365" Type="http://schemas.openxmlformats.org/officeDocument/2006/relationships/hyperlink" Target="https://www.google.com/url?q=https://github.com/timpostuvan/CompetitiveProgramming/blob/master/Olympiad/CCO/GeeseVsHawks2018.cpp&amp;sa=D&amp;ust=1605639832056000&amp;usg=AFQjCNHC2nnhoawOD0WtLkHWQz_Z0SI7lg" TargetMode="External"/><Relationship Id="rId572" Type="http://schemas.openxmlformats.org/officeDocument/2006/relationships/hyperlink" Target="https://www.google.com/url?q=https://dmoj.ca/problem/coci06c5p6&amp;sa=D&amp;ust=1605639832125000&amp;usg=AFQjCNEFGro-XyawlxX2zf6gFByVBdcAJg" TargetMode="External"/><Relationship Id="rId2046" Type="http://schemas.openxmlformats.org/officeDocument/2006/relationships/hyperlink" Target="https://www.google.com/url?q=https://oj.uz/problem/view/JOI17_semiexpress&amp;sa=D&amp;ust=1605639832553000&amp;usg=AFQjCNEZLjRmpFqGdJ2MzW1CT9RcSSOSZQ" TargetMode="External"/><Relationship Id="rId2253" Type="http://schemas.openxmlformats.org/officeDocument/2006/relationships/hyperlink" Target="https://www.google.com/url?q=https://dunjudge.me/analysis/problems/976/&amp;sa=D&amp;ust=1605639832630000&amp;usg=AFQjCNHsPE-gtQRoy_V38pa8YJhhXoHZrw" TargetMode="External"/><Relationship Id="rId2460" Type="http://schemas.openxmlformats.org/officeDocument/2006/relationships/hyperlink" Target="https://www.google.com/url?q=https://dunjudge.me/analysis/problems/1470/&amp;sa=D&amp;ust=1605639832700000&amp;usg=AFQjCNGLRow5snJPx7XEoW28u7k9r4G6wA" TargetMode="External"/><Relationship Id="rId225" Type="http://schemas.openxmlformats.org/officeDocument/2006/relationships/hyperlink" Target="https://www.google.com/url?q=https://oj.uz/problem/view/BOI11_grow&amp;sa=D&amp;ust=1605639832022000&amp;usg=AFQjCNEFjhsntctk0cQbKDpHaqZhyIuPMQ" TargetMode="External"/><Relationship Id="rId432" Type="http://schemas.openxmlformats.org/officeDocument/2006/relationships/hyperlink" Target="https://www.google.com/url?q=https://github.com/mostafa-saad/MyCompetitiveProgramming/blob/master/Olympiad/CEOI/CEOI-08-Fence.txt&amp;sa=D&amp;ust=1605639832087000&amp;usg=AFQjCNF6Z0soQDIpxlXtmWDXF6P4Qv5B4A" TargetMode="External"/><Relationship Id="rId877" Type="http://schemas.openxmlformats.org/officeDocument/2006/relationships/hyperlink" Target="https://www.google.com/url?q=https://dunjudge.me/analysis/problems/1385/&amp;sa=D&amp;ust=1605639832202000&amp;usg=AFQjCNGm4K_Y809AmTA-7zAFe1fNlIw-qQ" TargetMode="External"/><Relationship Id="rId1062" Type="http://schemas.openxmlformats.org/officeDocument/2006/relationships/hyperlink" Target="https://www.google.com/url?q=https://oj.uz/problem/view/COCI17_ceste&amp;sa=D&amp;ust=1605639832249000&amp;usg=AFQjCNEpAbT2EsKk1FG0slwkiwim0Oeerw" TargetMode="External"/><Relationship Id="rId2113" Type="http://schemas.openxmlformats.org/officeDocument/2006/relationships/hyperlink" Target="https://www.google.com/url?q=https://oj.uz/problem/view/JOI19_jumps&amp;sa=D&amp;ust=1605639832572000&amp;usg=AFQjCNGZJt3snfMDqsHk5WWH0GSztqKF7Q" TargetMode="External"/><Relationship Id="rId2320" Type="http://schemas.openxmlformats.org/officeDocument/2006/relationships/hyperlink" Target="https://www.google.com/url?q=https://dunjudge.me/analysis/problems/266/&amp;sa=D&amp;ust=1605639832652000&amp;usg=AFQjCNEIwu4eYIRR_0B-ILE1ZhrnySD2Ew" TargetMode="External"/><Relationship Id="rId2558" Type="http://schemas.openxmlformats.org/officeDocument/2006/relationships/hyperlink" Target="https://www.google.com/url?q=https://github.com/mostafa-saad/MyCompetitiveProgramming/blob/master/Olympiad/POI/POI-07-Megalopolis.txt&amp;sa=D&amp;ust=1605639832729000&amp;usg=AFQjCNFthdzbLZ_T3hOvKKhX9WVNzsW9ZA" TargetMode="External"/><Relationship Id="rId2765" Type="http://schemas.openxmlformats.org/officeDocument/2006/relationships/hyperlink" Target="https://www.google.com/url?q=https://szkopul.edu.pl/problemset/problem/Hj7Ko64-xPs_FrzJ4WucMde9/site/&amp;sa=D&amp;ust=1605639832775000&amp;usg=AFQjCNFEU0IF5GYnzvUE4SJiNnQ7oi9dNg" TargetMode="External"/><Relationship Id="rId2972" Type="http://schemas.openxmlformats.org/officeDocument/2006/relationships/hyperlink" Target="https://www.google.com/url?q=http://usaco.org/index.php?page%3Dviewproblem2%26cpid%3D793&amp;sa=D&amp;ust=1605639832845000&amp;usg=AFQjCNEaiVIfUv6ikSb9b6zFSMJ1QCURNw" TargetMode="External"/><Relationship Id="rId737" Type="http://schemas.openxmlformats.org/officeDocument/2006/relationships/hyperlink" Target="https://www.google.com/url?q=https://github.com/mostafa-saad/MyCompetitiveProgramming/blob/master/Olympiad/COCI/official/2009/contest5_solutions&amp;sa=D&amp;ust=1605639832159000&amp;usg=AFQjCNEpqMdk5Z0HFzABdTADMW4M6zc3-A" TargetMode="External"/><Relationship Id="rId944" Type="http://schemas.openxmlformats.org/officeDocument/2006/relationships/hyperlink" Target="https://www.google.com/url?q=https://oj.uz/problem/view/COCI14_mobitel&amp;sa=D&amp;ust=1605639832219000&amp;usg=AFQjCNETXzOX_MknrBB7HG9IDvh1-0uq0A" TargetMode="External"/><Relationship Id="rId1367" Type="http://schemas.openxmlformats.org/officeDocument/2006/relationships/hyperlink" Target="https://www.google.com/url?q=https://oj.uz/problem/view/info1cup18_shell&amp;sa=D&amp;ust=1605639832345000&amp;usg=AFQjCNHroCNjjwKIA3w0Y-aVi3xzRQZicA" TargetMode="External"/><Relationship Id="rId1574" Type="http://schemas.openxmlformats.org/officeDocument/2006/relationships/hyperlink" Target="https://www.google.com/url?q=https://github.com/mostafa-saad/MyCompetitiveProgramming/blob/master/Olympiad/infoarena/infoarena_puncte.txt&amp;sa=D&amp;ust=1605639832405000&amp;usg=AFQjCNGIs4BSXT4BQE_hrEP4RoVQP9MHFg" TargetMode="External"/><Relationship Id="rId1781" Type="http://schemas.openxmlformats.org/officeDocument/2006/relationships/hyperlink" Target="https://www.google.com/url?q=https://oj.uz/problem/view/IOI11_garden&amp;sa=D&amp;ust=1605639832465000&amp;usg=AFQjCNGG4q9ZyNMhIG5HzZA83vOU-nMv4A" TargetMode="External"/><Relationship Id="rId2418" Type="http://schemas.openxmlformats.org/officeDocument/2006/relationships/hyperlink" Target="https://www.google.com/url?q=https://dunjudge.me/analysis/problems/42/&amp;sa=D&amp;ust=1605639832682000&amp;usg=AFQjCNGKGvzRv-dZgJ2lUdqnG4FpdD6HUg" TargetMode="External"/><Relationship Id="rId2625" Type="http://schemas.openxmlformats.org/officeDocument/2006/relationships/hyperlink" Target="https://www.google.com/url?q=https://szkopul.edu.pl/problemset/problem/4BL9eUWjrvT7ecMUJcmSuJI3/site/&amp;sa=D&amp;ust=1605639832743000&amp;usg=AFQjCNHMWQ-FJk6puiBqCQ6Kpte899KVZA" TargetMode="External"/><Relationship Id="rId2832" Type="http://schemas.openxmlformats.org/officeDocument/2006/relationships/hyperlink" Target="https://www.google.com/url?q=https://github.com/Shash-Wat/competitive-programming/blob/master/POI/poi_strike.cpp&amp;sa=D&amp;ust=1605639832797000&amp;usg=AFQjCNHRSGaKZl7rIDa-PQ47ABCScBzdmg" TargetMode="External"/><Relationship Id="rId73" Type="http://schemas.openxmlformats.org/officeDocument/2006/relationships/hyperlink" Target="https://www.google.com/url?q=https://github.com/mostafa-saad/MyCompetitiveProgramming/blob/master/Olympiad/APIO/APIO-19-strange_device.txt&amp;sa=D&amp;ust=1605639831972000&amp;usg=AFQjCNG63Y1elugs4d_P95TWOCdqtJ6kBg" TargetMode="External"/><Relationship Id="rId804" Type="http://schemas.openxmlformats.org/officeDocument/2006/relationships/hyperlink" Target="https://www.google.com/url?q=https://dmoj.ca/problem/coci09c1p2&amp;sa=D&amp;ust=1605639832178000&amp;usg=AFQjCNHMoS6nTtoIPJWq8KxEPwl5gDQMvA" TargetMode="External"/><Relationship Id="rId1227" Type="http://schemas.openxmlformats.org/officeDocument/2006/relationships/hyperlink" Target="https://www.google.com/url?q=https://wcipeg.com/problem/coci087p4&amp;sa=D&amp;ust=1605639832307000&amp;usg=AFQjCNE0SppgMJyE7S22miU56AUH2qhfNA" TargetMode="External"/><Relationship Id="rId1434" Type="http://schemas.openxmlformats.org/officeDocument/2006/relationships/hyperlink" Target="https://www.google.com/url?q=http://www.infoarena.ro/problema/copaci&amp;sa=D&amp;ust=1605639832359000&amp;usg=AFQjCNH5mE5GQEgESvosfUHTBoPmPrAY5g" TargetMode="External"/><Relationship Id="rId1641" Type="http://schemas.openxmlformats.org/officeDocument/2006/relationships/hyperlink" Target="https://www.google.com/url?q=https://wcipeg.com/problem/ioi0023&amp;sa=D&amp;ust=1605639832426000&amp;usg=AFQjCNHhMAGcHheTPibHNMlsU9oDpeJ9Mw" TargetMode="External"/><Relationship Id="rId1879" Type="http://schemas.openxmlformats.org/officeDocument/2006/relationships/hyperlink" Target="https://www.google.com/url?q=https://github.com/mostafa-saad/MyCompetitiveProgramming/blob/master/Olympiad/IOI/IOI-18-Werewolf.txt&amp;sa=D&amp;ust=1605639832501000&amp;usg=AFQjCNEpqL_zTLvwGwez2CNgsvVUtzp_Uw" TargetMode="External"/><Relationship Id="rId1501" Type="http://schemas.openxmlformats.org/officeDocument/2006/relationships/hyperlink" Target="https://www.google.com/url?q=https://github.com/mostafa-saad/MyCompetitiveProgramming/blob/master/Olympiad/infoarena/infoarena_lcdr.txt&amp;sa=D&amp;ust=1605639832380000&amp;usg=AFQjCNHIqvmhmQVxK_0Z4de7nT6iQKTRJA" TargetMode="External"/><Relationship Id="rId1739" Type="http://schemas.openxmlformats.org/officeDocument/2006/relationships/hyperlink" Target="https://www.google.com/url?q=https://oj.uz/problem/view/IOI08_printer&amp;sa=D&amp;ust=1605639832454000&amp;usg=AFQjCNGtet3WuwAFVI5j5Ece9o-q9cxWmg" TargetMode="External"/><Relationship Id="rId1946" Type="http://schemas.openxmlformats.org/officeDocument/2006/relationships/hyperlink" Target="https://www.google.com/url?q=https://github.com/tmwilliamlin168/CompetitiveProgramming/blob/master/IOI/19P-Transfer.cpp&amp;sa=D&amp;ust=1605639832522000&amp;usg=AFQjCNGR0b4f9z_575x3mPV4-mBmpkV2Ww" TargetMode="External"/><Relationship Id="rId1806" Type="http://schemas.openxmlformats.org/officeDocument/2006/relationships/hyperlink" Target="https://www.google.com/url?q=http://blog.brucemerry.org.za/2013/07/&amp;sa=D&amp;ust=1605639832477000&amp;usg=AFQjCNEkoFkeKquk0pWGdCcm0pkbmRkh-g" TargetMode="External"/><Relationship Id="rId387" Type="http://schemas.openxmlformats.org/officeDocument/2006/relationships/hyperlink" Target="https://www.google.com/url?q=https://www.acmicpc.net/problem/7054&amp;sa=D&amp;ust=1605639832072000&amp;usg=AFQjCNGpvJyQ4Qd0SqtBnpJX_bdmzzTA8Q" TargetMode="External"/><Relationship Id="rId594" Type="http://schemas.openxmlformats.org/officeDocument/2006/relationships/hyperlink" Target="https://www.google.com/url?q=https://dmoj.ca/problem/coci06c6p3&amp;sa=D&amp;ust=1605639832130000&amp;usg=AFQjCNHP98CxgDmX-jaUhvzOt4dDAISZ3Q" TargetMode="External"/><Relationship Id="rId2068" Type="http://schemas.openxmlformats.org/officeDocument/2006/relationships/hyperlink" Target="https://www.google.com/url?q=https://oj.uz/problem/view/JOI20_ho_t5&amp;sa=D&amp;ust=1605639832560000&amp;usg=AFQjCNEyb-8cMVg0_DoldJNFuWIOnz6jqQ" TargetMode="External"/><Relationship Id="rId2275" Type="http://schemas.openxmlformats.org/officeDocument/2006/relationships/hyperlink" Target="https://www.google.com/url?q=https://github.com/fyquah95/ioi-malaysia-2016-training-camp&amp;sa=D&amp;ust=1605639832638000&amp;usg=AFQjCNFpIYwLhmQCgWBKxENbVHd2tbAYpA" TargetMode="External"/><Relationship Id="rId247" Type="http://schemas.openxmlformats.org/officeDocument/2006/relationships/hyperlink" Target="https://www.google.com/url?q=https://github.com/mostafa-saad/MyCompetitiveProgramming/blob/master/Olympiad/Baltic/Baltic-12-Melody.txt&amp;sa=D&amp;ust=1605639832027000&amp;usg=AFQjCNEBveFYF47aTmgBrQ5lO3f401GOkQ" TargetMode="External"/><Relationship Id="rId899" Type="http://schemas.openxmlformats.org/officeDocument/2006/relationships/hyperlink" Target="https://www.google.com/url?q=https://dmoj.ca/problem/coci13c1p2&amp;sa=D&amp;ust=1605639832209000&amp;usg=AFQjCNFikx504ecx0K9mB9AORELCgu1vzA" TargetMode="External"/><Relationship Id="rId1084" Type="http://schemas.openxmlformats.org/officeDocument/2006/relationships/hyperlink" Target="https://www.google.com/url?q=https://github.com/mostafa-saad/MyCompetitiveProgramming/blob/master/Olympiad/CEOI/COCI-17-klavir.txt&amp;sa=D&amp;ust=1605639832255000&amp;usg=AFQjCNH_lSq-htto_hpPpS--DUq0Nez9wQ" TargetMode="External"/><Relationship Id="rId2482" Type="http://schemas.openxmlformats.org/officeDocument/2006/relationships/hyperlink" Target="https://www.google.com/url?q=https://github.com/mostafa-saad/MyCompetitiveProgramming/blob/master/Olympiad/POI/official/find_editorial_sols_guidelines.txt&amp;sa=D&amp;ust=1605639832708000&amp;usg=AFQjCNHtzMfTyasBlXP4WigFPAUwbmxJmA" TargetMode="External"/><Relationship Id="rId2787" Type="http://schemas.openxmlformats.org/officeDocument/2006/relationships/hyperlink" Target="https://www.google.com/url?q=https://szkopul.edu.pl/problemset/problem/O730xgZEVynTWBmscBinhMbD/site/&amp;sa=D&amp;ust=1605639832782000&amp;usg=AFQjCNGUwaloYN7BviTp8Ar3tmJ2FnY0HA" TargetMode="External"/><Relationship Id="rId107" Type="http://schemas.openxmlformats.org/officeDocument/2006/relationships/hyperlink" Target="https://www.google.com/url?q=https://www.acmicpc.net/problem/5249&amp;sa=D&amp;ust=1605639831984000&amp;usg=AFQjCNG7TF8zJmKS5dq-kNjUDDfj0gOE2g" TargetMode="External"/><Relationship Id="rId454" Type="http://schemas.openxmlformats.org/officeDocument/2006/relationships/hyperlink" Target="https://www.google.com/url?q=https://szkopul.edu.pl/problemset/problem/-e02GdqRC4OgV8Hjb852pqQ9/site/&amp;sa=D&amp;ust=1605639832093000&amp;usg=AFQjCNF2WsjOkvruypKKLnRIjX5BrGWDcw" TargetMode="External"/><Relationship Id="rId661" Type="http://schemas.openxmlformats.org/officeDocument/2006/relationships/hyperlink" Target="https://www.google.com/url?q=https://github.com/mostafa-saad/MyCompetitiveProgramming/tree/master/Olympiad/COCI/official/2008/contest6_solutions&amp;sa=D&amp;ust=1605639832144000&amp;usg=AFQjCNHoYxTgJvaftRSnAnJ-9Vu8PX3B-w" TargetMode="External"/><Relationship Id="rId759" Type="http://schemas.openxmlformats.org/officeDocument/2006/relationships/hyperlink" Target="https://www.google.com/url?q=https://github.com/mostafa-saad/MyCompetitiveProgramming/blob/master/Olympiad/COCI/official/2009/contest1_solutions&amp;sa=D&amp;ust=1605639832164000&amp;usg=AFQjCNE-M5v1iZxfjrALM5pDrDLCaxTJdw" TargetMode="External"/><Relationship Id="rId966" Type="http://schemas.openxmlformats.org/officeDocument/2006/relationships/hyperlink" Target="https://www.google.com/url?q=https://github.com/mostafa-saad/MyCompetitiveProgramming/blob/master/Olympiad/COCI/official/2015/contest3_solutions&amp;sa=D&amp;ust=1605639832224000&amp;usg=AFQjCNFHSvfDqwycK2GykpIsAxdNQN5ncA" TargetMode="External"/><Relationship Id="rId1291" Type="http://schemas.openxmlformats.org/officeDocument/2006/relationships/hyperlink" Target="https://www.google.com/url?q=https://github.com/mostafa-saad/MyCompetitiveProgramming/blob/master/Olympiad/COI/COI-19-segway.txt&amp;sa=D&amp;ust=1605639832323000&amp;usg=AFQjCNEaEr4T3n5uw9svngtxjwOunBxegg" TargetMode="External"/><Relationship Id="rId1389" Type="http://schemas.openxmlformats.org/officeDocument/2006/relationships/hyperlink" Target="https://www.google.com/url?q=https://www.infoarena.ro/problema/anagrame&amp;sa=D&amp;ust=1605639832350000&amp;usg=AFQjCNGjoUYsr72ExsgEaky_mNUKm5t36w" TargetMode="External"/><Relationship Id="rId1596" Type="http://schemas.openxmlformats.org/officeDocument/2006/relationships/hyperlink" Target="https://www.google.com/url?q=https://github.com/stefdasca/CompetitiveProgramming/blob/master/Infoarena/sir3.cpp&amp;sa=D&amp;ust=1605639832412000&amp;usg=AFQjCNHuGGDottDKYg1NdyZ1px9NybPn8Q" TargetMode="External"/><Relationship Id="rId2135" Type="http://schemas.openxmlformats.org/officeDocument/2006/relationships/hyperlink" Target="https://www.google.com/url?q=https://joisc2014.contest.atcoder.jp/tasks/joisc2014_h&amp;sa=D&amp;ust=1605639832584000&amp;usg=AFQjCNEu4oGJvOYQf-xrvgkvX2Qra_EHvQ" TargetMode="External"/><Relationship Id="rId2342" Type="http://schemas.openxmlformats.org/officeDocument/2006/relationships/hyperlink" Target="https://www.google.com/url?q=https://oj.uz/problem/view/NOI13_ferries&amp;sa=D&amp;ust=1605639832657000&amp;usg=AFQjCNGVI7wC7odZrIE9gtrhLKEfjejAlw" TargetMode="External"/><Relationship Id="rId2647" Type="http://schemas.openxmlformats.org/officeDocument/2006/relationships/hyperlink" Target="https://www.google.com/url?q=https://szkopul.edu.pl/problemset/problem/YjtAwdQrSiGcE_RLiEJpGiYE/site/&amp;sa=D&amp;ust=1605639832747000&amp;usg=AFQjCNEGEirwzW1JNAH8GIwTUCL4vKIJhA" TargetMode="External"/><Relationship Id="rId2994" Type="http://schemas.openxmlformats.org/officeDocument/2006/relationships/hyperlink" Target="https://www.google.com/url?q=http://usaco.org/index.php?page%3Dviewproblem2%26cpid%3D925&amp;sa=D&amp;ust=1605639832864000&amp;usg=AFQjCNFaLAK8bZRVxfi4AGJdWBx8IC7dgQ" TargetMode="External"/><Relationship Id="rId314" Type="http://schemas.openxmlformats.org/officeDocument/2006/relationships/hyperlink" Target="https://www.google.com/url?q=https://github.com/mostafa-saad/MyCompetitiveProgramming/tree/master/Olympiad/Baltic/official/boi2018_solutions&amp;sa=D&amp;ust=1605639832042000&amp;usg=AFQjCNH_z6WgHNIjPHL_DZCcPw4hFW21dQ" TargetMode="External"/><Relationship Id="rId521" Type="http://schemas.openxmlformats.org/officeDocument/2006/relationships/hyperlink" Target="https://www.google.com/url?q=https://github.com/SpeedOfMagic/CompetitiveProgramming/blob/master/CEOI/16-router.txt&amp;sa=D&amp;ust=1605639832113000&amp;usg=AFQjCNEDpyB5wY-P7YithxxX_I91fpg6Lw" TargetMode="External"/><Relationship Id="rId619" Type="http://schemas.openxmlformats.org/officeDocument/2006/relationships/hyperlink" Target="https://www.google.com/url?q=https://github.com/mostafa-saad/MyCompetitiveProgramming/tree/master/Olympiad/COCI/official/2007/contest4_solutions&amp;sa=D&amp;ust=1605639832135000&amp;usg=AFQjCNGMg7GssU5mQXJuAe9RwPetsYYbRw" TargetMode="External"/><Relationship Id="rId1151" Type="http://schemas.openxmlformats.org/officeDocument/2006/relationships/hyperlink" Target="https://www.google.com/url?q=https://oj.uz/problem/view/COCI18_planinarenje&amp;sa=D&amp;ust=1605639832276000&amp;usg=AFQjCNEqpikUjkNb-8oXrqAzvxxDqmZX-A" TargetMode="External"/><Relationship Id="rId1249" Type="http://schemas.openxmlformats.org/officeDocument/2006/relationships/hyperlink" Target="https://www.google.com/url?q=https://github.com/mostafa-saad/MyCompetitiveProgramming/tree/master/Olympiad/COI/official/2014&amp;sa=D&amp;ust=1605639832313000&amp;usg=AFQjCNHaipJ_NblrNOGD_tbids9qcPy-NQ" TargetMode="External"/><Relationship Id="rId2202" Type="http://schemas.openxmlformats.org/officeDocument/2006/relationships/hyperlink" Target="https://www.google.com/url?q=https://oj.uz/problem/view/JOI18_fences&amp;sa=D&amp;ust=1605639832613000&amp;usg=AFQjCNHr1ggDICB0Xn6lPjRuMTE1TfZs7w" TargetMode="External"/><Relationship Id="rId2854" Type="http://schemas.openxmlformats.org/officeDocument/2006/relationships/hyperlink" Target="https://www.google.com/url?q=https://github.com/SpeedOfMagic/CompetitiveProgramming/blob/master/POI/96-kod.cpp&amp;sa=D&amp;ust=1605639832805000&amp;usg=AFQjCNGB0ccUIk380XAsNECjYA5zxBZsCQ" TargetMode="External"/><Relationship Id="rId95" Type="http://schemas.openxmlformats.org/officeDocument/2006/relationships/hyperlink" Target="https://www.google.com/url?q=https://dunjudge.me/analysis/problems/573/&amp;sa=D&amp;ust=1605639831981000&amp;usg=AFQjCNFbugIcngdTsKhMN3KcLnWa0BpR1g" TargetMode="External"/><Relationship Id="rId826" Type="http://schemas.openxmlformats.org/officeDocument/2006/relationships/hyperlink" Target="https://www.google.com/url?q=https://github.com/mostafa-saad/MyCompetitiveProgramming/blob/master/Olympiad/COCI/official/2010/contest7_solutions&amp;sa=D&amp;ust=1605639832185000&amp;usg=AFQjCNE_jb46YNoZnXq0ToWErV3H6YRdCg" TargetMode="External"/><Relationship Id="rId1011" Type="http://schemas.openxmlformats.org/officeDocument/2006/relationships/hyperlink" Target="https://www.google.com/url?q=https://oj.uz/problem/view/COCI15_savez&amp;sa=D&amp;ust=1605639832237000&amp;usg=AFQjCNG0pthwhfYihAc9XI-Y-PynzK9ERA" TargetMode="External"/><Relationship Id="rId1109" Type="http://schemas.openxmlformats.org/officeDocument/2006/relationships/hyperlink" Target="https://www.google.com/url?q=https://github.com/mostafa-saad/MyCompetitiveProgramming/blob/master/Olympiad/COCI/official/2017/contest5_solutions&amp;sa=D&amp;ust=1605639832261000&amp;usg=AFQjCNHC6DwIBcWI9WoARZQgfdHij7VB_g" TargetMode="External"/><Relationship Id="rId1456" Type="http://schemas.openxmlformats.org/officeDocument/2006/relationships/hyperlink" Target="https://www.google.com/url?q=https://github.com/mostafa-saad/MyCompetitiveProgramming/blob/master/Olympiad/infoarena/Infoarena_Desc.txt&amp;sa=D&amp;ust=1605639832365000&amp;usg=AFQjCNGnwakBPAY4pS4Zb-Hh4knngVjreQ" TargetMode="External"/><Relationship Id="rId1663" Type="http://schemas.openxmlformats.org/officeDocument/2006/relationships/hyperlink" Target="https://www.google.com/url?q=https://dmoj.ca/problem/ioi02p4&amp;sa=D&amp;ust=1605639832433000&amp;usg=AFQjCNG9ADd4fFzySiETuaE5bCijcsNxew" TargetMode="External"/><Relationship Id="rId1870" Type="http://schemas.openxmlformats.org/officeDocument/2006/relationships/hyperlink" Target="https://www.google.com/url?q=https://oj.uz/problem/view/IOI18_doll&amp;sa=D&amp;ust=1605639832499000&amp;usg=AFQjCNFt_G7zoXow1HRje68MtS0YuFdKpw" TargetMode="External"/><Relationship Id="rId1968" Type="http://schemas.openxmlformats.org/officeDocument/2006/relationships/hyperlink" Target="https://www.google.com/url?q=https://oj.uz/problem/view/IZhO12_beauty&amp;sa=D&amp;ust=1605639832528000&amp;usg=AFQjCNEEsyWp2baE5Oml5_Y3aEOyNK_5NQ" TargetMode="External"/><Relationship Id="rId2507" Type="http://schemas.openxmlformats.org/officeDocument/2006/relationships/hyperlink" Target="https://www.google.com/url?q=https://szkopul.edu.pl/problemset/problem/VENspsedQ1oO5IorYs8Ergdn/site/&amp;sa=D&amp;ust=1605639832715000&amp;usg=AFQjCNGQHEzMiJPUeph2bdTME-e4CU-N0A" TargetMode="External"/><Relationship Id="rId2714" Type="http://schemas.openxmlformats.org/officeDocument/2006/relationships/hyperlink" Target="https://www.google.com/url?q=https://github.com/mostafa-saad/MyCompetitiveProgramming/blob/master/Olympiad/POI/official/find_editorial_sols_guidelines.txt&amp;sa=D&amp;ust=1605639832760000&amp;usg=AFQjCNFwC06ffwe2MBpn8E7nbs3S5wXrUg" TargetMode="External"/><Relationship Id="rId2921" Type="http://schemas.openxmlformats.org/officeDocument/2006/relationships/hyperlink" Target="https://www.google.com/url?q=http://usaco.org/index.php?page%3Dviewproblem2%26cpid%3D496&amp;sa=D&amp;ust=1605639832826000&amp;usg=AFQjCNHlIHqWx2zzNueEIBwoZ6qR9Nq_pw" TargetMode="External"/><Relationship Id="rId1316" Type="http://schemas.openxmlformats.org/officeDocument/2006/relationships/hyperlink" Target="https://www.google.com/url?q=https://github.com/tsouza0/CompetitiveProgramming/blob/master/DMOJ/stnbd4.cpp&amp;sa=D&amp;ust=1605639832329000&amp;usg=AFQjCNHPm2FfvNLk0Mn3EipbafbF4c-TRg" TargetMode="External"/><Relationship Id="rId1523" Type="http://schemas.openxmlformats.org/officeDocument/2006/relationships/hyperlink" Target="https://www.google.com/url?q=https://github.com/stefdasca/CompetitiveProgramming/blob/master/Infoarena/minuni.cpp&amp;sa=D&amp;ust=1605639832388000&amp;usg=AFQjCNFcB545hjT188bjbCnMpBH2DlmLIw" TargetMode="External"/><Relationship Id="rId1730" Type="http://schemas.openxmlformats.org/officeDocument/2006/relationships/hyperlink" Target="https://www.google.com/url?q=https://github.com/mostafa-saad/MyCompetitiveProgramming/blob/master/Olympiad/IOI/IOI-07-sails.txt&amp;sa=D&amp;ust=1605639832452000&amp;usg=AFQjCNGioIv4vVOqmS2o6Dm7PuarvHLQpg" TargetMode="External"/><Relationship Id="rId22" Type="http://schemas.openxmlformats.org/officeDocument/2006/relationships/hyperlink" Target="https://www.google.com/url?q=https://github.com/mostafa-saad/MyCompetitiveProgramming/blob/master/Olympiad/APIO/APIO-10-Patrol.txt&amp;sa=D&amp;ust=1605639831958000&amp;usg=AFQjCNFUz01bYLgcC4EpgarDgzzMyjOVaw" TargetMode="External"/><Relationship Id="rId1828" Type="http://schemas.openxmlformats.org/officeDocument/2006/relationships/hyperlink" Target="https://www.google.com/url?q=https://github.com/mostafa-saad/MyCompetitiveProgramming/blob/master/Olympiad/IOI/official/2015&amp;sa=D&amp;ust=1605639832485000&amp;usg=AFQjCNFJv1h10HH4knlQ0WFfk-t2mez3eA" TargetMode="External"/><Relationship Id="rId171" Type="http://schemas.openxmlformats.org/officeDocument/2006/relationships/hyperlink" Target="https://www.google.com/url?q=https://cses.fi/109/list/&amp;sa=D&amp;ust=1605639832006000&amp;usg=AFQjCNFl6X0dTRb8WYBl_CF5DH8cR__2Ww" TargetMode="External"/><Relationship Id="rId2297" Type="http://schemas.openxmlformats.org/officeDocument/2006/relationships/hyperlink" Target="https://www.google.com/url?q=https://dunjudge.me/analysis/problems/273/&amp;sa=D&amp;ust=1605639832646000&amp;usg=AFQjCNEW_vi19TECUtj49pPRl8vwtoPYfw" TargetMode="External"/><Relationship Id="rId269" Type="http://schemas.openxmlformats.org/officeDocument/2006/relationships/hyperlink" Target="https://www.google.com/url?q=https://oj.uz/problem/view/BOI14_friends&amp;sa=D&amp;ust=1605639832033000&amp;usg=AFQjCNHbTXEslVYHn1NnhQ6j2VOgKMmGfQ" TargetMode="External"/><Relationship Id="rId476" Type="http://schemas.openxmlformats.org/officeDocument/2006/relationships/hyperlink" Target="https://www.google.com/url?q=https://oj.uz/problem/view/CEOI12_jobs&amp;sa=D&amp;ust=1605639832100000&amp;usg=AFQjCNGKrLbmLqHgjs1YDGdLgJlNYBsRYw" TargetMode="External"/><Relationship Id="rId683" Type="http://schemas.openxmlformats.org/officeDocument/2006/relationships/hyperlink" Target="https://www.google.com/url?q=https://github.com/mostafa-saad/MyCompetitiveProgramming/tree/master/Olympiad/COCI/official/2008/contest6_solutions&amp;sa=D&amp;ust=1605639832149000&amp;usg=AFQjCNHz1Om7a7Q22j_a2tvqWUE1Tf1giQ" TargetMode="External"/><Relationship Id="rId890" Type="http://schemas.openxmlformats.org/officeDocument/2006/relationships/hyperlink" Target="https://www.google.com/url?q=https://github.com/mostafa-saad/MyCompetitiveProgramming/blob/master/Olympiad/COCI/official/2013/contest4_solutions&amp;sa=D&amp;ust=1605639832206000&amp;usg=AFQjCNH42f73wVbo8e1jUb2KTmnxJA7TyQ" TargetMode="External"/><Relationship Id="rId2157" Type="http://schemas.openxmlformats.org/officeDocument/2006/relationships/hyperlink" Target="https://www.google.com/url?q=https://joisc2015.contest.atcoder.jp/tasks/joisc2015_m&amp;sa=D&amp;ust=1605639832596000&amp;usg=AFQjCNEXARcCFJeW7bMykAI5esjNH2-1hA" TargetMode="External"/><Relationship Id="rId2364" Type="http://schemas.openxmlformats.org/officeDocument/2006/relationships/hyperlink" Target="https://www.google.com/url?q=https://github.com/mostafa-saad/MyCompetitiveProgramming/blob/master/Olympiad/NOI/official&amp;sa=D&amp;ust=1605639832662000&amp;usg=AFQjCNH4lJBAqN5KtjEpsplcTOdEH6KOTw" TargetMode="External"/><Relationship Id="rId2571" Type="http://schemas.openxmlformats.org/officeDocument/2006/relationships/hyperlink" Target="https://www.google.com/url?q=https://szkopul.edu.pl/problemset/problem/_L_YGzT5VYJO9zHTfVRwPjwh/site/&amp;sa=D&amp;ust=1605639832731000&amp;usg=AFQjCNEN_XL8rr3tcwWXHQ4z7gPAawEhDw" TargetMode="External"/><Relationship Id="rId129" Type="http://schemas.openxmlformats.org/officeDocument/2006/relationships/hyperlink" Target="https://www.google.com/url?q=https://github.com/mostafa-saad/MyCompetitiveProgramming/tree/master/Olympiad/Balkan/official/2016&amp;sa=D&amp;ust=1605639831992000&amp;usg=AFQjCNH9VBQmVSAAGAIPmEIW7MpJRLWApg" TargetMode="External"/><Relationship Id="rId336" Type="http://schemas.openxmlformats.org/officeDocument/2006/relationships/hyperlink" Target="https://www.google.com/url?q=https://github.com/mostafa-saad/MyCompetitiveProgramming/blob/master/Olympiad/Baltic/Baltic-19-valley.txt&amp;sa=D&amp;ust=1605639832047000&amp;usg=AFQjCNG8Ix70nJTTe-UkvXo-HyNulosvSQ" TargetMode="External"/><Relationship Id="rId543" Type="http://schemas.openxmlformats.org/officeDocument/2006/relationships/hyperlink" Target="https://www.google.com/url?q=https://oj.uz/problem/view/CEOI18_toy&amp;sa=D&amp;ust=1605639832119000&amp;usg=AFQjCNGUKbJRqHxwGDDmvt8JUjD6zcYOGA" TargetMode="External"/><Relationship Id="rId988" Type="http://schemas.openxmlformats.org/officeDocument/2006/relationships/hyperlink" Target="https://www.google.com/url?q=https://github.com/zoooma13/Competitive-Programming/blob/master/baloni2.cpp&amp;sa=D&amp;ust=1605639832230000&amp;usg=AFQjCNFv28vL2Ag7zLG3Cjpkqv02O2AISw" TargetMode="External"/><Relationship Id="rId1173" Type="http://schemas.openxmlformats.org/officeDocument/2006/relationships/hyperlink" Target="https://www.google.com/url?q=https://github.com/sofhiasouza/CompetitiveProgramming/blob/master/COCI/2018-2019/Contest%2520%25232/maja.cpp&amp;sa=D&amp;ust=1605639832284000&amp;usg=AFQjCNFT_raz2b7ivKYCWSpAVeVBm5Cvpw" TargetMode="External"/><Relationship Id="rId1380" Type="http://schemas.openxmlformats.org/officeDocument/2006/relationships/hyperlink" Target="https://www.google.com/url?q=https://github.com/mostafa-saad/MyCompetitiveProgramming/blob/master/Olympiad/infoarena/infoarena-aiacubiti.txt&amp;sa=D&amp;ust=1605639832347000&amp;usg=AFQjCNE_q5-ZqMVSenOzvEDEGzUqQ0d8dA" TargetMode="External"/><Relationship Id="rId2017" Type="http://schemas.openxmlformats.org/officeDocument/2006/relationships/hyperlink" Target="https://www.google.com/url?q=https://github.com/mostafa-saad/MyCompetitiveProgramming/blob/master/Olympiad/JOI/JOI-13-BubbleSort.txt&amp;sa=D&amp;ust=1605639832544000&amp;usg=AFQjCNG38umGk68Qnm9FizSJJqCZcx_HoA" TargetMode="External"/><Relationship Id="rId2224" Type="http://schemas.openxmlformats.org/officeDocument/2006/relationships/hyperlink" Target="https://www.google.com/url?q=https://oj.uz/problem/view/JOI19_mergers&amp;sa=D&amp;ust=1605639832622000&amp;usg=AFQjCNENw-6ugNeZ0HOraNvpBIJFoyUREA" TargetMode="External"/><Relationship Id="rId2669" Type="http://schemas.openxmlformats.org/officeDocument/2006/relationships/hyperlink" Target="https://www.google.com/url?q=https://oj.uz/problem/view/POI11_okr&amp;sa=D&amp;ust=1605639832751000&amp;usg=AFQjCNEDItXuRSNaIDpwd4y1jr6oqFqyOg" TargetMode="External"/><Relationship Id="rId2876" Type="http://schemas.openxmlformats.org/officeDocument/2006/relationships/hyperlink" Target="https://www.google.com/url?q=https://csacademy.com/contest/round-78/task/count-bst/&amp;sa=D&amp;ust=1605639832812000&amp;usg=AFQjCNGd6VelO4ulMVMI43Epb3vXXq9_Hw" TargetMode="External"/><Relationship Id="rId403" Type="http://schemas.openxmlformats.org/officeDocument/2006/relationships/hyperlink" Target="https://www.google.com/url?q=https://cses.fi/191/list/&amp;sa=D&amp;ust=1605639832077000&amp;usg=AFQjCNGbCMkdFVBH_z5EEpa9KOmXDlsG3g" TargetMode="External"/><Relationship Id="rId750" Type="http://schemas.openxmlformats.org/officeDocument/2006/relationships/hyperlink" Target="https://www.google.com/url?q=https://dmoj.ca/problem/coci08c5p1&amp;sa=D&amp;ust=1605639832162000&amp;usg=AFQjCNGzc34oIfO97VKWXJHao9U6Y39t1g" TargetMode="External"/><Relationship Id="rId848" Type="http://schemas.openxmlformats.org/officeDocument/2006/relationships/hyperlink" Target="https://www.google.com/url?q=https://github.com/mostafa-saad/MyCompetitiveProgramming/blob/master/Olympiad/COCI/official/2010/contest3_solutions&amp;sa=D&amp;ust=1605639832193000&amp;usg=AFQjCNH8RSEVBP2hBZAOdjQ0SEIQkAlobg" TargetMode="External"/><Relationship Id="rId1033" Type="http://schemas.openxmlformats.org/officeDocument/2006/relationships/hyperlink" Target="https://www.google.com/url?q=https://github.com/mostafa-saad/MyCompetitiveProgramming/blob/master/Olympiad/COCI/COCI-16-kralj.txt&amp;sa=D&amp;ust=1605639832242000&amp;usg=AFQjCNGkq21PAd353eW6lR6O-a5EfjGidA" TargetMode="External"/><Relationship Id="rId1478" Type="http://schemas.openxmlformats.org/officeDocument/2006/relationships/hyperlink" Target="https://www.google.com/url?q=https://www.infoarena.ro/problema/identice&amp;sa=D&amp;ust=1605639832373000&amp;usg=AFQjCNFuZItftArN4Zk6YphNTocyQoSfNg" TargetMode="External"/><Relationship Id="rId1685" Type="http://schemas.openxmlformats.org/officeDocument/2006/relationships/hyperlink" Target="https://www.google.com/url?q=https://contest.yandex.ru/ioi/contest/560/enter/&amp;sa=D&amp;ust=1605639832439000&amp;usg=AFQjCNF-JSYGs_uHcpvFiwuerG2IF5QzSQ" TargetMode="External"/><Relationship Id="rId1892" Type="http://schemas.openxmlformats.org/officeDocument/2006/relationships/hyperlink" Target="https://www.google.com/url?q=https://dmoj.ca/problem/ioi97p1&amp;sa=D&amp;ust=1605639832506000&amp;usg=AFQjCNErrfXcfc-a1S3nFwFeOU7aZ-z53Q" TargetMode="External"/><Relationship Id="rId2431" Type="http://schemas.openxmlformats.org/officeDocument/2006/relationships/hyperlink" Target="https://www.google.com/url?q=https://dunjudge.me/analysis/problems/419/&amp;sa=D&amp;ust=1605639832687000&amp;usg=AFQjCNHPJ32VML06XeJAJ130XhBpaUIqfA" TargetMode="External"/><Relationship Id="rId2529" Type="http://schemas.openxmlformats.org/officeDocument/2006/relationships/hyperlink" Target="https://www.google.com/url?q=https://szkopul.edu.pl/problemset/problem/PT4yHRX9Mmz85ndhNPGCi_WB/site/&amp;sa=D&amp;ust=1605639832721000&amp;usg=AFQjCNHB_YHSVQK0-Bcf1zLbgsGwyjt6bA" TargetMode="External"/><Relationship Id="rId2736" Type="http://schemas.openxmlformats.org/officeDocument/2006/relationships/hyperlink" Target="https://www.google.com/url?q=https://szkopul.edu.pl/problemset/problem/ghEjb6qGVGsGk_KgYqdXZNna/site/&amp;sa=D&amp;ust=1605639832765000&amp;usg=AFQjCNFEpLHz1XOD9rJ8VwUgrbOrYIlXfg" TargetMode="External"/><Relationship Id="rId610" Type="http://schemas.openxmlformats.org/officeDocument/2006/relationships/hyperlink" Target="https://www.google.com/url?q=https://dmoj.ca/problem/coci06c4p3&amp;sa=D&amp;ust=1605639832134000&amp;usg=AFQjCNGZvnSyWiXMlR_B7tHMmPvnh7wW4Q" TargetMode="External"/><Relationship Id="rId708" Type="http://schemas.openxmlformats.org/officeDocument/2006/relationships/hyperlink" Target="https://www.google.com/url?q=https://dmoj.ca/problem/coci07c3p3&amp;sa=D&amp;ust=1605639832154000&amp;usg=AFQjCNHagW3PvCbpG-QUaSk_UnUH-Nb9dQ" TargetMode="External"/><Relationship Id="rId915" Type="http://schemas.openxmlformats.org/officeDocument/2006/relationships/hyperlink" Target="https://www.google.com/url?q=https://dmoj.ca/problem/coci13c1p1&amp;sa=D&amp;ust=1605639832213000&amp;usg=AFQjCNEdMmLR0wF6Nu0XyqZcJM0NmWFCzA" TargetMode="External"/><Relationship Id="rId1240" Type="http://schemas.openxmlformats.org/officeDocument/2006/relationships/hyperlink" Target="https://www.google.com/url?q=https://oj.uz/problem/view/COI14_gta&amp;sa=D&amp;ust=1605639832310000&amp;usg=AFQjCNFNrP36FDQ9Zawawz1YwDhOnzyFBA" TargetMode="External"/><Relationship Id="rId1338" Type="http://schemas.openxmlformats.org/officeDocument/2006/relationships/hyperlink" Target="https://www.google.com/url?q=https://github.com/Rockbet/Problems/blob/master/EJOI/2017/Day%25201/Magic.cpp&amp;sa=D&amp;ust=1605639832336000&amp;usg=AFQjCNGtxRy2NF0QNjt6f_Nzq4OCaI5W8Q" TargetMode="External"/><Relationship Id="rId1545" Type="http://schemas.openxmlformats.org/officeDocument/2006/relationships/hyperlink" Target="https://www.google.com/url?q=https://github.com/mostafa-saad/MyCompetitiveProgramming/blob/master/Olympiad/infoarena/infoarena-password2.txt&amp;sa=D&amp;ust=1605639832395000&amp;usg=AFQjCNE0EfD5G5QVSgbF375XXpJ8C112cw" TargetMode="External"/><Relationship Id="rId2943" Type="http://schemas.openxmlformats.org/officeDocument/2006/relationships/hyperlink" Target="https://www.google.com/url?q=https://github.com/thecodingwizard/competitive-programming/blob/master/USACO/2016feb/plat/cbarn.cpp&amp;sa=D&amp;ust=1605639832833000&amp;usg=AFQjCNH22uY24COmrhwJseGsfAuoKpaDCQ" TargetMode="External"/><Relationship Id="rId1100" Type="http://schemas.openxmlformats.org/officeDocument/2006/relationships/hyperlink" Target="https://www.google.com/url?q=https://github.com/mostafa-saad/MyCompetitiveProgramming/blob/master/Olympiad/COCI/official/2017/contest7_solutions&amp;sa=D&amp;ust=1605639832258000&amp;usg=AFQjCNHJPtwd2PpoNoeJhnCXYFg-NpUQSw" TargetMode="External"/><Relationship Id="rId1405" Type="http://schemas.openxmlformats.org/officeDocument/2006/relationships/hyperlink" Target="https://www.google.com/url?q=https://github.com/stefdasca/CompetitiveProgramming/blob/master/Infoarena/bile6.cpp&amp;sa=D&amp;ust=1605639832353000&amp;usg=AFQjCNFFbTi-1OMQpfj7j3jTVPvNCYfjjw" TargetMode="External"/><Relationship Id="rId1752" Type="http://schemas.openxmlformats.org/officeDocument/2006/relationships/hyperlink" Target="https://www.google.com/url?q=https://github.com/tmwilliamlin168/CompetitiveProgramming/blob/master/IOI/09-Mecho.cpp&amp;sa=D&amp;ust=1605639832458000&amp;usg=AFQjCNFBPe78G3NVqXQVGMlby48jy9zZIw" TargetMode="External"/><Relationship Id="rId2803" Type="http://schemas.openxmlformats.org/officeDocument/2006/relationships/hyperlink" Target="https://www.google.com/url?q=https://szkopul.edu.pl/problemset/problem/z8Vva6nazo2Cy3CF67kT6IWe/site/&amp;sa=D&amp;ust=1605639832787000&amp;usg=AFQjCNH_D50iKefR7bKEQfc7mptR3QWMkw" TargetMode="External"/><Relationship Id="rId44" Type="http://schemas.openxmlformats.org/officeDocument/2006/relationships/hyperlink" Target="https://www.google.com/url?q=https://oj.uz/problem/view/APIO14_sequence&amp;sa=D&amp;ust=1605639831962000&amp;usg=AFQjCNHPhYGFuFzG_RbXfiKlIG6a4SN8zg" TargetMode="External"/><Relationship Id="rId1612" Type="http://schemas.openxmlformats.org/officeDocument/2006/relationships/hyperlink" Target="https://www.google.com/url?q=https://github.com/mostafa-saad/MyCompetitiveProgramming/blob/master/Olympiad/infoarena/Infoarena_tricolor.txt&amp;sa=D&amp;ust=1605639832417000&amp;usg=AFQjCNG2bar3uAtJRomPE_8U5TAs67xMxQ" TargetMode="External"/><Relationship Id="rId1917" Type="http://schemas.openxmlformats.org/officeDocument/2006/relationships/hyperlink" Target="https://www.google.com/url?q=https://github.com/arvindr9/CompetitiveProgramming/blob/master/CSAcademy/IOI%2520Training%2520Rounds/IOIPractice%252016-balanced-string.cpp&amp;sa=D&amp;ust=1605639832513000&amp;usg=AFQjCNFCK4Ur_VjRM0oG8TQQsWFybndFEw" TargetMode="External"/><Relationship Id="rId193" Type="http://schemas.openxmlformats.org/officeDocument/2006/relationships/hyperlink" Target="https://www.google.com/url?q=https://cses.fi/113/list/&amp;sa=D&amp;ust=1605639832013000&amp;usg=AFQjCNHduE7COXHx-iQHGkovWhXwWEWc9A" TargetMode="External"/><Relationship Id="rId498" Type="http://schemas.openxmlformats.org/officeDocument/2006/relationships/hyperlink" Target="https://www.google.com/url?q=https://oj.uz/problems/source/120&amp;sa=D&amp;ust=1605639832106000&amp;usg=AFQjCNGjzk5MPphoncSPfK62kM7xjYKktA" TargetMode="External"/><Relationship Id="rId2081" Type="http://schemas.openxmlformats.org/officeDocument/2006/relationships/hyperlink" Target="https://www.google.com/url?q=https://oj.uz/problem/view/JOI14_factories&amp;sa=D&amp;ust=1605639832562000&amp;usg=AFQjCNF1MXObE_zu1hbv3AwL6XOZ_N0TrQ" TargetMode="External"/><Relationship Id="rId2179" Type="http://schemas.openxmlformats.org/officeDocument/2006/relationships/hyperlink" Target="https://www.google.com/url?q=https://github.com/tmwilliamlin168/CompetitiveProgramming/blob/master/JOI/17SC-Coach.cpp&amp;sa=D&amp;ust=1605639832606000&amp;usg=AFQjCNHlTskZ49KJRIlVnlWHVKEPmTNKTg" TargetMode="External"/><Relationship Id="rId260" Type="http://schemas.openxmlformats.org/officeDocument/2006/relationships/hyperlink" Target="https://www.google.com/url?q=https://github.com/mostafa-saad/MyCompetitiveProgramming/blob/master/Olympiad/Baltic/Baltic-13-pipes.txt&amp;sa=D&amp;ust=1605639832031000&amp;usg=AFQjCNGcHtm1PTPbq27zCa8LO1bL5eVVtg" TargetMode="External"/><Relationship Id="rId2386" Type="http://schemas.openxmlformats.org/officeDocument/2006/relationships/hyperlink" Target="https://www.google.com/url?q=https://github.com/mostafa-saad/MyCompetitiveProgramming/blob/master/Olympiad/NOI/official&amp;sa=D&amp;ust=1605639832667000&amp;usg=AFQjCNHMbf5v1We1Ch7yQJl3FzR3guiV8A" TargetMode="External"/><Relationship Id="rId2593" Type="http://schemas.openxmlformats.org/officeDocument/2006/relationships/hyperlink" Target="https://www.google.com/url?q=https://szkopul.edu.pl/problemset/problem/oSpFEpvAxKNk0Il-nOe5L9El/site/&amp;sa=D&amp;ust=1605639832736000&amp;usg=AFQjCNEfK67-1aOYQiEPSqsQ90YkyreNbw" TargetMode="External"/><Relationship Id="rId120" Type="http://schemas.openxmlformats.org/officeDocument/2006/relationships/hyperlink" Target="https://www.google.com/url?q=https://www.acmicpc.net/problem/11556&amp;sa=D&amp;ust=1605639831988000&amp;usg=AFQjCNE6qrJUm8BliVgNEgdS0-iOrPgBFg" TargetMode="External"/><Relationship Id="rId358" Type="http://schemas.openxmlformats.org/officeDocument/2006/relationships/hyperlink" Target="https://www.google.com/url?q=https://dmoj.ca/problem/mcco17p3&amp;sa=D&amp;ust=1605639832054000&amp;usg=AFQjCNEqzuHD2Yc8_qoupXOPQCF9FDQw8w" TargetMode="External"/><Relationship Id="rId565" Type="http://schemas.openxmlformats.org/officeDocument/2006/relationships/hyperlink" Target="https://www.google.com/url?q=https://github.com/mostafa-saad/MyCompetitiveProgramming/blob/master/Olympiad/CEOI/06-Bicikli.txt&amp;sa=D&amp;ust=1605639832123000&amp;usg=AFQjCNF_Qsr4U1z0IeGBDzfDQceOEhbMiA" TargetMode="External"/><Relationship Id="rId772" Type="http://schemas.openxmlformats.org/officeDocument/2006/relationships/hyperlink" Target="https://www.google.com/url?q=https://dmoj.ca/problem/coci08c2p2&amp;sa=D&amp;ust=1605639832168000&amp;usg=AFQjCNH88GXtG19L0ARPn6pg7J4cyEZP_w" TargetMode="External"/><Relationship Id="rId1195" Type="http://schemas.openxmlformats.org/officeDocument/2006/relationships/hyperlink" Target="https://www.google.com/url?q=https://github.com/dolphingarlic/CompetitiveProgramming/blob/master/COI/COCI%252020-putovanje.cpp&amp;sa=D&amp;ust=1605639832295000&amp;usg=AFQjCNFMvqB3jiZRHQ5Cf5zWefraiPnLxA" TargetMode="External"/><Relationship Id="rId2039" Type="http://schemas.openxmlformats.org/officeDocument/2006/relationships/hyperlink" Target="https://www.google.com/url?q=https://joi2016ho.contest.atcoder.jp/tasks/joi2016ho_d&amp;sa=D&amp;ust=1605639832550000&amp;usg=AFQjCNE9YoBujke7-_7Ax_hxuOynA70HsA" TargetMode="External"/><Relationship Id="rId2246" Type="http://schemas.openxmlformats.org/officeDocument/2006/relationships/hyperlink" Target="https://www.google.com/url?q=https://github.com/mostafa-saad/MyCompetitiveProgramming/tree/master/Olympiad/MCO/official/2015&amp;sa=D&amp;ust=1605639832628000&amp;usg=AFQjCNF_kHV1TB3Wsyz-b6rgAWFxdO4aIw" TargetMode="External"/><Relationship Id="rId2453" Type="http://schemas.openxmlformats.org/officeDocument/2006/relationships/hyperlink" Target="https://www.google.com/url?q=https://dunjudge.me/analysis/problems/1170/&amp;sa=D&amp;ust=1605639832697000&amp;usg=AFQjCNH-FR1455AQB3Vbb8gMSsM-2Tq1RA" TargetMode="External"/><Relationship Id="rId2660" Type="http://schemas.openxmlformats.org/officeDocument/2006/relationships/hyperlink" Target="https://www.google.com/url?q=https://github.com/mostafa-saad/MyCompetitiveProgramming/blob/master/Olympiad/POI/official/find_editorial_sols_guidelines.txt&amp;sa=D&amp;ust=1605639832750000&amp;usg=AFQjCNEeuy0c7BojsU1n-np6UoghjeFa5Q" TargetMode="External"/><Relationship Id="rId2898" Type="http://schemas.openxmlformats.org/officeDocument/2006/relationships/hyperlink" Target="https://www.google.com/url?q=https://training.ia-toki.org/problemsets/113/problems/632/&amp;sa=D&amp;ust=1605639832819000&amp;usg=AFQjCNHSs4fKB_QLiH2nxc9MHCYoXpxqzQ" TargetMode="External"/><Relationship Id="rId218" Type="http://schemas.openxmlformats.org/officeDocument/2006/relationships/hyperlink" Target="https://www.google.com/url?q=https://github.com/mostafa-saad/MyCompetitiveProgramming/blob/master/Olympiad/Baltic/Baltic-10-Candies.txt&amp;sa=D&amp;ust=1605639832019000&amp;usg=AFQjCNHQDJeoRm421PCwYKs5cZe85Wtjbg" TargetMode="External"/><Relationship Id="rId425" Type="http://schemas.openxmlformats.org/officeDocument/2006/relationships/hyperlink" Target="https://www.google.com/url?q=https://cses.fi/187/list/&amp;sa=D&amp;ust=1605639832084000&amp;usg=AFQjCNGD6TaVv8obH9PCVJvumIVPnodImQ" TargetMode="External"/><Relationship Id="rId632" Type="http://schemas.openxmlformats.org/officeDocument/2006/relationships/hyperlink" Target="https://www.google.com/url?q=https://dmoj.ca/problem/coci06c5p1&amp;sa=D&amp;ust=1605639832138000&amp;usg=AFQjCNGVN0AVdzKcV5KFxjzuXZmUGhRhkg" TargetMode="External"/><Relationship Id="rId1055" Type="http://schemas.openxmlformats.org/officeDocument/2006/relationships/hyperlink" Target="https://www.google.com/url?q=https://oj.uz/problem/view/COCI16_zoltan&amp;sa=D&amp;ust=1605639832247000&amp;usg=AFQjCNGus525lI--CQxkpYUQbzYDrssIpg" TargetMode="External"/><Relationship Id="rId1262" Type="http://schemas.openxmlformats.org/officeDocument/2006/relationships/hyperlink" Target="https://www.google.com/url?q=https://oj.uz/problem/view/COI15_sir&amp;sa=D&amp;ust=1605639832316000&amp;usg=AFQjCNG-Mx3tyqDPFiuhWkwIOUB6gT6b3Q" TargetMode="External"/><Relationship Id="rId2106" Type="http://schemas.openxmlformats.org/officeDocument/2006/relationships/hyperlink" Target="https://www.google.com/url?q=https://github.com/mostafa-saad/MyCompetitiveProgramming/blob/master/Olympiad/JOI/JOIOC-18-bubblesort2.txt&amp;sa=D&amp;ust=1605639832570000&amp;usg=AFQjCNFLuZ2szpiMCSROqPpxrf21wqiYyQ" TargetMode="External"/><Relationship Id="rId2313" Type="http://schemas.openxmlformats.org/officeDocument/2006/relationships/hyperlink" Target="https://www.google.com/url?q=https://dunjudge.me/analysis/problems/115/&amp;sa=D&amp;ust=1605639832649000&amp;usg=AFQjCNGhAYWn7uXPrd_Qjckwn_bsBZ9T5w" TargetMode="External"/><Relationship Id="rId2520" Type="http://schemas.openxmlformats.org/officeDocument/2006/relationships/hyperlink" Target="https://www.google.com/url?q=https://github.com/mostafa-saad/MyCompetitiveProgramming/blob/master/Olympiad/POI/official/find_editorial_sols_guidelines.txt&amp;sa=D&amp;ust=1605639832718000&amp;usg=AFQjCNH7PlNMsD7AL-HYbIaubliUBG_vmg" TargetMode="External"/><Relationship Id="rId2758" Type="http://schemas.openxmlformats.org/officeDocument/2006/relationships/hyperlink" Target="https://www.google.com/url?q=https://github.com/mostafa-saad/MyCompetitiveProgramming/blob/master/Olympiad/POI/POI-14-Supercomputer.txt&amp;sa=D&amp;ust=1605639832773000&amp;usg=AFQjCNHqsvyZiZyJwyY07y30xGxBhPMlgA" TargetMode="External"/><Relationship Id="rId2965" Type="http://schemas.openxmlformats.org/officeDocument/2006/relationships/hyperlink" Target="https://www.google.com/url?q=http://usaco.org/index.php?page%3Dviewproblem2%26cpid%3D866&amp;sa=D&amp;ust=1605639832842000&amp;usg=AFQjCNHPkLhgyciOr4wh7y5X3ZpHbUCLEg" TargetMode="External"/><Relationship Id="rId937" Type="http://schemas.openxmlformats.org/officeDocument/2006/relationships/hyperlink" Target="https://www.google.com/url?q=https://github.com/mostafa-saad/MyCompetitiveProgramming/blob/master/Olympiad/COCI/official/2015/contest6_solutions&amp;sa=D&amp;ust=1605639832217000&amp;usg=AFQjCNE5qLPVHLM40YDYbVivXGqh-Q521A" TargetMode="External"/><Relationship Id="rId1122" Type="http://schemas.openxmlformats.org/officeDocument/2006/relationships/hyperlink" Target="https://www.google.com/url?q=https://github.com/mostafa-saad/MyCompetitiveProgramming/blob/master/Olympiad/COCI/official/2017/contest6_solutions&amp;sa=D&amp;ust=1605639832264000&amp;usg=AFQjCNGJpomhbGCu7cBjCpG5zfoUKNM4sA" TargetMode="External"/><Relationship Id="rId1567" Type="http://schemas.openxmlformats.org/officeDocument/2006/relationships/hyperlink" Target="https://www.google.com/url?q=https://www.infoarena.ro/problema/porcjoc&amp;sa=D&amp;ust=1605639832403000&amp;usg=AFQjCNFIxY0C2k17faRBUIevz80KLOF4Rg" TargetMode="External"/><Relationship Id="rId1774" Type="http://schemas.openxmlformats.org/officeDocument/2006/relationships/hyperlink" Target="https://www.google.com/url?q=https://github.com/mostafa-saad/MyCompetitiveProgramming/blob/master/Olympiad/IOI/IOI-10-saveit.txt&amp;sa=D&amp;ust=1605639832463000&amp;usg=AFQjCNFM-MlynCqbxQlU2vvhw-q2TUM3Yw" TargetMode="External"/><Relationship Id="rId1981" Type="http://schemas.openxmlformats.org/officeDocument/2006/relationships/hyperlink" Target="https://www.google.com/url?q=https://github.com/mostafa-saad/MyCompetitiveProgramming/blob/master/Olympiad/IZhO/IZhO-14-blocks.txt&amp;sa=D&amp;ust=1605639832533000&amp;usg=AFQjCNEdyDNPEFE4PLRmXuj4P_bRAcTWTQ" TargetMode="External"/><Relationship Id="rId2618" Type="http://schemas.openxmlformats.org/officeDocument/2006/relationships/hyperlink" Target="https://www.google.com/url?q=https://github.com/mostafa-saad/MyCompetitiveProgramming/blob/master/Olympiad/POI/official/find_editorial_sols_guidelines.txt&amp;sa=D&amp;ust=1605639832740000&amp;usg=AFQjCNEYCkDWUkCj_WsMxb7J57ryftQsCQ" TargetMode="External"/><Relationship Id="rId2825" Type="http://schemas.openxmlformats.org/officeDocument/2006/relationships/hyperlink" Target="https://www.google.com/url?q=https://szkopul.edu.pl/problemset/problem/0KG8REkSLNnY5sVkm7Aei_R7/site/&amp;sa=D&amp;ust=1605639832795000&amp;usg=AFQjCNHONA1KEkkMfoGy50Gq3cIhcn_FJA" TargetMode="External"/><Relationship Id="rId66" Type="http://schemas.openxmlformats.org/officeDocument/2006/relationships/hyperlink" Target="https://www.google.com/url?q=https://oj.uz/problems/source/326&amp;sa=D&amp;ust=1605639831970000&amp;usg=AFQjCNHqYs5z_sZfmYur9BZDSMpDqAaf5A" TargetMode="External"/><Relationship Id="rId1427" Type="http://schemas.openxmlformats.org/officeDocument/2006/relationships/hyperlink" Target="https://www.google.com/url?q=https://www.infoarena.ro/problema/cladiri&amp;sa=D&amp;ust=1605639832358000&amp;usg=AFQjCNGw2qWYLUgmUhWM3DXGzRceVBKHBQ" TargetMode="External"/><Relationship Id="rId1634" Type="http://schemas.openxmlformats.org/officeDocument/2006/relationships/hyperlink" Target="https://www.google.com/url?q=https://oj.uz/problem/view/innopolis2018_final_B&amp;sa=D&amp;ust=1605639832424000&amp;usg=AFQjCNHsMbfY1H8A1bzQhmq_Ai_jfHpM_g" TargetMode="External"/><Relationship Id="rId1841" Type="http://schemas.openxmlformats.org/officeDocument/2006/relationships/hyperlink" Target="https://www.google.com/url?q=https://oj.uz/problem/view/IOI16_messy&amp;sa=D&amp;ust=1605639832489000&amp;usg=AFQjCNFDah_nms7QYlwe-l1f5kcoV5toTA" TargetMode="External"/><Relationship Id="rId1939" Type="http://schemas.openxmlformats.org/officeDocument/2006/relationships/hyperlink" Target="https://www.google.com/url?q=https://oj.uz/problem/view/IOI19_cycle&amp;sa=D&amp;ust=1605639832520000&amp;usg=AFQjCNHphNU2OQ3FMGQYI6QFcIjomAM6zQ" TargetMode="External"/><Relationship Id="rId1701" Type="http://schemas.openxmlformats.org/officeDocument/2006/relationships/hyperlink" Target="https://www.google.com/url?q=https://contest.yandex.ru/ioi/contest/566/enter/&amp;sa=D&amp;ust=1605639832443000&amp;usg=AFQjCNFa_7h7sUAR1mFQW1pHnVMOw7dHyg" TargetMode="External"/><Relationship Id="rId282" Type="http://schemas.openxmlformats.org/officeDocument/2006/relationships/hyperlink" Target="https://www.google.com/url?q=https://github.com/mostafa-saad/MyCompetitiveProgramming/blob/master/Olympiad/Baltic/Baltic-15-edi.txt&amp;sa=D&amp;ust=1605639832035000&amp;usg=AFQjCNF544qZsxn82bGLMhdWPvK7Bji3JQ" TargetMode="External"/><Relationship Id="rId587" Type="http://schemas.openxmlformats.org/officeDocument/2006/relationships/hyperlink" Target="https://www.google.com/url?q=https://github.com/mostafa-saad/MyCompetitiveProgramming/tree/master/Olympiad/COCI/official/2007/contest2_solutions&amp;sa=D&amp;ust=1605639832129000&amp;usg=AFQjCNEdv42RbaRRH5nN2Rq4ygs-rxPn7w" TargetMode="External"/><Relationship Id="rId2170" Type="http://schemas.openxmlformats.org/officeDocument/2006/relationships/hyperlink" Target="https://www.google.com/url?q=https://oj.uz/problem/view/JOI17_abduction2&amp;sa=D&amp;ust=1605639832603000&amp;usg=AFQjCNFay8838WRUDG1mdX4fNZ99KF4-KQ" TargetMode="External"/><Relationship Id="rId2268" Type="http://schemas.openxmlformats.org/officeDocument/2006/relationships/hyperlink" Target="https://www.google.com/url?q=https://codeforces.com/group/R2SERIff4f/contest/213171&amp;sa=D&amp;ust=1605639832636000&amp;usg=AFQjCNFvKB5ohzpIajDKLYJG5ZMXsQOcBw" TargetMode="External"/><Relationship Id="rId3014" Type="http://schemas.openxmlformats.org/officeDocument/2006/relationships/hyperlink" Target="https://www.google.com/url?q=https://dmoj.ca/problem/utso18p1&amp;sa=D&amp;ust=1605639832873000&amp;usg=AFQjCNHesyYLmTJcEnrdS1TfzNaMIvm49g" TargetMode="External"/><Relationship Id="rId8" Type="http://schemas.openxmlformats.org/officeDocument/2006/relationships/hyperlink" Target="https://www.google.com/url?q=https://github.com/mostafa-saad/MyCompetitiveProgramming/blob/master/Olympiad/APIO/APIO-08-Beads.txt&amp;sa=D&amp;ust=1605639831955000&amp;usg=AFQjCNFYKR01TwEI-dyK-4Hr6vYZR47v8Q" TargetMode="External"/><Relationship Id="rId142" Type="http://schemas.openxmlformats.org/officeDocument/2006/relationships/hyperlink" Target="https://www.google.com/url?q=https://csacademy.com/contest/balkan-oi-2017-day-1/&amp;sa=D&amp;ust=1605639831996000&amp;usg=AFQjCNH3WB8gklp9b8MTv26yHrvfUfmI0Q" TargetMode="External"/><Relationship Id="rId447" Type="http://schemas.openxmlformats.org/officeDocument/2006/relationships/hyperlink" Target="https://www.google.com/url?q=https://cses.fi/179/list/&amp;sa=D&amp;ust=1605639832092000&amp;usg=AFQjCNE0BT6FEdKy1TDJoyNMfV8POGthlQ" TargetMode="External"/><Relationship Id="rId794" Type="http://schemas.openxmlformats.org/officeDocument/2006/relationships/hyperlink" Target="https://www.google.com/url?q=https://wcipeg.com/problem/coci094p1&amp;sa=D&amp;ust=1605639832175000&amp;usg=AFQjCNGZABnlhxaq9v20hoUrguo5Ymxp0w" TargetMode="External"/><Relationship Id="rId1077" Type="http://schemas.openxmlformats.org/officeDocument/2006/relationships/hyperlink" Target="https://www.google.com/url?q=https://github.com/mostafa-saad/MyCompetitiveProgramming/blob/master/Olympiad/COCI/official/2017/contest7_solutions&amp;sa=D&amp;ust=1605639832253000&amp;usg=AFQjCNGdUXjs4NhZJVjl444V3ylkO02ysA" TargetMode="External"/><Relationship Id="rId2030" Type="http://schemas.openxmlformats.org/officeDocument/2006/relationships/hyperlink" Target="https://www.google.com/url?q=https://joi2015ho.contest.atcoder.jp/tasks/joi2015ho_c&amp;sa=D&amp;ust=1605639832548000&amp;usg=AFQjCNFifFFp-MFkcb3FgnNMm2YjIwsB8A" TargetMode="External"/><Relationship Id="rId2128" Type="http://schemas.openxmlformats.org/officeDocument/2006/relationships/hyperlink" Target="https://www.google.com/url?q=https://joisc2013-day4.contest.atcoder.jp/tasks/joisc2013_presents&amp;sa=D&amp;ust=1605639832580000&amp;usg=AFQjCNH5H5qJo6fKn5hqGjOINRej4TbG9w" TargetMode="External"/><Relationship Id="rId2475" Type="http://schemas.openxmlformats.org/officeDocument/2006/relationships/hyperlink" Target="https://www.google.com/url?q=https://training.ia-toki.org/problemsets/53/problems/255/&amp;sa=D&amp;ust=1605639832706000&amp;usg=AFQjCNFhZyKBA9aqMxU36_uGjFNUTiFGqQ" TargetMode="External"/><Relationship Id="rId2682" Type="http://schemas.openxmlformats.org/officeDocument/2006/relationships/hyperlink" Target="https://www.google.com/url?q=https://github.com/nikolapesic2802/Programming-Practice/blob/master/Temperature/main.cpp&amp;sa=D&amp;ust=1605639832753000&amp;usg=AFQjCNGyOyFUqWramOTWnz6TgHMEkdt9Lg" TargetMode="External"/><Relationship Id="rId2987" Type="http://schemas.openxmlformats.org/officeDocument/2006/relationships/hyperlink" Target="https://www.google.com/url?q=http://www.usaco.org/index.php?page%3Dviewproblem2%26cpid%3D974&amp;sa=D&amp;ust=1605639832862000&amp;usg=AFQjCNHJl13wEg798U-oNCRlg7q7sOBY6g" TargetMode="External"/><Relationship Id="rId654" Type="http://schemas.openxmlformats.org/officeDocument/2006/relationships/hyperlink" Target="https://www.google.com/url?q=https://dmoj.ca/problem/coci07c2p2&amp;sa=D&amp;ust=1605639832143000&amp;usg=AFQjCNGSnSCTe9t66QJYAK0FTBdDeSpnzQ" TargetMode="External"/><Relationship Id="rId861" Type="http://schemas.openxmlformats.org/officeDocument/2006/relationships/hyperlink" Target="https://www.google.com/url?q=https://dunjudge.me/analysis/problems/540/&amp;sa=D&amp;ust=1605639832197000&amp;usg=AFQjCNGVucXfhDpOV1RNSBgHxi9OxZOcTQ" TargetMode="External"/><Relationship Id="rId959" Type="http://schemas.openxmlformats.org/officeDocument/2006/relationships/hyperlink" Target="https://www.google.com/url?q=https://github.com/mostafa-saad/MyCompetitiveProgramming/blob/master/Olympiad/COCI/official/2015/contest4_solutions&amp;sa=D&amp;ust=1605639832223000&amp;usg=AFQjCNELk2CDG9m_n5vIoNmwTnqwa_25ng" TargetMode="External"/><Relationship Id="rId1284" Type="http://schemas.openxmlformats.org/officeDocument/2006/relationships/hyperlink" Target="https://www.google.com/url?q=https://oj.uz/problem/view/COI18_zagonetka&amp;sa=D&amp;ust=1605639832321000&amp;usg=AFQjCNHZgogBgDO5TWjSTEpx-8dU3RvRFg" TargetMode="External"/><Relationship Id="rId1491" Type="http://schemas.openxmlformats.org/officeDocument/2006/relationships/hyperlink" Target="https://www.google.com/url?q=https://github.com/stefdasca/CompetitiveProgramming/blob/master/Infoarena/kcover.cpp&amp;sa=D&amp;ust=1605639832377000&amp;usg=AFQjCNFSAJrqOadVje6EIpU0_Ugn_3DCUg" TargetMode="External"/><Relationship Id="rId1589" Type="http://schemas.openxmlformats.org/officeDocument/2006/relationships/hyperlink" Target="https://www.google.com/url?q=https://www.infoarena.ro/problema/secvbest&amp;sa=D&amp;ust=1605639832409000&amp;usg=AFQjCNGwwhnfTewdmqTfNPOag7UtVgIy7Q" TargetMode="External"/><Relationship Id="rId2335" Type="http://schemas.openxmlformats.org/officeDocument/2006/relationships/hyperlink" Target="https://www.google.com/url?q=https://github.com/win11905/submission/blob/master/NOI/12/modsum.cpp&amp;sa=D&amp;ust=1605639832655000&amp;usg=AFQjCNFq_6JNbgFO0-A3uHG9FshJP9qrVQ" TargetMode="External"/><Relationship Id="rId2542" Type="http://schemas.openxmlformats.org/officeDocument/2006/relationships/hyperlink" Target="https://www.google.com/url?q=https://github.com/mostafa-saad/MyCompetitiveProgramming/blob/master/Olympiad/POI/POI-06-Invasion.txt&amp;sa=D&amp;ust=1605639832724000&amp;usg=AFQjCNFsKNCClAtmaneuT-urZSjqJ_PrLg" TargetMode="External"/><Relationship Id="rId307" Type="http://schemas.openxmlformats.org/officeDocument/2006/relationships/hyperlink" Target="https://www.google.com/url?q=https://open.kattis.com/problem-sources/Baltic%2520Olympiad%2520in%2520Informatics%25202017%252C%2520Day%25201&amp;sa=D&amp;ust=1605639832040000&amp;usg=AFQjCNF0va6Q-fyD2I_xmkGuWZOGwn3J0A" TargetMode="External"/><Relationship Id="rId514" Type="http://schemas.openxmlformats.org/officeDocument/2006/relationships/hyperlink" Target="https://www.google.com/url?q=https://oj.uz/problem/view/CEOI16_kangaroo&amp;sa=D&amp;ust=1605639832112000&amp;usg=AFQjCNHuALKnh2z2lJVMotNB3RK07RW0_Q" TargetMode="External"/><Relationship Id="rId721" Type="http://schemas.openxmlformats.org/officeDocument/2006/relationships/hyperlink" Target="https://www.google.com/url?q=https://github.com/mostafa-saad/MyCompetitiveProgramming/blob/master/Olympiad/COCI/official/2009/contest6_solutions&amp;sa=D&amp;ust=1605639832156000&amp;usg=AFQjCNEIcgy3-JFDGwGgpC0PLfjWVb1jcA" TargetMode="External"/><Relationship Id="rId1144" Type="http://schemas.openxmlformats.org/officeDocument/2006/relationships/hyperlink" Target="https://www.google.com/url?q=https://oj.uz/problem/view/COCI18_magnus&amp;sa=D&amp;ust=1605639832273000&amp;usg=AFQjCNHOTmTpS-DtsDLj6vrglefiYFanhw" TargetMode="External"/><Relationship Id="rId1351" Type="http://schemas.openxmlformats.org/officeDocument/2006/relationships/hyperlink" Target="https://www.google.com/url?q=https://codeforces.com/group/swEqtABRxe/contest/243427/problem/A&amp;sa=D&amp;ust=1605639832340000&amp;usg=AFQjCNH5G-lkECo4XiZvczpBYck3Tl6M7Q" TargetMode="External"/><Relationship Id="rId1449" Type="http://schemas.openxmlformats.org/officeDocument/2006/relationships/hyperlink" Target="https://www.google.com/url?q=https://www.infoarena.ro/problema/curent&amp;sa=D&amp;ust=1605639832362000&amp;usg=AFQjCNHkC0kjw0vfXT2bb60U8OHjqrNSUg" TargetMode="External"/><Relationship Id="rId1796" Type="http://schemas.openxmlformats.org/officeDocument/2006/relationships/hyperlink" Target="https://www.google.com/url?q=https://github.com/mostafa-saad/MyCompetitiveProgramming/blob/master/Olympiad/IOI/IOI-12-scrivener.txt&amp;sa=D&amp;ust=1605639832474000&amp;usg=AFQjCNEGv-7lSdh-MqtJXx6rZxAHvFR9FA" TargetMode="External"/><Relationship Id="rId2402" Type="http://schemas.openxmlformats.org/officeDocument/2006/relationships/hyperlink" Target="https://www.google.com/url?q=https://dunjudge.me/analysis/problems/694/&amp;sa=D&amp;ust=1605639832674000&amp;usg=AFQjCNHM6ysFZ6aoapya8xRRmH2ffyumrg" TargetMode="External"/><Relationship Id="rId2847" Type="http://schemas.openxmlformats.org/officeDocument/2006/relationships/hyperlink" Target="https://www.google.com/url?q=https://github.com/tmwilliamlin168/CompetitiveProgramming/blob/master/POI/25-Polynomial.cpp&amp;sa=D&amp;ust=1605639832803000&amp;usg=AFQjCNFCSzN6WTgk3g-R_3DsvlshQOomZg" TargetMode="External"/><Relationship Id="rId88" Type="http://schemas.openxmlformats.org/officeDocument/2006/relationships/hyperlink" Target="https://www.google.com/url?q=https://www.acmicpc.net/problem/7081&amp;sa=D&amp;ust=1605639831977000&amp;usg=AFQjCNHqb4QCHIJ3qP25enUrkIWH9PccbQ" TargetMode="External"/><Relationship Id="rId819" Type="http://schemas.openxmlformats.org/officeDocument/2006/relationships/hyperlink" Target="https://www.google.com/url?q=https://wcipeg.com/problem/coci094p5&amp;sa=D&amp;ust=1605639832183000&amp;usg=AFQjCNEX8L0Qr8pJaII4fO6sxnWYSHJy0g" TargetMode="External"/><Relationship Id="rId1004" Type="http://schemas.openxmlformats.org/officeDocument/2006/relationships/hyperlink" Target="https://www.google.com/url?q=https://dmoj.ca/problem/coci15c3p3&amp;sa=D&amp;ust=1605639832235000&amp;usg=AFQjCNHqxNeHrtgyUB8hsGSg5y9ItnXvpQ" TargetMode="External"/><Relationship Id="rId1211" Type="http://schemas.openxmlformats.org/officeDocument/2006/relationships/hyperlink" Target="https://www.google.com/url?q=https://wcipeg.com/problem/coci087p3&amp;sa=D&amp;ust=1605639832301000&amp;usg=AFQjCNEZjTdmI41zihR7uz097VE4hHtO5A" TargetMode="External"/><Relationship Id="rId1656" Type="http://schemas.openxmlformats.org/officeDocument/2006/relationships/hyperlink" Target="https://www.google.com/url?q=https://github.com/mostafa-saad/MyCompetitiveProgramming/blob/master/Olympiad/IOI/IOI-01-depot.txt&amp;sa=D&amp;ust=1605639832431000&amp;usg=AFQjCNGhAjt53L_R6vQHhx1a5pYoMzbHmw" TargetMode="External"/><Relationship Id="rId1863" Type="http://schemas.openxmlformats.org/officeDocument/2006/relationships/hyperlink" Target="https://www.google.com/url?q=https://github.com/mostafa-saad/MyCompetitiveProgramming/blob/master/Olympiad/IOI/IOI-17-simurgh.txt&amp;sa=D&amp;ust=1605639832497000&amp;usg=AFQjCNEgpb7hU6LJAOztv7-xm5dS1c26uA" TargetMode="External"/><Relationship Id="rId2707" Type="http://schemas.openxmlformats.org/officeDocument/2006/relationships/hyperlink" Target="https://www.google.com/url?q=https://szkopul.edu.pl/problemset/problem/i3cF1qQtiXwmwOc_5qRB0ufC/site/&amp;sa=D&amp;ust=1605639832759000&amp;usg=AFQjCNFU1I5rzFxyWePFmgEFeue_5D4Y9w" TargetMode="External"/><Relationship Id="rId2914" Type="http://schemas.openxmlformats.org/officeDocument/2006/relationships/hyperlink" Target="https://www.google.com/url?q=http://usaco.org/index.php?page%3Dviewproblem2%26cpid%3D193&amp;sa=D&amp;ust=1605639832823000&amp;usg=AFQjCNGS16mvXlrBNs1Uk9Y_VYnslpry9w" TargetMode="External"/><Relationship Id="rId1309" Type="http://schemas.openxmlformats.org/officeDocument/2006/relationships/hyperlink" Target="https://www.google.com/url?q=https://dmoj.ca/problem/fibonacci2&amp;sa=D&amp;ust=1605639832327000&amp;usg=AFQjCNEgFwJVv4z3di90xrxb1PRauIKk-A" TargetMode="External"/><Relationship Id="rId1516" Type="http://schemas.openxmlformats.org/officeDocument/2006/relationships/hyperlink" Target="https://www.google.com/url?q=https://www.infoarena.ro/problema/mexc&amp;sa=D&amp;ust=1605639832385000&amp;usg=AFQjCNG1DB7UFIajHpqcCcYm5x6y_WFOWw" TargetMode="External"/><Relationship Id="rId1723" Type="http://schemas.openxmlformats.org/officeDocument/2006/relationships/hyperlink" Target="https://www.google.com/url?q=https://oj.uz/problem/view/IOI07_flood&amp;sa=D&amp;ust=1605639832450000&amp;usg=AFQjCNE67feRq9Yp8jAI1QwwZItVaj4ucQ" TargetMode="External"/><Relationship Id="rId1930" Type="http://schemas.openxmlformats.org/officeDocument/2006/relationships/hyperlink" Target="https://www.google.com/url?q=https://csacademy.com/contest/ioi-2016-training-round-3/task/telegraph/&amp;sa=D&amp;ust=1605639832517000&amp;usg=AFQjCNF-tvkmx075uYJlryH-85CkIozcBQ" TargetMode="External"/><Relationship Id="rId15" Type="http://schemas.openxmlformats.org/officeDocument/2006/relationships/hyperlink" Target="https://www.google.com/url?q=https://dunjudge.me/analysis/problems/559/&amp;sa=D&amp;ust=1605639831956000&amp;usg=AFQjCNGad3kniLlZQlnAD0Zw5-RfA_v4Wg" TargetMode="External"/><Relationship Id="rId2192" Type="http://schemas.openxmlformats.org/officeDocument/2006/relationships/hyperlink" Target="https://www.google.com/url?q=https://oj.uz/problem/view/JOI17_sparklers&amp;sa=D&amp;ust=1605639832609000&amp;usg=AFQjCNE97SPyf9FjV2HK1IQHoT7WdBCfQg" TargetMode="External"/><Relationship Id="rId164" Type="http://schemas.openxmlformats.org/officeDocument/2006/relationships/hyperlink" Target="https://www.google.com/url?q=https://github.com/mostafa-saad/MyCompetitiveProgramming/blob/master/Olympiad/Baltic/official/boi2005_solutions&amp;sa=D&amp;ust=1605639832004000&amp;usg=AFQjCNHhH9tce4rJAuedluMu3BMIiB8NcA" TargetMode="External"/><Relationship Id="rId371" Type="http://schemas.openxmlformats.org/officeDocument/2006/relationships/hyperlink" Target="https://www.google.com/url?q=https://github.com/mostafa-saad/MyCompetitiveProgramming/blob/master/Olympiad/CCO/CCOMock-17-Connection.txt&amp;sa=D&amp;ust=1605639832057000&amp;usg=AFQjCNGZt4Df-YpuSorPNp0-ssDzCD0VCQ" TargetMode="External"/><Relationship Id="rId2052" Type="http://schemas.openxmlformats.org/officeDocument/2006/relationships/hyperlink" Target="https://www.google.com/url?q=https://github.com/mostafa-saad/MyCompetitiveProgramming/blob/master/Olympiad/JOI/JOI-18-commuterpass.txt&amp;sa=D&amp;ust=1605639832554000&amp;usg=AFQjCNFrIA70L9e4F_wqGNOaHSxj5xythQ" TargetMode="External"/><Relationship Id="rId2497" Type="http://schemas.openxmlformats.org/officeDocument/2006/relationships/hyperlink" Target="https://www.google.com/url?q=https://szkopul.edu.pl/problemset/problem/uE3dNVOWuXj4SSOrCrNoFSgF/site/&amp;sa=D&amp;ust=1605639832713000&amp;usg=AFQjCNFeTT2kYDsyzo5LDI9q5iKk3T9Isw" TargetMode="External"/><Relationship Id="rId469" Type="http://schemas.openxmlformats.org/officeDocument/2006/relationships/hyperlink" Target="https://www.google.com/url?q=https://github.com/mostafa-saad/MyCompetitiveProgramming/blob/master/Olympiad/CEOI/CEOI-11-Teams.txt&amp;sa=D&amp;ust=1605639832098000&amp;usg=AFQjCNFhRyc5LGuVrz_zOOGC0neHaJT8Kw" TargetMode="External"/><Relationship Id="rId676" Type="http://schemas.openxmlformats.org/officeDocument/2006/relationships/hyperlink" Target="https://www.google.com/url?q=https://dmoj.ca/problem/coci07c4p4&amp;sa=D&amp;ust=1605639832147000&amp;usg=AFQjCNHRQaNkOjP_z0AbJl9IZI_l_sm2iQ" TargetMode="External"/><Relationship Id="rId883" Type="http://schemas.openxmlformats.org/officeDocument/2006/relationships/hyperlink" Target="https://www.google.com/url?q=https://dunjudge.me/analysis/problems/1360/&amp;sa=D&amp;ust=1605639832205000&amp;usg=AFQjCNGVQxB1Wm3RjKzOrk0z1Xs4QcVFaw" TargetMode="External"/><Relationship Id="rId1099" Type="http://schemas.openxmlformats.org/officeDocument/2006/relationships/hyperlink" Target="https://www.google.com/url?q=https://oj.uz/problem/view/COCI17_poklon7&amp;sa=D&amp;ust=1605639832258000&amp;usg=AFQjCNE_B3f5aQyBQtdy2aqbB0dyBDk2nQ" TargetMode="External"/><Relationship Id="rId2357" Type="http://schemas.openxmlformats.org/officeDocument/2006/relationships/hyperlink" Target="https://www.google.com/url?q=https://dunjudge.me/analysis/problems/705/&amp;sa=D&amp;ust=1605639832661000&amp;usg=AFQjCNGHNsW0nuUXixNVldBzCrCpPhyaJQ" TargetMode="External"/><Relationship Id="rId2564" Type="http://schemas.openxmlformats.org/officeDocument/2006/relationships/hyperlink" Target="https://www.google.com/url?q=https://github.com/mostafa-saad/MyCompetitiveProgramming/blob/master/Olympiad/POI/POI-07-Quaternary.txt&amp;sa=D&amp;ust=1605639832730000&amp;usg=AFQjCNEXntJdpu_LoX0pz_KZUOThWYp9Iw" TargetMode="External"/><Relationship Id="rId231" Type="http://schemas.openxmlformats.org/officeDocument/2006/relationships/hyperlink" Target="https://www.google.com/url?q=https://cses.fi/101/list/&amp;sa=D&amp;ust=1605639832024000&amp;usg=AFQjCNFWd8HGEcqR4ZQMkbiJZCYkVcoFug" TargetMode="External"/><Relationship Id="rId329" Type="http://schemas.openxmlformats.org/officeDocument/2006/relationships/hyperlink" Target="https://www.google.com/url?q=https://oj.uz/problem/view/BOI19_necklace1&amp;sa=D&amp;ust=1605639832046000&amp;usg=AFQjCNEw20N_LxrV1D9mGOvkQojDuAl2NA" TargetMode="External"/><Relationship Id="rId536" Type="http://schemas.openxmlformats.org/officeDocument/2006/relationships/hyperlink" Target="https://www.google.com/url?q=https://github.com/mostafa-saad/MyCompetitiveProgramming/blob/master/Olympiad/CEOI/CEOI-18-Cloud.txt&amp;sa=D&amp;ust=1605639832117000&amp;usg=AFQjCNGqC80iBANKLH1ZIk-zjjSmYACXlw" TargetMode="External"/><Relationship Id="rId1166" Type="http://schemas.openxmlformats.org/officeDocument/2006/relationships/hyperlink" Target="https://www.google.com/url?q=https://oj.uz/problem/view/COCI19_jarvis&amp;sa=D&amp;ust=1605639832282000&amp;usg=AFQjCNHaW9vcUtbakSbBxpt55Ypggqa-yQ" TargetMode="External"/><Relationship Id="rId1373" Type="http://schemas.openxmlformats.org/officeDocument/2006/relationships/hyperlink" Target="https://www.google.com/url?q=https://github.com/stefdasca/CompetitiveProgramming/blob/master/Info1Cup/National%2520Round/Subway%2520(Ro).pdf&amp;sa=D&amp;ust=1605639832346000&amp;usg=AFQjCNGVXUFvwftCdjglKXBAht9umzORcQ" TargetMode="External"/><Relationship Id="rId2217" Type="http://schemas.openxmlformats.org/officeDocument/2006/relationships/hyperlink" Target="https://www.google.com/url?q=https://oj.uz/problem/view/JOI19_cake3&amp;sa=D&amp;ust=1605639832618000&amp;usg=AFQjCNFgPjl4YleouNWIXX40U2MnjZbEJA" TargetMode="External"/><Relationship Id="rId2771" Type="http://schemas.openxmlformats.org/officeDocument/2006/relationships/hyperlink" Target="https://www.google.com/url?q=https://szkopul.edu.pl/problemset/problem/SbvfueoDtZe2DQFHrywTIakc/site/&amp;sa=D&amp;ust=1605639832776000&amp;usg=AFQjCNHlvHuoZVL6TDwTXPa33XjSAKIY5A" TargetMode="External"/><Relationship Id="rId2869" Type="http://schemas.openxmlformats.org/officeDocument/2006/relationships/hyperlink" Target="https://www.google.com/url?q=https://github.com/nikolapesic2802/Programming-Practice/blob/master/Remove%2520Update/main.cpp&amp;sa=D&amp;ust=1605639832810000&amp;usg=AFQjCNHO48LophxS7Uys_AXooZ0e775pjQ" TargetMode="External"/><Relationship Id="rId743" Type="http://schemas.openxmlformats.org/officeDocument/2006/relationships/hyperlink" Target="https://www.google.com/url?q=https://github.com/mostafa-saad/MyCompetitiveProgramming/blob/master/Olympiad/COCI/official/2009/contest3_solutions&amp;sa=D&amp;ust=1605639832161000&amp;usg=AFQjCNEJ-mG_VX6rIyI31OQJ2oYcrGeqCg" TargetMode="External"/><Relationship Id="rId950" Type="http://schemas.openxmlformats.org/officeDocument/2006/relationships/hyperlink" Target="https://www.google.com/url?q=https://github.com/mostafa-saad/MyCompetitiveProgramming/blob/master/Olympiad/COCI/official/2015/contest6_solutions&amp;sa=D&amp;ust=1605639832221000&amp;usg=AFQjCNFubwLlXvhR2qmpR0Fu4mhe0Nz0nQ" TargetMode="External"/><Relationship Id="rId1026" Type="http://schemas.openxmlformats.org/officeDocument/2006/relationships/hyperlink" Target="https://www.google.com/url?q=https://oj.uz/problem/view/COCI16_go&amp;sa=D&amp;ust=1605639832240000&amp;usg=AFQjCNHS7SBu24XAplfMxGg3DZMd36mhbg" TargetMode="External"/><Relationship Id="rId1580" Type="http://schemas.openxmlformats.org/officeDocument/2006/relationships/hyperlink" Target="https://www.google.com/url?q=https://github.com/mostafa-saad/MyCompetitiveProgramming/blob/master/Olympiad/infoarena/infoarena_regat.txt&amp;sa=D&amp;ust=1605639832407000&amp;usg=AFQjCNE3EfBS3_ETLMyNr6e-MrUQsOexPA" TargetMode="External"/><Relationship Id="rId1678" Type="http://schemas.openxmlformats.org/officeDocument/2006/relationships/hyperlink" Target="https://www.google.com/url?q=https://github.com/mostafa-saad/MyCompetitiveProgramming/blob/master/Olympiad/IOI/IOI-03-guess.txt&amp;sa=D&amp;ust=1605639832437000&amp;usg=AFQjCNGZCBxNJ_N0IxGNlHno0S0YkQ38YA" TargetMode="External"/><Relationship Id="rId1885" Type="http://schemas.openxmlformats.org/officeDocument/2006/relationships/hyperlink" Target="https://www.google.com/url?q=https://github.com/mostafa-saad/MyCompetitiveProgramming/tree/master/Olympiad/IOI/official/2019&amp;sa=D&amp;ust=1605639832503000&amp;usg=AFQjCNH6TUr0yK2vQy3b-_h0iibBSSvyIg" TargetMode="External"/><Relationship Id="rId2424" Type="http://schemas.openxmlformats.org/officeDocument/2006/relationships/hyperlink" Target="https://www.google.com/url?q=https://dunjudge.me/analysis/problems/185/&amp;sa=D&amp;ust=1605639832684000&amp;usg=AFQjCNErxkpyyB8DE-xKT9X0goyoPgwXLg" TargetMode="External"/><Relationship Id="rId2631" Type="http://schemas.openxmlformats.org/officeDocument/2006/relationships/hyperlink" Target="https://www.google.com/url?q=https://szkopul.edu.pl/problemset/problem/qDH9CkBHZKHY4vbKRBlXPrA7/site/&amp;sa=D&amp;ust=1605639832744000&amp;usg=AFQjCNFLuGJlvF68IZ7Ez9zQ9-i9-_z8rQ" TargetMode="External"/><Relationship Id="rId2729" Type="http://schemas.openxmlformats.org/officeDocument/2006/relationships/hyperlink" Target="https://www.google.com/url?q=https://github.com/mostafa-saad/MyCompetitiveProgramming/blob/master/Olympiad/POI/official/find_editorial_sols_guidelines.txt&amp;sa=D&amp;ust=1605639832763000&amp;usg=AFQjCNGwysCoGktU_qJWobivX-2deqctTw" TargetMode="External"/><Relationship Id="rId2936" Type="http://schemas.openxmlformats.org/officeDocument/2006/relationships/hyperlink" Target="https://www.google.com/url?q=https://github.com/updown2/OI-Practice/blob/master/USACO/2014-2015/January/Problem%25203%2520grass.cpp&amp;sa=D&amp;ust=1605639832831000&amp;usg=AFQjCNE_izXYgjzkoX5d6rZA8On-mkuCHA" TargetMode="External"/><Relationship Id="rId603" Type="http://schemas.openxmlformats.org/officeDocument/2006/relationships/hyperlink" Target="https://www.google.com/url?q=https://github.com/mostafa-saad/MyCompetitiveProgramming/tree/master/Olympiad/COCI/official/2007/contest1_solutions&amp;sa=D&amp;ust=1605639832132000&amp;usg=AFQjCNEQkFwoKb_kUIxmCJFKh0_lnvcIJg" TargetMode="External"/><Relationship Id="rId810" Type="http://schemas.openxmlformats.org/officeDocument/2006/relationships/hyperlink" Target="https://www.google.com/url?q=https://wcipeg.com/problem/coci093p1&amp;sa=D&amp;ust=1605639832179000&amp;usg=AFQjCNFBJ9rv6KBGZYc3ZE92_3BVNSNyAQ" TargetMode="External"/><Relationship Id="rId908" Type="http://schemas.openxmlformats.org/officeDocument/2006/relationships/hyperlink" Target="https://www.google.com/url?q=https://github.com/mostafa-saad/MyCompetitiveProgramming/blob/master/Olympiad/COCI/official/2014/contest1_solutions&amp;sa=D&amp;ust=1605639832210000&amp;usg=AFQjCNGAVEouF6cbhToKQC1uRXvW5qy7vA" TargetMode="External"/><Relationship Id="rId1233" Type="http://schemas.openxmlformats.org/officeDocument/2006/relationships/hyperlink" Target="https://www.google.com/url?q=https://wcipeg.com/problem/coi09p3&amp;sa=D&amp;ust=1605639832308000&amp;usg=AFQjCNEKQBhjJtO_wYZK2OQeTSXqMBjqpg" TargetMode="External"/><Relationship Id="rId1440" Type="http://schemas.openxmlformats.org/officeDocument/2006/relationships/hyperlink" Target="https://www.google.com/url?q=https://www.infoarena.ro/problema/cover&amp;sa=D&amp;ust=1605639832361000&amp;usg=AFQjCNE5aq8C42WCbVI7SBxpLCVCIIGJsA" TargetMode="External"/><Relationship Id="rId1538" Type="http://schemas.openxmlformats.org/officeDocument/2006/relationships/hyperlink" Target="https://www.google.com/url?q=https://www.infoarena.ro/problema/padurari&amp;sa=D&amp;ust=1605639832393000&amp;usg=AFQjCNGkePa-FzXLssutKVts6D0hTxOgJQ" TargetMode="External"/><Relationship Id="rId1300" Type="http://schemas.openxmlformats.org/officeDocument/2006/relationships/hyperlink" Target="https://www.google.com/url?q=https://cses.fi/231/task/B&amp;sa=D&amp;ust=1605639832324000&amp;usg=AFQjCNGXIFSHltyWItK32sE0i3VVAgtItQ" TargetMode="External"/><Relationship Id="rId1745" Type="http://schemas.openxmlformats.org/officeDocument/2006/relationships/hyperlink" Target="https://www.google.com/url?q=https://contest.yandex.ru/ioi/contest/568/enter/&amp;sa=D&amp;ust=1605639832456000&amp;usg=AFQjCNGUuKJP98-7mNUk-x5bPzEWI38jPQ" TargetMode="External"/><Relationship Id="rId1952" Type="http://schemas.openxmlformats.org/officeDocument/2006/relationships/hyperlink" Target="https://www.google.com/url?q=https://codeforces.com/group/swEqtABRxe/contest/227530/problem/B&amp;sa=D&amp;ust=1605639832523000&amp;usg=AFQjCNFkKiiFpXRwabgGffix6jmGOs1ajQ" TargetMode="External"/><Relationship Id="rId37" Type="http://schemas.openxmlformats.org/officeDocument/2006/relationships/hyperlink" Target="https://www.google.com/url?q=https://dunjudge.me/analysis/problems/437/&amp;sa=D&amp;ust=1605639831960000&amp;usg=AFQjCNEGXRoSOOaX7RpIy4_C_kwdTygk6Q" TargetMode="External"/><Relationship Id="rId1605" Type="http://schemas.openxmlformats.org/officeDocument/2006/relationships/hyperlink" Target="https://www.google.com/url?q=https://www.infoarena.ro/problema/struti&amp;sa=D&amp;ust=1605639832415000&amp;usg=AFQjCNGpKclnr5LmiJEn-kv9LcftHx_SCQ" TargetMode="External"/><Relationship Id="rId1812" Type="http://schemas.openxmlformats.org/officeDocument/2006/relationships/hyperlink" Target="https://www.google.com/url?q=https://github.com/mostafa-saad/MyCompetitiveProgramming/blob/master/Olympiad/IOI/IOI-14-friend.txt&amp;sa=D&amp;ust=1605639832479000&amp;usg=AFQjCNFKdUu0BQM3b0E49N7-vKjWlsOJJQ" TargetMode="External"/><Relationship Id="rId186" Type="http://schemas.openxmlformats.org/officeDocument/2006/relationships/hyperlink" Target="https://www.google.com/url?q=https://github.com/mostafa-saad/MyCompetitiveProgramming/blob/master/Olympiad/Baltic/official/boi2007_solutions&amp;sa=D&amp;ust=1605639832010000&amp;usg=AFQjCNFsXLhLu1vYVtuQ120F8D82l_Rgbw" TargetMode="External"/><Relationship Id="rId393" Type="http://schemas.openxmlformats.org/officeDocument/2006/relationships/hyperlink" Target="https://www.google.com/url?q=https://szkopul.edu.pl/problemset/problem/vQpjG0o3j0x3BQDNXpuciN3n/site/&amp;sa=D&amp;ust=1605639832073000&amp;usg=AFQjCNHXwP3K1fxneNOPNsCabbaj6c1Uwg" TargetMode="External"/><Relationship Id="rId2074" Type="http://schemas.openxmlformats.org/officeDocument/2006/relationships/hyperlink" Target="https://www.google.com/url?q=https://oj.uz/problem/view/JOI20_ho_t4&amp;sa=D&amp;ust=1605639832561000&amp;usg=AFQjCNFmv5Ke3QDL3gcZmSTMXCC5J212wg" TargetMode="External"/><Relationship Id="rId2281" Type="http://schemas.openxmlformats.org/officeDocument/2006/relationships/hyperlink" Target="https://www.google.com/url?q=https://dunjudge.me/analysis/problems/1496/&amp;sa=D&amp;ust=1605639832640000&amp;usg=AFQjCNE7Uv1sVKxyU6Xeio-KiXkAEBNZEA" TargetMode="External"/><Relationship Id="rId253" Type="http://schemas.openxmlformats.org/officeDocument/2006/relationships/hyperlink" Target="https://www.google.com/url?q=https://oj.uz/problem/view/BOI13_ballmachine&amp;sa=D&amp;ust=1605639832029000&amp;usg=AFQjCNGeoAApyEueJykSAxwiGzi-ppajUg" TargetMode="External"/><Relationship Id="rId460" Type="http://schemas.openxmlformats.org/officeDocument/2006/relationships/hyperlink" Target="https://www.google.com/url?q=https://github.com/mostafa-saad/MyCompetitiveProgramming/blob/master/Olympiad/CEOI/CEOI-10-Tower.txt&amp;sa=D&amp;ust=1605639832095000&amp;usg=AFQjCNFecgq_63T0Nj-0BwggH5SUIUKBlA" TargetMode="External"/><Relationship Id="rId698" Type="http://schemas.openxmlformats.org/officeDocument/2006/relationships/hyperlink" Target="https://www.google.com/url?q=https://dmoj.ca/problem/coci07c2p3&amp;sa=D&amp;ust=1605639832152000&amp;usg=AFQjCNFStRpuTPA2hNonfq04og93H-zuoA" TargetMode="External"/><Relationship Id="rId1090" Type="http://schemas.openxmlformats.org/officeDocument/2006/relationships/hyperlink" Target="https://www.google.com/url?q=https://github.com/mostafa-saad/MyCompetitiveProgramming/blob/master/Olympiad/COCI/COCI-17-osmosmjerka.txt&amp;sa=D&amp;ust=1605639832256000&amp;usg=AFQjCNHf9c7TQdk6Y-m0UnhQOpsPALJCcA" TargetMode="External"/><Relationship Id="rId2141" Type="http://schemas.openxmlformats.org/officeDocument/2006/relationships/hyperlink" Target="https://www.google.com/url?q=https://joisc2014.contest.atcoder.jp/tasks/joisc2014_b&amp;sa=D&amp;ust=1605639832589000&amp;usg=AFQjCNHvm2SEuFBr6S33mdJhRci7W74qjg" TargetMode="External"/><Relationship Id="rId2379" Type="http://schemas.openxmlformats.org/officeDocument/2006/relationships/hyperlink" Target="https://www.google.com/url?q=https://dunjudge.me/analysis/problems/1230/&amp;sa=D&amp;ust=1605639832665000&amp;usg=AFQjCNFfJbwoK27gpkzgSUkEZvmwRDlxNQ" TargetMode="External"/><Relationship Id="rId2586" Type="http://schemas.openxmlformats.org/officeDocument/2006/relationships/hyperlink" Target="https://www.google.com/url?q=https://github.com/mostafa-saad/MyCompetitiveProgramming/blob/master/Olympiad/POI/official/find_editorial_sols_guidelines.txt&amp;sa=D&amp;ust=1605639832734000&amp;usg=AFQjCNFAcDv_7amkngAUXozw_z22ZJ3Kew" TargetMode="External"/><Relationship Id="rId2793" Type="http://schemas.openxmlformats.org/officeDocument/2006/relationships/hyperlink" Target="https://www.google.com/url?q=https://szkopul.edu.pl/problemset/problem/dABzva_j1-BvzKMsyxkuRoue/site/&amp;sa=D&amp;ust=1605639832784000&amp;usg=AFQjCNFAsOkvuxHtV354OrYkF_CJBJKhpA" TargetMode="External"/><Relationship Id="rId113" Type="http://schemas.openxmlformats.org/officeDocument/2006/relationships/hyperlink" Target="https://www.google.com/url?q=https://github.com/mostafa-saad/MyCompetitiveProgramming/tree/master/Olympiad/Balkan/official/2012&amp;sa=D&amp;ust=1605639831986000&amp;usg=AFQjCNGQ75pPXjOlhJvg3OX7ZUwXi5n-uA" TargetMode="External"/><Relationship Id="rId320" Type="http://schemas.openxmlformats.org/officeDocument/2006/relationships/hyperlink" Target="https://www.google.com/url?q=https://github.com/mostafa-saad/MyCompetitiveProgramming/blob/master/Olympiad/Baltic/Baltic-18-MartianDNA.txt&amp;sa=D&amp;ust=1605639832043000&amp;usg=AFQjCNEeWWsXjqERyccl8wMi84Q-orWzLw" TargetMode="External"/><Relationship Id="rId558" Type="http://schemas.openxmlformats.org/officeDocument/2006/relationships/hyperlink" Target="https://www.google.com/url?q=https://oj.uz/problem/view/CEOI17_museum&amp;sa=D&amp;ust=1605639832122000&amp;usg=AFQjCNGiNGStMsEq45nwc1zoQSKFrXqR2w" TargetMode="External"/><Relationship Id="rId765" Type="http://schemas.openxmlformats.org/officeDocument/2006/relationships/hyperlink" Target="https://www.google.com/url?q=https://github.com/mostafa-saad/MyCompetitiveProgramming/blob/master/Olympiad/COCI/COCI-08-Periodni.txt&amp;sa=D&amp;ust=1605639832166000&amp;usg=AFQjCNHH8ROgTbhrZFAuXQvfuvFvPkLxiw" TargetMode="External"/><Relationship Id="rId972" Type="http://schemas.openxmlformats.org/officeDocument/2006/relationships/hyperlink" Target="https://www.google.com/url?q=https://oj.uz/problem/view/COCI14_studentsko&amp;sa=D&amp;ust=1605639832225000&amp;usg=AFQjCNF8gl19EelcJjQtvTXkdd3qyr7urA" TargetMode="External"/><Relationship Id="rId1188" Type="http://schemas.openxmlformats.org/officeDocument/2006/relationships/hyperlink" Target="https://www.google.com/url?q=https://oj.uz/problem/view/COCI19_titlovi&amp;sa=D&amp;ust=1605639832289000&amp;usg=AFQjCNFRvf9IeiXIZce49-13eoS33eDMBg" TargetMode="External"/><Relationship Id="rId1395" Type="http://schemas.openxmlformats.org/officeDocument/2006/relationships/hyperlink" Target="https://www.google.com/url?q=https://github.com/stefdasca/CompetitiveProgramming/blob/master/Infoarena/arb2.cpp&amp;sa=D&amp;ust=1605639832351000&amp;usg=AFQjCNGD0UTk7clByQQO8e9nURZC5lzVFQ" TargetMode="External"/><Relationship Id="rId2001" Type="http://schemas.openxmlformats.org/officeDocument/2006/relationships/hyperlink" Target="https://www.google.com/url?q=https://oj.uz/problem/view/IZhO18_nicegift&amp;sa=D&amp;ust=1605639832540000&amp;usg=AFQjCNEfIR6PbifEMwpx0_fIJmmqQZp01Q" TargetMode="External"/><Relationship Id="rId2239" Type="http://schemas.openxmlformats.org/officeDocument/2006/relationships/hyperlink" Target="https://www.google.com/url?q=https://dunjudge.me/analysis/problems/721/&amp;sa=D&amp;ust=1605639832626000&amp;usg=AFQjCNGsh1WKe6QVV79LQjDudqx5-AVjgQ" TargetMode="External"/><Relationship Id="rId2446" Type="http://schemas.openxmlformats.org/officeDocument/2006/relationships/hyperlink" Target="https://www.google.com/url?q=https://dunjudge.me/analysis/problems/934/&amp;sa=D&amp;ust=1605639832694000&amp;usg=AFQjCNHq8VMTerk_U3QPKnNRqKQItbrfhg" TargetMode="External"/><Relationship Id="rId2653" Type="http://schemas.openxmlformats.org/officeDocument/2006/relationships/hyperlink" Target="https://www.google.com/url?q=https://oj.uz/problem/view/POI11_pio&amp;sa=D&amp;ust=1605639832748000&amp;usg=AFQjCNG2eRLPJWQ9Id7zbyHwjq0XVKesvA" TargetMode="External"/><Relationship Id="rId2860" Type="http://schemas.openxmlformats.org/officeDocument/2006/relationships/hyperlink" Target="https://www.google.com/url?q=https://github.com/mostafa-saad/MyCompetitiveProgramming/blob/master/Olympiad/RMI/RMI-17-D1-Hangman-2.txt&amp;sa=D&amp;ust=1605639832806000&amp;usg=AFQjCNEHdehEzj3-5PwIqCmPCC6SNfDQFQ" TargetMode="External"/><Relationship Id="rId418" Type="http://schemas.openxmlformats.org/officeDocument/2006/relationships/hyperlink" Target="https://www.google.com/url?q=https://github.com/mostafa-saad/MyCompetitiveProgramming/blob/master/Olympiad/CEOI/CEOI-06-Meandian.txt&amp;sa=D&amp;ust=1605639832082000&amp;usg=AFQjCNFh1AEWJpCIeA5V8_JbxIOcZOpAww" TargetMode="External"/><Relationship Id="rId625" Type="http://schemas.openxmlformats.org/officeDocument/2006/relationships/hyperlink" Target="https://www.google.com/url?q=https://github.com/mostafa-saad/MyCompetitiveProgramming/blob/master/Olympiad/COCI/COCI-06-Straza.txt&amp;sa=D&amp;ust=1605639832136000&amp;usg=AFQjCNEW1rxffIRUS7-w1pQoa-e2-GjGCw" TargetMode="External"/><Relationship Id="rId832" Type="http://schemas.openxmlformats.org/officeDocument/2006/relationships/hyperlink" Target="https://www.google.com/url?q=https://dmoj.ca/problem/coci09c1p1&amp;sa=D&amp;ust=1605639832187000&amp;usg=AFQjCNEtg3zWTX9C0MVl4A6KRY-hyfFivw" TargetMode="External"/><Relationship Id="rId1048" Type="http://schemas.openxmlformats.org/officeDocument/2006/relationships/hyperlink" Target="https://www.google.com/url?q=https://oj.uz/problem/view/COCI16_tarifa&amp;sa=D&amp;ust=1605639832246000&amp;usg=AFQjCNEvW4WdjdgseXvWZicj0An1kYUF-A" TargetMode="External"/><Relationship Id="rId1255" Type="http://schemas.openxmlformats.org/officeDocument/2006/relationships/hyperlink" Target="https://www.google.com/url?q=https://github.com/tmwilliamlin168/CompetitiveProgramming/blob/master/COI/15-Koviance.cpp&amp;sa=D&amp;ust=1605639832314000&amp;usg=AFQjCNFub6H-B68JD9OKKDt9MST5f2jl9Q" TargetMode="External"/><Relationship Id="rId1462" Type="http://schemas.openxmlformats.org/officeDocument/2006/relationships/hyperlink" Target="https://www.google.com/url?q=http://infoarena.ro/problema/engineer&amp;sa=D&amp;ust=1605639832367000&amp;usg=AFQjCNHrWx9w-1FOLmJs4sZDbFJRa97mgQ" TargetMode="External"/><Relationship Id="rId2306" Type="http://schemas.openxmlformats.org/officeDocument/2006/relationships/hyperlink" Target="https://www.google.com/url?q=https://github.com/mostafa-saad/MyCompetitiveProgramming/blob/master/Olympiad/NOI/official&amp;sa=D&amp;ust=1605639832648000&amp;usg=AFQjCNHBivXXbG7FlY52J8yObjmCv43sKw" TargetMode="External"/><Relationship Id="rId2513" Type="http://schemas.openxmlformats.org/officeDocument/2006/relationships/hyperlink" Target="https://www.google.com/url?q=https://szkopul.edu.pl/problemset/problem/p5XIDH2wrPz6KrUOJCv2RjGq/site/&amp;sa=D&amp;ust=1605639832717000&amp;usg=AFQjCNHW0klHvKcRrI8Y5G2kiqVFfSVmJg" TargetMode="External"/><Relationship Id="rId2958" Type="http://schemas.openxmlformats.org/officeDocument/2006/relationships/hyperlink" Target="https://www.google.com/url?q=http://usaco.org/index.php?page%3Dviewproblem2%26cpid%3D744&amp;sa=D&amp;ust=1605639832840000&amp;usg=AFQjCNFjjUUA5kJrUrzN8-9AYixP0m1BRQ" TargetMode="External"/><Relationship Id="rId1115" Type="http://schemas.openxmlformats.org/officeDocument/2006/relationships/hyperlink" Target="https://www.google.com/url?q=https://oj.uz/problem/view/COCI17_sirni&amp;sa=D&amp;ust=1605639832262000&amp;usg=AFQjCNGtL0r0FSC9KiZe6-Bzixi210cspQ" TargetMode="External"/><Relationship Id="rId1322" Type="http://schemas.openxmlformats.org/officeDocument/2006/relationships/hyperlink" Target="https://www.google.com/url?q=https://dmoj.ca/problem/dmopc17c5p4&amp;sa=D&amp;ust=1605639832331000&amp;usg=AFQjCNHFxIQ0LQ1q4xINIvhCQhyGJGUY4w" TargetMode="External"/><Relationship Id="rId1767" Type="http://schemas.openxmlformats.org/officeDocument/2006/relationships/hyperlink" Target="https://www.google.com/url?q=https://oj.uz/problem/view/IOI10_maze&amp;sa=D&amp;ust=1605639832462000&amp;usg=AFQjCNGVGiu4sEbDi4GVdMI_vckquo6bwA" TargetMode="External"/><Relationship Id="rId1974" Type="http://schemas.openxmlformats.org/officeDocument/2006/relationships/hyperlink" Target="https://www.google.com/url?q=https://github.com/tmwilliamlin168/CompetitiveProgramming/blob/master/IZHO/13-Burrow.cpp&amp;sa=D&amp;ust=1605639832531000&amp;usg=AFQjCNF_uPQjMnOF_6Yo6odp2sjVNS2Ulg" TargetMode="External"/><Relationship Id="rId2720" Type="http://schemas.openxmlformats.org/officeDocument/2006/relationships/hyperlink" Target="https://www.google.com/url?q=https://github.com/mostafa-saad/MyCompetitiveProgramming/blob/master/Olympiad/POI/official/find_editorial_sols_guidelines.txt&amp;sa=D&amp;ust=1605639832761000&amp;usg=AFQjCNHxUuve8YlI3lyl_A8W0MP_v6uVTA" TargetMode="External"/><Relationship Id="rId2818" Type="http://schemas.openxmlformats.org/officeDocument/2006/relationships/hyperlink" Target="https://www.google.com/url?q=https://github.com/mostafa-saad/MyCompetitiveProgramming/blob/master/Olympiad/POI/official/find_editorial_sols_guidelines.txt&amp;sa=D&amp;ust=1605639832792000&amp;usg=AFQjCNFJiEzwQOJ20R51vVd5jV-u61d60g" TargetMode="External"/><Relationship Id="rId59" Type="http://schemas.openxmlformats.org/officeDocument/2006/relationships/hyperlink" Target="https://www.google.com/url?q=https://github.com/mostafa-saad/MyCompetitiveProgramming/blob/master/Olympiad/APIO/official/2017&amp;sa=D&amp;ust=1605639831966000&amp;usg=AFQjCNFAuaCSfHI8n5Iyw8UueX22MEsl2A" TargetMode="External"/><Relationship Id="rId1627" Type="http://schemas.openxmlformats.org/officeDocument/2006/relationships/hyperlink" Target="https://www.google.com/url?q=https://www.infoarena.ro/problema/zip&amp;sa=D&amp;ust=1605639832422000&amp;usg=AFQjCNF-D0VoP3UFqllqre3Njv61pq1YWg" TargetMode="External"/><Relationship Id="rId1834" Type="http://schemas.openxmlformats.org/officeDocument/2006/relationships/hyperlink" Target="https://www.google.com/url?q=https://github.com/mostafa-saad/MyCompetitiveProgramming/blob/master/Olympiad/IOI/IOI-15-towns.txt&amp;sa=D&amp;ust=1605639832487000&amp;usg=AFQjCNHXoEFSVvGy4xjHWiC_CZi3GN8-iQ" TargetMode="External"/><Relationship Id="rId2096" Type="http://schemas.openxmlformats.org/officeDocument/2006/relationships/hyperlink" Target="https://www.google.com/url?q=https://oj.uz/problems/source/213&amp;sa=D&amp;ust=1605639832567000&amp;usg=AFQjCNHp3J7PitlM7YsbyxH_k8SJ9Sbvsw" TargetMode="External"/><Relationship Id="rId1901" Type="http://schemas.openxmlformats.org/officeDocument/2006/relationships/hyperlink" Target="https://www.google.com/url?q=https://www.hackerrank.com/contests/ioi-2014-practice-contest-2/challenges&amp;sa=D&amp;ust=1605639832509000&amp;usg=AFQjCNEBuA6Gox_rfmcTN_6AtX7Nea03rA" TargetMode="External"/><Relationship Id="rId275" Type="http://schemas.openxmlformats.org/officeDocument/2006/relationships/hyperlink" Target="https://www.google.com/url?q=https://oj.uz/problem/view/BOI14_postmen&amp;sa=D&amp;ust=1605639832034000&amp;usg=AFQjCNG5g0PtjBLFU89veHSEXKC3VYo6NA" TargetMode="External"/><Relationship Id="rId482" Type="http://schemas.openxmlformats.org/officeDocument/2006/relationships/hyperlink" Target="https://www.google.com/url?q=https://oj.uz/problems/source/60&amp;sa=D&amp;ust=1605639832102000&amp;usg=AFQjCNFiCzA9VhKxt2lyF6PST3xnfLf72A" TargetMode="External"/><Relationship Id="rId2163" Type="http://schemas.openxmlformats.org/officeDocument/2006/relationships/hyperlink" Target="https://www.google.com/url?q=https://joisc2016.contest.atcoder.jp/tasks/joisc2016_e&amp;sa=D&amp;ust=1605639832599000&amp;usg=AFQjCNGp6eEFaoLTXpROWMxsBC6bzz5CpA" TargetMode="External"/><Relationship Id="rId2370" Type="http://schemas.openxmlformats.org/officeDocument/2006/relationships/hyperlink" Target="https://www.google.com/url?q=https://github.com/mostafa-saad/MyCompetitiveProgramming/blob/master/Olympiad/NOI/official&amp;sa=D&amp;ust=1605639832663000&amp;usg=AFQjCNGJYxZPGzN7IFVtrj0k0RQ1RqHt9w" TargetMode="External"/><Relationship Id="rId3007" Type="http://schemas.openxmlformats.org/officeDocument/2006/relationships/hyperlink" Target="https://www.google.com/url?q=http://www.usaco.org/index.php?page%3Dviewproblem2%26cpid%3D1021&amp;sa=D&amp;ust=1605639832870000&amp;usg=AFQjCNH9a9VuOUxT5EczjORQuQlOWYBIbg" TargetMode="External"/><Relationship Id="rId135" Type="http://schemas.openxmlformats.org/officeDocument/2006/relationships/hyperlink" Target="https://www.google.com/url?q=https://csacademy.com/contest/balkan-oi-2017-day-2/&amp;sa=D&amp;ust=1605639831994000&amp;usg=AFQjCNHBGjHwYCGGPMUYJNIcpuRT777quw" TargetMode="External"/><Relationship Id="rId342" Type="http://schemas.openxmlformats.org/officeDocument/2006/relationships/hyperlink" Target="https://www.google.com/url?q=https://open.kattis.com/problem-sources/Baltic%2520Olympiad%2520in%2520Informatics%25202017%252C%2520Warmup&amp;sa=D&amp;ust=1605639832049000&amp;usg=AFQjCNFje4RyfOo1ggzz1WFpdA-bfJsOnA" TargetMode="External"/><Relationship Id="rId787" Type="http://schemas.openxmlformats.org/officeDocument/2006/relationships/hyperlink" Target="https://www.google.com/url?q=https://github.com/mostafa-saad/MyCompetitiveProgramming/blob/master/Olympiad/COCI/official/2009/contest2_solutions&amp;sa=D&amp;ust=1605639832173000&amp;usg=AFQjCNHfMMxcecSlLftZgP5tRsP__65fNw" TargetMode="External"/><Relationship Id="rId994" Type="http://schemas.openxmlformats.org/officeDocument/2006/relationships/hyperlink" Target="https://www.google.com/url?q=https://github.com/mostafa-saad/MyCompetitiveProgramming/blob/master/Olympiad/COCI/official/2016/contest2_solutions&amp;sa=D&amp;ust=1605639832232000&amp;usg=AFQjCNHVV24QnJwXuOnk1w5htDP-TTwEQQ" TargetMode="External"/><Relationship Id="rId2023" Type="http://schemas.openxmlformats.org/officeDocument/2006/relationships/hyperlink" Target="https://www.google.com/url?q=https://joi2014ho.contest.atcoder.jp/tasks/joi2014ho5&amp;sa=D&amp;ust=1605639832545000&amp;usg=AFQjCNFCd58SAcSfvE8dyaejHselSjSIng" TargetMode="External"/><Relationship Id="rId2230" Type="http://schemas.openxmlformats.org/officeDocument/2006/relationships/hyperlink" Target="https://www.google.com/url?q=https://oj.uz/problem/view/JOI19_transportations&amp;sa=D&amp;ust=1605639832624000&amp;usg=AFQjCNG70xbEo5UlXQH0B6oZpRTVhBP8Qg" TargetMode="External"/><Relationship Id="rId2468" Type="http://schemas.openxmlformats.org/officeDocument/2006/relationships/hyperlink" Target="https://www.google.com/url?q=https://dunjudge.me/analysis/problems/1473/&amp;sa=D&amp;ust=1605639832704000&amp;usg=AFQjCNGu4DEtwd7xEyWeopy2z47aArV5JA" TargetMode="External"/><Relationship Id="rId2675" Type="http://schemas.openxmlformats.org/officeDocument/2006/relationships/hyperlink" Target="https://www.google.com/url?q=https://oj.uz/problem/view/POI11_rot&amp;sa=D&amp;ust=1605639832752000&amp;usg=AFQjCNFczOwbzr4_JMTI4F-a6rBHAmCg4g" TargetMode="External"/><Relationship Id="rId2882" Type="http://schemas.openxmlformats.org/officeDocument/2006/relationships/hyperlink" Target="https://www.google.com/url?q=https://csacademy.com/contest/round-78/task/xor-transform/&amp;sa=D&amp;ust=1605639832814000&amp;usg=AFQjCNHcLfBW3FC7luwP92j3yujEWxQ7Yw" TargetMode="External"/><Relationship Id="rId202" Type="http://schemas.openxmlformats.org/officeDocument/2006/relationships/hyperlink" Target="https://www.google.com/url?q=https://github.com/mostafa-saad/MyCompetitiveProgramming/blob/master/Olympiad/Baltic/Baltic-09-Beetles.txt&amp;sa=D&amp;ust=1605639832015000&amp;usg=AFQjCNFjIuQwmRT6ehn8JtL4Ka_S5jq-Lw" TargetMode="External"/><Relationship Id="rId647" Type="http://schemas.openxmlformats.org/officeDocument/2006/relationships/hyperlink" Target="https://www.google.com/url?q=https://github.com/mostafa-saad/MyCompetitiveProgramming/tree/master/Olympiad/COCI/official/2008/contest2_solutions&amp;sa=D&amp;ust=1605639832141000&amp;usg=AFQjCNHvENTnvZtki792EdwWuaYrz-HlkQ" TargetMode="External"/><Relationship Id="rId854" Type="http://schemas.openxmlformats.org/officeDocument/2006/relationships/hyperlink" Target="https://www.google.com/url?q=https://github.com/mostafa-saad/MyCompetitiveProgramming/blob/master/Olympiad/CEOI/COCI-09-snowwhite.txt&amp;sa=D&amp;ust=1605639832195000&amp;usg=AFQjCNGr9xdg7-g3pbj-sUeZiSgQP_GyKg" TargetMode="External"/><Relationship Id="rId1277" Type="http://schemas.openxmlformats.org/officeDocument/2006/relationships/hyperlink" Target="https://www.google.com/url?q=https://oj.uz/problem/view/COI17_trapezi&amp;sa=D&amp;ust=1605639832319000&amp;usg=AFQjCNEwk7sGw9R0EYMSd56SfPzQAaOIkw" TargetMode="External"/><Relationship Id="rId1484" Type="http://schemas.openxmlformats.org/officeDocument/2006/relationships/hyperlink" Target="https://www.google.com/url?q=https://www.infoarena.ro/problema/jap2&amp;sa=D&amp;ust=1605639832374000&amp;usg=AFQjCNEaDLtqjWouS98IDKUReV1l0TSROw" TargetMode="External"/><Relationship Id="rId1691" Type="http://schemas.openxmlformats.org/officeDocument/2006/relationships/hyperlink" Target="https://www.google.com/url?q=https://contest.yandex.ru/ioi/contest/560/enter/&amp;sa=D&amp;ust=1605639832441000&amp;usg=AFQjCNF1CPJcL9nVVq2vlEH9PTt3xWbF2g" TargetMode="External"/><Relationship Id="rId2328" Type="http://schemas.openxmlformats.org/officeDocument/2006/relationships/hyperlink" Target="https://www.google.com/url?q=https://dunjudge.me/analysis/problems/28/&amp;sa=D&amp;ust=1605639832654000&amp;usg=AFQjCNFxMI6IT-qG7akyXH5nq2395am1nw" TargetMode="External"/><Relationship Id="rId2535" Type="http://schemas.openxmlformats.org/officeDocument/2006/relationships/hyperlink" Target="https://www.google.com/url?q=https://szkopul.edu.pl/problemset/problem/YbQn6MpKAzvIhTNUXtp_ypXQ/site/&amp;sa=D&amp;ust=1605639832722000&amp;usg=AFQjCNEiuFFDQLlOvuIGkrlI8apkz6nuSA" TargetMode="External"/><Relationship Id="rId2742" Type="http://schemas.openxmlformats.org/officeDocument/2006/relationships/hyperlink" Target="https://www.google.com/url?q=https://github.com/mostafa-saad/MyCompetitiveProgramming/blob/master/Olympiad/POI/POI-14-Criminals.txt&amp;sa=D&amp;ust=1605639832766000&amp;usg=AFQjCNFcOtUbzYxi6c4I3J0P2lwOjuunFQ" TargetMode="External"/><Relationship Id="rId507" Type="http://schemas.openxmlformats.org/officeDocument/2006/relationships/hyperlink" Target="https://www.google.com/url?q=https://oj.uz/problem/view/CEOI15_nuclearia&amp;sa=D&amp;ust=1605639832109000&amp;usg=AFQjCNF-Xr4G8lWQydofGER8nvsIi5YKSQ" TargetMode="External"/><Relationship Id="rId714" Type="http://schemas.openxmlformats.org/officeDocument/2006/relationships/hyperlink" Target="https://www.google.com/url?q=https://dmoj.ca/problem/coci07c4p1&amp;sa=D&amp;ust=1605639832155000&amp;usg=AFQjCNGiq6YhDzgQGiEKNhn8S2ov95g2rQ" TargetMode="External"/><Relationship Id="rId921" Type="http://schemas.openxmlformats.org/officeDocument/2006/relationships/hyperlink" Target="https://www.google.com/url?q=https://dmoj.ca/problem/coci14c4p1&amp;sa=D&amp;ust=1605639832214000&amp;usg=AFQjCNEFTZHmTotQ7ousT7_e5hj69xejLQ" TargetMode="External"/><Relationship Id="rId1137" Type="http://schemas.openxmlformats.org/officeDocument/2006/relationships/hyperlink" Target="https://www.google.com/url?q=https://oj.uz/problem/view/COCI18_dostavljac&amp;sa=D&amp;ust=1605639832271000&amp;usg=AFQjCNF_XjwKe73e5SfLIeCvodecqUpVIQ" TargetMode="External"/><Relationship Id="rId1344" Type="http://schemas.openxmlformats.org/officeDocument/2006/relationships/hyperlink" Target="https://www.google.com/url?q=https://codeforces.com/group/swEqtABRxe/contest/243430/problem/A&amp;sa=D&amp;ust=1605639832338000&amp;usg=AFQjCNHY61ai4JMAhTpDH7fGb4W06iSQHw" TargetMode="External"/><Relationship Id="rId1551" Type="http://schemas.openxmlformats.org/officeDocument/2006/relationships/hyperlink" Target="https://www.google.com/url?q=https://github.com/mostafa-saad/MyCompetitiveProgramming/blob/master/Olympiad/infoarena/infoarena_perioada.txt&amp;sa=D&amp;ust=1605639832397000&amp;usg=AFQjCNGf4-HuCXGFZYWRRm6Z92QHqzzkxQ" TargetMode="External"/><Relationship Id="rId1789" Type="http://schemas.openxmlformats.org/officeDocument/2006/relationships/hyperlink" Target="https://www.google.com/url?q=https://oj.uz/problem/view/IOI12_city&amp;sa=D&amp;ust=1605639832472000&amp;usg=AFQjCNGf2jXP72GGsDWdWCFD9mz7pQP2Zg" TargetMode="External"/><Relationship Id="rId1996" Type="http://schemas.openxmlformats.org/officeDocument/2006/relationships/hyperlink" Target="https://www.google.com/url?q=https://oj.uz/problem/view/IZhO17_road&amp;sa=D&amp;ust=1605639832537000&amp;usg=AFQjCNEKvOhmUUMzbxx8RYw1NNa9t8Z7dw" TargetMode="External"/><Relationship Id="rId2602" Type="http://schemas.openxmlformats.org/officeDocument/2006/relationships/hyperlink" Target="https://www.google.com/url?q=https://github.com/mostafa-saad/MyCompetitiveProgramming/blob/master/Olympiad/POI/official/find_editorial_sols_guidelines.txt&amp;sa=D&amp;ust=1605639832738000&amp;usg=AFQjCNHYiKFtBeUG42yKDSY6asoT0h6FmQ" TargetMode="External"/><Relationship Id="rId50" Type="http://schemas.openxmlformats.org/officeDocument/2006/relationships/hyperlink" Target="https://www.google.com/url?q=https://oj.uz/problem/view/APIO15_skyscraper&amp;sa=D&amp;ust=1605639831963000&amp;usg=AFQjCNHD8_WHfeZMobNVqeg55LqRbM0zRg" TargetMode="External"/><Relationship Id="rId1204" Type="http://schemas.openxmlformats.org/officeDocument/2006/relationships/hyperlink" Target="https://www.google.com/url?q=https://github.com/mostafa-saad/MyCompetitiveProgramming/tree/master/Olympiad/COCI/official/2008/olympiad_solutions&amp;sa=D&amp;ust=1605639832299000&amp;usg=AFQjCNHdeLZDIPhqC7pqEiBXn2--Pbc_rQ" TargetMode="External"/><Relationship Id="rId1411" Type="http://schemas.openxmlformats.org/officeDocument/2006/relationships/hyperlink" Target="https://www.google.com/url?q=https://github.com/stefdasca/CompetitiveProgramming/blob/master/Infoarena/bvarcolaci.cpp&amp;sa=D&amp;ust=1605639832354000&amp;usg=AFQjCNECeEBElX7qYClzLWXKu2ZhxiKPuw" TargetMode="External"/><Relationship Id="rId1649" Type="http://schemas.openxmlformats.org/officeDocument/2006/relationships/hyperlink" Target="https://www.google.com/url?q=http://poj.org/problem?id%3D1160&amp;sa=D&amp;ust=1605639832428000&amp;usg=AFQjCNFyfc-eSK7epZMp55dw5PRlMoGVAw" TargetMode="External"/><Relationship Id="rId1856" Type="http://schemas.openxmlformats.org/officeDocument/2006/relationships/hyperlink" Target="https://www.google.com/url?q=https://oj.uz/problem/view/IOI17_coins&amp;sa=D&amp;ust=1605639832495000&amp;usg=AFQjCNF8FbO9Gr-lwKnE4W17RxJY6I7gww" TargetMode="External"/><Relationship Id="rId2907" Type="http://schemas.openxmlformats.org/officeDocument/2006/relationships/hyperlink" Target="https://www.google.com/url?q=http://usaco.org/index.php?page%3Dviewproblem2%26cpid%3D92&amp;sa=D&amp;ust=1605639832822000&amp;usg=AFQjCNFnxJADFgchM3eYZkCKf3ThNiK2Hg" TargetMode="External"/><Relationship Id="rId1509" Type="http://schemas.openxmlformats.org/officeDocument/2006/relationships/hyperlink" Target="https://www.google.com/url?q=https://github.com/mostafa-saad/MyCompetitiveProgramming/blob/master/Olympiad/infoarena/infoarena_matrice2.txt&amp;sa=D&amp;ust=1605639832383000&amp;usg=AFQjCNET0-jNQm86mH-75UOGo9pIFYMKQQ" TargetMode="External"/><Relationship Id="rId1716" Type="http://schemas.openxmlformats.org/officeDocument/2006/relationships/hyperlink" Target="https://www.google.com/url?q=https://github.com/mostafa-saad/MyCompetitiveProgramming/blob/master/Olympiad/IOI/IOI-06-points.txt&amp;sa=D&amp;ust=1605639832447000&amp;usg=AFQjCNGry0FNkdljh3P61GtrHFgLhwoEjQ" TargetMode="External"/><Relationship Id="rId1923" Type="http://schemas.openxmlformats.org/officeDocument/2006/relationships/hyperlink" Target="https://www.google.com/url?q=https://github.com/mostafa-saad/MyCompetitiveProgramming/blob/master/Olympiad/IOI/IOIPractice-16-increasing_subarrays.txt&amp;sa=D&amp;ust=1605639832516000&amp;usg=AFQjCNEvLix8kCvDy6_24oGGXzvYREYcOw" TargetMode="External"/><Relationship Id="rId297" Type="http://schemas.openxmlformats.org/officeDocument/2006/relationships/hyperlink" Target="https://www.google.com/url?q=https://oj.uz/problem/view/BOI16_spiral&amp;sa=D&amp;ust=1605639832039000&amp;usg=AFQjCNGylAiOMH8nbI33jRSgfekOymkFiA" TargetMode="External"/><Relationship Id="rId2185" Type="http://schemas.openxmlformats.org/officeDocument/2006/relationships/hyperlink" Target="https://www.google.com/url?q=https://github.com/nikolapesic2802/Programming-Practice/blob/master/Long%2520Mansion/main.cpp&amp;sa=D&amp;ust=1605639832607000&amp;usg=AFQjCNFmXB27buBMvL_MArFDc_-MoTB0lg" TargetMode="External"/><Relationship Id="rId2392" Type="http://schemas.openxmlformats.org/officeDocument/2006/relationships/hyperlink" Target="https://www.google.com/url?q=https://github.com/mostafa-saad/MyCompetitiveProgramming/blob/master/Olympiad/NOI/NOI-19-feast.txt&amp;sa=D&amp;ust=1605639832670000&amp;usg=AFQjCNHT8GLw5-Q3LBCE4I_YEH21shvDbg" TargetMode="External"/><Relationship Id="rId157" Type="http://schemas.openxmlformats.org/officeDocument/2006/relationships/hyperlink" Target="https://www.google.com/url?q=https://cses.fi/116/list/&amp;sa=D&amp;ust=1605639832002000&amp;usg=AFQjCNFHsvF-lVLbPqjVDvC65a1fwsLLMQ" TargetMode="External"/><Relationship Id="rId364" Type="http://schemas.openxmlformats.org/officeDocument/2006/relationships/hyperlink" Target="https://www.google.com/url?q=https://dmoj.ca/contest/cco18d1&amp;sa=D&amp;ust=1605639832056000&amp;usg=AFQjCNEBZZvtLe6g3M9xt3L5o7xIbTB-7A" TargetMode="External"/><Relationship Id="rId2045" Type="http://schemas.openxmlformats.org/officeDocument/2006/relationships/hyperlink" Target="https://www.google.com/url?q=https://oj.uz/problem/view/JOI17_rope&amp;sa=D&amp;ust=1605639832552000&amp;usg=AFQjCNGPVu9Un1nKgn1SkTPiIlQAOOIU3w" TargetMode="External"/><Relationship Id="rId2697" Type="http://schemas.openxmlformats.org/officeDocument/2006/relationships/hyperlink" Target="https://www.google.com/url?q=https://szkopul.edu.pl/problemset/problem/_qn633f6DVAHRkv0OX3LQaph/site/&amp;sa=D&amp;ust=1605639832757000&amp;usg=AFQjCNGrytMf8hNNI6haR8fK1ZiIKw2BfQ" TargetMode="External"/><Relationship Id="rId571" Type="http://schemas.openxmlformats.org/officeDocument/2006/relationships/hyperlink" Target="https://www.google.com/url?q=https://github.com/mostafa-saad/MyCompetitiveProgramming/blob/master/Olympiad/COCI/COCI-06-Debug.txt&amp;sa=D&amp;ust=1605639832125000&amp;usg=AFQjCNHH1iSSwIp5SHI-0qvLThLxPlgG2Q" TargetMode="External"/><Relationship Id="rId669" Type="http://schemas.openxmlformats.org/officeDocument/2006/relationships/hyperlink" Target="https://www.google.com/url?q=https://github.com/mostafa-saad/MyCompetitiveProgramming/blob/master/Olympiad/COCI/COCI-07-Kemija.txt&amp;sa=D&amp;ust=1605639832146000&amp;usg=AFQjCNGVE8w2JaQHI1XUmWVrZJhrS-anVg" TargetMode="External"/><Relationship Id="rId876" Type="http://schemas.openxmlformats.org/officeDocument/2006/relationships/hyperlink" Target="https://www.google.com/url?q=https://github.com/mostafa-saad/MyCompetitiveProgramming/blob/master/Olympiad/COCI/official/2013/contest5_solutions&amp;sa=D&amp;ust=1605639832202000&amp;usg=AFQjCNGQBUYVEDIAoGho-eWWFGdJSGu6fw" TargetMode="External"/><Relationship Id="rId1299" Type="http://schemas.openxmlformats.org/officeDocument/2006/relationships/hyperlink" Target="https://www.google.com/url?q=https://github.com/nikolapesic2802/Programming-Practice/blob/master/Bit%2520problem/main.cpp&amp;sa=D&amp;ust=1605639832324000&amp;usg=AFQjCNEcDT4aEkSQAiDYHycuGQ5esTrFwA" TargetMode="External"/><Relationship Id="rId2252" Type="http://schemas.openxmlformats.org/officeDocument/2006/relationships/hyperlink" Target="https://www.google.com/url?q=https://github.com/mostafa-saad/MyCompetitiveProgramming/tree/master/Olympiad/MCO/official&amp;sa=D&amp;ust=1605639832630000&amp;usg=AFQjCNHT9HcZiZtiEJCAwmzXnwLAqW6EsQ" TargetMode="External"/><Relationship Id="rId2557" Type="http://schemas.openxmlformats.org/officeDocument/2006/relationships/hyperlink" Target="https://www.google.com/url?q=https://szkopul.edu.pl/problemset/problem/big2NUEzhdCqgGj0wGBjbw14/site/&amp;sa=D&amp;ust=1605639832728000&amp;usg=AFQjCNHORZIKUeXkPKQwCdjGCOWk1bFXuA" TargetMode="External"/><Relationship Id="rId224" Type="http://schemas.openxmlformats.org/officeDocument/2006/relationships/hyperlink" Target="https://www.google.com/url?q=https://github.com/mostafa-saad/MyCompetitiveProgramming/blob/master/Olympiad/Baltic/Baltic-10-PCB.txt&amp;sa=D&amp;ust=1605639832022000&amp;usg=AFQjCNFxIxbBKlqY1cRmSP-MYCi19R9aSw" TargetMode="External"/><Relationship Id="rId431" Type="http://schemas.openxmlformats.org/officeDocument/2006/relationships/hyperlink" Target="https://www.google.com/url?q=https://cses.fi/190/list/&amp;sa=D&amp;ust=1605639832087000&amp;usg=AFQjCNGaeZEpTu0eUF0BWh6QypchvlnG9g" TargetMode="External"/><Relationship Id="rId529" Type="http://schemas.openxmlformats.org/officeDocument/2006/relationships/hyperlink" Target="https://www.google.com/url?q=https://github.com/mostafa-saad/MyCompetitiveProgramming/tree/master/Olympiad/JOI/CEOI/official/2017&amp;sa=D&amp;ust=1605639832115000&amp;usg=AFQjCNGoI_Bn0yNewCdNC2V_4QM65o213Q" TargetMode="External"/><Relationship Id="rId736" Type="http://schemas.openxmlformats.org/officeDocument/2006/relationships/hyperlink" Target="https://www.google.com/url?q=https://dmoj.ca/problem/coci08c5p2&amp;sa=D&amp;ust=1605639832159000&amp;usg=AFQjCNH0F7vpKZqw92XSRkCP7bvfeXjMxg" TargetMode="External"/><Relationship Id="rId1061" Type="http://schemas.openxmlformats.org/officeDocument/2006/relationships/hyperlink" Target="https://www.google.com/url?q=https://oj.uz/problem/view/COCI17_bridz&amp;sa=D&amp;ust=1605639832248000&amp;usg=AFQjCNGdAqFKRuYrDWLk5MU1h6DGSIgGZA" TargetMode="External"/><Relationship Id="rId1159" Type="http://schemas.openxmlformats.org/officeDocument/2006/relationships/hyperlink" Target="https://www.google.com/url?q=https://oj.uz/problem/view/COCI18_timovi&amp;sa=D&amp;ust=1605639832279000&amp;usg=AFQjCNGmDRhBDQjZpQAp_sj0kXhLxB9v1g" TargetMode="External"/><Relationship Id="rId1366" Type="http://schemas.openxmlformats.org/officeDocument/2006/relationships/hyperlink" Target="https://www.google.com/url?q=https://oj.uz/problem/view/info1cup18_palindromes&amp;sa=D&amp;ust=1605639832345000&amp;usg=AFQjCNGB4hVRGqJK2XWY6MJsX5hjNQ1feg" TargetMode="External"/><Relationship Id="rId2112" Type="http://schemas.openxmlformats.org/officeDocument/2006/relationships/hyperlink" Target="https://www.google.com/url?q=https://github.com/mostafa-saad/MyCompetitiveProgramming/blob/master/Olympiad/JOI/JOIOC-18-Xylophone.txt&amp;sa=D&amp;ust=1605639832572000&amp;usg=AFQjCNFaTkHBKk5YYiK0gDNcOGwtI5NlbA" TargetMode="External"/><Relationship Id="rId2417" Type="http://schemas.openxmlformats.org/officeDocument/2006/relationships/hyperlink" Target="https://www.google.com/url?q=https://dunjudge.me/analysis/problems/86/&amp;sa=D&amp;ust=1605639832681000&amp;usg=AFQjCNFyutsVlnerZ8QpII0g7NUmpFMC8Q" TargetMode="External"/><Relationship Id="rId2764" Type="http://schemas.openxmlformats.org/officeDocument/2006/relationships/hyperlink" Target="https://www.google.com/url?q=https://github.com/mostafa-saad/MyCompetitiveProgramming/blob/master/Olympiad/POI/official/find_editorial_sols_guidelines.txt&amp;sa=D&amp;ust=1605639832774000&amp;usg=AFQjCNFwVZ2kMdpb7dLDFLIz1syJ9rVFNQ" TargetMode="External"/><Relationship Id="rId2971" Type="http://schemas.openxmlformats.org/officeDocument/2006/relationships/hyperlink" Target="https://www.google.com/url?q=http://usaco.org/index.php?page%3Dviewproblem2%26cpid%3D816&amp;sa=D&amp;ust=1605639832844000&amp;usg=AFQjCNGwI7TzwTXWJ_Eg-XJ2h35SAkCIaA" TargetMode="External"/><Relationship Id="rId943" Type="http://schemas.openxmlformats.org/officeDocument/2006/relationships/hyperlink" Target="https://www.google.com/url?q=https://github.com/mostafa-saad/MyCompetitiveProgramming/blob/master/Olympiad/COCI/official/2015/contest6_solutions&amp;sa=D&amp;ust=1605639832219000&amp;usg=AFQjCNG2aeBRoTNXBfUV_TKlHU8n30uzuQ" TargetMode="External"/><Relationship Id="rId1019" Type="http://schemas.openxmlformats.org/officeDocument/2006/relationships/hyperlink" Target="https://www.google.com/url?q=https://oj.uz/problem/view/COCI15_vudu&amp;sa=D&amp;ust=1605639832239000&amp;usg=AFQjCNFqAS_wE22HC42Gd7WkFCTXQnEU1A" TargetMode="External"/><Relationship Id="rId1573" Type="http://schemas.openxmlformats.org/officeDocument/2006/relationships/hyperlink" Target="https://www.google.com/url?q=https://www.infoarena.ro/problema/puncte&amp;sa=D&amp;ust=1605639832405000&amp;usg=AFQjCNHU5YZmqsX_TSdA87j8qmnQ8ocu5A" TargetMode="External"/><Relationship Id="rId1780" Type="http://schemas.openxmlformats.org/officeDocument/2006/relationships/hyperlink" Target="https://www.google.com/url?q=https://github.com/mostafa-saad/MyCompetitiveProgramming/blob/master/Olympiad/IOI/IOI-11-elephants.txt&amp;sa=D&amp;ust=1605639832465000&amp;usg=AFQjCNFDZNr95-UEZDBv_iz7YIPKpyRVvw" TargetMode="External"/><Relationship Id="rId1878" Type="http://schemas.openxmlformats.org/officeDocument/2006/relationships/hyperlink" Target="https://www.google.com/url?q=https://oj.uz/problem/view/IOI18_werewolf&amp;sa=D&amp;ust=1605639832501000&amp;usg=AFQjCNEJQCVKgpsNR20Yz_xNnVLcvxjRGw" TargetMode="External"/><Relationship Id="rId2624" Type="http://schemas.openxmlformats.org/officeDocument/2006/relationships/hyperlink" Target="https://www.google.com/url?q=https://github.com/peon-pasado/CompetitiveProgramming/blob/master/szkoput/POI-10-Beads.cpp&amp;sa=D&amp;ust=1605639832743000&amp;usg=AFQjCNGXlNJTGZthSnG-XUZzL141gREeMQ" TargetMode="External"/><Relationship Id="rId2831" Type="http://schemas.openxmlformats.org/officeDocument/2006/relationships/hyperlink" Target="https://www.google.com/url?q=https://szkopul.edu.pl/problemset/problem/lR_LabSUC2n7EMmDHpw-wk_b/site/&amp;sa=D&amp;ust=1605639832797000&amp;usg=AFQjCNFsGLulm5fL5D3cW0TzBy75s4lPDg" TargetMode="External"/><Relationship Id="rId2929" Type="http://schemas.openxmlformats.org/officeDocument/2006/relationships/hyperlink" Target="https://www.google.com/url?q=http://usaco.org/index.php?page%3Dviewproblem2%26cpid%3D533&amp;sa=D&amp;ust=1605639832829000&amp;usg=AFQjCNEtu7vRwSl7v8vupfiacfbj32cG3w" TargetMode="External"/><Relationship Id="rId72" Type="http://schemas.openxmlformats.org/officeDocument/2006/relationships/hyperlink" Target="https://www.google.com/url?q=https://codeforces.com/gym/102257/&amp;sa=D&amp;ust=1605639831972000&amp;usg=AFQjCNGOY3MEPOpaB8luOATXF-cie2cO1Q" TargetMode="External"/><Relationship Id="rId803" Type="http://schemas.openxmlformats.org/officeDocument/2006/relationships/hyperlink" Target="https://www.google.com/url?q=https://github.com/mostafa-saad/MyCompetitiveProgramming/blob/master/Olympiad/COCI/official/2010/contest1_solutions&amp;sa=D&amp;ust=1605639832177000&amp;usg=AFQjCNEzzceL-Fk8qwvNPwZaZvH2A4-KIg" TargetMode="External"/><Relationship Id="rId1226" Type="http://schemas.openxmlformats.org/officeDocument/2006/relationships/hyperlink" Target="https://www.google.com/url?q=https://github.com/mostafa-saad/MyCompetitiveProgramming/blob/master/Olympiad/COCI/official/2009/regional_solutions&amp;sa=D&amp;ust=1605639832306000&amp;usg=AFQjCNEbVnRfAFDzHk7ZoFO5cygyFAJK4A" TargetMode="External"/><Relationship Id="rId1433" Type="http://schemas.openxmlformats.org/officeDocument/2006/relationships/hyperlink" Target="https://www.google.com/url?q=https://www.infoarena.ro/problema/color5&amp;sa=D&amp;ust=1605639832359000&amp;usg=AFQjCNGX1FchLeTgUfZWGZzb578Ag6XeOA" TargetMode="External"/><Relationship Id="rId1640" Type="http://schemas.openxmlformats.org/officeDocument/2006/relationships/hyperlink" Target="https://www.google.com/url?q=https://dunjudge.me/analysis/problems/1233/&amp;sa=D&amp;ust=1605639832426000&amp;usg=AFQjCNEpbZX8gqXYPDf9dpDYBZ88ZQariA" TargetMode="External"/><Relationship Id="rId1738" Type="http://schemas.openxmlformats.org/officeDocument/2006/relationships/hyperlink" Target="https://www.google.com/url?q=https://github.com/mostafa-saad/MyCompetitiveProgramming/blob/master/Olympiad/IOI/IOI-08-linear.txt&amp;sa=D&amp;ust=1605639832454000&amp;usg=AFQjCNEG_6S9aIFzvCBfkd1s_fJabsH_4A" TargetMode="External"/><Relationship Id="rId1500" Type="http://schemas.openxmlformats.org/officeDocument/2006/relationships/hyperlink" Target="https://www.google.com/url?q=https://www.infoarena.ro/problema/lcdr&amp;sa=D&amp;ust=1605639832380000&amp;usg=AFQjCNFw41ckW_NGD0YqtTkxON2L_TqiJQ" TargetMode="External"/><Relationship Id="rId1945" Type="http://schemas.openxmlformats.org/officeDocument/2006/relationships/hyperlink" Target="https://www.google.com/url?q=https://oj.uz/problem/view/IOI19_transfer&amp;sa=D&amp;ust=1605639832522000&amp;usg=AFQjCNG3EcVTqRMziJSlqRU38TKT17ZzwA" TargetMode="External"/><Relationship Id="rId1805" Type="http://schemas.openxmlformats.org/officeDocument/2006/relationships/hyperlink" Target="https://www.google.com/url?q=https://oj.uz/problem/view/IOI13_game&amp;sa=D&amp;ust=1605639832477000&amp;usg=AFQjCNFKM2sgWFE3Vksd6_Di5a6PZeaKJg" TargetMode="External"/><Relationship Id="rId179" Type="http://schemas.openxmlformats.org/officeDocument/2006/relationships/hyperlink" Target="https://www.google.com/url?q=https://cses.fi/112/list/&amp;sa=D&amp;ust=1605639832008000&amp;usg=AFQjCNEVZecXvQSAIwgcQneA0Kr7fLE-Pw" TargetMode="External"/><Relationship Id="rId386" Type="http://schemas.openxmlformats.org/officeDocument/2006/relationships/hyperlink" Target="https://www.google.com/url?q=https://github.com/mostafa-saad/MyCompetitiveProgramming/blob/master/Olympiad/CEOI/CEOI-03-Therace.txt&amp;sa=D&amp;ust=1605639832071000&amp;usg=AFQjCNHjT19YCEURW5z9l5wlHNj0_nw9ew" TargetMode="External"/><Relationship Id="rId593" Type="http://schemas.openxmlformats.org/officeDocument/2006/relationships/hyperlink" Target="https://www.google.com/url?q=https://github.com/mostafa-saad/MyCompetitiveProgramming/tree/master/Olympiad/COCI/official/2007/contest6_solutions&amp;sa=D&amp;ust=1605639832130000&amp;usg=AFQjCNGuQiFOODJCz0PWEGmaxkprXgqsBg" TargetMode="External"/><Relationship Id="rId2067" Type="http://schemas.openxmlformats.org/officeDocument/2006/relationships/hyperlink" Target="https://www.google.com/url?q=https://github.com/mostafa-saad/MyCompetitiveProgramming/blob/master/Olympiad/JOI/JOI-20-CollectingStamps3.txt&amp;sa=D&amp;ust=1605639832559000&amp;usg=AFQjCNFDhY0ETlYAcs2dMjqt3F2QCq7Ptw" TargetMode="External"/><Relationship Id="rId2274" Type="http://schemas.openxmlformats.org/officeDocument/2006/relationships/hyperlink" Target="https://www.google.com/url?q=https://dunjudge.me/analysis/problems/973/&amp;sa=D&amp;ust=1605639832638000&amp;usg=AFQjCNHmyVasbUTS5qTUXHFMqA8ovc7Hpg" TargetMode="External"/><Relationship Id="rId2481" Type="http://schemas.openxmlformats.org/officeDocument/2006/relationships/hyperlink" Target="https://www.google.com/url?q=https://szkopul.edu.pl/problemset/problem/cKsx92et8fGp6MOzI2HTNmQY/site/&amp;sa=D&amp;ust=1605639832708000&amp;usg=AFQjCNHCCPyjIU63CClWLYpM6Dsyv8YqIw" TargetMode="External"/><Relationship Id="rId246" Type="http://schemas.openxmlformats.org/officeDocument/2006/relationships/hyperlink" Target="https://www.google.com/url?q=https://cses.fi/99/list/&amp;sa=D&amp;ust=1605639832027000&amp;usg=AFQjCNEXZu_X5Qq2wZV33McGnyP7ikRctA" TargetMode="External"/><Relationship Id="rId453" Type="http://schemas.openxmlformats.org/officeDocument/2006/relationships/hyperlink" Target="https://www.google.com/url?q=https://szkopul.edu.pl/problemset/problem/4Pgr_vmxb_fPeFSn1NTJPqQa/site/&amp;sa=D&amp;ust=1605639832093000&amp;usg=AFQjCNHiLlvro5a_SSte3BRTOiDbLdKkUw" TargetMode="External"/><Relationship Id="rId660" Type="http://schemas.openxmlformats.org/officeDocument/2006/relationships/hyperlink" Target="https://www.google.com/url?q=https://dmoj.ca/problem/coci07c6p4&amp;sa=D&amp;ust=1605639832144000&amp;usg=AFQjCNEGMGV8z5h3EAkwHJTASzwybGd3gA" TargetMode="External"/><Relationship Id="rId898" Type="http://schemas.openxmlformats.org/officeDocument/2006/relationships/hyperlink" Target="https://www.google.com/url?q=https://github.com/mostafa-saad/MyCompetitiveProgramming/blob/master/Olympiad/COCI/official/2014/contest5_solutions&amp;sa=D&amp;ust=1605639832208000&amp;usg=AFQjCNGHaHF5y68EJL-3aFQzZEueIKhc9Q" TargetMode="External"/><Relationship Id="rId1083" Type="http://schemas.openxmlformats.org/officeDocument/2006/relationships/hyperlink" Target="https://www.google.com/url?q=https://oj.uz/problem/view/COCI17_klavir&amp;sa=D&amp;ust=1605639832255000&amp;usg=AFQjCNEFOacyeRU4208cG7qaAOZ49FRjQA" TargetMode="External"/><Relationship Id="rId1290" Type="http://schemas.openxmlformats.org/officeDocument/2006/relationships/hyperlink" Target="https://www.google.com/url?q=https://oj.uz/problem/view/COI19_segway&amp;sa=D&amp;ust=1605639832323000&amp;usg=AFQjCNEViSXvdtR5r_zn_VCKzzOOsdfFAg" TargetMode="External"/><Relationship Id="rId2134" Type="http://schemas.openxmlformats.org/officeDocument/2006/relationships/hyperlink" Target="https://www.google.com/url?q=https://joisc2014.contest.atcoder.jp/tasks/joisc2014_f&amp;sa=D&amp;ust=1605639832583000&amp;usg=AFQjCNHPkwvHMAttdt1tOjmEDRgjoOj3KA" TargetMode="External"/><Relationship Id="rId2341" Type="http://schemas.openxmlformats.org/officeDocument/2006/relationships/hyperlink" Target="https://www.google.com/url?q=https://github.com/mostafa-saad/MyCompetitiveProgramming/blob/master/Olympiad/NOI/official&amp;sa=D&amp;ust=1605639832656000&amp;usg=AFQjCNHi0uzrzTB7MjLzr_9-rx0HSYEr0Q" TargetMode="External"/><Relationship Id="rId2579" Type="http://schemas.openxmlformats.org/officeDocument/2006/relationships/hyperlink" Target="https://www.google.com/url?q=https://szkopul.edu.pl/problemset/problem/XNaC6RSk8o9MIJkuaL6O4t0u/site/&amp;sa=D&amp;ust=1605639832733000&amp;usg=AFQjCNFZgf4DARrAbzq-Y5-7ErKYxUUeGg" TargetMode="External"/><Relationship Id="rId2786" Type="http://schemas.openxmlformats.org/officeDocument/2006/relationships/hyperlink" Target="https://www.google.com/url?q=https://github.com/mostafa-saad/MyCompetitiveProgramming/blob/master/Olympiad/POI/POI-15-Trous.txt&amp;sa=D&amp;ust=1605639832782000&amp;usg=AFQjCNEIxlftVoUhF4qtyTf713Zh0h6wGA" TargetMode="External"/><Relationship Id="rId2993" Type="http://schemas.openxmlformats.org/officeDocument/2006/relationships/hyperlink" Target="https://www.google.com/url?q=http://usaco.org/index.php?page%3Dviewproblem2%26cpid%3D924&amp;sa=D&amp;ust=1605639832863000&amp;usg=AFQjCNEJWyJ19iY2-PTlVcNkKn3OTOaVqg" TargetMode="External"/><Relationship Id="rId106" Type="http://schemas.openxmlformats.org/officeDocument/2006/relationships/hyperlink" Target="https://www.google.com/url?q=https://github.com/mostafa-saad/MyCompetitiveProgramming/blob/master/Olympiad/Balkan/Balkan-12-BestTeams.txt&amp;sa=D&amp;ust=1605639831984000&amp;usg=AFQjCNH58LQ29zdXoZocwkWVDRnuYD9Kdw" TargetMode="External"/><Relationship Id="rId313" Type="http://schemas.openxmlformats.org/officeDocument/2006/relationships/hyperlink" Target="https://www.google.com/url?q=https://cses.fi/205/list/&amp;sa=D&amp;ust=1605639832042000&amp;usg=AFQjCNFxO2f87d0BmKt0-_-62jmj2MFV1Q" TargetMode="External"/><Relationship Id="rId758" Type="http://schemas.openxmlformats.org/officeDocument/2006/relationships/hyperlink" Target="https://www.google.com/url?q=https://dmoj.ca/problem/coci08c1p3&amp;sa=D&amp;ust=1605639832164000&amp;usg=AFQjCNHoG-BWj9Gm8PqsWPO4JaUPoK9zfg" TargetMode="External"/><Relationship Id="rId965" Type="http://schemas.openxmlformats.org/officeDocument/2006/relationships/hyperlink" Target="https://www.google.com/url?q=https://dmoj.ca/problem/coci14c3p3&amp;sa=D&amp;ust=1605639832224000&amp;usg=AFQjCNHnoCy8S4rj8nHM_kVrTBTGN1GFAQ" TargetMode="External"/><Relationship Id="rId1150" Type="http://schemas.openxmlformats.org/officeDocument/2006/relationships/hyperlink" Target="https://www.google.com/url?q=https://oj.uz/problem/view/COCI18_pismo&amp;sa=D&amp;ust=1605639832275000&amp;usg=AFQjCNEc-AdflAd_r9jMnXUIEDc4NVCHLQ" TargetMode="External"/><Relationship Id="rId1388" Type="http://schemas.openxmlformats.org/officeDocument/2006/relationships/hyperlink" Target="https://www.google.com/url?q=https://github.com/mostafa-saad/MyCompetitiveProgramming/blob/master/Olympiad/infoarena/infoarena_amici2.txt&amp;sa=D&amp;ust=1605639832350000&amp;usg=AFQjCNFTPta_E1Slql3_RrDwA99kp9XgiQ" TargetMode="External"/><Relationship Id="rId1595" Type="http://schemas.openxmlformats.org/officeDocument/2006/relationships/hyperlink" Target="https://www.google.com/url?q=https://www.infoarena.ro/problema/sir3&amp;sa=D&amp;ust=1605639832412000&amp;usg=AFQjCNGFv1l8Fh4XS6ub3aGRtKbJrFTNIg" TargetMode="External"/><Relationship Id="rId2439" Type="http://schemas.openxmlformats.org/officeDocument/2006/relationships/hyperlink" Target="https://www.google.com/url?q=https://dunjudge.me/analysis/problems/679/&amp;sa=D&amp;ust=1605639832691000&amp;usg=AFQjCNGi152sazXEfljyNoZbajQgPQUIwA" TargetMode="External"/><Relationship Id="rId2646" Type="http://schemas.openxmlformats.org/officeDocument/2006/relationships/hyperlink" Target="https://www.google.com/url?q=https://github.com/mostafa-saad/MyCompetitiveProgramming/blob/master/Olympiad/POI/official/find_editorial_sols_guidelines.txt&amp;sa=D&amp;ust=1605639832747000&amp;usg=AFQjCNEcuYsVn_PP5DN84xC18LGJVGVT4w" TargetMode="External"/><Relationship Id="rId2853" Type="http://schemas.openxmlformats.org/officeDocument/2006/relationships/hyperlink" Target="https://www.google.com/url?q=https://szkopul.edu.pl/problemset/problem/GqRTa-xd7d9cGS5RL5Os-qTV/site/?key%3Dstatement&amp;sa=D&amp;ust=1605639832805000&amp;usg=AFQjCNF2MehM8I-SLGR9iv-3kXALlBNy1w" TargetMode="External"/><Relationship Id="rId94" Type="http://schemas.openxmlformats.org/officeDocument/2006/relationships/hyperlink" Target="https://www.google.com/url?q=https://github.com/mostafa-saad/MyCompetitiveProgramming/blob/master/Olympiad/Balkan/official/2011/cmp-sol.pdf&amp;sa=D&amp;ust=1605639831980000&amp;usg=AFQjCNGTq_IHpxuI6poGcLkYUXVKUo4qWg" TargetMode="External"/><Relationship Id="rId520" Type="http://schemas.openxmlformats.org/officeDocument/2006/relationships/hyperlink" Target="https://www.google.com/url?q=https://cses.fi/194/list/&amp;sa=D&amp;ust=1605639832113000&amp;usg=AFQjCNE1B5HgNLBiCQADck5QlbV3wsNOQw" TargetMode="External"/><Relationship Id="rId618" Type="http://schemas.openxmlformats.org/officeDocument/2006/relationships/hyperlink" Target="https://www.google.com/url?q=https://dmoj.ca/problem/coci06c4p2&amp;sa=D&amp;ust=1605639832135000&amp;usg=AFQjCNGuDCXHRxRSStLCtle_665Jk9cJSw" TargetMode="External"/><Relationship Id="rId825" Type="http://schemas.openxmlformats.org/officeDocument/2006/relationships/hyperlink" Target="https://www.google.com/url?q=https://wcipeg.com/problem/coci097p5&amp;sa=D&amp;ust=1605639832185000&amp;usg=AFQjCNE0dRXY0udckC0XcyYwmdp8kIdUgw" TargetMode="External"/><Relationship Id="rId1248" Type="http://schemas.openxmlformats.org/officeDocument/2006/relationships/hyperlink" Target="https://www.google.com/url?q=https://oj.uz/problem/view/COI14_nizovi&amp;sa=D&amp;ust=1605639832313000&amp;usg=AFQjCNFp_9iBbJH37-uUZ08lHxWJpqvEfw" TargetMode="External"/><Relationship Id="rId1455" Type="http://schemas.openxmlformats.org/officeDocument/2006/relationships/hyperlink" Target="https://www.google.com/url?q=https://www.infoarena.ro/problema/desc&amp;sa=D&amp;ust=1605639832365000&amp;usg=AFQjCNFgO1Ggc-veV1vgP_z4VeZSAK38wg" TargetMode="External"/><Relationship Id="rId1662" Type="http://schemas.openxmlformats.org/officeDocument/2006/relationships/hyperlink" Target="https://www.google.com/url?q=https://github.com/mostafa-saad/MyCompetitiveProgramming/blob/master/Olympiad/IOI/official/2001&amp;sa=D&amp;ust=1605639832432000&amp;usg=AFQjCNGCvzwzl-mOCA2_cqBuwNrZl3MpFg" TargetMode="External"/><Relationship Id="rId2201" Type="http://schemas.openxmlformats.org/officeDocument/2006/relationships/hyperlink" Target="https://www.google.com/url?q=https://github.com/mostafa-saad/MyCompetitiveProgramming/blob/master/Olympiad/JOI/JOISC-18-construction.txt&amp;sa=D&amp;ust=1605639832613000&amp;usg=AFQjCNG_7en-taU6SC8ivxKtRA3dX6TEaA" TargetMode="External"/><Relationship Id="rId2506" Type="http://schemas.openxmlformats.org/officeDocument/2006/relationships/hyperlink" Target="https://www.google.com/url?q=https://github.com/mostafa-saad/MyCompetitiveProgramming/blob/master/Olympiad/POI/POI-05-Banknote.txt&amp;sa=D&amp;ust=1605639832715000&amp;usg=AFQjCNF1pxSpMAb-S4rvQ4IzWDyPuWmXBg" TargetMode="External"/><Relationship Id="rId1010" Type="http://schemas.openxmlformats.org/officeDocument/2006/relationships/hyperlink" Target="https://www.google.com/url?q=https://github.com/mostafa-saad/MyCompetitiveProgramming/blob/master/Olympiad/COCI/COCI-15-relativnost.txt&amp;sa=D&amp;ust=1605639832237000&amp;usg=AFQjCNFoDfJvfkXh6solmfeGrn6WeDIIIA" TargetMode="External"/><Relationship Id="rId1108" Type="http://schemas.openxmlformats.org/officeDocument/2006/relationships/hyperlink" Target="https://www.google.com/url?q=https://oj.uz/problem/view/COCI17_ronald&amp;sa=D&amp;ust=1605639832261000&amp;usg=AFQjCNHJaJloPYZQAXO-pGcXxrA9XkOvBA" TargetMode="External"/><Relationship Id="rId1315" Type="http://schemas.openxmlformats.org/officeDocument/2006/relationships/hyperlink" Target="https://www.google.com/url?q=https://dmoj.ca/problem/stnbd4&amp;sa=D&amp;ust=1605639832329000&amp;usg=AFQjCNFuooMFTS2rEdlKEggnVPKTB1EFcw" TargetMode="External"/><Relationship Id="rId1967" Type="http://schemas.openxmlformats.org/officeDocument/2006/relationships/hyperlink" Target="https://www.google.com/url?q=https://oj.uz/problem/view/IZhO12_apple&amp;sa=D&amp;ust=1605639832528000&amp;usg=AFQjCNFPG4CultTb_JJf1gAaIQ7ieohopA" TargetMode="External"/><Relationship Id="rId2713" Type="http://schemas.openxmlformats.org/officeDocument/2006/relationships/hyperlink" Target="https://www.google.com/url?q=https://oj.uz/problem/view/POI13_ins&amp;sa=D&amp;ust=1605639832760000&amp;usg=AFQjCNEV9bFhWQ-pnSfIFUd82TsG_8WPww" TargetMode="External"/><Relationship Id="rId2920" Type="http://schemas.openxmlformats.org/officeDocument/2006/relationships/hyperlink" Target="https://www.google.com/url?q=http://usaco.org/index.php?page%3Dviewproblem2%26cpid%3D285&amp;sa=D&amp;ust=1605639832825000&amp;usg=AFQjCNHJdh7J9KbxJBiygM_dtNRg36o7UA" TargetMode="External"/><Relationship Id="rId1522" Type="http://schemas.openxmlformats.org/officeDocument/2006/relationships/hyperlink" Target="https://www.google.com/url?q=https://www.infoarena.ro/problema/minuni&amp;sa=D&amp;ust=1605639832388000&amp;usg=AFQjCNE1bK8OsRP77JW2Mwj3asKvAzvlvA" TargetMode="External"/><Relationship Id="rId21" Type="http://schemas.openxmlformats.org/officeDocument/2006/relationships/hyperlink" Target="https://www.google.com/url?q=https://dmoj.ca/problem/apio10p2&amp;sa=D&amp;ust=1605639831957000&amp;usg=AFQjCNELNVlQjzWH4tvOHXlI_lUS5r_xPw" TargetMode="External"/><Relationship Id="rId2089" Type="http://schemas.openxmlformats.org/officeDocument/2006/relationships/hyperlink" Target="https://www.google.com/url?q=https://oj.uz/problem/view/JOI14_space_pirate&amp;sa=D&amp;ust=1605639832564000&amp;usg=AFQjCNEz78efSZA3GGixA84buE8_QjnEXg" TargetMode="External"/><Relationship Id="rId2296" Type="http://schemas.openxmlformats.org/officeDocument/2006/relationships/hyperlink" Target="https://www.google.com/url?q=https://github.com/mostafa-saad/MyCompetitiveProgramming/blob/master/Olympiad/NOI/official&amp;sa=D&amp;ust=1605639832645000&amp;usg=AFQjCNEGKqy04BvK55rfjfDVta_Q-jMx8Q" TargetMode="External"/><Relationship Id="rId268" Type="http://schemas.openxmlformats.org/officeDocument/2006/relationships/hyperlink" Target="https://www.google.com/url?q=https://github.com/mostafa-saad/MyCompetitiveProgramming/blob/master/Olympiad/Baltic/official/boi2014_solutions&amp;sa=D&amp;ust=1605639832032000&amp;usg=AFQjCNFAdxGmwiDH-sqWtbhv8usE-xDimA" TargetMode="External"/><Relationship Id="rId475" Type="http://schemas.openxmlformats.org/officeDocument/2006/relationships/hyperlink" Target="https://www.google.com/url?q=https://github.com/tmwilliamlin168/CompetitiveProgramming/blob/master/CEOI/12-Highway.cpp&amp;sa=D&amp;ust=1605639832100000&amp;usg=AFQjCNH2voMz3HVawkAfdktPk9djjpfgeA" TargetMode="External"/><Relationship Id="rId682" Type="http://schemas.openxmlformats.org/officeDocument/2006/relationships/hyperlink" Target="https://www.google.com/url?q=https://dmoj.ca/problem/coci07c6p1&amp;sa=D&amp;ust=1605639832149000&amp;usg=AFQjCNH83iZzGXf1J47JkWaDH0IINirb8w" TargetMode="External"/><Relationship Id="rId2156" Type="http://schemas.openxmlformats.org/officeDocument/2006/relationships/hyperlink" Target="https://www.google.com/url?q=https://joisc2015.contest.atcoder.jp/tasks/joisc2015_c&amp;sa=D&amp;ust=1605639832596000&amp;usg=AFQjCNFyRF4k3sKej-M9t5zNEnhsc_lbPw" TargetMode="External"/><Relationship Id="rId2363" Type="http://schemas.openxmlformats.org/officeDocument/2006/relationships/hyperlink" Target="https://www.google.com/url?q=https://dunjudge.me/analysis/problems/954/&amp;sa=D&amp;ust=1605639832662000&amp;usg=AFQjCNGtVCw36fsHN9gmsTk7viRh0EoCMQ" TargetMode="External"/><Relationship Id="rId2570" Type="http://schemas.openxmlformats.org/officeDocument/2006/relationships/hyperlink" Target="https://www.google.com/url?q=https://github.com/mostafa-saad/MyCompetitiveProgramming/blob/master/Olympiad/POI/POI-07-Tetris.txt&amp;sa=D&amp;ust=1605639832731000&amp;usg=AFQjCNEWUGOWyxciXeaNHgDNxJZ9R0n6gg" TargetMode="External"/><Relationship Id="rId128" Type="http://schemas.openxmlformats.org/officeDocument/2006/relationships/hyperlink" Target="https://www.google.com/url?q=https://www.hackerrank.com/contests/boi-2016/challenges&amp;sa=D&amp;ust=1605639831992000&amp;usg=AFQjCNGUspRLpeArndwzQ-DdVOMAo0L8rA" TargetMode="External"/><Relationship Id="rId335" Type="http://schemas.openxmlformats.org/officeDocument/2006/relationships/hyperlink" Target="https://www.google.com/url?q=https://oj.uz/problem/view/BOI19_valley&amp;sa=D&amp;ust=1605639832047000&amp;usg=AFQjCNEMpNIhXTrv2lbBPqKXp9RRJosncQ" TargetMode="External"/><Relationship Id="rId542" Type="http://schemas.openxmlformats.org/officeDocument/2006/relationships/hyperlink" Target="https://www.google.com/url?q=https://github.com/mostafa-saad/MyCompetitiveProgramming/blob/master/Olympiad/CEOI/CEOI-18-Lottery.txt&amp;sa=D&amp;ust=1605639832118000&amp;usg=AFQjCNHPT2S0Ky6-b1Npy2kEOL2_br2-4Q" TargetMode="External"/><Relationship Id="rId1172" Type="http://schemas.openxmlformats.org/officeDocument/2006/relationships/hyperlink" Target="https://www.google.com/url?q=https://oj.uz/problem/view/COCI18_maja&amp;sa=D&amp;ust=1605639832284000&amp;usg=AFQjCNE-j_ZlRn19B9hNgcTcFCF9Xfie_w" TargetMode="External"/><Relationship Id="rId2016" Type="http://schemas.openxmlformats.org/officeDocument/2006/relationships/hyperlink" Target="https://www.google.com/url?q=https://joi2013ho.contest.atcoder.jp/tasks/joi2013ho5&amp;sa=D&amp;ust=1605639832544000&amp;usg=AFQjCNERl4NYHK0lPk7e_o510gJqJwgSAQ" TargetMode="External"/><Relationship Id="rId2223" Type="http://schemas.openxmlformats.org/officeDocument/2006/relationships/hyperlink" Target="https://www.google.com/url?q=https://oj.uz/problem/view/JOI19_meetings&amp;sa=D&amp;ust=1605639832620000&amp;usg=AFQjCNHEAgLqrwh_Tf13kqyJrO9W8J0gXw" TargetMode="External"/><Relationship Id="rId2430" Type="http://schemas.openxmlformats.org/officeDocument/2006/relationships/hyperlink" Target="https://www.google.com/url?q=https://dunjudge.me/analysis/problems/422/&amp;sa=D&amp;ust=1605639832687000&amp;usg=AFQjCNETJbL_rSUxE5gYEztLXWQhI3z78Q" TargetMode="External"/><Relationship Id="rId402" Type="http://schemas.openxmlformats.org/officeDocument/2006/relationships/hyperlink" Target="https://www.google.com/url?q=https://github.com/mostafa-saad/MyCompetitiveProgramming/blob/master/Olympiad/CEOI/CEOI-05-Fence.txt&amp;sa=D&amp;ust=1605639832076000&amp;usg=AFQjCNH5ox2L6wo_T0iH4Zll1Mx0HmhupA" TargetMode="External"/><Relationship Id="rId1032" Type="http://schemas.openxmlformats.org/officeDocument/2006/relationships/hyperlink" Target="https://www.google.com/url?q=https://oj.uz/problem/view/COCI16_kralj&amp;sa=D&amp;ust=1605639832242000&amp;usg=AFQjCNFC6Mk8yikjzmPcS7K4-u-0OZIT8g" TargetMode="External"/><Relationship Id="rId1989" Type="http://schemas.openxmlformats.org/officeDocument/2006/relationships/hyperlink" Target="https://www.google.com/url?q=https://oj.uz/problem/view/IZhO17_bomb&amp;sa=D&amp;ust=1605639832535000&amp;usg=AFQjCNHIbqsm5NRzKeKIYHhupGgGqg2yTg" TargetMode="External"/><Relationship Id="rId1849" Type="http://schemas.openxmlformats.org/officeDocument/2006/relationships/hyperlink" Target="https://www.google.com/url?q=https://oj.uz/problem/view/IOI16_reverse&amp;sa=D&amp;ust=1605639832491000&amp;usg=AFQjCNGJ-XlfR1bERQjHmWP7lGMJGk6QcA" TargetMode="External"/><Relationship Id="rId192" Type="http://schemas.openxmlformats.org/officeDocument/2006/relationships/hyperlink" Target="https://www.google.com/url?q=https://github.com/mostafa-saad/MyCompetitiveProgramming/blob/master/Olympiad/Baltic/Baltic-08-Game.txt&amp;sa=D&amp;ust=1605639832013000&amp;usg=AFQjCNGI52nFWEIuWnYgTsv5Y6xnpmpXhg" TargetMode="External"/><Relationship Id="rId1709" Type="http://schemas.openxmlformats.org/officeDocument/2006/relationships/hyperlink" Target="https://www.google.com/url?q=https://contest.yandex.ru/ioi/contest/562/problems/F/&amp;sa=D&amp;ust=1605639832445000&amp;usg=AFQjCNH11qc3fiW3sg30bKJt_gjVlPNaqQ" TargetMode="External"/><Relationship Id="rId1916" Type="http://schemas.openxmlformats.org/officeDocument/2006/relationships/hyperlink" Target="https://www.google.com/url?q=https://csacademy.com/contest/ioi-2016-training-round-5/task/balanced-string/&amp;sa=D&amp;ust=1605639832513000&amp;usg=AFQjCNHWZrl_9bb3EK20-rOblNH4VfnSzQ" TargetMode="External"/><Relationship Id="rId2080" Type="http://schemas.openxmlformats.org/officeDocument/2006/relationships/hyperlink" Target="https://www.google.com/url?q=https://github.com/mostafa-saad/MyCompetitiveProgramming/blob/master/Olympiad/JOI/JOIOC-13-Watching.txt&amp;sa=D&amp;ust=1605639832562000&amp;usg=AFQjCNGDuQ_QZCEHJu4BwhGlwWzICELfjA" TargetMode="External"/><Relationship Id="rId2897" Type="http://schemas.openxmlformats.org/officeDocument/2006/relationships/hyperlink" Target="https://www.google.com/url?q=https://github.com/win11905/submission/blob/master/TOKI/17/radius/radius.cpp&amp;sa=D&amp;ust=1605639832819000&amp;usg=AFQjCNEZp74ckBF6p0WPCl3Op_778qb17g" TargetMode="External"/><Relationship Id="rId869" Type="http://schemas.openxmlformats.org/officeDocument/2006/relationships/hyperlink" Target="https://www.google.com/url?q=https://dunjudge.me/analysis/problems/578/&amp;sa=D&amp;ust=1605639832200000&amp;usg=AFQjCNEmNBs_KODESMxO4vCA2uvyBjCyxA" TargetMode="External"/><Relationship Id="rId1499" Type="http://schemas.openxmlformats.org/officeDocument/2006/relationships/hyperlink" Target="https://www.google.com/url?q=https://github.com/stefdasca/CompetitiveProgramming/blob/master/Infoarena/lautari.cpp&amp;sa=D&amp;ust=1605639832380000&amp;usg=AFQjCNHbhEzRrkxRmL1uak0SmCOo7WAIUw" TargetMode="External"/><Relationship Id="rId729" Type="http://schemas.openxmlformats.org/officeDocument/2006/relationships/hyperlink" Target="https://www.google.com/url?q=https://github.com/mostafa-saad/MyCompetitiveProgramming/blob/master/Olympiad/COCI/official/2009/contest3_solutions&amp;sa=D&amp;ust=1605639832158000&amp;usg=AFQjCNEZUyM1BZTHKKoE87iwchgaAx94dQ" TargetMode="External"/><Relationship Id="rId1359" Type="http://schemas.openxmlformats.org/officeDocument/2006/relationships/hyperlink" Target="https://www.google.com/url?q=https://oj.uz/problem/view/info1cup18_balancedtree&amp;sa=D&amp;ust=1605639832343000&amp;usg=AFQjCNGoAa-EyC3ZGs1LVZYz8Q6BN7tgMw" TargetMode="External"/><Relationship Id="rId2757" Type="http://schemas.openxmlformats.org/officeDocument/2006/relationships/hyperlink" Target="https://www.google.com/url?q=https://szkopul.edu.pl/problemset/problem/e9ycK_efBDBt4aPs-QeqYpwR/site/&amp;sa=D&amp;ust=1605639832773000&amp;usg=AFQjCNFboNZWZPiJSn5TxCK1p1fODcUmgg" TargetMode="External"/><Relationship Id="rId2964" Type="http://schemas.openxmlformats.org/officeDocument/2006/relationships/hyperlink" Target="https://www.google.com/url?q=http://usaco.org/index.php?page%3Dviewproblem2%26cpid%3D861&amp;sa=D&amp;ust=1605639832842000&amp;usg=AFQjCNH5UTcaOqwFGTDEcetyClZH8Y6R6w" TargetMode="External"/><Relationship Id="rId936" Type="http://schemas.openxmlformats.org/officeDocument/2006/relationships/hyperlink" Target="https://www.google.com/url?q=https://dmoj.ca/problem/coci14c6p4&amp;sa=D&amp;ust=1605639832217000&amp;usg=AFQjCNEMGCfYHgNxKG3X8tpOk8AoasQWMw" TargetMode="External"/><Relationship Id="rId1219" Type="http://schemas.openxmlformats.org/officeDocument/2006/relationships/hyperlink" Target="https://www.google.com/url?q=https://wcipeg.com/problem/coci087p1&amp;sa=D&amp;ust=1605639832304000&amp;usg=AFQjCNGHubFFecz4wBVDlC79nwtdIC0JVg" TargetMode="External"/><Relationship Id="rId1566" Type="http://schemas.openxmlformats.org/officeDocument/2006/relationships/hyperlink" Target="https://www.google.com/url?q=https://github.com/stefdasca/CompetitiveProgramming/blob/master/Infoarena/poarta2.cpp&amp;sa=D&amp;ust=1605639832402000&amp;usg=AFQjCNFIHoz7rpyisdI3cL0Aiql8fI9YnA" TargetMode="External"/><Relationship Id="rId1773" Type="http://schemas.openxmlformats.org/officeDocument/2006/relationships/hyperlink" Target="https://www.google.com/url?q=https://ioi2010.contest.atcoder.jp/tasks/ioi2010_2_4&amp;sa=D&amp;ust=1605639832463000&amp;usg=AFQjCNHvMe-3xKH1kTgfDAAtaAg1FpFJoA" TargetMode="External"/><Relationship Id="rId1980" Type="http://schemas.openxmlformats.org/officeDocument/2006/relationships/hyperlink" Target="https://www.google.com/url?q=https://oj.uz/problem/view/IZhO14_blocks&amp;sa=D&amp;ust=1605639832532000&amp;usg=AFQjCNHpDvFCaU9LMIyK8_WmdimyK7k62Q" TargetMode="External"/><Relationship Id="rId2617" Type="http://schemas.openxmlformats.org/officeDocument/2006/relationships/hyperlink" Target="https://www.google.com/url?q=https://szkopul.edu.pl/problemset/problem/E4CCHJSbYzxeGWXMnBZHkPnm/site/&amp;sa=D&amp;ust=1605639832740000&amp;usg=AFQjCNEb352tW_l6wlGw1Fhm8ia_acqjWw" TargetMode="External"/><Relationship Id="rId2824" Type="http://schemas.openxmlformats.org/officeDocument/2006/relationships/hyperlink" Target="https://www.google.com/url?q=https://szkopul.edu.pl/problemset/problem/eLy9p2a1VStZ4y9y-LdeB-8f/site/&amp;sa=D&amp;ust=1605639832795000&amp;usg=AFQjCNH9jf6Dz2rfbcj3VPA8xVQiFkDX5A" TargetMode="External"/><Relationship Id="rId65" Type="http://schemas.openxmlformats.org/officeDocument/2006/relationships/hyperlink" Target="https://www.google.com/url?q=https://github.com/timpostuvan/CompetitiveProgramming/blob/master/Olympiad/APIO/CircleSelection2018.cpp&amp;sa=D&amp;ust=1605639831969000&amp;usg=AFQjCNGTapyhG2wiyqKFpJiFkZV6GsGOTQ" TargetMode="External"/><Relationship Id="rId1426" Type="http://schemas.openxmlformats.org/officeDocument/2006/relationships/hyperlink" Target="https://www.google.com/url?q=https://github.com/stefdasca/CompetitiveProgramming/blob/master/Infoarena/cifru.cpp&amp;sa=D&amp;ust=1605639832358000&amp;usg=AFQjCNHi0OmTbGVhnW5Wg5OaERLExaPNAg" TargetMode="External"/><Relationship Id="rId1633" Type="http://schemas.openxmlformats.org/officeDocument/2006/relationships/hyperlink" Target="https://www.google.com/url?q=https://oj.uz/problem/view/innopolis2018_final_A&amp;sa=D&amp;ust=1605639832423000&amp;usg=AFQjCNHHmEtK6fJvXmkAaD6Hg_MxF2V6fg" TargetMode="External"/><Relationship Id="rId1840" Type="http://schemas.openxmlformats.org/officeDocument/2006/relationships/hyperlink" Target="https://www.google.com/url?q=https://github.com/mostafa-saad/MyCompetitiveProgramming/blob/master/Olympiad/IOI/official/2016&amp;sa=D&amp;ust=1605639832489000&amp;usg=AFQjCNF5nw9_0ebG1KgFFLrYznS72woFiw" TargetMode="External"/><Relationship Id="rId1700" Type="http://schemas.openxmlformats.org/officeDocument/2006/relationships/hyperlink" Target="https://www.google.com/url?q=https://github.com/mostafa-saad/MyCompetitiveProgramming/blob/master/Olympiad/IOI/IOI-05-game.txt&amp;sa=D&amp;ust=1605639832443000&amp;usg=AFQjCNGUEbTFsGgKD1PdlFP_Rdk759TLEQ" TargetMode="External"/><Relationship Id="rId379" Type="http://schemas.openxmlformats.org/officeDocument/2006/relationships/hyperlink" Target="https://www.google.com/url?q=https://github.com/mostafa-saad/MyCompetitiveProgramming/blob/master/Olympiad/CEOI/CEOI-02-Guards.txt&amp;sa=D&amp;ust=1605639832065000&amp;usg=AFQjCNF_UP0o1UsIFhIBHS3E5Wq4aseiIg" TargetMode="External"/><Relationship Id="rId586" Type="http://schemas.openxmlformats.org/officeDocument/2006/relationships/hyperlink" Target="https://www.google.com/url?q=https://dmoj.ca/problem/coci06c2p3&amp;sa=D&amp;ust=1605639832129000&amp;usg=AFQjCNEz_sXcmrI6li6R80L897K8astR2A" TargetMode="External"/><Relationship Id="rId793" Type="http://schemas.openxmlformats.org/officeDocument/2006/relationships/hyperlink" Target="https://www.google.com/url?q=https://github.com/mostafa-saad/MyCompetitiveProgramming/blob/master/Olympiad/COCI/COCI-09-Aladin.txt&amp;sa=D&amp;ust=1605639832175000&amp;usg=AFQjCNHjuUSvva4NNSYJg9gGjPD7XIo3Cg" TargetMode="External"/><Relationship Id="rId2267" Type="http://schemas.openxmlformats.org/officeDocument/2006/relationships/hyperlink" Target="https://www.google.com/url?q=https://github.com/mostafa-saad/MyCompetitiveProgramming/tree/master/Olympiad/MCO/official&amp;sa=D&amp;ust=1605639832636000&amp;usg=AFQjCNHsjSGTEqSiEr_0F84U_vfMmNPIqQ" TargetMode="External"/><Relationship Id="rId2474" Type="http://schemas.openxmlformats.org/officeDocument/2006/relationships/hyperlink" Target="https://www.google.com/url?q=https://github.com/win11905/submission/blob/master/OCN/15/2C.cpp&amp;sa=D&amp;ust=1605639832706000&amp;usg=AFQjCNH6t8JZLFrbSKbgLIVa4faZ8Ae-fw" TargetMode="External"/><Relationship Id="rId2681" Type="http://schemas.openxmlformats.org/officeDocument/2006/relationships/hyperlink" Target="https://www.google.com/url?q=https://oj.uz/problem/view/POI11_tem&amp;sa=D&amp;ust=1605639832753000&amp;usg=AFQjCNEDbGGR3uR6k4efz_1rBTVCj0ZkWg" TargetMode="External"/><Relationship Id="rId239" Type="http://schemas.openxmlformats.org/officeDocument/2006/relationships/hyperlink" Target="https://www.google.com/url?q=https://oj.uz/problem/view/BOI11_grow&amp;sa=D&amp;ust=1605639832026000&amp;usg=AFQjCNEOb5p4e9v9dY0gPj7seGxobsF-cA" TargetMode="External"/><Relationship Id="rId446" Type="http://schemas.openxmlformats.org/officeDocument/2006/relationships/hyperlink" Target="https://www.google.com/url?q=https://github.com/MetalBall887/Competitive-Programming/blob/master/Olympiad/CEOI/CEOI%252009-Logs.cpp&amp;sa=D&amp;ust=1605639832091000&amp;usg=AFQjCNHQYwUqX3fhYa9doOLNGN0yLjCkOw" TargetMode="External"/><Relationship Id="rId653" Type="http://schemas.openxmlformats.org/officeDocument/2006/relationships/hyperlink" Target="https://www.google.com/url?q=https://github.com/mostafa-saad/MyCompetitiveProgramming/tree/master/Olympiad/COCI/official/2008/contest1_solutions&amp;sa=D&amp;ust=1605639832142000&amp;usg=AFQjCNE_d8yWOmPLtn-wm-mXuw8oyzhPIA" TargetMode="External"/><Relationship Id="rId1076" Type="http://schemas.openxmlformats.org/officeDocument/2006/relationships/hyperlink" Target="https://www.google.com/url?q=https://oj.uz/problem/view/COCI17_igra&amp;sa=D&amp;ust=1605639832253000&amp;usg=AFQjCNHbKsaJJMXPg2JMPeULkaltqPyGaQ" TargetMode="External"/><Relationship Id="rId1283" Type="http://schemas.openxmlformats.org/officeDocument/2006/relationships/hyperlink" Target="https://www.google.com/url?q=https://oj.uz/problem/view/COI18_svjetlost&amp;sa=D&amp;ust=1605639832321000&amp;usg=AFQjCNG7ozHrc_13lzFMvU0GmIGZye3PMg" TargetMode="External"/><Relationship Id="rId1490" Type="http://schemas.openxmlformats.org/officeDocument/2006/relationships/hyperlink" Target="https://www.google.com/url?q=https://www.infoarena.ro/problema/kcover&amp;sa=D&amp;ust=1605639832377000&amp;usg=AFQjCNGeIAzLqL1Kl4w81jO7rKiJkxjxzw" TargetMode="External"/><Relationship Id="rId2127" Type="http://schemas.openxmlformats.org/officeDocument/2006/relationships/hyperlink" Target="https://www.google.com/url?q=https://joisc2013-day1.contest.atcoder.jp/tasks/joisc2013_joi_poster&amp;sa=D&amp;ust=1605639832580000&amp;usg=AFQjCNE-dZ-SVJGURfhlBWATIxtSfgAjYg" TargetMode="External"/><Relationship Id="rId2334" Type="http://schemas.openxmlformats.org/officeDocument/2006/relationships/hyperlink" Target="https://www.google.com/url?q=https://oj.uz/problem/view/NOI12_modsum&amp;sa=D&amp;ust=1605639832655000&amp;usg=AFQjCNHE4TZyo_Q_FSvnPojyF5wH_ToO5w" TargetMode="External"/><Relationship Id="rId306" Type="http://schemas.openxmlformats.org/officeDocument/2006/relationships/hyperlink" Target="https://www.google.com/url?q=https://codeforces.com/blog/entry/51740?%23comment-356940&amp;sa=D&amp;ust=1605639832040000&amp;usg=AFQjCNFB8KiJMEcymmbbUtCF26x15cS0yg" TargetMode="External"/><Relationship Id="rId860" Type="http://schemas.openxmlformats.org/officeDocument/2006/relationships/hyperlink" Target="https://www.google.com/url?q=https://github.com/mostafa-saad/MyCompetitiveProgramming/blob/master/Olympiad/COCI/official/2010/contest7_solutions&amp;sa=D&amp;ust=1605639832197000&amp;usg=AFQjCNG4JypWn-zk51gWcdEU0GELG-lBRg" TargetMode="External"/><Relationship Id="rId1143" Type="http://schemas.openxmlformats.org/officeDocument/2006/relationships/hyperlink" Target="https://www.google.com/url?q=https://oj.uz/problem/view/COCI18_kotrljanje&amp;sa=D&amp;ust=1605639832272000&amp;usg=AFQjCNEIEt8k0UOO8wLS96tN7RK3KFuw7A" TargetMode="External"/><Relationship Id="rId2541" Type="http://schemas.openxmlformats.org/officeDocument/2006/relationships/hyperlink" Target="https://www.google.com/url?q=https://szkopul.edu.pl/problemset/problem/4yTtNIf4H61mJrquuAIhoSh_/site/&amp;sa=D&amp;ust=1605639832724000&amp;usg=AFQjCNF25MHJZa_M8EgR8CLgPFeJpbYFIw" TargetMode="External"/><Relationship Id="rId513" Type="http://schemas.openxmlformats.org/officeDocument/2006/relationships/hyperlink" Target="https://www.google.com/url?q=https://github.com/mostafa-saad/MyCompetitiveProgramming/blob/master/Olympiad/CEOI/CEOI-16-icc.txt&amp;sa=D&amp;ust=1605639832111000&amp;usg=AFQjCNE2jPB9D0aqsL3qikT8WfBay0XWdw" TargetMode="External"/><Relationship Id="rId720" Type="http://schemas.openxmlformats.org/officeDocument/2006/relationships/hyperlink" Target="https://www.google.com/url?q=https://dmoj.ca/problem/coci08c6p2&amp;sa=D&amp;ust=1605639832156000&amp;usg=AFQjCNGx6I1rVItgv--maKOFmLnrT8rUjA" TargetMode="External"/><Relationship Id="rId1350" Type="http://schemas.openxmlformats.org/officeDocument/2006/relationships/hyperlink" Target="https://www.google.com/url?q=https://codeforces.com/group/swEqtABRxe/contest/227524/problem/C&amp;sa=D&amp;ust=1605639832339000&amp;usg=AFQjCNGBnGGhGgOC7vln4WkLiV4MrKQLyw" TargetMode="External"/><Relationship Id="rId2401" Type="http://schemas.openxmlformats.org/officeDocument/2006/relationships/hyperlink" Target="https://www.google.com/url?q=https://dunjudge.me/analysis/problems/701/&amp;sa=D&amp;ust=1605639832674000&amp;usg=AFQjCNHT0sIg2jS66DE-p--d2Vz9nKRA1A" TargetMode="External"/><Relationship Id="rId1003" Type="http://schemas.openxmlformats.org/officeDocument/2006/relationships/hyperlink" Target="https://www.google.com/url?q=https://oj.uz/problem/view/COCI15_marko&amp;sa=D&amp;ust=1605639832234000&amp;usg=AFQjCNFp-ij_iFbHo66uhblPCZAILUxQKw" TargetMode="External"/><Relationship Id="rId1210" Type="http://schemas.openxmlformats.org/officeDocument/2006/relationships/hyperlink" Target="https://www.google.com/url?q=https://github.com/mostafa-saad/MyCompetitiveProgramming/blob/master/Olympiad/COI/COI-07-Umnozak.txt&amp;sa=D&amp;ust=1605639832301000&amp;usg=AFQjCNGkelVoA5Vlk4B0eP7KZ5LoPiKWIg" TargetMode="External"/><Relationship Id="rId2191" Type="http://schemas.openxmlformats.org/officeDocument/2006/relationships/hyperlink" Target="https://www.google.com/url?q=https://github.com/mostafa-saad/MyCompetitiveProgramming/blob/master/Olympiad/JOI/JOISC-17-railway_trip.txt&amp;sa=D&amp;ust=1605639832609000&amp;usg=AFQjCNF9_pIUX3mzIJ5O1dCx36csrzZ1DA" TargetMode="External"/><Relationship Id="rId163" Type="http://schemas.openxmlformats.org/officeDocument/2006/relationships/hyperlink" Target="https://www.google.com/url?q=https://cses.fi/115/list/&amp;sa=D&amp;ust=1605639832004000&amp;usg=AFQjCNGd1MIpQMxIxLOVWGZnMZqArOGbYw" TargetMode="External"/><Relationship Id="rId370" Type="http://schemas.openxmlformats.org/officeDocument/2006/relationships/hyperlink" Target="https://www.google.com/url?q=https://dmoj.ca/problem/mcco17p3&amp;sa=D&amp;ust=1605639832057000&amp;usg=AFQjCNHB1OXFQnErWlaCrgxuqAZXrNmXag" TargetMode="External"/><Relationship Id="rId2051" Type="http://schemas.openxmlformats.org/officeDocument/2006/relationships/hyperlink" Target="https://www.google.com/url?q=https://oj.uz/problems/source/307&amp;sa=D&amp;ust=1605639832554000&amp;usg=AFQjCNF-PoGbsh7aKcugF6hROj09lzz8wA" TargetMode="External"/><Relationship Id="rId230" Type="http://schemas.openxmlformats.org/officeDocument/2006/relationships/hyperlink" Target="https://www.google.com/url?q=https://github.com/mostafa-saad/MyCompetitiveProgramming/blob/master/Olympiad/Baltic/Baltic-11-Lamp.txt&amp;sa=D&amp;ust=1605639832023000&amp;usg=AFQjCNFYBOFg9dI47b4LbmtrQd8INn2mjg" TargetMode="External"/><Relationship Id="rId2868" Type="http://schemas.openxmlformats.org/officeDocument/2006/relationships/hyperlink" Target="https://www.google.com/url?q=https://csacademy.com/contest/junior-challenge-2017-day-1/task/remove-update&amp;sa=D&amp;ust=1605639832810000&amp;usg=AFQjCNFlXnCgDE_Rdu5C3XxGOKDo3cgq4A" TargetMode="External"/><Relationship Id="rId1677" Type="http://schemas.openxmlformats.org/officeDocument/2006/relationships/hyperlink" Target="https://www.google.com/url?q=https://contest.yandex.ru/ioi/contest/558/enter/&amp;sa=D&amp;ust=1605639832437000&amp;usg=AFQjCNFW5_-vT1_6tFJKthlMtVPI73YQ7g" TargetMode="External"/><Relationship Id="rId1884" Type="http://schemas.openxmlformats.org/officeDocument/2006/relationships/hyperlink" Target="https://www.google.com/url?q=https://oj.uz/problem/view/IOI19_shoes&amp;sa=D&amp;ust=1605639832503000&amp;usg=AFQjCNGHiyHePhHr8vYeyLkUacuQ860dYA" TargetMode="External"/><Relationship Id="rId2728" Type="http://schemas.openxmlformats.org/officeDocument/2006/relationships/hyperlink" Target="https://www.google.com/url?q=https://oj.uz/problem/view/POI13_spa&amp;sa=D&amp;ust=1605639832763000&amp;usg=AFQjCNHrt0ksrWEn95yF9ebFGzofGewIuw" TargetMode="External"/><Relationship Id="rId2935" Type="http://schemas.openxmlformats.org/officeDocument/2006/relationships/hyperlink" Target="https://www.google.com/url?q=http://usaco.org/index.php?page%3Dviewproblem2%26cpid%3D516&amp;sa=D&amp;ust=1605639832831000&amp;usg=AFQjCNHbelHgvh8SFwLqoZ5b-6J6Rkb8Sg" TargetMode="External"/><Relationship Id="rId907" Type="http://schemas.openxmlformats.org/officeDocument/2006/relationships/hyperlink" Target="https://www.google.com/url?q=https://dmoj.ca/problem/coci13c1p5&amp;sa=D&amp;ust=1605639832210000&amp;usg=AFQjCNGT-CLYdbLNPYbEyest1V2pEA4P7g" TargetMode="External"/><Relationship Id="rId1537" Type="http://schemas.openxmlformats.org/officeDocument/2006/relationships/hyperlink" Target="https://www.google.com/url?q=https://github.com/stefdasca/CompetitiveProgramming/blob/master/Infoarena/overpower.cpp&amp;sa=D&amp;ust=1605639832392000&amp;usg=AFQjCNH3NFUZO7xAIwdGSZpRYAr2j_TZOA" TargetMode="External"/><Relationship Id="rId1744" Type="http://schemas.openxmlformats.org/officeDocument/2006/relationships/hyperlink" Target="https://www.google.com/url?q=https://github.com/mostafa-saad/MyCompetitiveProgramming/blob/master/Olympiad/IOI/official/2008&amp;sa=D&amp;ust=1605639832456000&amp;usg=AFQjCNFhkIiXX4nrPANGNKIgI1EcFE4F2w" TargetMode="External"/><Relationship Id="rId1951" Type="http://schemas.openxmlformats.org/officeDocument/2006/relationships/hyperlink" Target="https://www.google.com/url?q=https://codeforces.com/group/swEqtABRxe/contest/227527/problem/B&amp;sa=D&amp;ust=1605639832523000&amp;usg=AFQjCNFgYKhJ7R7cdFGOaTAL6gcUiU5MLQ" TargetMode="External"/><Relationship Id="rId36" Type="http://schemas.openxmlformats.org/officeDocument/2006/relationships/hyperlink" Target="https://www.google.com/url?q=https://github.com/mostafa-saad/MyCompetitiveProgramming/blob/master/Olympiad/APIO/APIO-13-Robots.txt&amp;sa=D&amp;ust=1605639831960000&amp;usg=AFQjCNHbWLdxnieKwnjP0KVlcx_SdL93Kg" TargetMode="External"/><Relationship Id="rId1604" Type="http://schemas.openxmlformats.org/officeDocument/2006/relationships/hyperlink" Target="https://www.google.com/url?q=https://github.com/mostafa-saad/MyCompetitiveProgramming/blob/master/Olympiad/infoarena/infoarena-ssdj.txt&amp;sa=D&amp;ust=1605639832414000&amp;usg=AFQjCNEBKL3lpzt4VeHdQRTt8MeNF6DglQ" TargetMode="External"/><Relationship Id="rId1811" Type="http://schemas.openxmlformats.org/officeDocument/2006/relationships/hyperlink" Target="https://www.google.com/url?q=https://oj.uz/problem/view/IOI14_friend&amp;sa=D&amp;ust=1605639832478000&amp;usg=AFQjCNGQyrw0ICS7o4m1uVT47UyvK9Hhzg" TargetMode="External"/><Relationship Id="rId697" Type="http://schemas.openxmlformats.org/officeDocument/2006/relationships/hyperlink" Target="https://www.google.com/url?q=https://github.com/mostafa-saad/MyCompetitiveProgramming/tree/master/Olympiad/COCI/official/2008/contest1_solutions&amp;sa=D&amp;ust=1605639832151000&amp;usg=AFQjCNHC4ORv1URTXyBYiyH4Jhsuw3dfdg" TargetMode="External"/><Relationship Id="rId2378" Type="http://schemas.openxmlformats.org/officeDocument/2006/relationships/hyperlink" Target="https://www.google.com/url?q=https://github.com/mostafa-saad/MyCompetitiveProgramming/blob/master/Olympiad/NOI/official&amp;sa=D&amp;ust=1605639832665000&amp;usg=AFQjCNGwoEQzZWOgWdwOBgu5YJPz5ToJLg" TargetMode="External"/><Relationship Id="rId1187" Type="http://schemas.openxmlformats.org/officeDocument/2006/relationships/hyperlink" Target="https://www.google.com/url?q=https://oj.uz/problem/view/COCI18_teoreticar&amp;sa=D&amp;ust=1605639832289000&amp;usg=AFQjCNGJ62f-HQkvF4UrapOJi7fE-BSCCQ" TargetMode="External"/><Relationship Id="rId2585" Type="http://schemas.openxmlformats.org/officeDocument/2006/relationships/hyperlink" Target="https://www.google.com/url?q=https://szkopul.edu.pl/problemset/problem/XcJ1RDGPzzspbYBm4xHCVpWM/site/&amp;sa=D&amp;ust=1605639832734000&amp;usg=AFQjCNGP9t8a-0TlUgGu0B_-3xZjS4f8Jw" TargetMode="External"/><Relationship Id="rId2792" Type="http://schemas.openxmlformats.org/officeDocument/2006/relationships/hyperlink" Target="https://www.google.com/url?q=https://github.com/mostafa-saad/MyCompetitiveProgramming/blob/master/Olympiad/POI/official/find_editorial_sols_guidelines.txt&amp;sa=D&amp;ust=1605639832784000&amp;usg=AFQjCNGpq5DShz3KPpw7gzx3_BUajCIpnw" TargetMode="External"/><Relationship Id="rId557" Type="http://schemas.openxmlformats.org/officeDocument/2006/relationships/hyperlink" Target="https://www.google.com/url?q=https://codeforces.com/blog/entry/68676&amp;sa=D&amp;ust=1605639832122000&amp;usg=AFQjCNEnYxz3F4OYDwy_1iEYHUBvah8w5A" TargetMode="External"/><Relationship Id="rId764" Type="http://schemas.openxmlformats.org/officeDocument/2006/relationships/hyperlink" Target="https://www.google.com/url?q=https://dmoj.ca/problem/coci08c4p6&amp;sa=D&amp;ust=1605639832165000&amp;usg=AFQjCNG5hX0dx7o93JfJMlAcfIHPAD45Zw" TargetMode="External"/><Relationship Id="rId971" Type="http://schemas.openxmlformats.org/officeDocument/2006/relationships/hyperlink" Target="https://www.google.com/url?q=https://dmoj.ca/problem/coci14c3p1&amp;sa=D&amp;ust=1605639832225000&amp;usg=AFQjCNG5JljwwLfuhqL53jjvkzMGxyuibA" TargetMode="External"/><Relationship Id="rId1394" Type="http://schemas.openxmlformats.org/officeDocument/2006/relationships/hyperlink" Target="https://www.google.com/url?q=https://www.infoarena.ro/problema/arb2&amp;sa=D&amp;ust=1605639832351000&amp;usg=AFQjCNGTKFPKnFlUiq-SNfYfdWK2LC-_Cg" TargetMode="External"/><Relationship Id="rId2238" Type="http://schemas.openxmlformats.org/officeDocument/2006/relationships/hyperlink" Target="https://www.google.com/url?q=https://github.com/mostafa-saad/MyCompetitiveProgramming/tree/master/Olympiad/MCO/official/2014&amp;sa=D&amp;ust=1605639832626000&amp;usg=AFQjCNEk9t-4ovhcWMhrmIWQ_QixCMd1zQ" TargetMode="External"/><Relationship Id="rId2445" Type="http://schemas.openxmlformats.org/officeDocument/2006/relationships/hyperlink" Target="https://www.google.com/url?q=https://dunjudge.me/analysis/problems/933/&amp;sa=D&amp;ust=1605639832694000&amp;usg=AFQjCNHks7iRvW4XthxzgQxNW4McRVns9w" TargetMode="External"/><Relationship Id="rId2652" Type="http://schemas.openxmlformats.org/officeDocument/2006/relationships/hyperlink" Target="https://www.google.com/url?q=https://github.com/mostafa-saad/MyCompetitiveProgramming/blob/master/Olympiad/POI/official/find_editorial_sols_guidelines.txt&amp;sa=D&amp;ust=1605639832748000&amp;usg=AFQjCNHTgkbcx-JnvxM6snYeJGuBr9BYHg" TargetMode="External"/><Relationship Id="rId417" Type="http://schemas.openxmlformats.org/officeDocument/2006/relationships/hyperlink" Target="https://www.google.com/url?q=https://cses.fi/186/list/&amp;sa=D&amp;ust=1605639832082000&amp;usg=AFQjCNGQ-L3qV1-kyhcOA8_Q2Rr7uVB_uQ" TargetMode="External"/><Relationship Id="rId624" Type="http://schemas.openxmlformats.org/officeDocument/2006/relationships/hyperlink" Target="https://www.google.com/url?q=https://dmoj.ca/problem/coci06c2p6&amp;sa=D&amp;ust=1605639832136000&amp;usg=AFQjCNGJbppIAS670bVdUXueTcE9Dof_7g" TargetMode="External"/><Relationship Id="rId831" Type="http://schemas.openxmlformats.org/officeDocument/2006/relationships/hyperlink" Target="https://www.google.com/url?q=https://github.com/mostafa-saad/MyCompetitiveProgramming/blob/master/Olympiad/COCI/official/2010/contest6_solutions&amp;sa=D&amp;ust=1605639832187000&amp;usg=AFQjCNHjpKVz_113X4l8rhLDC20QW7DzLA" TargetMode="External"/><Relationship Id="rId1047" Type="http://schemas.openxmlformats.org/officeDocument/2006/relationships/hyperlink" Target="https://www.google.com/url?q=https://github.com/mostafa-saad/MyCompetitiveProgramming/blob/master/Olympiad/COCI/official/2017/contest2_solutions&amp;sa=D&amp;ust=1605639832245000&amp;usg=AFQjCNH3tWyhBVU1RWvEY1K98Z_2ozPUaw" TargetMode="External"/><Relationship Id="rId1254" Type="http://schemas.openxmlformats.org/officeDocument/2006/relationships/hyperlink" Target="https://www.google.com/url?q=https://oj.uz/problem/view/COI15_kovanice&amp;sa=D&amp;ust=1605639832314000&amp;usg=AFQjCNGQyPJYiiS_8xrqiP4LG3vnjQkb2A" TargetMode="External"/><Relationship Id="rId1461" Type="http://schemas.openxmlformats.org/officeDocument/2006/relationships/hyperlink" Target="https://www.google.com/url?q=https://github.com/stefdasca/CompetitiveProgramming/blob/master/Infoarena/drumuri5.cpp&amp;sa=D&amp;ust=1605639832367000&amp;usg=AFQjCNEJ2Z726WcufuJMt4Jq-t8QSYTK5Q" TargetMode="External"/><Relationship Id="rId2305" Type="http://schemas.openxmlformats.org/officeDocument/2006/relationships/hyperlink" Target="https://www.google.com/url?q=https://dunjudge.me/analysis/problems/274/&amp;sa=D&amp;ust=1605639832648000&amp;usg=AFQjCNHK8xJdB7ywRsJnTMaPZuYjR_OLKQ" TargetMode="External"/><Relationship Id="rId2512" Type="http://schemas.openxmlformats.org/officeDocument/2006/relationships/hyperlink" Target="https://www.google.com/url?q=https://github.com/mostafa-saad/MyCompetitiveProgramming/blob/master/Olympiad/POI/official/find_editorial_sols_guidelines.txt&amp;sa=D&amp;ust=1605639832716000&amp;usg=AFQjCNF6nLq6s1Q9vCPJOSx_sMkmDgbvvg" TargetMode="External"/><Relationship Id="rId1114" Type="http://schemas.openxmlformats.org/officeDocument/2006/relationships/hyperlink" Target="https://www.google.com/url?q=https://oj.uz/problem/view/COCI17_sazetak&amp;sa=D&amp;ust=1605639832262000&amp;usg=AFQjCNEhA_CNNkx-qQ6YNjQ0ebSFrOImgw" TargetMode="External"/><Relationship Id="rId1321" Type="http://schemas.openxmlformats.org/officeDocument/2006/relationships/hyperlink" Target="https://www.google.com/url?q=https://dmoj.ca/problem/dmopc16c4p4&amp;sa=D&amp;ust=1605639832331000&amp;usg=AFQjCNGlbJubIvtrf39Bc8EdPpKbxPRZ7Q" TargetMode="External"/><Relationship Id="rId2095" Type="http://schemas.openxmlformats.org/officeDocument/2006/relationships/hyperlink" Target="https://www.google.com/url?q=https://github.com/mostafa-saad/MyCompetitiveProgramming/blob/master/Olympiad/JOI/JOIOC-16-joiris.txt&amp;sa=D&amp;ust=1605639832567000&amp;usg=AFQjCNFuzcJz0GI1N51yu_NdGhTf2tMclA" TargetMode="External"/><Relationship Id="rId274" Type="http://schemas.openxmlformats.org/officeDocument/2006/relationships/hyperlink" Target="https://www.google.com/url?q=https://github.com/tmwilliamlin168/CompetitiveProgramming/blob/master/BtOI/14-Portals.cpp&amp;sa=D&amp;ust=1605639832034000&amp;usg=AFQjCNH5VGhsW8aKbfFwCXFIA14kYotUBQ" TargetMode="External"/><Relationship Id="rId481" Type="http://schemas.openxmlformats.org/officeDocument/2006/relationships/hyperlink" Target="https://www.google.com/url?q=https://github.com/tmwilliamlin168/CompetitiveProgramming/blob/master/CEOI/13-Adriatic.cpp&amp;sa=D&amp;ust=1605639832102000&amp;usg=AFQjCNEpo23HyUlpqJmslDRdNbfnKIyHAA" TargetMode="External"/><Relationship Id="rId2162" Type="http://schemas.openxmlformats.org/officeDocument/2006/relationships/hyperlink" Target="https://www.google.com/url?q=https://joisc2016.contest.atcoder.jp/tasks/joisc2016_l&amp;sa=D&amp;ust=1605639832598000&amp;usg=AFQjCNFgYz2hJP1jNPN5pkSxxJd2NlPKqw" TargetMode="External"/><Relationship Id="rId3006" Type="http://schemas.openxmlformats.org/officeDocument/2006/relationships/hyperlink" Target="https://www.google.com/url?q=http://www.usaco.org/index.php?page%3Dviewproblem2%26cpid%3D1022&amp;sa=D&amp;ust=1605639832870000&amp;usg=AFQjCNGP6vEKPA2tvmJ8V-41vNKbqRW2yA" TargetMode="External"/><Relationship Id="rId134" Type="http://schemas.openxmlformats.org/officeDocument/2006/relationships/hyperlink" Target="https://www.google.com/url?q=https://bytefreaks.net/cyprus-computer-society/tasks-balkan-olympiad-in-informatics-2016&amp;sa=D&amp;ust=1605639831994000&amp;usg=AFQjCNFr92p2SyFIxnX11nw7RjkC0wUw9A" TargetMode="External"/><Relationship Id="rId341" Type="http://schemas.openxmlformats.org/officeDocument/2006/relationships/hyperlink" Target="https://www.google.com/url?q=https://open.kattis.com/problem-sources/Baltic%2520Olympiad%2520in%2520Informatics%25202017%252C%2520Warmup&amp;sa=D&amp;ust=1605639832048000&amp;usg=AFQjCNHO1pqZGd9nOWj_SbIZ0HI1ufiKsw" TargetMode="External"/><Relationship Id="rId2022" Type="http://schemas.openxmlformats.org/officeDocument/2006/relationships/hyperlink" Target="https://www.google.com/url?q=https://joi2014ho.contest.atcoder.jp/tasks/joi2014ho3&amp;sa=D&amp;ust=1605639832545000&amp;usg=AFQjCNG3cPGBYET736fQvBomxiYJTlcULA" TargetMode="External"/><Relationship Id="rId2979" Type="http://schemas.openxmlformats.org/officeDocument/2006/relationships/hyperlink" Target="https://www.google.com/url?q=https://github.com/luciocf/OI-Problems/blob/master/USACO/USACO%25202017-2018/Plat/US%2520Open/disrupt.cpp&amp;sa=D&amp;ust=1605639832859000&amp;usg=AFQjCNEyyhTruB2JV4mSukBP5r_8d6LU9g" TargetMode="External"/><Relationship Id="rId201" Type="http://schemas.openxmlformats.org/officeDocument/2006/relationships/hyperlink" Target="https://www.google.com/url?q=https://github.com/mostafa-saad/MyCompetitiveProgramming/blob/master/Olympiad/Baltic/Baltic-09-Beetles.txt&amp;sa=D&amp;ust=1605639832015000&amp;usg=AFQjCNFjIuQwmRT6ehn8JtL4Ka_S5jq-Lw" TargetMode="External"/><Relationship Id="rId1788" Type="http://schemas.openxmlformats.org/officeDocument/2006/relationships/hyperlink" Target="https://www.google.com/url?q=https://github.com/mostafa-saad/MyCompetitiveProgramming/blob/master/Olympiad/IOI/official/2011&amp;sa=D&amp;ust=1605639832472000&amp;usg=AFQjCNH5lHFA90mF_oztZjN0PVYViOcK0w" TargetMode="External"/><Relationship Id="rId1995" Type="http://schemas.openxmlformats.org/officeDocument/2006/relationships/hyperlink" Target="https://www.google.com/url?q=https://github.com/stefdasca/CompetitiveProgramming/blob/master/IZhO/IZhO%252017-money.cpp&amp;sa=D&amp;ust=1605639832537000&amp;usg=AFQjCNGBCpP5rXGfXi5eNF5rF4g78C98rg" TargetMode="External"/><Relationship Id="rId2839" Type="http://schemas.openxmlformats.org/officeDocument/2006/relationships/hyperlink" Target="https://www.google.com/url?q=https://szkopul.edu.pl/problemset/problem/guoc36QCEe4q47qruYB7HBV-/site/&amp;sa=D&amp;ust=1605639832800000&amp;usg=AFQjCNHHY6lFPCQmt9kQCnhvkST5g0Ypsw" TargetMode="External"/><Relationship Id="rId1648" Type="http://schemas.openxmlformats.org/officeDocument/2006/relationships/hyperlink" Target="https://www.google.com/url?q=https://github.com/mostafa-saad/MyCompetitiveProgramming/blob/master/Olympiad/IOI/official/2000&amp;sa=D&amp;ust=1605639832428000&amp;usg=AFQjCNGZoukRAHU0EZAKZikdS6df_ZV0YA" TargetMode="External"/><Relationship Id="rId1508" Type="http://schemas.openxmlformats.org/officeDocument/2006/relationships/hyperlink" Target="https://www.google.com/url?q=https://www.infoarena.ro/problema/matrice2&amp;sa=D&amp;ust=1605639832382000&amp;usg=AFQjCNGdQpAANASwukhAv9XdCmCXIaY3EA" TargetMode="External"/><Relationship Id="rId1855" Type="http://schemas.openxmlformats.org/officeDocument/2006/relationships/hyperlink" Target="https://www.google.com/url?q=https://github.com/mostafa-saad/MyCompetitiveProgramming/blob/master/Olympiad/IOI/official/2017&amp;sa=D&amp;ust=1605639832494000&amp;usg=AFQjCNHra2L8Tqfu_fM235rUHHDc7zcMIA" TargetMode="External"/><Relationship Id="rId2906" Type="http://schemas.openxmlformats.org/officeDocument/2006/relationships/hyperlink" Target="https://www.google.com/url?q=http://usaco.org/index.php?page%3Dviewproblem2%26cpid%3D101&amp;sa=D&amp;ust=1605639832821000&amp;usg=AFQjCNE6hAbOpDkMPfh8UO5hlBE3tXX1QQ" TargetMode="External"/><Relationship Id="rId1715" Type="http://schemas.openxmlformats.org/officeDocument/2006/relationships/hyperlink" Target="https://www.google.com/url?q=https://contest.yandex.ru/ioi/contest/562/problems/E/&amp;sa=D&amp;ust=1605639832447000&amp;usg=AFQjCNGUzWI5SUWmwxmscjwqnzilvBauiQ" TargetMode="External"/><Relationship Id="rId1922" Type="http://schemas.openxmlformats.org/officeDocument/2006/relationships/hyperlink" Target="https://www.google.com/url?q=https://csacademy.com/contest/ioi-2016-training-round-2/task/increasing_subarrays/&amp;sa=D&amp;ust=1605639832516000&amp;usg=AFQjCNHaaj2lcDzra4-l18I1iLYcAN3pUQ" TargetMode="External"/><Relationship Id="rId2489" Type="http://schemas.openxmlformats.org/officeDocument/2006/relationships/hyperlink" Target="https://www.google.com/url?q=https://szkopul.edu.pl/problemset/problem/JIRgi7mvHIkqfldzgqILaMqr/site/&amp;sa=D&amp;ust=1605639832710000&amp;usg=AFQjCNEWIc3N457fYz2vGoJCAlcS6Fo2tA" TargetMode="External"/><Relationship Id="rId2696" Type="http://schemas.openxmlformats.org/officeDocument/2006/relationships/hyperlink" Target="https://www.google.com/url?q=https://github.com/mostafa-saad/MyCompetitiveProgramming/blob/master/Olympiad/POI/official/find_editorial_sols_guidelines.txt&amp;sa=D&amp;ust=1605639832757000&amp;usg=AFQjCNGECw3ddc7HEnofOaFdYrnmNF4n7A" TargetMode="External"/><Relationship Id="rId668" Type="http://schemas.openxmlformats.org/officeDocument/2006/relationships/hyperlink" Target="https://www.google.com/url?q=https://dmoj.ca/problem/coci07c2p5&amp;sa=D&amp;ust=1605639832145000&amp;usg=AFQjCNE5YL-rEpd14WX48FjMa1h2-cvA6w" TargetMode="External"/><Relationship Id="rId875" Type="http://schemas.openxmlformats.org/officeDocument/2006/relationships/hyperlink" Target="https://www.google.com/url?q=https://dunjudge.me/analysis/problems/1380/&amp;sa=D&amp;ust=1605639832201000&amp;usg=AFQjCNFmnmXTiMhMmIJOMD1dWiGxs28XbQ" TargetMode="External"/><Relationship Id="rId1298" Type="http://schemas.openxmlformats.org/officeDocument/2006/relationships/hyperlink" Target="https://www.google.com/url?q=https://cses.fi/problemset/task/1654&amp;sa=D&amp;ust=1605639832324000&amp;usg=AFQjCNHt8cTp3Efze8iGp7oXBouOIbVQzw" TargetMode="External"/><Relationship Id="rId2349" Type="http://schemas.openxmlformats.org/officeDocument/2006/relationships/hyperlink" Target="https://www.google.com/url?q=https://oj.uz/problem/view/NOI14_orchard&amp;sa=D&amp;ust=1605639832658000&amp;usg=AFQjCNGfwncmHaYi_GfwqOEzj9zFCH3-ug" TargetMode="External"/><Relationship Id="rId2556" Type="http://schemas.openxmlformats.org/officeDocument/2006/relationships/hyperlink" Target="https://www.google.com/url?q=https://github.com/mostafa-saad/MyCompetitiveProgramming/blob/master/Olympiad/POI/POI-07-Flood.txt&amp;sa=D&amp;ust=1605639832727000&amp;usg=AFQjCNEv0vODuJhh8AAgczVHiMIu5xji1A" TargetMode="External"/><Relationship Id="rId2763" Type="http://schemas.openxmlformats.org/officeDocument/2006/relationships/hyperlink" Target="https://www.google.com/url?q=https://szkopul.edu.pl/problemset/problem/4roJ2TqCXhLN6ftK2jiWKlO9/site/&amp;sa=D&amp;ust=1605639832774000&amp;usg=AFQjCNH9JBVNgzGJNB7eARtyTSW5TLKkYQ" TargetMode="External"/><Relationship Id="rId2970" Type="http://schemas.openxmlformats.org/officeDocument/2006/relationships/hyperlink" Target="https://www.google.com/url?q=http://usaco.org/index.php?page%3Dviewproblem2%26cpid%3D817&amp;sa=D&amp;ust=1605639832844000&amp;usg=AFQjCNGuNG9y-hgUq2EyrcKbPgu61uJHkA" TargetMode="External"/><Relationship Id="rId528" Type="http://schemas.openxmlformats.org/officeDocument/2006/relationships/hyperlink" Target="https://www.google.com/url?q=https://csacademy.com/contest/ceoi-2017-day-1/tasks/&amp;sa=D&amp;ust=1605639832115000&amp;usg=AFQjCNFiIgaayHNHB-H-zyLd-4CSZ73w8w" TargetMode="External"/><Relationship Id="rId735" Type="http://schemas.openxmlformats.org/officeDocument/2006/relationships/hyperlink" Target="https://www.google.com/url?q=https://github.com/mostafa-saad/MyCompetitiveProgramming/blob/master/Olympiad/COCI/COCI-08-Dostava.txt&amp;sa=D&amp;ust=1605639832159000&amp;usg=AFQjCNEXuRW_V_-USiQfPSscE0NFYZBEyw" TargetMode="External"/><Relationship Id="rId942" Type="http://schemas.openxmlformats.org/officeDocument/2006/relationships/hyperlink" Target="https://www.google.com/url?q=https://dmoj.ca/problem/coci14c6p3&amp;sa=D&amp;ust=1605639832218000&amp;usg=AFQjCNFwpve0zfp69r5dwv9zg3hY-GAgEg" TargetMode="External"/><Relationship Id="rId1158" Type="http://schemas.openxmlformats.org/officeDocument/2006/relationships/hyperlink" Target="https://www.google.com/url?q=https://oj.uz/problem/view/COCI18_spirale&amp;sa=D&amp;ust=1605639832278000&amp;usg=AFQjCNFUSOyfNTGUWUoqySKmTG6Lpi8teg" TargetMode="External"/><Relationship Id="rId1365" Type="http://schemas.openxmlformats.org/officeDocument/2006/relationships/hyperlink" Target="https://www.google.com/url?q=https://oj.uz/problem/view/info1cup18_norela&amp;sa=D&amp;ust=1605639832344000&amp;usg=AFQjCNGW7jpXstZBypDgbXTcdxh1uRuKDw" TargetMode="External"/><Relationship Id="rId1572" Type="http://schemas.openxmlformats.org/officeDocument/2006/relationships/hyperlink" Target="https://www.google.com/url?q=https://github.com/stefdasca/CompetitiveProgramming/blob/master/Infoarena/profit.cpp&amp;sa=D&amp;ust=1605639832404000&amp;usg=AFQjCNEj4FYDTD0BjflLeZnyJ-wpMs4n-w" TargetMode="External"/><Relationship Id="rId2209" Type="http://schemas.openxmlformats.org/officeDocument/2006/relationships/hyperlink" Target="https://www.google.com/url?q=https://oj.uz/problems/source/313&amp;sa=D&amp;ust=1605639832615000&amp;usg=AFQjCNG704OrBYpYuDqTO_85nRzWKHMY-g" TargetMode="External"/><Relationship Id="rId2416" Type="http://schemas.openxmlformats.org/officeDocument/2006/relationships/hyperlink" Target="https://www.google.com/url?q=https://dunjudge.me/analysis/problems/45/&amp;sa=D&amp;ust=1605639832681000&amp;usg=AFQjCNFE2Lc5xguSFF8Vc5YCqSIrnMNe5g" TargetMode="External"/><Relationship Id="rId2623" Type="http://schemas.openxmlformats.org/officeDocument/2006/relationships/hyperlink" Target="https://www.google.com/url?q=https://szkopul.edu.pl/problemset/problem/iiSZmNzhLW2p6YVBDu0gIf4G/site/&amp;sa=D&amp;ust=1605639832743000&amp;usg=AFQjCNG3Vzu4e0NHLno0qKIvq3XKghRvgw" TargetMode="External"/><Relationship Id="rId1018" Type="http://schemas.openxmlformats.org/officeDocument/2006/relationships/hyperlink" Target="https://www.google.com/url?q=https://github.com/mostafa-saad/MyCompetitiveProgramming/blob/master/Olympiad/COCI/COCI-15-uzastopni.txt&amp;sa=D&amp;ust=1605639832239000&amp;usg=AFQjCNEbEaQMw0eCwsh2FZutLkD9pWs2qg" TargetMode="External"/><Relationship Id="rId1225" Type="http://schemas.openxmlformats.org/officeDocument/2006/relationships/hyperlink" Target="https://www.google.com/url?q=https://wcipeg.com/problem/coci087p5&amp;sa=D&amp;ust=1605639832306000&amp;usg=AFQjCNH9Y9u-YulhGzRC3Z0wxcJflvF5ng" TargetMode="External"/><Relationship Id="rId1432" Type="http://schemas.openxmlformats.org/officeDocument/2006/relationships/hyperlink" Target="https://www.google.com/url?q=https://github.com/stefdasca/CompetitiveProgramming/blob/master/Infoarena/color.cpp&amp;sa=D&amp;ust=1605639832359000&amp;usg=AFQjCNH-k9yrtTCE-11FjDUx3d1Vqc_glg" TargetMode="External"/><Relationship Id="rId2830" Type="http://schemas.openxmlformats.org/officeDocument/2006/relationships/hyperlink" Target="https://www.google.com/url?q=https://github.com/Shash-Wat/competitive-programming/blob/master/POI/poi_sport.cpp&amp;sa=D&amp;ust=1605639832797000&amp;usg=AFQjCNE9u7tbxzDHQdlyk3wPoT6DzrBESQ" TargetMode="External"/><Relationship Id="rId71" Type="http://schemas.openxmlformats.org/officeDocument/2006/relationships/hyperlink" Target="https://www.google.com/url?q=https://github.com/mostafa-saad/MyCompetitiveProgramming/blob/master/Olympiad/APIO/APIO-19-bridges.txt&amp;sa=D&amp;ust=1605639831971000&amp;usg=AFQjCNFRv-rkgrHbbzfO8Nx6tsYfFKIoKw" TargetMode="External"/><Relationship Id="rId802" Type="http://schemas.openxmlformats.org/officeDocument/2006/relationships/hyperlink" Target="https://www.google.com/url?q=https://wcipeg.com/problem/coci091p3&amp;sa=D&amp;ust=1605639832177000&amp;usg=AFQjCNEj3tx8osRD1l99Yw-I-vfXpqoEpQ" TargetMode="External"/><Relationship Id="rId178" Type="http://schemas.openxmlformats.org/officeDocument/2006/relationships/hyperlink" Target="https://www.google.com/url?q=https://github.com/mostafa-saad/MyCompetitiveProgramming/blob/master/Olympiad/Baltic/Baltic-07-Escape.txt&amp;sa=D&amp;ust=1605639832008000&amp;usg=AFQjCNGI7-1mA4h680zipEl2X4n5pmYzTw" TargetMode="External"/><Relationship Id="rId385" Type="http://schemas.openxmlformats.org/officeDocument/2006/relationships/hyperlink" Target="https://www.google.com/url?q=https://www.acmicpc.net/problem/2284&amp;sa=D&amp;ust=1605639832071000&amp;usg=AFQjCNGx1jzLmZhovgPgy_M2UAposaulDQ" TargetMode="External"/><Relationship Id="rId592" Type="http://schemas.openxmlformats.org/officeDocument/2006/relationships/hyperlink" Target="https://www.google.com/url?q=https://dmoj.ca/problem/coci06c6p2&amp;sa=D&amp;ust=1605639832130000&amp;usg=AFQjCNEr1R-VqreTta2_lQVG-SLYfUIleQ" TargetMode="External"/><Relationship Id="rId2066" Type="http://schemas.openxmlformats.org/officeDocument/2006/relationships/hyperlink" Target="https://www.google.com/url?q=https://oj.uz/problem/view/JOI20_ho_t3&amp;sa=D&amp;ust=1605639832559000&amp;usg=AFQjCNGBQ2vzP7spNHDRCNYPK-FFVTkMOA" TargetMode="External"/><Relationship Id="rId2273" Type="http://schemas.openxmlformats.org/officeDocument/2006/relationships/hyperlink" Target="https://www.google.com/url?q=https://github.com/mostafa-saad/MyCompetitiveProgramming/tree/master/Olympiad/MCO/official&amp;sa=D&amp;ust=1605639832637000&amp;usg=AFQjCNGNiL787G-dFiolNjjgB2qql4EjjA" TargetMode="External"/><Relationship Id="rId2480" Type="http://schemas.openxmlformats.org/officeDocument/2006/relationships/hyperlink" Target="https://www.google.com/url?q=https://github.com/HeartBlue/CompetitiveProgramming/blob/master/POI/POI%252000-SPO%2520Peaceful%2520Commission.cpp&amp;sa=D&amp;ust=1605639832707000&amp;usg=AFQjCNF7X56mrGKdXgJbV0eETsYu16rb8A" TargetMode="External"/><Relationship Id="rId245" Type="http://schemas.openxmlformats.org/officeDocument/2006/relationships/hyperlink" Target="https://www.google.com/url?q=https://github.com/mostafa-saad/MyCompetitiveProgramming/blob/master/Olympiad/Baltic/Baltic-12-Fire.txt&amp;sa=D&amp;ust=1605639832027000&amp;usg=AFQjCNFR1z0Pz9DrXzWtsxov8hDt1nHR2w" TargetMode="External"/><Relationship Id="rId452" Type="http://schemas.openxmlformats.org/officeDocument/2006/relationships/hyperlink" Target="https://www.google.com/url?q=https://github.com/mostafa-saad/MyCompetitiveProgramming/tree/master/Olympiad/CEOI/official/2009&amp;sa=D&amp;ust=1605639832093000&amp;usg=AFQjCNHRtkGbEbyhIMjg4_I9kgO554_54Q" TargetMode="External"/><Relationship Id="rId1082" Type="http://schemas.openxmlformats.org/officeDocument/2006/relationships/hyperlink" Target="https://www.google.com/url?q=https://github.com/mostafa-saad/MyCompetitiveProgramming/blob/master/Olympiad/COCI/COCI-17-kas.txt&amp;sa=D&amp;ust=1605639832254000&amp;usg=AFQjCNGhLdVHUllYOrinV0SMnVYEJ669Cg" TargetMode="External"/><Relationship Id="rId2133" Type="http://schemas.openxmlformats.org/officeDocument/2006/relationships/hyperlink" Target="https://www.google.com/url?q=https://joisc2014.contest.atcoder.jp/tasks/joisc2014_k&amp;sa=D&amp;ust=1605639832583000&amp;usg=AFQjCNE2_RPUTPWOleyelxSdfRrWmAB0xA" TargetMode="External"/><Relationship Id="rId2340" Type="http://schemas.openxmlformats.org/officeDocument/2006/relationships/hyperlink" Target="https://www.google.com/url?q=https://dunjudge.me/analysis/problems/281/&amp;sa=D&amp;ust=1605639832656000&amp;usg=AFQjCNG6svmQe56JyoZGNVdhzisf4cdimQ" TargetMode="External"/><Relationship Id="rId105" Type="http://schemas.openxmlformats.org/officeDocument/2006/relationships/hyperlink" Target="https://www.google.com/url?q=https://www.acmicpc.net/problem/5252&amp;sa=D&amp;ust=1605639831984000&amp;usg=AFQjCNHjVCxTV3uW_EG6KR1blFfkbJ9c4A" TargetMode="External"/><Relationship Id="rId312" Type="http://schemas.openxmlformats.org/officeDocument/2006/relationships/hyperlink" Target="https://www.google.com/url?q=https://github.com/Szawinis/CompetitiveProgramming/blob/master/Olympiad/Baltic/Baltic17-toll.cpp&amp;sa=D&amp;ust=1605639832041000&amp;usg=AFQjCNGENNp_-Rve5ro5oryVmW461kWkzQ" TargetMode="External"/><Relationship Id="rId2200" Type="http://schemas.openxmlformats.org/officeDocument/2006/relationships/hyperlink" Target="https://www.google.com/url?q=https://oj.uz/problems/source/313&amp;sa=D&amp;ust=1605639832613000&amp;usg=AFQjCNHV_dzAj7pX6E5GWqETsMfhCjZXAg" TargetMode="External"/><Relationship Id="rId1899" Type="http://schemas.openxmlformats.org/officeDocument/2006/relationships/hyperlink" Target="https://www.google.com/url?q=https://github.com/mostafa-saad/MyCompetitiveProgramming/blob/master/Olympiad/IOI/IOIPractice-14-color-grid-ioi14.txt&amp;sa=D&amp;ust=1605639832508000&amp;usg=AFQjCNGsT1NMmUqByO-2-6dsPPawxWNq4Q" TargetMode="External"/><Relationship Id="rId1759" Type="http://schemas.openxmlformats.org/officeDocument/2006/relationships/hyperlink" Target="https://www.google.com/url?q=https://oj.uz/problem/view/IOI09_salesman&amp;sa=D&amp;ust=1605639832460000&amp;usg=AFQjCNHgN4JyBbIXpu-qFYWc3YuiBT_c5g" TargetMode="External"/><Relationship Id="rId1966" Type="http://schemas.openxmlformats.org/officeDocument/2006/relationships/hyperlink" Target="https://www.google.com/url?q=https://oj.uz/problem/view/IZhO11_triangle&amp;sa=D&amp;ust=1605639832528000&amp;usg=AFQjCNGGFu8zfwZBP4b_wwi7wKrOm-hP2Q" TargetMode="External"/><Relationship Id="rId1619" Type="http://schemas.openxmlformats.org/officeDocument/2006/relationships/hyperlink" Target="https://www.google.com/url?q=https://www.infoarena.ro/problema/v2d&amp;sa=D&amp;ust=1605639832419000&amp;usg=AFQjCNGbSwWZguM80EvGh1ngdB0w0EIeiQ" TargetMode="External"/><Relationship Id="rId1826" Type="http://schemas.openxmlformats.org/officeDocument/2006/relationships/hyperlink" Target="https://www.google.com/url?q=https://github.com/mostafa-saad/MyCompetitiveProgramming/blob/master/Olympiad/IOI/official/2015&amp;sa=D&amp;ust=1605639832484000&amp;usg=AFQjCNHFewgqkEDosaEXpiczL2pQxBTUTw" TargetMode="External"/><Relationship Id="rId779" Type="http://schemas.openxmlformats.org/officeDocument/2006/relationships/hyperlink" Target="https://www.google.com/url?q=https://github.com/mostafa-saad/MyCompetitiveProgramming/blob/master/Olympiad/COCI/official/2009/contest1_solutions&amp;sa=D&amp;ust=1605639832169000&amp;usg=AFQjCNE1m_-mxPWj8owRB5M_7tk6NfUIIQ" TargetMode="External"/><Relationship Id="rId986" Type="http://schemas.openxmlformats.org/officeDocument/2006/relationships/hyperlink" Target="https://www.google.com/url?q=https://oj.uz/problem/view/COCI15_akcija&amp;sa=D&amp;ust=1605639832230000&amp;usg=AFQjCNF4WyR96EOAdCJ2gska9-gYA4pteg" TargetMode="External"/><Relationship Id="rId2667" Type="http://schemas.openxmlformats.org/officeDocument/2006/relationships/hyperlink" Target="https://www.google.com/url?q=https://szkopul.edu.pl/problemset/problem/YPme8cPuC1zbS3oA0euLxywx/site/&amp;sa=D&amp;ust=1605639832751000&amp;usg=AFQjCNHkfW_jP1Nx9FqR8hIGv2q6ouhnWQ" TargetMode="External"/><Relationship Id="rId639" Type="http://schemas.openxmlformats.org/officeDocument/2006/relationships/hyperlink" Target="https://www.google.com/url?q=https://github.com/mostafa-saad/MyCompetitiveProgramming/tree/master/Olympiad/COCI/official/2007/contest4_solutions&amp;sa=D&amp;ust=1605639832139000&amp;usg=AFQjCNEnhWfn3y7c--fPxa14exkvKW6LQw" TargetMode="External"/><Relationship Id="rId1269" Type="http://schemas.openxmlformats.org/officeDocument/2006/relationships/hyperlink" Target="https://www.google.com/url?q=https://github.com/mostafa-saad/MyCompetitiveProgramming/blob/master/Olympiad/COI/COI-16-palinilap.txt&amp;sa=D&amp;ust=1605639832317000&amp;usg=AFQjCNHfjcgY61BODF5E6h2xIPwNK8bcBg" TargetMode="External"/><Relationship Id="rId1476" Type="http://schemas.openxmlformats.org/officeDocument/2006/relationships/hyperlink" Target="https://www.google.com/url?q=https://www.infoarena.ro/problema/heavymetal&amp;sa=D&amp;ust=1605639832372000&amp;usg=AFQjCNFuTbRS-stPnds454rWAjiGSjRXuw" TargetMode="External"/><Relationship Id="rId2874" Type="http://schemas.openxmlformats.org/officeDocument/2006/relationships/hyperlink" Target="https://www.google.com/url?q=https://github.com/dolphingarlic/CompetitiveProgramming/blob/master/infoarena/ROUSelection%252017-rooms.cpp&amp;sa=D&amp;ust=1605639832811000&amp;usg=AFQjCNHdjEQc1QIxCRy6qMsUQ1TQLnzQ6g" TargetMode="External"/><Relationship Id="rId846" Type="http://schemas.openxmlformats.org/officeDocument/2006/relationships/hyperlink" Target="https://www.google.com/url?q=https://github.com/mostafa-saad/MyCompetitiveProgramming/blob/master/Olympiad/COCI/official/2010/contest5_solutions&amp;sa=D&amp;ust=1605639832193000&amp;usg=AFQjCNG1_5YSE0lTLLaoCRZ3f0fBJEEiYw" TargetMode="External"/><Relationship Id="rId1129" Type="http://schemas.openxmlformats.org/officeDocument/2006/relationships/hyperlink" Target="https://www.google.com/url?q=https://oj.uz/problem/view/COCI17_vode&amp;sa=D&amp;ust=1605639832266000&amp;usg=AFQjCNHXtHeqkNkZENcKxsgQJMAf7KAy1w" TargetMode="External"/><Relationship Id="rId1683" Type="http://schemas.openxmlformats.org/officeDocument/2006/relationships/hyperlink" Target="https://www.google.com/url?q=https://contest.yandex.ru/ioi/contest/558/enter/&amp;sa=D&amp;ust=1605639832438000&amp;usg=AFQjCNGJY2eVsYhMkoaViAYjmXaF1mDxIA" TargetMode="External"/><Relationship Id="rId1890" Type="http://schemas.openxmlformats.org/officeDocument/2006/relationships/hyperlink" Target="https://www.google.com/url?q=https://oj.uz/problem/view/IOI19_walk&amp;sa=D&amp;ust=1605639832506000&amp;usg=AFQjCNGCvN6IqPdWpLJAYO47-TRlS3PrhA" TargetMode="External"/><Relationship Id="rId2527" Type="http://schemas.openxmlformats.org/officeDocument/2006/relationships/hyperlink" Target="https://www.google.com/url?q=https://szkopul.edu.pl/problemset/problem/w_-1ZgA1RSQ0IpPqx_1BXb6M/site/&amp;sa=D&amp;ust=1605639832721000&amp;usg=AFQjCNEx-1L9DsDefbFz-AWAhQTRrzceUw" TargetMode="External"/><Relationship Id="rId2734" Type="http://schemas.openxmlformats.org/officeDocument/2006/relationships/hyperlink" Target="https://www.google.com/url?q=https://github.com/mostafa-saad/MyCompetitiveProgramming/blob/master/Olympiad/POI/official/find_editorial_sols_guidelines.txt&amp;sa=D&amp;ust=1605639832764000&amp;usg=AFQjCNF9eHUYDgPSlRn6-aNQysvYKk7g0g" TargetMode="External"/><Relationship Id="rId2941" Type="http://schemas.openxmlformats.org/officeDocument/2006/relationships/hyperlink" Target="https://www.google.com/url?q=http://usaco.org/index.php?page%3Dviewproblem2%26cpid%3D624&amp;sa=D&amp;ust=1605639832832000&amp;usg=AFQjCNER1QOxJY_O_GXUzrPEYc8ylJtzTA" TargetMode="External"/><Relationship Id="rId706" Type="http://schemas.openxmlformats.org/officeDocument/2006/relationships/hyperlink" Target="https://www.google.com/url?q=https://dmoj.ca/problem/coci07c1p6&amp;sa=D&amp;ust=1605639832153000&amp;usg=AFQjCNGtIv4MjZvR8wKbyu2whnuWuXLxNg" TargetMode="External"/><Relationship Id="rId913" Type="http://schemas.openxmlformats.org/officeDocument/2006/relationships/hyperlink" Target="https://www.google.com/url?q=https://dunjudge.me/analysis/problems/1411/&amp;sa=D&amp;ust=1605639832212000&amp;usg=AFQjCNFk46HEjg1S-6W43EZg6XOxuHV-VA" TargetMode="External"/><Relationship Id="rId1336" Type="http://schemas.openxmlformats.org/officeDocument/2006/relationships/hyperlink" Target="https://www.google.com/url?q=https://github.com/Rockbet/Problems/blob/master/EJOI/2017/Day%25202/Game.cpp&amp;sa=D&amp;ust=1605639832335000&amp;usg=AFQjCNF0p_0hg9dqMnVc3Hy0fk8qdQuJJA" TargetMode="External"/><Relationship Id="rId1543" Type="http://schemas.openxmlformats.org/officeDocument/2006/relationships/hyperlink" Target="https://www.google.com/url?q=https://github.com/stefdasca/CompetitiveProgramming/blob/master/Infoarena/panza.cpp&amp;sa=D&amp;ust=1605639832394000&amp;usg=AFQjCNEq4E6Wp43w-E_NuxlPqMAIPRdYnA" TargetMode="External"/><Relationship Id="rId1750" Type="http://schemas.openxmlformats.org/officeDocument/2006/relationships/hyperlink" Target="https://www.google.com/url?q=https://github.com/mostafa-saad/MyCompetitiveProgramming/blob/master/Olympiad/IOI/official/2009&amp;sa=D&amp;ust=1605639832457000&amp;usg=AFQjCNG2QDApUFooe3nRQ7E-HB1A7Pwogw" TargetMode="External"/><Relationship Id="rId2801" Type="http://schemas.openxmlformats.org/officeDocument/2006/relationships/hyperlink" Target="https://www.google.com/url?q=https://szkopul.edu.pl/problemset/problem/Mk-9GNDtSal6h_8T4n9Ezq9M/site/&amp;sa=D&amp;ust=1605639832786000&amp;usg=AFQjCNE0pdEX_KEPobE-ttbsWNSvDkWEoQ" TargetMode="External"/><Relationship Id="rId42" Type="http://schemas.openxmlformats.org/officeDocument/2006/relationships/hyperlink" Target="https://www.google.com/url?q=https://dmoj.ca/problem/apio14p1&amp;sa=D&amp;ust=1605639831961000&amp;usg=AFQjCNEdf_iABNNUmif1cVfWj-7tq0_VDg" TargetMode="External"/><Relationship Id="rId1403" Type="http://schemas.openxmlformats.org/officeDocument/2006/relationships/hyperlink" Target="https://www.google.com/url?q=https://github.com/stefdasca/CompetitiveProgramming/blob/master/Infoarena/asmin.cpp&amp;sa=D&amp;ust=1605639832353000&amp;usg=AFQjCNEtWHEl34wNW6NtPMUSgjqb_K_jcA" TargetMode="External"/><Relationship Id="rId1610" Type="http://schemas.openxmlformats.org/officeDocument/2006/relationships/hyperlink" Target="https://www.google.com/url?q=https://github.com/stefdasca/CompetitiveProgramming/blob/master/Infoarena/treesearch.cpp&amp;sa=D&amp;ust=1605639832416000&amp;usg=AFQjCNHPBZ823JVQbLEIQkj5JjU8PfTvHg" TargetMode="External"/><Relationship Id="rId289" Type="http://schemas.openxmlformats.org/officeDocument/2006/relationships/hyperlink" Target="https://www.google.com/url?q=https://oj.uz/problem/view/BOI15_tug&amp;sa=D&amp;ust=1605639832037000&amp;usg=AFQjCNFO7fIC8vepv6Yabr_9ExyM6P_VEg" TargetMode="External"/><Relationship Id="rId496" Type="http://schemas.openxmlformats.org/officeDocument/2006/relationships/hyperlink" Target="https://www.google.com/url?q=https://oj.uz/problems/source/120&amp;sa=D&amp;ust=1605639832106000&amp;usg=AFQjCNGjzk5MPphoncSPfK62kM7xjYKktA" TargetMode="External"/><Relationship Id="rId2177" Type="http://schemas.openxmlformats.org/officeDocument/2006/relationships/hyperlink" Target="https://www.google.com/url?q=https://github.com/mostafa-saad/MyCompetitiveProgramming/blob/master/Olympiad/JOI/JOISC-17-city.txt&amp;sa=D&amp;ust=1605639832605000&amp;usg=AFQjCNE__kqL9Xst3W9Asx3C0uJKCft1aQ" TargetMode="External"/><Relationship Id="rId2384" Type="http://schemas.openxmlformats.org/officeDocument/2006/relationships/hyperlink" Target="https://www.google.com/url?q=https://github.com/mostafa-saad/MyCompetitiveProgramming/blob/master/Olympiad/NOI/official&amp;sa=D&amp;ust=1605639832667000&amp;usg=AFQjCNHMbf5v1We1Ch7yQJl3FzR3guiV8A" TargetMode="External"/><Relationship Id="rId2591" Type="http://schemas.openxmlformats.org/officeDocument/2006/relationships/hyperlink" Target="https://www.google.com/url?q=https://szkopul.edu.pl/problemset/problem/NZhJzNZct1iBas2bPCvlvls5/site/&amp;sa=D&amp;ust=1605639832736000&amp;usg=AFQjCNFZF64qs8PNl93Zz7TVvpBsA5oUEQ" TargetMode="External"/><Relationship Id="rId149" Type="http://schemas.openxmlformats.org/officeDocument/2006/relationships/hyperlink" Target="https://www.google.com/url?q=https://oj.uz/problem/view/BOI18_parentrises&amp;sa=D&amp;ust=1605639831999000&amp;usg=AFQjCNF4fSw_xhEhlFCyt9F6XedFAk_9ZQ" TargetMode="External"/><Relationship Id="rId356" Type="http://schemas.openxmlformats.org/officeDocument/2006/relationships/hyperlink" Target="https://www.google.com/url?q=https://dmoj.ca/problem/cco13p2&amp;sa=D&amp;ust=1605639832054000&amp;usg=AFQjCNGMYkfVSObnXf4PRdcFpzOZSXFhYw" TargetMode="External"/><Relationship Id="rId563" Type="http://schemas.openxmlformats.org/officeDocument/2006/relationships/hyperlink" Target="https://www.google.com/url?q=https://github.com/mostafa-saad/MyCompetitiveProgramming/tree/master/Olympiad/COCI/official/2007/regional_solutions&amp;sa=D&amp;ust=1605639832123000&amp;usg=AFQjCNFsEs2GqH88IW2jCl22o56RTMIwVg" TargetMode="External"/><Relationship Id="rId770" Type="http://schemas.openxmlformats.org/officeDocument/2006/relationships/hyperlink" Target="https://www.google.com/url?q=https://dmoj.ca/problem/coci08c1p2&amp;sa=D&amp;ust=1605639832167000&amp;usg=AFQjCNELgfPcnLZmwTOuVFz8PjQejCzVrw" TargetMode="External"/><Relationship Id="rId1193" Type="http://schemas.openxmlformats.org/officeDocument/2006/relationships/hyperlink" Target="https://www.google.com/url?q=https://github.com/dolphingarlic/CompetitiveProgramming/blob/master/COI/COCI%252020-emacs.cpp&amp;sa=D&amp;ust=1605639832293000&amp;usg=AFQjCNFOqUqcuASV7MBRD5sAp5ULi5bo8w" TargetMode="External"/><Relationship Id="rId2037" Type="http://schemas.openxmlformats.org/officeDocument/2006/relationships/hyperlink" Target="https://www.google.com/url?q=https://joi2016ho.contest.atcoder.jp/tasks/joi2016ho_a&amp;sa=D&amp;ust=1605639832550000&amp;usg=AFQjCNFl0y218asf1vOmEG9Hk9GOn8VikA" TargetMode="External"/><Relationship Id="rId2244" Type="http://schemas.openxmlformats.org/officeDocument/2006/relationships/hyperlink" Target="https://www.google.com/url?q=https://github.com/mostafa-saad/MyCompetitiveProgramming/tree/master/Olympiad/MCO/official/2015&amp;sa=D&amp;ust=1605639832628000&amp;usg=AFQjCNF_kHV1TB3Wsyz-b6rgAWFxdO4aIw" TargetMode="External"/><Relationship Id="rId2451" Type="http://schemas.openxmlformats.org/officeDocument/2006/relationships/hyperlink" Target="https://www.google.com/url?q=https://dunjudge.me/analysis/problems/1171/&amp;sa=D&amp;ust=1605639832696000&amp;usg=AFQjCNECGU05GSzSMNW5bmK1BlvsIIuH2g" TargetMode="External"/><Relationship Id="rId216" Type="http://schemas.openxmlformats.org/officeDocument/2006/relationships/hyperlink" Target="https://www.google.com/url?q=https://github.com/mostafa-saad/MyCompetitiveProgramming/blob/master/Olympiad/Baltic/Baltic-10-Bins.txt&amp;sa=D&amp;ust=1605639832019000&amp;usg=AFQjCNEtdbzfXmwduo5NAtwqMbPUWJ8Vdw" TargetMode="External"/><Relationship Id="rId423" Type="http://schemas.openxmlformats.org/officeDocument/2006/relationships/hyperlink" Target="https://www.google.com/url?q=https://cses.fi/188/list/&amp;sa=D&amp;ust=1605639832083000&amp;usg=AFQjCNHpui5gg8ZebvI1up5Uce9-YHsSPQ" TargetMode="External"/><Relationship Id="rId1053" Type="http://schemas.openxmlformats.org/officeDocument/2006/relationships/hyperlink" Target="https://www.google.com/url?q=https://oj.uz/problem/view/COCI16_zamjene&amp;sa=D&amp;ust=1605639832247000&amp;usg=AFQjCNHpOgusthlhUJMoXk4KEFI-uHJZFw" TargetMode="External"/><Relationship Id="rId1260" Type="http://schemas.openxmlformats.org/officeDocument/2006/relationships/hyperlink" Target="https://www.google.com/url?q=https://oj.uz/problem/view/COI15_ruka&amp;sa=D&amp;ust=1605639832315000&amp;usg=AFQjCNF5FSp4LLcg3kLxzJOIwxOCIqnK9A" TargetMode="External"/><Relationship Id="rId2104" Type="http://schemas.openxmlformats.org/officeDocument/2006/relationships/hyperlink" Target="https://www.google.com/url?q=https://oj.uz/problems/source/270&amp;sa=D&amp;ust=1605639832569000&amp;usg=AFQjCNHTT1SmjfRhcoxClLysPL6osa9_vA" TargetMode="External"/><Relationship Id="rId630" Type="http://schemas.openxmlformats.org/officeDocument/2006/relationships/hyperlink" Target="https://www.google.com/url?q=https://wcipeg.com/problem/coci067p2&amp;sa=D&amp;ust=1605639832137000&amp;usg=AFQjCNExGbXWNN6iXCp0IOOOoCubMbnP_w" TargetMode="External"/><Relationship Id="rId2311" Type="http://schemas.openxmlformats.org/officeDocument/2006/relationships/hyperlink" Target="https://www.google.com/url?q=https://dunjudge.me/analysis/problems/237/&amp;sa=D&amp;ust=1605639832649000&amp;usg=AFQjCNHbJ9c6TqR_koEjJSJoqj8Yokxn4g" TargetMode="External"/><Relationship Id="rId1120" Type="http://schemas.openxmlformats.org/officeDocument/2006/relationships/hyperlink" Target="https://www.google.com/url?q=https://oj.uz/problem/view/COCI17_tuna&amp;sa=D&amp;ust=1605639832263000&amp;usg=AFQjCNGAK1vLG0hlU--QCjJKFPC2Vruyww" TargetMode="External"/><Relationship Id="rId1937" Type="http://schemas.openxmlformats.org/officeDocument/2006/relationships/hyperlink" Target="https://www.google.com/url?q=http://ioi2017.org/contest/practice/&amp;sa=D&amp;ust=1605639832519000&amp;usg=AFQjCNFD6CGjsrvRjVuYvyqaBMlvOagmPQ" TargetMode="External"/><Relationship Id="rId280" Type="http://schemas.openxmlformats.org/officeDocument/2006/relationships/hyperlink" Target="https://www.google.com/url?q=https://github.com/mostafa-saad/MyCompetitiveProgramming/blob/master/Olympiad/Baltic/Baltic-15-bow.txt&amp;sa=D&amp;ust=1605639832035000&amp;usg=AFQjCNEpihPknHOAEwHfWt5gGfgwV6WOIQ" TargetMode="External"/><Relationship Id="rId3012" Type="http://schemas.openxmlformats.org/officeDocument/2006/relationships/hyperlink" Target="https://www.google.com/url?q=https://dmoj.ca/problem/utso15p3&amp;sa=D&amp;ust=1605639832872000&amp;usg=AFQjCNFGvy7SC3SUaVvGhUz_omakW3Qt8A" TargetMode="External"/><Relationship Id="rId140" Type="http://schemas.openxmlformats.org/officeDocument/2006/relationships/hyperlink" Target="https://www.google.com/url?q=https://github.com/mostafa-saad/MyCompetitiveProgramming/blob/master/Olympiad/Balkan/Balkan-17-Monsters.txt&amp;sa=D&amp;ust=1605639831995000&amp;usg=AFQjCNGPkA7tpR4hs2CkNkIv5Yn4UKkU4Q" TargetMode="External"/><Relationship Id="rId6" Type="http://schemas.openxmlformats.org/officeDocument/2006/relationships/hyperlink" Target="https://www.google.com/url?q=https://github.com/mostafa-saad/MyCompetitiveProgramming/blob/master/Olympiad/APIO/APIO-07-Zoo.txt&amp;sa=D&amp;ust=1605639831955000&amp;usg=AFQjCNGIFxYaLBet5_-XoArL2PnCSOAQ3w" TargetMode="External"/><Relationship Id="rId2778" Type="http://schemas.openxmlformats.org/officeDocument/2006/relationships/hyperlink" Target="https://www.google.com/url?q=https://github.com/mostafa-saad/MyCompetitiveProgramming/blob/master/Olympiad/POI/official/find_editorial_sols_guidelines.txt&amp;sa=D&amp;ust=1605639832778000&amp;usg=AFQjCNHW0b3iPD5YPYr3WVxkDrnW8SMBLQ" TargetMode="External"/><Relationship Id="rId2985" Type="http://schemas.openxmlformats.org/officeDocument/2006/relationships/hyperlink" Target="https://www.google.com/url?q=https://github.com/thecodingwizard/competitive-programming/blob/master/USACO/2019dec/pieaters.cpp&amp;sa=D&amp;ust=1605639832861000&amp;usg=AFQjCNGuKqwwPtKZouZrIdwCuzSLLSQ2yQ" TargetMode="External"/><Relationship Id="rId957" Type="http://schemas.openxmlformats.org/officeDocument/2006/relationships/hyperlink" Target="https://www.google.com/url?q=https://github.com/mostafa-saad/MyCompetitiveProgramming/blob/master/Olympiad/COCI/COCI-14-Police.txt&amp;sa=D&amp;ust=1605639832222000&amp;usg=AFQjCNHDS5Pw4j2r-gAsMGBZg7-2LRJoog" TargetMode="External"/><Relationship Id="rId1587" Type="http://schemas.openxmlformats.org/officeDocument/2006/relationships/hyperlink" Target="https://www.google.com/url?q=https://www.infoarena.ro/problema/scara2&amp;sa=D&amp;ust=1605639832409000&amp;usg=AFQjCNEOt5_DECcKARW1ALQqG3H3oAp1nw" TargetMode="External"/><Relationship Id="rId1794" Type="http://schemas.openxmlformats.org/officeDocument/2006/relationships/hyperlink" Target="https://www.google.com/url?q=https://github.com/tmwilliamlin168/CompetitiveProgramming/blob/master/IOI/12-Rings.cpp&amp;sa=D&amp;ust=1605639832474000&amp;usg=AFQjCNGavkqLNGtv6BTLBuYiZqYuo1w9pw" TargetMode="External"/><Relationship Id="rId2638" Type="http://schemas.openxmlformats.org/officeDocument/2006/relationships/hyperlink" Target="https://www.google.com/url?q=https://github.com/mostafa-saad/MyCompetitiveProgramming/blob/master/Olympiad/POI/official/find_editorial_sols_guidelines.txt&amp;sa=D&amp;ust=1605639832746000&amp;usg=AFQjCNEi8V0NOFkJxBE_HAq8EcZ_0umfrQ" TargetMode="External"/><Relationship Id="rId2845" Type="http://schemas.openxmlformats.org/officeDocument/2006/relationships/hyperlink" Target="https://www.google.com/url?q=https://szkopul.edu.pl/problemset/problem/Hhip15j-8Ro2dOb_4oB98C-G/site/&amp;sa=D&amp;ust=1605639832802000&amp;usg=AFQjCNEKWbfDLkUfhsMjO5CyfBWD1pTV4g" TargetMode="External"/><Relationship Id="rId86" Type="http://schemas.openxmlformats.org/officeDocument/2006/relationships/hyperlink" Target="https://www.google.com/url?q=https://www.acmicpc.net/problem/7088&amp;sa=D&amp;ust=1605639831977000&amp;usg=AFQjCNE2KHmWOCAoQBeXzL2CeAMjzgBIGw" TargetMode="External"/><Relationship Id="rId817" Type="http://schemas.openxmlformats.org/officeDocument/2006/relationships/hyperlink" Target="https://www.google.com/url?q=https://github.com/mostafa-saad/MyCompetitiveProgramming/blob/master/Olympiad/COCI/official/2010/contest6_solutions&amp;sa=D&amp;ust=1605639832182000&amp;usg=AFQjCNF9vgWiRqhSnPo2oGdjpOXi29Kg3g" TargetMode="External"/><Relationship Id="rId1447" Type="http://schemas.openxmlformats.org/officeDocument/2006/relationships/hyperlink" Target="https://www.google.com/url?q=https://github.com/stefdasca/CompetitiveProgramming/blob/master/Infoarena/culmi.cpp&amp;sa=D&amp;ust=1605639832362000&amp;usg=AFQjCNFz17YWQRR31Ffr7U_lpp6FcyGCDQ" TargetMode="External"/><Relationship Id="rId1654" Type="http://schemas.openxmlformats.org/officeDocument/2006/relationships/hyperlink" Target="https://www.google.com/url?q=https://github.com/mostafa-saad/MyCompetitiveProgramming/blob/master/Olympiad/IOI/official/2001&amp;sa=D&amp;ust=1605639832429000&amp;usg=AFQjCNFr1SurkvKCN7ZqrUaGw8rAsHyPhA" TargetMode="External"/><Relationship Id="rId1861" Type="http://schemas.openxmlformats.org/officeDocument/2006/relationships/hyperlink" Target="https://www.google.com/url?q=https://github.com/timpostuvan/CompetitiveProgramming/blob/master/Olympiad/IOI/Prize2017.cpp&amp;sa=D&amp;ust=1605639832496000&amp;usg=AFQjCNH4Ed3C3JZ1fohb8ESDsY5_VArG_A" TargetMode="External"/><Relationship Id="rId2705" Type="http://schemas.openxmlformats.org/officeDocument/2006/relationships/hyperlink" Target="https://www.google.com/url?q=https://szkopul.edu.pl/problemset/problem/S-cyTRH8ScRh-XfLPAsXCQ0e/site/&amp;sa=D&amp;ust=1605639832758000&amp;usg=AFQjCNEVQReVE3nHWPbdf1ahPGGEChfH3g" TargetMode="External"/><Relationship Id="rId2912" Type="http://schemas.openxmlformats.org/officeDocument/2006/relationships/hyperlink" Target="https://www.google.com/url?q=http://usaco.org/index.php?page%3Dviewproblem2%26cpid%3D213&amp;sa=D&amp;ust=1605639832823000&amp;usg=AFQjCNHeGW60nF0rLfDV5zXVMWHkNk7H3Q" TargetMode="External"/><Relationship Id="rId1307" Type="http://schemas.openxmlformats.org/officeDocument/2006/relationships/hyperlink" Target="https://www.google.com/url?q=https://dmoj.ca/problem/stnbd4&amp;sa=D&amp;ust=1605639832326000&amp;usg=AFQjCNEiGZqglCYRlZ01wB5RYaPkqjdHew" TargetMode="External"/><Relationship Id="rId1514" Type="http://schemas.openxmlformats.org/officeDocument/2006/relationships/hyperlink" Target="https://www.google.com/url?q=https://infoarena.ro/problema/metrouri&amp;sa=D&amp;ust=1605639832384000&amp;usg=AFQjCNEx5L6TbOqBcYrftDob51zr-XJrRg" TargetMode="External"/><Relationship Id="rId1721" Type="http://schemas.openxmlformats.org/officeDocument/2006/relationships/hyperlink" Target="https://www.google.com/url?q=https://oj.uz/problem/view/IOI07_aliens&amp;sa=D&amp;ust=1605639832449000&amp;usg=AFQjCNEIgkks0gitSOPsy7PA0SsQvn1Bww" TargetMode="External"/><Relationship Id="rId13" Type="http://schemas.openxmlformats.org/officeDocument/2006/relationships/hyperlink" Target="https://www.google.com/url?q=https://tioj.ck.tp.edu.tw/problems/1744&amp;sa=D&amp;ust=1605639831956000&amp;usg=AFQjCNHfssR2GgjeXTZ9OUIyaMqELSf6TQ" TargetMode="External"/><Relationship Id="rId2288" Type="http://schemas.openxmlformats.org/officeDocument/2006/relationships/hyperlink" Target="https://www.google.com/url?q=https://github.com/mostafa-saad/MyCompetitiveProgramming/blob/master/Olympiad/NOI/official/2011.pptx&amp;sa=D&amp;ust=1605639832643000&amp;usg=AFQjCNGlqHkNsiuZIqeLwx8vy8QbVF7vGw" TargetMode="External"/><Relationship Id="rId2495" Type="http://schemas.openxmlformats.org/officeDocument/2006/relationships/hyperlink" Target="https://www.google.com/url?q=https://szkopul.edu.pl/problemset/problem/lGqKS9urITMjTXhpdaHqyoEL/site/&amp;sa=D&amp;ust=1605639832712000&amp;usg=AFQjCNFzkNINzHWq5elR6PFxNV2txBxFXQ" TargetMode="External"/><Relationship Id="rId467" Type="http://schemas.openxmlformats.org/officeDocument/2006/relationships/hyperlink" Target="https://www.google.com/url?q=https://github.com/mostafa-saad/MyCompetitiveProgramming/blob/master/Olympiad/CEOI/CEOI-11-Similarity.txt&amp;sa=D&amp;ust=1605639832097000&amp;usg=AFQjCNFP4y-9v-2h732MLYfaqlR6fwkLBg" TargetMode="External"/><Relationship Id="rId1097" Type="http://schemas.openxmlformats.org/officeDocument/2006/relationships/hyperlink" Target="https://www.google.com/url?q=https://oj.uz/problem/view/COCI17_poklon&amp;sa=D&amp;ust=1605639832258000&amp;usg=AFQjCNG72VMbXItiDQYHjCGSdotsfh1Xzg" TargetMode="External"/><Relationship Id="rId2148" Type="http://schemas.openxmlformats.org/officeDocument/2006/relationships/hyperlink" Target="https://www.google.com/url?q=https://github.com/mostafa-saad/MyCompetitiveProgramming/blob/master/Olympiad/JOI/JOISC-15-inheritance.txt&amp;sa=D&amp;ust=1605639832592000&amp;usg=AFQjCNFuvwCzyCeSQDs-zkrjTVJpo5hC3Q" TargetMode="External"/><Relationship Id="rId674" Type="http://schemas.openxmlformats.org/officeDocument/2006/relationships/hyperlink" Target="https://www.google.com/url?q=https://dmoj.ca/problem/coci07c4p3&amp;sa=D&amp;ust=1605639832147000&amp;usg=AFQjCNEKrEPym3hLI7jiNy3LEAGtlJtG-Q" TargetMode="External"/><Relationship Id="rId881" Type="http://schemas.openxmlformats.org/officeDocument/2006/relationships/hyperlink" Target="https://www.google.com/url?q=https://dunjudge.me/analysis/problems/1365/&amp;sa=D&amp;ust=1605639832204000&amp;usg=AFQjCNEBgP3FKED1huqBYqPmC3nwzFBEew" TargetMode="External"/><Relationship Id="rId2355" Type="http://schemas.openxmlformats.org/officeDocument/2006/relationships/hyperlink" Target="https://www.google.com/url?q=https://dunjudge.me/analysis/problems/704/&amp;sa=D&amp;ust=1605639832660000&amp;usg=AFQjCNFiuC6ekd2pQcFLSslhW34GDKhKOQ" TargetMode="External"/><Relationship Id="rId2562" Type="http://schemas.openxmlformats.org/officeDocument/2006/relationships/hyperlink" Target="https://www.google.com/url?q=https://github.com/mostafa-saad/MyCompetitiveProgramming/blob/master/Olympiad/POI/POI-07-Pipelines.txt&amp;sa=D&amp;ust=1605639832729000&amp;usg=AFQjCNHkykWrLhy016Jm2eMGXwB3r2H9og" TargetMode="External"/><Relationship Id="rId327" Type="http://schemas.openxmlformats.org/officeDocument/2006/relationships/hyperlink" Target="https://www.google.com/url?q=https://oj.uz/problem/view/BOI19_nautilus&amp;sa=D&amp;ust=1605639832045000&amp;usg=AFQjCNFL1j_mu_guvEPumsR6ofKBbdO3NQ" TargetMode="External"/><Relationship Id="rId534" Type="http://schemas.openxmlformats.org/officeDocument/2006/relationships/hyperlink" Target="https://www.google.com/url?q=https://github.com/tmwilliamlin168/CompetitiveProgramming/blob/master/CEOI/17-Sure.cpp&amp;sa=D&amp;ust=1605639832116000&amp;usg=AFQjCNGr0vXwAFLC4Uo3-cSB2gwHEg-ZPQ" TargetMode="External"/><Relationship Id="rId741" Type="http://schemas.openxmlformats.org/officeDocument/2006/relationships/hyperlink" Target="https://www.google.com/url?q=https://github.com/mostafa-saad/MyCompetitiveProgramming/blob/master/Olympiad/COCI/official/2009/contest1_solutions&amp;sa=D&amp;ust=1605639832160000&amp;usg=AFQjCNGWZ0A5UOBX5q97Ub7pGZ_mZjeeSw" TargetMode="External"/><Relationship Id="rId1164" Type="http://schemas.openxmlformats.org/officeDocument/2006/relationships/hyperlink" Target="https://www.google.com/url?q=https://github.com/YazanZebak/CompetitiveProgramming/blob/master/Olympiad/COCI/COCI-18-DEBLO.cpp&amp;sa=D&amp;ust=1605639832282000&amp;usg=AFQjCNGkNwU7ref1jF6ja8qb10kCn6xELg" TargetMode="External"/><Relationship Id="rId1371" Type="http://schemas.openxmlformats.org/officeDocument/2006/relationships/hyperlink" Target="https://www.google.com/url?q=https://github.com/stefdasca/CompetitiveProgramming/blob/master/Info1Cup/National%2520Round/Simple%2520(Ro)%2520(1).pdf&amp;sa=D&amp;ust=1605639832346000&amp;usg=AFQjCNEynCSFPhrpIlpUgI-KZdQyQnS9VA" TargetMode="External"/><Relationship Id="rId2008" Type="http://schemas.openxmlformats.org/officeDocument/2006/relationships/hyperlink" Target="https://www.google.com/url?q=https://oj.uz/problem/view/IZhO19_lyuboyn&amp;sa=D&amp;ust=1605639832542000&amp;usg=AFQjCNF28twLgyX6cKrqDR_xnuRchJlZZA" TargetMode="External"/><Relationship Id="rId2215" Type="http://schemas.openxmlformats.org/officeDocument/2006/relationships/hyperlink" Target="https://www.google.com/url?q=https://oj.uz/problem/view/JOI19_antennas&amp;sa=D&amp;ust=1605639832617000&amp;usg=AFQjCNFp72cZdyUYOhtruQciSj6lvH23CA" TargetMode="External"/><Relationship Id="rId2422" Type="http://schemas.openxmlformats.org/officeDocument/2006/relationships/hyperlink" Target="https://www.google.com/url?q=https://dunjudge.me/analysis/problems/187/&amp;sa=D&amp;ust=1605639832683000&amp;usg=AFQjCNFVPwAFRqHeiVeU2m_BNPOEbomJAA" TargetMode="External"/><Relationship Id="rId601" Type="http://schemas.openxmlformats.org/officeDocument/2006/relationships/hyperlink" Target="https://www.google.com/url?q=https://github.com/mostafa-saad/MyCompetitiveProgramming/tree/master/Olympiad/COCI/official/2007/contest3_solutions&amp;sa=D&amp;ust=1605639832131000&amp;usg=AFQjCNEJmTHC5V4DQ1016j2n2227-NrNxQ" TargetMode="External"/><Relationship Id="rId1024" Type="http://schemas.openxmlformats.org/officeDocument/2006/relationships/hyperlink" Target="https://www.google.com/url?q=https://dmoj.ca/problem/coci16c1p3&amp;sa=D&amp;ust=1605639832240000&amp;usg=AFQjCNHdC52VETF_K6nqLb29eEQ5fsEYgg" TargetMode="External"/><Relationship Id="rId1231" Type="http://schemas.openxmlformats.org/officeDocument/2006/relationships/hyperlink" Target="https://www.google.com/url?q=https://wcipeg.com/problem/coi09p2&amp;sa=D&amp;ust=1605639832308000&amp;usg=AFQjCNEgFTD1HEUbDelperie6woXXCL5BQ" TargetMode="External"/><Relationship Id="rId184" Type="http://schemas.openxmlformats.org/officeDocument/2006/relationships/hyperlink" Target="https://www.google.com/url?q=https://github.com/mostafa-saad/MyCompetitiveProgramming/blob/master/Olympiad/Baltic/Baltic-07-Sequence.txt&amp;sa=D&amp;ust=1605639832010000&amp;usg=AFQjCNEk1T8tWxIKDyST_wgPDXFXtdXAkg" TargetMode="External"/><Relationship Id="rId391" Type="http://schemas.openxmlformats.org/officeDocument/2006/relationships/hyperlink" Target="https://www.google.com/url?q=https://szkopul.edu.pl/problemset/problem/kTJwMBMs_vXtliFNlHAZ0Hcu/site/&amp;sa=D&amp;ust=1605639832073000&amp;usg=AFQjCNHYYvic3sDlxKY3EnTjqJWlHjI9bA" TargetMode="External"/><Relationship Id="rId1908" Type="http://schemas.openxmlformats.org/officeDocument/2006/relationships/hyperlink" Target="https://www.google.com/url?q=https://www.hackerrank.com/contests/ioi-2014-practice-contest-1/challenges&amp;sa=D&amp;ust=1605639832511000&amp;usg=AFQjCNGLXcKGWRW5VrDmdpH4tWcZzvJ42A" TargetMode="External"/><Relationship Id="rId2072" Type="http://schemas.openxmlformats.org/officeDocument/2006/relationships/hyperlink" Target="https://www.google.com/url?q=https://oj.uz/problem/view/JOI20_ho_t1&amp;sa=D&amp;ust=1605639832560000&amp;usg=AFQjCNHm3OsIPOBtQyX5dbeIggNRDhxP-A" TargetMode="External"/><Relationship Id="rId251" Type="http://schemas.openxmlformats.org/officeDocument/2006/relationships/hyperlink" Target="https://www.google.com/url?q=https://github.com/mostafa-saad/MyCompetitiveProgramming/blob/master/Olympiad/Baltic/Baltic-12-Peaks.txt&amp;sa=D&amp;ust=1605639832028000&amp;usg=AFQjCNH38j2Sazajr6rkLfkvezWGPKTDZA" TargetMode="External"/><Relationship Id="rId2889" Type="http://schemas.openxmlformats.org/officeDocument/2006/relationships/hyperlink" Target="https://www.google.com/url?q=https://contest.yandex.ru/snss2018/contest/8760/problems/B&amp;sa=D&amp;ust=1605639832816000&amp;usg=AFQjCNH_YUweBAKyKUBCd5YrIrkFPsJLKQ" TargetMode="External"/><Relationship Id="rId111" Type="http://schemas.openxmlformats.org/officeDocument/2006/relationships/hyperlink" Target="https://www.google.com/url?q=https://github.com/mostafa-saad/MyCompetitiveProgramming/blob/master/Olympiad/Balkan/Balkan-12-ShortestPaths.txt&amp;sa=D&amp;ust=1605639831986000&amp;usg=AFQjCNFEuz7Bry84uJaoDaN88R_izT-SPw" TargetMode="External"/><Relationship Id="rId1698" Type="http://schemas.openxmlformats.org/officeDocument/2006/relationships/hyperlink" Target="https://www.google.com/url?q=https://github.com/mostafa-saad/MyCompetitiveProgramming/blob/master/Olympiad/IOI/IOI-05-birthday.txt&amp;sa=D&amp;ust=1605639832442000&amp;usg=AFQjCNHI8F8MOB0cUflSvvizs7vGbaK0HA" TargetMode="External"/><Relationship Id="rId2749" Type="http://schemas.openxmlformats.org/officeDocument/2006/relationships/hyperlink" Target="https://www.google.com/url?q=https://szkopul.edu.pl/problemset/problem/xfpVU8vFP2RzZ0hrqWq9kTZM/site/&amp;sa=D&amp;ust=1605639832769000&amp;usg=AFQjCNGJ91DZ9O2xYkSkb8sEGWOdsu8tfw" TargetMode="External"/><Relationship Id="rId2956" Type="http://schemas.openxmlformats.org/officeDocument/2006/relationships/hyperlink" Target="https://www.google.com/url?q=http://usaco.org/index.php?page%3Dviewproblem2%26cpid%3D697&amp;sa=D&amp;ust=1605639832839000&amp;usg=AFQjCNFv4vQGPggiRmJnff_eqrZ0Eji2CA" TargetMode="External"/><Relationship Id="rId928" Type="http://schemas.openxmlformats.org/officeDocument/2006/relationships/hyperlink" Target="https://www.google.com/url?q=https://dmoj.ca/problem/coci14c5p5&amp;sa=D&amp;ust=1605639832216000&amp;usg=AFQjCNEZ5e_2Zw5CDCEF4TPZOQs0LaqMsA" TargetMode="External"/><Relationship Id="rId1558" Type="http://schemas.openxmlformats.org/officeDocument/2006/relationships/hyperlink" Target="https://www.google.com/url?q=https://www.infoarena.ro/problema/pitici&amp;sa=D&amp;ust=1605639832400000&amp;usg=AFQjCNGQvLUe6CopTqpM8GnUq-0DZ7gdvA" TargetMode="External"/><Relationship Id="rId1765" Type="http://schemas.openxmlformats.org/officeDocument/2006/relationships/hyperlink" Target="https://www.google.com/url?q=https://oj.uz/problem/view/IOI10_languages&amp;sa=D&amp;ust=1605639832462000&amp;usg=AFQjCNHAbtQ_qqcaiZ6FEqCyoMVAsIJjfw" TargetMode="External"/><Relationship Id="rId2609" Type="http://schemas.openxmlformats.org/officeDocument/2006/relationships/hyperlink" Target="https://www.google.com/url?q=https://szkopul.edu.pl/problemset/problem/kZ-a2gIkpjJEOzq6pJ5jUW7f/site/&amp;sa=D&amp;ust=1605639832739000&amp;usg=AFQjCNE5yOIIRDZDF_bepE6flfWrjBHMmQ" TargetMode="External"/><Relationship Id="rId57" Type="http://schemas.openxmlformats.org/officeDocument/2006/relationships/hyperlink" Target="https://www.google.com/url?q=https://github.com/mostafa-saad/MyCompetitiveProgramming/blob/master/Olympiad/APIO/APIO-16-gap.txt&amp;sa=D&amp;ust=1605639831965000&amp;usg=AFQjCNEV25pxu-LTje1hrhyoizlmPZ_H3w" TargetMode="External"/><Relationship Id="rId1418" Type="http://schemas.openxmlformats.org/officeDocument/2006/relationships/hyperlink" Target="https://www.google.com/url?q=https://github.com/mostafa-saad/MyCompetitiveProgramming/blob/master/Olympiad/infoarena/infoarena_casute.txt&amp;sa=D&amp;ust=1605639832355000&amp;usg=AFQjCNEHD-s9bJoc5pR__0fkvxtCJEBWQg" TargetMode="External"/><Relationship Id="rId1972" Type="http://schemas.openxmlformats.org/officeDocument/2006/relationships/hyperlink" Target="https://www.google.com/url?q=https://oj.uz/problem/view/IZhO12_xor&amp;sa=D&amp;ust=1605639832530000&amp;usg=AFQjCNHRqKkvFSZ6r7nZGNI4lVQ04cOvTg" TargetMode="External"/><Relationship Id="rId2816" Type="http://schemas.openxmlformats.org/officeDocument/2006/relationships/hyperlink" Target="https://www.google.com/url?q=https://github.com/mostafa-saad/MyCompetitiveProgramming/blob/master/Olympiad/POI/official/find_editorial_sols_guidelines.txt&amp;sa=D&amp;ust=1605639832792000&amp;usg=AFQjCNFJiEzwQOJ20R51vVd5jV-u61d60g" TargetMode="External"/><Relationship Id="rId1625" Type="http://schemas.openxmlformats.org/officeDocument/2006/relationships/hyperlink" Target="https://www.google.com/url?q=https://infoarena.ro/problema/xreverse&amp;sa=D&amp;ust=1605639832421000&amp;usg=AFQjCNHwdP2aIzvwsCC-RVNC8gcrBwjq8Q" TargetMode="External"/><Relationship Id="rId1832" Type="http://schemas.openxmlformats.org/officeDocument/2006/relationships/hyperlink" Target="https://www.google.com/url?q=https://github.com/mostafa-saad/MyCompetitiveProgramming/blob/master/Olympiad/IOI/official/2015&amp;sa=D&amp;ust=1605639832487000&amp;usg=AFQjCNGzp-ic6mCrHIIr9X4vx33AJTzU-Q" TargetMode="External"/><Relationship Id="rId2399" Type="http://schemas.openxmlformats.org/officeDocument/2006/relationships/hyperlink" Target="https://www.google.com/url?q=https://dunjudge.me/analysis/problems/700/&amp;sa=D&amp;ust=1605639832673000&amp;usg=AFQjCNFBuPPeU2xplbZssN1cqs9xZDtRxw" TargetMode="External"/><Relationship Id="rId578" Type="http://schemas.openxmlformats.org/officeDocument/2006/relationships/hyperlink" Target="https://www.google.com/url?q=https://dmoj.ca/problem/coci06c4p6&amp;sa=D&amp;ust=1605639832127000&amp;usg=AFQjCNEMjbzjoTLQsYRWMHuEnyLgXJzytw" TargetMode="External"/><Relationship Id="rId785" Type="http://schemas.openxmlformats.org/officeDocument/2006/relationships/hyperlink" Target="https://www.google.com/url?q=https://github.com/mostafa-saad/MyCompetitiveProgramming/blob/master/Olympiad/COCI/COCI-08-Slikar.txt&amp;sa=D&amp;ust=1605639832172000&amp;usg=AFQjCNG3ZErV4-uyPvMqh4sv0BvzoMU_Lw" TargetMode="External"/><Relationship Id="rId992" Type="http://schemas.openxmlformats.org/officeDocument/2006/relationships/hyperlink" Target="https://www.google.com/url?q=https://github.com/mostafa-saad/MyCompetitiveProgramming/blob/master/Olympiad/COCI/COCI-15-Domino.txt&amp;sa=D&amp;ust=1605639832231000&amp;usg=AFQjCNED6829zg01QFq0-Z4Z5XbwNq-Jkw" TargetMode="External"/><Relationship Id="rId2259" Type="http://schemas.openxmlformats.org/officeDocument/2006/relationships/hyperlink" Target="https://www.google.com/url?q=https://github.com/mostafa-saad/MyCompetitiveProgramming/tree/master/Olympiad/MCO/official&amp;sa=D&amp;ust=1605639832633000&amp;usg=AFQjCNGIcwImBxT4QCtdhtRsJ9l8l7jyyQ" TargetMode="External"/><Relationship Id="rId2466" Type="http://schemas.openxmlformats.org/officeDocument/2006/relationships/hyperlink" Target="https://www.google.com/url?q=https://dunjudge.me/analysis/problems/1474/&amp;sa=D&amp;ust=1605639832703000&amp;usg=AFQjCNHK4IZROKQttYsTRmkgjBtrHYt_CQ" TargetMode="External"/><Relationship Id="rId2673" Type="http://schemas.openxmlformats.org/officeDocument/2006/relationships/hyperlink" Target="https://www.google.com/url?q=https://szkopul.edu.pl/problemset/problem/b0BM0al2crQBt6zovEtJfOc6/site/?key%3Dstatement&amp;sa=D&amp;ust=1605639832752000&amp;usg=AFQjCNGdIh0vvpK-qEWs6o6L4S-n-aYczw" TargetMode="External"/><Relationship Id="rId2880" Type="http://schemas.openxmlformats.org/officeDocument/2006/relationships/hyperlink" Target="https://www.google.com/url?q=https://csacademy.com/contest/round-80/task/tournament/&amp;sa=D&amp;ust=1605639832813000&amp;usg=AFQjCNEWnCd4NDs7UqcZQsHmGNop7rLXIA" TargetMode="External"/><Relationship Id="rId438" Type="http://schemas.openxmlformats.org/officeDocument/2006/relationships/hyperlink" Target="https://www.google.com/url?q=https://github.com/mostafa-saad/MyCompetitiveProgramming/tree/master/Olympiad/CEOI/official/2008&amp;sa=D&amp;ust=1605639832088000&amp;usg=AFQjCNFdzJMPxPF5yEP7pqBBbo_Fvae6uA" TargetMode="External"/><Relationship Id="rId645" Type="http://schemas.openxmlformats.org/officeDocument/2006/relationships/hyperlink" Target="https://www.google.com/url?q=https://github.com/mostafa-saad/MyCompetitiveProgramming/blob/master/Olympiad/COCI/COCI-07-Baza.txt&amp;sa=D&amp;ust=1605639832141000&amp;usg=AFQjCNEUwZ-1OMFXlA7DrGe0ulM81Cbc_g" TargetMode="External"/><Relationship Id="rId852" Type="http://schemas.openxmlformats.org/officeDocument/2006/relationships/hyperlink" Target="https://www.google.com/url?q=https://github.com/mostafa-saad/MyCompetitiveProgramming/blob/master/Olympiad/COCI/official/2010/contest3_solutions&amp;sa=D&amp;ust=1605639832194000&amp;usg=AFQjCNHqTM_rB4lY8zIXX0mwnz4jhIlb4w" TargetMode="External"/><Relationship Id="rId1068" Type="http://schemas.openxmlformats.org/officeDocument/2006/relationships/hyperlink" Target="https://www.google.com/url?q=https://oj.uz/problem/view/COCI17_doktor&amp;sa=D&amp;ust=1605639832250000&amp;usg=AFQjCNFq0MFVppSuAA9ssGlkaieTkgVH1Q" TargetMode="External"/><Relationship Id="rId1275" Type="http://schemas.openxmlformats.org/officeDocument/2006/relationships/hyperlink" Target="https://www.google.com/url?q=https://github.com/mostafa-saad/MyCompetitiveProgramming/blob/master/Olympiad/COI/COI+17-ili.txt&amp;sa=D&amp;ust=1605639832318000&amp;usg=AFQjCNFVrHhhKpfTsW1Esr3jSSjKloP4pw" TargetMode="External"/><Relationship Id="rId1482" Type="http://schemas.openxmlformats.org/officeDocument/2006/relationships/hyperlink" Target="https://www.google.com/url?q=https://www.infoarena.ro/problema/interact&amp;sa=D&amp;ust=1605639832374000&amp;usg=AFQjCNFNJifEjoePFxKv7jnTW3YJz81mqw" TargetMode="External"/><Relationship Id="rId2119" Type="http://schemas.openxmlformats.org/officeDocument/2006/relationships/hyperlink" Target="https://www.google.com/url?q=https://joisc2013-day1.contest.atcoder.jp/tasks/joisc2013_bustour&amp;sa=D&amp;ust=1605639832576000&amp;usg=AFQjCNHTyBBdJYI6vNqUx4DPYmMF8tLnCw" TargetMode="External"/><Relationship Id="rId2326" Type="http://schemas.openxmlformats.org/officeDocument/2006/relationships/hyperlink" Target="https://www.google.com/url?q=https://dunjudge.me/analysis/problems/27/&amp;sa=D&amp;ust=1605639832653000&amp;usg=AFQjCNEvUs1_99WhpUadWlbEgYk2g5xCUA" TargetMode="External"/><Relationship Id="rId2533" Type="http://schemas.openxmlformats.org/officeDocument/2006/relationships/hyperlink" Target="https://www.google.com/url?q=https://szkopul.edu.pl/problemset/problem/RLQLNV4gL3Y22K9B2GgEMQIj/site/&amp;sa=D&amp;ust=1605639832722000&amp;usg=AFQjCNE3m1gIjY5J35McUXq1ibAETTAVAw" TargetMode="External"/><Relationship Id="rId2740" Type="http://schemas.openxmlformats.org/officeDocument/2006/relationships/hyperlink" Target="https://www.google.com/url?q=https://github.com/mostafa-saad/MyCompetitiveProgramming/blob/master/Olympiad/POI/POI-14-Couriers.txt&amp;sa=D&amp;ust=1605639832766000&amp;usg=AFQjCNFZZN8MTZuYPXcTWc6t-ihEw3HKNQ" TargetMode="External"/><Relationship Id="rId505" Type="http://schemas.openxmlformats.org/officeDocument/2006/relationships/hyperlink" Target="https://www.google.com/url?q=https://oj.uz/problems/source/245&amp;sa=D&amp;ust=1605639832108000&amp;usg=AFQjCNH-Yug4KoIgYC5v5VIf4OxKOCrV5Q" TargetMode="External"/><Relationship Id="rId712" Type="http://schemas.openxmlformats.org/officeDocument/2006/relationships/hyperlink" Target="https://www.google.com/url?q=https://dmoj.ca/problem/coci07c2p4&amp;sa=D&amp;ust=1605639832155000&amp;usg=AFQjCNGm8oHj9KhdaCaPFPYFNh9AKN6tIg" TargetMode="External"/><Relationship Id="rId1135" Type="http://schemas.openxmlformats.org/officeDocument/2006/relationships/hyperlink" Target="https://www.google.com/url?q=https://oj.uz/problem/view/COCI18_cover&amp;sa=D&amp;ust=1605639832270000&amp;usg=AFQjCNGIDIqQMw7ISXwb9mh_7hmPwleYPQ" TargetMode="External"/><Relationship Id="rId1342" Type="http://schemas.openxmlformats.org/officeDocument/2006/relationships/hyperlink" Target="https://www.google.com/url?q=https://codeforces.com/group/swEqtABRxe/contest/243429/problem/B&amp;sa=D&amp;ust=1605639832337000&amp;usg=AFQjCNGoR8z6n1_Ys9EwaBEJk-FOK8DAEg" TargetMode="External"/><Relationship Id="rId1202" Type="http://schemas.openxmlformats.org/officeDocument/2006/relationships/hyperlink" Target="https://www.google.com/url?q=https://github.com/mostafa-saad/MyCompetitiveProgramming/tree/master/Olympiad/COCI/official/2007/olympiad_solutions&amp;sa=D&amp;ust=1605639832298000&amp;usg=AFQjCNGCzl6Xz0cM3lbnyQXYx02Hq1oeEQ" TargetMode="External"/><Relationship Id="rId2600" Type="http://schemas.openxmlformats.org/officeDocument/2006/relationships/hyperlink" Target="https://www.google.com/url?q=https://github.com/mostafa-saad/MyCompetitiveProgramming/blob/master/Olympiad/POI/POI-08-Triangles.txt&amp;sa=D&amp;ust=1605639832737000&amp;usg=AFQjCNEiIQYHwz9Ki8x5fmp9FC9JCY0PxA" TargetMode="External"/><Relationship Id="rId295" Type="http://schemas.openxmlformats.org/officeDocument/2006/relationships/hyperlink" Target="https://www.google.com/url?q=https://oj.uz/problem/view/BOI16_park&amp;sa=D&amp;ust=1605639832038000&amp;usg=AFQjCNE4tMpmXbPAceIEZntgpUWzk3aSmQ" TargetMode="External"/><Relationship Id="rId2183" Type="http://schemas.openxmlformats.org/officeDocument/2006/relationships/hyperlink" Target="https://www.google.com/url?q=https://github.com/mostafa-saad/MyCompetitiveProgramming/blob/master/Olympiad/POI/JOI/JOISC-17-dragon2.txt&amp;sa=D&amp;ust=1605639832607000&amp;usg=AFQjCNHeFuluJVy6l-DylAED_dgsWuzdSQ" TargetMode="External"/><Relationship Id="rId2390" Type="http://schemas.openxmlformats.org/officeDocument/2006/relationships/hyperlink" Target="https://www.google.com/url?q=https://github.com/mostafa-saad/MyCompetitiveProgramming/blob/master/Olympiad/NOI/official&amp;sa=D&amp;ust=1605639832670000&amp;usg=AFQjCNE5C3lXE0hv8qczGLdUHn82TZiBRQ" TargetMode="External"/><Relationship Id="rId155" Type="http://schemas.openxmlformats.org/officeDocument/2006/relationships/hyperlink" Target="https://www.google.com/url?q=https://cses.fi/116/list/&amp;sa=D&amp;ust=1605639832002000&amp;usg=AFQjCNFHsvF-lVLbPqjVDvC65a1fwsLLMQ" TargetMode="External"/><Relationship Id="rId362" Type="http://schemas.openxmlformats.org/officeDocument/2006/relationships/hyperlink" Target="https://www.google.com/url?q=https://dmoj.ca/contest/cco18d2&amp;sa=D&amp;ust=1605639832055000&amp;usg=AFQjCNEuxiU_OKlaZ2dv-xy8ryzxIe3f3g" TargetMode="External"/><Relationship Id="rId2043" Type="http://schemas.openxmlformats.org/officeDocument/2006/relationships/hyperlink" Target="https://www.google.com/url?q=https://oj.uz/problem/view/JOI17_joioi&amp;sa=D&amp;ust=1605639832552000&amp;usg=AFQjCNHHbY2n-7krx5nHwX_pRz1HcZOM3g" TargetMode="External"/><Relationship Id="rId2250" Type="http://schemas.openxmlformats.org/officeDocument/2006/relationships/hyperlink" Target="https://www.google.com/url?q=https://github.com/mostafa-saad/MyCompetitiveProgramming/blob/master/Olympiad/MCO/MCO-16-acorn.txt&amp;sa=D&amp;ust=1605639832629000&amp;usg=AFQjCNFfrfWeKmDYnsgYoyyqiCcOrJhw5g" TargetMode="External"/><Relationship Id="rId222" Type="http://schemas.openxmlformats.org/officeDocument/2006/relationships/hyperlink" Target="https://www.google.com/url?q=https://github.com/mostafa-saad/MyCompetitiveProgramming/blob/master/Olympiad/Baltic/official/boi2010_solutions&amp;sa=D&amp;ust=1605639832021000&amp;usg=AFQjCNEBtMARb-eXmLuPopk4Dwf-vt9MpA" TargetMode="External"/><Relationship Id="rId2110" Type="http://schemas.openxmlformats.org/officeDocument/2006/relationships/hyperlink" Target="https://www.google.com/url?q=https://github.com/mostafa-saad/MyCompetitiveProgramming/tree/master/Olympiad/JOI/official/JOIOC/2018&amp;sa=D&amp;ust=1605639832571000&amp;usg=AFQjCNHEEECrSxJgWWfd86jxnsVSfEnOSA" TargetMode="External"/><Relationship Id="rId1669" Type="http://schemas.openxmlformats.org/officeDocument/2006/relationships/hyperlink" Target="https://www.google.com/url?q=http://poj.org/problem?id%3D1148&amp;sa=D&amp;ust=1605639832434000&amp;usg=AFQjCNGxFdjbbmDT6LQtUguEcXhDTi4rKg" TargetMode="External"/><Relationship Id="rId1876" Type="http://schemas.openxmlformats.org/officeDocument/2006/relationships/hyperlink" Target="https://www.google.com/url?q=https://oj.uz/problem/view/IOI18_seats&amp;sa=D&amp;ust=1605639832500000&amp;usg=AFQjCNEjujpzttA5tIGgWg0eoiyHGG9JxQ" TargetMode="External"/><Relationship Id="rId2927" Type="http://schemas.openxmlformats.org/officeDocument/2006/relationships/hyperlink" Target="https://www.google.com/url?q=http://usaco.org/index.php?page%3Dviewproblem2%26cpid%3D578&amp;sa=D&amp;ust=1605639832828000&amp;usg=AFQjCNG4oSk51lse32YYDhnQCsXI6-D_kQ" TargetMode="External"/><Relationship Id="rId1529" Type="http://schemas.openxmlformats.org/officeDocument/2006/relationships/hyperlink" Target="https://www.google.com/url?q=https://github.com/stefdasca/CompetitiveProgramming/blob/master/Infoarena/nrsec.cpp&amp;sa=D&amp;ust=1605639832390000&amp;usg=AFQjCNH6XpVLFZyOkpPRknOjo_BV3nfHGw" TargetMode="External"/><Relationship Id="rId1736" Type="http://schemas.openxmlformats.org/officeDocument/2006/relationships/hyperlink" Target="https://www.google.com/url?q=https://github.com/mostafa-saad/MyCompetitiveProgramming/blob/master/Olympiad/IOI/official/2008&amp;sa=D&amp;ust=1605639832453000&amp;usg=AFQjCNHBREZeDFT65ikOLNT9h3iPszaKrQ" TargetMode="External"/><Relationship Id="rId1943" Type="http://schemas.openxmlformats.org/officeDocument/2006/relationships/hyperlink" Target="https://www.google.com/url?q=https://oj.uz/problem/view/IOI19_packing&amp;sa=D&amp;ust=1605639832521000&amp;usg=AFQjCNFv6B6J9J905pNYlSFIjay6a5D67w" TargetMode="External"/><Relationship Id="rId28" Type="http://schemas.openxmlformats.org/officeDocument/2006/relationships/hyperlink" Target="https://www.google.com/url?q=https://dunjudge.me/analysis/problems/1232/&amp;sa=D&amp;ust=1605639831959000&amp;usg=AFQjCNGq13-ZPTcc1qZNQjcmaVSTEDZHXA" TargetMode="External"/><Relationship Id="rId1803" Type="http://schemas.openxmlformats.org/officeDocument/2006/relationships/hyperlink" Target="https://www.google.com/url?q=https://oj.uz/problem/view/IOI13_dreaming&amp;sa=D&amp;ust=1605639832476000&amp;usg=AFQjCNG_VyJ_qH7xw2-MFVlQKjkjzTamvA" TargetMode="External"/><Relationship Id="rId689" Type="http://schemas.openxmlformats.org/officeDocument/2006/relationships/hyperlink" Target="https://www.google.com/url?q=https://github.com/mostafa-saad/MyCompetitiveProgramming/tree/master/Olympiad/COCI/official/2008/regional_solutions&amp;sa=D&amp;ust=1605639832150000&amp;usg=AFQjCNEt6Y-DUz8YUdWMYRLoha1ZzMr7iQ" TargetMode="External"/><Relationship Id="rId896" Type="http://schemas.openxmlformats.org/officeDocument/2006/relationships/hyperlink" Target="https://www.google.com/url?q=https://github.com/mostafa-saad/MyCompetitiveProgramming/blob/master/Olympiad/COCI/COCI-13-cokolade.txt&amp;sa=D&amp;ust=1605639832208000&amp;usg=AFQjCNHKAbR-DRgJtLhdtBKw4O1MG6Br2A" TargetMode="External"/><Relationship Id="rId2577" Type="http://schemas.openxmlformats.org/officeDocument/2006/relationships/hyperlink" Target="https://www.google.com/url?q=https://szkopul.edu.pl/problemset/problem/KC7c6nYfAXCbCGszqhIeOGxP/site/&amp;sa=D&amp;ust=1605639832732000&amp;usg=AFQjCNHeOs76eqQlML-o7CG4VTC9Y3E27Q" TargetMode="External"/><Relationship Id="rId2784" Type="http://schemas.openxmlformats.org/officeDocument/2006/relationships/hyperlink" Target="https://www.google.com/url?q=https://github.com/mostafa-saad/MyCompetitiveProgramming/blob/master/Olympiad/POI/POI-15-Trips.txt&amp;sa=D&amp;ust=1605639832782000&amp;usg=AFQjCNEshAkI2K3TOAFmoh2mTtjHIV77ow" TargetMode="External"/><Relationship Id="rId549" Type="http://schemas.openxmlformats.org/officeDocument/2006/relationships/hyperlink" Target="https://www.google.com/url?q=https://codeforces.com/blog/entry/68676&amp;sa=D&amp;ust=1605639832120000&amp;usg=AFQjCNGXJZnhhGhJyGQrQ6owtwd1iigkRA" TargetMode="External"/><Relationship Id="rId756" Type="http://schemas.openxmlformats.org/officeDocument/2006/relationships/hyperlink" Target="https://www.google.com/url?q=https://dmoj.ca/problem/coci08c4p1&amp;sa=D&amp;ust=1605639832163000&amp;usg=AFQjCNH80fvNdJq_eu2sdcISk193mHLsEg" TargetMode="External"/><Relationship Id="rId1179" Type="http://schemas.openxmlformats.org/officeDocument/2006/relationships/hyperlink" Target="https://www.google.com/url?q=https://github.com/Szawinis/CompetitiveProgramming/blob/master/Olympiad/COCI/COCI19-simfonija.cpp&amp;sa=D&amp;ust=1605639832286000&amp;usg=AFQjCNG-VTQvqbRCZX6Of44uImSeReu4mw" TargetMode="External"/><Relationship Id="rId1386" Type="http://schemas.openxmlformats.org/officeDocument/2006/relationships/hyperlink" Target="https://www.google.com/url?q=https://github.com/stefdasca/CompetitiveProgramming/blob/master/Infoarena/amenzi.cpp&amp;sa=D&amp;ust=1605639832348000&amp;usg=AFQjCNGTP9MGG0F949sv2YOdo3Gc2wIWqA" TargetMode="External"/><Relationship Id="rId1593" Type="http://schemas.openxmlformats.org/officeDocument/2006/relationships/hyperlink" Target="https://www.google.com/url?q=https://www.infoarena.ro/problema/shgraf&amp;sa=D&amp;ust=1605639832411000&amp;usg=AFQjCNF-WnoomHlJr0_-XQonFJLsBgn7sg" TargetMode="External"/><Relationship Id="rId2437" Type="http://schemas.openxmlformats.org/officeDocument/2006/relationships/hyperlink" Target="https://www.google.com/url?q=https://dunjudge.me/analysis/problems/678/&amp;sa=D&amp;ust=1605639832689000&amp;usg=AFQjCNGBqQVApfG8KMV64ZqbEtrSTv73Sw" TargetMode="External"/><Relationship Id="rId2991" Type="http://schemas.openxmlformats.org/officeDocument/2006/relationships/hyperlink" Target="https://www.google.com/url?q=http://usaco.org/index.php?page%3Dviewproblem2%26cpid%3D926&amp;sa=D&amp;ust=1605639832863000&amp;usg=AFQjCNGghZKhGBiD9npuTrLK0QmzBMDtfQ" TargetMode="External"/><Relationship Id="rId409" Type="http://schemas.openxmlformats.org/officeDocument/2006/relationships/hyperlink" Target="https://www.google.com/url?q=https://cses.fi/192/list/&amp;sa=D&amp;ust=1605639832078000&amp;usg=AFQjCNHuOyVzUPz2ijUAf_poxDsjgikh1A" TargetMode="External"/><Relationship Id="rId963" Type="http://schemas.openxmlformats.org/officeDocument/2006/relationships/hyperlink" Target="https://www.google.com/url?q=https://dmoj.ca/problem/coci14c4p5&amp;sa=D&amp;ust=1605639832224000&amp;usg=AFQjCNG84JhGtOT6hD5PmWwp5DVZX6mdIQ" TargetMode="External"/><Relationship Id="rId1039" Type="http://schemas.openxmlformats.org/officeDocument/2006/relationships/hyperlink" Target="https://www.google.com/url?q=https://github.com/mostafa-saad/MyCompetitiveProgramming/blob/master/Olympiad/COCI/COCI-16-mag.txt&amp;sa=D&amp;ust=1605639832243000&amp;usg=AFQjCNGdbvoeEebXkys2o5EX_7hoz1o37w" TargetMode="External"/><Relationship Id="rId1246" Type="http://schemas.openxmlformats.org/officeDocument/2006/relationships/hyperlink" Target="https://www.google.com/url?q=https://oj.uz/problem/view/COI14_mostovi&amp;sa=D&amp;ust=1605639832313000&amp;usg=AFQjCNF2qB00hPdem8Uzi2gVktTVaHGF0Q" TargetMode="External"/><Relationship Id="rId2644" Type="http://schemas.openxmlformats.org/officeDocument/2006/relationships/hyperlink" Target="https://www.google.com/url?q=https://github.com/mostafa-saad/MyCompetitiveProgramming/blob/master/Olympiad/POI/POI-10-Pilots.txt&amp;sa=D&amp;ust=1605639832747000&amp;usg=AFQjCNEmXcq5sKnqsXL1mifPL-xu1ipw4A" TargetMode="External"/><Relationship Id="rId2851" Type="http://schemas.openxmlformats.org/officeDocument/2006/relationships/hyperlink" Target="https://www.google.com/url?q=https://szkopul.edu.pl/problemset/problem/GmAagCBetbskP0qiKlgVd-6A/site/&amp;sa=D&amp;ust=1605639832804000&amp;usg=AFQjCNGod1EbRJaI9o9IretUWX1wTyXUAw" TargetMode="External"/><Relationship Id="rId92" Type="http://schemas.openxmlformats.org/officeDocument/2006/relationships/hyperlink" Target="https://www.google.com/url?q=https://github.com/mostafa-saad/MyCompetitiveProgramming/blob/master/Olympiad/Balkan/Balkan-11-2circles.txt&amp;sa=D&amp;ust=1605639831980000&amp;usg=AFQjCNHnxnGZxrV-cjbqiQpeFFLJ-un8yQ" TargetMode="External"/><Relationship Id="rId616" Type="http://schemas.openxmlformats.org/officeDocument/2006/relationships/hyperlink" Target="https://www.google.com/url?q=https://dmoj.ca/problem/coci06c2p4&amp;sa=D&amp;ust=1605639832135000&amp;usg=AFQjCNHt9Mc9F7rG2be41g3RYCUD14LM7A" TargetMode="External"/><Relationship Id="rId823" Type="http://schemas.openxmlformats.org/officeDocument/2006/relationships/hyperlink" Target="https://www.google.com/url?q=https://wcipeg.com/problem/coci095p3&amp;sa=D&amp;ust=1605639832185000&amp;usg=AFQjCNGK4J5RHORhknLJl8B6ALZdoeB8Ww" TargetMode="External"/><Relationship Id="rId1453" Type="http://schemas.openxmlformats.org/officeDocument/2006/relationships/hyperlink" Target="https://www.google.com/url?q=https://infoarena.ro/problema/deletegcd&amp;sa=D&amp;ust=1605639832363000&amp;usg=AFQjCNEMds1vJOYQK39hunBUQWvAsAavYg" TargetMode="External"/><Relationship Id="rId1660" Type="http://schemas.openxmlformats.org/officeDocument/2006/relationships/hyperlink" Target="https://www.google.com/url?q=https://github.com/mostafa-saad/MyCompetitiveProgramming/blob/master/Olympiad/IOI/official/2001&amp;sa=D&amp;ust=1605639832432000&amp;usg=AFQjCNGCvzwzl-mOCA2_cqBuwNrZl3MpFg" TargetMode="External"/><Relationship Id="rId2504" Type="http://schemas.openxmlformats.org/officeDocument/2006/relationships/hyperlink" Target="https://www.google.com/url?q=https://github.com/mostafa-saad/MyCompetitiveProgramming/blob/master/Olympiad/POI/POI-04-Tournament.txt&amp;sa=D&amp;ust=1605639832715000&amp;usg=AFQjCNEl_fcYv4OQlMpg0RkZXl-ihLnCIQ" TargetMode="External"/><Relationship Id="rId2711" Type="http://schemas.openxmlformats.org/officeDocument/2006/relationships/hyperlink" Target="https://www.google.com/url?q=https://oj.uz/problem/view/POI13_gob&amp;sa=D&amp;ust=1605639832759000&amp;usg=AFQjCNEkgyEWqURRMAwAnzz5rZAdKobsSQ" TargetMode="External"/><Relationship Id="rId1106" Type="http://schemas.openxmlformats.org/officeDocument/2006/relationships/hyperlink" Target="https://www.google.com/url?q=https://oj.uz/problem/view/COCI17_rima&amp;sa=D&amp;ust=1605639832260000&amp;usg=AFQjCNEq_PpbPTC_e1jaFldacU0GdvHRLg" TargetMode="External"/><Relationship Id="rId1313" Type="http://schemas.openxmlformats.org/officeDocument/2006/relationships/hyperlink" Target="https://www.google.com/url?q=https://dmoj.ca/problem/bf3&amp;sa=D&amp;ust=1605639832328000&amp;usg=AFQjCNHiaqDRISkHCptS5zvgqO6SC1rIAQ" TargetMode="External"/><Relationship Id="rId1520" Type="http://schemas.openxmlformats.org/officeDocument/2006/relationships/hyperlink" Target="https://www.google.com/url?q=https://www.infoarena.ro/problema/minim2&amp;sa=D&amp;ust=1605639832386000&amp;usg=AFQjCNGZ_nHlo6Rz6QILzUGMrdRBOVmACA" TargetMode="External"/><Relationship Id="rId199" Type="http://schemas.openxmlformats.org/officeDocument/2006/relationships/hyperlink" Target="https://www.google.com/url?q=https://cses.fi/113/list/&amp;sa=D&amp;ust=1605639832015000&amp;usg=AFQjCNHLYO-bVI3BaQe0cW3Vv3eS47sO_g" TargetMode="External"/><Relationship Id="rId2087" Type="http://schemas.openxmlformats.org/officeDocument/2006/relationships/hyperlink" Target="https://www.google.com/url?q=https://oj.uz/problems/source/56&amp;sa=D&amp;ust=1605639832564000&amp;usg=AFQjCNE2UfrrkoK_3FdoGaKesuGhK_0auQ" TargetMode="External"/><Relationship Id="rId2294" Type="http://schemas.openxmlformats.org/officeDocument/2006/relationships/hyperlink" Target="https://www.google.com/url?q=https://github.com/mostafa-saad/MyCompetitiveProgramming/blob/master/Olympiad/NOI/official&amp;sa=D&amp;ust=1605639832645000&amp;usg=AFQjCNEGKqy04BvK55rfjfDVta_Q-jMx8Q" TargetMode="External"/><Relationship Id="rId266" Type="http://schemas.openxmlformats.org/officeDocument/2006/relationships/hyperlink" Target="https://www.google.com/url?q=https://github.com/mostafa-saad/MyCompetitiveProgramming/blob/master/Olympiad/Baltic/Baltic-14-coprobber.txt&amp;sa=D&amp;ust=1605639832032000&amp;usg=AFQjCNHAqw93jXCm7PirgWSUEO5l8wJY1A" TargetMode="External"/><Relationship Id="rId473" Type="http://schemas.openxmlformats.org/officeDocument/2006/relationships/hyperlink" Target="https://www.google.com/url?q=https://github.com/mostafa-saad/MyCompetitiveProgramming/blob/master/Olympiad/CEOI/CEOI-12-circuit.txt&amp;sa=D&amp;ust=1605639832099000&amp;usg=AFQjCNFNU1VlqqA7CdZKVKgVTj_hO6GZUg" TargetMode="External"/><Relationship Id="rId680" Type="http://schemas.openxmlformats.org/officeDocument/2006/relationships/hyperlink" Target="https://www.google.com/url?q=https://dmoj.ca/problem/coci07c3p2&amp;sa=D&amp;ust=1605639832148000&amp;usg=AFQjCNH11UjpEtV4bArxS5Yyb_R0YV_SZw" TargetMode="External"/><Relationship Id="rId2154" Type="http://schemas.openxmlformats.org/officeDocument/2006/relationships/hyperlink" Target="https://www.google.com/url?q=https://ivaniscoding.wordpress.com/2018/08/25/communication-2-navigation/&amp;sa=D&amp;ust=1605639832595000&amp;usg=AFQjCNFg7nr-NnKkJM8Jc_V18H6dQYsdag" TargetMode="External"/><Relationship Id="rId2361" Type="http://schemas.openxmlformats.org/officeDocument/2006/relationships/hyperlink" Target="https://www.google.com/url?q=https://dunjudge.me/analysis/problems/955/&amp;sa=D&amp;ust=1605639832661000&amp;usg=AFQjCNE1bZMOd0DgAi0FsORtd7MW3UCSfA" TargetMode="External"/><Relationship Id="rId126" Type="http://schemas.openxmlformats.org/officeDocument/2006/relationships/hyperlink" Target="https://www.google.com/url?q=https://www.hackerrank.com/contests/boi-2016/challenges&amp;sa=D&amp;ust=1605639831991000&amp;usg=AFQjCNGwOz-0IXTy3SlW6VDdNfFCQu9SXg" TargetMode="External"/><Relationship Id="rId333" Type="http://schemas.openxmlformats.org/officeDocument/2006/relationships/hyperlink" Target="https://www.google.com/url?q=https://oj.uz/problem/view/BOI19_olympiads&amp;sa=D&amp;ust=1605639832046000&amp;usg=AFQjCNEkDQifqVTdYQ6jFY8K5XEnrfcYQQ" TargetMode="External"/><Relationship Id="rId540" Type="http://schemas.openxmlformats.org/officeDocument/2006/relationships/hyperlink" Target="https://www.google.com/url?q=https://github.com/mostafa-saad/MyCompetitiveProgramming/blob/master/Olympiad/CEOI/CEOI-18-Global.txt&amp;sa=D&amp;ust=1605639832118000&amp;usg=AFQjCNHyu0QENMVncWLmxs-0BTZsYIQGpQ" TargetMode="External"/><Relationship Id="rId1170" Type="http://schemas.openxmlformats.org/officeDocument/2006/relationships/hyperlink" Target="https://www.google.com/url?q=https://oj.uz/problem/view/COCI19_konj&amp;sa=D&amp;ust=1605639832283000&amp;usg=AFQjCNEm3jl9iTKsUsoaQ1vAWFHLHUf_BQ" TargetMode="External"/><Relationship Id="rId2014" Type="http://schemas.openxmlformats.org/officeDocument/2006/relationships/hyperlink" Target="https://www.google.com/url?q=https://github.com/stefdasca/CompetitiveProgramming/blob/master/IZhO/IZhO%252019-xoractive.cpp&amp;sa=D&amp;ust=1605639832543000&amp;usg=AFQjCNFeyoI2ZibKamUalWD6RATWa99ruA" TargetMode="External"/><Relationship Id="rId2221" Type="http://schemas.openxmlformats.org/officeDocument/2006/relationships/hyperlink" Target="https://www.google.com/url?q=https://github.com/Szawinis/CompetitiveProgramming/blob/master/Olympiad/JOI/JOISC19-examination.cpp&amp;sa=D&amp;ust=1605639832619000&amp;usg=AFQjCNGk49C54PfOfCGoR_CATMvyz7nr2w" TargetMode="External"/><Relationship Id="rId1030" Type="http://schemas.openxmlformats.org/officeDocument/2006/relationships/hyperlink" Target="https://www.google.com/url?q=https://oj.uz/problem/view/COCI16_jetpack&amp;sa=D&amp;ust=1605639832241000&amp;usg=AFQjCNH75PRNCXuUZQcSVlP5QoiX1c4m6A" TargetMode="External"/><Relationship Id="rId400" Type="http://schemas.openxmlformats.org/officeDocument/2006/relationships/hyperlink" Target="https://www.google.com/url?q=https://github.com/mostafa-saad/MyCompetitiveProgramming/blob/master/Olympiad/CEOI/CEOI-05-Depot.txt&amp;sa=D&amp;ust=1605639832075000&amp;usg=AFQjCNE195e8095884t4-zSZbsCtJvyyRQ" TargetMode="External"/><Relationship Id="rId1987" Type="http://schemas.openxmlformats.org/officeDocument/2006/relationships/hyperlink" Target="https://www.google.com/url?q=https://github.com/tmwilliamlin168/CompetitiveProgramming/blob/master/IZhO/14-Shymbulak.cpp&amp;sa=D&amp;ust=1605639832535000&amp;usg=AFQjCNF1TCSWvevVAPTAJtyUdipv7--oiA" TargetMode="External"/><Relationship Id="rId1847" Type="http://schemas.openxmlformats.org/officeDocument/2006/relationships/hyperlink" Target="https://www.google.com/url?q=https://oj.uz/problem/view/IOI16_railroad&amp;sa=D&amp;ust=1605639832491000&amp;usg=AFQjCNE5jvWGXLxrplyhKx6oNVpifuYFOg" TargetMode="External"/><Relationship Id="rId1707" Type="http://schemas.openxmlformats.org/officeDocument/2006/relationships/hyperlink" Target="https://www.google.com/url?q=https://contest.yandex.ru/ioi/contest/566/enter/&amp;sa=D&amp;ust=1605639832444000&amp;usg=AFQjCNE4P5Hc5rSI5Fc6o0Qsi-1T8Ii6Rg" TargetMode="External"/><Relationship Id="rId190" Type="http://schemas.openxmlformats.org/officeDocument/2006/relationships/hyperlink" Target="https://www.google.com/url?q=https://github.com/mostafa-saad/MyCompetitiveProgramming/blob/master/Olympiad/Baltic/official/boi2008_solutions&amp;sa=D&amp;ust=1605639832012000&amp;usg=AFQjCNFt45ZSP-rYci-OHmmvxdK3623TEg" TargetMode="External"/><Relationship Id="rId1914" Type="http://schemas.openxmlformats.org/officeDocument/2006/relationships/hyperlink" Target="https://www.google.com/url?q=https://www.hackerrank.com/contests/ioi-2014-practice-contest-2/challenges/world-peace-ioi14&amp;sa=D&amp;ust=1605639832512000&amp;usg=AFQjCNHQoei6kGJz7t7d7kvMyord0Inzeg" TargetMode="External"/><Relationship Id="rId2688" Type="http://schemas.openxmlformats.org/officeDocument/2006/relationships/hyperlink" Target="https://www.google.com/url?q=https://github.com/mostafa-saad/MyCompetitiveProgramming/blob/master/Olympiad/POI/official/find_editorial_sols_guidelines.txt&amp;sa=D&amp;ust=1605639832755000&amp;usg=AFQjCNHksHzoawqhobzpp7XjOKppOw_8rQ" TargetMode="External"/><Relationship Id="rId2895" Type="http://schemas.openxmlformats.org/officeDocument/2006/relationships/hyperlink" Target="https://www.google.com/url?q=https://github.com/win11905/submission/tree/master/TOKI/17/magic&amp;sa=D&amp;ust=1605639832819000&amp;usg=AFQjCNErE_b4xqwSn6MTIPfwiRk-lIeXMw" TargetMode="External"/><Relationship Id="rId867" Type="http://schemas.openxmlformats.org/officeDocument/2006/relationships/hyperlink" Target="https://www.google.com/url?q=https://wcipeg.com/problem/coci095p4&amp;sa=D&amp;ust=1605639832199000&amp;usg=AFQjCNHWq8JYDtgpcD8YDwU0pyuH6rSC1w" TargetMode="External"/><Relationship Id="rId1497" Type="http://schemas.openxmlformats.org/officeDocument/2006/relationships/hyperlink" Target="https://www.google.com/url?q=https://github.com/stefdasca/CompetitiveProgramming/blob/master/Infoarena/ksecv.cpp&amp;sa=D&amp;ust=1605639832379000&amp;usg=AFQjCNEO6YKoAvNv279xuOHfTwXnZMv-OQ" TargetMode="External"/><Relationship Id="rId2548" Type="http://schemas.openxmlformats.org/officeDocument/2006/relationships/hyperlink" Target="https://www.google.com/url?q=https://github.com/mostafa-saad/MyCompetitiveProgramming/blob/master/Olympiad/POI/official/find_editorial_sols_guidelines.txt&amp;sa=D&amp;ust=1605639832726000&amp;usg=AFQjCNGiFq7Nhy1UmNu9EPDg_aTs15IrVQ" TargetMode="External"/><Relationship Id="rId2755" Type="http://schemas.openxmlformats.org/officeDocument/2006/relationships/hyperlink" Target="https://www.google.com/url?q=https://github.com/mostafa-saad/MyCompetitiveProgramming/blob/master/Olympiad/POI/official/find_editorial_sols_guidelines.txt&amp;sa=D&amp;ust=1605639832772000&amp;usg=AFQjCNFtOGYGgccoqz4o48XMnLjqt9707w" TargetMode="External"/><Relationship Id="rId2962" Type="http://schemas.openxmlformats.org/officeDocument/2006/relationships/hyperlink" Target="https://www.google.com/url?q=https://github.com/updown2/OI-Practice/blob/master/USACO/2018-2019/1.%2520December%2520%255BDONE%255D/Balance%2520Beam.cpp&amp;sa=D&amp;ust=1605639832841000&amp;usg=AFQjCNGC7Iff_HX1bsE5YtOGWP9nfNp2AQ" TargetMode="External"/><Relationship Id="rId727" Type="http://schemas.openxmlformats.org/officeDocument/2006/relationships/hyperlink" Target="https://www.google.com/url?q=https://github.com/mostafa-saad/MyCompetitiveProgramming/blob/master/Olympiad/COCI/official/2009/contest2_solutions&amp;sa=D&amp;ust=1605639832158000&amp;usg=AFQjCNEja5AaVg3J70TY39JOaWlJPlWlSg" TargetMode="External"/><Relationship Id="rId934" Type="http://schemas.openxmlformats.org/officeDocument/2006/relationships/hyperlink" Target="https://www.google.com/url?q=https://github.com/mostafa-saad/MyCompetitiveProgramming/blob/master/Olympiad/COCI/COCI-14-Kamp.txt&amp;sa=D&amp;ust=1605639832217000&amp;usg=AFQjCNH7_XVNUF6pqboHFxJZgk2H13n_aQ" TargetMode="External"/><Relationship Id="rId1357" Type="http://schemas.openxmlformats.org/officeDocument/2006/relationships/hyperlink" Target="https://www.google.com/url?q=https://oj.uz/problem/view/info1cup17_permutation&amp;sa=D&amp;ust=1605639832342000&amp;usg=AFQjCNHKgBeSjFcGLxtYdek1Arlfge81fg" TargetMode="External"/><Relationship Id="rId1564" Type="http://schemas.openxmlformats.org/officeDocument/2006/relationships/hyperlink" Target="https://www.google.com/url?q=https://github.com/stefdasca/CompetitiveProgramming/blob/master/Infoarena/pm2.cpp&amp;sa=D&amp;ust=1605639832402000&amp;usg=AFQjCNEuagnwXxpViX2EioNyYzjZSuO1DA" TargetMode="External"/><Relationship Id="rId1771" Type="http://schemas.openxmlformats.org/officeDocument/2006/relationships/hyperlink" Target="https://www.google.com/url?q=https://contest.yandex.ru/ioi/contest/570/problems/C/&amp;sa=D&amp;ust=1605639832463000&amp;usg=AFQjCNHGxrRp12l1aSc_OuCBs80jeqUxPw" TargetMode="External"/><Relationship Id="rId2408" Type="http://schemas.openxmlformats.org/officeDocument/2006/relationships/hyperlink" Target="https://www.google.com/url?q=https://dunjudge.me/analysis/problems/1480/&amp;sa=D&amp;ust=1605639832677000&amp;usg=AFQjCNE8qBNmJv0keJzdZgpeldFg_R1ViQ" TargetMode="External"/><Relationship Id="rId2615" Type="http://schemas.openxmlformats.org/officeDocument/2006/relationships/hyperlink" Target="https://www.google.com/url?q=https://szkopul.edu.pl/problemset/problem/X_XFcxCm1xIAk2alKtQLN79O/site/&amp;sa=D&amp;ust=1605639832740000&amp;usg=AFQjCNGBsFu2J5vPUpNx5mOv7_6bKcZsTw" TargetMode="External"/><Relationship Id="rId2822" Type="http://schemas.openxmlformats.org/officeDocument/2006/relationships/hyperlink" Target="https://www.google.com/url?q=https://szkopul.edu.pl/problemset/problem/WLKPphrG7df9acKBOlEMEKY3/site/&amp;sa=D&amp;ust=1605639832794000&amp;usg=AFQjCNGBoXjC0zHq2LkpszV3BgYjwIwBSw" TargetMode="External"/><Relationship Id="rId63" Type="http://schemas.openxmlformats.org/officeDocument/2006/relationships/hyperlink" Target="https://www.google.com/url?q=https://github.com/mostafa-saad/MyCompetitiveProgramming/blob/master/Olympiad/APIO/APIO-17-rainbow.txt&amp;sa=D&amp;ust=1605639831969000&amp;usg=AFQjCNHZPe1KyAyKfuwQTm6PdvYuBJBnUg" TargetMode="External"/><Relationship Id="rId1217" Type="http://schemas.openxmlformats.org/officeDocument/2006/relationships/hyperlink" Target="https://www.google.com/url?q=https://wcipeg.com/problem/coci087p2&amp;sa=D&amp;ust=1605639832304000&amp;usg=AFQjCNFQ77S1_sQ6JRCOwg0BLI2MJFkgYw" TargetMode="External"/><Relationship Id="rId1424" Type="http://schemas.openxmlformats.org/officeDocument/2006/relationships/hyperlink" Target="https://www.google.com/url?q=https://github.com/stefdasca/CompetitiveProgramming/blob/master/Infoarena/cifra4.cpp&amp;sa=D&amp;ust=1605639832357000&amp;usg=AFQjCNFnt_m4j3pJW0OW6Y509UK8rFR9dg" TargetMode="External"/><Relationship Id="rId1631" Type="http://schemas.openxmlformats.org/officeDocument/2006/relationships/hyperlink" Target="https://www.google.com/url?q=https://www.infoarena.ro/problema/zuma&amp;sa=D&amp;ust=1605639832423000&amp;usg=AFQjCNHPS3sVvJuIhB-3xKzZuc_uH0-G6A" TargetMode="External"/><Relationship Id="rId2198" Type="http://schemas.openxmlformats.org/officeDocument/2006/relationships/hyperlink" Target="https://www.google.com/url?q=https://oj.uz/problems/source/315&amp;sa=D&amp;ust=1605639832612000&amp;usg=AFQjCNFx6MPl7it5s9kFbUPf2fNw4rIVCg" TargetMode="External"/><Relationship Id="rId377" Type="http://schemas.openxmlformats.org/officeDocument/2006/relationships/hyperlink" Target="https://www.google.com/url?q=https://github.com/mostafa-saad/MyCompetitiveProgramming/blob/master/Olympiad/CEOI/CEOI-02-Fence.txt&amp;sa=D&amp;ust=1605639832064000&amp;usg=AFQjCNF2K2DjUqvc3Vj-ioYQ0TfoXf7iVQ" TargetMode="External"/><Relationship Id="rId584" Type="http://schemas.openxmlformats.org/officeDocument/2006/relationships/hyperlink" Target="https://www.google.com/url?q=https://dmoj.ca/problem/coci06c6p4&amp;sa=D&amp;ust=1605639832128000&amp;usg=AFQjCNGzyhWz5ALbbwXTjxOG2qqGcZAO0Q" TargetMode="External"/><Relationship Id="rId2058" Type="http://schemas.openxmlformats.org/officeDocument/2006/relationships/hyperlink" Target="https://www.google.com/url?q=https://github.com/tmwilliamlin168/CompetitiveProgramming/tree/master/JOI&amp;sa=D&amp;ust=1605639832557000&amp;usg=AFQjCNE2eSHxGQBWc3pI4Y9UqoA3Ovtyew" TargetMode="External"/><Relationship Id="rId2265" Type="http://schemas.openxmlformats.org/officeDocument/2006/relationships/hyperlink" Target="https://www.google.com/url?q=https://github.com/mostafa-saad/MyCompetitiveProgramming/tree/master/Olympiad/MCO/official&amp;sa=D&amp;ust=1605639832635000&amp;usg=AFQjCNF2DT8IFwwWigSluFOt2ZnKmmoPvA" TargetMode="External"/><Relationship Id="rId237" Type="http://schemas.openxmlformats.org/officeDocument/2006/relationships/hyperlink" Target="https://www.google.com/url?q=https://cses.fi/101/list/&amp;sa=D&amp;ust=1605639832025000&amp;usg=AFQjCNGrYp8jZRtQBvMJ_KIp2iHJkUnb7A" TargetMode="External"/><Relationship Id="rId791" Type="http://schemas.openxmlformats.org/officeDocument/2006/relationships/hyperlink" Target="https://www.google.com/url?q=https://github.com/mostafa-saad/MyCompetitiveProgramming/blob/master/Olympiad/COCI/COCI-08-Trezor.txt&amp;sa=D&amp;ust=1605639832174000&amp;usg=AFQjCNHPd-0XcxoQEHg3zwq4KPXBa9tuOg" TargetMode="External"/><Relationship Id="rId1074" Type="http://schemas.openxmlformats.org/officeDocument/2006/relationships/hyperlink" Target="https://www.google.com/url?q=https://oj.uz/problem/view/COCI17_hokej&amp;sa=D&amp;ust=1605639832253000&amp;usg=AFQjCNG_YXCovf1DxfonDTzapTVBFS_arQ" TargetMode="External"/><Relationship Id="rId2472" Type="http://schemas.openxmlformats.org/officeDocument/2006/relationships/hyperlink" Target="https://www.google.com/url?q=https://github.com/mostafa-saad/MyCompetitiveProgramming/blob/master/Olympiad/OSN/OSN_15-1C.txt&amp;sa=D&amp;ust=1605639832705000&amp;usg=AFQjCNELWJLDSo8y91bZA94Q74UGZk7Nmg" TargetMode="External"/><Relationship Id="rId444" Type="http://schemas.openxmlformats.org/officeDocument/2006/relationships/hyperlink" Target="https://www.google.com/url?q=https://github.com/mostafa-saad/MyCompetitiveProgramming/tree/master/Olympiad/CEOI/official/2009&amp;sa=D&amp;ust=1605639832091000&amp;usg=AFQjCNG4GNatseUYDceCUnFsDBAbYy4FPQ" TargetMode="External"/><Relationship Id="rId651" Type="http://schemas.openxmlformats.org/officeDocument/2006/relationships/hyperlink" Target="https://www.google.com/url?q=https://github.com/mostafa-saad/MyCompetitiveProgramming/tree/master/Olympiad/COCI/official/2008/contest3_solutions&amp;sa=D&amp;ust=1605639832142000&amp;usg=AFQjCNEB6UsgFVjjPM1bqi19GhA5Ll8JXw" TargetMode="External"/><Relationship Id="rId1281" Type="http://schemas.openxmlformats.org/officeDocument/2006/relationships/hyperlink" Target="https://www.google.com/url?q=https://oj.uz/problem/view/COI18_paprike&amp;sa=D&amp;ust=1605639832320000&amp;usg=AFQjCNEH_E27eCpnHAuoFFcfsqora2d5xg" TargetMode="External"/><Relationship Id="rId2125" Type="http://schemas.openxmlformats.org/officeDocument/2006/relationships/hyperlink" Target="https://www.google.com/url?q=https://joisc2013-day4.contest.atcoder.jp/tasks/joisc2013_messenger&amp;sa=D&amp;ust=1605639832579000&amp;usg=AFQjCNHnmWnFFGL-ASt0ck5A4JR9dPNHBg" TargetMode="External"/><Relationship Id="rId2332" Type="http://schemas.openxmlformats.org/officeDocument/2006/relationships/hyperlink" Target="https://www.google.com/url?q=https://oj.uz/problem/view/NOI12_forensic&amp;sa=D&amp;ust=1605639832654000&amp;usg=AFQjCNEbGlfyW2uP7IQNJyoyOt_atHWKGg" TargetMode="External"/><Relationship Id="rId304" Type="http://schemas.openxmlformats.org/officeDocument/2006/relationships/hyperlink" Target="https://www.google.com/url?q=https://codeforces.com/blog/entry/51740?%23comment-356943&amp;sa=D&amp;ust=1605639832040000&amp;usg=AFQjCNGIIqY1JSzPJnk-9ceNbeONlwcjLg" TargetMode="External"/><Relationship Id="rId511" Type="http://schemas.openxmlformats.org/officeDocument/2006/relationships/hyperlink" Target="https://www.google.com/url?q=https://github.com/mostafa-saad/MyCompetitiveProgramming/blob/master/Olympiad/CEOI/CEOI-15-teams.txt&amp;sa=D&amp;ust=1605639832111000&amp;usg=AFQjCNEVbw30BO0Mkhtmx-wpvWEMEeMu5g" TargetMode="External"/><Relationship Id="rId1141" Type="http://schemas.openxmlformats.org/officeDocument/2006/relationships/hyperlink" Target="https://www.google.com/url?q=https://oj.uz/problem/view/COCI18_karte&amp;sa=D&amp;ust=1605639832272000&amp;usg=AFQjCNH53pf2cY_p7_LribQ8q2GutFdFpg" TargetMode="External"/><Relationship Id="rId1001" Type="http://schemas.openxmlformats.org/officeDocument/2006/relationships/hyperlink" Target="https://www.google.com/url?q=https://dmoj.ca/problem/coci15c4p2&amp;sa=D&amp;ust=1605639832234000&amp;usg=AFQjCNEoWdGnL908uo31ihH7ivBGK3A1Jg" TargetMode="External"/><Relationship Id="rId1958" Type="http://schemas.openxmlformats.org/officeDocument/2006/relationships/hyperlink" Target="https://www.google.com/url?q=https://codeforces.com/group/swEqtABRxe/contest/243438/problem/D&amp;sa=D&amp;ust=1605639832525000&amp;usg=AFQjCNH1ASu1Wi_FFO5QK47yFNEEis6QNQ" TargetMode="External"/><Relationship Id="rId1818" Type="http://schemas.openxmlformats.org/officeDocument/2006/relationships/hyperlink" Target="https://www.google.com/url?q=https://github.com/mostafa-saad/MyCompetitiveProgramming/blob/master/Olympiad/IOI/IOI-14-holiday.txt&amp;sa=D&amp;ust=1605639832480000&amp;usg=AFQjCNFzSIc64EKiSLgYCJwbDCu_qAfieQ" TargetMode="External"/><Relationship Id="rId161" Type="http://schemas.openxmlformats.org/officeDocument/2006/relationships/hyperlink" Target="https://www.google.com/url?q=https://cses.fi/115/list/&amp;sa=D&amp;ust=1605639832003000&amp;usg=AFQjCNHrVjncbELkcT0WlWsjGg_8vdXODQ" TargetMode="External"/><Relationship Id="rId2799" Type="http://schemas.openxmlformats.org/officeDocument/2006/relationships/hyperlink" Target="https://www.google.com/url?q=https://szkopul.edu.pl/problemset/problem/YY6-3ua-C1rt7q-97laWc0UP/site/&amp;sa=D&amp;ust=1605639832786000&amp;usg=AFQjCNEJYbVjQt6LrwqVvj7pLms4pO1_bw" TargetMode="External"/><Relationship Id="rId978" Type="http://schemas.openxmlformats.org/officeDocument/2006/relationships/hyperlink" Target="https://www.google.com/url?q=https://dmoj.ca/problem/coci14c5p3&amp;sa=D&amp;ust=1605639832227000&amp;usg=AFQjCNEqgNEFV4uxWbsHka3zBSH0f62D9w" TargetMode="External"/><Relationship Id="rId2659" Type="http://schemas.openxmlformats.org/officeDocument/2006/relationships/hyperlink" Target="https://www.google.com/url?q=https://oj.uz/problem/view/POI11_dyn&amp;sa=D&amp;ust=1605639832750000&amp;usg=AFQjCNFi7KzDtQGfVcQXvdg4Ki_mujK23Q" TargetMode="External"/><Relationship Id="rId2866" Type="http://schemas.openxmlformats.org/officeDocument/2006/relationships/hyperlink" Target="https://www.google.com/url?q=https://csacademy.com/contest/junior-challenge-2017-day-2/task/combinatorix&amp;sa=D&amp;ust=1605639832808000&amp;usg=AFQjCNHYBrmSCUsnM2fdpShdo4RCnJAQEA" TargetMode="External"/><Relationship Id="rId838" Type="http://schemas.openxmlformats.org/officeDocument/2006/relationships/hyperlink" Target="https://www.google.com/url?q=https://github.com/mostafa-saad/MyCompetitiveProgramming/blob/master/Olympiad/COCI/official/2010/contest2_solutions&amp;sa=D&amp;ust=1605639832189000&amp;usg=AFQjCNH-fxPvDLOFCCxcOfk8JZYPhjoB9w" TargetMode="External"/><Relationship Id="rId1468" Type="http://schemas.openxmlformats.org/officeDocument/2006/relationships/hyperlink" Target="https://www.google.com/url?q=https://www.infoarena.ro/problema/fibo4&amp;sa=D&amp;ust=1605639832370000&amp;usg=AFQjCNGwO1K3Cjp-OrWzmneKeLysVwcUUw" TargetMode="External"/><Relationship Id="rId1675" Type="http://schemas.openxmlformats.org/officeDocument/2006/relationships/hyperlink" Target="https://www.google.com/url?q=https://contest.yandex.ru/ioi/contest/558/problems/B/&amp;sa=D&amp;ust=1605639832436000&amp;usg=AFQjCNFDBTjy1Q_hbglIYOEO87ZV4_zmLA" TargetMode="External"/><Relationship Id="rId1882" Type="http://schemas.openxmlformats.org/officeDocument/2006/relationships/hyperlink" Target="https://www.google.com/url?q=https://oj.uz/problem/view/IOI19_rect&amp;sa=D&amp;ust=1605639832502000&amp;usg=AFQjCNG2tJRQuCf1VTBHbhiz5k77fykyHQ" TargetMode="External"/><Relationship Id="rId2519" Type="http://schemas.openxmlformats.org/officeDocument/2006/relationships/hyperlink" Target="https://www.google.com/url?q=https://szkopul.edu.pl/problemset/problem/oTpPdueVv1-3g247_-ejjcR_/site/&amp;sa=D&amp;ust=1605639832718000&amp;usg=AFQjCNFo3BZJW8S2IlnVo2BTXwbG8EMMXA" TargetMode="External"/><Relationship Id="rId2726" Type="http://schemas.openxmlformats.org/officeDocument/2006/relationships/hyperlink" Target="https://www.google.com/url?q=https://szkopul.edu.pl/problemset/problem/FHsx0TDoMNHN-XrWzXtUzzpi/site/&amp;sa=D&amp;ust=1605639832762000&amp;usg=AFQjCNHN07dl98qXLpIu2owvQOd65XBdXQ" TargetMode="External"/><Relationship Id="rId1328" Type="http://schemas.openxmlformats.org/officeDocument/2006/relationships/hyperlink" Target="https://www.google.com/url?q=https://dmoj.ca/problem/dmpg15s6&amp;sa=D&amp;ust=1605639832332000&amp;usg=AFQjCNH452VZaHw_UDBrrT8z2Uu7ygNrXQ" TargetMode="External"/><Relationship Id="rId1535" Type="http://schemas.openxmlformats.org/officeDocument/2006/relationships/hyperlink" Target="https://www.google.com/url?q=https://github.com/stefdasca/CompetitiveProgramming/blob/master/Infoarena/omizi.cpp&amp;sa=D&amp;ust=1605639832392000&amp;usg=AFQjCNEpZUQri3PZpaIO_22hfWjecHNRFA" TargetMode="External"/><Relationship Id="rId2933" Type="http://schemas.openxmlformats.org/officeDocument/2006/relationships/hyperlink" Target="https://www.google.com/url?q=http://usaco.org/index.php?page%3Dviewproblem2%26cpid%3D514&amp;sa=D&amp;ust=1605639832830000&amp;usg=AFQjCNHj5EO_crK6iEHKM5t4_iWq5dGa9w" TargetMode="External"/><Relationship Id="rId905" Type="http://schemas.openxmlformats.org/officeDocument/2006/relationships/hyperlink" Target="https://www.google.com/url?q=https://dunjudge.me/analysis/problems/1401/&amp;sa=D&amp;ust=1605639832210000&amp;usg=AFQjCNFIiPiWWdF4du8TU_5rqt18gukxdg" TargetMode="External"/><Relationship Id="rId1742" Type="http://schemas.openxmlformats.org/officeDocument/2006/relationships/hyperlink" Target="https://www.google.com/url?q=https://github.com/mostafa-saad/MyCompetitiveProgramming/blob/master/Olympiad/IOI/IOI-08-pyramid_base.txt&amp;sa=D&amp;ust=1605639832455000&amp;usg=AFQjCNGHCUI-kZ5X14xZjqQeniCu8Kd6jw" TargetMode="External"/><Relationship Id="rId34" Type="http://schemas.openxmlformats.org/officeDocument/2006/relationships/hyperlink" Target="https://www.google.com/url?q=https://github.com/tmwilliamlin168/CompetitiveProgramming/blob/master/APIO/12-Kunai.cpp&amp;sa=D&amp;ust=1605639831960000&amp;usg=AFQjCNGi3vRvORnHQ01JrpkJrHFu61BnOg" TargetMode="External"/><Relationship Id="rId1602" Type="http://schemas.openxmlformats.org/officeDocument/2006/relationships/hyperlink" Target="https://www.google.com/url?q=https://github.com/mostafa-saad/MyCompetitiveProgramming/blob/master/Olympiad/infoarena/infoarena_sormin.txt&amp;sa=D&amp;ust=1605639832414000&amp;usg=AFQjCNEOjHF1C-h0chYix9EqCx791W2a9Q" TargetMode="External"/><Relationship Id="rId488" Type="http://schemas.openxmlformats.org/officeDocument/2006/relationships/hyperlink" Target="https://www.google.com/url?q=https://oj.uz/problems/source/59&amp;sa=D&amp;ust=1605639832103000&amp;usg=AFQjCNE3OnW33VLHOP5oydLHKPZlalkS7w" TargetMode="External"/><Relationship Id="rId695" Type="http://schemas.openxmlformats.org/officeDocument/2006/relationships/hyperlink" Target="https://www.google.com/url?q=https://github.com/mostafa-saad/MyCompetitiveProgramming/tree/master/Olympiad/COCI/official/2008/contest6_solutions&amp;sa=D&amp;ust=1605639832151000&amp;usg=AFQjCNEnXK15FDKpb5B67HHrJuu5h3262g" TargetMode="External"/><Relationship Id="rId2169" Type="http://schemas.openxmlformats.org/officeDocument/2006/relationships/hyperlink" Target="https://www.google.com/url?q=https://joisc2016.contest.atcoder.jp/tasks/joisc2016_f&amp;sa=D&amp;ust=1605639832603000&amp;usg=AFQjCNGUG5hhNbIAxUdqTOimCsDEWYwiIw" TargetMode="External"/><Relationship Id="rId2376" Type="http://schemas.openxmlformats.org/officeDocument/2006/relationships/hyperlink" Target="https://www.google.com/url?q=https://github.com/mostafa-saad/MyCompetitiveProgramming/blob/master/Olympiad/NOI/NOI-17-rmq.txt&amp;sa=D&amp;ust=1605639832664000&amp;usg=AFQjCNFdCaARkt6Did8Uenr9GOp2fJ-6pA" TargetMode="External"/><Relationship Id="rId2583" Type="http://schemas.openxmlformats.org/officeDocument/2006/relationships/hyperlink" Target="https://www.google.com/url?q=https://szkopul.edu.pl/problemset/problem/w3YAoAT3ej27YeiaNWjK57_G/site/&amp;sa=D&amp;ust=1605639832734000&amp;usg=AFQjCNFKF0s38fsCiiOzMaI1xE6t5HybVw" TargetMode="External"/><Relationship Id="rId2790" Type="http://schemas.openxmlformats.org/officeDocument/2006/relationships/hyperlink" Target="https://www.google.com/url?q=https://github.com/mostafa-saad/MyCompetitiveProgramming/blob/master/Olympiad/POI/POI-16-Christmas.txt&amp;sa=D&amp;ust=1605639832783000&amp;usg=AFQjCNGaA6xa9Er7nV3RBtDvtvsNC8qsdg" TargetMode="External"/><Relationship Id="rId348" Type="http://schemas.openxmlformats.org/officeDocument/2006/relationships/hyperlink" Target="https://www.google.com/url?q=https://dmoj.ca/problem/ccc18s4&amp;sa=D&amp;ust=1605639832050000&amp;usg=AFQjCNGKiwfOfaaM3C7e9fK9BoYH6wyZWw" TargetMode="External"/><Relationship Id="rId555" Type="http://schemas.openxmlformats.org/officeDocument/2006/relationships/hyperlink" Target="https://www.google.com/url?q=https://codeforces.com/blog/entry/68748&amp;sa=D&amp;ust=1605639832121000&amp;usg=AFQjCNEU9LJgJLnXZxju9qA3YIOzaxANQg" TargetMode="External"/><Relationship Id="rId762" Type="http://schemas.openxmlformats.org/officeDocument/2006/relationships/hyperlink" Target="https://www.google.com/url?q=https://dmoj.ca/problem/coci08c6p3&amp;sa=D&amp;ust=1605639832165000&amp;usg=AFQjCNFO_PMX_QjFPQBFC_ATqkbWk52aGw" TargetMode="External"/><Relationship Id="rId1185" Type="http://schemas.openxmlformats.org/officeDocument/2006/relationships/hyperlink" Target="https://www.google.com/url?q=https://oj.uz/problem/view/COCI18_suncanje&amp;sa=D&amp;ust=1605639832288000&amp;usg=AFQjCNHb5EGobPexKMxs2S2zJeAbf9qcnA" TargetMode="External"/><Relationship Id="rId1392" Type="http://schemas.openxmlformats.org/officeDocument/2006/relationships/hyperlink" Target="https://www.google.com/url?q=https://github.com/stefdasca/CompetitiveProgramming/blob/master/Infoarena/aranjare.cpp&amp;sa=D&amp;ust=1605639832350000&amp;usg=AFQjCNEfM_iVR2OxZTA6UT0bkSV8tZkL0w" TargetMode="External"/><Relationship Id="rId2029" Type="http://schemas.openxmlformats.org/officeDocument/2006/relationships/hyperlink" Target="https://www.google.com/url?q=https://github.com/nikolapesic2802/Programming-Practice/blob/master/Cake%2520Division2/main.cpp&amp;sa=D&amp;ust=1605639832548000&amp;usg=AFQjCNEGzzWUFn-rcRDlbY_nf-7yuDhw5w" TargetMode="External"/><Relationship Id="rId2236" Type="http://schemas.openxmlformats.org/officeDocument/2006/relationships/hyperlink" Target="https://www.google.com/url?q=https://github.com/mostafa-saad/MyCompetitiveProgramming/tree/master/Olympiad/MCO/official/2014&amp;sa=D&amp;ust=1605639832625000&amp;usg=AFQjCNFWKdjnKIe48f5srCnIhCj1J1PE1w" TargetMode="External"/><Relationship Id="rId2443" Type="http://schemas.openxmlformats.org/officeDocument/2006/relationships/hyperlink" Target="https://www.google.com/url?q=https://dunjudge.me/analysis/problems/931/&amp;sa=D&amp;ust=1605639832693000&amp;usg=AFQjCNGHybK2A0gL6qp3bWa5kHSMUEK8hA" TargetMode="External"/><Relationship Id="rId2650" Type="http://schemas.openxmlformats.org/officeDocument/2006/relationships/hyperlink" Target="https://www.google.com/url?q=https://github.com/mostafa-saad/MyCompetitiveProgramming/blob/master/Olympiad/POI/official/find_editorial_sols_guidelines.txt&amp;sa=D&amp;ust=1605639832748000&amp;usg=AFQjCNHTgkbcx-JnvxM6snYeJGuBr9BYHg" TargetMode="External"/><Relationship Id="rId208" Type="http://schemas.openxmlformats.org/officeDocument/2006/relationships/hyperlink" Target="https://www.google.com/url?q=https://github.com/mostafa-saad/MyCompetitiveProgramming/blob/master/Olympiad/Baltic/Baltic-09-Rectangle.txt&amp;sa=D&amp;ust=1605639832017000&amp;usg=AFQjCNEBOvNXJZ4T-2yPTbNgEC8D6dN5Aw" TargetMode="External"/><Relationship Id="rId415" Type="http://schemas.openxmlformats.org/officeDocument/2006/relationships/hyperlink" Target="https://www.google.com/url?q=https://cses.fi/186/list/&amp;sa=D&amp;ust=1605639832081000&amp;usg=AFQjCNFHIJOJAvLpchLO8nY58Mvr5Fjv6A" TargetMode="External"/><Relationship Id="rId622" Type="http://schemas.openxmlformats.org/officeDocument/2006/relationships/hyperlink" Target="https://www.google.com/url?q=https://dmoj.ca/problem/coci06c2p5&amp;sa=D&amp;ust=1605639832136000&amp;usg=AFQjCNFrybYwsGlPNiCcLUX5RyNZEble-w" TargetMode="External"/><Relationship Id="rId1045" Type="http://schemas.openxmlformats.org/officeDocument/2006/relationships/hyperlink" Target="https://www.google.com/url?q=https://github.com/mostafa-saad/MyCompetitiveProgramming/blob/master/Olympiad/COCI/official/2017/contest3_solutions&amp;sa=D&amp;ust=1605639832245000&amp;usg=AFQjCNGxWTlo-JcXLPKCjCAwdf1JIM6TnQ" TargetMode="External"/><Relationship Id="rId1252" Type="http://schemas.openxmlformats.org/officeDocument/2006/relationships/hyperlink" Target="https://www.google.com/url?q=https://oj.uz/problem/view/COI15_dostava&amp;sa=D&amp;ust=1605639832314000&amp;usg=AFQjCNFpqLT3oj4JKejgWRY7RxurvJV7Vg" TargetMode="External"/><Relationship Id="rId2303" Type="http://schemas.openxmlformats.org/officeDocument/2006/relationships/hyperlink" Target="https://www.google.com/url?q=https://dunjudge.me/analysis/problems/271/&amp;sa=D&amp;ust=1605639832647000&amp;usg=AFQjCNGCDVzYhSlmS-su9EuoHxNv3wRICA" TargetMode="External"/><Relationship Id="rId2510" Type="http://schemas.openxmlformats.org/officeDocument/2006/relationships/hyperlink" Target="https://www.google.com/url?q=https://github.com/mostafa-saad/MyCompetitiveProgramming/blob/master/Olympiad/POI/POI-05-Bus.txt&amp;sa=D&amp;ust=1605639832716000&amp;usg=AFQjCNGnUAEvbV_B8iJ4qmMQ0R4R30yI1g" TargetMode="External"/><Relationship Id="rId1112" Type="http://schemas.openxmlformats.org/officeDocument/2006/relationships/hyperlink" Target="https://www.google.com/url?q=https://oj.uz/problem/view/COCI17_savrsen&amp;sa=D&amp;ust=1605639832262000&amp;usg=AFQjCNEv6_8DK5-wdzR_NMav2enxRIFgFg" TargetMode="External"/><Relationship Id="rId1929" Type="http://schemas.openxmlformats.org/officeDocument/2006/relationships/hyperlink" Target="https://www.google.com/url?q=https://github.com/thecodingwizard/competitive-programming/blob/master/IOI/IOIPractice%252016-polygon.cpp&amp;sa=D&amp;ust=1605639832517000&amp;usg=AFQjCNH13DbZChlJdsJXM3XcNtXL5IiVNQ" TargetMode="External"/><Relationship Id="rId2093" Type="http://schemas.openxmlformats.org/officeDocument/2006/relationships/hyperlink" Target="https://www.google.com/url?q=https://github.com/SpeedOfMagic/CompetitiveProgramming/blob/master/JOIOC/15-sterilizing.cpp&amp;sa=D&amp;ust=1605639832566000&amp;usg=AFQjCNH5YdZT74vHOL72I_yo2zJqQ8fQPA" TargetMode="External"/><Relationship Id="rId272" Type="http://schemas.openxmlformats.org/officeDocument/2006/relationships/hyperlink" Target="https://www.google.com/url?q=https://github.com/mushisgosuuu/oj-solutions/blob/master/BOI/network2014.cpp&amp;sa=D&amp;ust=1605639832033000&amp;usg=AFQjCNFJ4clqhtSVgl2JsXAk8pGxnYlM4w" TargetMode="External"/><Relationship Id="rId2160" Type="http://schemas.openxmlformats.org/officeDocument/2006/relationships/hyperlink" Target="https://www.google.com/url?q=https://joisc2016.contest.atcoder.jp/tasks/joisc2016_a&amp;sa=D&amp;ust=1605639832597000&amp;usg=AFQjCNEJZDiZ2refF9X4HyLNOdQMuzaZKQ" TargetMode="External"/><Relationship Id="rId3004" Type="http://schemas.openxmlformats.org/officeDocument/2006/relationships/hyperlink" Target="https://www.google.com/url?q=http://usaco.org/index.php?page%3Dviewproblem2%26cpid%3D972%23&amp;sa=D&amp;ust=1605639832869000&amp;usg=AFQjCNEP3PL65eVqaeF6VHYhmM_3PcKFMQ" TargetMode="External"/><Relationship Id="rId132" Type="http://schemas.openxmlformats.org/officeDocument/2006/relationships/hyperlink" Target="https://www.google.com/url?q=https://github.com/mostafa-saad/MyCompetitiveProgramming/tree/master/Olympiad/Balkan/official/2016&amp;sa=D&amp;ust=1605639831993000&amp;usg=AFQjCNFAiRMKqnZUxY6l-qHxLwDWUXcAFg" TargetMode="External"/><Relationship Id="rId2020" Type="http://schemas.openxmlformats.org/officeDocument/2006/relationships/hyperlink" Target="https://www.google.com/url?q=https://joi2013ho.contest.atcoder.jp/tasks/joi2013ho2&amp;sa=D&amp;ust=1605639832544000&amp;usg=AFQjCNGu0i0ROcysdankbYfqLHx_BnaLqA" TargetMode="External"/><Relationship Id="rId1579" Type="http://schemas.openxmlformats.org/officeDocument/2006/relationships/hyperlink" Target="https://www.google.com/url?q=https://www.infoarena.ro/problema/regat&amp;sa=D&amp;ust=1605639832406000&amp;usg=AFQjCNFO9Q8B84Px38WfqShKhmz76E3rgw" TargetMode="External"/><Relationship Id="rId2977" Type="http://schemas.openxmlformats.org/officeDocument/2006/relationships/hyperlink" Target="https://www.google.com/url?q=https://github.com/stefdasca/CompetitiveProgramming/blob/master/USACO/USACO%252018jan-sprinklers-plat.cpp&amp;sa=D&amp;ust=1605639832859000&amp;usg=AFQjCNEVE1tfU0Ye2TvidAuD7yt_Bpu12Q" TargetMode="External"/><Relationship Id="rId949" Type="http://schemas.openxmlformats.org/officeDocument/2006/relationships/hyperlink" Target="https://www.google.com/url?q=https://dmoj.ca/problem/coci14c6p2&amp;sa=D&amp;ust=1605639832221000&amp;usg=AFQjCNG3jyZWkvT03RcAQ0Gq1Kb_fWpUMA" TargetMode="External"/><Relationship Id="rId1786" Type="http://schemas.openxmlformats.org/officeDocument/2006/relationships/hyperlink" Target="https://www.google.com/url?q=https://github.com/aviroop123/CompetitiveProgramming/blob/master/Olympiad/IOI/IOI%252011-race.cpp&amp;sa=D&amp;ust=1605639832467000&amp;usg=AFQjCNHHJNDmTeHKbILvtT6Z32yC0k95DQ" TargetMode="External"/><Relationship Id="rId1993" Type="http://schemas.openxmlformats.org/officeDocument/2006/relationships/hyperlink" Target="https://www.google.com/url?q=https://oj.uz/problem/view/IZhO17_game&amp;sa=D&amp;ust=1605639832536000&amp;usg=AFQjCNFn0GoxEFarTllyZn44DmH32vEo0g" TargetMode="External"/><Relationship Id="rId2837" Type="http://schemas.openxmlformats.org/officeDocument/2006/relationships/hyperlink" Target="https://www.google.com/url?q=https://szkopul.edu.pl/problemset/problem/lbADmW7d353d0F0iw4kXTjsl/site/&amp;sa=D&amp;ust=1605639832799000&amp;usg=AFQjCNGwbl3KA8m7PTNfk1CX5L-8VgcLqg" TargetMode="External"/><Relationship Id="rId78" Type="http://schemas.openxmlformats.org/officeDocument/2006/relationships/hyperlink" Target="https://www.google.com/url?q=https://www.acmicpc.net/problem/2336&amp;sa=D&amp;ust=1605639831974000&amp;usg=AFQjCNHg4175983IZc-i3daEr-fj_YKgwQ" TargetMode="External"/><Relationship Id="rId809" Type="http://schemas.openxmlformats.org/officeDocument/2006/relationships/hyperlink" Target="https://www.google.com/url?q=https://github.com/mostafa-saad/MyCompetitiveProgramming/blob/master/Olympiad/COCI/official/2010/contest2_solutions&amp;sa=D&amp;ust=1605639832179000&amp;usg=AFQjCNG70_BzdzOOwIdRINsuM2WbohSysA" TargetMode="External"/><Relationship Id="rId1439" Type="http://schemas.openxmlformats.org/officeDocument/2006/relationships/hyperlink" Target="https://www.google.com/url?q=https://github.com/mostafa-saad/MyCompetitiveProgramming/blob/master/Olympiad/infoarena/infoarena_countfefete.txt&amp;sa=D&amp;ust=1605639832360000&amp;usg=AFQjCNH_nW0fY5xLBIZ-wkLXOuGGs9yzQA" TargetMode="External"/><Relationship Id="rId1646" Type="http://schemas.openxmlformats.org/officeDocument/2006/relationships/hyperlink" Target="https://www.google.com/url?q=https://github.com/mostafa-saad/MyCompetitiveProgramming/blob/master/Olympiad/IOI/IOI-00-median.txt&amp;sa=D&amp;ust=1605639832427000&amp;usg=AFQjCNF8BFbTDE68Wcr9911YCGOnaklysg" TargetMode="External"/><Relationship Id="rId1853" Type="http://schemas.openxmlformats.org/officeDocument/2006/relationships/hyperlink" Target="https://www.google.com/url?q=https://github.com/mostafa-saad/MyCompetitiveProgramming/blob/master/Olympiad/IOI/IOI-16-tetris.txt&amp;sa=D&amp;ust=1605639832492000&amp;usg=AFQjCNEl_ixtDVwJYXZX-KM502ToPGRq-w" TargetMode="External"/><Relationship Id="rId2904" Type="http://schemas.openxmlformats.org/officeDocument/2006/relationships/hyperlink" Target="https://www.google.com/url?q=http://usaco.org/index.php?page%3Dviewproblem2%26cpid%3D102&amp;sa=D&amp;ust=1605639832821000&amp;usg=AFQjCNFK0Qeu2AXWPVIZQ8_EwWE4fj3sYQ" TargetMode="External"/><Relationship Id="rId1506" Type="http://schemas.openxmlformats.org/officeDocument/2006/relationships/hyperlink" Target="https://www.google.com/url?q=https://www.infoarena.ro/problema/matrice&amp;sa=D&amp;ust=1605639832382000&amp;usg=AFQjCNGWnlTJ4LBAxRWRGS80HDLbVlSpeA" TargetMode="External"/><Relationship Id="rId1713" Type="http://schemas.openxmlformats.org/officeDocument/2006/relationships/hyperlink" Target="https://www.google.com/url?q=https://contest.yandex.ru/ioi/contest/562/problems/D/&amp;sa=D&amp;ust=1605639832446000&amp;usg=AFQjCNEqBqr49qgsYjOCff_rMV_F9_pdhw" TargetMode="External"/><Relationship Id="rId1920" Type="http://schemas.openxmlformats.org/officeDocument/2006/relationships/hyperlink" Target="https://www.google.com/url?q=https://csacademy.com/contest/ioi-2016-training-round-1/task/farey_sequence&amp;sa=D&amp;ust=1605639832515000&amp;usg=AFQjCNFXik0wGhXiaBV3weOU014S_pT5fw" TargetMode="External"/><Relationship Id="rId599" Type="http://schemas.openxmlformats.org/officeDocument/2006/relationships/hyperlink" Target="https://www.google.com/url?q=https://github.com/mostafa-saad/MyCompetitiveProgramming/tree/master/Olympiad/COCI/official/2007/contest5_solutions&amp;sa=D&amp;ust=1605639832131000&amp;usg=AFQjCNF5xMrdj7FwrZ064frDVSU_y1D33w" TargetMode="External"/><Relationship Id="rId2487" Type="http://schemas.openxmlformats.org/officeDocument/2006/relationships/hyperlink" Target="https://www.google.com/url?q=https://szkopul.edu.pl/problemset/problem/KiL8P3oSgImWGI5GT4QMCQpO/site/&amp;sa=D&amp;ust=1605639832709000&amp;usg=AFQjCNFL_bcSj8xjeeNey01TEZXMjhBAAg" TargetMode="External"/><Relationship Id="rId2694" Type="http://schemas.openxmlformats.org/officeDocument/2006/relationships/hyperlink" Target="https://www.google.com/url?q=https://github.com/mostafa-saad/MyCompetitiveProgramming/blob/master/Olympiad/POI/POI-12-Prefixuffix.txt&amp;sa=D&amp;ust=1605639832756000&amp;usg=AFQjCNGWM99mj8EbqcRKZsPT55dGk9yLpA" TargetMode="External"/><Relationship Id="rId459" Type="http://schemas.openxmlformats.org/officeDocument/2006/relationships/hyperlink" Target="https://www.google.com/url?q=https://szkopul.edu.pl/problemset/problem/5TfG0f1dOXc2sUTq9NMM9zSD/site/&amp;sa=D&amp;ust=1605639832095000&amp;usg=AFQjCNHm8ihGmAV3w19Xqf780HLvmlLwLg" TargetMode="External"/><Relationship Id="rId666" Type="http://schemas.openxmlformats.org/officeDocument/2006/relationships/hyperlink" Target="https://www.google.com/url?q=https://wcipeg.com/problem/coci077p4&amp;sa=D&amp;ust=1605639832145000&amp;usg=AFQjCNFXE10o5uL83wAjxN-agGxF65RBiQ" TargetMode="External"/><Relationship Id="rId873" Type="http://schemas.openxmlformats.org/officeDocument/2006/relationships/hyperlink" Target="https://www.google.com/url?q=https://dunjudge.me/analysis/problems/1358/&amp;sa=D&amp;ust=1605639832201000&amp;usg=AFQjCNGwKajxBjYJqgQCoVcUhUWuQDiu8Q" TargetMode="External"/><Relationship Id="rId1089" Type="http://schemas.openxmlformats.org/officeDocument/2006/relationships/hyperlink" Target="https://www.google.com/url?q=https://oj.uz/problem/view/COCI17_osmosmjerka&amp;sa=D&amp;ust=1605639832256000&amp;usg=AFQjCNG3yccBcqaL9jn3sVU_Q67duMiNEg" TargetMode="External"/><Relationship Id="rId1296" Type="http://schemas.openxmlformats.org/officeDocument/2006/relationships/hyperlink" Target="https://www.google.com/url?q=https://cses.fi/problemset/task/1112/&amp;sa=D&amp;ust=1605639832324000&amp;usg=AFQjCNEfDm5G2lOuH_kRsj58OyMHkBClOA" TargetMode="External"/><Relationship Id="rId2347" Type="http://schemas.openxmlformats.org/officeDocument/2006/relationships/hyperlink" Target="https://www.google.com/url?q=https://oj.uz/problem/view/NOI14_obelisk&amp;sa=D&amp;ust=1605639832658000&amp;usg=AFQjCNHzih0IYYCpVaUUyrwC6VFNplejOA" TargetMode="External"/><Relationship Id="rId2554" Type="http://schemas.openxmlformats.org/officeDocument/2006/relationships/hyperlink" Target="https://www.google.com/url?q=https://github.com/mostafa-saad/MyCompetitiveProgramming/blob/master/Olympiad/POI/POI-06-Tetris_3D.txt&amp;sa=D&amp;ust=1605639832727000&amp;usg=AFQjCNGV0a-lSdepAtZFuCaVQqaY3s3Xnw" TargetMode="External"/><Relationship Id="rId319" Type="http://schemas.openxmlformats.org/officeDocument/2006/relationships/hyperlink" Target="https://www.google.com/url?q=https://boi18-day1-open.kattis.com/problems&amp;sa=D&amp;ust=1605639832043000&amp;usg=AFQjCNFdKpFfjZzLHG-EbhuO05HRQDHzGg" TargetMode="External"/><Relationship Id="rId526" Type="http://schemas.openxmlformats.org/officeDocument/2006/relationships/hyperlink" Target="https://www.google.com/url?q=https://csacademy.com/contest/ceoi-2017-day-2/&amp;sa=D&amp;ust=1605639832115000&amp;usg=AFQjCNG7O_0atP_6UBrMJA4HQAixzM2Jaw" TargetMode="External"/><Relationship Id="rId1156" Type="http://schemas.openxmlformats.org/officeDocument/2006/relationships/hyperlink" Target="https://www.google.com/url?q=https://oj.uz/problem/view/COCI18_prosjek&amp;sa=D&amp;ust=1605639832277000&amp;usg=AFQjCNG9Q0hIrSiE8Nq4fdWhPuZq-_mreA" TargetMode="External"/><Relationship Id="rId1363" Type="http://schemas.openxmlformats.org/officeDocument/2006/relationships/hyperlink" Target="https://www.google.com/url?q=https://github.com/mostafa-saad/MyCompetitiveProgramming/blob/master/Olympiad/Info1Cup/Info1Cup_18-Hidden.txt&amp;sa=D&amp;ust=1605639832344000&amp;usg=AFQjCNGZniw-K6TG8Ee3vAD3TmTS3uVX5A" TargetMode="External"/><Relationship Id="rId2207" Type="http://schemas.openxmlformats.org/officeDocument/2006/relationships/hyperlink" Target="https://www.google.com/url?q=https://codeforces.com/blog/entry/58433&amp;sa=D&amp;ust=1605639832615000&amp;usg=AFQjCNFpRVTqXiDGv6PJsvFz5Wt4_vTvUA" TargetMode="External"/><Relationship Id="rId2761" Type="http://schemas.openxmlformats.org/officeDocument/2006/relationships/hyperlink" Target="https://www.google.com/url?q=https://szkopul.edu.pl/problemset/problem/_PLjXEFyR0XMBQ-kZ1k_GgHE/site/&amp;sa=D&amp;ust=1605639832774000&amp;usg=AFQjCNEQCHT13vw9XYsfmi2uR53jxfiEvg" TargetMode="External"/><Relationship Id="rId733" Type="http://schemas.openxmlformats.org/officeDocument/2006/relationships/hyperlink" Target="https://www.google.com/url?q=https://github.com/mostafa-saad/MyCompetitiveProgramming/blob/master/Olympiad/COCI/official/2009/contest4_solutions&amp;sa=D&amp;ust=1605639832159000&amp;usg=AFQjCNGd38XbVLbySkSTfGvDKn56LCWdYA" TargetMode="External"/><Relationship Id="rId940" Type="http://schemas.openxmlformats.org/officeDocument/2006/relationships/hyperlink" Target="https://www.google.com/url?q=https://dmoj.ca/problem/coci14c1p4&amp;sa=D&amp;ust=1605639832218000&amp;usg=AFQjCNFbuu2l7VLwLl3o7-MjrnYpXOqEWw" TargetMode="External"/><Relationship Id="rId1016" Type="http://schemas.openxmlformats.org/officeDocument/2006/relationships/hyperlink" Target="https://www.google.com/url?q=https://github.com/mostafa-saad/MyCompetitiveProgramming/blob/master/Olympiad/COCI/COCI-15-topovi.txt&amp;sa=D&amp;ust=1605639832238000&amp;usg=AFQjCNGBSQxQaJ6JjE8Q_ZOxZHG7pYdkDw" TargetMode="External"/><Relationship Id="rId1570" Type="http://schemas.openxmlformats.org/officeDocument/2006/relationships/hyperlink" Target="https://www.google.com/url?q=https://github.com/stefdasca/CompetitiveProgramming/blob/master/Infoarena/posta2.cpp&amp;sa=D&amp;ust=1605639832404000&amp;usg=AFQjCNEywsPe3ch2UQa1mHTjTtwGvALrfw" TargetMode="External"/><Relationship Id="rId2414" Type="http://schemas.openxmlformats.org/officeDocument/2006/relationships/hyperlink" Target="https://www.google.com/url?q=https://dunjudge.me/analysis/problems/39/&amp;sa=D&amp;ust=1605639832680000&amp;usg=AFQjCNGOFMnF1YrWoPda9TNhvtt99DMd1w" TargetMode="External"/><Relationship Id="rId2621" Type="http://schemas.openxmlformats.org/officeDocument/2006/relationships/hyperlink" Target="https://www.google.com/url?q=https://szkopul.edu.pl/problemset/problem/CP4mQc-h-Vkg--I1g49xovQj/site/&amp;sa=D&amp;ust=1605639832742000&amp;usg=AFQjCNHY2qMwCS3m4q06UqZRITKDQw1wsw" TargetMode="External"/><Relationship Id="rId800" Type="http://schemas.openxmlformats.org/officeDocument/2006/relationships/hyperlink" Target="https://www.google.com/url?q=https://wcipeg.com/problem/coci095p2&amp;sa=D&amp;ust=1605639832177000&amp;usg=AFQjCNEf4BFVYXJKNJA9QAEq_Kbjtry0bQ" TargetMode="External"/><Relationship Id="rId1223" Type="http://schemas.openxmlformats.org/officeDocument/2006/relationships/hyperlink" Target="https://www.google.com/url?q=https://wcipeg.com/problem/coi08p3&amp;sa=D&amp;ust=1605639832306000&amp;usg=AFQjCNGGVZRO0iyRep3Fc_-u-QU-jIEPTg" TargetMode="External"/><Relationship Id="rId1430" Type="http://schemas.openxmlformats.org/officeDocument/2006/relationships/hyperlink" Target="https://www.google.com/url?q=https://github.com/stefdasca/CompetitiveProgramming/blob/master/Infoarena/cmmp.cpp&amp;sa=D&amp;ust=1605639832358000&amp;usg=AFQjCNHr5WwHozAMTYfloh0IRA4Y9Ql4YQ" TargetMode="External"/><Relationship Id="rId176" Type="http://schemas.openxmlformats.org/officeDocument/2006/relationships/hyperlink" Target="https://www.google.com/url?q=https://github.com/mostafa-saad/MyCompetitiveProgramming/blob/master/Olympiad/Baltic/Baltic-06-RLE.txt&amp;sa=D&amp;ust=1605639832007000&amp;usg=AFQjCNHEvTOFfC247oCsKLn9wYbIupM21Q" TargetMode="External"/><Relationship Id="rId383" Type="http://schemas.openxmlformats.org/officeDocument/2006/relationships/hyperlink" Target="https://www.google.com/url?q=https://www.acmicpc.net/problem/7053&amp;sa=D&amp;ust=1605639832070000&amp;usg=AFQjCNFeLswjDb5iijlH5p4Wbugp8M93Dw" TargetMode="External"/><Relationship Id="rId590" Type="http://schemas.openxmlformats.org/officeDocument/2006/relationships/hyperlink" Target="https://www.google.com/url?q=https://dmoj.ca/problem/coci06c3p6&amp;sa=D&amp;ust=1605639832129000&amp;usg=AFQjCNFprx8wYKfR9BQuuFUacar2n2hjWQ" TargetMode="External"/><Relationship Id="rId2064" Type="http://schemas.openxmlformats.org/officeDocument/2006/relationships/hyperlink" Target="https://www.google.com/url?q=https://github.com/mostafa-saad/MyCompetitiveProgramming/blob/master/Olympiad/JOI/JOI-19-GrowingVegetable.txt&amp;sa=D&amp;ust=1605639832559000&amp;usg=AFQjCNEIc0YejZgZCy8GyH9fnf4t2zj_nQ" TargetMode="External"/><Relationship Id="rId2271" Type="http://schemas.openxmlformats.org/officeDocument/2006/relationships/hyperlink" Target="https://www.google.com/url?q=https://github.com/mostafa-saad/MyCompetitiveProgramming/tree/master/Olympiad/MCO/official&amp;sa=D&amp;ust=1605639832637000&amp;usg=AFQjCNGNiL787G-dFiolNjjgB2qql4EjjA" TargetMode="External"/><Relationship Id="rId243" Type="http://schemas.openxmlformats.org/officeDocument/2006/relationships/hyperlink" Target="https://www.google.com/url?q=https://github.com/mostafa-saad/MyCompetitiveProgramming/blob/master/Olympiad/Baltic/Baltic-12-Brackets.txt&amp;sa=D&amp;ust=1605639832027000&amp;usg=AFQjCNFNF16eU83sKActIzt789k0fF-cug" TargetMode="External"/><Relationship Id="rId450" Type="http://schemas.openxmlformats.org/officeDocument/2006/relationships/hyperlink" Target="https://www.google.com/url?q=https://github.com/mostafa-saad/MyCompetitiveProgramming/blob/master/Olympiad/CEOI/CEOI-09-Sorting.txt&amp;sa=D&amp;ust=1605639832092000&amp;usg=AFQjCNFWluvtZ9IEe0d0JQP4vT8XAqyVhQ" TargetMode="External"/><Relationship Id="rId1080" Type="http://schemas.openxmlformats.org/officeDocument/2006/relationships/hyperlink" Target="https://www.google.com/url?q=https://github.com/mostafa-saad/MyCompetitiveProgramming/blob/master/Olympiad/COCI/official/2017/contest4_solutions&amp;sa=D&amp;ust=1605639832254000&amp;usg=AFQjCNFSCwnyMEHYS3S0Mn41iIZbC9otnw" TargetMode="External"/><Relationship Id="rId2131" Type="http://schemas.openxmlformats.org/officeDocument/2006/relationships/hyperlink" Target="https://www.google.com/url?q=https://joisc2014.contest.atcoder.jp/tasks/joisc2014_e&amp;sa=D&amp;ust=1605639832582000&amp;usg=AFQjCNGn6cVAnqafKORWIFhU-HezI0HyUA" TargetMode="External"/><Relationship Id="rId103" Type="http://schemas.openxmlformats.org/officeDocument/2006/relationships/hyperlink" Target="https://www.google.com/url?q=https://www.acmicpc.net/problem/5254&amp;sa=D&amp;ust=1605639831983000&amp;usg=AFQjCNG2yCx_Sw2OkIsJgXJ3CPdzTXUgKg" TargetMode="External"/><Relationship Id="rId310" Type="http://schemas.openxmlformats.org/officeDocument/2006/relationships/hyperlink" Target="https://www.google.com/url?q=https://github.com/mostafa-saad/MyCompetitiveProgramming/blob/master/Olympiad/Baltic/Baltic-17-Railway.txt&amp;sa=D&amp;ust=1605639832041000&amp;usg=AFQjCNFSct9LvWjzqjX4ENgjmx-xhtLgBg" TargetMode="External"/><Relationship Id="rId1897" Type="http://schemas.openxmlformats.org/officeDocument/2006/relationships/hyperlink" Target="https://www.google.com/url?q=https://github.com/Yehezkiel01/CompetitiveProgramming/blob/master/IOIPractice/IOIPractice-14-christopher-candy-ioi14.cpp&amp;sa=D&amp;ust=1605639832507000&amp;usg=AFQjCNGapWSpyur4FG5cBinFHzz3mLVh4g" TargetMode="External"/><Relationship Id="rId2948" Type="http://schemas.openxmlformats.org/officeDocument/2006/relationships/hyperlink" Target="https://www.google.com/url?q=http://usaco.org/index.php?page%3Dviewproblem2%26cpid%3D768&amp;sa=D&amp;ust=1605639832836000&amp;usg=AFQjCNE2Ecz3AA0Yfnji-T1MSU1MLKzkWQ" TargetMode="External"/><Relationship Id="rId1757" Type="http://schemas.openxmlformats.org/officeDocument/2006/relationships/hyperlink" Target="https://www.google.com/url?q=https://oj.uz/problem/view/IOI09_regions&amp;sa=D&amp;ust=1605639832460000&amp;usg=AFQjCNFojyCiZyjgKuT7A8Bezmq01I27kw" TargetMode="External"/><Relationship Id="rId1964" Type="http://schemas.openxmlformats.org/officeDocument/2006/relationships/hyperlink" Target="https://www.google.com/url?q=https://ipsc.ksp.sk/2018/real/problems/h.html&amp;sa=D&amp;ust=1605639832527000&amp;usg=AFQjCNGHeCoNeLzzaB-L9ddToCesAQi75Q" TargetMode="External"/><Relationship Id="rId2808" Type="http://schemas.openxmlformats.org/officeDocument/2006/relationships/hyperlink" Target="https://www.google.com/url?q=https://github.com/mostafa-saad/MyCompetitiveProgramming/blob/master/Olympiad/POI/POI-16-Not_Nim.txt&amp;sa=D&amp;ust=1605639832788000&amp;usg=AFQjCNFV0SvjaqiZReiydylBinTYKOZ-ow" TargetMode="External"/><Relationship Id="rId49" Type="http://schemas.openxmlformats.org/officeDocument/2006/relationships/hyperlink" Target="https://www.google.com/url?q=https://github.com/mostafa-saad/MyCompetitiveProgramming/blob/master/Olympiad/APIO/APIO-15-sculpture.txt&amp;sa=D&amp;ust=1605639831963000&amp;usg=AFQjCNEJM7TKdgtBmW0fNPiEcGMRSzkhvg" TargetMode="External"/><Relationship Id="rId1617" Type="http://schemas.openxmlformats.org/officeDocument/2006/relationships/hyperlink" Target="https://www.google.com/url?q=https://www.infoarena.ro/problema/unique&amp;sa=D&amp;ust=1605639832418000&amp;usg=AFQjCNEvd5M__Yn2DS4FFt_AXaUMhUjUDw" TargetMode="External"/><Relationship Id="rId1824" Type="http://schemas.openxmlformats.org/officeDocument/2006/relationships/hyperlink" Target="https://www.google.com/url?q=https://github.com/mostafa-saad/MyCompetitiveProgramming/blob/master/Olympiad/IOI/IOI-15-boxes.txt&amp;sa=D&amp;ust=1605639832483000&amp;usg=AFQjCNHbSMmGUGW_6wXA-VO8eMwc8jtL0Q" TargetMode="External"/><Relationship Id="rId2598" Type="http://schemas.openxmlformats.org/officeDocument/2006/relationships/hyperlink" Target="https://www.google.com/url?q=https://github.com/mostafa-saad/MyCompetitiveProgramming/blob/master/Olympiad/POI/official/find_editorial_sols_guidelines.txt&amp;sa=D&amp;ust=1605639832737000&amp;usg=AFQjCNHbPRZ-ZUnwqmRY546b4OL3fnbroQ" TargetMode="External"/><Relationship Id="rId777" Type="http://schemas.openxmlformats.org/officeDocument/2006/relationships/hyperlink" Target="https://www.google.com/url?q=https://github.com/mostafa-saad/MyCompetitiveProgramming/blob/master/Olympiad/COCI/official/2009/contest2_solutions&amp;sa=D&amp;ust=1605639832169000&amp;usg=AFQjCNEra35kw_T1wDVQNovfFx-n7t7SpA" TargetMode="External"/><Relationship Id="rId984" Type="http://schemas.openxmlformats.org/officeDocument/2006/relationships/hyperlink" Target="https://www.google.com/url?q=https://dmoj.ca/problem/coci14c5p2&amp;sa=D&amp;ust=1605639832229000&amp;usg=AFQjCNFOzbrmADo7VabeHin3rigswITR4Q" TargetMode="External"/><Relationship Id="rId2458" Type="http://schemas.openxmlformats.org/officeDocument/2006/relationships/hyperlink" Target="https://www.google.com/url?q=https://dunjudge.me/analysis/problems/1186/&amp;sa=D&amp;ust=1605639832699000&amp;usg=AFQjCNFplqR7zB1XVKaPsZsv-i33tGvF4Q" TargetMode="External"/><Relationship Id="rId2665" Type="http://schemas.openxmlformats.org/officeDocument/2006/relationships/hyperlink" Target="https://www.google.com/url?q=https://oj.uz/problem/view/POI11_ins&amp;sa=D&amp;ust=1605639832751000&amp;usg=AFQjCNFN9diqz4ECmJ6L1_3xOpj5D_7orQ" TargetMode="External"/><Relationship Id="rId2872" Type="http://schemas.openxmlformats.org/officeDocument/2006/relationships/hyperlink" Target="https://www.google.com/url?q=https://github.com/mostafa-saad/MyCompetitiveProgramming/blob/master/Olympiad/ROS/ROJS-17-ultimateorbs.txt&amp;sa=D&amp;ust=1605639832811000&amp;usg=AFQjCNEHbsotpj5j9sizWAxIDyzYK3gG2w" TargetMode="External"/><Relationship Id="rId637" Type="http://schemas.openxmlformats.org/officeDocument/2006/relationships/hyperlink" Target="https://www.google.com/url?q=https://github.com/mostafa-saad/MyCompetitiveProgramming/tree/master/Olympiad/COCI/official/2007/contest6_solutions&amp;sa=D&amp;ust=1605639832139000&amp;usg=AFQjCNGVuPx-u6DtqtJVVfAV-zAzm8tMLg" TargetMode="External"/><Relationship Id="rId844" Type="http://schemas.openxmlformats.org/officeDocument/2006/relationships/hyperlink" Target="https://www.google.com/url?q=https://github.com/mostafa-saad/MyCompetitiveProgramming/blob/master/Olympiad/COCI/official/2010/contest2_solutions&amp;sa=D&amp;ust=1605639832191000&amp;usg=AFQjCNEt9PDpNHwCvrJgzPdFBVr8Htdl6g" TargetMode="External"/><Relationship Id="rId1267" Type="http://schemas.openxmlformats.org/officeDocument/2006/relationships/hyperlink" Target="https://www.google.com/url?q=https://github.com/mostafa-saad/MyCompetitiveProgramming/tree/master/Olympiad/COI/official/2016&amp;sa=D&amp;ust=1605639832317000&amp;usg=AFQjCNE7boGuVctUy91HujaK7S0Fcogw1w" TargetMode="External"/><Relationship Id="rId1474" Type="http://schemas.openxmlformats.org/officeDocument/2006/relationships/hyperlink" Target="https://www.google.com/url?q=https://infoarena.ro/problema/hacker2&amp;sa=D&amp;ust=1605639832371000&amp;usg=AFQjCNGvKAjFaGfOC9xu4mVf8_Nk7wcAyw" TargetMode="External"/><Relationship Id="rId1681" Type="http://schemas.openxmlformats.org/officeDocument/2006/relationships/hyperlink" Target="https://www.google.com/url?q=https://contest.yandex.ru/ioi/contest/558/enter/&amp;sa=D&amp;ust=1605639832438000&amp;usg=AFQjCNGJY2eVsYhMkoaViAYjmXaF1mDxIA" TargetMode="External"/><Relationship Id="rId2318" Type="http://schemas.openxmlformats.org/officeDocument/2006/relationships/hyperlink" Target="https://www.google.com/url?q=https://dunjudge.me/analysis/problems/265/&amp;sa=D&amp;ust=1605639832651000&amp;usg=AFQjCNE5GHL94zKWyHT7ycqZqiX6xadW7Q" TargetMode="External"/><Relationship Id="rId2525" Type="http://schemas.openxmlformats.org/officeDocument/2006/relationships/hyperlink" Target="https://www.google.com/url?q=https://szkopul.edu.pl/problemset/problem/eC-cABL-jWd4JdZDmfWufeeQ/site/&amp;sa=D&amp;ust=1605639832720000&amp;usg=AFQjCNHhRoVrdYg6bRE6ybC496l5Eg-pxg" TargetMode="External"/><Relationship Id="rId2732" Type="http://schemas.openxmlformats.org/officeDocument/2006/relationships/hyperlink" Target="https://www.google.com/url?q=https://oj.uz/problem/view/POI13_tak&amp;sa=D&amp;ust=1605639832763000&amp;usg=AFQjCNGBnh8MiUNAjboD19qJplBXvFjKGg" TargetMode="External"/><Relationship Id="rId704" Type="http://schemas.openxmlformats.org/officeDocument/2006/relationships/hyperlink" Target="https://www.google.com/url?q=https://dmoj.ca/problem/coci07c1p5&amp;sa=D&amp;ust=1605639832153000&amp;usg=AFQjCNHaMPOwYXpGEjKMi3upMWr2haDinw" TargetMode="External"/><Relationship Id="rId911" Type="http://schemas.openxmlformats.org/officeDocument/2006/relationships/hyperlink" Target="https://www.google.com/url?q=https://dmoj.ca/problem/coci13c1p3&amp;sa=D&amp;ust=1605639832211000&amp;usg=AFQjCNFAHzLA8D3qVpd42zdbxLsgewOmpg" TargetMode="External"/><Relationship Id="rId1127" Type="http://schemas.openxmlformats.org/officeDocument/2006/relationships/hyperlink" Target="https://www.google.com/url?q=https://oj.uz/problem/view/COCI17_uzastopni&amp;sa=D&amp;ust=1605639832265000&amp;usg=AFQjCNFaV1uOygyZnZwZr-HKOeoHRhu_FA" TargetMode="External"/><Relationship Id="rId1334" Type="http://schemas.openxmlformats.org/officeDocument/2006/relationships/hyperlink" Target="https://www.google.com/url?q=https://csacademy.com/contest/ejoi-2017-day-2/task/experience/&amp;sa=D&amp;ust=1605639832335000&amp;usg=AFQjCNE6wloKTCdw3jbdihDG57naNt1bxg" TargetMode="External"/><Relationship Id="rId1541" Type="http://schemas.openxmlformats.org/officeDocument/2006/relationships/hyperlink" Target="https://www.google.com/url?q=https://github.com/mostafa-saad/MyCompetitiveProgramming/blob/master/Olympiad/infoarena/infoarena-paintball.txt&amp;sa=D&amp;ust=1605639832394000&amp;usg=AFQjCNEH7D6mblizFliTQyMxdAno578sXg" TargetMode="External"/><Relationship Id="rId40" Type="http://schemas.openxmlformats.org/officeDocument/2006/relationships/hyperlink" Target="https://www.google.com/url?q=https://oj.uz/problem/view/APIO14_beads&amp;sa=D&amp;ust=1605639831961000&amp;usg=AFQjCNEYyE2iXG_qxItIdozObU5-YU3ONw" TargetMode="External"/><Relationship Id="rId1401" Type="http://schemas.openxmlformats.org/officeDocument/2006/relationships/hyperlink" Target="https://www.google.com/url?q=https://github.com/mostafa-saad/MyCompetitiveProgramming/blob/master/Olympiad/infoarena/infoarena-arbore7.txt&amp;sa=D&amp;ust=1605639832352000&amp;usg=AFQjCNEghP9wv5M1V4xR-dVHFYJ5VypIiw" TargetMode="External"/><Relationship Id="rId287" Type="http://schemas.openxmlformats.org/officeDocument/2006/relationships/hyperlink" Target="https://www.google.com/url?q=https://oj.uz/problem/view/BOI15_net&amp;sa=D&amp;ust=1605639832037000&amp;usg=AFQjCNH81dpWG-zZKlxBi-akZrgJ1FxhTw" TargetMode="External"/><Relationship Id="rId494" Type="http://schemas.openxmlformats.org/officeDocument/2006/relationships/hyperlink" Target="https://www.google.com/url?q=https://oj.uz/problems/source/121&amp;sa=D&amp;ust=1605639832105000&amp;usg=AFQjCNE_gUH1iMRyxQzwLp1zpHTBpLQH8w" TargetMode="External"/><Relationship Id="rId2175" Type="http://schemas.openxmlformats.org/officeDocument/2006/relationships/hyperlink" Target="https://www.google.com/url?q=https://ivaniscoding.wordpress.com/2018/08/25/communication-3-broken-device/&amp;sa=D&amp;ust=1605639832604000&amp;usg=AFQjCNFdJJxAuhx6H6NfUGRfqYcMJfDKkw" TargetMode="External"/><Relationship Id="rId2382" Type="http://schemas.openxmlformats.org/officeDocument/2006/relationships/hyperlink" Target="https://www.google.com/url?q=https://github.com/mostafa-saad/MyCompetitiveProgramming/blob/master/Olympiad/NOI/NOI-18-citymapping.txt&amp;sa=D&amp;ust=1605639832666000&amp;usg=AFQjCNGt3AJ5bTKeY3vOxH0F1bQd-CIEYA" TargetMode="External"/><Relationship Id="rId147" Type="http://schemas.openxmlformats.org/officeDocument/2006/relationships/hyperlink" Target="https://www.google.com/url?q=https://oj.uz/problem/view/BOI18_minmaxtree&amp;sa=D&amp;ust=1605639831998000&amp;usg=AFQjCNGTmh9oQW7l2WNOYe-F7yE8f4L3iw" TargetMode="External"/><Relationship Id="rId354" Type="http://schemas.openxmlformats.org/officeDocument/2006/relationships/hyperlink" Target="https://www.google.com/url?q=https://dmoj.ca/problem/cco08p5&amp;sa=D&amp;ust=1605639832053000&amp;usg=AFQjCNHNZpMJ5kS8ez04k6nx4kl98LtI8w" TargetMode="External"/><Relationship Id="rId1191" Type="http://schemas.openxmlformats.org/officeDocument/2006/relationships/hyperlink" Target="https://www.google.com/url?q=https://oj.uz/problem/view/COCI19_wand&amp;sa=D&amp;ust=1605639832291000&amp;usg=AFQjCNGGAK-XZf4Kf-eHLKVhPfFBsYZ-6w" TargetMode="External"/><Relationship Id="rId2035" Type="http://schemas.openxmlformats.org/officeDocument/2006/relationships/hyperlink" Target="https://www.google.com/url?q=https://github.com/nikolapesic2802/Programming-Practice/blob/master/Collecting%2520stamps/main.cpp&amp;sa=D&amp;ust=1605639832550000&amp;usg=AFQjCNHt8IvM9EoO_nngRoQb6CnjPX9SbQ" TargetMode="External"/><Relationship Id="rId561" Type="http://schemas.openxmlformats.org/officeDocument/2006/relationships/hyperlink" Target="https://www.google.com/url?q=https://github.com/mostafa-saad/MyCompetitiveProgramming/tree/master/Olympiad/COCI/official/2007/contest2_solutions&amp;sa=D&amp;ust=1605639832122000&amp;usg=AFQjCNGXq8qIHdJtHScKkQ0ekMbP2jLxHA" TargetMode="External"/><Relationship Id="rId2242" Type="http://schemas.openxmlformats.org/officeDocument/2006/relationships/hyperlink" Target="https://www.google.com/url?q=https://github.com/mostafa-saad/MyCompetitiveProgramming/tree/master/Olympiad/MCO/official/2015&amp;sa=D&amp;ust=1605639832627000&amp;usg=AFQjCNGiaBO61Lz125P14DzoIbHYcj9Ipw" TargetMode="External"/><Relationship Id="rId214" Type="http://schemas.openxmlformats.org/officeDocument/2006/relationships/hyperlink" Target="https://www.google.com/url?q=https://github.com/mostafa-saad/MyCompetitiveProgramming/blob/master/Olympiad/Baltic/Baltic-10-Bears.txt&amp;sa=D&amp;ust=1605639832018000&amp;usg=AFQjCNFmyKRC4AyEnLUDy_ELBOgcEXUU2w" TargetMode="External"/><Relationship Id="rId421" Type="http://schemas.openxmlformats.org/officeDocument/2006/relationships/hyperlink" Target="https://www.google.com/url?q=https://cses.fi/185/list/&amp;sa=D&amp;ust=1605639832083000&amp;usg=AFQjCNG4upfdt8l5i7Ev7eM2sbxGVFYybg" TargetMode="External"/><Relationship Id="rId1051" Type="http://schemas.openxmlformats.org/officeDocument/2006/relationships/hyperlink" Target="https://www.google.com/url?q=https://oj.uz/problem/view/COCI16_vjestica&amp;sa=D&amp;ust=1605639832246000&amp;usg=AFQjCNFtV-fFgRw0B83eWS9r4D2_cu2fBA" TargetMode="External"/><Relationship Id="rId2102" Type="http://schemas.openxmlformats.org/officeDocument/2006/relationships/hyperlink" Target="https://www.google.com/url?q=https://oj.uz/problems/source/270&amp;sa=D&amp;ust=1605639832569000&amp;usg=AFQjCNHTT1SmjfRhcoxClLysPL6osa9_vA" TargetMode="External"/><Relationship Id="rId1868" Type="http://schemas.openxmlformats.org/officeDocument/2006/relationships/hyperlink" Target="https://www.google.com/url?q=https://oj.uz/problem/view/IOI18_combo&amp;sa=D&amp;ust=1605639832498000&amp;usg=AFQjCNEbvKigUfT4RjIhUA2hJ2EjNtDNrg" TargetMode="External"/><Relationship Id="rId2919" Type="http://schemas.openxmlformats.org/officeDocument/2006/relationships/hyperlink" Target="https://www.google.com/url?q=https://github.com/mostafa-saad/MyCompetitiveProgramming/blob/master/Olympiad/USACO/USACO-13jan-lineup.txt&amp;sa=D&amp;ust=1605639832825000&amp;usg=AFQjCNFn3LERilUvx50GGotSWnWEbVJM0A" TargetMode="External"/><Relationship Id="rId1728" Type="http://schemas.openxmlformats.org/officeDocument/2006/relationships/hyperlink" Target="https://www.google.com/url?q=https://github.com/mostafa-saad/MyCompetitiveProgramming/blob/master/Olympiad/IOI/official/2007&amp;sa=D&amp;ust=1605639832451000&amp;usg=AFQjCNEwa3MkF3BDHG_hdnz9TpuVCfjUrA" TargetMode="External"/><Relationship Id="rId1935" Type="http://schemas.openxmlformats.org/officeDocument/2006/relationships/hyperlink" Target="https://www.google.com/url?q=https://dunjudge.me/analysis/problems/1659/&amp;sa=D&amp;ust=1605639832519000&amp;usg=AFQjCNHZsvE7A3pF1bULS6k8tJ1dNO84dw" TargetMode="External"/><Relationship Id="rId3010" Type="http://schemas.openxmlformats.org/officeDocument/2006/relationships/hyperlink" Target="https://www.google.com/url?q=https://dmoj.ca/problem/utso15p5&amp;sa=D&amp;ust=1605639832872000&amp;usg=AFQjCNGBzG8TaDTeBC8SsOnZ_1TLUAYlfQ" TargetMode="External"/><Relationship Id="rId4" Type="http://schemas.openxmlformats.org/officeDocument/2006/relationships/hyperlink" Target="https://www.google.com/url?q=https://github.com/cacophonix/SPOJ/blob/master/MOBILE2.cpp&amp;sa=D&amp;ust=1605639831954000&amp;usg=AFQjCNGt2fu6DPp_lI3xI68uXT0HwI8hOQ" TargetMode="External"/><Relationship Id="rId888" Type="http://schemas.openxmlformats.org/officeDocument/2006/relationships/hyperlink" Target="https://www.google.com/url?q=https://github.com/mostafa-saad/MyCompetitiveProgramming/blob/master/Olympiad/COCI/COCI-12-mars.txt&amp;sa=D&amp;ust=1605639832206000&amp;usg=AFQjCNEl5wo6bll_YsG9Sjt7aNTJcpW0Bw" TargetMode="External"/><Relationship Id="rId2569" Type="http://schemas.openxmlformats.org/officeDocument/2006/relationships/hyperlink" Target="https://www.google.com/url?q=https://szkopul.edu.pl/problemset/problem/U6ajLqOdhbPOfK02zqN8MmZf/site/&amp;sa=D&amp;ust=1605639832731000&amp;usg=AFQjCNEfZ2V2gGUZNtLy8lrP5n75lvIfjw" TargetMode="External"/><Relationship Id="rId2776" Type="http://schemas.openxmlformats.org/officeDocument/2006/relationships/hyperlink" Target="https://www.google.com/url?q=https://github.com/mostafa-saad/MyCompetitiveProgramming/blob/master/Olympiad/POI/official/find_editorial_sols_guidelines.txt&amp;sa=D&amp;ust=1605639832778000&amp;usg=AFQjCNHW0b3iPD5YPYr3WVxkDrnW8SMBLQ" TargetMode="External"/><Relationship Id="rId2983" Type="http://schemas.openxmlformats.org/officeDocument/2006/relationships/hyperlink" Target="https://www.google.com/url?q=http://usaco.org/index.php?page%3Dviewproblem2%26cpid%3D841&amp;sa=D&amp;ust=1605639832860000&amp;usg=AFQjCNFJ7IsMv3dnNugn3gqFPPOBcL2b2Q" TargetMode="External"/><Relationship Id="rId748" Type="http://schemas.openxmlformats.org/officeDocument/2006/relationships/hyperlink" Target="https://www.google.com/url?q=https://dmoj.ca/problem/coci08c5p6&amp;sa=D&amp;ust=1605639832162000&amp;usg=AFQjCNHID3YZBQLMyyVOHf6_WIiTRvmWVQ" TargetMode="External"/><Relationship Id="rId955" Type="http://schemas.openxmlformats.org/officeDocument/2006/relationships/hyperlink" Target="https://www.google.com/url?q=https://dmoj.ca/problem/coci14c1p3&amp;sa=D&amp;ust=1605639832222000&amp;usg=AFQjCNGOZSdOUsuWqTavsVywg0cmPPsZTw" TargetMode="External"/><Relationship Id="rId1378" Type="http://schemas.openxmlformats.org/officeDocument/2006/relationships/hyperlink" Target="https://www.google.com/url?q=https://github.com/stefdasca/CompetitiveProgramming/blob/master/Infoarena/abx.cpp&amp;sa=D&amp;ust=1605639832347000&amp;usg=AFQjCNFiZFfVTqKbskRsYMOZdiiO84cYUg" TargetMode="External"/><Relationship Id="rId1585" Type="http://schemas.openxmlformats.org/officeDocument/2006/relationships/hyperlink" Target="https://www.google.com/url?q=https://www.infoarena.ro/problema/sabin&amp;sa=D&amp;ust=1605639832408000&amp;usg=AFQjCNESRLC701zyBC7xmYspMwUezz3zyg" TargetMode="External"/><Relationship Id="rId1792" Type="http://schemas.openxmlformats.org/officeDocument/2006/relationships/hyperlink" Target="https://www.google.com/url?q=https://github.com/mostafa-saad/MyCompetitiveProgramming/blob/master/Olympiad/IOI/IOI-12-editorials.txt&amp;sa=D&amp;ust=1605639832473000&amp;usg=AFQjCNFe7RkbSetnWXVu0zZCfh2AMbOqgA" TargetMode="External"/><Relationship Id="rId2429" Type="http://schemas.openxmlformats.org/officeDocument/2006/relationships/hyperlink" Target="https://www.google.com/url?q=https://dunjudge.me/analysis/problems/418/&amp;sa=D&amp;ust=1605639832686000&amp;usg=AFQjCNGISYZTWojFZHL3fLUCW8ZrG1mb3A" TargetMode="External"/><Relationship Id="rId2636" Type="http://schemas.openxmlformats.org/officeDocument/2006/relationships/hyperlink" Target="https://www.google.com/url?q=https://github.com/mostafa-saad/MyCompetitiveProgramming/blob/master/Olympiad/POI/official/find_editorial_sols_guidelines.txt&amp;sa=D&amp;ust=1605639832745000&amp;usg=AFQjCNE0q1YlXCXLSM-XCwhPvgXWrvhRIQ" TargetMode="External"/><Relationship Id="rId2843" Type="http://schemas.openxmlformats.org/officeDocument/2006/relationships/hyperlink" Target="https://www.google.com/url?q=https://szkopul.edu.pl/problemset/problem/vvd6w7n7EXFVEg3nkqGxEirV/site/?key%3Dstatement&amp;sa=D&amp;ust=1605639832802000&amp;usg=AFQjCNF4DkhYhWgLOb4CGPhhnnm9WuZjNQ" TargetMode="External"/><Relationship Id="rId84" Type="http://schemas.openxmlformats.org/officeDocument/2006/relationships/hyperlink" Target="https://www.google.com/url?q=https://github.com/koosaga/olympiad/blob/master/Balkan/balkan05_race.cpp&amp;sa=D&amp;ust=1605639831976000&amp;usg=AFQjCNGNPxTDAz1D8phV0e-7-DJKOavykw" TargetMode="External"/><Relationship Id="rId608" Type="http://schemas.openxmlformats.org/officeDocument/2006/relationships/hyperlink" Target="https://www.google.com/url?q=https://dmoj.ca/problem/coci06c6p6&amp;sa=D&amp;ust=1605639832133000&amp;usg=AFQjCNHinrPxMaGQoFmqqszh1vi2G_aNDg" TargetMode="External"/><Relationship Id="rId815" Type="http://schemas.openxmlformats.org/officeDocument/2006/relationships/hyperlink" Target="https://www.google.com/url?q=https://github.com/mostafa-saad/MyCompetitiveProgramming/blob/master/Olympiad/COCI/COCI-09-Gremlini.txt&amp;sa=D&amp;ust=1605639832182000&amp;usg=AFQjCNFo2zQ9bHCW_R8gf2vOPZWxcLnlng" TargetMode="External"/><Relationship Id="rId1238" Type="http://schemas.openxmlformats.org/officeDocument/2006/relationships/hyperlink" Target="https://www.google.com/url?q=https://oj.uz/problem/view/COI14_grad&amp;sa=D&amp;ust=1605639832310000&amp;usg=AFQjCNFkrHC-omLcjl-dxBv6kSeqKG6ung" TargetMode="External"/><Relationship Id="rId1445" Type="http://schemas.openxmlformats.org/officeDocument/2006/relationships/hyperlink" Target="https://www.google.com/url?q=https://github.com/stefdasca/CompetitiveProgramming/blob/master/Infoarena/cuiburi.cpp&amp;sa=D&amp;ust=1605639832361000&amp;usg=AFQjCNE4__Cil_iCVIYdJFCefZZIb-f9OA" TargetMode="External"/><Relationship Id="rId1652" Type="http://schemas.openxmlformats.org/officeDocument/2006/relationships/hyperlink" Target="https://www.google.com/url?q=https://github.com/mostafa-saad/MyCompetitiveProgramming/blob/master/Olympiad/IOI/IOI-00-walls.txt&amp;sa=D&amp;ust=1605639832429000&amp;usg=AFQjCNHFL30bttqpnHvnXTNucenxFH9JJw" TargetMode="External"/><Relationship Id="rId1305" Type="http://schemas.openxmlformats.org/officeDocument/2006/relationships/hyperlink" Target="https://www.google.com/url?q=https://github.com/tsouza0/CompetitiveProgramming/blob/master/Olympiads/Canada/cco/ccoprep4/p3.cpp&amp;sa=D&amp;ust=1605639832326000&amp;usg=AFQjCNHj8cnUf0n7hEzzlEg_d7o77R4ehQ" TargetMode="External"/><Relationship Id="rId2703" Type="http://schemas.openxmlformats.org/officeDocument/2006/relationships/hyperlink" Target="https://www.google.com/url?q=https://szkopul.edu.pl/problemset/problem/70gcrAV-ccXlJa6gMBpOqV1u/site/&amp;sa=D&amp;ust=1605639832758000&amp;usg=AFQjCNETpOFjBplb7-OskSzGtzSvQfq6Aw" TargetMode="External"/><Relationship Id="rId2910" Type="http://schemas.openxmlformats.org/officeDocument/2006/relationships/hyperlink" Target="https://www.google.com/url?q=http://usaco.org/index.php?page%3Dviewproblem2%26cpid%3D211&amp;sa=D&amp;ust=1605639832823000&amp;usg=AFQjCNG3_qGmcweeq8vxtKThK2M_2rGeIg" TargetMode="External"/><Relationship Id="rId1512" Type="http://schemas.openxmlformats.org/officeDocument/2006/relationships/hyperlink" Target="https://www.google.com/url?q=https://www.infoarena.ro/problema/meneaito&amp;sa=D&amp;ust=1605639832384000&amp;usg=AFQjCNEiS7B06_DwEfahKssB8Bs9LjsQLw" TargetMode="External"/><Relationship Id="rId11" Type="http://schemas.openxmlformats.org/officeDocument/2006/relationships/hyperlink" Target="https://www.google.com/url?q=https://tioj.ck.tp.edu.tw/problems/1740&amp;sa=D&amp;ust=1605639831955000&amp;usg=AFQjCNEC6aOKiMbRUAdaUDZok_1SlN-24w" TargetMode="External"/><Relationship Id="rId398" Type="http://schemas.openxmlformats.org/officeDocument/2006/relationships/hyperlink" Target="https://www.google.com/url?q=https://github.com/mostafa-saad/MyCompetitiveProgramming/blob/master/Olympiad/CEOI/CEOI-04-Two.txt&amp;sa=D&amp;ust=1605639832075000&amp;usg=AFQjCNFKKnp4ynygbAFk_eVm9zJiSGKkWA" TargetMode="External"/><Relationship Id="rId2079" Type="http://schemas.openxmlformats.org/officeDocument/2006/relationships/hyperlink" Target="https://www.google.com/url?q=https://oj.uz/problems/source/6&amp;sa=D&amp;ust=1605639832562000&amp;usg=AFQjCNE4Psmux-hVvWHiURP7bpy7_yPXgw" TargetMode="External"/><Relationship Id="rId2286" Type="http://schemas.openxmlformats.org/officeDocument/2006/relationships/hyperlink" Target="https://www.google.com/url?q=https://dunjudge.me/analysis/problems/1500/&amp;sa=D&amp;ust=1605639832641000&amp;usg=AFQjCNGupY0A_p8kNCbZ9xyAI6JtEONR2A" TargetMode="External"/><Relationship Id="rId2493" Type="http://schemas.openxmlformats.org/officeDocument/2006/relationships/hyperlink" Target="https://www.google.com/url?q=https://szkopul.edu.pl/problemset/problem/o09s2TblWuB1BP9isQT7VIkG/site/&amp;sa=D&amp;ust=1605639832712000&amp;usg=AFQjCNEyMDqx0MZ5BSR2UsQgI_aIS9V-gA" TargetMode="External"/><Relationship Id="rId258" Type="http://schemas.openxmlformats.org/officeDocument/2006/relationships/hyperlink" Target="https://www.google.com/url?q=https://github.com/mostafa-saad/MyCompetitiveProgramming/blob/master/Olympiad/Baltic/Baltic-13-numbers.txt&amp;sa=D&amp;ust=1605639832030000&amp;usg=AFQjCNHj4qSaXZ6NiVwGXAyx0MHp61IVcw" TargetMode="External"/><Relationship Id="rId465" Type="http://schemas.openxmlformats.org/officeDocument/2006/relationships/hyperlink" Target="https://www.google.com/url?q=https://github.com/mostafa-saad/MyCompetitiveProgramming/blob/master/Olympiad/CEOI/official/2011/&amp;sa=D&amp;ust=1605639832097000&amp;usg=AFQjCNHkFBXubI81oYa1KH94suyXNAu-xw" TargetMode="External"/><Relationship Id="rId672" Type="http://schemas.openxmlformats.org/officeDocument/2006/relationships/hyperlink" Target="https://www.google.com/url?q=https://dmoj.ca/problem/crci07p3&amp;sa=D&amp;ust=1605639832146000&amp;usg=AFQjCNHl-M7AU0nnAc3NaheoECu0G4dDWw" TargetMode="External"/><Relationship Id="rId1095" Type="http://schemas.openxmlformats.org/officeDocument/2006/relationships/hyperlink" Target="https://www.google.com/url?q=https://oj.uz/problem/view/COCI17_plahte&amp;sa=D&amp;ust=1605639832257000&amp;usg=AFQjCNE0QY7zld1XWscRuSv1Ae2XqoPuKg" TargetMode="External"/><Relationship Id="rId2146" Type="http://schemas.openxmlformats.org/officeDocument/2006/relationships/hyperlink" Target="https://www.google.com/url?q=https://joisc2015.contest.atcoder.jp/tasks/joisc2015_a&amp;sa=D&amp;ust=1605639832592000&amp;usg=AFQjCNEOI4V68kSVIwxAfx4ZG26EbttFIg" TargetMode="External"/><Relationship Id="rId2353" Type="http://schemas.openxmlformats.org/officeDocument/2006/relationships/hyperlink" Target="https://www.google.com/url?q=https://dunjudge.me/analysis/problems/703/&amp;sa=D&amp;ust=1605639832660000&amp;usg=AFQjCNFWRv4C-gyOZYVGZ1HcNibUitOB_Q" TargetMode="External"/><Relationship Id="rId2560" Type="http://schemas.openxmlformats.org/officeDocument/2006/relationships/hyperlink" Target="https://www.google.com/url?q=https://github.com/mostafa-saad/MyCompetitiveProgramming/blob/master/Olympiad/POI/official/find_editorial_sols_guidelines.txt&amp;sa=D&amp;ust=1605639832729000&amp;usg=AFQjCNEJQO2ypRx96YSiuA1QQlzUBeSDgA" TargetMode="External"/><Relationship Id="rId118" Type="http://schemas.openxmlformats.org/officeDocument/2006/relationships/hyperlink" Target="https://www.google.com/url?q=https://www.acmicpc.net/problem/11783&amp;sa=D&amp;ust=1605639831988000&amp;usg=AFQjCNH_M_JOSK0FFA7dZpj0OVy-IVHUOQ" TargetMode="External"/><Relationship Id="rId325" Type="http://schemas.openxmlformats.org/officeDocument/2006/relationships/hyperlink" Target="https://www.google.com/url?q=https://oj.uz/problem/view/BOI19_kitchen&amp;sa=D&amp;ust=1605639832045000&amp;usg=AFQjCNGkyniP3SSjn1DQYNvCdTS8aCRKHw" TargetMode="External"/><Relationship Id="rId532" Type="http://schemas.openxmlformats.org/officeDocument/2006/relationships/hyperlink" Target="https://www.google.com/url?q=https://csacademy.com/contest/ceoi-2017-day-2/&amp;sa=D&amp;ust=1605639832116000&amp;usg=AFQjCNEEC1RGmTPkGxw_QRJS2j3aeZSVcA" TargetMode="External"/><Relationship Id="rId1162" Type="http://schemas.openxmlformats.org/officeDocument/2006/relationships/hyperlink" Target="https://www.google.com/url?q=https://oj.uz/problem/view/COCI18_cipele&amp;sa=D&amp;ust=1605639832281000&amp;usg=AFQjCNFrQRlzj0-V2ltk59xJqCPTq2v5oQ" TargetMode="External"/><Relationship Id="rId2006" Type="http://schemas.openxmlformats.org/officeDocument/2006/relationships/hyperlink" Target="https://www.google.com/url?q=https://oj.uz/problem/view/IZhO18_treearray&amp;sa=D&amp;ust=1605639832542000&amp;usg=AFQjCNHheib3s3yBnSLUjmuk7qKaJf-r1g" TargetMode="External"/><Relationship Id="rId2213" Type="http://schemas.openxmlformats.org/officeDocument/2006/relationships/hyperlink" Target="https://www.google.com/url?q=https://oj.uz/problems/source/314&amp;sa=D&amp;ust=1605639832617000&amp;usg=AFQjCNHmK6l3SkRcWM16N_YfDt2gPgPnPA" TargetMode="External"/><Relationship Id="rId2420" Type="http://schemas.openxmlformats.org/officeDocument/2006/relationships/hyperlink" Target="https://www.google.com/url?q=https://dunjudge.me/analysis/problems/46/&amp;sa=D&amp;ust=1605639832682000&amp;usg=AFQjCNHypmiEacRys2fm-JXEYC87XE5eXg" TargetMode="External"/><Relationship Id="rId1022" Type="http://schemas.openxmlformats.org/officeDocument/2006/relationships/hyperlink" Target="https://www.google.com/url?q=https://oj.uz/problem/view/COCI16_burza&amp;sa=D&amp;ust=1605639832240000&amp;usg=AFQjCNFk8OXkF_w3A5qkQ1fY-i9nOptLxA" TargetMode="External"/><Relationship Id="rId1979" Type="http://schemas.openxmlformats.org/officeDocument/2006/relationships/hyperlink" Target="https://www.google.com/url?q=https://oj.uz/problem/view/IZhO14_bank&amp;sa=D&amp;ust=1605639832532000&amp;usg=AFQjCNGoqnJPhG_RRRYTS6Eoi1yoA3RUiA" TargetMode="External"/><Relationship Id="rId1839" Type="http://schemas.openxmlformats.org/officeDocument/2006/relationships/hyperlink" Target="https://www.google.com/url?q=https://oj.uz/problem/view/IOI16_laugh&amp;sa=D&amp;ust=1605639832489000&amp;usg=AFQjCNGBh5DiUBUhNgyQH2kRkOomdKUetw" TargetMode="External"/><Relationship Id="rId182" Type="http://schemas.openxmlformats.org/officeDocument/2006/relationships/hyperlink" Target="https://www.google.com/url?q=https://github.com/mostafa-saad/MyCompetitiveProgramming/blob/master/Olympiad/Baltic/Baltic-07-Points.txt&amp;sa=D&amp;ust=1605639832009000&amp;usg=AFQjCNEN0zGZwFzUgd2Mlqgo3SKYmOWfyw" TargetMode="External"/><Relationship Id="rId1906" Type="http://schemas.openxmlformats.org/officeDocument/2006/relationships/hyperlink" Target="https://www.google.com/url?q=https://www.hackerrank.com/contests/ioi-2014-practice-contest-2/challenges&amp;sa=D&amp;ust=1605639832510000&amp;usg=AFQjCNHUdz-BfNc56PJJhGNJeExiUsQ9YQ" TargetMode="External"/><Relationship Id="rId2070" Type="http://schemas.openxmlformats.org/officeDocument/2006/relationships/hyperlink" Target="https://www.google.com/url?q=https://oj.uz/problem/view/JOI20_ho_t2&amp;sa=D&amp;ust=1605639832560000&amp;usg=AFQjCNG23-slh7ZLdLLTvia0n0BslDfGoA" TargetMode="External"/><Relationship Id="rId999" Type="http://schemas.openxmlformats.org/officeDocument/2006/relationships/hyperlink" Target="https://www.google.com/url?q=https://github.com/mostafa-saad/MyCompetitiveProgramming/blob/master/Olympiad/COCI/COCI-15-galaksija.txt&amp;sa=D&amp;ust=1605639832233000&amp;usg=AFQjCNHensWZ-F4JeuUiZzjcRCQqErT6GQ" TargetMode="External"/><Relationship Id="rId2887" Type="http://schemas.openxmlformats.org/officeDocument/2006/relationships/hyperlink" Target="https://www.google.com/url?q=https://contest.yandex.ru/contest/8699/problems/A&amp;sa=D&amp;ust=1605639832816000&amp;usg=AFQjCNFThB7YVUTLZJJfXBTMF5FLS7WoKQ" TargetMode="External"/><Relationship Id="rId859" Type="http://schemas.openxmlformats.org/officeDocument/2006/relationships/hyperlink" Target="https://www.google.com/url?q=https://wcipeg.com/problem/coci097p1&amp;sa=D&amp;ust=1605639832197000&amp;usg=AFQjCNFG2IijbaruYs_cNQkA1YiQciff0Q" TargetMode="External"/><Relationship Id="rId1489" Type="http://schemas.openxmlformats.org/officeDocument/2006/relationships/hyperlink" Target="https://www.google.com/url?q=https://github.com/mostafa-saad/MyCompetitiveProgramming/blob/master/Olympiad/infoarena/infoarena-karb.txt&amp;sa=D&amp;ust=1605639832377000&amp;usg=AFQjCNH27K5YDevaXTXlRmfvTTuX0QhO9Q" TargetMode="External"/><Relationship Id="rId1696" Type="http://schemas.openxmlformats.org/officeDocument/2006/relationships/hyperlink" Target="https://www.google.com/url?q=https://github.com/mostafa-saad/MyCompetitiveProgramming/blob/master/Olympiad/IOI/IOI-04-polygon.txt&amp;sa=D&amp;ust=1605639832442000&amp;usg=AFQjCNHjl7yjBw_RWMrbCP5WWOutfI91Jw" TargetMode="External"/><Relationship Id="rId1349" Type="http://schemas.openxmlformats.org/officeDocument/2006/relationships/hyperlink" Target="https://www.google.com/url?q=https://codeforces.com/group/swEqtABRxe/contest/227524/problem/B&amp;sa=D&amp;ust=1605639832339000&amp;usg=AFQjCNFMjYbTWwkfDUxnzjzc0xYyYW87Tg" TargetMode="External"/><Relationship Id="rId2747" Type="http://schemas.openxmlformats.org/officeDocument/2006/relationships/hyperlink" Target="https://www.google.com/url?q=https://github.com/mostafa-saad/MyCompetitiveProgramming/blob/master/Olympiad/POI/official/find_editorial_sols_guidelines.txt&amp;sa=D&amp;ust=1605639832768000&amp;usg=AFQjCNGH39XAeMNXPJpqekURds_P8PgYEA" TargetMode="External"/><Relationship Id="rId2954" Type="http://schemas.openxmlformats.org/officeDocument/2006/relationships/hyperlink" Target="https://www.google.com/url?q=http://usaco.org/index.php?page%3Dviewproblem2%26cpid%3D696&amp;sa=D&amp;ust=1605639832838000&amp;usg=AFQjCNFQdQ_Ds29iiQCAGp3wkS5_3ZpXfQ" TargetMode="External"/><Relationship Id="rId719" Type="http://schemas.openxmlformats.org/officeDocument/2006/relationships/hyperlink" Target="https://www.google.com/url?q=https://github.com/mostafa-saad/MyCompetitiveProgramming/tree/master/Olympiad/COCI/official/2008/contest1_solutions&amp;sa=D&amp;ust=1605639832156000&amp;usg=AFQjCNGsOuWyof3hcvoqM1DI4y8GALTiWA" TargetMode="External"/><Relationship Id="rId926" Type="http://schemas.openxmlformats.org/officeDocument/2006/relationships/hyperlink" Target="https://www.google.com/url?q=https://dmoj.ca/problem/coci14c3p2&amp;sa=D&amp;ust=1605639832215000&amp;usg=AFQjCNEnZE-EizCf5S17l1oaTqwYg4NEMg" TargetMode="External"/><Relationship Id="rId1556" Type="http://schemas.openxmlformats.org/officeDocument/2006/relationships/hyperlink" Target="https://www.google.com/url?q=https://www.infoarena.ro/problema/pesaptecarari&amp;sa=D&amp;ust=1605639832399000&amp;usg=AFQjCNFORJt4l_DTf828QwgJsXAAyk3_kg" TargetMode="External"/><Relationship Id="rId1763" Type="http://schemas.openxmlformats.org/officeDocument/2006/relationships/hyperlink" Target="https://www.google.com/url?q=https://oj.uz/problem/view/IOI10_hottercolder&amp;sa=D&amp;ust=1605639832461000&amp;usg=AFQjCNEY-fSPLQHlpoMWSB1TouETxuComw" TargetMode="External"/><Relationship Id="rId1970" Type="http://schemas.openxmlformats.org/officeDocument/2006/relationships/hyperlink" Target="https://www.google.com/url?q=https://oj.uz/problem/view/IZhO12_biochips&amp;sa=D&amp;ust=1605639832530000&amp;usg=AFQjCNGdc5Ve5J4FYAt6Z3pwzUVzKAOj8w" TargetMode="External"/><Relationship Id="rId2607" Type="http://schemas.openxmlformats.org/officeDocument/2006/relationships/hyperlink" Target="https://www.google.com/url?q=https://szkopul.edu.pl/problemset/problem/Z8dyWFvoZuAJMjzLhqu4IH2o/site/&amp;sa=D&amp;ust=1605639832739000&amp;usg=AFQjCNEXbl4K_FKIqvU7ymyVLmyUG_1xaA" TargetMode="External"/><Relationship Id="rId2814" Type="http://schemas.openxmlformats.org/officeDocument/2006/relationships/hyperlink" Target="https://www.google.com/url?q=https://github.com/mostafa-saad/MyCompetitiveProgramming/blob/master/Olympiad/POI/POI-16-Stutter.txt&amp;sa=D&amp;ust=1605639832791000&amp;usg=AFQjCNEz-Mp12jV9VRE3zlyshxFh_nj-2w" TargetMode="External"/><Relationship Id="rId55" Type="http://schemas.openxmlformats.org/officeDocument/2006/relationships/hyperlink" Target="https://www.google.com/url?q=https://github.com/mostafa-saad/MyCompetitiveProgramming/blob/master/Olympiad/APIO/APIO-16-fireworks.txt&amp;sa=D&amp;ust=1605639831965000&amp;usg=AFQjCNH2wGOL1L9K2KbsDnMmxVFCpn58lQ" TargetMode="External"/><Relationship Id="rId1209" Type="http://schemas.openxmlformats.org/officeDocument/2006/relationships/hyperlink" Target="https://www.google.com/url?q=https://wcipeg.com/problem/coi07p4&amp;sa=D&amp;ust=1605639832301000&amp;usg=AFQjCNG_G9CMMfGCTd7OG1o-dSXLvXoeFA" TargetMode="External"/><Relationship Id="rId1416" Type="http://schemas.openxmlformats.org/officeDocument/2006/relationships/hyperlink" Target="https://www.google.com/url?q=https://github.com/stefdasca/CompetitiveProgramming/blob/master/Infoarena/cartite.cpp&amp;sa=D&amp;ust=1605639832355000&amp;usg=AFQjCNFNQqoYiH5AwBOnbc6NW7kZeVcKkA" TargetMode="External"/><Relationship Id="rId1623" Type="http://schemas.openxmlformats.org/officeDocument/2006/relationships/hyperlink" Target="https://www.google.com/url?q=https://infoarena.ro/problema/xortransform&amp;sa=D&amp;ust=1605639832420000&amp;usg=AFQjCNGyKuBDH4-gDzzOhv-wn1xbJCuXyA" TargetMode="External"/><Relationship Id="rId1830" Type="http://schemas.openxmlformats.org/officeDocument/2006/relationships/hyperlink" Target="https://www.google.com/url?q=https://github.com/mostafa-saad/MyCompetitiveProgramming/blob/master/Olympiad/IOI/IOI-15-sorting.txt&amp;sa=D&amp;ust=1605639832486000&amp;usg=AFQjCNEGVx-ZMoTeZrsgoXijXpevEdgxJg" TargetMode="External"/><Relationship Id="rId2397" Type="http://schemas.openxmlformats.org/officeDocument/2006/relationships/hyperlink" Target="https://www.google.com/url?q=https://github.com/mostafa-saad/MyCompetitiveProgramming/blob/master/Olympiad/NOI/NOI-19-riggedroads.txt&amp;sa=D&amp;ust=1605639832672000&amp;usg=AFQjCNG2gskN7XknifAzgPYlgplOZL8h7A" TargetMode="External"/><Relationship Id="rId369" Type="http://schemas.openxmlformats.org/officeDocument/2006/relationships/hyperlink" Target="https://www.google.com/url?q=https://github.com/timpostuvan/CompetitiveProgramming/blob/master/Olympiad/CCO/WrongAnswer2018.cpp&amp;sa=D&amp;ust=1605639832057000&amp;usg=AFQjCNGX0yjkQ6TqMRMRkNCWZuPsbjtOHQ" TargetMode="External"/><Relationship Id="rId576" Type="http://schemas.openxmlformats.org/officeDocument/2006/relationships/hyperlink" Target="https://www.google.com/url?q=https://dmoj.ca/problem/coci06c1p2&amp;sa=D&amp;ust=1605639832126000&amp;usg=AFQjCNG-PTbztmiRTW6mEso-qbPviBzoXQ" TargetMode="External"/><Relationship Id="rId783" Type="http://schemas.openxmlformats.org/officeDocument/2006/relationships/hyperlink" Target="https://www.google.com/url?q=https://github.com/mostafa-saad/MyCompetitiveProgramming/blob/master/Olympiad/CEOI/COCI-08-Slicice.txt&amp;sa=D&amp;ust=1605639832172000&amp;usg=AFQjCNFP6tdmScYRhO82LS0_-KvT0dkl1w" TargetMode="External"/><Relationship Id="rId990" Type="http://schemas.openxmlformats.org/officeDocument/2006/relationships/hyperlink" Target="https://www.google.com/url?q=https://dmoj.ca/problem/coci15c4p3&amp;sa=D&amp;ust=1605639832231000&amp;usg=AFQjCNFJcuOKbnyY4lt3CedMTSKhqjR8Dw" TargetMode="External"/><Relationship Id="rId2257" Type="http://schemas.openxmlformats.org/officeDocument/2006/relationships/hyperlink" Target="https://www.google.com/url?q=https://github.com/mostafa-saad/MyCompetitiveProgramming/tree/master/Olympiad/MCO/official&amp;sa=D&amp;ust=1605639832633000&amp;usg=AFQjCNGIcwImBxT4QCtdhtRsJ9l8l7jyyQ" TargetMode="External"/><Relationship Id="rId2464" Type="http://schemas.openxmlformats.org/officeDocument/2006/relationships/hyperlink" Target="https://www.google.com/url?q=https://dunjudge.me/analysis/problems/1477/&amp;sa=D&amp;ust=1605639832702000&amp;usg=AFQjCNF_RG5axu7jagNgRBuFoNdKLo7pvA" TargetMode="External"/><Relationship Id="rId2671" Type="http://schemas.openxmlformats.org/officeDocument/2006/relationships/hyperlink" Target="https://www.google.com/url?q=https://oj.uz/problem/view/POI11_prz&amp;sa=D&amp;ust=1605639832752000&amp;usg=AFQjCNHwhQf_ESslu3ZZwrkj66qh4Je70A" TargetMode="External"/><Relationship Id="rId229" Type="http://schemas.openxmlformats.org/officeDocument/2006/relationships/hyperlink" Target="https://www.google.com/url?q=https://cses.fi/100/list/&amp;sa=D&amp;ust=1605639832023000&amp;usg=AFQjCNEyjDvatqo5p3rsLfc70p_pTXnV1g" TargetMode="External"/><Relationship Id="rId436" Type="http://schemas.openxmlformats.org/officeDocument/2006/relationships/hyperlink" Target="https://www.google.com/url?q=https://github.com/mostafa-saad/MyCompetitiveProgramming/blob/master/Olympiad/CEOI/CEOI-08-Knights.txt&amp;sa=D&amp;ust=1605639832088000&amp;usg=AFQjCNEnJgHX_o98CjN8o-hGPFqA1iUoCg" TargetMode="External"/><Relationship Id="rId643" Type="http://schemas.openxmlformats.org/officeDocument/2006/relationships/hyperlink" Target="https://www.google.com/url?q=https://github.com/mostafa-saad/MyCompetitiveProgramming/blob/master/Olympiad/COCI/COCI-07-Barica.txt&amp;sa=D&amp;ust=1605639832140000&amp;usg=AFQjCNFwcoXRxRNA1gzqQCeHxZRNLcuMIQ" TargetMode="External"/><Relationship Id="rId1066" Type="http://schemas.openxmlformats.org/officeDocument/2006/relationships/hyperlink" Target="https://www.google.com/url?q=https://github.com/mostafa-saad/MyCompetitiveProgramming/blob/master/Olympiad/COCI/COCI-17-deda.txt&amp;sa=D&amp;ust=1605639832250000&amp;usg=AFQjCNGh7mlH8EFLwJKp6sXb6WYea5_awQ" TargetMode="External"/><Relationship Id="rId1273" Type="http://schemas.openxmlformats.org/officeDocument/2006/relationships/hyperlink" Target="https://www.google.com/url?q=https://github.com/mostafa-saad/MyCompetitiveProgramming/blob/master/Olympiad/COI/COI-16-torrent.txt&amp;sa=D&amp;ust=1605639832318000&amp;usg=AFQjCNFpHaCZiD7TpGXPew_d4eFx4itm3g" TargetMode="External"/><Relationship Id="rId1480" Type="http://schemas.openxmlformats.org/officeDocument/2006/relationships/hyperlink" Target="https://www.google.com/url?q=https://www.infoarena.ro/problema/incurcatura&amp;sa=D&amp;ust=1605639832373000&amp;usg=AFQjCNHS5DjTAyBytA3nS10Gkchqp0lBLA" TargetMode="External"/><Relationship Id="rId2117" Type="http://schemas.openxmlformats.org/officeDocument/2006/relationships/hyperlink" Target="https://www.google.com/url?q=https://oj.uz/problem/view/JOI19_virus&amp;sa=D&amp;ust=1605639832573000&amp;usg=AFQjCNH01keW-oxyXPqFFFKJe8Ij3GO4eQ" TargetMode="External"/><Relationship Id="rId2324" Type="http://schemas.openxmlformats.org/officeDocument/2006/relationships/hyperlink" Target="https://www.google.com/url?q=https://dunjudge.me/analysis/problems/215/&amp;sa=D&amp;ust=1605639832653000&amp;usg=AFQjCNE48tneGQNrEOnZDSt7oLJfLwTqRA" TargetMode="External"/><Relationship Id="rId850" Type="http://schemas.openxmlformats.org/officeDocument/2006/relationships/hyperlink" Target="https://www.google.com/url?q=https://github.com/mostafa-saad/MyCompetitiveProgramming/blob/master/Olympiad/COCI/official/2010/contest2_solutions&amp;sa=D&amp;ust=1605639832194000&amp;usg=AFQjCNGV4cKIQbrmXp9LZwMur8DT7CyAEw" TargetMode="External"/><Relationship Id="rId1133" Type="http://schemas.openxmlformats.org/officeDocument/2006/relationships/hyperlink" Target="https://www.google.com/url?q=https://oj.uz/problem/view/COCI18_birokracija&amp;sa=D&amp;ust=1605639832269000&amp;usg=AFQjCNGPd-yUH8siqHyi_TpS5N1jm-14Wg" TargetMode="External"/><Relationship Id="rId2531" Type="http://schemas.openxmlformats.org/officeDocument/2006/relationships/hyperlink" Target="https://www.google.com/url?q=https://szkopul.edu.pl/problemset/problem/TPo3Eb_q2NKymvHo6kNvd5yx/site/&amp;sa=D&amp;ust=1605639832721000&amp;usg=AFQjCNGkAwP3ICD4EM3DB3QNQ7iwNuA0Bw" TargetMode="External"/><Relationship Id="rId503" Type="http://schemas.openxmlformats.org/officeDocument/2006/relationships/hyperlink" Target="https://www.google.com/url?q=https://oj.uz/problem/view/CEOI15_bobek&amp;sa=D&amp;ust=1605639832108000&amp;usg=AFQjCNHU5ElAHSapcocs5ioxUr8eRe6zWw" TargetMode="External"/><Relationship Id="rId710" Type="http://schemas.openxmlformats.org/officeDocument/2006/relationships/hyperlink" Target="https://www.google.com/url?q=https://dmoj.ca/problem/coci07c5p1&amp;sa=D&amp;ust=1605639832154000&amp;usg=AFQjCNFcDXOFl3f8PWoFimnwIxow2PcqbA" TargetMode="External"/><Relationship Id="rId1340" Type="http://schemas.openxmlformats.org/officeDocument/2006/relationships/hyperlink" Target="https://www.google.com/url?q=https://csacademy.com/contest/ejoi-2017-day-1/task/six/&amp;sa=D&amp;ust=1605639832337000&amp;usg=AFQjCNFiR-G6oZpPF3uDZVYyJHv-1NaMeg" TargetMode="External"/><Relationship Id="rId1200" Type="http://schemas.openxmlformats.org/officeDocument/2006/relationships/hyperlink" Target="https://www.google.com/url?q=https://github.com/timpostuvan/CompetitiveProgramming/blob/master/Olympiad/COI/Policija2006.cpp&amp;sa=D&amp;ust=1605639832298000&amp;usg=AFQjCNG-ShlmzAWQyfUg3VvAkixAeAVePA" TargetMode="External"/><Relationship Id="rId293" Type="http://schemas.openxmlformats.org/officeDocument/2006/relationships/hyperlink" Target="https://www.google.com/url?q=https://oj.uz/problem/view/BOI16_cities&amp;sa=D&amp;ust=1605639832038000&amp;usg=AFQjCNEqqFx_XEgbXFpZ7NW9do4dkqj9Ow" TargetMode="External"/><Relationship Id="rId2181" Type="http://schemas.openxmlformats.org/officeDocument/2006/relationships/hyperlink" Target="https://www.google.com/url?q=https://github.com/mostafa-saad/MyCompetitiveProgramming/blob/master/Olympiad/JOI/official/JOISC/2017/2017.txt&amp;sa=D&amp;ust=1605639832606000&amp;usg=AFQjCNHPfJce74FwOlEu6bwsvfcNs3VuGA" TargetMode="External"/><Relationship Id="rId153" Type="http://schemas.openxmlformats.org/officeDocument/2006/relationships/hyperlink" Target="https://www.google.com/url?q=https://oj.uz/problem/view/BOI18_zalmoxis&amp;sa=D&amp;ust=1605639832000000&amp;usg=AFQjCNHQ8m9_Bpd7_mWGLhrXxwczvWwB3w" TargetMode="External"/><Relationship Id="rId360" Type="http://schemas.openxmlformats.org/officeDocument/2006/relationships/hyperlink" Target="https://www.google.com/url?q=https://dmoj.ca/problem/cco18p5&amp;sa=D&amp;ust=1605639832055000&amp;usg=AFQjCNE0QVCZCZfBRRT1t6_DMZjm5mDvNQ" TargetMode="External"/><Relationship Id="rId2041" Type="http://schemas.openxmlformats.org/officeDocument/2006/relationships/hyperlink" Target="https://www.google.com/url?q=https://oj.uz/problem/view/JOI17_foehn_phenomena&amp;sa=D&amp;ust=1605639832551000&amp;usg=AFQjCNEeIds2e3r9W9BKMwVC5bZ_t8Eegw" TargetMode="External"/><Relationship Id="rId220" Type="http://schemas.openxmlformats.org/officeDocument/2006/relationships/hyperlink" Target="https://www.google.com/url?q=https://github.com/mostafa-saad/MyCompetitiveProgramming/blob/master/Olympiad/Baltic/official/boi2010_solutions&amp;sa=D&amp;ust=1605639832020000&amp;usg=AFQjCNFr3kqziL9ttuPr9B5V2cRTpPbbuA" TargetMode="External"/><Relationship Id="rId2998" Type="http://schemas.openxmlformats.org/officeDocument/2006/relationships/hyperlink" Target="https://www.google.com/url?q=http://usaco.org/index.php?page%3Dviewproblem2%26cpid%3D902&amp;sa=D&amp;ust=1605639832865000&amp;usg=AFQjCNF3Q5D1HjzEzs6bY9izRWW4gGxc4Q" TargetMode="External"/><Relationship Id="rId2858" Type="http://schemas.openxmlformats.org/officeDocument/2006/relationships/hyperlink" Target="https://www.google.com/url?q=https://github.com/mostafa-saad/MyCompetitiveProgramming/blob/master/Olympiad/POI/POI-03-sums.txt&amp;sa=D&amp;ust=1605639832806000&amp;usg=AFQjCNG1M69ggwQpkMsR2Oa4hCiKzMWivA" TargetMode="External"/><Relationship Id="rId99" Type="http://schemas.openxmlformats.org/officeDocument/2006/relationships/hyperlink" Target="https://www.google.com/url?q=https://oj.uz/problem/view/balkan11_timeismoney&amp;sa=D&amp;ust=1605639831982000&amp;usg=AFQjCNEkZZ8wCDLjvYlL-fYC4vEHkr8EjQ" TargetMode="External"/><Relationship Id="rId1667" Type="http://schemas.openxmlformats.org/officeDocument/2006/relationships/hyperlink" Target="https://www.google.com/url?q=https://www.acmicpc.net/problem/1752&amp;sa=D&amp;ust=1605639832434000&amp;usg=AFQjCNFKTWcvSIwccyCRmpObtWmGSGYX5g" TargetMode="External"/><Relationship Id="rId1874" Type="http://schemas.openxmlformats.org/officeDocument/2006/relationships/hyperlink" Target="https://www.google.com/url?q=https://oj.uz/problem/view/IOI18_meetings&amp;sa=D&amp;ust=1605639832500000&amp;usg=AFQjCNFeu9obPxferPyq4o39YPtUOIiR_A" TargetMode="External"/><Relationship Id="rId2718" Type="http://schemas.openxmlformats.org/officeDocument/2006/relationships/hyperlink" Target="https://www.google.com/url?q=https://github.com/mostafa-saad/MyCompetitiveProgramming/blob/master/Olympiad/POI/official/find_editorial_sols_guidelines.txt&amp;sa=D&amp;ust=1605639832760000&amp;usg=AFQjCNFwC06ffwe2MBpn8E7nbs3S5wXrUg" TargetMode="External"/><Relationship Id="rId2925" Type="http://schemas.openxmlformats.org/officeDocument/2006/relationships/hyperlink" Target="https://www.google.com/url?q=https://github.com/SpeedOfMagic/CompetitiveProgramming/blob/master/USACO/USACO%252014dec-marathon.cpp&amp;sa=D&amp;ust=1605639832827000&amp;usg=AFQjCNGiu1kKh7zK5v9zZczXcVVxEr_Jmw" TargetMode="External"/><Relationship Id="rId1527" Type="http://schemas.openxmlformats.org/officeDocument/2006/relationships/hyperlink" Target="https://www.google.com/url?q=https://github.com/stefdasca/CompetitiveProgramming/blob/master/Infoarena/nkbiti.cpp&amp;sa=D&amp;ust=1605639832390000&amp;usg=AFQjCNGFGbX3M0nydVoy5BFM4S7evIHFew" TargetMode="External"/><Relationship Id="rId1734" Type="http://schemas.openxmlformats.org/officeDocument/2006/relationships/hyperlink" Target="https://www.google.com/url?q=https://github.com/mostafa-saad/MyCompetitiveProgramming/blob/master/Olympiad/IOI/official/2008&amp;sa=D&amp;ust=1605639832453000&amp;usg=AFQjCNHBREZeDFT65ikOLNT9h3iPszaKrQ" TargetMode="External"/><Relationship Id="rId1941" Type="http://schemas.openxmlformats.org/officeDocument/2006/relationships/hyperlink" Target="https://www.google.com/url?q=https://oj.uz/problem/view/IOI19_job&amp;sa=D&amp;ust=1605639832520000&amp;usg=AFQjCNGP6eJndkGqXZaB07CjHf_UpWMb8w" TargetMode="External"/><Relationship Id="rId26" Type="http://schemas.openxmlformats.org/officeDocument/2006/relationships/hyperlink" Target="https://www.google.com/url?q=https://github.com/mostafa-saad/MyCompetitiveProgramming/blob/master/Olympiad/APIO/APIO-11-Color.txt&amp;sa=D&amp;ust=1605639831958000&amp;usg=AFQjCNFvonbV__07EBFJ3r-dOeogJiRZig" TargetMode="External"/><Relationship Id="rId1801" Type="http://schemas.openxmlformats.org/officeDocument/2006/relationships/hyperlink" Target="https://www.google.com/url?q=https://oj.uz/problem/view/IOI13_cave&amp;sa=D&amp;ust=1605639832476000&amp;usg=AFQjCNEblTNvKuA8ow1gy4LVBT9huWyNeg" TargetMode="External"/><Relationship Id="rId687" Type="http://schemas.openxmlformats.org/officeDocument/2006/relationships/hyperlink" Target="https://www.google.com/url?q=https://github.com/mostafa-saad/MyCompetitiveProgramming/tree/master/Olympiad/COCI/official/2008/contest1_solutions&amp;sa=D&amp;ust=1605639832150000&amp;usg=AFQjCNGEcQwvfbtJjDoqpVcwoMJ3uCZNCA" TargetMode="External"/><Relationship Id="rId2368" Type="http://schemas.openxmlformats.org/officeDocument/2006/relationships/hyperlink" Target="https://www.google.com/url?q=https://github.com/mostafa-saad/MyCompetitiveProgramming/blob/master/Olympiad/NOI/official&amp;sa=D&amp;ust=1605639832662000&amp;usg=AFQjCNH4lJBAqN5KtjEpsplcTOdEH6KOTw" TargetMode="External"/><Relationship Id="rId894" Type="http://schemas.openxmlformats.org/officeDocument/2006/relationships/hyperlink" Target="https://www.google.com/url?q=https://github.com/mostafa-saad/MyCompetitiveProgramming/blob/master/Olympiad/COCI/official/2013/contest6_solutions&amp;sa=D&amp;ust=1605639832207000&amp;usg=AFQjCNHvYzD7KeKy-ItixbufNBw8jFt3og" TargetMode="External"/><Relationship Id="rId1177" Type="http://schemas.openxmlformats.org/officeDocument/2006/relationships/hyperlink" Target="https://www.google.com/url?q=https://oj.uz/problem/view/COCI18_preokret&amp;sa=D&amp;ust=1605639832286000&amp;usg=AFQjCNFc1kznMBekYz7dmX2nVOXdSSGkAA" TargetMode="External"/><Relationship Id="rId2575" Type="http://schemas.openxmlformats.org/officeDocument/2006/relationships/hyperlink" Target="https://www.google.com/url?q=https://szkopul.edu.pl/problemset/problem/Fej8rGpqWzXEi_qjK2Cmfe4Y/site/&amp;sa=D&amp;ust=1605639832732000&amp;usg=AFQjCNEEIqUx2OdX-j-6Ewr5oHBZ9IdgoA" TargetMode="External"/><Relationship Id="rId2782" Type="http://schemas.openxmlformats.org/officeDocument/2006/relationships/hyperlink" Target="https://www.google.com/url?q=https://github.com/mostafa-saad/MyCompetitiveProgramming/blob/master/Olympiad/POI/POI-15-Three.txt&amp;sa=D&amp;ust=1605639832781000&amp;usg=AFQjCNGf8I4yX80R01cU97eeGSEu5f_EHg" TargetMode="External"/><Relationship Id="rId547" Type="http://schemas.openxmlformats.org/officeDocument/2006/relationships/hyperlink" Target="https://www.google.com/url?q=https://codeforces.com/blog/entry/68748&amp;sa=D&amp;ust=1605639832120000&amp;usg=AFQjCNGv2QEZZxzR9sigKwlL8viRynR0kw" TargetMode="External"/><Relationship Id="rId754" Type="http://schemas.openxmlformats.org/officeDocument/2006/relationships/hyperlink" Target="https://www.google.com/url?q=https://dmoj.ca/problem/coci08c3p4&amp;sa=D&amp;ust=1605639832163000&amp;usg=AFQjCNHwZu64Di_FF4oOVbGpaiY10se7Fg" TargetMode="External"/><Relationship Id="rId961" Type="http://schemas.openxmlformats.org/officeDocument/2006/relationships/hyperlink" Target="https://www.google.com/url?q=https://dmoj.ca/problem/coci14c4p2&amp;sa=D&amp;ust=1605639832223000&amp;usg=AFQjCNEljIw1BSji7-raA8YVKyCSIjhCiw" TargetMode="External"/><Relationship Id="rId1384" Type="http://schemas.openxmlformats.org/officeDocument/2006/relationships/hyperlink" Target="https://www.google.com/url?q=https://github.com/stefdasca/CompetitiveProgramming/blob/master/Infoarena/album2.cpp&amp;sa=D&amp;ust=1605639832348000&amp;usg=AFQjCNElhE5RqENeh1Rpmj2vjHtYYUfSyg" TargetMode="External"/><Relationship Id="rId1591" Type="http://schemas.openxmlformats.org/officeDocument/2006/relationships/hyperlink" Target="https://www.google.com/url?q=https://www.infoarena.ro/problema/secvmax&amp;sa=D&amp;ust=1605639832411000&amp;usg=AFQjCNEjf6l-nRxC36PJhNFK22tnyLX6Tw" TargetMode="External"/><Relationship Id="rId2228" Type="http://schemas.openxmlformats.org/officeDocument/2006/relationships/hyperlink" Target="https://www.google.com/url?q=https://github.com/mostafa-saad/MyCompetitiveProgramming/blob/master/Olympiad/JOI/JOISC-19-Naan.txt&amp;sa=D&amp;ust=1605639832623000&amp;usg=AFQjCNESAfDhcMNZ-wBl4B8Isu-dKALt-A" TargetMode="External"/><Relationship Id="rId2435" Type="http://schemas.openxmlformats.org/officeDocument/2006/relationships/hyperlink" Target="https://www.google.com/url?q=https://dunjudge.me/analysis/problems/681/&amp;sa=D&amp;ust=1605639832689000&amp;usg=AFQjCNEj8JdMR7INiBWma-o6_mz26B5bQg" TargetMode="External"/><Relationship Id="rId2642" Type="http://schemas.openxmlformats.org/officeDocument/2006/relationships/hyperlink" Target="https://www.google.com/url?q=https://github.com/mostafa-saad/MyCompetitiveProgramming/blob/master/Olympiad/POI/official/find_editorial_sols_guidelines.txt&amp;sa=D&amp;ust=1605639832746000&amp;usg=AFQjCNEi8V0NOFkJxBE_HAq8EcZ_0umfrQ" TargetMode="External"/><Relationship Id="rId90" Type="http://schemas.openxmlformats.org/officeDocument/2006/relationships/hyperlink" Target="https://www.google.com/url?q=https://www.acmicpc.net/problem/7082&amp;sa=D&amp;ust=1605639831978000&amp;usg=AFQjCNHXSPV5BeTb0T4rBLliCe7cQUp2dg" TargetMode="External"/><Relationship Id="rId407" Type="http://schemas.openxmlformats.org/officeDocument/2006/relationships/hyperlink" Target="https://www.google.com/url?q=https://cses.fi/191/list/&amp;sa=D&amp;ust=1605639832078000&amp;usg=AFQjCNFO_W3Db0ErIx5CMzEBX37aFUzySQ" TargetMode="External"/><Relationship Id="rId614" Type="http://schemas.openxmlformats.org/officeDocument/2006/relationships/hyperlink" Target="https://www.google.com/url?q=https://dmoj.ca/problem/coci06c4p1&amp;sa=D&amp;ust=1605639832134000&amp;usg=AFQjCNGiL5asmvm7DiDyAn2d6S9DDocBJQ" TargetMode="External"/><Relationship Id="rId821" Type="http://schemas.openxmlformats.org/officeDocument/2006/relationships/hyperlink" Target="https://www.google.com/url?q=https://wcipeg.com/problem/coci096p1&amp;sa=D&amp;ust=1605639832184000&amp;usg=AFQjCNEcMsX5lULj2b6ef4lxRAw87uXj9w" TargetMode="External"/><Relationship Id="rId1037" Type="http://schemas.openxmlformats.org/officeDocument/2006/relationships/hyperlink" Target="https://www.google.com/url?q=https://github.com/mostafa-saad/MyCompetitiveProgramming/blob/master/Olympiad/COCI/official/2017/contest3_solutions&amp;sa=D&amp;ust=1605639832243000&amp;usg=AFQjCNFRgWd0LOrMOtbbIWmwyVdQneA0FQ" TargetMode="External"/><Relationship Id="rId1244" Type="http://schemas.openxmlformats.org/officeDocument/2006/relationships/hyperlink" Target="https://www.google.com/url?q=https://oj.uz/problem/view/COI14_krave&amp;sa=D&amp;ust=1605639832312000&amp;usg=AFQjCNHwaJo-JnSlMSHBK3YhB4YiDE67pA" TargetMode="External"/><Relationship Id="rId1451" Type="http://schemas.openxmlformats.org/officeDocument/2006/relationships/hyperlink" Target="https://www.google.com/url?q=https://www.infoarena.ro/problema/asmin&amp;sa=D&amp;ust=1605639832363000&amp;usg=AFQjCNFNCeBkDqsJk06DyYOMUpR0ifBnTw" TargetMode="External"/><Relationship Id="rId2502" Type="http://schemas.openxmlformats.org/officeDocument/2006/relationships/hyperlink" Target="https://www.google.com/url?q=https://github.com/mostafa-saad/MyCompetitiveProgramming/blob/master/Olympiad/POI/official/find_editorial_sols_guidelines.txt&amp;sa=D&amp;ust=1605639832714000&amp;usg=AFQjCNGSpgqzkTQ_dg8EHY7s6bMslJV04w" TargetMode="External"/><Relationship Id="rId1104" Type="http://schemas.openxmlformats.org/officeDocument/2006/relationships/hyperlink" Target="https://www.google.com/url?q=https://oj.uz/problem/view/COCI17_rasvjeta&amp;sa=D&amp;ust=1605639832260000&amp;usg=AFQjCNHCj84cxQ1iP0rupj-ic124QqeWKQ" TargetMode="External"/><Relationship Id="rId1311" Type="http://schemas.openxmlformats.org/officeDocument/2006/relationships/hyperlink" Target="https://www.google.com/url?q=https://dmoj.ca/problem/mmcc15p1&amp;sa=D&amp;ust=1605639832328000&amp;usg=AFQjCNFHXGWAT8cGV51wRTpV8y-aneJ6UA" TargetMode="External"/><Relationship Id="rId197" Type="http://schemas.openxmlformats.org/officeDocument/2006/relationships/hyperlink" Target="https://www.google.com/url?q=https://cses.fi/114/list/&amp;sa=D&amp;ust=1605639832014000&amp;usg=AFQjCNEZgZCVzgMmpwlky0-Qd7F_7zjduA" TargetMode="External"/><Relationship Id="rId2085" Type="http://schemas.openxmlformats.org/officeDocument/2006/relationships/hyperlink" Target="https://www.google.com/url?q=https://oj.uz/problems/source/56&amp;sa=D&amp;ust=1605639832563000&amp;usg=AFQjCNFyjqJisrIDTjXQ-ANQrgnmj48XmQ" TargetMode="External"/><Relationship Id="rId2292" Type="http://schemas.openxmlformats.org/officeDocument/2006/relationships/hyperlink" Target="https://www.google.com/url?q=https://github.com/mostafa-saad/MyCompetitiveProgramming/blob/master/Olympiad/NOI/official&amp;sa=D&amp;ust=1605639832644000&amp;usg=AFQjCNEuDIwlEgQ7STvpfb7XNxAwDEec_Q" TargetMode="External"/><Relationship Id="rId264" Type="http://schemas.openxmlformats.org/officeDocument/2006/relationships/hyperlink" Target="https://www.google.com/url?q=https://github.com/mostafa-saad/MyCompetitiveProgramming/blob/master/Olympiad/Baltic/Baltic-13-vim.txt&amp;sa=D&amp;ust=1605639832032000&amp;usg=AFQjCNEV6Cl9qgDct0faOjBPQbR-f1aa3g" TargetMode="External"/><Relationship Id="rId471" Type="http://schemas.openxmlformats.org/officeDocument/2006/relationships/hyperlink" Target="https://www.google.com/url?q=https://github.com/mostafa-saad/MyCompetitiveProgramming/blob/master/Olympiad/CEOI/CEOI-11-Traffic.txt&amp;sa=D&amp;ust=1605639832099000&amp;usg=AFQjCNHZdElHW577SDSMPV_hJIVy7xc5jw" TargetMode="External"/><Relationship Id="rId2152" Type="http://schemas.openxmlformats.org/officeDocument/2006/relationships/hyperlink" Target="https://www.google.com/url?q=https://dunjudge.me/analysis/problems/801/&amp;sa=D&amp;ust=1605639832594000&amp;usg=AFQjCNFN2FXtiZB9n_zOCY5p-xXQsC-qQw" TargetMode="External"/><Relationship Id="rId124" Type="http://schemas.openxmlformats.org/officeDocument/2006/relationships/hyperlink" Target="https://www.google.com/url?q=https://www.hackerrank.com/contests/boi-2016/challenges&amp;sa=D&amp;ust=1605639831991000&amp;usg=AFQjCNGwOz-0IXTy3SlW6VDdNfFCQu9SXg" TargetMode="External"/><Relationship Id="rId331" Type="http://schemas.openxmlformats.org/officeDocument/2006/relationships/hyperlink" Target="https://www.google.com/url?q=https://oj.uz/problem/view/BOI19_necklace4&amp;sa=D&amp;ust=1605639832046000&amp;usg=AFQjCNGF-f25hDD69FRl76KMJZ7W5FFP2A" TargetMode="External"/><Relationship Id="rId2012" Type="http://schemas.openxmlformats.org/officeDocument/2006/relationships/hyperlink" Target="https://www.google.com/url?q=https://oj.uz/problem/view/IZhO19_stones&amp;sa=D&amp;ust=1605639832543000&amp;usg=AFQjCNGuaM6bzDZNA2HiYkpJHyzcrzSO3w" TargetMode="External"/><Relationship Id="rId2969" Type="http://schemas.openxmlformats.org/officeDocument/2006/relationships/hyperlink" Target="https://www.google.com/url?q=http://usaco.org/index.php?page%3Dviewproblem2%26cpid%3D818&amp;sa=D&amp;ust=1605639832844000&amp;usg=AFQjCNHdciUaJeo0WLIrqjneolehilV_OQ" TargetMode="External"/><Relationship Id="rId1778" Type="http://schemas.openxmlformats.org/officeDocument/2006/relationships/hyperlink" Target="https://www.google.com/url?q=http://www.ioi2011.or.th/hsc/tasks/solutions/crocodile.pdf&amp;sa=D&amp;ust=1605639832464000&amp;usg=AFQjCNEdMTTU6HgIRed2z1LH2-CHcUHjgA" TargetMode="External"/><Relationship Id="rId1985" Type="http://schemas.openxmlformats.org/officeDocument/2006/relationships/hyperlink" Target="https://www.google.com/url?q=https://github.com/LeTrongDat/CompetitiveProgramming/blob/master/IZhO/IZhO14-marriage.cpp&amp;sa=D&amp;ust=1605639832534000&amp;usg=AFQjCNGyF-jXv2Fskl9F1dzUev8JeSn0_Q" TargetMode="External"/><Relationship Id="rId2829" Type="http://schemas.openxmlformats.org/officeDocument/2006/relationships/hyperlink" Target="https://www.google.com/url?q=https://szkopul.edu.pl/problemset/problem/kqBM3UKWL-qlFiXIOxPXL35m/site/&amp;sa=D&amp;ust=1605639832796000&amp;usg=AFQjCNFTDMl1otfbFdsp1sFXUu3QkIJ5UA" TargetMode="External"/><Relationship Id="rId1638" Type="http://schemas.openxmlformats.org/officeDocument/2006/relationships/hyperlink" Target="https://www.google.com/url?q=https://codeforces.com/gym/102032/problem/D&amp;sa=D&amp;ust=1605639832425000&amp;usg=AFQjCNEi6oCF04SctZX-m9blQdezxvHl7A" TargetMode="External"/><Relationship Id="rId1845" Type="http://schemas.openxmlformats.org/officeDocument/2006/relationships/hyperlink" Target="https://www.google.com/url?q=https://oj.uz/problem/view/IOI16_paint&amp;sa=D&amp;ust=1605639832490000&amp;usg=AFQjCNHS5EnvbZGqCCokfp7LFNQtmSfaVw" TargetMode="External"/><Relationship Id="rId1705" Type="http://schemas.openxmlformats.org/officeDocument/2006/relationships/hyperlink" Target="https://www.google.com/url?q=https://contest.yandex.ru/ioi/contest/566/enter/&amp;sa=D&amp;ust=1605639832444000&amp;usg=AFQjCNE4P5Hc5rSI5Fc6o0Qsi-1T8Ii6Rg" TargetMode="External"/><Relationship Id="rId1912" Type="http://schemas.openxmlformats.org/officeDocument/2006/relationships/hyperlink" Target="https://www.google.com/url?q=https://wcipeg.com/problem/ioi1403&amp;sa=D&amp;ust=1605639832511000&amp;usg=AFQjCNGBOqDzptccY1tlZP9bEflMpyS37g" TargetMode="External"/><Relationship Id="rId798" Type="http://schemas.openxmlformats.org/officeDocument/2006/relationships/hyperlink" Target="https://www.google.com/url?q=https://wcipeg.com/problem/coci097p2&amp;sa=D&amp;ust=1605639832176000&amp;usg=AFQjCNHp6g5wUnC1HyBIENeZOSlBDUMFeA" TargetMode="External"/><Relationship Id="rId2479" Type="http://schemas.openxmlformats.org/officeDocument/2006/relationships/hyperlink" Target="https://www.google.com/url?q=https://szkopul.edu.pl/problemset/problem/1ACC1pIG2nDGZefi1v5BVSmw/site/?key%3Dstatement&amp;sa=D&amp;ust=1605639832707000&amp;usg=AFQjCNFfyRVP2qbRcUTg-XlmR_MRhU1_PA" TargetMode="External"/><Relationship Id="rId2686" Type="http://schemas.openxmlformats.org/officeDocument/2006/relationships/hyperlink" Target="https://www.google.com/url?q=https://github.com/mostafa-saad/MyCompetitiveProgramming/blob/master/Olympiad/POI/official/find_editorial_sols_guidelines.txt&amp;sa=D&amp;ust=1605639832754000&amp;usg=AFQjCNE1eRPu5aSNf41ivv7QHMjClfcwTQ" TargetMode="External"/><Relationship Id="rId2893" Type="http://schemas.openxmlformats.org/officeDocument/2006/relationships/hyperlink" Target="https://www.google.com/url?q=https://github.com/win11905/submission/blob/master/TOKI/17/beauty/beauty.cpp&amp;sa=D&amp;ust=1605639832817000&amp;usg=AFQjCNEEhkjAcA6QdiIBK81gUaxp6ORm6g"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www.geeksforgeeks.org/print-postorder-from-given-inorder-and-preorder-traversal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discuss.codechef.com/t/maxpali-editorial/96810" TargetMode="External"/><Relationship Id="rId1" Type="http://schemas.openxmlformats.org/officeDocument/2006/relationships/hyperlink" Target="https://codeforces.com/contest/1512/problem/F-----%20some%20time%20there%20operation%20like%20either%20we%20have%20to%20go%20right%20index%20or%20stay%20at%20current%20index====%3e%20greedy%20think%20if%20we%20have%20to%20move%20right%20then%20no%20way%20to%20stop%20at%20current%20place%20for%20a%20while%20then%20go"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zoj.pintia.cn/problem-sets/91827364500/problems/91827364699"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algorithmist.com/wiki/UVa_10462_-_Is_There_A_Second_Way_Left%3F" TargetMode="External"/><Relationship Id="rId12" Type="http://schemas.openxmlformats.org/officeDocument/2006/relationships/comments" Target="../comments1.xml"/><Relationship Id="rId2" Type="http://schemas.openxmlformats.org/officeDocument/2006/relationships/hyperlink" Target="https://github.com/omarkhair/Problems-Editorial/blob/master/UVA/10920%20-%20Spiral%20Tap/Editorial.md" TargetMode="External"/><Relationship Id="rId1" Type="http://schemas.openxmlformats.org/officeDocument/2006/relationships/hyperlink" Target="https://www.youtube.com/watch?v=-VBxPnLk3_c&amp;feature=youtu.be" TargetMode="External"/><Relationship Id="rId6" Type="http://schemas.openxmlformats.org/officeDocument/2006/relationships/hyperlink" Target="https://github.com/omarkhair/Problems-Editorial/blob/master/UVA/196-Spreadsheet/code.cpp" TargetMode="External"/><Relationship Id="rId11" Type="http://schemas.openxmlformats.org/officeDocument/2006/relationships/vmlDrawing" Target="../drawings/vmlDrawing1.vml"/><Relationship Id="rId5" Type="http://schemas.openxmlformats.org/officeDocument/2006/relationships/hyperlink" Target="https://github.com/omarkhair/Problems-Editorial/blob/master/UVA/872%20-%20Ordering/Editorial.md" TargetMode="External"/><Relationship Id="rId10" Type="http://schemas.openxmlformats.org/officeDocument/2006/relationships/hyperlink" Target="https://algorithmist.com/wiki/UVa_101_-_The_Blocks_Problem" TargetMode="External"/><Relationship Id="rId4" Type="http://schemas.openxmlformats.org/officeDocument/2006/relationships/hyperlink" Target="https://algorithmist.com/wiki/UVa_10100_-_Longest_Match" TargetMode="External"/><Relationship Id="rId9" Type="http://schemas.openxmlformats.org/officeDocument/2006/relationships/hyperlink" Target="https://github.com/omarkhair/Problems-Editorial/blob/master/ZOJ/1200%20Mining/Editorial.md"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youtube.com/watch?v=ZlyYQqYj2W8&amp;list=PLPt2dINI2MIbwnEoeHZnUHeUHjTd8x4F3&amp;index=32&amp;t=1s" TargetMode="External"/><Relationship Id="rId2" Type="http://schemas.openxmlformats.org/officeDocument/2006/relationships/hyperlink" Target="https://www.spoj.com/problems/POSTERIN/" TargetMode="External"/><Relationship Id="rId1" Type="http://schemas.openxmlformats.org/officeDocument/2006/relationships/hyperlink" Target="https://onlinejudge.org/index.php?option=onlinejudge&amp;Itemid=8&amp;page=show_problem&amp;problem=1402" TargetMode="External"/><Relationship Id="rId6" Type="http://schemas.openxmlformats.org/officeDocument/2006/relationships/hyperlink" Target="https://onlinejudge.org/index.php?option=com_onlinejudge&amp;Itemid=8&amp;page=show_problem&amp;problem=3615" TargetMode="External"/><Relationship Id="rId5" Type="http://schemas.openxmlformats.org/officeDocument/2006/relationships/hyperlink" Target="https://www.youtube.com/watch?v=-VBxPnLk3_c&amp;feature=youtu.be" TargetMode="External"/><Relationship Id="rId4" Type="http://schemas.openxmlformats.org/officeDocument/2006/relationships/hyperlink" Target="https://www.youtube.com/watch?v=hyk46UmJPS4&amp;list=PLPt2dINI2MIZPFq6HyUB1Uhxdh1UDnZMS&amp;index=22"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MohamedNabil97/CompetitiveProgramming/blob/master/UVA/10139.cpp"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12" Type="http://schemas.openxmlformats.org/officeDocument/2006/relationships/comments" Target="../comments2.xm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vmlDrawing" Target="../drawings/vmlDrawing2.v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printerSettings" Target="../printerSettings/printerSettings2.bin"/><Relationship Id="rId4" Type="http://schemas.openxmlformats.org/officeDocument/2006/relationships/hyperlink" Target="https://zoj.pintia.cn/problem-sets/91827364500/problems/91827364699" TargetMode="External"/><Relationship Id="rId9" Type="http://schemas.openxmlformats.org/officeDocument/2006/relationships/hyperlink" Target="https://onlinejudge.org/index.php?option=onlinejudge&amp;page=show_problem&amp;problem=2620"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7" Type="http://schemas.openxmlformats.org/officeDocument/2006/relationships/printerSettings" Target="../printerSettings/printerSettings3.bin"/><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6" Type="http://schemas.openxmlformats.org/officeDocument/2006/relationships/hyperlink" Target="https://www.thoughtco.com/definition-of-double-958065"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codeforces.com/contest/510/problem/D" TargetMode="External"/><Relationship Id="rId2" Type="http://schemas.openxmlformats.org/officeDocument/2006/relationships/hyperlink" Target="https://leetcode.com/problems/minimum-incompatibility/discuss/965432/C%2B%2B-Clean-with-detailed-explanation" TargetMode="External"/><Relationship Id="rId1" Type="http://schemas.openxmlformats.org/officeDocument/2006/relationships/hyperlink" Target="https://codeforces.com/contest/1440/problem/E" TargetMode="External"/><Relationship Id="rId4"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73"/>
  <sheetViews>
    <sheetView topLeftCell="A3" workbookViewId="0">
      <selection activeCell="B56" sqref="B56:C56"/>
    </sheetView>
  </sheetViews>
  <sheetFormatPr defaultColWidth="17.33203125" defaultRowHeight="15.75" customHeight="1"/>
  <cols>
    <col min="1" max="1" width="26" customWidth="1"/>
    <col min="7" max="7" width="18.5546875" customWidth="1"/>
    <col min="8" max="8" width="24.6640625" customWidth="1"/>
  </cols>
  <sheetData>
    <row r="1" spans="1:8" ht="13.2">
      <c r="A1" s="622" t="s">
        <v>0</v>
      </c>
      <c r="B1" s="623" t="s">
        <v>1</v>
      </c>
      <c r="C1" s="620"/>
      <c r="D1" s="620"/>
      <c r="E1" s="620"/>
      <c r="F1" s="620"/>
      <c r="G1" s="620"/>
      <c r="H1" s="620"/>
    </row>
    <row r="2" spans="1:8" ht="13.2">
      <c r="A2" s="620"/>
      <c r="B2" s="624" t="s">
        <v>2</v>
      </c>
      <c r="C2" s="620"/>
      <c r="D2" s="2"/>
      <c r="E2" s="3" t="str">
        <f>HYPERLINK("https://goo.gl/unDETI","Latest Version")</f>
        <v>Latest Version</v>
      </c>
      <c r="F2" s="4"/>
      <c r="G2" s="4"/>
      <c r="H2" s="4"/>
    </row>
    <row r="3" spans="1:8" ht="13.2">
      <c r="A3" s="620"/>
      <c r="B3" s="625" t="s">
        <v>3</v>
      </c>
      <c r="C3" s="620"/>
      <c r="D3" s="620"/>
      <c r="E3" s="620"/>
      <c r="F3" s="4"/>
      <c r="G3" s="4"/>
      <c r="H3" s="4"/>
    </row>
    <row r="4" spans="1:8" ht="13.2">
      <c r="A4" s="620"/>
      <c r="B4" s="623" t="s">
        <v>4</v>
      </c>
      <c r="C4" s="620"/>
      <c r="D4" s="5" t="s">
        <v>5</v>
      </c>
      <c r="E4" s="4"/>
      <c r="F4" s="4"/>
      <c r="G4" s="4"/>
      <c r="H4" s="4"/>
    </row>
    <row r="5" spans="1:8" ht="13.2">
      <c r="A5" s="620"/>
      <c r="B5" s="6"/>
      <c r="C5" s="6"/>
      <c r="D5" s="6"/>
      <c r="E5" s="6"/>
      <c r="F5" s="6"/>
      <c r="G5" s="6"/>
      <c r="H5" s="4"/>
    </row>
    <row r="6" spans="1:8" ht="13.2">
      <c r="A6" s="620"/>
      <c r="B6" s="622" t="s">
        <v>6</v>
      </c>
      <c r="C6" s="620"/>
      <c r="D6" s="620"/>
      <c r="E6" s="620"/>
      <c r="F6" s="6"/>
      <c r="G6" s="6"/>
      <c r="H6" s="4"/>
    </row>
    <row r="7" spans="1:8" ht="13.2">
      <c r="A7" s="620"/>
      <c r="B7" s="626" t="str">
        <f>HYPERLINK("https://www.youtube.com/watch?v=DZ6YTtILCE8","Video Introducing roadmap (Arabic) - to min 18 ONLY")</f>
        <v>Video Introducing roadmap (Arabic) - to min 18 ONLY</v>
      </c>
      <c r="C7" s="620"/>
      <c r="D7" s="620"/>
      <c r="E7" s="8"/>
      <c r="F7" s="6"/>
      <c r="G7" s="6"/>
      <c r="H7" s="4"/>
    </row>
    <row r="8" spans="1:8" ht="13.2">
      <c r="A8" s="620"/>
      <c r="B8" s="619" t="s">
        <v>7</v>
      </c>
      <c r="C8" s="620"/>
      <c r="D8" s="7"/>
      <c r="E8" s="8"/>
      <c r="F8" s="6"/>
      <c r="G8" s="6"/>
      <c r="H8" s="4"/>
    </row>
    <row r="9" spans="1:8" ht="13.2">
      <c r="A9" s="620"/>
      <c r="B9" s="621" t="s">
        <v>8</v>
      </c>
      <c r="C9" s="620"/>
      <c r="D9" s="620"/>
      <c r="E9" s="620"/>
      <c r="F9" s="620"/>
      <c r="G9" s="620"/>
      <c r="H9" s="4"/>
    </row>
    <row r="10" spans="1:8" ht="13.2">
      <c r="A10" s="620"/>
      <c r="B10" s="8"/>
      <c r="C10" s="8"/>
      <c r="D10" s="8"/>
      <c r="E10" s="8"/>
      <c r="F10" s="6"/>
      <c r="G10" s="6"/>
      <c r="H10" s="4"/>
    </row>
    <row r="11" spans="1:8" ht="13.2">
      <c r="A11" s="620"/>
      <c r="B11" s="621" t="s">
        <v>9</v>
      </c>
      <c r="C11" s="620"/>
      <c r="D11" s="620"/>
      <c r="E11" s="620"/>
      <c r="F11" s="620"/>
      <c r="G11" s="620"/>
      <c r="H11" s="4"/>
    </row>
    <row r="12" spans="1:8" ht="13.2">
      <c r="A12" s="9"/>
      <c r="B12" s="10"/>
      <c r="C12" s="10"/>
      <c r="D12" s="10"/>
      <c r="E12" s="10"/>
      <c r="F12" s="10"/>
      <c r="G12" s="10"/>
      <c r="H12" s="10"/>
    </row>
    <row r="13" spans="1:8" ht="13.2">
      <c r="A13" s="1" t="s">
        <v>10</v>
      </c>
      <c r="B13" s="624" t="s">
        <v>11</v>
      </c>
      <c r="C13" s="620"/>
      <c r="D13" s="620"/>
      <c r="E13" s="620"/>
      <c r="F13" s="620"/>
      <c r="G13" s="620"/>
      <c r="H13" s="620"/>
    </row>
    <row r="14" spans="1:8" ht="13.2">
      <c r="A14" s="1" t="s">
        <v>12</v>
      </c>
      <c r="B14" s="624" t="s">
        <v>13</v>
      </c>
      <c r="C14" s="620"/>
      <c r="D14" s="620"/>
      <c r="E14" s="620"/>
      <c r="F14" s="620"/>
      <c r="G14" s="620"/>
      <c r="H14" s="620"/>
    </row>
    <row r="15" spans="1:8" ht="13.2">
      <c r="A15" s="1"/>
      <c r="B15" s="11"/>
      <c r="C15" s="11"/>
      <c r="D15" s="11"/>
      <c r="E15" s="11"/>
      <c r="F15" s="11"/>
      <c r="G15" s="11"/>
      <c r="H15" s="11"/>
    </row>
    <row r="16" spans="1:8" ht="13.2">
      <c r="A16" s="1" t="s">
        <v>14</v>
      </c>
      <c r="B16" s="624" t="s">
        <v>15</v>
      </c>
      <c r="C16" s="620"/>
      <c r="D16" s="620"/>
      <c r="E16" s="620"/>
      <c r="F16" s="620"/>
      <c r="G16" s="620"/>
      <c r="H16" s="620"/>
    </row>
    <row r="17" spans="1:8" ht="13.2">
      <c r="A17" s="1"/>
      <c r="B17" s="11"/>
      <c r="C17" s="11"/>
      <c r="D17" s="11"/>
      <c r="E17" s="11"/>
      <c r="F17" s="11"/>
      <c r="G17" s="11"/>
      <c r="H17" s="11"/>
    </row>
    <row r="18" spans="1:8" ht="13.2">
      <c r="A18" s="12" t="s">
        <v>16</v>
      </c>
      <c r="B18" s="624" t="s">
        <v>17</v>
      </c>
      <c r="C18" s="620"/>
      <c r="D18" s="620"/>
      <c r="E18" s="620"/>
      <c r="F18" s="620"/>
      <c r="G18" s="620"/>
      <c r="H18" s="620"/>
    </row>
    <row r="19" spans="1:8" ht="13.2">
      <c r="A19" s="13" t="s">
        <v>18</v>
      </c>
      <c r="B19" s="624" t="s">
        <v>19</v>
      </c>
      <c r="C19" s="620"/>
      <c r="D19" s="620"/>
      <c r="E19" s="620"/>
      <c r="F19" s="620"/>
      <c r="G19" s="620"/>
      <c r="H19" s="620"/>
    </row>
    <row r="20" spans="1:8" ht="13.2">
      <c r="A20" s="14"/>
      <c r="B20" s="15"/>
      <c r="C20" s="15"/>
      <c r="D20" s="7"/>
      <c r="E20" s="11"/>
      <c r="F20" s="11"/>
      <c r="G20" s="11"/>
      <c r="H20" s="16"/>
    </row>
    <row r="21" spans="1:8" ht="13.2">
      <c r="A21" s="632" t="s">
        <v>20</v>
      </c>
      <c r="B21" s="624" t="s">
        <v>21</v>
      </c>
      <c r="C21" s="620"/>
      <c r="D21" s="620"/>
      <c r="E21" s="17" t="s">
        <v>22</v>
      </c>
      <c r="F21" s="17" t="s">
        <v>23</v>
      </c>
      <c r="G21" s="11"/>
      <c r="H21" s="16"/>
    </row>
    <row r="22" spans="1:8" ht="13.2">
      <c r="A22" s="620"/>
      <c r="B22" s="627" t="s">
        <v>24</v>
      </c>
      <c r="C22" s="620"/>
      <c r="D22" s="620"/>
      <c r="E22" s="620"/>
      <c r="F22" s="620"/>
      <c r="G22" s="620"/>
      <c r="H22" s="16"/>
    </row>
    <row r="23" spans="1:8" ht="13.2">
      <c r="A23" s="620"/>
      <c r="B23" s="624" t="s">
        <v>25</v>
      </c>
      <c r="C23" s="620"/>
      <c r="D23" s="620"/>
      <c r="E23" s="620"/>
      <c r="F23" s="620"/>
      <c r="G23" s="11"/>
      <c r="H23" s="16"/>
    </row>
    <row r="24" spans="1:8" ht="13.2">
      <c r="A24" s="18"/>
      <c r="B24" s="19"/>
      <c r="C24" s="19"/>
      <c r="D24" s="19"/>
      <c r="E24" s="19"/>
      <c r="F24" s="19"/>
      <c r="G24" s="19"/>
      <c r="H24" s="19"/>
    </row>
    <row r="25" spans="1:8" ht="13.2">
      <c r="A25" s="13" t="s">
        <v>26</v>
      </c>
      <c r="B25" s="624" t="s">
        <v>27</v>
      </c>
      <c r="C25" s="620"/>
      <c r="D25" s="620"/>
      <c r="E25" s="620"/>
      <c r="F25" s="620"/>
      <c r="G25" s="620"/>
      <c r="H25" s="620"/>
    </row>
    <row r="26" spans="1:8" ht="13.2">
      <c r="A26" s="13" t="s">
        <v>28</v>
      </c>
      <c r="B26" s="624" t="s">
        <v>29</v>
      </c>
      <c r="C26" s="620"/>
      <c r="D26" s="620"/>
      <c r="E26" s="620"/>
      <c r="F26" s="620"/>
      <c r="G26" s="620"/>
      <c r="H26" s="620"/>
    </row>
    <row r="27" spans="1:8" ht="13.2">
      <c r="A27" s="18"/>
      <c r="B27" s="19"/>
      <c r="C27" s="19"/>
      <c r="D27" s="19"/>
      <c r="E27" s="19"/>
      <c r="F27" s="19"/>
      <c r="G27" s="19"/>
      <c r="H27" s="19"/>
    </row>
    <row r="28" spans="1:8" ht="13.2">
      <c r="A28" s="622" t="s">
        <v>30</v>
      </c>
      <c r="B28" s="624" t="s">
        <v>31</v>
      </c>
      <c r="C28" s="620"/>
      <c r="D28" s="620"/>
      <c r="E28" s="620"/>
      <c r="F28" s="620"/>
      <c r="G28" s="620"/>
      <c r="H28" s="620"/>
    </row>
    <row r="29" spans="1:8" ht="13.2">
      <c r="A29" s="620"/>
      <c r="B29" s="624" t="s">
        <v>32</v>
      </c>
      <c r="C29" s="620"/>
      <c r="D29" s="620"/>
      <c r="E29" s="620"/>
      <c r="F29" s="620"/>
      <c r="G29" s="620"/>
      <c r="H29" s="620"/>
    </row>
    <row r="30" spans="1:8" ht="13.2">
      <c r="A30" s="620"/>
      <c r="B30" s="624" t="s">
        <v>33</v>
      </c>
      <c r="C30" s="620"/>
      <c r="D30" s="620"/>
      <c r="E30" s="620"/>
      <c r="F30" s="620"/>
      <c r="G30" s="620"/>
      <c r="H30" s="620"/>
    </row>
    <row r="31" spans="1:8" ht="13.2">
      <c r="A31" s="620"/>
      <c r="B31" s="624" t="s">
        <v>34</v>
      </c>
      <c r="C31" s="620"/>
      <c r="D31" s="620"/>
      <c r="E31" s="620"/>
      <c r="F31" s="620"/>
      <c r="G31" s="620"/>
      <c r="H31" s="620"/>
    </row>
    <row r="32" spans="1:8" ht="13.2">
      <c r="A32" s="620"/>
      <c r="B32" s="624" t="s">
        <v>35</v>
      </c>
      <c r="C32" s="620"/>
      <c r="D32" s="620"/>
      <c r="E32" s="620"/>
      <c r="F32" s="620"/>
      <c r="G32" s="620"/>
      <c r="H32" s="620"/>
    </row>
    <row r="33" spans="1:8" ht="13.2">
      <c r="A33" s="620"/>
      <c r="B33" s="624" t="s">
        <v>36</v>
      </c>
      <c r="C33" s="620"/>
      <c r="D33" s="620"/>
      <c r="E33" s="620"/>
      <c r="F33" s="620"/>
      <c r="G33" s="620"/>
      <c r="H33" s="620"/>
    </row>
    <row r="34" spans="1:8" ht="13.2">
      <c r="A34" s="620"/>
      <c r="B34" s="624" t="s">
        <v>37</v>
      </c>
      <c r="C34" s="620"/>
      <c r="D34" s="620"/>
      <c r="E34" s="620"/>
      <c r="F34" s="620"/>
      <c r="G34" s="620"/>
      <c r="H34" s="620"/>
    </row>
    <row r="35" spans="1:8" ht="13.2">
      <c r="A35" s="620"/>
      <c r="B35" s="20" t="str">
        <f>HYPERLINK("https://uva.onlinejudge.org/index.php?option=com_content&amp;task=view&amp;id=16&amp;Itemid=31","Put problem Status")</f>
        <v>Put problem Status</v>
      </c>
      <c r="C35" s="21" t="s">
        <v>38</v>
      </c>
      <c r="D35" s="21" t="s">
        <v>39</v>
      </c>
      <c r="E35" s="631" t="s">
        <v>40</v>
      </c>
      <c r="F35" s="620"/>
      <c r="G35" s="620"/>
      <c r="H35" s="620"/>
    </row>
    <row r="36" spans="1:8" ht="13.2">
      <c r="A36" s="620"/>
      <c r="B36" s="624" t="s">
        <v>41</v>
      </c>
      <c r="C36" s="620"/>
      <c r="D36" s="620"/>
      <c r="E36" s="620"/>
      <c r="F36" s="620"/>
      <c r="G36" s="620"/>
      <c r="H36" s="620"/>
    </row>
    <row r="37" spans="1:8" ht="13.2">
      <c r="A37" s="620"/>
      <c r="B37" s="624" t="s">
        <v>42</v>
      </c>
      <c r="C37" s="620"/>
      <c r="D37" s="620"/>
      <c r="E37" s="620"/>
      <c r="F37" s="620"/>
      <c r="G37" s="620"/>
      <c r="H37" s="620"/>
    </row>
    <row r="38" spans="1:8" ht="13.2">
      <c r="A38" s="620"/>
      <c r="B38" s="624" t="s">
        <v>43</v>
      </c>
      <c r="C38" s="620"/>
      <c r="D38" s="620"/>
      <c r="E38" s="620"/>
      <c r="F38" s="620"/>
      <c r="G38" s="620"/>
      <c r="H38" s="620"/>
    </row>
    <row r="39" spans="1:8" ht="13.2">
      <c r="A39" s="18"/>
      <c r="B39" s="19"/>
      <c r="C39" s="19"/>
      <c r="D39" s="19"/>
      <c r="E39" s="19"/>
      <c r="F39" s="19"/>
      <c r="G39" s="19"/>
      <c r="H39" s="19"/>
    </row>
    <row r="40" spans="1:8" ht="13.2">
      <c r="A40" s="22" t="s">
        <v>44</v>
      </c>
      <c r="B40" s="624" t="s">
        <v>45</v>
      </c>
      <c r="C40" s="620"/>
      <c r="D40" s="620"/>
      <c r="E40" s="620"/>
      <c r="F40" s="620"/>
      <c r="G40" s="620"/>
      <c r="H40" s="620"/>
    </row>
    <row r="41" spans="1:8" ht="13.2">
      <c r="A41" s="18"/>
      <c r="B41" s="19"/>
      <c r="C41" s="19"/>
      <c r="D41" s="19"/>
      <c r="E41" s="19"/>
      <c r="F41" s="19"/>
      <c r="G41" s="19"/>
      <c r="H41" s="19"/>
    </row>
    <row r="42" spans="1:8" ht="13.2">
      <c r="A42" s="622" t="s">
        <v>46</v>
      </c>
      <c r="B42" s="23" t="str">
        <f>HYPERLINK("http://codeforces.com/contest/136/problem/A","CF136-D2-A")</f>
        <v>CF136-D2-A</v>
      </c>
      <c r="C42" s="624" t="s">
        <v>47</v>
      </c>
      <c r="D42" s="620"/>
      <c r="E42" s="620"/>
      <c r="F42" s="620"/>
      <c r="G42" s="620"/>
      <c r="H42" s="620"/>
    </row>
    <row r="43" spans="1:8" ht="13.2">
      <c r="A43" s="620"/>
      <c r="B43" s="11" t="s">
        <v>48</v>
      </c>
      <c r="C43" s="624" t="s">
        <v>49</v>
      </c>
      <c r="D43" s="620"/>
      <c r="E43" s="620"/>
      <c r="F43" s="620"/>
      <c r="G43" s="620"/>
      <c r="H43" s="620"/>
    </row>
    <row r="44" spans="1:8" ht="13.2">
      <c r="A44" s="18"/>
      <c r="B44" s="633" t="s">
        <v>50</v>
      </c>
      <c r="C44" s="634"/>
      <c r="D44" s="634"/>
      <c r="E44" s="634"/>
      <c r="F44" s="634"/>
      <c r="G44" s="634"/>
      <c r="H44" s="635"/>
    </row>
    <row r="45" spans="1:8" ht="13.2">
      <c r="A45" s="18"/>
      <c r="B45" s="19"/>
      <c r="C45" s="19"/>
      <c r="D45" s="19"/>
      <c r="E45" s="19"/>
      <c r="F45" s="19"/>
      <c r="G45" s="19"/>
      <c r="H45" s="19"/>
    </row>
    <row r="46" spans="1:8" ht="13.2">
      <c r="A46" s="622" t="s">
        <v>51</v>
      </c>
      <c r="B46" s="24" t="str">
        <f>HYPERLINK("http://codeforces.com/contest/483/problem/A","CF483-D2-A")</f>
        <v>CF483-D2-A</v>
      </c>
      <c r="C46" s="628" t="s">
        <v>52</v>
      </c>
      <c r="D46" s="620"/>
      <c r="E46" s="620"/>
      <c r="F46" s="620"/>
      <c r="G46" s="620"/>
      <c r="H46" s="620"/>
    </row>
    <row r="47" spans="1:8" ht="13.2">
      <c r="A47" s="620"/>
      <c r="B47" s="25" t="str">
        <f>HYPERLINK("https://uva.onlinejudge.org/index.php?option=onlinejudge&amp;page=show_problem&amp;problem=1183","UVA 10242")</f>
        <v>UVA 10242</v>
      </c>
      <c r="C47" s="628" t="s">
        <v>53</v>
      </c>
      <c r="D47" s="620"/>
      <c r="E47" s="620"/>
      <c r="F47" s="620"/>
      <c r="G47" s="620"/>
      <c r="H47" s="620"/>
    </row>
    <row r="48" spans="1:8" ht="13.2">
      <c r="A48" s="620"/>
      <c r="B48" s="27" t="str">
        <f>HYPERLINK("http://www.spoj.com/problems/CDOWN/","SPOJ CDOWN")</f>
        <v>SPOJ CDOWN</v>
      </c>
      <c r="C48" s="628" t="s">
        <v>54</v>
      </c>
      <c r="D48" s="620"/>
      <c r="E48" s="620"/>
      <c r="F48" s="620"/>
      <c r="G48" s="620"/>
      <c r="H48" s="620"/>
    </row>
    <row r="49" spans="1:8" ht="17.25" customHeight="1">
      <c r="A49" s="620"/>
      <c r="B49" s="28" t="str">
        <f>HYPERLINK("http://codeforces.com/contest/518/problem/B","CF518-D2-B")</f>
        <v>CF518-D2-B</v>
      </c>
      <c r="C49" s="628" t="s">
        <v>55</v>
      </c>
      <c r="D49" s="620"/>
      <c r="E49" s="620"/>
      <c r="F49" s="620"/>
      <c r="G49" s="620"/>
      <c r="H49" s="620"/>
    </row>
    <row r="50" spans="1:8" ht="13.2">
      <c r="A50" s="18"/>
      <c r="B50" s="26"/>
      <c r="C50" s="26"/>
      <c r="D50" s="26"/>
      <c r="E50" s="26"/>
      <c r="F50" s="26"/>
      <c r="G50" s="26"/>
      <c r="H50" s="26"/>
    </row>
    <row r="51" spans="1:8" ht="13.2">
      <c r="A51" s="13" t="s">
        <v>56</v>
      </c>
      <c r="B51" s="628" t="s">
        <v>57</v>
      </c>
      <c r="C51" s="620"/>
      <c r="D51" s="620"/>
      <c r="E51" s="620"/>
      <c r="F51" s="620"/>
      <c r="G51" s="620"/>
      <c r="H51" s="620"/>
    </row>
    <row r="52" spans="1:8" ht="13.2">
      <c r="A52" s="18"/>
      <c r="B52" s="29"/>
      <c r="C52" s="29"/>
      <c r="D52" s="29"/>
      <c r="E52" s="29"/>
      <c r="F52" s="29"/>
      <c r="G52" s="29"/>
      <c r="H52" s="29"/>
    </row>
    <row r="53" spans="1:8" ht="13.2">
      <c r="A53" s="1" t="s">
        <v>58</v>
      </c>
      <c r="B53" s="628" t="s">
        <v>59</v>
      </c>
      <c r="C53" s="620"/>
      <c r="D53" s="620"/>
      <c r="E53" s="620"/>
      <c r="F53" s="620"/>
      <c r="G53" s="620"/>
      <c r="H53" s="620"/>
    </row>
    <row r="54" spans="1:8" ht="13.2">
      <c r="A54" s="18"/>
      <c r="B54" s="29"/>
      <c r="C54" s="29"/>
      <c r="D54" s="29"/>
      <c r="E54" s="29"/>
      <c r="F54" s="29"/>
      <c r="G54" s="29"/>
      <c r="H54" s="29"/>
    </row>
    <row r="55" spans="1:8" ht="13.2">
      <c r="A55" s="622" t="s">
        <v>60</v>
      </c>
      <c r="B55" s="629" t="str">
        <f>HYPERLINK("https://github.com/lnishan/awesome-competitive-programming","Awesome Competitive Programming")</f>
        <v>Awesome Competitive Programming</v>
      </c>
      <c r="C55" s="620"/>
      <c r="D55" s="624" t="s">
        <v>61</v>
      </c>
      <c r="E55" s="620"/>
      <c r="F55" s="620"/>
      <c r="G55" s="620"/>
      <c r="H55" s="620"/>
    </row>
    <row r="56" spans="1:8" ht="13.2">
      <c r="A56" s="620"/>
      <c r="B56" s="629" t="str">
        <f>HYPERLINK("https://github.com/AhmadElsagheer/Competitive-programming-library/tree/master/curriculum","Ahmed Elsaghir Trainnig")</f>
        <v>Ahmed Elsaghir Trainnig</v>
      </c>
      <c r="C56" s="620"/>
      <c r="D56" s="624" t="s">
        <v>62</v>
      </c>
      <c r="E56" s="620"/>
      <c r="F56" s="620"/>
      <c r="G56" s="620"/>
      <c r="H56" s="620"/>
    </row>
    <row r="57" spans="1:8" ht="13.2">
      <c r="A57" s="620"/>
      <c r="B57" s="629" t="str">
        <f>HYPERLINK("https://a2oj.com/ladders","A2oj Ladders")</f>
        <v>A2oj Ladders</v>
      </c>
      <c r="C57" s="620"/>
      <c r="D57" s="624" t="s">
        <v>63</v>
      </c>
      <c r="E57" s="620"/>
      <c r="F57" s="620"/>
      <c r="G57" s="620"/>
      <c r="H57" s="620"/>
    </row>
    <row r="58" spans="1:8" ht="13.2">
      <c r="A58" s="620"/>
      <c r="B58" s="630" t="str">
        <f>HYPERLINK("https://www.youtube.com/watch?v=mUSajNUEWxg&amp;list=PLb7yniFBnvZIdfxYIKqNlGsTf5oZy4dKk","Prgramming Ahmed M sayd")</f>
        <v>Prgramming Ahmed M sayd</v>
      </c>
      <c r="C58" s="620"/>
      <c r="D58" s="624" t="s">
        <v>64</v>
      </c>
      <c r="E58" s="620"/>
      <c r="F58" s="620"/>
      <c r="G58" s="620"/>
      <c r="H58" s="620"/>
    </row>
    <row r="59" spans="1:8" ht="13.2">
      <c r="A59" s="620"/>
      <c r="B59" s="636" t="s">
        <v>65</v>
      </c>
      <c r="C59" s="620"/>
      <c r="D59" s="624" t="s">
        <v>64</v>
      </c>
      <c r="E59" s="620"/>
      <c r="F59" s="620"/>
      <c r="G59" s="620"/>
      <c r="H59" s="620"/>
    </row>
    <row r="60" spans="1:8" ht="13.2">
      <c r="A60" s="620"/>
      <c r="B60" s="30" t="str">
        <f>HYPERLINK("https://www.youtube.com/playlist?list=PLPt2dINI2MIZi6jW3pFvP9AHDsNi5XlD1","More Resources")</f>
        <v>More Resources</v>
      </c>
      <c r="C60" s="31"/>
      <c r="D60" s="624" t="s">
        <v>66</v>
      </c>
      <c r="E60" s="620"/>
      <c r="F60" s="620"/>
      <c r="G60" s="620"/>
      <c r="H60" s="620"/>
    </row>
    <row r="61" spans="1:8" ht="13.2">
      <c r="A61" s="18"/>
      <c r="B61" s="32"/>
      <c r="C61" s="32"/>
      <c r="D61" s="32"/>
      <c r="E61" s="32"/>
      <c r="F61" s="32"/>
      <c r="G61" s="32"/>
      <c r="H61" s="32"/>
    </row>
    <row r="62" spans="1:8" ht="13.2">
      <c r="A62" s="622" t="s">
        <v>67</v>
      </c>
      <c r="B62" s="638" t="s">
        <v>68</v>
      </c>
      <c r="C62" s="620"/>
      <c r="D62" s="620"/>
      <c r="E62" s="620"/>
      <c r="F62" s="620"/>
      <c r="G62" s="620"/>
      <c r="H62" s="620"/>
    </row>
    <row r="63" spans="1:8" ht="13.2">
      <c r="A63" s="620"/>
      <c r="B63" s="638" t="s">
        <v>69</v>
      </c>
      <c r="C63" s="620"/>
      <c r="D63" s="620"/>
      <c r="E63" s="620"/>
      <c r="F63" s="620"/>
      <c r="G63" s="620"/>
      <c r="H63" s="620"/>
    </row>
    <row r="64" spans="1:8" ht="13.2">
      <c r="A64" s="620"/>
      <c r="B64" s="624" t="s">
        <v>70</v>
      </c>
      <c r="C64" s="620"/>
      <c r="D64" s="620"/>
      <c r="E64" s="620"/>
      <c r="F64" s="620"/>
      <c r="G64" s="620"/>
      <c r="H64" s="620"/>
    </row>
    <row r="65" spans="1:8" ht="13.2">
      <c r="A65" s="620"/>
      <c r="B65" s="624" t="s">
        <v>71</v>
      </c>
      <c r="C65" s="620"/>
      <c r="D65" s="620"/>
      <c r="E65" s="620"/>
      <c r="F65" s="620"/>
      <c r="G65" s="620"/>
      <c r="H65" s="620"/>
    </row>
    <row r="66" spans="1:8" ht="13.2">
      <c r="A66" s="620"/>
      <c r="B66" s="33" t="s">
        <v>72</v>
      </c>
      <c r="C66" s="11"/>
      <c r="D66" s="11"/>
      <c r="E66" s="11"/>
      <c r="F66" s="11"/>
      <c r="G66" s="11"/>
      <c r="H66" s="11"/>
    </row>
    <row r="67" spans="1:8" ht="13.2">
      <c r="A67" s="620"/>
      <c r="B67" s="624" t="s">
        <v>73</v>
      </c>
      <c r="C67" s="620"/>
      <c r="D67" s="620"/>
      <c r="E67" s="620"/>
      <c r="F67" s="620"/>
      <c r="G67" s="620"/>
      <c r="H67" s="620"/>
    </row>
    <row r="68" spans="1:8" ht="13.2">
      <c r="A68" s="620"/>
      <c r="B68" s="624" t="s">
        <v>74</v>
      </c>
      <c r="C68" s="620"/>
      <c r="D68" s="620"/>
      <c r="E68" s="620"/>
      <c r="F68" s="620"/>
      <c r="G68" s="620"/>
      <c r="H68" s="620"/>
    </row>
    <row r="69" spans="1:8" ht="13.2">
      <c r="A69" s="34"/>
      <c r="B69" s="26"/>
      <c r="C69" s="26"/>
      <c r="D69" s="26"/>
      <c r="E69" s="26"/>
      <c r="F69" s="26"/>
      <c r="G69" s="26"/>
      <c r="H69" s="26"/>
    </row>
    <row r="70" spans="1:8" ht="13.2">
      <c r="A70" s="34"/>
      <c r="B70" s="26"/>
      <c r="C70" s="26"/>
      <c r="D70" s="26"/>
      <c r="E70" s="26"/>
      <c r="F70" s="26"/>
      <c r="G70" s="26"/>
      <c r="H70" s="26"/>
    </row>
    <row r="71" spans="1:8" ht="13.2">
      <c r="A71" s="637" t="s">
        <v>75</v>
      </c>
      <c r="B71" s="620"/>
      <c r="C71" s="620"/>
      <c r="D71" s="620"/>
      <c r="E71" s="620"/>
      <c r="F71" s="620"/>
      <c r="G71" s="620"/>
      <c r="H71" s="620"/>
    </row>
    <row r="72" spans="1:8" ht="13.2">
      <c r="A72" s="637" t="s">
        <v>76</v>
      </c>
      <c r="B72" s="620"/>
      <c r="C72" s="620"/>
      <c r="D72" s="620"/>
      <c r="E72" s="620"/>
      <c r="F72" s="620"/>
      <c r="G72" s="620"/>
      <c r="H72" s="620"/>
    </row>
    <row r="73" spans="1:8" ht="13.2">
      <c r="A73" s="637" t="s">
        <v>77</v>
      </c>
      <c r="B73" s="620"/>
      <c r="C73" s="620"/>
      <c r="D73" s="620"/>
      <c r="E73" s="620"/>
      <c r="F73" s="620"/>
      <c r="G73" s="620"/>
      <c r="H73" s="620"/>
    </row>
  </sheetData>
  <mergeCells count="67">
    <mergeCell ref="A62:A68"/>
    <mergeCell ref="A71:H71"/>
    <mergeCell ref="A72:H72"/>
    <mergeCell ref="A73:H73"/>
    <mergeCell ref="D60:H60"/>
    <mergeCell ref="B62:H62"/>
    <mergeCell ref="B63:H63"/>
    <mergeCell ref="B64:H64"/>
    <mergeCell ref="B65:H65"/>
    <mergeCell ref="B67:H67"/>
    <mergeCell ref="B68:H68"/>
    <mergeCell ref="A42:A43"/>
    <mergeCell ref="C42:H42"/>
    <mergeCell ref="C43:H43"/>
    <mergeCell ref="A46:A49"/>
    <mergeCell ref="B56:C56"/>
    <mergeCell ref="B55:C55"/>
    <mergeCell ref="A55:A60"/>
    <mergeCell ref="D55:H55"/>
    <mergeCell ref="D56:H56"/>
    <mergeCell ref="D57:H57"/>
    <mergeCell ref="B44:H44"/>
    <mergeCell ref="C46:H46"/>
    <mergeCell ref="C47:H47"/>
    <mergeCell ref="C48:H48"/>
    <mergeCell ref="D58:H58"/>
    <mergeCell ref="B59:C59"/>
    <mergeCell ref="B23:F23"/>
    <mergeCell ref="B25:H25"/>
    <mergeCell ref="B26:H26"/>
    <mergeCell ref="A28:A38"/>
    <mergeCell ref="B28:H28"/>
    <mergeCell ref="B29:H29"/>
    <mergeCell ref="B30:H30"/>
    <mergeCell ref="B37:H37"/>
    <mergeCell ref="E35:H35"/>
    <mergeCell ref="B36:H36"/>
    <mergeCell ref="A21:A23"/>
    <mergeCell ref="B31:H31"/>
    <mergeCell ref="B32:H32"/>
    <mergeCell ref="B33:H33"/>
    <mergeCell ref="B34:H34"/>
    <mergeCell ref="B21:D21"/>
    <mergeCell ref="D59:H59"/>
    <mergeCell ref="C49:H49"/>
    <mergeCell ref="B51:H51"/>
    <mergeCell ref="B53:H53"/>
    <mergeCell ref="B38:H38"/>
    <mergeCell ref="B40:H40"/>
    <mergeCell ref="B57:C57"/>
    <mergeCell ref="B58:C58"/>
    <mergeCell ref="B22:G22"/>
    <mergeCell ref="B11:G11"/>
    <mergeCell ref="B13:H13"/>
    <mergeCell ref="B14:H14"/>
    <mergeCell ref="B16:H16"/>
    <mergeCell ref="B18:H18"/>
    <mergeCell ref="B19:H19"/>
    <mergeCell ref="B8:C8"/>
    <mergeCell ref="B9:G9"/>
    <mergeCell ref="A1:A11"/>
    <mergeCell ref="B1:H1"/>
    <mergeCell ref="B2:C2"/>
    <mergeCell ref="B3:E3"/>
    <mergeCell ref="B4:C4"/>
    <mergeCell ref="B6:E6"/>
    <mergeCell ref="B7:D7"/>
  </mergeCells>
  <hyperlinks>
    <hyperlink ref="D4" r:id="rId1" xr:uid="{00000000-0004-0000-0000-000000000000}"/>
    <hyperlink ref="B8" r:id="rId2" xr:uid="{00000000-0004-0000-0000-000001000000}"/>
    <hyperlink ref="B9" r:id="rId3" xr:uid="{00000000-0004-0000-0000-000002000000}"/>
    <hyperlink ref="B11" r:id="rId4" xr:uid="{00000000-0004-0000-0000-000003000000}"/>
    <hyperlink ref="E21" r:id="rId5" xr:uid="{00000000-0004-0000-0000-000004000000}"/>
    <hyperlink ref="F21" r:id="rId6" xr:uid="{00000000-0004-0000-0000-000005000000}"/>
    <hyperlink ref="B22" r:id="rId7" xr:uid="{00000000-0004-0000-0000-000006000000}"/>
    <hyperlink ref="B59" r:id="rId8" xr:uid="{00000000-0004-0000-0000-000007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FF652-9F58-487B-BE8E-F3A06239616D}">
  <sheetPr>
    <tabColor theme="6" tint="0.39997558519241921"/>
  </sheetPr>
  <dimension ref="A1:D212"/>
  <sheetViews>
    <sheetView topLeftCell="A91" zoomScale="82" workbookViewId="0">
      <selection activeCell="A102" sqref="A102"/>
    </sheetView>
  </sheetViews>
  <sheetFormatPr defaultRowHeight="19.95" customHeight="1"/>
  <cols>
    <col min="1" max="1" width="179" style="597" customWidth="1"/>
    <col min="2" max="2" width="8.88671875" style="597"/>
    <col min="3" max="3" width="36.33203125" style="597" customWidth="1"/>
    <col min="4" max="4" width="22.21875" style="597" customWidth="1"/>
    <col min="5" max="16384" width="8.88671875" style="597"/>
  </cols>
  <sheetData>
    <row r="1" spans="1:4" ht="19.95" customHeight="1">
      <c r="A1" s="598">
        <v>44271</v>
      </c>
    </row>
    <row r="2" spans="1:4" ht="69.599999999999994" customHeight="1">
      <c r="A2" s="600" t="s">
        <v>14595</v>
      </c>
      <c r="B2" s="563"/>
      <c r="C2" s="597" t="s">
        <v>14600</v>
      </c>
    </row>
    <row r="3" spans="1:4" ht="19.95" customHeight="1">
      <c r="A3" s="600" t="s">
        <v>14596</v>
      </c>
      <c r="B3" s="563"/>
      <c r="C3" s="597" t="s">
        <v>14601</v>
      </c>
    </row>
    <row r="4" spans="1:4" ht="19.95" customHeight="1">
      <c r="A4" s="601" t="s">
        <v>14597</v>
      </c>
      <c r="B4" s="563"/>
    </row>
    <row r="5" spans="1:4" ht="19.95" customHeight="1">
      <c r="A5" s="602">
        <v>44272</v>
      </c>
    </row>
    <row r="7" spans="1:4" ht="19.95" customHeight="1">
      <c r="A7" s="549" t="s">
        <v>14598</v>
      </c>
      <c r="B7" s="486"/>
      <c r="C7" s="597" t="s">
        <v>14607</v>
      </c>
      <c r="D7" s="597" t="s">
        <v>166</v>
      </c>
    </row>
    <row r="8" spans="1:4" s="599" customFormat="1" ht="19.95" customHeight="1">
      <c r="A8" s="603">
        <v>44273</v>
      </c>
      <c r="B8" s="464"/>
    </row>
    <row r="9" spans="1:4" ht="19.95" customHeight="1">
      <c r="A9" s="549" t="s">
        <v>14602</v>
      </c>
      <c r="B9" s="486"/>
    </row>
    <row r="10" spans="1:4" ht="102" customHeight="1">
      <c r="A10" s="549" t="s">
        <v>14604</v>
      </c>
      <c r="B10" s="563"/>
      <c r="C10" s="599" t="s">
        <v>14610</v>
      </c>
    </row>
    <row r="11" spans="1:4" ht="19.95" customHeight="1">
      <c r="A11" s="549" t="s">
        <v>14605</v>
      </c>
      <c r="B11" s="486"/>
    </row>
    <row r="13" spans="1:4" ht="19.95" customHeight="1">
      <c r="A13" s="598"/>
    </row>
    <row r="14" spans="1:4" ht="19.95" customHeight="1">
      <c r="A14" s="549" t="s">
        <v>14613</v>
      </c>
      <c r="B14" s="550"/>
    </row>
    <row r="15" spans="1:4" ht="19.95" customHeight="1">
      <c r="A15" s="549" t="s">
        <v>14614</v>
      </c>
      <c r="B15" s="563"/>
      <c r="C15" s="597" t="s">
        <v>14670</v>
      </c>
    </row>
    <row r="16" spans="1:4" ht="19.95" customHeight="1">
      <c r="A16" s="597" t="s">
        <v>14615</v>
      </c>
      <c r="B16" s="563"/>
      <c r="C16" s="597" t="s">
        <v>14667</v>
      </c>
    </row>
    <row r="17" spans="1:4" ht="19.95" customHeight="1">
      <c r="A17" s="597" t="s">
        <v>14616</v>
      </c>
      <c r="B17" s="563"/>
      <c r="C17" s="597" t="s">
        <v>14669</v>
      </c>
    </row>
    <row r="18" spans="1:4" ht="19.95" customHeight="1">
      <c r="A18" s="597" t="s">
        <v>14617</v>
      </c>
      <c r="B18" s="486" t="s">
        <v>14672</v>
      </c>
      <c r="C18" s="597" t="s">
        <v>14668</v>
      </c>
    </row>
    <row r="19" spans="1:4" ht="19.95" customHeight="1">
      <c r="A19" s="597" t="s">
        <v>14618</v>
      </c>
      <c r="B19" s="563"/>
      <c r="C19" s="598" t="s">
        <v>14666</v>
      </c>
      <c r="D19" s="598">
        <v>44278</v>
      </c>
    </row>
    <row r="20" spans="1:4" ht="19.95" customHeight="1">
      <c r="A20" s="549" t="s">
        <v>14619</v>
      </c>
    </row>
    <row r="21" spans="1:4" ht="19.95" customHeight="1">
      <c r="A21" s="549" t="s">
        <v>14620</v>
      </c>
    </row>
    <row r="22" spans="1:4" ht="19.95" customHeight="1">
      <c r="A22" s="549" t="s">
        <v>14621</v>
      </c>
    </row>
    <row r="23" spans="1:4" ht="19.95" customHeight="1">
      <c r="A23" s="549" t="s">
        <v>14622</v>
      </c>
    </row>
    <row r="24" spans="1:4" ht="19.95" customHeight="1">
      <c r="A24" s="597" t="s">
        <v>14623</v>
      </c>
    </row>
    <row r="25" spans="1:4" ht="19.95" customHeight="1">
      <c r="A25" s="549" t="s">
        <v>14624</v>
      </c>
    </row>
    <row r="26" spans="1:4" ht="19.95" customHeight="1">
      <c r="A26" s="597" t="s">
        <v>14625</v>
      </c>
    </row>
    <row r="27" spans="1:4" ht="19.95" customHeight="1">
      <c r="A27" s="597" t="s">
        <v>14626</v>
      </c>
    </row>
    <row r="28" spans="1:4" ht="19.95" customHeight="1">
      <c r="A28" s="549" t="s">
        <v>14627</v>
      </c>
    </row>
    <row r="29" spans="1:4" ht="19.95" customHeight="1">
      <c r="A29" s="549" t="s">
        <v>14628</v>
      </c>
    </row>
    <row r="30" spans="1:4" ht="19.95" customHeight="1">
      <c r="A30" s="549" t="s">
        <v>14629</v>
      </c>
    </row>
    <row r="31" spans="1:4" ht="19.95" customHeight="1">
      <c r="A31" s="597" t="s">
        <v>14630</v>
      </c>
    </row>
    <row r="32" spans="1:4" ht="19.95" customHeight="1">
      <c r="A32" s="597" t="s">
        <v>14631</v>
      </c>
    </row>
    <row r="33" spans="1:3" ht="19.95" customHeight="1">
      <c r="A33" s="549" t="s">
        <v>14632</v>
      </c>
      <c r="B33" s="563"/>
      <c r="C33" s="597" t="s">
        <v>14674</v>
      </c>
    </row>
    <row r="34" spans="1:3" ht="19.95" customHeight="1">
      <c r="A34" s="597" t="s">
        <v>14633</v>
      </c>
    </row>
    <row r="35" spans="1:3" ht="19.95" customHeight="1">
      <c r="A35" s="597" t="s">
        <v>14634</v>
      </c>
    </row>
    <row r="36" spans="1:3" ht="19.95" customHeight="1">
      <c r="A36" s="597" t="s">
        <v>14635</v>
      </c>
    </row>
    <row r="37" spans="1:3" ht="19.95" customHeight="1">
      <c r="A37" s="549" t="s">
        <v>14636</v>
      </c>
    </row>
    <row r="38" spans="1:3" ht="19.95" customHeight="1">
      <c r="A38" s="549" t="s">
        <v>14637</v>
      </c>
    </row>
    <row r="39" spans="1:3" ht="19.95" customHeight="1">
      <c r="A39" s="549" t="s">
        <v>14638</v>
      </c>
    </row>
    <row r="40" spans="1:3" ht="19.95" customHeight="1">
      <c r="A40" s="549" t="s">
        <v>14639</v>
      </c>
    </row>
    <row r="41" spans="1:3" ht="19.95" customHeight="1">
      <c r="A41" s="597" t="s">
        <v>14640</v>
      </c>
    </row>
    <row r="42" spans="1:3" ht="19.95" customHeight="1">
      <c r="A42" s="597" t="s">
        <v>14641</v>
      </c>
    </row>
    <row r="43" spans="1:3" ht="19.95" customHeight="1">
      <c r="A43" s="597" t="s">
        <v>14642</v>
      </c>
    </row>
    <row r="44" spans="1:3" ht="19.95" customHeight="1">
      <c r="A44" s="549" t="s">
        <v>14643</v>
      </c>
    </row>
    <row r="45" spans="1:3" ht="19.95" customHeight="1">
      <c r="A45" s="549" t="s">
        <v>14644</v>
      </c>
    </row>
    <row r="46" spans="1:3" ht="19.95" customHeight="1">
      <c r="A46" s="597" t="s">
        <v>14645</v>
      </c>
    </row>
    <row r="47" spans="1:3" ht="19.95" customHeight="1">
      <c r="A47" s="549" t="s">
        <v>14646</v>
      </c>
    </row>
    <row r="48" spans="1:3" ht="19.95" customHeight="1">
      <c r="A48" s="597" t="s">
        <v>14647</v>
      </c>
    </row>
    <row r="49" spans="1:2" ht="19.95" customHeight="1">
      <c r="A49" s="549" t="s">
        <v>14648</v>
      </c>
    </row>
    <row r="50" spans="1:2" ht="19.95" customHeight="1">
      <c r="A50" s="597" t="s">
        <v>14649</v>
      </c>
    </row>
    <row r="51" spans="1:2" ht="19.95" customHeight="1">
      <c r="A51" s="549" t="s">
        <v>14650</v>
      </c>
    </row>
    <row r="52" spans="1:2" ht="19.95" customHeight="1">
      <c r="A52" s="597" t="s">
        <v>14651</v>
      </c>
    </row>
    <row r="53" spans="1:2" ht="19.95" customHeight="1">
      <c r="A53" s="597" t="s">
        <v>14652</v>
      </c>
    </row>
    <row r="54" spans="1:2" ht="19.95" customHeight="1">
      <c r="A54" s="549" t="s">
        <v>14653</v>
      </c>
      <c r="B54" s="563"/>
    </row>
    <row r="55" spans="1:2" ht="19.95" customHeight="1">
      <c r="A55" s="549" t="s">
        <v>14654</v>
      </c>
    </row>
    <row r="56" spans="1:2" ht="19.95" customHeight="1">
      <c r="A56" s="597" t="s">
        <v>14655</v>
      </c>
    </row>
    <row r="57" spans="1:2" ht="19.95" customHeight="1">
      <c r="A57" s="549" t="s">
        <v>14656</v>
      </c>
    </row>
    <row r="58" spans="1:2" ht="19.95" customHeight="1">
      <c r="A58" s="597" t="s">
        <v>14657</v>
      </c>
    </row>
    <row r="59" spans="1:2" ht="19.95" customHeight="1">
      <c r="A59" s="549" t="s">
        <v>14658</v>
      </c>
    </row>
    <row r="60" spans="1:2" ht="19.95" customHeight="1">
      <c r="A60" s="597" t="s">
        <v>14659</v>
      </c>
    </row>
    <row r="61" spans="1:2" ht="19.95" customHeight="1">
      <c r="A61" s="597" t="s">
        <v>14660</v>
      </c>
    </row>
    <row r="62" spans="1:2" ht="19.95" customHeight="1">
      <c r="A62" s="549" t="s">
        <v>14661</v>
      </c>
    </row>
    <row r="63" spans="1:2" ht="19.95" customHeight="1">
      <c r="A63" s="597" t="s">
        <v>14662</v>
      </c>
    </row>
    <row r="64" spans="1:2" ht="19.95" customHeight="1">
      <c r="A64" s="597" t="s">
        <v>14663</v>
      </c>
    </row>
    <row r="65" spans="1:1" ht="19.95" customHeight="1">
      <c r="A65" s="597" t="s">
        <v>14830</v>
      </c>
    </row>
    <row r="66" spans="1:1" s="605" customFormat="1" ht="19.95" customHeight="1">
      <c r="A66" s="605" t="s">
        <v>14832</v>
      </c>
    </row>
    <row r="70" spans="1:1" ht="19.95" customHeight="1">
      <c r="A70" s="597">
        <v>1900</v>
      </c>
    </row>
    <row r="71" spans="1:1" ht="19.95" customHeight="1">
      <c r="A71" s="597" t="s">
        <v>14677</v>
      </c>
    </row>
    <row r="72" spans="1:1" ht="19.95" customHeight="1">
      <c r="A72" s="597" t="s">
        <v>14678</v>
      </c>
    </row>
    <row r="73" spans="1:1" ht="19.95" customHeight="1">
      <c r="A73" s="597" t="s">
        <v>14679</v>
      </c>
    </row>
    <row r="74" spans="1:1" ht="19.95" customHeight="1">
      <c r="A74" s="597" t="s">
        <v>14680</v>
      </c>
    </row>
    <row r="75" spans="1:1" ht="19.95" customHeight="1">
      <c r="A75" s="597" t="s">
        <v>14681</v>
      </c>
    </row>
    <row r="76" spans="1:1" ht="19.95" customHeight="1">
      <c r="A76" s="597" t="s">
        <v>14682</v>
      </c>
    </row>
    <row r="77" spans="1:1" ht="19.95" customHeight="1">
      <c r="A77" s="597" t="s">
        <v>14683</v>
      </c>
    </row>
    <row r="78" spans="1:1" ht="19.95" customHeight="1">
      <c r="A78" s="597" t="s">
        <v>14684</v>
      </c>
    </row>
    <row r="79" spans="1:1" ht="19.95" customHeight="1">
      <c r="A79" s="597" t="s">
        <v>14685</v>
      </c>
    </row>
    <row r="80" spans="1:1" ht="19.95" customHeight="1">
      <c r="A80" s="597" t="s">
        <v>14686</v>
      </c>
    </row>
    <row r="81" spans="1:1" ht="19.95" customHeight="1">
      <c r="A81" s="597" t="s">
        <v>14687</v>
      </c>
    </row>
    <row r="82" spans="1:1" ht="19.95" customHeight="1">
      <c r="A82" s="597" t="s">
        <v>14688</v>
      </c>
    </row>
    <row r="83" spans="1:1" ht="19.95" customHeight="1">
      <c r="A83" s="597" t="s">
        <v>14689</v>
      </c>
    </row>
    <row r="84" spans="1:1" ht="19.95" customHeight="1">
      <c r="A84" s="549" t="s">
        <v>14690</v>
      </c>
    </row>
    <row r="85" spans="1:1" ht="19.95" customHeight="1">
      <c r="A85" s="597" t="s">
        <v>14691</v>
      </c>
    </row>
    <row r="86" spans="1:1" ht="19.95" customHeight="1">
      <c r="A86" s="597" t="s">
        <v>14692</v>
      </c>
    </row>
    <row r="87" spans="1:1" ht="19.95" customHeight="1">
      <c r="A87" s="597" t="s">
        <v>14693</v>
      </c>
    </row>
    <row r="88" spans="1:1" ht="19.95" customHeight="1">
      <c r="A88" s="597" t="s">
        <v>14694</v>
      </c>
    </row>
    <row r="89" spans="1:1" ht="19.95" customHeight="1">
      <c r="A89" s="597" t="s">
        <v>14695</v>
      </c>
    </row>
    <row r="90" spans="1:1" ht="19.95" customHeight="1">
      <c r="A90" s="597" t="s">
        <v>14696</v>
      </c>
    </row>
    <row r="91" spans="1:1" ht="19.95" customHeight="1">
      <c r="A91" s="597" t="s">
        <v>14697</v>
      </c>
    </row>
    <row r="92" spans="1:1" ht="19.95" customHeight="1">
      <c r="A92" s="597" t="s">
        <v>14698</v>
      </c>
    </row>
    <row r="93" spans="1:1" ht="19.95" customHeight="1">
      <c r="A93" s="597" t="s">
        <v>14699</v>
      </c>
    </row>
    <row r="94" spans="1:1" ht="19.95" customHeight="1">
      <c r="A94" s="549" t="s">
        <v>14700</v>
      </c>
    </row>
    <row r="95" spans="1:1" ht="19.95" customHeight="1">
      <c r="A95" s="549" t="s">
        <v>14701</v>
      </c>
    </row>
    <row r="96" spans="1:1" ht="19.95" customHeight="1">
      <c r="A96" s="597" t="s">
        <v>14702</v>
      </c>
    </row>
    <row r="97" spans="1:1" ht="19.95" customHeight="1">
      <c r="A97" s="597" t="s">
        <v>14703</v>
      </c>
    </row>
    <row r="98" spans="1:1" ht="19.95" customHeight="1">
      <c r="A98" s="597" t="s">
        <v>14704</v>
      </c>
    </row>
    <row r="99" spans="1:1" ht="19.95" customHeight="1">
      <c r="A99" s="597" t="s">
        <v>14705</v>
      </c>
    </row>
    <row r="100" spans="1:1" ht="19.95" customHeight="1">
      <c r="A100" s="597" t="s">
        <v>14706</v>
      </c>
    </row>
    <row r="101" spans="1:1" ht="19.95" customHeight="1">
      <c r="A101" s="597" t="s">
        <v>14707</v>
      </c>
    </row>
    <row r="102" spans="1:1" ht="19.95" customHeight="1">
      <c r="A102" s="549" t="s">
        <v>14708</v>
      </c>
    </row>
    <row r="103" spans="1:1" ht="19.95" customHeight="1">
      <c r="A103" s="597" t="s">
        <v>14709</v>
      </c>
    </row>
    <row r="104" spans="1:1" ht="19.95" customHeight="1">
      <c r="A104" s="597" t="s">
        <v>14710</v>
      </c>
    </row>
    <row r="105" spans="1:1" ht="19.95" customHeight="1">
      <c r="A105" s="597" t="s">
        <v>14711</v>
      </c>
    </row>
    <row r="106" spans="1:1" ht="19.95" customHeight="1">
      <c r="A106" s="597" t="s">
        <v>14712</v>
      </c>
    </row>
    <row r="107" spans="1:1" ht="19.95" customHeight="1">
      <c r="A107" s="597" t="s">
        <v>14713</v>
      </c>
    </row>
    <row r="108" spans="1:1" ht="19.95" customHeight="1">
      <c r="A108" s="597" t="s">
        <v>14714</v>
      </c>
    </row>
    <row r="109" spans="1:1" ht="19.95" customHeight="1">
      <c r="A109" s="597" t="s">
        <v>14715</v>
      </c>
    </row>
    <row r="110" spans="1:1" ht="19.95" customHeight="1">
      <c r="A110" s="597" t="s">
        <v>14716</v>
      </c>
    </row>
    <row r="111" spans="1:1" ht="19.95" customHeight="1">
      <c r="A111" s="597" t="s">
        <v>14717</v>
      </c>
    </row>
    <row r="112" spans="1:1" ht="19.95" customHeight="1">
      <c r="A112" s="597" t="s">
        <v>14718</v>
      </c>
    </row>
    <row r="113" spans="1:1" ht="19.95" customHeight="1">
      <c r="A113" s="597" t="s">
        <v>14719</v>
      </c>
    </row>
    <row r="114" spans="1:1" ht="19.95" customHeight="1">
      <c r="A114" s="597" t="s">
        <v>14720</v>
      </c>
    </row>
    <row r="115" spans="1:1" ht="19.95" customHeight="1">
      <c r="A115" s="597" t="s">
        <v>14721</v>
      </c>
    </row>
    <row r="116" spans="1:1" ht="19.95" customHeight="1">
      <c r="A116" s="597" t="s">
        <v>14722</v>
      </c>
    </row>
    <row r="117" spans="1:1" ht="19.95" customHeight="1">
      <c r="A117" s="597" t="s">
        <v>14723</v>
      </c>
    </row>
    <row r="118" spans="1:1" ht="19.95" customHeight="1">
      <c r="A118" s="597" t="s">
        <v>14724</v>
      </c>
    </row>
    <row r="119" spans="1:1" ht="19.95" customHeight="1">
      <c r="A119" s="597" t="s">
        <v>14725</v>
      </c>
    </row>
    <row r="120" spans="1:1" ht="19.95" customHeight="1">
      <c r="A120" s="597" t="s">
        <v>14726</v>
      </c>
    </row>
    <row r="121" spans="1:1" ht="19.95" customHeight="1">
      <c r="A121" s="597" t="s">
        <v>14727</v>
      </c>
    </row>
    <row r="122" spans="1:1" ht="19.95" customHeight="1">
      <c r="A122" s="597" t="s">
        <v>14728</v>
      </c>
    </row>
    <row r="123" spans="1:1" ht="19.95" customHeight="1">
      <c r="A123" s="597" t="s">
        <v>14729</v>
      </c>
    </row>
    <row r="124" spans="1:1" ht="19.95" customHeight="1">
      <c r="A124" s="597" t="s">
        <v>14730</v>
      </c>
    </row>
    <row r="125" spans="1:1" ht="19.95" customHeight="1">
      <c r="A125" s="597" t="s">
        <v>14731</v>
      </c>
    </row>
    <row r="126" spans="1:1" ht="19.95" customHeight="1">
      <c r="A126" s="597" t="s">
        <v>14732</v>
      </c>
    </row>
    <row r="127" spans="1:1" ht="19.95" customHeight="1">
      <c r="A127" s="597" t="s">
        <v>14733</v>
      </c>
    </row>
    <row r="128" spans="1:1" ht="19.95" customHeight="1">
      <c r="A128" s="597" t="s">
        <v>14734</v>
      </c>
    </row>
    <row r="129" spans="1:1" ht="19.95" customHeight="1">
      <c r="A129" s="597" t="s">
        <v>14735</v>
      </c>
    </row>
    <row r="130" spans="1:1" ht="19.95" customHeight="1">
      <c r="A130" s="597" t="s">
        <v>14736</v>
      </c>
    </row>
    <row r="131" spans="1:1" ht="19.95" customHeight="1">
      <c r="A131" s="597" t="s">
        <v>14737</v>
      </c>
    </row>
    <row r="132" spans="1:1" ht="19.95" customHeight="1">
      <c r="A132" s="597" t="s">
        <v>14738</v>
      </c>
    </row>
    <row r="133" spans="1:1" ht="19.95" customHeight="1">
      <c r="A133" s="597" t="s">
        <v>14739</v>
      </c>
    </row>
    <row r="134" spans="1:1" ht="19.95" customHeight="1">
      <c r="A134" s="597" t="s">
        <v>14740</v>
      </c>
    </row>
    <row r="135" spans="1:1" ht="19.95" customHeight="1">
      <c r="A135" s="597" t="s">
        <v>14700</v>
      </c>
    </row>
    <row r="136" spans="1:1" ht="19.95" customHeight="1">
      <c r="A136" s="597" t="s">
        <v>14741</v>
      </c>
    </row>
    <row r="137" spans="1:1" ht="19.95" customHeight="1">
      <c r="A137" s="597" t="s">
        <v>14681</v>
      </c>
    </row>
    <row r="138" spans="1:1" ht="19.95" customHeight="1">
      <c r="A138" s="597" t="s">
        <v>14742</v>
      </c>
    </row>
    <row r="139" spans="1:1" ht="19.95" customHeight="1">
      <c r="A139" s="597" t="s">
        <v>14743</v>
      </c>
    </row>
    <row r="140" spans="1:1" ht="19.95" customHeight="1">
      <c r="A140" s="597" t="s">
        <v>14744</v>
      </c>
    </row>
    <row r="141" spans="1:1" ht="19.95" customHeight="1">
      <c r="A141" s="597" t="s">
        <v>14745</v>
      </c>
    </row>
    <row r="142" spans="1:1" ht="19.95" customHeight="1">
      <c r="A142" s="597" t="s">
        <v>14746</v>
      </c>
    </row>
    <row r="143" spans="1:1" ht="19.95" customHeight="1">
      <c r="A143" s="597" t="s">
        <v>14747</v>
      </c>
    </row>
    <row r="144" spans="1:1" ht="19.95" customHeight="1">
      <c r="A144" s="597" t="s">
        <v>14748</v>
      </c>
    </row>
    <row r="145" spans="1:1" ht="19.95" customHeight="1">
      <c r="A145" s="597" t="s">
        <v>14749</v>
      </c>
    </row>
    <row r="146" spans="1:1" ht="19.95" customHeight="1">
      <c r="A146" s="597" t="s">
        <v>14750</v>
      </c>
    </row>
    <row r="147" spans="1:1" ht="19.95" customHeight="1">
      <c r="A147" s="597" t="s">
        <v>14751</v>
      </c>
    </row>
    <row r="148" spans="1:1" ht="19.95" customHeight="1">
      <c r="A148" s="597" t="s">
        <v>14752</v>
      </c>
    </row>
    <row r="149" spans="1:1" ht="19.95" customHeight="1">
      <c r="A149" s="597" t="s">
        <v>14753</v>
      </c>
    </row>
    <row r="150" spans="1:1" ht="19.95" customHeight="1">
      <c r="A150" s="597" t="s">
        <v>14754</v>
      </c>
    </row>
    <row r="151" spans="1:1" ht="19.95" customHeight="1">
      <c r="A151" s="597" t="s">
        <v>14755</v>
      </c>
    </row>
    <row r="152" spans="1:1" ht="19.95" customHeight="1">
      <c r="A152" s="597" t="s">
        <v>14756</v>
      </c>
    </row>
    <row r="153" spans="1:1" ht="19.95" customHeight="1">
      <c r="A153" s="597" t="s">
        <v>14757</v>
      </c>
    </row>
    <row r="154" spans="1:1" ht="19.95" customHeight="1">
      <c r="A154" s="597" t="s">
        <v>14758</v>
      </c>
    </row>
    <row r="155" spans="1:1" ht="19.95" customHeight="1">
      <c r="A155" s="597" t="s">
        <v>14759</v>
      </c>
    </row>
    <row r="156" spans="1:1" ht="19.95" customHeight="1">
      <c r="A156" s="597" t="s">
        <v>14760</v>
      </c>
    </row>
    <row r="157" spans="1:1" ht="19.95" customHeight="1">
      <c r="A157" s="597" t="s">
        <v>14761</v>
      </c>
    </row>
    <row r="158" spans="1:1" ht="19.95" customHeight="1">
      <c r="A158" s="597" t="s">
        <v>14762</v>
      </c>
    </row>
    <row r="159" spans="1:1" ht="19.95" customHeight="1">
      <c r="A159" s="597" t="s">
        <v>14763</v>
      </c>
    </row>
    <row r="160" spans="1:1" ht="19.95" customHeight="1">
      <c r="A160" s="597" t="s">
        <v>14764</v>
      </c>
    </row>
    <row r="161" spans="1:1" ht="19.95" customHeight="1">
      <c r="A161" s="597" t="s">
        <v>14765</v>
      </c>
    </row>
    <row r="162" spans="1:1" ht="19.95" customHeight="1">
      <c r="A162" s="597" t="s">
        <v>14766</v>
      </c>
    </row>
    <row r="163" spans="1:1" ht="19.95" customHeight="1">
      <c r="A163" s="597" t="s">
        <v>14767</v>
      </c>
    </row>
    <row r="164" spans="1:1" ht="19.95" customHeight="1">
      <c r="A164" s="597" t="s">
        <v>14768</v>
      </c>
    </row>
    <row r="165" spans="1:1" ht="19.95" customHeight="1">
      <c r="A165" s="597" t="s">
        <v>14769</v>
      </c>
    </row>
    <row r="166" spans="1:1" ht="19.95" customHeight="1">
      <c r="A166" s="597" t="s">
        <v>14770</v>
      </c>
    </row>
    <row r="167" spans="1:1" ht="19.95" customHeight="1">
      <c r="A167" s="597" t="s">
        <v>14771</v>
      </c>
    </row>
    <row r="168" spans="1:1" ht="19.95" customHeight="1">
      <c r="A168" s="597" t="s">
        <v>14772</v>
      </c>
    </row>
    <row r="169" spans="1:1" ht="19.95" customHeight="1">
      <c r="A169" s="597" t="s">
        <v>14773</v>
      </c>
    </row>
    <row r="170" spans="1:1" ht="19.95" customHeight="1">
      <c r="A170" s="597" t="s">
        <v>14774</v>
      </c>
    </row>
    <row r="171" spans="1:1" ht="19.95" customHeight="1">
      <c r="A171" s="597" t="s">
        <v>14775</v>
      </c>
    </row>
    <row r="172" spans="1:1" ht="19.95" customHeight="1">
      <c r="A172" s="597" t="s">
        <v>14776</v>
      </c>
    </row>
    <row r="173" spans="1:1" ht="19.95" customHeight="1">
      <c r="A173" s="597" t="s">
        <v>14777</v>
      </c>
    </row>
    <row r="174" spans="1:1" ht="19.95" customHeight="1">
      <c r="A174" s="597" t="s">
        <v>14778</v>
      </c>
    </row>
    <row r="175" spans="1:1" ht="19.95" customHeight="1">
      <c r="A175" s="597" t="s">
        <v>14779</v>
      </c>
    </row>
    <row r="176" spans="1:1" ht="19.95" customHeight="1">
      <c r="A176" s="597" t="s">
        <v>14780</v>
      </c>
    </row>
    <row r="177" spans="1:1" ht="19.95" customHeight="1">
      <c r="A177" s="597" t="s">
        <v>14781</v>
      </c>
    </row>
    <row r="178" spans="1:1" ht="19.95" customHeight="1">
      <c r="A178" s="597" t="s">
        <v>14782</v>
      </c>
    </row>
    <row r="179" spans="1:1" ht="19.95" customHeight="1">
      <c r="A179" s="597" t="s">
        <v>14783</v>
      </c>
    </row>
    <row r="180" spans="1:1" ht="19.95" customHeight="1">
      <c r="A180" s="597" t="s">
        <v>14784</v>
      </c>
    </row>
    <row r="181" spans="1:1" ht="19.95" customHeight="1">
      <c r="A181" s="597" t="s">
        <v>14785</v>
      </c>
    </row>
    <row r="182" spans="1:1" ht="19.95" customHeight="1">
      <c r="A182" s="597" t="s">
        <v>14786</v>
      </c>
    </row>
    <row r="183" spans="1:1" ht="19.95" customHeight="1">
      <c r="A183" s="597" t="s">
        <v>14787</v>
      </c>
    </row>
    <row r="184" spans="1:1" ht="19.95" customHeight="1">
      <c r="A184" s="597" t="s">
        <v>14788</v>
      </c>
    </row>
    <row r="185" spans="1:1" ht="19.95" customHeight="1">
      <c r="A185" s="597" t="s">
        <v>14789</v>
      </c>
    </row>
    <row r="186" spans="1:1" ht="19.95" customHeight="1">
      <c r="A186" s="597" t="s">
        <v>14790</v>
      </c>
    </row>
    <row r="191" spans="1:1" ht="19.95" customHeight="1">
      <c r="A191" s="597" t="s">
        <v>14793</v>
      </c>
    </row>
    <row r="192" spans="1:1" ht="19.95" customHeight="1">
      <c r="A192" s="597" t="s">
        <v>14794</v>
      </c>
    </row>
    <row r="193" spans="1:1" ht="19.95" customHeight="1">
      <c r="A193" s="597" t="s">
        <v>14795</v>
      </c>
    </row>
    <row r="194" spans="1:1" ht="19.95" customHeight="1">
      <c r="A194" s="597" t="s">
        <v>14796</v>
      </c>
    </row>
    <row r="195" spans="1:1" ht="19.95" customHeight="1">
      <c r="A195" s="597" t="s">
        <v>14647</v>
      </c>
    </row>
    <row r="196" spans="1:1" ht="19.95" customHeight="1">
      <c r="A196" s="597" t="s">
        <v>14797</v>
      </c>
    </row>
    <row r="197" spans="1:1" ht="19.95" customHeight="1">
      <c r="A197" s="597" t="s">
        <v>14798</v>
      </c>
    </row>
    <row r="198" spans="1:1" ht="19.95" customHeight="1">
      <c r="A198" s="597" t="s">
        <v>14799</v>
      </c>
    </row>
    <row r="199" spans="1:1" ht="19.95" customHeight="1">
      <c r="A199" s="597" t="s">
        <v>14800</v>
      </c>
    </row>
    <row r="200" spans="1:1" ht="19.95" customHeight="1">
      <c r="A200" s="597" t="s">
        <v>14801</v>
      </c>
    </row>
    <row r="201" spans="1:1" ht="19.95" customHeight="1">
      <c r="A201" s="597" t="s">
        <v>14802</v>
      </c>
    </row>
    <row r="202" spans="1:1" ht="19.95" customHeight="1">
      <c r="A202" s="597" t="s">
        <v>14803</v>
      </c>
    </row>
    <row r="203" spans="1:1" ht="19.95" customHeight="1">
      <c r="A203" s="597" t="s">
        <v>14804</v>
      </c>
    </row>
    <row r="204" spans="1:1" ht="19.95" customHeight="1">
      <c r="A204" s="597" t="s">
        <v>14801</v>
      </c>
    </row>
    <row r="205" spans="1:1" ht="19.95" customHeight="1">
      <c r="A205" s="597" t="s">
        <v>14805</v>
      </c>
    </row>
    <row r="206" spans="1:1" ht="19.95" customHeight="1">
      <c r="A206" s="597" t="s">
        <v>14806</v>
      </c>
    </row>
    <row r="207" spans="1:1" ht="19.95" customHeight="1">
      <c r="A207" s="597" t="s">
        <v>14807</v>
      </c>
    </row>
    <row r="208" spans="1:1" ht="19.95" customHeight="1">
      <c r="A208" s="597" t="s">
        <v>14808</v>
      </c>
    </row>
    <row r="209" spans="1:1" ht="19.95" customHeight="1">
      <c r="A209" s="597" t="s">
        <v>14809</v>
      </c>
    </row>
    <row r="210" spans="1:1" ht="19.95" customHeight="1">
      <c r="A210" s="597" t="s">
        <v>14810</v>
      </c>
    </row>
    <row r="211" spans="1:1" ht="19.95" customHeight="1">
      <c r="A211" s="597" t="s">
        <v>14811</v>
      </c>
    </row>
    <row r="212" spans="1:1" ht="19.95" customHeight="1">
      <c r="A212" s="597" t="s">
        <v>14812</v>
      </c>
    </row>
  </sheetData>
  <hyperlinks>
    <hyperlink ref="A3" r:id="rId1" xr:uid="{0ECDDA4A-3CEB-42CE-8474-6FAE10D25939}"/>
    <hyperlink ref="A4" r:id="rId2" xr:uid="{A085A173-A1DA-43B6-8BA2-4761B41A49AA}"/>
    <hyperlink ref="A7" r:id="rId3" xr:uid="{CE20613C-E04B-4784-9375-281A9349B625}"/>
    <hyperlink ref="A11" r:id="rId4" xr:uid="{DBC9C626-D26F-4B4F-A17B-A3EB17CD6716}"/>
    <hyperlink ref="A10" r:id="rId5" xr:uid="{CE03E400-1464-4DC3-A852-2CFCE74AC61D}"/>
    <hyperlink ref="A9" r:id="rId6" xr:uid="{45252EF5-AE51-455A-B16A-CAF89BA86787}"/>
    <hyperlink ref="A22" r:id="rId7" xr:uid="{DB5A8EBB-314F-40C0-A1A2-733DABCB84EF}"/>
    <hyperlink ref="A20" r:id="rId8" xr:uid="{AEC8B2B8-9636-46CE-9112-34E54202587F}"/>
    <hyperlink ref="A21" r:id="rId9" xr:uid="{1C09AC80-63FB-4192-B6A4-1C202F547EB3}"/>
    <hyperlink ref="A28" r:id="rId10" xr:uid="{B774C7BD-8076-4848-A8DF-E7629F75F5F5}"/>
    <hyperlink ref="A37" r:id="rId11" xr:uid="{6B47BDD3-D569-41E6-9C43-2A3222187A57}"/>
    <hyperlink ref="A40" r:id="rId12" xr:uid="{23B78271-FBB8-41B7-B91A-FAB82BD9869F}"/>
    <hyperlink ref="A15" r:id="rId13" xr:uid="{F3C8CB3B-646F-4E3D-97A9-39EB1AF6B5A8}"/>
    <hyperlink ref="A14" r:id="rId14" xr:uid="{78C4CA2B-2FDE-42EF-BE8A-81FFCC7CDBE2}"/>
    <hyperlink ref="A23" r:id="rId15" xr:uid="{CF6079C6-1ABF-44E6-9BD0-D3DB3721D75F}"/>
    <hyperlink ref="A33" r:id="rId16" xr:uid="{EC362A50-AFB9-4923-BCEC-EB66D8F890CF}"/>
    <hyperlink ref="A39" r:id="rId17" xr:uid="{FF3A76FB-27AC-42EE-A742-9817C5ECB892}"/>
    <hyperlink ref="A45" r:id="rId18" xr:uid="{0EB13AAE-06FC-4F5D-8069-E242CC5DFE99}"/>
    <hyperlink ref="A44" r:id="rId19" xr:uid="{7282913A-D6DE-411D-A286-7811BA61A67E}"/>
    <hyperlink ref="A49" r:id="rId20" xr:uid="{9767FF09-38CD-48F0-8353-1EF57D24C499}"/>
    <hyperlink ref="A51" r:id="rId21" xr:uid="{27D72FF3-048A-4D97-B8FF-3BF4FD15207F}"/>
    <hyperlink ref="A47" r:id="rId22" xr:uid="{5DE3A554-7F6D-4787-9B98-1009B7A96981}"/>
    <hyperlink ref="A55" r:id="rId23" xr:uid="{CABFDAC6-6172-4DB0-8FD5-EC109740B062}"/>
    <hyperlink ref="A54" r:id="rId24" xr:uid="{0116C61F-84AE-415C-8B8B-50BB421B7A1D}"/>
    <hyperlink ref="A57" r:id="rId25" xr:uid="{37646734-2E3A-4F3E-8A60-24F76D8268BB}"/>
    <hyperlink ref="A59" r:id="rId26" xr:uid="{CFED83E5-7E1C-42AE-BADC-4022785197B7}"/>
    <hyperlink ref="A25" r:id="rId27" xr:uid="{4298A86D-0F1F-435C-9502-BBE7E8E7D321}"/>
    <hyperlink ref="A30" r:id="rId28" xr:uid="{8988F255-F29E-4713-B9CB-9C64558DEFF9}"/>
    <hyperlink ref="A84" r:id="rId29" xr:uid="{847616D3-E489-49F4-AE50-A38376EF355E}"/>
    <hyperlink ref="A62" r:id="rId30" xr:uid="{3A939301-BDC6-4E91-95DB-55999D47C2F5}"/>
    <hyperlink ref="A38" r:id="rId31" xr:uid="{2E224323-1539-4595-8D2B-086F95970428}"/>
    <hyperlink ref="A29" r:id="rId32" xr:uid="{35FF2DFF-8CC7-4E75-BDA4-67221B2B17EC}"/>
    <hyperlink ref="A95" r:id="rId33" xr:uid="{F274A588-D351-45DA-BD86-296DC8C02339}"/>
    <hyperlink ref="A102" r:id="rId34" xr:uid="{8716698F-2016-410A-8CF1-077C85D0091A}"/>
    <hyperlink ref="A94" r:id="rId35" xr:uid="{A47D343A-0AE9-4BD9-A3D2-58660005754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6" tint="0.39997558519241921"/>
    <outlinePr summaryBelow="0" summaryRight="0"/>
  </sheetPr>
  <dimension ref="A1:M168"/>
  <sheetViews>
    <sheetView workbookViewId="0">
      <pane xSplit="2" ySplit="2" topLeftCell="C3" activePane="bottomRight" state="frozen"/>
      <selection pane="topRight" activeCell="C1" sqref="C1"/>
      <selection pane="bottomLeft" activeCell="A3" sqref="A3"/>
      <selection pane="bottomRight" activeCell="A61" sqref="A61"/>
    </sheetView>
  </sheetViews>
  <sheetFormatPr defaultColWidth="17.33203125" defaultRowHeight="15.75" customHeight="1"/>
  <cols>
    <col min="1" max="1" width="15.6640625" customWidth="1"/>
    <col min="2" max="2" width="19.88671875" customWidth="1"/>
    <col min="3" max="3" width="6.88671875" customWidth="1"/>
    <col min="4" max="4" width="7.5546875" customWidth="1"/>
    <col min="5" max="5" width="8.44140625" customWidth="1"/>
    <col min="6" max="6" width="8.6640625" customWidth="1"/>
    <col min="7" max="7" width="10" customWidth="1"/>
    <col min="8" max="9" width="8.5546875" customWidth="1"/>
    <col min="10" max="12" width="10" customWidth="1"/>
    <col min="13" max="13" width="75.44140625" customWidth="1"/>
  </cols>
  <sheetData>
    <row r="1" spans="1:13" ht="15.75" customHeight="1">
      <c r="A1" s="156" t="s">
        <v>135</v>
      </c>
      <c r="B1" s="43" t="s">
        <v>136</v>
      </c>
      <c r="C1" s="44" t="s">
        <v>137</v>
      </c>
      <c r="D1" s="45" t="s">
        <v>138</v>
      </c>
      <c r="E1" s="45" t="s">
        <v>139</v>
      </c>
      <c r="F1" s="44" t="s">
        <v>140</v>
      </c>
      <c r="G1" s="45" t="s">
        <v>141</v>
      </c>
      <c r="H1" s="45" t="s">
        <v>142</v>
      </c>
      <c r="I1" s="45" t="s">
        <v>143</v>
      </c>
      <c r="J1" s="44" t="s">
        <v>144</v>
      </c>
      <c r="K1" s="44" t="s">
        <v>145</v>
      </c>
      <c r="L1" s="44" t="s">
        <v>146</v>
      </c>
      <c r="M1" s="46" t="s">
        <v>147</v>
      </c>
    </row>
    <row r="2" spans="1:13" ht="15.75" customHeight="1">
      <c r="A2" s="157"/>
      <c r="B2" s="158" t="s">
        <v>148</v>
      </c>
      <c r="C2" s="49">
        <f>COUNTIF(C3:C10556, "AC")</f>
        <v>0</v>
      </c>
      <c r="D2" s="50" t="e">
        <f ca="1">ROUND(SUMPRODUCT(D3:D10556,INT(EQ(C3:C10556, "AC")))/MAX(1, C2),1)</f>
        <v>#NAME?</v>
      </c>
      <c r="E2" s="50" t="e">
        <f ca="1">ROUND(SUMPRODUCT(E3:E10578,INT(EQ(C3:C10578, "AC")))/MAX(1, C2),0)</f>
        <v>#NAME?</v>
      </c>
      <c r="F2" s="50" t="e">
        <f ca="1">ROUND(SUMPRODUCT(F3:F10581,INT(EQ(C3:C10581, "AC")))/MAX(1, C2),0)</f>
        <v>#NAME?</v>
      </c>
      <c r="G2" s="50" t="e">
        <f ca="1">ROUND(SUMPRODUCT(G3:G10581,INT(EQ(C3:C10581, "AC")))/MAX(1, C2),0)</f>
        <v>#NAME?</v>
      </c>
      <c r="H2" s="50" t="e">
        <f ca="1">ROUND(SUMPRODUCT(H3:H10581,INT(EQ(C3:C10581, "AC")))/MAX(1, C2),0)</f>
        <v>#NAME?</v>
      </c>
      <c r="I2" s="50" t="e">
        <f ca="1">ROUND(SUMPRODUCT(I3:I10553,INT(EQ(C3:C10553, "AC")))/MAX(1, C2),0)</f>
        <v>#NAME?</v>
      </c>
      <c r="J2" s="50" t="e">
        <f ca="1">ROUND(SUMPRODUCT(J3:J10551,INT(EQ(C3:C10551, "AC")))/MAX(1, C2),1)</f>
        <v>#NAME?</v>
      </c>
      <c r="K2" s="50" t="e">
        <f ca="1">SUMPRODUCT(EQ(K3:K10556, "YES"),INT(EQ(C3:C10581, "AC")))</f>
        <v>#NAME?</v>
      </c>
      <c r="L2" s="51">
        <f ca="1">IFERROR(__xludf.DUMMYFUNCTION("COUNTA(FILTER(C3:C10048, NOT(REGEXMATCH(C3:C10048, ""AC""))))"),0)</f>
        <v>0</v>
      </c>
      <c r="M2" s="52">
        <f ca="1">IFERROR(__xludf.DUMMYFUNCTION("COUNTA(FILTER(C3:C10042, NOT(REGEXMATCH(C3:C10042, ""AC""))))"),0)</f>
        <v>0</v>
      </c>
    </row>
    <row r="3" spans="1:13" ht="15.75" customHeight="1">
      <c r="C3" s="159"/>
      <c r="D3" s="159"/>
      <c r="E3" s="159"/>
      <c r="F3" s="159"/>
      <c r="G3" s="159"/>
      <c r="H3" s="160"/>
      <c r="I3" s="57">
        <f t="shared" ref="I3:I168" si="0">SUM(E3:H3)</f>
        <v>0</v>
      </c>
      <c r="J3" s="62"/>
      <c r="K3" s="56"/>
      <c r="L3" s="159"/>
      <c r="M3" s="262" t="str">
        <f>HYPERLINK("https://www.youtube.com/watch?v=xVMe4JSEQo0&amp;index=14&amp;list=PLPt2dINI2MIb4OXlJ_EEwIDV9WVUpRQ5K","Graph Theory - SCC (2 vid)")</f>
        <v>Graph Theory - SCC (2 vid)</v>
      </c>
    </row>
    <row r="4" spans="1:13" ht="15.75" customHeight="1">
      <c r="A4" s="276" t="s">
        <v>1086</v>
      </c>
      <c r="B4" s="316" t="str">
        <f>HYPERLINK("http://www.spoj.com/problems/BOTTOM/","SPOJ BOTTOM")</f>
        <v>SPOJ BOTTOM</v>
      </c>
      <c r="C4" s="159"/>
      <c r="D4" s="159"/>
      <c r="E4" s="159"/>
      <c r="F4" s="159"/>
      <c r="G4" s="159"/>
      <c r="H4" s="160"/>
      <c r="I4" s="57">
        <f t="shared" si="0"/>
        <v>0</v>
      </c>
      <c r="J4" s="62"/>
      <c r="K4" s="56"/>
      <c r="L4" s="29"/>
      <c r="M4" s="184" t="str">
        <f>HYPERLINK("https://github.com/BRAINOOOO/CompetitiveProgramming/blob/master/Spoj/SPOJ%20BOTTOM.Cpp","Sol")</f>
        <v>Sol</v>
      </c>
    </row>
    <row r="5" spans="1:13" ht="15.75" customHeight="1">
      <c r="A5" s="317" t="s">
        <v>1087</v>
      </c>
      <c r="B5" s="347" t="str">
        <f>HYPERLINK("https://uva.onlinejudge.org/index.php?option=onlinejudge&amp;page=show_problem&amp;problem=1672","UVA 10731")</f>
        <v>UVA 10731</v>
      </c>
      <c r="C5" s="159"/>
      <c r="D5" s="159"/>
      <c r="E5" s="159"/>
      <c r="F5" s="159"/>
      <c r="G5" s="159"/>
      <c r="H5" s="160"/>
      <c r="I5" s="57">
        <f t="shared" si="0"/>
        <v>0</v>
      </c>
      <c r="J5" s="93"/>
      <c r="K5" s="92"/>
      <c r="L5" s="29"/>
      <c r="M5" s="184" t="str">
        <f>HYPERLINK("https://github.com/goar5670/CompetitiveProgramming/blob/master/UVA%2010731.cpp","Sol")</f>
        <v>Sol</v>
      </c>
    </row>
    <row r="6" spans="1:13" ht="15.75" customHeight="1">
      <c r="A6" s="317"/>
      <c r="B6" s="317" t="s">
        <v>1088</v>
      </c>
      <c r="C6" s="159"/>
      <c r="D6" s="159"/>
      <c r="E6" s="159"/>
      <c r="F6" s="159"/>
      <c r="G6" s="159"/>
      <c r="H6" s="160"/>
      <c r="I6" s="57">
        <f t="shared" si="0"/>
        <v>0</v>
      </c>
      <c r="J6" s="26"/>
      <c r="K6" s="29"/>
      <c r="L6" s="29"/>
    </row>
    <row r="7" spans="1:13" ht="15.75" customHeight="1">
      <c r="A7" s="317"/>
      <c r="B7" s="348" t="str">
        <f>HYPERLINK("http://codeforces.com/contest/467/problem/D","CF467-D2-D")</f>
        <v>CF467-D2-D</v>
      </c>
      <c r="C7" s="159"/>
      <c r="D7" s="159"/>
      <c r="E7" s="159"/>
      <c r="F7" s="159"/>
      <c r="G7" s="159"/>
      <c r="H7" s="160"/>
      <c r="I7" s="57">
        <f t="shared" si="0"/>
        <v>0</v>
      </c>
      <c r="J7" s="26"/>
      <c r="K7" s="29"/>
      <c r="L7" s="29"/>
    </row>
    <row r="8" spans="1:13" ht="15.75" customHeight="1">
      <c r="A8" s="279" t="s">
        <v>1089</v>
      </c>
      <c r="B8" s="349" t="str">
        <f>HYPERLINK("http://codeforces.com/contest/676/problem/D","CF676-D2-D")</f>
        <v>CF676-D2-D</v>
      </c>
      <c r="C8" s="159"/>
      <c r="D8" s="159"/>
      <c r="E8" s="159"/>
      <c r="F8" s="159"/>
      <c r="G8" s="159"/>
      <c r="H8" s="160"/>
      <c r="I8" s="57">
        <f t="shared" si="0"/>
        <v>0</v>
      </c>
      <c r="J8" s="93"/>
      <c r="K8" s="92"/>
      <c r="L8" s="29"/>
    </row>
    <row r="9" spans="1:13" ht="15.75" customHeight="1">
      <c r="A9" s="279" t="s">
        <v>1090</v>
      </c>
      <c r="B9" s="350" t="str">
        <f>HYPERLINK("http://codeforces.com/contest/418/problem/B","CF418-D1-B")</f>
        <v>CF418-D1-B</v>
      </c>
      <c r="C9" s="159"/>
      <c r="D9" s="159"/>
      <c r="E9" s="159"/>
      <c r="F9" s="159"/>
      <c r="G9" s="159"/>
      <c r="H9" s="160"/>
      <c r="I9" s="57">
        <f t="shared" si="0"/>
        <v>0</v>
      </c>
      <c r="J9" s="62"/>
      <c r="K9" s="56"/>
      <c r="L9" s="29"/>
    </row>
    <row r="10" spans="1:13" ht="15.75" customHeight="1">
      <c r="A10" s="279" t="s">
        <v>1091</v>
      </c>
      <c r="B10" s="350" t="str">
        <f>HYPERLINK("https://uva.onlinejudge.org/index.php?option=onlinejudge&amp;page=show_problem&amp;problem=1421","UVA 10480")</f>
        <v>UVA 10480</v>
      </c>
      <c r="C10" s="159"/>
      <c r="D10" s="159"/>
      <c r="E10" s="159"/>
      <c r="F10" s="159"/>
      <c r="G10" s="159"/>
      <c r="H10" s="160"/>
      <c r="I10" s="57">
        <f t="shared" si="0"/>
        <v>0</v>
      </c>
      <c r="J10" s="62"/>
      <c r="K10" s="56"/>
      <c r="L10" s="29"/>
      <c r="M10" s="184" t="str">
        <f>HYPERLINK("https://github.com/abdullaAshraf/Problem-Solving/blob/master/UVA/10480.cpp","Sol")</f>
        <v>Sol</v>
      </c>
    </row>
    <row r="11" spans="1:13" ht="15.75" customHeight="1">
      <c r="A11" s="263"/>
      <c r="B11" s="279" t="s">
        <v>1092</v>
      </c>
      <c r="C11" s="159"/>
      <c r="D11" s="159"/>
      <c r="E11" s="159"/>
      <c r="F11" s="159"/>
      <c r="G11" s="159"/>
      <c r="H11" s="160"/>
      <c r="I11" s="57">
        <f t="shared" si="0"/>
        <v>0</v>
      </c>
      <c r="J11" s="62"/>
      <c r="K11" s="56"/>
      <c r="L11" s="29"/>
    </row>
    <row r="12" spans="1:13" ht="15.75" customHeight="1">
      <c r="A12" s="351" t="s">
        <v>526</v>
      </c>
      <c r="B12" s="352" t="str">
        <f>HYPERLINK("https://uva.onlinejudge.org/index.php?option=onlinejudge&amp;page=show_problem&amp;problem=4330","UVA 1555")</f>
        <v>UVA 1555</v>
      </c>
      <c r="C12" s="159"/>
      <c r="D12" s="159"/>
      <c r="E12" s="159"/>
      <c r="F12" s="159"/>
      <c r="G12" s="159"/>
      <c r="H12" s="160"/>
      <c r="I12" s="57">
        <f t="shared" si="0"/>
        <v>0</v>
      </c>
      <c r="J12" s="93"/>
      <c r="K12" s="92"/>
      <c r="L12" s="29"/>
      <c r="M12" s="184" t="str">
        <f>HYPERLINK("https://github.com/achrafmam2/CompetitiveProgramming/blob/master/UVA/1555.cc","Sol")</f>
        <v>Sol</v>
      </c>
    </row>
    <row r="13" spans="1:13" ht="15.75" customHeight="1">
      <c r="A13" s="351"/>
      <c r="B13" s="353" t="str">
        <f>HYPERLINK("http://codeforces.com/gym/101589/problem/F","CF101589-GYM-F")</f>
        <v>CF101589-GYM-F</v>
      </c>
      <c r="C13" s="159"/>
      <c r="D13" s="159"/>
      <c r="E13" s="159"/>
      <c r="F13" s="159"/>
      <c r="G13" s="159"/>
      <c r="H13" s="160"/>
      <c r="I13" s="57">
        <f t="shared" si="0"/>
        <v>0</v>
      </c>
      <c r="J13" s="93"/>
      <c r="K13" s="92"/>
      <c r="L13" s="29"/>
      <c r="M13" s="184" t="str">
        <f>HYPERLINK("https://github.com/SpeedOfMagic/CompetitiveProgramming/blob/master/CodeforcesGym/CF101589-GYM-F.cpp","Sol")</f>
        <v>Sol</v>
      </c>
    </row>
    <row r="14" spans="1:13" ht="15.75" customHeight="1">
      <c r="A14" s="351"/>
      <c r="B14" s="353" t="str">
        <f>HYPERLINK("http://codeforces.com/problemset/problem/1016/D","CF1016-D12-D")</f>
        <v>CF1016-D12-D</v>
      </c>
      <c r="C14" s="159"/>
      <c r="D14" s="159"/>
      <c r="E14" s="159"/>
      <c r="F14" s="159"/>
      <c r="G14" s="159"/>
      <c r="H14" s="160"/>
      <c r="I14" s="57">
        <f t="shared" si="0"/>
        <v>0</v>
      </c>
      <c r="J14" s="93"/>
      <c r="K14" s="92"/>
      <c r="L14" s="29"/>
    </row>
    <row r="15" spans="1:13" ht="15.75" customHeight="1">
      <c r="A15" s="351"/>
      <c r="B15" s="353" t="str">
        <f>HYPERLINK("http://codeforces.com/contest/26/problem/D","CF26-D12-D")</f>
        <v>CF26-D12-D</v>
      </c>
      <c r="C15" s="159"/>
      <c r="D15" s="159"/>
      <c r="E15" s="159"/>
      <c r="F15" s="159"/>
      <c r="G15" s="159"/>
      <c r="H15" s="160"/>
      <c r="I15" s="57">
        <f t="shared" si="0"/>
        <v>0</v>
      </c>
      <c r="J15" s="93"/>
      <c r="K15" s="92"/>
      <c r="L15" s="29"/>
      <c r="M15" s="184" t="str">
        <f>HYPERLINK("https://github.com/mostafa-saad/MyCompetitiveProgramming/blob/master/Codeforces/CF26-D12-D.txt","Sol - must read")</f>
        <v>Sol - must read</v>
      </c>
    </row>
    <row r="16" spans="1:13" ht="15.75" customHeight="1">
      <c r="A16" s="351"/>
      <c r="B16" s="353" t="str">
        <f>HYPERLINK("http://codeforces.com/contest/1012/problem/B","CF1012-D1-B")</f>
        <v>CF1012-D1-B</v>
      </c>
      <c r="C16" s="159"/>
      <c r="D16" s="159"/>
      <c r="E16" s="159"/>
      <c r="F16" s="159"/>
      <c r="G16" s="159"/>
      <c r="H16" s="160"/>
      <c r="I16" s="57">
        <f t="shared" si="0"/>
        <v>0</v>
      </c>
      <c r="J16" s="93"/>
      <c r="K16" s="92"/>
      <c r="L16" s="29"/>
    </row>
    <row r="17" spans="1:13" ht="15.75" customHeight="1">
      <c r="A17" s="351"/>
      <c r="B17" s="353" t="str">
        <f>HYPERLINK("http://codeforces.com/contest/1010/problem/C","CF1010-D1-C")</f>
        <v>CF1010-D1-C</v>
      </c>
      <c r="C17" s="159"/>
      <c r="D17" s="159"/>
      <c r="E17" s="159"/>
      <c r="F17" s="159"/>
      <c r="G17" s="159"/>
      <c r="H17" s="160"/>
      <c r="I17" s="57">
        <f t="shared" si="0"/>
        <v>0</v>
      </c>
      <c r="J17" s="93"/>
      <c r="K17" s="92"/>
      <c r="L17" s="29"/>
    </row>
    <row r="18" spans="1:13" ht="15.75" customHeight="1">
      <c r="A18" s="351"/>
      <c r="B18" s="353" t="str">
        <f>HYPERLINK("http://codeforces.com/contest/633/problem/D","CF633-D12-D")</f>
        <v>CF633-D12-D</v>
      </c>
      <c r="C18" s="159"/>
      <c r="D18" s="159"/>
      <c r="E18" s="159"/>
      <c r="F18" s="159"/>
      <c r="G18" s="159"/>
      <c r="H18" s="160"/>
      <c r="I18" s="57">
        <f t="shared" si="0"/>
        <v>0</v>
      </c>
      <c r="J18" s="93"/>
      <c r="K18" s="92"/>
      <c r="L18" s="29"/>
    </row>
    <row r="19" spans="1:13" ht="15.75" customHeight="1">
      <c r="A19" s="351"/>
      <c r="B19" s="353" t="str">
        <f>HYPERLINK("https://www.hackerrank.com/challenges/house-location","HACKR house-location")</f>
        <v>HACKR house-location</v>
      </c>
      <c r="C19" s="159"/>
      <c r="D19" s="159"/>
      <c r="E19" s="159"/>
      <c r="F19" s="159"/>
      <c r="G19" s="159"/>
      <c r="H19" s="160"/>
      <c r="I19" s="57">
        <f t="shared" si="0"/>
        <v>0</v>
      </c>
      <c r="J19" s="93"/>
      <c r="K19" s="92"/>
      <c r="L19" s="29"/>
      <c r="M19" s="184" t="str">
        <f>HYPERLINK("https://github.com/arvindr9/CompetitiveProgramming/blob/master/Hackerrank/HACKR%20house-location.cpp","Sol")</f>
        <v>Sol</v>
      </c>
    </row>
    <row r="20" spans="1:13" ht="15.75" customHeight="1">
      <c r="A20" s="351"/>
      <c r="B20" s="353" t="str">
        <f>HYPERLINK("http://codeforces.com/contest/621/problem/D","CF621-D2-D")</f>
        <v>CF621-D2-D</v>
      </c>
      <c r="C20" s="159"/>
      <c r="D20" s="159"/>
      <c r="E20" s="159"/>
      <c r="F20" s="159"/>
      <c r="G20" s="159"/>
      <c r="H20" s="160"/>
      <c r="I20" s="57">
        <f t="shared" si="0"/>
        <v>0</v>
      </c>
      <c r="J20" s="93"/>
      <c r="K20" s="92"/>
      <c r="L20" s="29"/>
      <c r="M20" s="184" t="str">
        <f>HYPERLINK("https://github.com/MedoN11/CompetitiveProgramming/blob/master/CodeForces/CF621-D2-D-Complex.cpp","Sol")</f>
        <v>Sol</v>
      </c>
    </row>
    <row r="21" spans="1:13" ht="15.75" customHeight="1">
      <c r="A21" s="351"/>
      <c r="B21" s="353" t="str">
        <f>HYPERLINK("https://codeforces.com/gym/101992/problem/D","CF101992-GYM-D")</f>
        <v>CF101992-GYM-D</v>
      </c>
      <c r="C21" s="159"/>
      <c r="D21" s="159"/>
      <c r="E21" s="159"/>
      <c r="F21" s="159"/>
      <c r="G21" s="159"/>
      <c r="H21" s="160"/>
      <c r="I21" s="57">
        <f t="shared" si="0"/>
        <v>0</v>
      </c>
      <c r="J21" s="93"/>
      <c r="K21" s="92"/>
      <c r="L21" s="29"/>
      <c r="M21" s="184" t="str">
        <f>HYPERLINK("https://ideone.com/bDMQGD","Sol")</f>
        <v>Sol</v>
      </c>
    </row>
    <row r="22" spans="1:13" ht="15.75" customHeight="1">
      <c r="A22" s="351"/>
      <c r="B22" s="351" t="s">
        <v>1093</v>
      </c>
      <c r="C22" s="159"/>
      <c r="D22" s="159"/>
      <c r="E22" s="159"/>
      <c r="F22" s="159"/>
      <c r="G22" s="159"/>
      <c r="H22" s="160"/>
      <c r="I22" s="57">
        <f t="shared" si="0"/>
        <v>0</v>
      </c>
      <c r="J22" s="26"/>
      <c r="K22" s="29"/>
      <c r="L22" s="29"/>
      <c r="M22" s="184" t="str">
        <f>HYPERLINK("https://github.com/mostafa-saad/MyCompetitiveProgramming/blob/master/TopCoder/SRM608-D2-1000.txt","Sol")</f>
        <v>Sol</v>
      </c>
    </row>
    <row r="23" spans="1:13" ht="15.75" customHeight="1">
      <c r="A23" s="166"/>
      <c r="C23" s="159"/>
      <c r="D23" s="159"/>
      <c r="E23" s="159"/>
      <c r="F23" s="159"/>
      <c r="G23" s="159"/>
      <c r="H23" s="160"/>
      <c r="I23" s="57">
        <f t="shared" si="0"/>
        <v>0</v>
      </c>
      <c r="J23" s="62"/>
      <c r="K23" s="56"/>
      <c r="L23" s="29"/>
    </row>
    <row r="24" spans="1:13" ht="15.75" customHeight="1">
      <c r="A24" s="166" t="s">
        <v>1094</v>
      </c>
      <c r="B24" s="354" t="str">
        <f>HYPERLINK("http://codeforces.com/contest/681/problem/D","CF681-D2-D")</f>
        <v>CF681-D2-D</v>
      </c>
      <c r="C24" s="159"/>
      <c r="D24" s="159"/>
      <c r="E24" s="159"/>
      <c r="F24" s="159"/>
      <c r="G24" s="159"/>
      <c r="H24" s="160"/>
      <c r="I24" s="57">
        <f t="shared" si="0"/>
        <v>0</v>
      </c>
      <c r="J24" s="62"/>
      <c r="K24" s="56"/>
      <c r="L24" s="29"/>
    </row>
    <row r="25" spans="1:13" ht="15.75" customHeight="1">
      <c r="A25" s="166" t="s">
        <v>1095</v>
      </c>
      <c r="B25" s="354" t="str">
        <f>HYPERLINK("http://codeforces.com/contest/447/problem/D","CF447-D2-D")</f>
        <v>CF447-D2-D</v>
      </c>
      <c r="C25" s="159"/>
      <c r="D25" s="159"/>
      <c r="E25" s="159"/>
      <c r="F25" s="159"/>
      <c r="G25" s="159"/>
      <c r="H25" s="160"/>
      <c r="I25" s="57">
        <f t="shared" si="0"/>
        <v>0</v>
      </c>
      <c r="J25" s="62"/>
      <c r="K25" s="56"/>
      <c r="M25" s="37" t="s">
        <v>1096</v>
      </c>
    </row>
    <row r="26" spans="1:13" ht="15.75" customHeight="1">
      <c r="A26" s="166" t="s">
        <v>1097</v>
      </c>
      <c r="B26" s="354" t="str">
        <f>HYPERLINK("http://codeforces.com/contest/548/problem/D","CF548-D2-D")</f>
        <v>CF548-D2-D</v>
      </c>
      <c r="C26" s="159"/>
      <c r="D26" s="159"/>
      <c r="E26" s="159"/>
      <c r="F26" s="159"/>
      <c r="G26" s="159"/>
      <c r="H26" s="160"/>
      <c r="I26" s="57">
        <f t="shared" si="0"/>
        <v>0</v>
      </c>
      <c r="J26" s="62"/>
      <c r="K26" s="56"/>
    </row>
    <row r="27" spans="1:13" ht="15.75" customHeight="1">
      <c r="A27" s="166" t="s">
        <v>1098</v>
      </c>
      <c r="B27" s="354" t="str">
        <f>HYPERLINK("http://codeforces.com/contest/435/problem/D","CF435-D2-D")</f>
        <v>CF435-D2-D</v>
      </c>
      <c r="C27" s="159"/>
      <c r="D27" s="159"/>
      <c r="E27" s="159"/>
      <c r="F27" s="159"/>
      <c r="G27" s="159"/>
      <c r="H27" s="160"/>
      <c r="I27" s="57">
        <f t="shared" si="0"/>
        <v>0</v>
      </c>
      <c r="J27" s="62"/>
      <c r="K27" s="56"/>
    </row>
    <row r="28" spans="1:13" ht="15.75" customHeight="1">
      <c r="A28" s="166" t="s">
        <v>1099</v>
      </c>
      <c r="B28" s="354" t="str">
        <f>HYPERLINK("http://codeforces.com/contest/401/problem/D","CF401-D2-D")</f>
        <v>CF401-D2-D</v>
      </c>
      <c r="C28" s="159"/>
      <c r="D28" s="159"/>
      <c r="E28" s="159"/>
      <c r="F28" s="159"/>
      <c r="G28" s="159"/>
      <c r="H28" s="160"/>
      <c r="I28" s="57">
        <f t="shared" si="0"/>
        <v>0</v>
      </c>
      <c r="J28" s="62"/>
      <c r="K28" s="56"/>
    </row>
    <row r="29" spans="1:13" ht="15.75" customHeight="1">
      <c r="A29" s="166" t="s">
        <v>1100</v>
      </c>
      <c r="B29" s="354" t="str">
        <f>HYPERLINK("http://codeforces.com/contest/707/problem/D","CF707-D2-D")</f>
        <v>CF707-D2-D</v>
      </c>
      <c r="C29" s="159"/>
      <c r="D29" s="159"/>
      <c r="E29" s="159"/>
      <c r="F29" s="159"/>
      <c r="G29" s="159"/>
      <c r="H29" s="160"/>
      <c r="I29" s="57">
        <f t="shared" si="0"/>
        <v>0</v>
      </c>
      <c r="J29" s="62"/>
      <c r="K29" s="56"/>
      <c r="M29" s="184" t="str">
        <f>HYPERLINK("https://github.com/AbdelrahmanRamadan/competitive-programming/blob/master/Codeforces/CF707-D2-D.cpp","Sol")</f>
        <v>Sol</v>
      </c>
    </row>
    <row r="30" spans="1:13" ht="15.75" customHeight="1">
      <c r="A30" s="86" t="s">
        <v>1101</v>
      </c>
      <c r="B30" s="87" t="str">
        <f>HYPERLINK("http://codeforces.com/contest/550/problem/D","CF550-D2-D")</f>
        <v>CF550-D2-D</v>
      </c>
      <c r="C30" s="159"/>
      <c r="D30" s="159"/>
      <c r="E30" s="159"/>
      <c r="F30" s="159"/>
      <c r="G30" s="159"/>
      <c r="H30" s="160"/>
      <c r="I30" s="57">
        <f t="shared" si="0"/>
        <v>0</v>
      </c>
      <c r="J30" s="93"/>
      <c r="K30" s="92"/>
      <c r="M30" s="29"/>
    </row>
    <row r="31" spans="1:13" ht="15.75" customHeight="1">
      <c r="A31" s="86"/>
      <c r="B31" s="87" t="str">
        <f>HYPERLINK("https://codeforces.com/contest/1059/problem/D","CF1059-D2-D")</f>
        <v>CF1059-D2-D</v>
      </c>
      <c r="C31" s="159"/>
      <c r="D31" s="159"/>
      <c r="E31" s="159"/>
      <c r="F31" s="159"/>
      <c r="G31" s="159"/>
      <c r="H31" s="160"/>
      <c r="I31" s="57">
        <f t="shared" si="0"/>
        <v>0</v>
      </c>
      <c r="J31" s="93"/>
      <c r="K31" s="92"/>
      <c r="M31" s="29"/>
    </row>
    <row r="32" spans="1:13" ht="15.75" customHeight="1">
      <c r="A32" s="214" t="s">
        <v>1102</v>
      </c>
      <c r="B32" s="286" t="str">
        <f>HYPERLINK("http://codeforces.com/contest/255/problem/C","CF255-D2-C")</f>
        <v>CF255-D2-C</v>
      </c>
      <c r="C32" s="159"/>
      <c r="D32" s="159"/>
      <c r="E32" s="159"/>
      <c r="F32" s="159"/>
      <c r="G32" s="159"/>
      <c r="H32" s="160"/>
      <c r="I32" s="57">
        <f t="shared" si="0"/>
        <v>0</v>
      </c>
      <c r="J32" s="93"/>
      <c r="K32" s="92"/>
      <c r="M32" s="29"/>
    </row>
    <row r="33" spans="1:13" ht="13.2">
      <c r="A33" s="214" t="s">
        <v>1103</v>
      </c>
      <c r="B33" s="286" t="str">
        <f>HYPERLINK("http://codeforces.com/contest/59/problem/C","CF59-D2-C")</f>
        <v>CF59-D2-C</v>
      </c>
      <c r="C33" s="159"/>
      <c r="D33" s="159"/>
      <c r="E33" s="159"/>
      <c r="F33" s="159"/>
      <c r="G33" s="159"/>
      <c r="H33" s="160"/>
      <c r="I33" s="57">
        <f t="shared" si="0"/>
        <v>0</v>
      </c>
      <c r="J33" s="93"/>
      <c r="K33" s="92"/>
      <c r="M33" s="29"/>
    </row>
    <row r="34" spans="1:13" ht="13.2">
      <c r="A34" s="214" t="s">
        <v>1104</v>
      </c>
      <c r="B34" s="286" t="str">
        <f>HYPERLINK("http://codeforces.com/contest/495/problem/C","CF495-D2-C")</f>
        <v>CF495-D2-C</v>
      </c>
      <c r="C34" s="159"/>
      <c r="D34" s="159"/>
      <c r="E34" s="159"/>
      <c r="F34" s="159"/>
      <c r="G34" s="159"/>
      <c r="H34" s="160"/>
      <c r="I34" s="57">
        <f t="shared" si="0"/>
        <v>0</v>
      </c>
      <c r="J34" s="93"/>
      <c r="K34" s="92"/>
      <c r="M34" s="29"/>
    </row>
    <row r="35" spans="1:13" ht="13.2">
      <c r="A35" s="166"/>
      <c r="C35" s="159"/>
      <c r="D35" s="159"/>
      <c r="E35" s="159"/>
      <c r="F35" s="159"/>
      <c r="G35" s="159"/>
      <c r="H35" s="160"/>
      <c r="I35" s="57">
        <f t="shared" si="0"/>
        <v>0</v>
      </c>
      <c r="J35" s="62"/>
      <c r="K35" s="56"/>
      <c r="M35" s="29"/>
    </row>
    <row r="36" spans="1:13" ht="13.2">
      <c r="A36" s="318" t="s">
        <v>1105</v>
      </c>
      <c r="B36" s="355" t="str">
        <f>HYPERLINK("http://acm.zju.edu.cn/onlinejudge/showProblem.do?problemCode=2587","ZOJ 2587")</f>
        <v>ZOJ 2587</v>
      </c>
      <c r="C36" s="159"/>
      <c r="D36" s="159"/>
      <c r="E36" s="159"/>
      <c r="F36" s="159"/>
      <c r="G36" s="159"/>
      <c r="H36" s="160"/>
      <c r="I36" s="57">
        <f t="shared" si="0"/>
        <v>0</v>
      </c>
      <c r="J36" s="62"/>
      <c r="K36" s="56"/>
      <c r="M36" s="29"/>
    </row>
    <row r="37" spans="1:13" ht="13.2">
      <c r="A37" s="318" t="s">
        <v>1106</v>
      </c>
      <c r="B37" s="356" t="str">
        <f>HYPERLINK("http://www.spoj.com/problems/DCEPC12E","SPOJ DCEPC12E")</f>
        <v>SPOJ DCEPC12E</v>
      </c>
      <c r="C37" s="159"/>
      <c r="D37" s="159"/>
      <c r="E37" s="159"/>
      <c r="F37" s="159"/>
      <c r="G37" s="159"/>
      <c r="H37" s="160"/>
      <c r="I37" s="57">
        <f t="shared" si="0"/>
        <v>0</v>
      </c>
      <c r="J37" s="62"/>
      <c r="K37" s="56"/>
      <c r="M37" s="29"/>
    </row>
    <row r="38" spans="1:13" ht="13.2">
      <c r="A38" s="318" t="s">
        <v>1107</v>
      </c>
      <c r="B38" s="350" t="str">
        <f>HYPERLINK("https://uva.onlinejudge.org/index.php?option=onlinejudge&amp;page=show_problem&amp;problem=563","UVA 622")</f>
        <v>UVA 622</v>
      </c>
      <c r="C38" s="159"/>
      <c r="D38" s="159"/>
      <c r="E38" s="159"/>
      <c r="F38" s="159"/>
      <c r="G38" s="159"/>
      <c r="H38" s="160"/>
      <c r="I38" s="57">
        <f t="shared" si="0"/>
        <v>0</v>
      </c>
      <c r="J38" s="62"/>
      <c r="K38" s="56"/>
      <c r="M38" s="184" t="str">
        <f>HYPERLINK("https://github.com/mostafa-saad/MyCompetitiveProgramming/blob/master/UVA/622.cpp","Sol")</f>
        <v>Sol</v>
      </c>
    </row>
    <row r="39" spans="1:13" ht="13.2">
      <c r="A39" s="318" t="s">
        <v>1108</v>
      </c>
      <c r="B39" s="350" t="str">
        <f>HYPERLINK("https://uva.onlinejudge.org/index.php?option=com_onlinejudge&amp;Itemid=8&amp;page=show_problem&amp;problem=1052","UVA 10111")</f>
        <v>UVA 10111</v>
      </c>
      <c r="C39" s="159"/>
      <c r="D39" s="159"/>
      <c r="E39" s="159"/>
      <c r="F39" s="159"/>
      <c r="G39" s="159"/>
      <c r="H39" s="160"/>
      <c r="I39" s="57">
        <f t="shared" si="0"/>
        <v>0</v>
      </c>
      <c r="J39" s="62"/>
      <c r="K39" s="56"/>
      <c r="M39" s="184" t="str">
        <f>HYPERLINK("https://github.com/mostafa-saad/MyCompetitiveProgramming/blob/master/UVA/UVA_10111.txt","Sol")</f>
        <v>Sol</v>
      </c>
    </row>
    <row r="40" spans="1:13" ht="13.2">
      <c r="A40" s="318" t="s">
        <v>1109</v>
      </c>
      <c r="B40" s="357" t="str">
        <f>HYPERLINK("http://poj.org/problem?id=2151","PKU 2151")</f>
        <v>PKU 2151</v>
      </c>
      <c r="C40" s="159"/>
      <c r="D40" s="159"/>
      <c r="E40" s="159"/>
      <c r="F40" s="159"/>
      <c r="G40" s="159"/>
      <c r="H40" s="160"/>
      <c r="I40" s="57">
        <f t="shared" si="0"/>
        <v>0</v>
      </c>
      <c r="J40" s="93"/>
      <c r="K40" s="92"/>
      <c r="M40" s="184" t="str">
        <f>HYPERLINK("https://github.com/mostafa-saad/MyCompetitiveProgramming/blob/master/PKU/PKU_2151.txt","Sol")</f>
        <v>Sol</v>
      </c>
    </row>
    <row r="41" spans="1:13" ht="13.2">
      <c r="A41" s="318" t="s">
        <v>1110</v>
      </c>
      <c r="B41" s="356" t="str">
        <f>HYPERLINK("https://uva.onlinejudge.org/index.php?option=com_onlinejudge&amp;Itemid=8&amp;page=show_problem&amp;problem=3319","UVA 12167")</f>
        <v>UVA 12167</v>
      </c>
      <c r="C41" s="159"/>
      <c r="D41" s="159"/>
      <c r="E41" s="159"/>
      <c r="F41" s="159"/>
      <c r="G41" s="159"/>
      <c r="H41" s="160"/>
      <c r="I41" s="57">
        <f t="shared" si="0"/>
        <v>0</v>
      </c>
      <c r="J41" s="62"/>
      <c r="K41" s="56"/>
      <c r="M41" s="184" t="str">
        <f>HYPERLINK("https://github.com/abdullaAshraf/Problem-Solving/blob/master/UVA/12167.cpp","Sol")</f>
        <v>Sol</v>
      </c>
    </row>
    <row r="42" spans="1:13" ht="13.2">
      <c r="A42" s="318" t="s">
        <v>1111</v>
      </c>
      <c r="B42" s="350" t="str">
        <f>HYPERLINK("https://uva.onlinejudge.org/index.php?option=onlinejudge&amp;page=show_problem&amp;problem=488","UVA 547")</f>
        <v>UVA 547</v>
      </c>
      <c r="C42" s="159"/>
      <c r="D42" s="159"/>
      <c r="E42" s="159"/>
      <c r="F42" s="159"/>
      <c r="G42" s="159"/>
      <c r="H42" s="160"/>
      <c r="I42" s="57">
        <f t="shared" si="0"/>
        <v>0</v>
      </c>
      <c r="J42" s="62"/>
      <c r="K42" s="56"/>
    </row>
    <row r="43" spans="1:13" ht="13.2">
      <c r="A43" s="318" t="s">
        <v>1112</v>
      </c>
      <c r="B43" s="357" t="str">
        <f>HYPERLINK("https://uva.onlinejudge.org/index.php?option=onlinejudge&amp;page=show_problem&amp;problem=2499","UVA 11504")</f>
        <v>UVA 11504</v>
      </c>
      <c r="C43" s="159"/>
      <c r="D43" s="159"/>
      <c r="E43" s="159"/>
      <c r="F43" s="159"/>
      <c r="G43" s="159"/>
      <c r="H43" s="160"/>
      <c r="I43" s="57">
        <f t="shared" si="0"/>
        <v>0</v>
      </c>
      <c r="J43" s="93"/>
      <c r="K43" s="92"/>
      <c r="M43" s="184" t="str">
        <f>HYPERLINK("https://github.com/mostafa-saad/MyCompetitiveProgramming/blob/master/UVA/UVA_11504.txt","Sol")</f>
        <v>Sol</v>
      </c>
    </row>
    <row r="44" spans="1:13" ht="13.2">
      <c r="A44" s="318"/>
      <c r="B44" s="318" t="s">
        <v>1113</v>
      </c>
      <c r="C44" s="159"/>
      <c r="D44" s="159"/>
      <c r="E44" s="159"/>
      <c r="F44" s="159"/>
      <c r="G44" s="159"/>
      <c r="H44" s="160"/>
      <c r="I44" s="57">
        <f t="shared" si="0"/>
        <v>0</v>
      </c>
      <c r="J44" s="93"/>
      <c r="K44" s="92"/>
    </row>
    <row r="45" spans="1:13" ht="13.2">
      <c r="A45" s="318" t="s">
        <v>1114</v>
      </c>
      <c r="B45" s="319" t="str">
        <f>HYPERLINK("https://uva.onlinejudge.org/index.php?option=com_onlinejudge&amp;Itemid=8&amp;page=show_problem&amp;problem=2117","UVA 11176")</f>
        <v>UVA 11176</v>
      </c>
      <c r="C45" s="159"/>
      <c r="D45" s="159"/>
      <c r="E45" s="159"/>
      <c r="F45" s="159"/>
      <c r="G45" s="159"/>
      <c r="H45" s="160"/>
      <c r="I45" s="57">
        <f t="shared" si="0"/>
        <v>0</v>
      </c>
      <c r="J45" s="26"/>
      <c r="K45" s="29"/>
      <c r="M45" s="184" t="str">
        <f>HYPERLINK("https://github.com/VAMPIER000001/CompetitiveProgramming/blob/master/UVA/V-111/UVA%2011176.cpp","Sol")</f>
        <v>Sol</v>
      </c>
    </row>
    <row r="46" spans="1:13" ht="13.2">
      <c r="A46" s="318"/>
      <c r="B46" s="318" t="s">
        <v>1115</v>
      </c>
      <c r="C46" s="159"/>
      <c r="D46" s="159"/>
      <c r="E46" s="159"/>
      <c r="F46" s="159"/>
      <c r="G46" s="159"/>
      <c r="H46" s="160"/>
      <c r="I46" s="57">
        <f t="shared" si="0"/>
        <v>0</v>
      </c>
      <c r="J46" s="26"/>
      <c r="K46" s="29"/>
    </row>
    <row r="47" spans="1:13" ht="13.2">
      <c r="A47" s="318"/>
      <c r="B47" s="318" t="s">
        <v>1116</v>
      </c>
      <c r="C47" s="159"/>
      <c r="D47" s="159"/>
      <c r="E47" s="159"/>
      <c r="F47" s="159"/>
      <c r="G47" s="159"/>
      <c r="H47" s="160"/>
      <c r="I47" s="57">
        <f t="shared" si="0"/>
        <v>0</v>
      </c>
      <c r="J47" s="26"/>
      <c r="K47" s="29"/>
      <c r="M47" s="184" t="str">
        <f>HYPERLINK("https://github.com/yazanKabbany/CompetitiveProgramming/blob/master/Topcoder/SRM465-D1-500.cpp","Sol")</f>
        <v>Sol</v>
      </c>
    </row>
    <row r="48" spans="1:13" ht="13.2">
      <c r="A48" s="318"/>
      <c r="B48" s="318" t="s">
        <v>1117</v>
      </c>
      <c r="C48" s="159"/>
      <c r="D48" s="159"/>
      <c r="E48" s="159"/>
      <c r="F48" s="159"/>
      <c r="G48" s="159"/>
      <c r="H48" s="160"/>
      <c r="I48" s="57">
        <f t="shared" si="0"/>
        <v>0</v>
      </c>
      <c r="J48" s="26"/>
      <c r="K48" s="29"/>
      <c r="M48" s="184" t="str">
        <f>HYPERLINK("https://github.com/mostafa-saad/MyCompetitiveProgramming/blob/master/UVA/UVA_10740.txt","Sol")</f>
        <v>Sol</v>
      </c>
    </row>
    <row r="49" spans="1:13" ht="13.2">
      <c r="A49" s="318"/>
      <c r="B49" s="318" t="s">
        <v>1118</v>
      </c>
      <c r="C49" s="159"/>
      <c r="D49" s="159"/>
      <c r="E49" s="159"/>
      <c r="F49" s="159"/>
      <c r="G49" s="159"/>
      <c r="H49" s="160"/>
      <c r="I49" s="57">
        <f t="shared" si="0"/>
        <v>0</v>
      </c>
      <c r="J49" s="26"/>
      <c r="K49" s="29"/>
    </row>
    <row r="50" spans="1:13" ht="13.2">
      <c r="A50" s="318"/>
      <c r="B50" s="318" t="s">
        <v>1119</v>
      </c>
      <c r="C50" s="159"/>
      <c r="D50" s="159"/>
      <c r="E50" s="159"/>
      <c r="F50" s="159"/>
      <c r="G50" s="159"/>
      <c r="H50" s="160"/>
      <c r="I50" s="57">
        <f t="shared" si="0"/>
        <v>0</v>
      </c>
      <c r="J50" s="26"/>
      <c r="K50" s="29"/>
    </row>
    <row r="51" spans="1:13" ht="13.2">
      <c r="A51" s="318"/>
      <c r="B51" s="318" t="s">
        <v>1120</v>
      </c>
      <c r="C51" s="159"/>
      <c r="D51" s="159"/>
      <c r="E51" s="159"/>
      <c r="F51" s="159"/>
      <c r="G51" s="159"/>
      <c r="H51" s="160"/>
      <c r="I51" s="57">
        <f t="shared" si="0"/>
        <v>0</v>
      </c>
      <c r="J51" s="26"/>
      <c r="K51" s="29"/>
      <c r="M51" s="184" t="str">
        <f>HYPERLINK("https://github.com/morris821028/UVa/blob/master/volume013/1342%20-%20That%20Nice%20Euler%20Circuit.cpp","Sol")</f>
        <v>Sol</v>
      </c>
    </row>
    <row r="52" spans="1:13" ht="13.2">
      <c r="A52" s="318"/>
      <c r="B52" s="319" t="str">
        <f>HYPERLINK("http://codeforces.com/contest/811/problem/D","CF811-D2-D")</f>
        <v>CF811-D2-D</v>
      </c>
      <c r="C52" s="159"/>
      <c r="D52" s="159"/>
      <c r="E52" s="159"/>
      <c r="F52" s="159"/>
      <c r="G52" s="159"/>
      <c r="H52" s="160"/>
      <c r="I52" s="57">
        <f t="shared" si="0"/>
        <v>0</v>
      </c>
      <c r="J52" s="26"/>
      <c r="K52" s="29"/>
    </row>
    <row r="53" spans="1:13" ht="13.2">
      <c r="A53" s="318"/>
      <c r="B53" s="319" t="str">
        <f>HYPERLINK("https://beta.atcoder.jp/contests/agc026/tasks/agc026_b","AtCoder026-AGC-B")</f>
        <v>AtCoder026-AGC-B</v>
      </c>
      <c r="C53" s="159"/>
      <c r="D53" s="159"/>
      <c r="E53" s="159"/>
      <c r="F53" s="159"/>
      <c r="G53" s="159"/>
      <c r="H53" s="160"/>
      <c r="I53" s="57">
        <f t="shared" si="0"/>
        <v>0</v>
      </c>
      <c r="J53" s="26"/>
      <c r="K53" s="29"/>
      <c r="M53" s="184" t="str">
        <f>HYPERLINK("https://github.com/dasannagariraja/CompetitiveProgramming/blob/master/AtCoder/AtCoder026-AGC-B.cpp","Sol")</f>
        <v>Sol</v>
      </c>
    </row>
    <row r="54" spans="1:13" ht="13.2">
      <c r="A54" s="318"/>
      <c r="B54" s="318" t="s">
        <v>1121</v>
      </c>
      <c r="C54" s="159"/>
      <c r="D54" s="159"/>
      <c r="E54" s="159"/>
      <c r="F54" s="159"/>
      <c r="G54" s="159"/>
      <c r="H54" s="160"/>
      <c r="I54" s="57">
        <f t="shared" si="0"/>
        <v>0</v>
      </c>
      <c r="J54" s="62"/>
      <c r="K54" s="56"/>
      <c r="M54" s="186" t="str">
        <f>HYPERLINK("https://github.com/mostafa-saad/MyCompetitiveProgramming/blob/master/SPOJ/SPOJ_FISHES.txt","Sol")</f>
        <v>Sol</v>
      </c>
    </row>
    <row r="55" spans="1:13" ht="13.2">
      <c r="A55" s="318"/>
      <c r="B55" s="318" t="s">
        <v>1122</v>
      </c>
      <c r="C55" s="159"/>
      <c r="D55" s="159"/>
      <c r="E55" s="159"/>
      <c r="F55" s="159"/>
      <c r="G55" s="159"/>
      <c r="H55" s="160"/>
      <c r="I55" s="57">
        <f t="shared" si="0"/>
        <v>0</v>
      </c>
      <c r="J55" s="62"/>
      <c r="K55" s="56"/>
      <c r="M55" s="186" t="str">
        <f>HYPERLINK("https://github.com/Huvok/CompetitiveProgramming/blob/master/UVA/11475.cpp", "Sol")</f>
        <v>Sol</v>
      </c>
    </row>
    <row r="56" spans="1:13" ht="13.2">
      <c r="A56" s="166"/>
      <c r="B56" s="176"/>
      <c r="C56" s="159"/>
      <c r="D56" s="159"/>
      <c r="E56" s="159"/>
      <c r="F56" s="159"/>
      <c r="G56" s="159"/>
      <c r="H56" s="160"/>
      <c r="I56" s="57">
        <f t="shared" si="0"/>
        <v>0</v>
      </c>
      <c r="J56" s="62"/>
      <c r="K56" s="56"/>
      <c r="M56" s="29"/>
    </row>
    <row r="57" spans="1:13" ht="13.2">
      <c r="A57" s="166" t="s">
        <v>1123</v>
      </c>
      <c r="B57" s="354" t="str">
        <f>HYPERLINK("http://codeforces.com/contest/478/problem/D","CF478-D2-D")</f>
        <v>CF478-D2-D</v>
      </c>
      <c r="C57" s="159"/>
      <c r="D57" s="159"/>
      <c r="E57" s="159"/>
      <c r="F57" s="159"/>
      <c r="G57" s="159"/>
      <c r="H57" s="160"/>
      <c r="I57" s="57">
        <f t="shared" si="0"/>
        <v>0</v>
      </c>
      <c r="J57" s="62"/>
      <c r="K57" s="56"/>
      <c r="M57" s="29"/>
    </row>
    <row r="58" spans="1:13" ht="13.2">
      <c r="A58" s="166" t="s">
        <v>1124</v>
      </c>
      <c r="B58" s="354" t="str">
        <f>HYPERLINK("http://codeforces.com/contest/363/problem/D","CF363-D2-D")</f>
        <v>CF363-D2-D</v>
      </c>
      <c r="C58" s="159"/>
      <c r="D58" s="159"/>
      <c r="E58" s="159"/>
      <c r="F58" s="159"/>
      <c r="G58" s="159"/>
      <c r="H58" s="160"/>
      <c r="I58" s="57">
        <f t="shared" si="0"/>
        <v>0</v>
      </c>
      <c r="J58" s="62"/>
      <c r="K58" s="56"/>
      <c r="M58" s="29"/>
    </row>
    <row r="59" spans="1:13" ht="13.2">
      <c r="A59" s="86" t="s">
        <v>1125</v>
      </c>
      <c r="B59" s="87" t="str">
        <f>HYPERLINK("http://codeforces.com/contest/146/problem/D","CF146-D2-D")</f>
        <v>CF146-D2-D</v>
      </c>
      <c r="C59" s="159"/>
      <c r="D59" s="159"/>
      <c r="E59" s="159"/>
      <c r="F59" s="159"/>
      <c r="G59" s="159"/>
      <c r="H59" s="160"/>
      <c r="I59" s="57">
        <f t="shared" si="0"/>
        <v>0</v>
      </c>
      <c r="J59" s="93"/>
      <c r="K59" s="92"/>
      <c r="M59" s="29"/>
    </row>
    <row r="60" spans="1:13" ht="13.2">
      <c r="A60" s="86" t="s">
        <v>1126</v>
      </c>
      <c r="B60" s="87" t="str">
        <f>HYPERLINK("http://codeforces.com/contest/496/problem/D","CF496-D2-D")</f>
        <v>CF496-D2-D</v>
      </c>
      <c r="C60" s="159"/>
      <c r="D60" s="159"/>
      <c r="E60" s="159"/>
      <c r="F60" s="159"/>
      <c r="G60" s="159"/>
      <c r="H60" s="160"/>
      <c r="I60" s="57">
        <f t="shared" si="0"/>
        <v>0</v>
      </c>
      <c r="J60" s="93"/>
      <c r="K60" s="92"/>
      <c r="M60" s="29"/>
    </row>
    <row r="61" spans="1:13" ht="13.2">
      <c r="A61" s="86" t="s">
        <v>1127</v>
      </c>
      <c r="B61" s="87" t="str">
        <f>HYPERLINK("http://codeforces.com/contest/340/problem/D","CF340-D2-D")</f>
        <v>CF340-D2-D</v>
      </c>
      <c r="C61" s="159"/>
      <c r="D61" s="159"/>
      <c r="E61" s="159"/>
      <c r="F61" s="159"/>
      <c r="G61" s="159"/>
      <c r="H61" s="160"/>
      <c r="I61" s="57">
        <f t="shared" si="0"/>
        <v>0</v>
      </c>
      <c r="J61" s="93"/>
      <c r="K61" s="92"/>
      <c r="M61" s="29"/>
    </row>
    <row r="62" spans="1:13" ht="13.2">
      <c r="A62" s="166" t="s">
        <v>1128</v>
      </c>
      <c r="B62" s="354" t="str">
        <f>HYPERLINK("http://codeforces.com/contest/402/problem/D","CF402-D2-D")</f>
        <v>CF402-D2-D</v>
      </c>
      <c r="C62" s="159"/>
      <c r="D62" s="159"/>
      <c r="E62" s="159"/>
      <c r="F62" s="159"/>
      <c r="G62" s="159"/>
      <c r="H62" s="160"/>
      <c r="I62" s="57">
        <f t="shared" si="0"/>
        <v>0</v>
      </c>
      <c r="J62" s="62"/>
      <c r="K62" s="56"/>
      <c r="M62" s="29"/>
    </row>
    <row r="63" spans="1:13" ht="13.2">
      <c r="A63" s="166"/>
      <c r="B63" s="354" t="s">
        <v>1129</v>
      </c>
      <c r="C63" s="159"/>
      <c r="D63" s="159"/>
      <c r="E63" s="159"/>
      <c r="F63" s="159"/>
      <c r="G63" s="159"/>
      <c r="H63" s="160"/>
      <c r="I63" s="57">
        <f t="shared" si="0"/>
        <v>0</v>
      </c>
      <c r="J63" s="62"/>
      <c r="K63" s="56"/>
      <c r="M63" s="186" t="str">
        <f>HYPERLINK("https://github.com/magdy-hasan/competitive-programming/blob/master/Other/ZOJ%20Get%20Sauce.cpp","Sol")</f>
        <v>Sol</v>
      </c>
    </row>
    <row r="64" spans="1:13" ht="13.2">
      <c r="A64" s="166"/>
      <c r="B64" s="354" t="str">
        <f>HYPERLINK("http://codeforces.com/problemset/problem/1017/D","CF1017-D12-D")</f>
        <v>CF1017-D12-D</v>
      </c>
      <c r="C64" s="159"/>
      <c r="D64" s="159"/>
      <c r="E64" s="159"/>
      <c r="F64" s="159"/>
      <c r="G64" s="159"/>
      <c r="H64" s="160"/>
      <c r="I64" s="57">
        <f t="shared" si="0"/>
        <v>0</v>
      </c>
      <c r="J64" s="62"/>
      <c r="K64" s="56"/>
      <c r="M64" s="29"/>
    </row>
    <row r="65" spans="1:13" ht="13.2">
      <c r="A65" s="214" t="s">
        <v>1130</v>
      </c>
      <c r="B65" s="286" t="str">
        <f>HYPERLINK("http://codeforces.com/contest/69/problem/C","CF69-D2-C")</f>
        <v>CF69-D2-C</v>
      </c>
      <c r="C65" s="159"/>
      <c r="D65" s="159"/>
      <c r="E65" s="159"/>
      <c r="F65" s="159"/>
      <c r="G65" s="159"/>
      <c r="H65" s="160"/>
      <c r="I65" s="57">
        <f t="shared" si="0"/>
        <v>0</v>
      </c>
      <c r="J65" s="62"/>
      <c r="K65" s="56"/>
      <c r="M65" s="29"/>
    </row>
    <row r="66" spans="1:13" ht="13.2">
      <c r="A66" s="214" t="s">
        <v>1131</v>
      </c>
      <c r="B66" s="286" t="str">
        <f>HYPERLINK("http://codeforces.com/contest/322/problem/C","CF322-D2-C")</f>
        <v>CF322-D2-C</v>
      </c>
      <c r="C66" s="159"/>
      <c r="D66" s="159"/>
      <c r="E66" s="159"/>
      <c r="F66" s="159"/>
      <c r="G66" s="159"/>
      <c r="H66" s="160"/>
      <c r="I66" s="57">
        <f t="shared" si="0"/>
        <v>0</v>
      </c>
      <c r="J66" s="62"/>
      <c r="K66" s="56"/>
      <c r="M66" s="29"/>
    </row>
    <row r="67" spans="1:13" ht="13.2">
      <c r="A67" s="214" t="s">
        <v>1132</v>
      </c>
      <c r="B67" s="286" t="str">
        <f>HYPERLINK("http://codeforces.com/contest/716/problem/C","CF716-D2-C")</f>
        <v>CF716-D2-C</v>
      </c>
      <c r="C67" s="159"/>
      <c r="D67" s="159"/>
      <c r="E67" s="159"/>
      <c r="F67" s="159"/>
      <c r="G67" s="159"/>
      <c r="H67" s="160"/>
      <c r="I67" s="57">
        <f t="shared" si="0"/>
        <v>0</v>
      </c>
      <c r="J67" s="62"/>
      <c r="K67" s="56"/>
      <c r="M67" s="29"/>
    </row>
    <row r="68" spans="1:13" ht="13.2">
      <c r="A68" s="166"/>
      <c r="B68" s="176"/>
      <c r="C68" s="159"/>
      <c r="D68" s="159"/>
      <c r="E68" s="159"/>
      <c r="F68" s="159"/>
      <c r="G68" s="159"/>
      <c r="H68" s="160"/>
      <c r="I68" s="57">
        <f t="shared" si="0"/>
        <v>0</v>
      </c>
      <c r="J68" s="62"/>
      <c r="K68" s="56"/>
      <c r="M68" s="29"/>
    </row>
    <row r="69" spans="1:13" ht="13.2">
      <c r="A69" s="291" t="s">
        <v>1133</v>
      </c>
      <c r="B69" s="212" t="str">
        <f>HYPERLINK("https://uva.onlinejudge.org/index.php?option=com_onlinejudge&amp;Itemid=8&amp;page=show_problem&amp;problem=4395","UVA 12657")</f>
        <v>UVA 12657</v>
      </c>
      <c r="C69" s="159"/>
      <c r="D69" s="159"/>
      <c r="E69" s="159"/>
      <c r="F69" s="159"/>
      <c r="G69" s="159"/>
      <c r="H69" s="160"/>
      <c r="I69" s="57">
        <f t="shared" si="0"/>
        <v>0</v>
      </c>
      <c r="J69" s="93"/>
      <c r="K69" s="92"/>
      <c r="M69" s="184" t="str">
        <f>HYPERLINK("http://qkxue.net/info/113260/UVA-Boxes-Line-12657","Sol")</f>
        <v>Sol</v>
      </c>
    </row>
    <row r="70" spans="1:13" ht="13.2">
      <c r="A70" s="263"/>
      <c r="B70" s="263" t="s">
        <v>1134</v>
      </c>
      <c r="C70" s="159"/>
      <c r="D70" s="159"/>
      <c r="E70" s="159"/>
      <c r="F70" s="159"/>
      <c r="G70" s="159"/>
      <c r="H70" s="160"/>
      <c r="I70" s="57">
        <f t="shared" si="0"/>
        <v>0</v>
      </c>
      <c r="J70" s="62"/>
      <c r="K70" s="56"/>
      <c r="M70" s="184" t="str">
        <f>HYPERLINK("https://github.com/BRAINOOOO/CompetitiveProgramming/blob/master/Spoj/SPOJ%20QUEST4.Cpp","Sol")</f>
        <v>Sol</v>
      </c>
    </row>
    <row r="71" spans="1:13" ht="13.2">
      <c r="A71" s="263" t="s">
        <v>1135</v>
      </c>
      <c r="B71" s="356" t="str">
        <f>HYPERLINK("https://uva.onlinejudge.org/index.php?option=onlinejudge&amp;page=show_problem&amp;problem=2322","UVA 11347")</f>
        <v>UVA 11347</v>
      </c>
      <c r="C71" s="159"/>
      <c r="D71" s="159"/>
      <c r="E71" s="159"/>
      <c r="F71" s="159"/>
      <c r="G71" s="159"/>
      <c r="H71" s="160"/>
      <c r="I71" s="57">
        <f t="shared" si="0"/>
        <v>0</v>
      </c>
      <c r="J71" s="62"/>
      <c r="K71" s="56"/>
    </row>
    <row r="72" spans="1:13" ht="13.2">
      <c r="A72" s="257" t="s">
        <v>1136</v>
      </c>
      <c r="B72" s="358" t="str">
        <f>HYPERLINK("https://uva.onlinejudge.org/index.php?option=com_onlinejudge&amp;Itemid=8&amp;page=show_problem&amp;problem=504","UVA 563")</f>
        <v>UVA 563</v>
      </c>
      <c r="C72" s="159"/>
      <c r="D72" s="159"/>
      <c r="E72" s="159"/>
      <c r="F72" s="159"/>
      <c r="G72" s="159"/>
      <c r="H72" s="160"/>
      <c r="I72" s="57">
        <f t="shared" si="0"/>
        <v>0</v>
      </c>
      <c r="J72" s="62"/>
      <c r="K72" s="56"/>
      <c r="M72" s="184" t="str">
        <f>HYPERLINK("https://github.com/BRAINOOOO/CompetitiveProgramming/blob/d60a5d1364a8f6aba3cd785c1e5d7825bf3818bc/UVA/UVA%20563.Cpp","Sol")</f>
        <v>Sol</v>
      </c>
    </row>
    <row r="73" spans="1:13" ht="13.2">
      <c r="A73" s="279"/>
      <c r="B73" s="359" t="s">
        <v>1137</v>
      </c>
      <c r="C73" s="159"/>
      <c r="D73" s="159"/>
      <c r="E73" s="159"/>
      <c r="F73" s="159"/>
      <c r="G73" s="159"/>
      <c r="H73" s="160"/>
      <c r="I73" s="57">
        <f t="shared" si="0"/>
        <v>0</v>
      </c>
      <c r="J73" s="62"/>
      <c r="K73" s="56"/>
    </row>
    <row r="74" spans="1:13" ht="13.2">
      <c r="A74" s="279"/>
      <c r="B74" s="359" t="s">
        <v>1138</v>
      </c>
      <c r="C74" s="159"/>
      <c r="D74" s="159"/>
      <c r="E74" s="159"/>
      <c r="F74" s="159"/>
      <c r="G74" s="159"/>
      <c r="H74" s="160"/>
      <c r="I74" s="57">
        <f t="shared" si="0"/>
        <v>0</v>
      </c>
      <c r="J74" s="62"/>
      <c r="K74" s="56"/>
    </row>
    <row r="75" spans="1:13" ht="13.2">
      <c r="A75" s="279" t="s">
        <v>1139</v>
      </c>
      <c r="B75" s="350" t="str">
        <f>HYPERLINK("http://www.spoj.com/problems/PROOT/","SPOJ PROOT")</f>
        <v>SPOJ PROOT</v>
      </c>
      <c r="C75" s="159"/>
      <c r="D75" s="159"/>
      <c r="E75" s="159"/>
      <c r="F75" s="159"/>
      <c r="G75" s="159"/>
      <c r="H75" s="160"/>
      <c r="I75" s="57">
        <f t="shared" si="0"/>
        <v>0</v>
      </c>
      <c r="J75" s="62"/>
      <c r="K75" s="56"/>
      <c r="M75" s="184" t="str">
        <f>HYPERLINK("http://zobayer.blogspot.com/2010/02/primitive-root.html","Sol")</f>
        <v>Sol</v>
      </c>
    </row>
    <row r="76" spans="1:13" ht="13.2">
      <c r="A76" s="360" t="s">
        <v>1140</v>
      </c>
      <c r="B76" s="361" t="str">
        <f>HYPERLINK("http://codeforces.com/problemset/gymProblem/101149/G","CF101149-GYM-G")</f>
        <v>CF101149-GYM-G</v>
      </c>
      <c r="C76" s="159"/>
      <c r="D76" s="159"/>
      <c r="E76" s="159"/>
      <c r="F76" s="159"/>
      <c r="G76" s="159"/>
      <c r="H76" s="160"/>
      <c r="I76" s="57">
        <f t="shared" si="0"/>
        <v>0</v>
      </c>
      <c r="J76" s="62"/>
      <c r="K76" s="56"/>
      <c r="M76" s="184" t="str">
        <f>HYPERLINK("https://github.com/BRAINOOOO/CompetitiveProgramming/blob/3057480d3a311cc86a6d64546655a9bb4017cbd6/CF/CF101149-GYM-G.Cpp","Sol")</f>
        <v>Sol</v>
      </c>
    </row>
    <row r="77" spans="1:13" ht="13.2">
      <c r="A77" s="282" t="s">
        <v>1141</v>
      </c>
      <c r="B77" s="362" t="str">
        <f>HYPERLINK("http://codeforces.com/contest/292/problem/D","CF292-D12-D")</f>
        <v>CF292-D12-D</v>
      </c>
      <c r="C77" s="159"/>
      <c r="D77" s="159"/>
      <c r="E77" s="159"/>
      <c r="F77" s="159"/>
      <c r="G77" s="159"/>
      <c r="H77" s="160"/>
      <c r="I77" s="57">
        <f t="shared" si="0"/>
        <v>0</v>
      </c>
      <c r="J77" s="62"/>
      <c r="K77" s="56"/>
    </row>
    <row r="78" spans="1:13" ht="13.2">
      <c r="A78" s="263" t="s">
        <v>1142</v>
      </c>
      <c r="B78" s="363" t="str">
        <f>HYPERLINK("http://www.spoj.com/problems/ANDROUND","SPOJ ANDROUND")</f>
        <v>SPOJ ANDROUND</v>
      </c>
      <c r="C78" s="159"/>
      <c r="D78" s="159"/>
      <c r="E78" s="159"/>
      <c r="F78" s="159"/>
      <c r="G78" s="159"/>
      <c r="H78" s="160"/>
      <c r="I78" s="57">
        <f t="shared" si="0"/>
        <v>0</v>
      </c>
      <c r="J78" s="62"/>
      <c r="K78" s="56"/>
      <c r="M78" s="184" t="str">
        <f>HYPERLINK("https://github.com/AliOsm/CompetitiveProgramming/blob/master/SPOJ/ANDROUND%20-%20AND%20Rounds.cpp","Sol")</f>
        <v>Sol</v>
      </c>
    </row>
    <row r="79" spans="1:13" ht="13.2">
      <c r="A79" s="282" t="s">
        <v>1143</v>
      </c>
      <c r="B79" s="349" t="str">
        <f>HYPERLINK("https://uva.onlinejudge.org/index.php?option=onlinejudge&amp;page=show_problem&amp;problem=2468","UVA 11473")</f>
        <v>UVA 11473</v>
      </c>
      <c r="C79" s="159"/>
      <c r="D79" s="159"/>
      <c r="E79" s="159"/>
      <c r="F79" s="159"/>
      <c r="G79" s="159"/>
      <c r="H79" s="160"/>
      <c r="I79" s="57">
        <f t="shared" si="0"/>
        <v>0</v>
      </c>
      <c r="J79" s="62"/>
      <c r="K79" s="56"/>
      <c r="M79" s="184" t="str">
        <f>HYPERLINK("https://github.com/osamahatem/CompetitiveProgramming/blob/master/UVA/11473%20-%20Campus%20Roads.cpp","Sol")</f>
        <v>Sol</v>
      </c>
    </row>
    <row r="80" spans="1:13" ht="13.2">
      <c r="A80" s="282" t="s">
        <v>1144</v>
      </c>
      <c r="B80" s="362" t="str">
        <f>HYPERLINK("http://codeforces.com/contest/437/problem/D","CF437-D2-D")</f>
        <v>CF437-D2-D</v>
      </c>
      <c r="C80" s="159"/>
      <c r="D80" s="159"/>
      <c r="E80" s="159"/>
      <c r="F80" s="159"/>
      <c r="G80" s="159"/>
      <c r="H80" s="160"/>
      <c r="I80" s="57">
        <f t="shared" si="0"/>
        <v>0</v>
      </c>
      <c r="J80" s="62"/>
      <c r="K80" s="56"/>
      <c r="M80" s="184" t="str">
        <f>HYPERLINK("https://github.com/abdullaAshraf/Problem-Solving/blob/master/CodeForces/CF437-D2-D.cpp","Sol")</f>
        <v>Sol</v>
      </c>
    </row>
    <row r="81" spans="1:13" ht="13.2">
      <c r="A81" s="282"/>
      <c r="B81" s="283" t="str">
        <f>HYPERLINK("http://codeforces.com/contest/403/problem/C","CF403-D1-C")</f>
        <v>CF403-D1-C</v>
      </c>
      <c r="C81" s="159"/>
      <c r="D81" s="159"/>
      <c r="E81" s="159"/>
      <c r="F81" s="159"/>
      <c r="G81" s="159"/>
      <c r="H81" s="160"/>
      <c r="I81" s="57">
        <f t="shared" si="0"/>
        <v>0</v>
      </c>
      <c r="J81" s="62"/>
      <c r="K81" s="56"/>
    </row>
    <row r="82" spans="1:13" ht="13.2">
      <c r="A82" s="282"/>
      <c r="B82" s="283" t="str">
        <f>HYPERLINK("http://codeforces.com/contest/787/problem/C","CF787-D2-C")</f>
        <v>CF787-D2-C</v>
      </c>
      <c r="C82" s="159"/>
      <c r="D82" s="159"/>
      <c r="E82" s="159"/>
      <c r="F82" s="159"/>
      <c r="G82" s="159"/>
      <c r="H82" s="160"/>
      <c r="I82" s="57">
        <f t="shared" si="0"/>
        <v>0</v>
      </c>
      <c r="J82" s="62"/>
      <c r="K82" s="56"/>
    </row>
    <row r="83" spans="1:13" ht="13.2">
      <c r="A83" s="282"/>
      <c r="B83" s="283" t="str">
        <f>HYPERLINK("http://codeforces.com/contest/309/problem/B","CF309-D12-B")</f>
        <v>CF309-D12-B</v>
      </c>
      <c r="C83" s="159"/>
      <c r="D83" s="159"/>
      <c r="E83" s="159"/>
      <c r="F83" s="159"/>
      <c r="G83" s="159"/>
      <c r="H83" s="160"/>
      <c r="I83" s="57">
        <f t="shared" si="0"/>
        <v>0</v>
      </c>
      <c r="J83" s="62"/>
      <c r="K83" s="56"/>
    </row>
    <row r="84" spans="1:13" ht="13.2">
      <c r="A84" s="282"/>
      <c r="B84" s="282" t="s">
        <v>1145</v>
      </c>
      <c r="C84" s="159"/>
      <c r="D84" s="159"/>
      <c r="E84" s="159"/>
      <c r="F84" s="159"/>
      <c r="G84" s="159"/>
      <c r="H84" s="160"/>
      <c r="I84" s="57">
        <f t="shared" si="0"/>
        <v>0</v>
      </c>
      <c r="J84" s="62"/>
      <c r="K84" s="56"/>
    </row>
    <row r="85" spans="1:13" ht="13.2">
      <c r="A85" s="282"/>
      <c r="B85" s="282" t="s">
        <v>1146</v>
      </c>
      <c r="C85" s="159"/>
      <c r="D85" s="159"/>
      <c r="E85" s="159"/>
      <c r="F85" s="159"/>
      <c r="G85" s="159"/>
      <c r="H85" s="160"/>
      <c r="I85" s="57">
        <f t="shared" si="0"/>
        <v>0</v>
      </c>
      <c r="J85" s="62"/>
      <c r="K85" s="56"/>
    </row>
    <row r="86" spans="1:13" ht="13.2">
      <c r="A86" s="282"/>
      <c r="B86" s="282" t="s">
        <v>1147</v>
      </c>
      <c r="C86" s="159"/>
      <c r="D86" s="159"/>
      <c r="E86" s="159"/>
      <c r="F86" s="159"/>
      <c r="G86" s="159"/>
      <c r="H86" s="160"/>
      <c r="I86" s="57">
        <f t="shared" si="0"/>
        <v>0</v>
      </c>
      <c r="J86" s="62"/>
      <c r="K86" s="56"/>
      <c r="M86" s="184" t="str">
        <f>HYPERLINK("https://github.com/MeGaCrazy/CompetitiveProgramming/blob/2a3c686ba85081a14c9df160224fc1659f7f93ab/Timus/TIMUS_1362.cpp","Sol")</f>
        <v>Sol</v>
      </c>
    </row>
    <row r="87" spans="1:13" ht="13.2">
      <c r="A87" s="282"/>
      <c r="B87" s="283" t="str">
        <f>HYPERLINK("http://codeforces.com/contest/1012/problem/C","CF1012-D1-C")</f>
        <v>CF1012-D1-C</v>
      </c>
      <c r="C87" s="159"/>
      <c r="D87" s="159"/>
      <c r="E87" s="159"/>
      <c r="F87" s="159"/>
      <c r="G87" s="159"/>
      <c r="H87" s="160"/>
      <c r="I87" s="57">
        <f t="shared" si="0"/>
        <v>0</v>
      </c>
      <c r="J87" s="62"/>
      <c r="K87" s="56"/>
    </row>
    <row r="88" spans="1:13" ht="13.2">
      <c r="A88" s="282"/>
      <c r="B88" s="282" t="s">
        <v>1148</v>
      </c>
      <c r="C88" s="159"/>
      <c r="D88" s="159"/>
      <c r="E88" s="159"/>
      <c r="F88" s="159"/>
      <c r="G88" s="159"/>
      <c r="H88" s="160"/>
      <c r="I88" s="57">
        <f t="shared" si="0"/>
        <v>0</v>
      </c>
      <c r="J88" s="62"/>
      <c r="K88" s="56"/>
      <c r="M88" s="184" t="str">
        <f>HYPERLINK("https://github.com/Huvok/CompetitiveProgramming/blob/master/SPOJ/COCONUTS.cpp","Sol")</f>
        <v>Sol</v>
      </c>
    </row>
    <row r="89" spans="1:13" ht="13.2">
      <c r="A89" s="282"/>
      <c r="B89" s="283" t="str">
        <f>HYPERLINK("https://www.facebook.com/hackercup/problem/1153996538071503/", "FbHkrCup 18-RQ-C")</f>
        <v>FbHkrCup 18-RQ-C</v>
      </c>
      <c r="C89" s="159"/>
      <c r="D89" s="159"/>
      <c r="E89" s="159"/>
      <c r="F89" s="159"/>
      <c r="G89" s="159"/>
      <c r="H89" s="160"/>
      <c r="I89" s="57">
        <f t="shared" si="0"/>
        <v>0</v>
      </c>
      <c r="J89" s="62"/>
      <c r="K89" s="56"/>
    </row>
    <row r="90" spans="1:13" ht="13.2">
      <c r="A90" s="282"/>
      <c r="B90" s="282" t="s">
        <v>1149</v>
      </c>
      <c r="C90" s="159"/>
      <c r="D90" s="159"/>
      <c r="E90" s="159"/>
      <c r="F90" s="159"/>
      <c r="G90" s="159"/>
      <c r="H90" s="160"/>
      <c r="I90" s="57">
        <f t="shared" si="0"/>
        <v>0</v>
      </c>
      <c r="J90" s="62"/>
      <c r="K90" s="56"/>
      <c r="M90" s="184" t="str">
        <f>HYPERLINK("https://github.com/HosamEissa/Competitive-programming-/blob/master/ACM-ICPC%20Live%20Archive/4682.cpp","Sol")</f>
        <v>Sol</v>
      </c>
    </row>
    <row r="91" spans="1:13" ht="13.2">
      <c r="A91" s="166"/>
      <c r="B91" s="176"/>
      <c r="C91" s="159"/>
      <c r="D91" s="159"/>
      <c r="E91" s="159"/>
      <c r="F91" s="159"/>
      <c r="G91" s="159"/>
      <c r="H91" s="160"/>
      <c r="I91" s="57">
        <f t="shared" si="0"/>
        <v>0</v>
      </c>
      <c r="J91" s="62"/>
      <c r="K91" s="56"/>
      <c r="M91" s="29"/>
    </row>
    <row r="92" spans="1:13" ht="13.2">
      <c r="A92" s="86" t="s">
        <v>1150</v>
      </c>
      <c r="B92" s="87" t="str">
        <f>HYPERLINK("http://codeforces.com/contest/651/problem/D","CF651-D2-D")</f>
        <v>CF651-D2-D</v>
      </c>
      <c r="C92" s="159"/>
      <c r="D92" s="159"/>
      <c r="E92" s="159"/>
      <c r="F92" s="159"/>
      <c r="G92" s="159"/>
      <c r="H92" s="160"/>
      <c r="I92" s="57">
        <f t="shared" si="0"/>
        <v>0</v>
      </c>
      <c r="J92" s="26"/>
      <c r="K92" s="29"/>
      <c r="M92" s="29"/>
    </row>
    <row r="93" spans="1:13" ht="13.2">
      <c r="A93" s="86" t="s">
        <v>1151</v>
      </c>
      <c r="B93" s="87" t="str">
        <f>HYPERLINK("http://codeforces.com/contest/281/problem/D","CF281-D2-D")</f>
        <v>CF281-D2-D</v>
      </c>
      <c r="C93" s="159"/>
      <c r="D93" s="159"/>
      <c r="E93" s="159"/>
      <c r="F93" s="159"/>
      <c r="G93" s="159"/>
      <c r="H93" s="160"/>
      <c r="I93" s="57">
        <f t="shared" si="0"/>
        <v>0</v>
      </c>
      <c r="J93" s="26"/>
      <c r="K93" s="29"/>
      <c r="M93" s="29"/>
    </row>
    <row r="94" spans="1:13" ht="13.2">
      <c r="A94" s="86" t="s">
        <v>1152</v>
      </c>
      <c r="B94" s="87" t="str">
        <f>HYPERLINK("http://codeforces.com/contest/313/problem/D","CF313-D2-D")</f>
        <v>CF313-D2-D</v>
      </c>
      <c r="C94" s="159"/>
      <c r="D94" s="159"/>
      <c r="E94" s="159"/>
      <c r="F94" s="159"/>
      <c r="G94" s="159"/>
      <c r="H94" s="160"/>
      <c r="I94" s="57">
        <f t="shared" si="0"/>
        <v>0</v>
      </c>
      <c r="J94" s="26"/>
      <c r="K94" s="29"/>
      <c r="M94" s="29"/>
    </row>
    <row r="95" spans="1:13" ht="13.2">
      <c r="A95" s="86" t="s">
        <v>1153</v>
      </c>
      <c r="B95" s="87" t="str">
        <f>HYPERLINK("http://codeforces.com/contest/255/problem/D","CF255-D2-D")</f>
        <v>CF255-D2-D</v>
      </c>
      <c r="C95" s="159"/>
      <c r="D95" s="159"/>
      <c r="E95" s="159"/>
      <c r="F95" s="159"/>
      <c r="G95" s="159"/>
      <c r="H95" s="160"/>
      <c r="I95" s="57">
        <f t="shared" si="0"/>
        <v>0</v>
      </c>
      <c r="J95" s="93"/>
      <c r="K95" s="92"/>
      <c r="M95" s="29"/>
    </row>
    <row r="96" spans="1:13" ht="13.2">
      <c r="A96" s="166" t="s">
        <v>1154</v>
      </c>
      <c r="B96" s="354" t="str">
        <f>HYPERLINK("http://codeforces.com/contest/298/problem/D","CF298-D2-D")</f>
        <v>CF298-D2-D</v>
      </c>
      <c r="C96" s="159"/>
      <c r="D96" s="159"/>
      <c r="E96" s="159"/>
      <c r="F96" s="159"/>
      <c r="G96" s="159"/>
      <c r="H96" s="160"/>
      <c r="I96" s="57">
        <f t="shared" si="0"/>
        <v>0</v>
      </c>
      <c r="J96" s="62"/>
      <c r="K96" s="56"/>
      <c r="M96" s="29"/>
    </row>
    <row r="97" spans="1:13" ht="13.2">
      <c r="A97" s="166" t="s">
        <v>1155</v>
      </c>
      <c r="B97" s="354" t="str">
        <f>HYPERLINK("http://codeforces.com/contest/237/problem/D","CF237-D2-D")</f>
        <v>CF237-D2-D</v>
      </c>
      <c r="C97" s="159"/>
      <c r="D97" s="159"/>
      <c r="E97" s="159"/>
      <c r="F97" s="159"/>
      <c r="G97" s="159"/>
      <c r="H97" s="160"/>
      <c r="I97" s="57">
        <f t="shared" si="0"/>
        <v>0</v>
      </c>
      <c r="J97" s="62"/>
      <c r="K97" s="56"/>
      <c r="M97" s="29"/>
    </row>
    <row r="98" spans="1:13" ht="13.2">
      <c r="A98" s="166" t="s">
        <v>1156</v>
      </c>
      <c r="B98" s="354" t="str">
        <f>HYPERLINK("http://codeforces.com/contest/168/problem/D","CF168-D2-D")</f>
        <v>CF168-D2-D</v>
      </c>
      <c r="C98" s="159"/>
      <c r="D98" s="159"/>
      <c r="E98" s="159"/>
      <c r="F98" s="159"/>
      <c r="G98" s="159"/>
      <c r="H98" s="160"/>
      <c r="I98" s="57">
        <f t="shared" si="0"/>
        <v>0</v>
      </c>
      <c r="J98" s="62"/>
      <c r="K98" s="56"/>
      <c r="M98" s="29"/>
    </row>
    <row r="99" spans="1:13" ht="13.2">
      <c r="A99" s="166"/>
      <c r="B99" s="354" t="str">
        <f>HYPERLINK("https://www.codechef.com/LTIME64B/problems/BJUDGE","CODECHEF BJUDGE")</f>
        <v>CODECHEF BJUDGE</v>
      </c>
      <c r="C99" s="159"/>
      <c r="D99" s="159"/>
      <c r="E99" s="159"/>
      <c r="F99" s="159"/>
      <c r="G99" s="159"/>
      <c r="H99" s="160"/>
      <c r="I99" s="57">
        <f t="shared" si="0"/>
        <v>0</v>
      </c>
      <c r="J99" s="62"/>
      <c r="K99" s="56"/>
      <c r="M99" s="29"/>
    </row>
    <row r="100" spans="1:13" ht="13.2">
      <c r="A100" s="214" t="s">
        <v>1157</v>
      </c>
      <c r="B100" s="286" t="str">
        <f>HYPERLINK("http://codeforces.com/contest/366/problem/C","CF366-D2-C")</f>
        <v>CF366-D2-C</v>
      </c>
      <c r="C100" s="159"/>
      <c r="D100" s="159"/>
      <c r="E100" s="159"/>
      <c r="F100" s="159"/>
      <c r="G100" s="159"/>
      <c r="H100" s="160"/>
      <c r="I100" s="57">
        <f t="shared" si="0"/>
        <v>0</v>
      </c>
      <c r="J100" s="62"/>
      <c r="K100" s="56"/>
      <c r="M100" s="29"/>
    </row>
    <row r="101" spans="1:13" ht="13.2">
      <c r="A101" s="166"/>
      <c r="C101" s="159"/>
      <c r="D101" s="159"/>
      <c r="E101" s="159"/>
      <c r="F101" s="159"/>
      <c r="G101" s="159"/>
      <c r="H101" s="160"/>
      <c r="I101" s="57">
        <f t="shared" si="0"/>
        <v>0</v>
      </c>
      <c r="J101" s="62"/>
      <c r="K101" s="56"/>
      <c r="M101" s="29"/>
    </row>
    <row r="102" spans="1:13" ht="13.2">
      <c r="A102" s="291" t="s">
        <v>1158</v>
      </c>
      <c r="B102" s="364" t="str">
        <f>HYPERLINK("https://uva.onlinejudge.org/index.php?option=com_onlinejudge&amp;Itemid=8&amp;page=show_problem&amp;problem=40","UVA 104")</f>
        <v>UVA 104</v>
      </c>
      <c r="C102" s="159"/>
      <c r="D102" s="159"/>
      <c r="E102" s="159"/>
      <c r="F102" s="159"/>
      <c r="G102" s="159"/>
      <c r="H102" s="160"/>
      <c r="I102" s="57">
        <f t="shared" si="0"/>
        <v>0</v>
      </c>
      <c r="J102" s="93"/>
      <c r="K102" s="92"/>
      <c r="M102" s="184" t="str">
        <f>HYPERLINK("https://github.com/abdullaAshraf/Problem-Solving/blob/master/UVA/104.cpp","Sol")</f>
        <v>Sol</v>
      </c>
    </row>
    <row r="103" spans="1:13" ht="13.2">
      <c r="A103" s="291" t="s">
        <v>1024</v>
      </c>
      <c r="B103" s="292" t="str">
        <f>HYPERLINK("http://codeforces.com/contest/431/problem/D","CF431-D2-D")</f>
        <v>CF431-D2-D</v>
      </c>
      <c r="C103" s="159"/>
      <c r="D103" s="159"/>
      <c r="E103" s="159"/>
      <c r="F103" s="159"/>
      <c r="G103" s="159"/>
      <c r="H103" s="160"/>
      <c r="I103" s="57">
        <f t="shared" si="0"/>
        <v>0</v>
      </c>
      <c r="J103" s="26"/>
      <c r="K103" s="29"/>
    </row>
    <row r="104" spans="1:13" ht="13.2">
      <c r="A104" s="291" t="s">
        <v>1159</v>
      </c>
      <c r="B104" s="212" t="str">
        <f>HYPERLINK("https://uva.onlinejudge.org/index.php?option=onlinejudge&amp;page=show_problem&amp;problem=442","UVA 501")</f>
        <v>UVA 501</v>
      </c>
      <c r="C104" s="159"/>
      <c r="D104" s="159"/>
      <c r="E104" s="159"/>
      <c r="F104" s="159"/>
      <c r="G104" s="159"/>
      <c r="H104" s="160"/>
      <c r="I104" s="57">
        <f t="shared" si="0"/>
        <v>0</v>
      </c>
      <c r="J104" s="26"/>
      <c r="K104" s="29"/>
      <c r="M104" s="184" t="str">
        <f>HYPERLINK("https://github.com/mostafa-saad/MyCompetitiveProgramming/blob/master/UVA/UVA_501.txt","Sol - Must Read")</f>
        <v>Sol - Must Read</v>
      </c>
    </row>
    <row r="105" spans="1:13" ht="13.2">
      <c r="A105" s="291" t="s">
        <v>1160</v>
      </c>
      <c r="B105" s="212" t="str">
        <f>HYPERLINK("https://uva.onlinejudge.org/index.php?option=com_onlinejudge&amp;Itemid=8&amp;page=show_problem&amp;problem=2175","UVA 11234")</f>
        <v>UVA 11234</v>
      </c>
      <c r="C105" s="159"/>
      <c r="D105" s="159"/>
      <c r="E105" s="159"/>
      <c r="F105" s="159"/>
      <c r="G105" s="159"/>
      <c r="H105" s="160"/>
      <c r="I105" s="57">
        <f t="shared" si="0"/>
        <v>0</v>
      </c>
      <c r="J105" s="26"/>
      <c r="K105" s="29"/>
      <c r="M105" s="184" t="str">
        <f>HYPERLINK("https://github.com/AbdelrahmanRamadan/competitive-programming/blob/master/UVA/11234%20-%20Expressions.cpp","Sol")</f>
        <v>Sol</v>
      </c>
    </row>
    <row r="106" spans="1:13" ht="13.2">
      <c r="A106" s="291" t="s">
        <v>1161</v>
      </c>
      <c r="B106" s="212" t="str">
        <f>HYPERLINK("http://www.spoj.com/problems/MSE07E/","SPOJ MSE07E")</f>
        <v>SPOJ MSE07E</v>
      </c>
      <c r="C106" s="159"/>
      <c r="D106" s="159"/>
      <c r="E106" s="159"/>
      <c r="F106" s="159"/>
      <c r="G106" s="159"/>
      <c r="H106" s="160"/>
      <c r="I106" s="57">
        <f t="shared" si="0"/>
        <v>0</v>
      </c>
      <c r="J106" s="26"/>
      <c r="K106" s="29"/>
      <c r="M106" s="184" t="str">
        <f>HYPERLINK("https://github.com/mostafa-saad/MyCompetitiveProgramming/blob/master/SPOJ/SPOJ_MSE07E.txt","Read SPOJ users' comments about IO. See here sol")</f>
        <v>Read SPOJ users' comments about IO. See here sol</v>
      </c>
    </row>
    <row r="107" spans="1:13" ht="13.2">
      <c r="A107" s="365" t="s">
        <v>1162</v>
      </c>
      <c r="B107" s="212" t="str">
        <f>HYPERLINK("http://www.spoj.com/problems/ANARC08A/","SPOJ ANARC08A")</f>
        <v>SPOJ ANARC08A</v>
      </c>
      <c r="C107" s="159"/>
      <c r="D107" s="159"/>
      <c r="E107" s="159"/>
      <c r="F107" s="159"/>
      <c r="G107" s="159"/>
      <c r="H107" s="160"/>
      <c r="I107" s="57">
        <f t="shared" si="0"/>
        <v>0</v>
      </c>
      <c r="J107" s="93"/>
      <c r="K107" s="92"/>
      <c r="M107" s="184" t="str">
        <f>HYPERLINK("https://github.com/mostafa-saad/MyCompetitiveProgramming/blob/master/SPOJ/SPOJ_ANARC08A.txt","Sol")</f>
        <v>Sol</v>
      </c>
    </row>
    <row r="108" spans="1:13" ht="13.2">
      <c r="A108" s="366" t="s">
        <v>1163</v>
      </c>
      <c r="B108" s="356" t="str">
        <f>HYPERLINK("https://uva.onlinejudge.org/index.php?option=com_onlinejudge&amp;Itemid=8&amp;page=show_problem&amp;problem=1360","UVA 10419")</f>
        <v>UVA 10419</v>
      </c>
      <c r="C108" s="159"/>
      <c r="D108" s="159"/>
      <c r="E108" s="159"/>
      <c r="F108" s="159"/>
      <c r="G108" s="159"/>
      <c r="H108" s="160"/>
      <c r="I108" s="57">
        <f t="shared" si="0"/>
        <v>0</v>
      </c>
      <c r="J108" s="62"/>
      <c r="K108" s="56"/>
      <c r="M108" s="184" t="str">
        <f>HYPERLINK("https://github.com/BRAINOOOO/CompetitiveProgramming/blob/master/UVA/V-104/UVA%2010419.Cpp","Sol")</f>
        <v>Sol</v>
      </c>
    </row>
    <row r="109" spans="1:13" ht="13.2">
      <c r="A109" s="367" t="s">
        <v>1164</v>
      </c>
      <c r="B109" s="350" t="str">
        <f>HYPERLINK("http://www.spoj.com/problems/HISTOGRA/","SPOJ HISTOGRA")</f>
        <v>SPOJ HISTOGRA</v>
      </c>
      <c r="C109" s="159"/>
      <c r="D109" s="159"/>
      <c r="E109" s="159"/>
      <c r="F109" s="159"/>
      <c r="G109" s="159"/>
      <c r="H109" s="160"/>
      <c r="I109" s="57">
        <f t="shared" si="0"/>
        <v>0</v>
      </c>
      <c r="J109" s="62"/>
      <c r="K109" s="56"/>
      <c r="M109" s="184" t="str">
        <f>HYPERLINK("https://github.com/mostafa-saad/MyCompetitiveProgramming/blob/master/SPOJ/SPOJ_HISTOGRA.txt","Sol. Don't implement as adhock/greedy/Pure STL. Use a data structure.")</f>
        <v>Sol. Don't implement as adhock/greedy/Pure STL. Use a data structure.</v>
      </c>
    </row>
    <row r="110" spans="1:13" ht="13.2">
      <c r="A110" s="368"/>
      <c r="B110" s="369" t="s">
        <v>1165</v>
      </c>
      <c r="C110" s="159"/>
      <c r="D110" s="159"/>
      <c r="E110" s="159"/>
      <c r="F110" s="159"/>
      <c r="G110" s="159"/>
      <c r="H110" s="160"/>
      <c r="I110" s="57">
        <f t="shared" si="0"/>
        <v>0</v>
      </c>
      <c r="J110" s="62"/>
      <c r="K110" s="56"/>
      <c r="M110" s="184" t="str">
        <f>HYPERLINK("https://github.com/BRAINOOOO/CompetitiveProgramming/blob/master/UVA/V-6/UVA%20663.Cpp","Sol")</f>
        <v>Sol</v>
      </c>
    </row>
    <row r="111" spans="1:13" ht="13.2">
      <c r="A111" s="370" t="str">
        <f>HYPERLINK("https://community.topcoder.com/stat?c=problem_statement&amp;pm=11282&amp;rd=14724","KingdomReorganization")</f>
        <v>KingdomReorganization</v>
      </c>
      <c r="B111" s="367" t="s">
        <v>1166</v>
      </c>
      <c r="C111" s="159"/>
      <c r="D111" s="159"/>
      <c r="E111" s="159"/>
      <c r="F111" s="159"/>
      <c r="G111" s="159"/>
      <c r="H111" s="160"/>
      <c r="I111" s="57">
        <f t="shared" si="0"/>
        <v>0</v>
      </c>
      <c r="J111" s="62"/>
      <c r="K111" s="56"/>
    </row>
    <row r="112" spans="1:13" ht="13.2">
      <c r="A112" s="368" t="s">
        <v>1167</v>
      </c>
      <c r="B112" s="350" t="str">
        <f>HYPERLINK("https://uva.onlinejudge.org/index.php?option=com_onlinejudge&amp;Itemid=8&amp;page=show_problem&amp;problem=1033","UVA 10092")</f>
        <v>UVA 10092</v>
      </c>
      <c r="C112" s="159"/>
      <c r="D112" s="159"/>
      <c r="E112" s="159"/>
      <c r="F112" s="159"/>
      <c r="G112" s="159"/>
      <c r="H112" s="160"/>
      <c r="I112" s="57">
        <f t="shared" si="0"/>
        <v>0</v>
      </c>
      <c r="J112" s="62"/>
      <c r="K112" s="56"/>
    </row>
    <row r="113" spans="1:13" ht="13.2">
      <c r="A113" s="368" t="s">
        <v>1168</v>
      </c>
      <c r="B113" s="350" t="str">
        <f>HYPERLINK("http://www.spoj.com/problems/PSYCHON/","SPOJ PSYCHON")</f>
        <v>SPOJ PSYCHON</v>
      </c>
      <c r="C113" s="159"/>
      <c r="D113" s="159"/>
      <c r="E113" s="159"/>
      <c r="F113" s="159"/>
      <c r="G113" s="159"/>
      <c r="H113" s="160"/>
      <c r="I113" s="57">
        <f t="shared" si="0"/>
        <v>0</v>
      </c>
      <c r="J113" s="62"/>
      <c r="K113" s="56"/>
    </row>
    <row r="114" spans="1:13" ht="13.2">
      <c r="A114" s="368" t="s">
        <v>1169</v>
      </c>
      <c r="B114" s="350" t="str">
        <f>HYPERLINK("https://icpcarchive.ecs.baylor.edu/index.php?option=onlinejudge&amp;page=show_problem&amp;problem=2327","LIVEARCHIVE 4326")</f>
        <v>LIVEARCHIVE 4326</v>
      </c>
      <c r="C114" s="159"/>
      <c r="D114" s="159"/>
      <c r="E114" s="159"/>
      <c r="F114" s="159"/>
      <c r="G114" s="159"/>
      <c r="H114" s="160"/>
      <c r="I114" s="57">
        <f t="shared" si="0"/>
        <v>0</v>
      </c>
      <c r="J114" s="62"/>
      <c r="K114" s="56"/>
    </row>
    <row r="115" spans="1:13" ht="13.2">
      <c r="A115" s="368" t="s">
        <v>1170</v>
      </c>
      <c r="B115" s="350" t="str">
        <f>HYPERLINK("https://uva.onlinejudge.org/index.php?option=com_onlinejudge&amp;Itemid=8&amp;page=show_problem&amp;problem=3675","UVA 1234")</f>
        <v>UVA 1234</v>
      </c>
      <c r="C115" s="159"/>
      <c r="D115" s="159"/>
      <c r="E115" s="159"/>
      <c r="F115" s="159"/>
      <c r="G115" s="159"/>
      <c r="H115" s="160"/>
      <c r="I115" s="57">
        <f t="shared" si="0"/>
        <v>0</v>
      </c>
      <c r="J115" s="62"/>
      <c r="K115" s="56"/>
      <c r="M115" s="184" t="str">
        <f>HYPERLINK("https://github.com/MohamedNabil97/CompetitiveProgramming/tree/master/UVA/1234.cpp","Sol")</f>
        <v>Sol</v>
      </c>
    </row>
    <row r="116" spans="1:13" ht="13.2">
      <c r="A116" s="370" t="str">
        <f>HYPERLINK("https://community.topcoder.com/stat?c=problem_statement&amp;pm=10750&amp;rd=14153","ActivateGame")</f>
        <v>ActivateGame</v>
      </c>
      <c r="B116" s="369" t="s">
        <v>1171</v>
      </c>
      <c r="C116" s="159"/>
      <c r="D116" s="159"/>
      <c r="E116" s="159"/>
      <c r="F116" s="159"/>
      <c r="G116" s="159"/>
      <c r="H116" s="160"/>
      <c r="I116" s="57">
        <f t="shared" si="0"/>
        <v>0</v>
      </c>
      <c r="J116" s="62"/>
      <c r="K116" s="56"/>
    </row>
    <row r="117" spans="1:13" ht="13.2">
      <c r="A117" s="257" t="s">
        <v>1172</v>
      </c>
      <c r="B117" s="281" t="str">
        <f>HYPERLINK("http://codeforces.com/contest/359/problem/D","CF359-D2-D")</f>
        <v>CF359-D2-D</v>
      </c>
      <c r="C117" s="159"/>
      <c r="D117" s="159"/>
      <c r="E117" s="159"/>
      <c r="F117" s="159"/>
      <c r="G117" s="159"/>
      <c r="H117" s="160"/>
      <c r="I117" s="57">
        <f t="shared" si="0"/>
        <v>0</v>
      </c>
      <c r="J117" s="26"/>
      <c r="K117" s="29"/>
      <c r="M117" s="184" t="str">
        <f>HYPERLINK("https://github.com/osamahatem/CompetitiveProgramming/blob/master/Codeforces/359D.%20Pair%20of%20Numbers.cpp","Sol")</f>
        <v>Sol</v>
      </c>
    </row>
    <row r="118" spans="1:13" ht="13.2">
      <c r="A118" s="282" t="s">
        <v>1173</v>
      </c>
      <c r="B118" s="282" t="s">
        <v>1174</v>
      </c>
      <c r="C118" s="159"/>
      <c r="D118" s="159"/>
      <c r="E118" s="159"/>
      <c r="F118" s="159"/>
      <c r="G118" s="159"/>
      <c r="H118" s="160"/>
      <c r="I118" s="57">
        <f t="shared" si="0"/>
        <v>0</v>
      </c>
      <c r="J118" s="26"/>
      <c r="K118" s="29"/>
    </row>
    <row r="119" spans="1:13" ht="13.2">
      <c r="A119" s="282" t="s">
        <v>1175</v>
      </c>
      <c r="B119" s="283" t="str">
        <f>HYPERLINK("https://uva.onlinejudge.org/index.php?option=onlinejudge&amp;page=show_problem&amp;problem=2321","UVa 11346")</f>
        <v>UVa 11346</v>
      </c>
      <c r="C119" s="159"/>
      <c r="D119" s="159"/>
      <c r="E119" s="159"/>
      <c r="F119" s="159"/>
      <c r="G119" s="159"/>
      <c r="H119" s="160"/>
      <c r="I119" s="57">
        <f t="shared" si="0"/>
        <v>0</v>
      </c>
      <c r="J119" s="26"/>
      <c r="K119" s="29"/>
      <c r="L119" s="29"/>
      <c r="M119" s="184" t="str">
        <f>HYPERLINK("https://github.com/VAMPIER000001/CompetitiveProgramming/blob/master/UVA/V-113/UVA%2011346.cpp","Sol")</f>
        <v>Sol</v>
      </c>
    </row>
    <row r="120" spans="1:13" ht="13.2">
      <c r="A120" s="282"/>
      <c r="B120" s="282" t="s">
        <v>1176</v>
      </c>
      <c r="C120" s="159"/>
      <c r="D120" s="159"/>
      <c r="E120" s="159"/>
      <c r="F120" s="159"/>
      <c r="G120" s="159"/>
      <c r="H120" s="160"/>
      <c r="I120" s="57">
        <f t="shared" si="0"/>
        <v>0</v>
      </c>
      <c r="J120" s="26"/>
      <c r="K120" s="29"/>
      <c r="L120" s="29"/>
      <c r="M120" s="238"/>
    </row>
    <row r="121" spans="1:13" ht="13.2">
      <c r="A121" s="282"/>
      <c r="B121" s="282" t="s">
        <v>1148</v>
      </c>
      <c r="C121" s="159"/>
      <c r="D121" s="159"/>
      <c r="E121" s="159"/>
      <c r="F121" s="159"/>
      <c r="G121" s="159"/>
      <c r="H121" s="160"/>
      <c r="I121" s="57">
        <f t="shared" si="0"/>
        <v>0</v>
      </c>
      <c r="J121" s="26"/>
      <c r="K121" s="29"/>
      <c r="L121" s="29"/>
      <c r="M121" s="184" t="str">
        <f>HYPERLINK("https://ideone.com/Hkl19P","Sol")</f>
        <v>Sol</v>
      </c>
    </row>
    <row r="122" spans="1:13" ht="13.2">
      <c r="A122" s="282"/>
      <c r="B122" s="283" t="str">
        <f>HYPERLINK("http://codeforces.com/contest/592/problem/D","CF592-D2-D")</f>
        <v>CF592-D2-D</v>
      </c>
      <c r="C122" s="159"/>
      <c r="D122" s="159"/>
      <c r="E122" s="159"/>
      <c r="F122" s="159"/>
      <c r="G122" s="159"/>
      <c r="H122" s="160"/>
      <c r="I122" s="57">
        <f t="shared" si="0"/>
        <v>0</v>
      </c>
      <c r="J122" s="26"/>
      <c r="K122" s="29"/>
      <c r="L122" s="29"/>
    </row>
    <row r="123" spans="1:13" ht="13.2">
      <c r="A123" s="282"/>
      <c r="B123" s="282" t="s">
        <v>1177</v>
      </c>
      <c r="C123" s="159"/>
      <c r="D123" s="159"/>
      <c r="E123" s="159"/>
      <c r="F123" s="159"/>
      <c r="G123" s="159"/>
      <c r="H123" s="160"/>
      <c r="I123" s="57">
        <f t="shared" si="0"/>
        <v>0</v>
      </c>
      <c r="J123" s="26"/>
      <c r="K123" s="29"/>
      <c r="L123" s="29"/>
      <c r="M123" s="184" t="str">
        <f>HYPERLINK("https://github.com/mostafa-saad/MyCompetitiveProgramming/blob/master/UVA/UVA_1218.txt","Sol")</f>
        <v>Sol</v>
      </c>
    </row>
    <row r="124" spans="1:13" ht="13.2">
      <c r="A124" s="282"/>
      <c r="B124" s="282" t="s">
        <v>1178</v>
      </c>
      <c r="C124" s="159"/>
      <c r="D124" s="159"/>
      <c r="E124" s="159"/>
      <c r="F124" s="159"/>
      <c r="G124" s="159"/>
      <c r="H124" s="160"/>
      <c r="I124" s="57">
        <f t="shared" si="0"/>
        <v>0</v>
      </c>
      <c r="J124" s="26"/>
      <c r="K124" s="29"/>
      <c r="L124" s="29"/>
      <c r="M124" s="184" t="str">
        <f>HYPERLINK("https://github.com/mostafa-saad/MyCompetitiveProgramming/blob/master/SPOJ/SPOJ_IOPC1207.txt","Sol")</f>
        <v>Sol</v>
      </c>
    </row>
    <row r="125" spans="1:13" ht="13.2">
      <c r="A125" s="282"/>
      <c r="B125" s="283" t="str">
        <f>HYPERLINK("https://codeforces.com/contest/867/problem/E","CF867-D12-E")</f>
        <v>CF867-D12-E</v>
      </c>
      <c r="C125" s="159"/>
      <c r="D125" s="159"/>
      <c r="E125" s="159"/>
      <c r="F125" s="159"/>
      <c r="G125" s="159"/>
      <c r="H125" s="160"/>
      <c r="I125" s="57">
        <f t="shared" si="0"/>
        <v>0</v>
      </c>
      <c r="J125" s="26"/>
      <c r="K125" s="29"/>
      <c r="L125" s="29"/>
    </row>
    <row r="126" spans="1:13" ht="13.2">
      <c r="A126" s="166"/>
      <c r="C126" s="159"/>
      <c r="D126" s="159"/>
      <c r="E126" s="159"/>
      <c r="F126" s="159"/>
      <c r="G126" s="159"/>
      <c r="H126" s="160"/>
      <c r="I126" s="57">
        <f t="shared" si="0"/>
        <v>0</v>
      </c>
      <c r="J126" s="62"/>
      <c r="K126" s="56"/>
      <c r="L126" s="29"/>
    </row>
    <row r="127" spans="1:13" ht="13.2">
      <c r="A127" s="86" t="s">
        <v>1179</v>
      </c>
      <c r="B127" s="164" t="str">
        <f>HYPERLINK("http://codeforces.com/contest/189/problem/D","CF189-D2-D")</f>
        <v>CF189-D2-D</v>
      </c>
      <c r="C127" s="159"/>
      <c r="D127" s="159"/>
      <c r="E127" s="159"/>
      <c r="F127" s="159"/>
      <c r="G127" s="159"/>
      <c r="H127" s="160"/>
      <c r="I127" s="57">
        <f t="shared" si="0"/>
        <v>0</v>
      </c>
      <c r="J127" s="26"/>
      <c r="K127" s="29"/>
      <c r="M127" s="184" t="str">
        <f>HYPERLINK("https://github.com/OmarMekkawy/Problems-Solved-Codes/blob/master/CodeForces/189D.cpp","Sol")</f>
        <v>Sol</v>
      </c>
    </row>
    <row r="128" spans="1:13" ht="13.2">
      <c r="A128" s="86" t="s">
        <v>1180</v>
      </c>
      <c r="B128" s="164" t="str">
        <f>HYPERLINK("http://codeforces.com/contest/604/problem/D","CF604-D2-D")</f>
        <v>CF604-D2-D</v>
      </c>
      <c r="C128" s="159"/>
      <c r="D128" s="159"/>
      <c r="E128" s="159"/>
      <c r="F128" s="159"/>
      <c r="G128" s="159"/>
      <c r="H128" s="160"/>
      <c r="I128" s="57">
        <f t="shared" si="0"/>
        <v>0</v>
      </c>
      <c r="J128" s="26"/>
      <c r="K128" s="29"/>
      <c r="M128" s="184" t="str">
        <f>HYPERLINK("https://github.com/MohamedNabil97/CompetitiveProgramming/blob/master/CodeForces/CF604-D2-D.cpp","Sol")</f>
        <v>Sol</v>
      </c>
    </row>
    <row r="129" spans="1:13" ht="13.2">
      <c r="A129" s="166" t="s">
        <v>1181</v>
      </c>
      <c r="B129" s="354" t="str">
        <f>HYPERLINK("http://codeforces.com/contest/122/problem/D","CF122-D2-D")</f>
        <v>CF122-D2-D</v>
      </c>
      <c r="C129" s="159"/>
      <c r="D129" s="159"/>
      <c r="E129" s="159"/>
      <c r="F129" s="159"/>
      <c r="G129" s="159"/>
      <c r="H129" s="160"/>
      <c r="I129" s="57">
        <f t="shared" si="0"/>
        <v>0</v>
      </c>
      <c r="J129" s="62"/>
      <c r="K129" s="56"/>
    </row>
    <row r="130" spans="1:13" ht="13.2">
      <c r="A130" s="166" t="s">
        <v>1182</v>
      </c>
      <c r="B130" s="354" t="str">
        <f>HYPERLINK("http://codeforces.com/contest/239/problem/D","CF239-D2-D")</f>
        <v>CF239-D2-D</v>
      </c>
      <c r="C130" s="159"/>
      <c r="D130" s="159"/>
      <c r="E130" s="159"/>
      <c r="F130" s="159"/>
      <c r="G130" s="159"/>
      <c r="H130" s="160"/>
      <c r="I130" s="57">
        <f t="shared" si="0"/>
        <v>0</v>
      </c>
      <c r="J130" s="62"/>
      <c r="K130" s="56"/>
      <c r="M130" s="184" t="str">
        <f>HYPERLINK("https://github.com/MedoN11/CompetitiveProgramming/blob/master/CodeForces/CF239-D2-D.java","Sol. Find proof (See editorial comments)")</f>
        <v>Sol. Find proof (See editorial comments)</v>
      </c>
    </row>
    <row r="131" spans="1:13" ht="13.2">
      <c r="A131" s="86" t="s">
        <v>1183</v>
      </c>
      <c r="B131" s="87" t="str">
        <f>HYPERLINK("http://codeforces.com/contest/599/problem/D","CF599-D2-D")</f>
        <v>CF599-D2-D</v>
      </c>
      <c r="C131" s="159"/>
      <c r="D131" s="159"/>
      <c r="E131" s="159"/>
      <c r="F131" s="159"/>
      <c r="G131" s="159"/>
      <c r="H131" s="160"/>
      <c r="I131" s="57">
        <f t="shared" si="0"/>
        <v>0</v>
      </c>
      <c r="J131" s="93"/>
      <c r="K131" s="92"/>
    </row>
    <row r="132" spans="1:13" ht="13.2">
      <c r="A132" s="86" t="s">
        <v>1184</v>
      </c>
      <c r="B132" s="164" t="str">
        <f>HYPERLINK("http://codeforces.com/contest/9/problem/D","CF9-D2-D")</f>
        <v>CF9-D2-D</v>
      </c>
      <c r="C132" s="159"/>
      <c r="D132" s="159"/>
      <c r="E132" s="159"/>
      <c r="F132" s="159"/>
      <c r="G132" s="159"/>
      <c r="H132" s="160"/>
      <c r="I132" s="57">
        <f t="shared" si="0"/>
        <v>0</v>
      </c>
      <c r="J132" s="93"/>
      <c r="K132" s="92"/>
    </row>
    <row r="133" spans="1:13" ht="13.2">
      <c r="A133" s="86"/>
      <c r="B133" s="164" t="str">
        <f>HYPERLINK("http://codeforces.com/contest/1043/problem/E","CF1043-D12-E")</f>
        <v>CF1043-D12-E</v>
      </c>
      <c r="C133" s="159"/>
      <c r="D133" s="159"/>
      <c r="E133" s="159"/>
      <c r="F133" s="159"/>
      <c r="G133" s="159"/>
      <c r="H133" s="160"/>
      <c r="I133" s="57">
        <f t="shared" si="0"/>
        <v>0</v>
      </c>
      <c r="J133" s="93"/>
      <c r="K133" s="92"/>
    </row>
    <row r="134" spans="1:13" ht="13.2">
      <c r="A134" s="86"/>
      <c r="B134" s="86" t="s">
        <v>1185</v>
      </c>
      <c r="C134" s="159"/>
      <c r="D134" s="159"/>
      <c r="E134" s="159"/>
      <c r="F134" s="159"/>
      <c r="G134" s="159"/>
      <c r="H134" s="160"/>
      <c r="I134" s="57">
        <f t="shared" si="0"/>
        <v>0</v>
      </c>
      <c r="J134" s="93"/>
      <c r="K134" s="92"/>
      <c r="M134" s="184" t="str">
        <f>HYPERLINK("https://github.com/jebouin/CompetitiveProgramming/blob/master/UVA/UVA%2010982.cpp","Sol")</f>
        <v>Sol</v>
      </c>
    </row>
    <row r="135" spans="1:13" ht="13.2">
      <c r="A135" s="86"/>
      <c r="B135" s="164" t="str">
        <f>HYPERLINK("https://codeforces.com/contest/1060/problem/D","CF1060-D12-D")</f>
        <v>CF1060-D12-D</v>
      </c>
      <c r="C135" s="159"/>
      <c r="D135" s="159"/>
      <c r="E135" s="159"/>
      <c r="F135" s="159"/>
      <c r="G135" s="159"/>
      <c r="H135" s="160"/>
      <c r="I135" s="57">
        <f t="shared" si="0"/>
        <v>0</v>
      </c>
      <c r="J135" s="93"/>
      <c r="K135" s="92"/>
    </row>
    <row r="136" spans="1:13" ht="13.2">
      <c r="A136" s="214" t="s">
        <v>1186</v>
      </c>
      <c r="B136" s="286" t="str">
        <f>HYPERLINK("http://codeforces.com/contest/104/problem/C","CF104-D2-C")</f>
        <v>CF104-D2-C</v>
      </c>
      <c r="C136" s="159"/>
      <c r="D136" s="159"/>
      <c r="E136" s="159"/>
      <c r="F136" s="159"/>
      <c r="G136" s="159"/>
      <c r="H136" s="160"/>
      <c r="I136" s="57">
        <f t="shared" si="0"/>
        <v>0</v>
      </c>
      <c r="J136" s="93"/>
      <c r="K136" s="92"/>
    </row>
    <row r="137" spans="1:13" ht="13.2">
      <c r="A137" s="214" t="s">
        <v>1187</v>
      </c>
      <c r="B137" s="286" t="str">
        <f>HYPERLINK("http://codeforces.com/contest/508/problem/C","CF508-D2-C")</f>
        <v>CF508-D2-C</v>
      </c>
      <c r="C137" s="159"/>
      <c r="D137" s="159"/>
      <c r="E137" s="159"/>
      <c r="F137" s="159"/>
      <c r="G137" s="159"/>
      <c r="H137" s="160"/>
      <c r="I137" s="57">
        <f t="shared" si="0"/>
        <v>0</v>
      </c>
      <c r="J137" s="93"/>
      <c r="K137" s="92"/>
    </row>
    <row r="138" spans="1:13" ht="13.2">
      <c r="A138" s="214" t="s">
        <v>1188</v>
      </c>
      <c r="B138" s="233" t="str">
        <f>HYPERLINK("http://codeforces.com/contest/895/problem/C","CF448-D2-C")</f>
        <v>CF448-D2-C</v>
      </c>
      <c r="C138" s="159"/>
      <c r="D138" s="159"/>
      <c r="E138" s="159"/>
      <c r="F138" s="159"/>
      <c r="G138" s="159"/>
      <c r="H138" s="160"/>
      <c r="I138" s="57">
        <f t="shared" si="0"/>
        <v>0</v>
      </c>
      <c r="J138" s="93"/>
      <c r="K138" s="92"/>
    </row>
    <row r="139" spans="1:13" ht="13.2">
      <c r="A139" s="166"/>
      <c r="C139" s="159"/>
      <c r="D139" s="159"/>
      <c r="E139" s="159"/>
      <c r="F139" s="159"/>
      <c r="G139" s="159"/>
      <c r="H139" s="160"/>
      <c r="I139" s="57">
        <f t="shared" si="0"/>
        <v>0</v>
      </c>
      <c r="J139" s="62"/>
      <c r="K139" s="56"/>
    </row>
    <row r="140" spans="1:13" ht="13.2">
      <c r="A140" s="257" t="s">
        <v>1189</v>
      </c>
      <c r="B140" s="350" t="str">
        <f>HYPERLINK("https://uva.onlinejudge.org/index.php?option=onlinejudge&amp;page=show_problem&amp;problem=2501","UVA 11506")</f>
        <v>UVA 11506</v>
      </c>
      <c r="C140" s="159"/>
      <c r="D140" s="159"/>
      <c r="E140" s="159"/>
      <c r="F140" s="159"/>
      <c r="G140" s="159"/>
      <c r="H140" s="160"/>
      <c r="I140" s="57">
        <f t="shared" si="0"/>
        <v>0</v>
      </c>
      <c r="J140" s="62"/>
      <c r="K140" s="56"/>
      <c r="M140" s="184" t="str">
        <f>HYPERLINK("https://github.com/abdullaAshraf/Problem-Solving/blob/master/UVA/11506.cpp","Sol")</f>
        <v>Sol</v>
      </c>
    </row>
    <row r="141" spans="1:13" ht="13.2">
      <c r="A141" s="279" t="s">
        <v>1190</v>
      </c>
      <c r="B141" s="350" t="str">
        <f>HYPERLINK("https://uva.onlinejudge.org/index.php?option=com_onlinejudge&amp;Itemid=8&amp;page=show_problem&amp;problem=1683","UVA 10742")</f>
        <v>UVA 10742</v>
      </c>
      <c r="C141" s="159"/>
      <c r="D141" s="159"/>
      <c r="E141" s="159"/>
      <c r="F141" s="159"/>
      <c r="G141" s="159"/>
      <c r="H141" s="160"/>
      <c r="I141" s="57">
        <f t="shared" si="0"/>
        <v>0</v>
      </c>
      <c r="J141" s="62"/>
      <c r="K141" s="56"/>
      <c r="M141" s="184" t="str">
        <f>HYPERLINK("https://github.com/abdullaAshraf/Problem-Solving/blob/master/UVA/10742.cpp","Sol")</f>
        <v>Sol</v>
      </c>
    </row>
    <row r="142" spans="1:13" ht="13.2">
      <c r="A142" s="291" t="s">
        <v>1191</v>
      </c>
      <c r="B142" s="212" t="str">
        <f>HYPERLINK("http://www.spoj.com/problems/MULTQ3/","SPOJ MULTQ3")</f>
        <v>SPOJ MULTQ3</v>
      </c>
      <c r="C142" s="159"/>
      <c r="D142" s="159"/>
      <c r="E142" s="159"/>
      <c r="F142" s="159"/>
      <c r="G142" s="159"/>
      <c r="H142" s="160"/>
      <c r="I142" s="57">
        <f t="shared" si="0"/>
        <v>0</v>
      </c>
      <c r="J142" s="26"/>
      <c r="K142" s="29"/>
      <c r="M142" s="184" t="str">
        <f>HYPERLINK("https://github.com/BRAINOOOO/CompetitiveProgramming/blob/master/Spoj/SPOJ%20MULTQ3.Cpp","Sol")</f>
        <v>Sol</v>
      </c>
    </row>
    <row r="143" spans="1:13" ht="13.2">
      <c r="A143" s="370" t="str">
        <f>HYPERLINK("https://community.topcoder.com/stat?c=problem_statement&amp;pm=11049&amp;rd=14245","TimeTravellingSalesman")</f>
        <v>TimeTravellingSalesman</v>
      </c>
      <c r="B143" s="369" t="s">
        <v>1192</v>
      </c>
      <c r="C143" s="159"/>
      <c r="D143" s="159"/>
      <c r="E143" s="159"/>
      <c r="F143" s="159"/>
      <c r="G143" s="159"/>
      <c r="H143" s="160"/>
      <c r="I143" s="57">
        <f t="shared" si="0"/>
        <v>0</v>
      </c>
      <c r="J143" s="62"/>
      <c r="K143" s="56"/>
    </row>
    <row r="144" spans="1:13" ht="13.2">
      <c r="A144" s="279" t="s">
        <v>1193</v>
      </c>
      <c r="B144" s="350" t="str">
        <f>HYPERLINK("https://uva.onlinejudge.org/index.php?option=com_onlinejudge&amp;Itemid=8&amp;page=show_problem&amp;problem=3277","UVA 12125")</f>
        <v>UVA 12125</v>
      </c>
      <c r="C144" s="159"/>
      <c r="D144" s="159"/>
      <c r="E144" s="159"/>
      <c r="F144" s="159"/>
      <c r="G144" s="159"/>
      <c r="H144" s="160"/>
      <c r="I144" s="57">
        <f t="shared" si="0"/>
        <v>0</v>
      </c>
      <c r="J144" s="62"/>
      <c r="K144" s="56"/>
      <c r="M144" s="184" t="str">
        <f>HYPERLINK("https://github.com/mostafa-saad/MyCompetitiveProgramming/blob/master/UVA/UVA_12125.txt","Sol")</f>
        <v>Sol</v>
      </c>
    </row>
    <row r="145" spans="1:13" ht="13.2">
      <c r="A145" s="371" t="str">
        <f>HYPERLINK("https://community.topcoder.com/stat?c=problem_statement&amp;pm=10580","PeopleYouMayKnow")</f>
        <v>PeopleYouMayKnow</v>
      </c>
      <c r="B145" s="369" t="s">
        <v>1194</v>
      </c>
      <c r="C145" s="159"/>
      <c r="D145" s="159"/>
      <c r="E145" s="159"/>
      <c r="F145" s="159"/>
      <c r="G145" s="159"/>
      <c r="H145" s="160"/>
      <c r="I145" s="57">
        <f t="shared" si="0"/>
        <v>0</v>
      </c>
      <c r="J145" s="62"/>
      <c r="K145" s="56"/>
      <c r="M145" s="210" t="str">
        <f>HYPERLINK("https://github.com/MohamedNabil97/CompetitiveProgramming/blob/master/TopCoder/SRM447-D1-500.cpp","Don't use DP. Check it later in editorial. Sol")</f>
        <v>Don't use DP. Check it later in editorial. Sol</v>
      </c>
    </row>
    <row r="146" spans="1:13" ht="13.2">
      <c r="A146" s="279" t="s">
        <v>1195</v>
      </c>
      <c r="B146" s="350" t="str">
        <f>HYPERLINK("https://uva.onlinejudge.org/index.php?option=com_onlinejudge&amp;Itemid=8&amp;page=show_problem&amp;problem=1519","UVA 10578")</f>
        <v>UVA 10578</v>
      </c>
      <c r="C146" s="159"/>
      <c r="D146" s="159"/>
      <c r="E146" s="159"/>
      <c r="F146" s="159"/>
      <c r="G146" s="159"/>
      <c r="H146" s="160"/>
      <c r="I146" s="57">
        <f t="shared" si="0"/>
        <v>0</v>
      </c>
      <c r="J146" s="62"/>
      <c r="K146" s="56"/>
      <c r="M146" s="210" t="str">
        <f>HYPERLINK("https://github.com/abdullaAshraf/Problem-Solving/blob/master/UVA/10578.cpp","Sol")</f>
        <v>Sol</v>
      </c>
    </row>
    <row r="147" spans="1:13" ht="13.2">
      <c r="A147" s="279" t="s">
        <v>1196</v>
      </c>
      <c r="B147" s="350" t="str">
        <f>HYPERLINK("http://www.spoj.com/problems/GSS4","SPOJ GSS4")</f>
        <v>SPOJ GSS4</v>
      </c>
      <c r="C147" s="159"/>
      <c r="D147" s="159"/>
      <c r="E147" s="159"/>
      <c r="F147" s="159"/>
      <c r="G147" s="159"/>
      <c r="H147" s="160"/>
      <c r="I147" s="57">
        <f t="shared" si="0"/>
        <v>0</v>
      </c>
      <c r="J147" s="62"/>
      <c r="K147" s="56"/>
      <c r="M147" s="210" t="str">
        <f>HYPERLINK("https://github.com/abdullaAshraf/Problem-Solving/blob/master/SPOJ/GSS4.cpp","Sol")</f>
        <v>Sol</v>
      </c>
    </row>
    <row r="148" spans="1:13" ht="13.2">
      <c r="A148" s="279" t="s">
        <v>1197</v>
      </c>
      <c r="B148" s="350" t="str">
        <f>HYPERLINK("acm.tju.edu.cn/toj/showp1011.html","TJU 1011")</f>
        <v>TJU 1011</v>
      </c>
      <c r="C148" s="159"/>
      <c r="D148" s="159"/>
      <c r="E148" s="159"/>
      <c r="F148" s="159"/>
      <c r="G148" s="159"/>
      <c r="H148" s="160"/>
      <c r="I148" s="57">
        <f t="shared" si="0"/>
        <v>0</v>
      </c>
      <c r="J148" s="62"/>
      <c r="K148" s="56"/>
      <c r="M148" s="210" t="str">
        <f>HYPERLINK("https://github.com/MedoN11/CompetitiveProgramming/blob/master/TJU/1011.cpp","Sol")</f>
        <v>Sol</v>
      </c>
    </row>
    <row r="149" spans="1:13" ht="13.2">
      <c r="A149" s="279" t="s">
        <v>1198</v>
      </c>
      <c r="B149" s="350" t="str">
        <f>HYPERLINK("http://codeforces.com/contest/801/problem/D","CF801-D2-D")</f>
        <v>CF801-D2-D</v>
      </c>
      <c r="C149" s="159"/>
      <c r="D149" s="159"/>
      <c r="E149" s="159"/>
      <c r="F149" s="159"/>
      <c r="G149" s="159"/>
      <c r="H149" s="160"/>
      <c r="I149" s="57">
        <f t="shared" si="0"/>
        <v>0</v>
      </c>
      <c r="J149" s="62"/>
      <c r="K149" s="56"/>
      <c r="L149" s="185"/>
      <c r="M149" s="236" t="str">
        <f>HYPERLINK("https://github.com/MeGaCrazy/CompetitiveProgramming/blob/ff934b5231a55818d401805db5e0caa0720a1fa4/Codeforces/CF801-D2-D.cpp","Sol")</f>
        <v>Sol</v>
      </c>
    </row>
    <row r="150" spans="1:13" ht="13.2">
      <c r="A150" s="372" t="s">
        <v>1199</v>
      </c>
      <c r="B150" s="373" t="str">
        <f>HYPERLINK("https://uva.onlinejudge.org/index.php?option=onlinejudge&amp;page=show_problem&amp;problem=1928","UVA 10987")</f>
        <v>UVA 10987</v>
      </c>
      <c r="C150" s="159"/>
      <c r="D150" s="159"/>
      <c r="E150" s="159"/>
      <c r="F150" s="159"/>
      <c r="G150" s="159"/>
      <c r="H150" s="160"/>
      <c r="I150" s="57">
        <f t="shared" si="0"/>
        <v>0</v>
      </c>
      <c r="J150" s="93"/>
      <c r="K150" s="92"/>
      <c r="M150" s="210" t="str">
        <f>HYPERLINK("https://github.com/abdullaAshraf/Problem-Solving/blob/master/UVA/10987.cpp","Sol")</f>
        <v>Sol</v>
      </c>
    </row>
    <row r="151" spans="1:13" ht="13.2">
      <c r="A151" s="291" t="s">
        <v>1200</v>
      </c>
      <c r="B151" s="292" t="str">
        <f>HYPERLINK("http://codeforces.com/contest/631/problem/D","CF631-D2-D")</f>
        <v>CF631-D2-D</v>
      </c>
      <c r="C151" s="159"/>
      <c r="D151" s="159"/>
      <c r="E151" s="159"/>
      <c r="F151" s="159"/>
      <c r="G151" s="159"/>
      <c r="H151" s="160"/>
      <c r="I151" s="57">
        <f t="shared" si="0"/>
        <v>0</v>
      </c>
      <c r="J151" s="93"/>
      <c r="K151" s="92"/>
      <c r="L151" s="29"/>
      <c r="M151" s="29"/>
    </row>
    <row r="152" spans="1:13" ht="13.2">
      <c r="A152" s="291"/>
      <c r="B152" s="291" t="s">
        <v>1201</v>
      </c>
      <c r="C152" s="159"/>
      <c r="D152" s="159"/>
      <c r="E152" s="159"/>
      <c r="F152" s="159"/>
      <c r="G152" s="159"/>
      <c r="H152" s="160"/>
      <c r="I152" s="57">
        <f t="shared" si="0"/>
        <v>0</v>
      </c>
      <c r="J152" s="93"/>
      <c r="K152" s="92"/>
      <c r="L152" s="29"/>
      <c r="M152" s="29"/>
    </row>
    <row r="153" spans="1:13" ht="13.2">
      <c r="A153" s="291"/>
      <c r="B153" s="291" t="s">
        <v>1202</v>
      </c>
      <c r="C153" s="159"/>
      <c r="D153" s="159"/>
      <c r="E153" s="159"/>
      <c r="F153" s="159"/>
      <c r="G153" s="159"/>
      <c r="H153" s="160"/>
      <c r="I153" s="57">
        <f t="shared" si="0"/>
        <v>0</v>
      </c>
      <c r="J153" s="93"/>
      <c r="K153" s="92"/>
      <c r="L153" s="29"/>
      <c r="M153" s="29"/>
    </row>
    <row r="154" spans="1:13" ht="13.2">
      <c r="A154" s="291"/>
      <c r="B154" s="292" t="str">
        <f>HYPERLINK("http://codeforces.com/contest/280/problem/C","CF280-D1-C")</f>
        <v>CF280-D1-C</v>
      </c>
      <c r="C154" s="159"/>
      <c r="D154" s="159"/>
      <c r="E154" s="159"/>
      <c r="F154" s="159"/>
      <c r="G154" s="159"/>
      <c r="H154" s="160"/>
      <c r="I154" s="57">
        <f t="shared" si="0"/>
        <v>0</v>
      </c>
      <c r="J154" s="93"/>
      <c r="K154" s="92"/>
      <c r="L154" s="29"/>
      <c r="M154" s="29"/>
    </row>
    <row r="155" spans="1:13" ht="13.2">
      <c r="A155" s="291"/>
      <c r="B155" s="292" t="str">
        <f>HYPERLINK("http://codeforces.com/contest/110/problem/D","CF110-D2-D")</f>
        <v>CF110-D2-D</v>
      </c>
      <c r="C155" s="159"/>
      <c r="D155" s="159"/>
      <c r="E155" s="159"/>
      <c r="F155" s="159"/>
      <c r="G155" s="159"/>
      <c r="H155" s="160"/>
      <c r="I155" s="57">
        <f t="shared" si="0"/>
        <v>0</v>
      </c>
      <c r="J155" s="93"/>
      <c r="K155" s="92"/>
      <c r="L155" s="29"/>
      <c r="M155" s="29"/>
    </row>
    <row r="156" spans="1:13" ht="13.2">
      <c r="A156" s="291"/>
      <c r="B156" s="292" t="str">
        <f>HYPERLINK("http://codeforces.com/contest/163/problem/C","CF163-D12-C")</f>
        <v>CF163-D12-C</v>
      </c>
      <c r="C156" s="159"/>
      <c r="D156" s="159"/>
      <c r="E156" s="159"/>
      <c r="F156" s="159"/>
      <c r="G156" s="159"/>
      <c r="H156" s="160"/>
      <c r="I156" s="57">
        <f t="shared" si="0"/>
        <v>0</v>
      </c>
      <c r="J156" s="93"/>
      <c r="K156" s="92"/>
      <c r="L156" s="29"/>
      <c r="M156" s="29"/>
    </row>
    <row r="157" spans="1:13" ht="13.2">
      <c r="A157" s="291"/>
      <c r="B157" s="292" t="str">
        <f>HYPERLINK("http://codeforces.com/contest/455/problem/B","CF455-D1-B")</f>
        <v>CF455-D1-B</v>
      </c>
      <c r="C157" s="159"/>
      <c r="D157" s="159"/>
      <c r="E157" s="159"/>
      <c r="F157" s="159"/>
      <c r="G157" s="159"/>
      <c r="H157" s="160"/>
      <c r="I157" s="57">
        <f t="shared" si="0"/>
        <v>0</v>
      </c>
      <c r="J157" s="93"/>
      <c r="K157" s="92"/>
      <c r="L157" s="29"/>
      <c r="M157" s="29"/>
    </row>
    <row r="158" spans="1:13" ht="13.2">
      <c r="A158" s="166"/>
      <c r="C158" s="159"/>
      <c r="D158" s="159"/>
      <c r="E158" s="159"/>
      <c r="F158" s="159"/>
      <c r="G158" s="159"/>
      <c r="H158" s="160"/>
      <c r="I158" s="57">
        <f t="shared" si="0"/>
        <v>0</v>
      </c>
      <c r="J158" s="62"/>
      <c r="K158" s="56"/>
      <c r="L158" s="29"/>
      <c r="M158" s="86"/>
    </row>
    <row r="159" spans="1:13" ht="13.2">
      <c r="A159" s="166" t="s">
        <v>1203</v>
      </c>
      <c r="B159" s="354" t="str">
        <f>HYPERLINK("http://codeforces.com/contest/197/problem/D","CF197-D2-D")</f>
        <v>CF197-D2-D</v>
      </c>
      <c r="C159" s="159"/>
      <c r="D159" s="159"/>
      <c r="E159" s="159"/>
      <c r="F159" s="159"/>
      <c r="G159" s="159"/>
      <c r="H159" s="160"/>
      <c r="I159" s="57">
        <f t="shared" si="0"/>
        <v>0</v>
      </c>
      <c r="J159" s="62"/>
      <c r="K159" s="56"/>
      <c r="L159" s="29"/>
      <c r="M159" s="86"/>
    </row>
    <row r="160" spans="1:13" ht="13.2">
      <c r="A160" s="166" t="s">
        <v>1204</v>
      </c>
      <c r="B160" s="354" t="str">
        <f>HYPERLINK("http://codeforces.com/contest/352/problem/D","CF352-D2-D")</f>
        <v>CF352-D2-D</v>
      </c>
      <c r="C160" s="159"/>
      <c r="D160" s="159"/>
      <c r="E160" s="159"/>
      <c r="F160" s="159"/>
      <c r="G160" s="159"/>
      <c r="H160" s="160"/>
      <c r="I160" s="57">
        <f t="shared" si="0"/>
        <v>0</v>
      </c>
      <c r="J160" s="62"/>
      <c r="K160" s="56"/>
      <c r="L160" s="29"/>
      <c r="M160" s="210" t="str">
        <f>HYPERLINK("https://github.com/BRAINOOOO/CompetitiveProgramming/blob/0577cb43f4a000eca9870ccc375c95381224aed1/CF/CF352-D2-D","Sol")</f>
        <v>Sol</v>
      </c>
    </row>
    <row r="161" spans="1:13" ht="13.2">
      <c r="A161" s="166" t="s">
        <v>1205</v>
      </c>
      <c r="B161" s="374" t="str">
        <f>HYPERLINK("http://codeforces.com/contest/812/problem/D","CF812-D2-D")</f>
        <v>CF812-D2-D</v>
      </c>
      <c r="C161" s="159"/>
      <c r="D161" s="159"/>
      <c r="E161" s="159"/>
      <c r="F161" s="159"/>
      <c r="G161" s="159"/>
      <c r="H161" s="160"/>
      <c r="I161" s="57">
        <f t="shared" si="0"/>
        <v>0</v>
      </c>
      <c r="J161" s="62"/>
      <c r="K161" s="56"/>
      <c r="L161" s="29"/>
      <c r="M161" s="210" t="str">
        <f>HYPERLINK("https://github.com/BRAINOOOO/CompetitiveProgramming/blob/master/CF/CF812-D2-D","Sol")</f>
        <v>Sol</v>
      </c>
    </row>
    <row r="162" spans="1:13" ht="13.2">
      <c r="A162" s="86" t="s">
        <v>1206</v>
      </c>
      <c r="B162" s="185" t="str">
        <f>HYPERLINK("http://codeforces.com/contest/242/problem/D","CF242-D2-D")</f>
        <v>CF242-D2-D</v>
      </c>
      <c r="C162" s="159"/>
      <c r="D162" s="159"/>
      <c r="E162" s="159"/>
      <c r="F162" s="159"/>
      <c r="G162" s="159"/>
      <c r="H162" s="160"/>
      <c r="I162" s="57">
        <f t="shared" si="0"/>
        <v>0</v>
      </c>
      <c r="J162" s="93"/>
      <c r="K162" s="92"/>
      <c r="L162" s="29"/>
      <c r="M162" s="29"/>
    </row>
    <row r="163" spans="1:13" ht="13.2">
      <c r="A163" s="86" t="s">
        <v>1207</v>
      </c>
      <c r="B163" s="295" t="str">
        <f>HYPERLINK("http://codeforces.com/contest/688/problem/D","CF688-D2-D")</f>
        <v>CF688-D2-D</v>
      </c>
      <c r="C163" s="159"/>
      <c r="D163" s="159"/>
      <c r="E163" s="159"/>
      <c r="F163" s="159"/>
      <c r="G163" s="159"/>
      <c r="H163" s="160"/>
      <c r="I163" s="57">
        <f t="shared" si="0"/>
        <v>0</v>
      </c>
      <c r="J163" s="93"/>
      <c r="K163" s="92"/>
      <c r="L163" s="29"/>
      <c r="M163" s="29"/>
    </row>
    <row r="164" spans="1:13" ht="13.2">
      <c r="A164" s="158"/>
      <c r="B164" s="295" t="str">
        <f>HYPERLINK("http://codeforces.com/contest/1075/problem/D","CF1075-D2-D")</f>
        <v>CF1075-D2-D</v>
      </c>
      <c r="C164" s="159"/>
      <c r="D164" s="159"/>
      <c r="E164" s="159"/>
      <c r="F164" s="159"/>
      <c r="G164" s="159"/>
      <c r="H164" s="160"/>
      <c r="I164" s="57">
        <f t="shared" si="0"/>
        <v>0</v>
      </c>
      <c r="J164" s="93"/>
      <c r="K164" s="92"/>
      <c r="L164" s="29"/>
      <c r="M164" s="29"/>
    </row>
    <row r="165" spans="1:13" ht="13.2">
      <c r="A165" s="158"/>
      <c r="B165" s="295" t="str">
        <f>HYPERLINK("http://codeforces.com/problemset/problem/1033/D", "CF1033-D12-D")</f>
        <v>CF1033-D12-D</v>
      </c>
      <c r="C165" s="159"/>
      <c r="D165" s="159"/>
      <c r="E165" s="159"/>
      <c r="F165" s="159"/>
      <c r="G165" s="159"/>
      <c r="H165" s="160"/>
      <c r="I165" s="57">
        <f t="shared" si="0"/>
        <v>0</v>
      </c>
      <c r="J165" s="93"/>
      <c r="K165" s="92"/>
      <c r="L165" s="29"/>
      <c r="M165" s="29"/>
    </row>
    <row r="166" spans="1:13" ht="13.2">
      <c r="A166" s="158"/>
      <c r="B166" s="295" t="str">
        <f>HYPERLINK("http://codeforces.com/problemset/problem/442/B","CF442-D1-B")</f>
        <v>CF442-D1-B</v>
      </c>
      <c r="C166" s="159"/>
      <c r="D166" s="159"/>
      <c r="E166" s="159"/>
      <c r="F166" s="159"/>
      <c r="G166" s="159"/>
      <c r="H166" s="160"/>
      <c r="I166" s="57">
        <f t="shared" si="0"/>
        <v>0</v>
      </c>
      <c r="J166" s="93"/>
      <c r="K166" s="92"/>
      <c r="L166" s="29"/>
      <c r="M166" s="29"/>
    </row>
    <row r="167" spans="1:13" ht="13.2">
      <c r="A167" s="158"/>
      <c r="B167" s="295" t="str">
        <f>HYPERLINK("http://codeforces.com/contest/1025/problem/D","CF1025-D2-D")</f>
        <v>CF1025-D2-D</v>
      </c>
      <c r="C167" s="159"/>
      <c r="D167" s="159"/>
      <c r="E167" s="159"/>
      <c r="F167" s="159"/>
      <c r="G167" s="159"/>
      <c r="H167" s="160"/>
      <c r="I167" s="57">
        <f t="shared" si="0"/>
        <v>0</v>
      </c>
      <c r="J167" s="93"/>
      <c r="K167" s="92"/>
      <c r="L167" s="29"/>
      <c r="M167" s="29"/>
    </row>
    <row r="168" spans="1:13" ht="13.2">
      <c r="A168" s="158"/>
      <c r="B168" s="295" t="str">
        <f>HYPERLINK("http://codeforces.com/contest/1071/problem/B","CF1072-D2-D")</f>
        <v>CF1072-D2-D</v>
      </c>
      <c r="C168" s="159"/>
      <c r="D168" s="159"/>
      <c r="E168" s="159"/>
      <c r="F168" s="159"/>
      <c r="G168" s="159"/>
      <c r="H168" s="160"/>
      <c r="I168" s="57">
        <f t="shared" si="0"/>
        <v>0</v>
      </c>
      <c r="J168" s="93"/>
      <c r="K168" s="92"/>
      <c r="L168" s="29"/>
      <c r="M168" s="29"/>
    </row>
  </sheetData>
  <conditionalFormatting sqref="K3:K168">
    <cfRule type="cellIs" dxfId="11" priority="1" operator="equal">
      <formula>"No"</formula>
    </cfRule>
  </conditionalFormatting>
  <conditionalFormatting sqref="K3:K168">
    <cfRule type="cellIs" dxfId="10" priority="2" operator="equal">
      <formula>"no"</formula>
    </cfRule>
  </conditionalFormatting>
  <conditionalFormatting sqref="K3:K168">
    <cfRule type="cellIs" dxfId="9" priority="3" operator="equal">
      <formula>"NO"</formula>
    </cfRule>
  </conditionalFormatting>
  <conditionalFormatting sqref="C3:C168">
    <cfRule type="cellIs" dxfId="8" priority="4" operator="equal">
      <formula>"AC"</formula>
    </cfRule>
  </conditionalFormatting>
  <conditionalFormatting sqref="C3:C168">
    <cfRule type="containsText" dxfId="7" priority="5" operator="containsText" text="WA">
      <formula>NOT(ISERROR(SEARCH(("WA"),(C3))))</formula>
    </cfRule>
  </conditionalFormatting>
  <conditionalFormatting sqref="C10:C168">
    <cfRule type="containsText" dxfId="6" priority="6" operator="containsText" text="WA">
      <formula>NOT(ISERROR(SEARCH(("WA"),(C10))))</formula>
    </cfRule>
  </conditionalFormatting>
  <conditionalFormatting sqref="C3:C168">
    <cfRule type="containsText" dxfId="5" priority="7" operator="containsText" text="TLE">
      <formula>NOT(ISERROR(SEARCH(("TLE"),(C3))))</formula>
    </cfRule>
  </conditionalFormatting>
  <conditionalFormatting sqref="C10:C168">
    <cfRule type="containsText" dxfId="4" priority="8" operator="containsText" text="TLE">
      <formula>NOT(ISERROR(SEARCH(("TLE"),(C10))))</formula>
    </cfRule>
  </conditionalFormatting>
  <conditionalFormatting sqref="C3:C168">
    <cfRule type="containsText" dxfId="3" priority="9" operator="containsText" text="RTE">
      <formula>NOT(ISERROR(SEARCH(("RTE"),(C3))))</formula>
    </cfRule>
  </conditionalFormatting>
  <conditionalFormatting sqref="C10:C168">
    <cfRule type="containsText" dxfId="2" priority="10" operator="containsText" text="RTE">
      <formula>NOT(ISERROR(SEARCH(("RTE"),(C10))))</formula>
    </cfRule>
  </conditionalFormatting>
  <conditionalFormatting sqref="C3:C168">
    <cfRule type="containsText" dxfId="1" priority="11" operator="containsText" text="CS">
      <formula>NOT(ISERROR(SEARCH(("CS"),(C3))))</formula>
    </cfRule>
  </conditionalFormatting>
  <conditionalFormatting sqref="C10:C168">
    <cfRule type="containsText" dxfId="0" priority="12" operator="containsText" text="CS">
      <formula>NOT(ISERROR(SEARCH(("CS"),(C10))))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7BB46-6A6E-4D7E-9C19-DCD701CF1435}">
  <dimension ref="A1:D378"/>
  <sheetViews>
    <sheetView topLeftCell="A129" workbookViewId="0">
      <selection activeCell="A287" sqref="A287"/>
    </sheetView>
  </sheetViews>
  <sheetFormatPr defaultRowHeight="18" customHeight="1"/>
  <cols>
    <col min="1" max="1" width="157.109375" style="593" customWidth="1"/>
    <col min="2" max="2" width="0.109375" style="593" customWidth="1"/>
    <col min="3" max="3" width="43" style="593" customWidth="1"/>
    <col min="4" max="4" width="40.5546875" style="593" customWidth="1"/>
    <col min="5" max="16384" width="8.88671875" style="593"/>
  </cols>
  <sheetData>
    <row r="1" spans="1:3" ht="18" customHeight="1">
      <c r="A1" s="558"/>
    </row>
    <row r="3" spans="1:3" ht="18" customHeight="1">
      <c r="A3" s="593" t="s">
        <v>14449</v>
      </c>
    </row>
    <row r="5" spans="1:3" ht="18" customHeight="1">
      <c r="A5" s="593" t="s">
        <v>14511</v>
      </c>
    </row>
    <row r="6" spans="1:3" ht="18" customHeight="1">
      <c r="A6" s="594" t="s">
        <v>14513</v>
      </c>
    </row>
    <row r="7" spans="1:3" ht="18" customHeight="1">
      <c r="A7" s="593" t="s">
        <v>14516</v>
      </c>
    </row>
    <row r="15" spans="1:3" ht="18" customHeight="1">
      <c r="A15" s="595" t="s">
        <v>14539</v>
      </c>
      <c r="C15" s="593" t="s">
        <v>14314</v>
      </c>
    </row>
    <row r="17" spans="1:1" ht="18" customHeight="1">
      <c r="A17" s="558" t="s">
        <v>14521</v>
      </c>
    </row>
    <row r="18" spans="1:1" ht="18" customHeight="1">
      <c r="A18" s="558" t="s">
        <v>14514</v>
      </c>
    </row>
    <row r="19" spans="1:1" ht="18" customHeight="1">
      <c r="A19" s="558" t="s">
        <v>14538</v>
      </c>
    </row>
    <row r="25" spans="1:1" ht="18" customHeight="1">
      <c r="A25" s="595" t="s">
        <v>14515</v>
      </c>
    </row>
    <row r="27" spans="1:1" ht="18" customHeight="1">
      <c r="A27" s="593" t="s">
        <v>14512</v>
      </c>
    </row>
    <row r="28" spans="1:1" ht="18" customHeight="1">
      <c r="A28" s="593" t="s">
        <v>14528</v>
      </c>
    </row>
    <row r="38" spans="1:1" ht="18" customHeight="1">
      <c r="A38" s="593" t="s">
        <v>14517</v>
      </c>
    </row>
    <row r="40" spans="1:1" ht="18" customHeight="1">
      <c r="A40" s="593" t="s">
        <v>14518</v>
      </c>
    </row>
    <row r="41" spans="1:1" ht="18" customHeight="1">
      <c r="A41" s="593" t="s">
        <v>14581</v>
      </c>
    </row>
    <row r="57" spans="1:3" ht="18" customHeight="1">
      <c r="A57" s="593" t="s">
        <v>14519</v>
      </c>
    </row>
    <row r="58" spans="1:3" ht="18" customHeight="1">
      <c r="C58" s="593" t="s">
        <v>14314</v>
      </c>
    </row>
    <row r="59" spans="1:3" ht="18" customHeight="1">
      <c r="A59" s="593" t="s">
        <v>14520</v>
      </c>
    </row>
    <row r="60" spans="1:3" ht="18" customHeight="1">
      <c r="A60" s="593" t="s">
        <v>14578</v>
      </c>
    </row>
    <row r="75" spans="1:1" ht="18" customHeight="1">
      <c r="A75" s="593" t="s">
        <v>14448</v>
      </c>
    </row>
    <row r="76" spans="1:1" ht="18" customHeight="1">
      <c r="A76" s="558" t="s">
        <v>14529</v>
      </c>
    </row>
    <row r="77" spans="1:1" ht="18" customHeight="1">
      <c r="A77" s="593" t="s">
        <v>14555</v>
      </c>
    </row>
    <row r="87" spans="1:4" ht="18" customHeight="1">
      <c r="A87" s="593" t="s">
        <v>14523</v>
      </c>
    </row>
    <row r="88" spans="1:4" ht="18" customHeight="1">
      <c r="A88" s="558" t="s">
        <v>14522</v>
      </c>
      <c r="D88" s="593" t="s">
        <v>14524</v>
      </c>
    </row>
    <row r="89" spans="1:4" ht="18" customHeight="1">
      <c r="A89" s="558" t="s">
        <v>14525</v>
      </c>
      <c r="D89" s="593" t="s">
        <v>14388</v>
      </c>
    </row>
    <row r="105" spans="1:1" ht="18" customHeight="1">
      <c r="A105" s="593" t="s">
        <v>14530</v>
      </c>
    </row>
    <row r="106" spans="1:1" ht="18" customHeight="1">
      <c r="A106" s="593" t="s">
        <v>14531</v>
      </c>
    </row>
    <row r="124" spans="1:1" ht="18" customHeight="1">
      <c r="A124" s="593" t="s">
        <v>14535</v>
      </c>
    </row>
    <row r="125" spans="1:1" ht="18" customHeight="1">
      <c r="A125" s="593" t="s">
        <v>14536</v>
      </c>
    </row>
    <row r="129" s="593" customFormat="1" ht="18" customHeight="1"/>
    <row r="130" s="593" customFormat="1" ht="18" customHeight="1"/>
    <row r="131" s="593" customFormat="1" ht="18" customHeight="1"/>
    <row r="132" s="593" customFormat="1" ht="18" customHeight="1"/>
    <row r="133" s="593" customFormat="1" ht="18" customHeight="1"/>
    <row r="134" s="593" customFormat="1" ht="18" customHeight="1"/>
    <row r="135" s="593" customFormat="1" ht="18" customHeight="1"/>
    <row r="136" s="593" customFormat="1" ht="18" customHeight="1"/>
    <row r="137" s="593" customFormat="1" ht="18" customHeight="1"/>
    <row r="138" s="593" customFormat="1" ht="18" customHeight="1"/>
    <row r="139" s="593" customFormat="1" ht="18" customHeight="1"/>
    <row r="140" s="593" customFormat="1" ht="18" customHeight="1"/>
    <row r="141" s="593" customFormat="1" ht="18" customHeight="1"/>
    <row r="142" s="593" customFormat="1" ht="18" customHeight="1"/>
    <row r="143" s="593" customFormat="1" ht="18" customHeight="1"/>
    <row r="144" s="593" customFormat="1" ht="18" customHeight="1"/>
    <row r="150" spans="1:1" ht="18" customHeight="1">
      <c r="A150" s="593" t="s">
        <v>14544</v>
      </c>
    </row>
    <row r="153" spans="1:1" ht="18" customHeight="1">
      <c r="A153" s="593" t="s">
        <v>14545</v>
      </c>
    </row>
    <row r="161" s="593" customFormat="1" ht="18" customHeight="1"/>
    <row r="162" s="593" customFormat="1" ht="18" customHeight="1"/>
    <row r="163" s="593" customFormat="1" ht="18" customHeight="1"/>
    <row r="164" s="593" customFormat="1" ht="18" customHeight="1"/>
    <row r="165" s="593" customFormat="1" ht="18" customHeight="1"/>
    <row r="166" s="593" customFormat="1" ht="18" customHeight="1"/>
    <row r="167" s="593" customFormat="1" ht="18" customHeight="1"/>
    <row r="168" s="593" customFormat="1" ht="18" customHeight="1"/>
    <row r="169" s="593" customFormat="1" ht="18" customHeight="1"/>
    <row r="170" s="593" customFormat="1" ht="18" customHeight="1"/>
    <row r="171" s="593" customFormat="1" ht="18" customHeight="1"/>
    <row r="172" s="593" customFormat="1" ht="18" customHeight="1"/>
    <row r="173" s="593" customFormat="1" ht="18" customHeight="1"/>
    <row r="174" s="593" customFormat="1" ht="18" customHeight="1"/>
    <row r="175" s="593" customFormat="1" ht="18" customHeight="1"/>
    <row r="176" s="593" customFormat="1" ht="18" customHeight="1"/>
    <row r="179" spans="1:1" ht="18" customHeight="1">
      <c r="A179" s="593" t="s">
        <v>14547</v>
      </c>
    </row>
    <row r="181" spans="1:1" ht="18" customHeight="1">
      <c r="A181" s="558" t="s">
        <v>14548</v>
      </c>
    </row>
    <row r="193" s="593" customFormat="1" ht="18" customHeight="1"/>
    <row r="194" s="593" customFormat="1" ht="18" customHeight="1"/>
    <row r="195" s="593" customFormat="1" ht="18" customHeight="1"/>
    <row r="196" s="593" customFormat="1" ht="18" customHeight="1"/>
    <row r="197" s="593" customFormat="1" ht="18" customHeight="1"/>
    <row r="198" s="593" customFormat="1" ht="18" customHeight="1"/>
    <row r="199" s="593" customFormat="1" ht="18" customHeight="1"/>
    <row r="200" s="593" customFormat="1" ht="18" customHeight="1"/>
    <row r="201" s="593" customFormat="1" ht="18" customHeight="1"/>
    <row r="202" s="593" customFormat="1" ht="18" customHeight="1"/>
    <row r="203" s="593" customFormat="1" ht="18" customHeight="1"/>
    <row r="204" s="593" customFormat="1" ht="18" customHeight="1"/>
    <row r="205" s="593" customFormat="1" ht="18" customHeight="1"/>
    <row r="206" s="593" customFormat="1" ht="18" customHeight="1"/>
    <row r="207" s="593" customFormat="1" ht="18" customHeight="1"/>
    <row r="208" s="593" customFormat="1" ht="18" customHeight="1"/>
    <row r="209" s="593" customFormat="1" ht="18" customHeight="1"/>
    <row r="210" s="593" customFormat="1" ht="18" customHeight="1"/>
    <row r="211" s="593" customFormat="1" ht="18" customHeight="1"/>
    <row r="212" s="593" customFormat="1" ht="18" customHeight="1"/>
    <row r="213" s="593" customFormat="1" ht="18" customHeight="1"/>
    <row r="214" s="593" customFormat="1" ht="18" customHeight="1"/>
    <row r="215" s="593" customFormat="1" ht="18" customHeight="1"/>
    <row r="216" s="593" customFormat="1" ht="18" customHeight="1"/>
    <row r="217" s="593" customFormat="1" ht="18" customHeight="1"/>
    <row r="218" s="593" customFormat="1" ht="18" customHeight="1"/>
    <row r="219" s="593" customFormat="1" ht="18" customHeight="1"/>
    <row r="220" s="593" customFormat="1" ht="18" customHeight="1"/>
    <row r="221" s="593" customFormat="1" ht="18" customHeight="1"/>
    <row r="222" s="593" customFormat="1" ht="18" customHeight="1"/>
    <row r="223" s="593" customFormat="1" ht="18" customHeight="1"/>
    <row r="224" s="593" customFormat="1" ht="18" customHeight="1"/>
    <row r="234" spans="1:1" ht="18" customHeight="1">
      <c r="A234" s="593" t="s">
        <v>14549</v>
      </c>
    </row>
    <row r="236" spans="1:1" ht="18" customHeight="1">
      <c r="A236" s="593" t="s">
        <v>14550</v>
      </c>
    </row>
    <row r="237" spans="1:1" ht="18" customHeight="1">
      <c r="A237" s="593" t="s">
        <v>14551</v>
      </c>
    </row>
    <row r="238" spans="1:1" ht="18" customHeight="1">
      <c r="A238" s="593" t="s">
        <v>14554</v>
      </c>
    </row>
    <row r="241" s="593" customFormat="1" ht="18" customHeight="1"/>
    <row r="242" s="593" customFormat="1" ht="18" customHeight="1"/>
    <row r="243" s="593" customFormat="1" ht="18" customHeight="1"/>
    <row r="244" s="593" customFormat="1" ht="18" customHeight="1"/>
    <row r="245" s="593" customFormat="1" ht="18" customHeight="1"/>
    <row r="246" s="593" customFormat="1" ht="18" customHeight="1"/>
    <row r="247" s="593" customFormat="1" ht="18" customHeight="1"/>
    <row r="248" s="593" customFormat="1" ht="18" customHeight="1"/>
    <row r="249" s="593" customFormat="1" ht="18" customHeight="1"/>
    <row r="250" s="593" customFormat="1" ht="18" customHeight="1"/>
    <row r="251" s="593" customFormat="1" ht="18" customHeight="1"/>
    <row r="252" s="593" customFormat="1" ht="18" customHeight="1"/>
    <row r="253" s="593" customFormat="1" ht="18" customHeight="1"/>
    <row r="254" s="593" customFormat="1" ht="18" customHeight="1"/>
    <row r="255" s="593" customFormat="1" ht="18" customHeight="1"/>
    <row r="256" s="593" customFormat="1" ht="18" customHeight="1"/>
    <row r="257" s="593" customFormat="1" ht="18" customHeight="1"/>
    <row r="258" s="593" customFormat="1" ht="18" customHeight="1"/>
    <row r="259" s="593" customFormat="1" ht="18" customHeight="1"/>
    <row r="260" s="593" customFormat="1" ht="18" customHeight="1"/>
    <row r="261" s="593" customFormat="1" ht="18" customHeight="1"/>
    <row r="262" s="593" customFormat="1" ht="18" customHeight="1"/>
    <row r="263" s="593" customFormat="1" ht="18" customHeight="1"/>
    <row r="264" s="593" customFormat="1" ht="18" customHeight="1"/>
    <row r="265" s="593" customFormat="1" ht="18" customHeight="1"/>
    <row r="266" s="593" customFormat="1" ht="18" customHeight="1"/>
    <row r="267" s="593" customFormat="1" ht="18" customHeight="1"/>
    <row r="268" s="593" customFormat="1" ht="18" customHeight="1"/>
    <row r="269" s="593" customFormat="1" ht="18" customHeight="1"/>
    <row r="270" s="593" customFormat="1" ht="18" customHeight="1"/>
    <row r="271" s="593" customFormat="1" ht="18" customHeight="1"/>
    <row r="272" s="593" customFormat="1" ht="18" customHeight="1"/>
    <row r="284" spans="1:3" ht="18" customHeight="1">
      <c r="A284" s="593" t="s">
        <v>14552</v>
      </c>
    </row>
    <row r="286" spans="1:3" ht="157.80000000000001" customHeight="1">
      <c r="A286" s="558" t="s">
        <v>14553</v>
      </c>
      <c r="C286" s="596" t="s">
        <v>14567</v>
      </c>
    </row>
    <row r="287" spans="1:3" ht="18" customHeight="1">
      <c r="A287" s="593" t="s">
        <v>14588</v>
      </c>
    </row>
    <row r="350" spans="1:1" ht="18" customHeight="1">
      <c r="A350" s="593" t="s">
        <v>1726</v>
      </c>
    </row>
    <row r="352" spans="1:1" ht="18" customHeight="1">
      <c r="A352" s="593" t="s">
        <v>14582</v>
      </c>
    </row>
    <row r="376" spans="1:1" ht="18" customHeight="1">
      <c r="A376" s="593" t="s">
        <v>14585</v>
      </c>
    </row>
    <row r="378" spans="1:1" ht="18" customHeight="1">
      <c r="A378" s="593" t="s">
        <v>14586</v>
      </c>
    </row>
  </sheetData>
  <hyperlinks>
    <hyperlink ref="A17" r:id="rId1" xr:uid="{8E8FEA7C-2202-45F9-80F6-2851997C8B72}"/>
    <hyperlink ref="A18" r:id="rId2" xr:uid="{AFB67AE1-1BB6-455B-9524-40F2C126DE1A}"/>
    <hyperlink ref="A88" r:id="rId3" xr:uid="{F29411DE-FBCA-4335-8625-96680154C710}"/>
    <hyperlink ref="A89" r:id="rId4" xr:uid="{04EBCC94-5B5D-409A-8A77-D1E5985574E8}"/>
    <hyperlink ref="A19" r:id="rId5" xr:uid="{41487DCF-B7B7-4631-ADC3-00216E1E619A}"/>
    <hyperlink ref="A181" r:id="rId6" xr:uid="{0B319AE8-7BCB-4D60-AD56-6DE9D13AB05C}"/>
    <hyperlink ref="A286" r:id="rId7" xr:uid="{F75BD804-3069-4FA4-B27F-36B12E6A05E8}"/>
  </hyperlinks>
  <pageMargins left="0.7" right="0.7" top="0.75" bottom="0.75" header="0.3" footer="0.3"/>
  <pageSetup orientation="portrait" r:id="rId8"/>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1F080-189E-4964-ABFE-2E3F44A5D24E}">
  <sheetPr>
    <tabColor theme="7" tint="0.39997558519241921"/>
  </sheetPr>
  <dimension ref="A1:H5715"/>
  <sheetViews>
    <sheetView zoomScale="93" workbookViewId="0">
      <selection activeCell="B47" sqref="B47"/>
    </sheetView>
  </sheetViews>
  <sheetFormatPr defaultRowHeight="13.2"/>
  <cols>
    <col min="1" max="1" width="46.6640625" style="478" customWidth="1"/>
    <col min="2" max="2" width="74.44140625" style="478" customWidth="1"/>
    <col min="3" max="16384" width="8.88671875" style="478"/>
  </cols>
  <sheetData>
    <row r="1" spans="1:8">
      <c r="A1" s="477"/>
      <c r="B1" s="477"/>
      <c r="C1" s="477"/>
      <c r="D1" s="477"/>
      <c r="E1" s="477"/>
      <c r="F1" s="477"/>
      <c r="G1" s="477"/>
      <c r="H1" s="477"/>
    </row>
    <row r="2" spans="1:8" ht="27" thickBot="1">
      <c r="A2" s="479" t="s">
        <v>135</v>
      </c>
      <c r="B2" s="479" t="s">
        <v>146</v>
      </c>
      <c r="C2" s="479" t="s">
        <v>5348</v>
      </c>
      <c r="D2" s="479" t="s">
        <v>614</v>
      </c>
      <c r="E2" s="481" t="s">
        <v>5349</v>
      </c>
      <c r="F2" s="481" t="s">
        <v>5350</v>
      </c>
      <c r="G2" s="481" t="s">
        <v>5351</v>
      </c>
      <c r="H2" s="481" t="s">
        <v>5352</v>
      </c>
    </row>
    <row r="3" spans="1:8">
      <c r="A3" s="480"/>
      <c r="B3" s="480"/>
      <c r="C3" s="480"/>
      <c r="D3" s="480"/>
      <c r="E3" s="480"/>
      <c r="F3" s="480"/>
      <c r="G3" s="480"/>
      <c r="H3" s="480"/>
    </row>
    <row r="4" spans="1:8" ht="13.8" thickBot="1">
      <c r="A4" s="465" t="s">
        <v>5353</v>
      </c>
      <c r="B4" s="465" t="s">
        <v>4580</v>
      </c>
      <c r="C4" s="466">
        <v>1</v>
      </c>
      <c r="D4" s="465"/>
      <c r="E4" s="466" t="s">
        <v>4557</v>
      </c>
      <c r="F4" s="466"/>
      <c r="G4" s="465"/>
      <c r="H4" s="465">
        <v>1</v>
      </c>
    </row>
    <row r="5" spans="1:8" ht="13.8" thickBot="1">
      <c r="A5" s="465" t="s">
        <v>5354</v>
      </c>
      <c r="B5" s="465" t="s">
        <v>1917</v>
      </c>
      <c r="C5" s="466">
        <v>2</v>
      </c>
      <c r="D5" s="467" t="s">
        <v>614</v>
      </c>
      <c r="E5" s="466" t="s">
        <v>1793</v>
      </c>
      <c r="F5" s="466" t="s">
        <v>1224</v>
      </c>
      <c r="G5" s="465"/>
      <c r="H5" s="465">
        <v>1</v>
      </c>
    </row>
    <row r="6" spans="1:8" ht="13.8" thickBot="1">
      <c r="A6" s="465" t="s">
        <v>5355</v>
      </c>
      <c r="B6" s="465" t="s">
        <v>1918</v>
      </c>
      <c r="C6" s="466">
        <v>2</v>
      </c>
      <c r="D6" s="465"/>
      <c r="E6" s="466" t="s">
        <v>1793</v>
      </c>
      <c r="F6" s="466" t="s">
        <v>1220</v>
      </c>
      <c r="G6" s="465"/>
      <c r="H6" s="465">
        <v>1</v>
      </c>
    </row>
    <row r="7" spans="1:8" ht="13.8" thickBot="1">
      <c r="A7" s="467" t="s">
        <v>5356</v>
      </c>
      <c r="B7" s="465" t="s">
        <v>1792</v>
      </c>
      <c r="C7" s="466">
        <v>2</v>
      </c>
      <c r="D7" s="465"/>
      <c r="E7" s="466" t="s">
        <v>1793</v>
      </c>
      <c r="F7" s="466"/>
      <c r="G7" s="465"/>
      <c r="H7" s="465">
        <v>1</v>
      </c>
    </row>
    <row r="8" spans="1:8" ht="13.8" thickBot="1">
      <c r="A8" s="465" t="s">
        <v>5357</v>
      </c>
      <c r="B8" s="465" t="s">
        <v>1792</v>
      </c>
      <c r="C8" s="466">
        <v>2</v>
      </c>
      <c r="D8" s="465"/>
      <c r="E8" s="466" t="s">
        <v>1793</v>
      </c>
      <c r="F8" s="466"/>
      <c r="G8" s="465"/>
      <c r="H8" s="465">
        <v>1</v>
      </c>
    </row>
    <row r="9" spans="1:8" ht="13.8" thickBot="1">
      <c r="A9" s="465" t="s">
        <v>5358</v>
      </c>
      <c r="B9" s="465" t="s">
        <v>1792</v>
      </c>
      <c r="C9" s="466">
        <v>2</v>
      </c>
      <c r="D9" s="465"/>
      <c r="E9" s="466" t="s">
        <v>1793</v>
      </c>
      <c r="F9" s="466"/>
      <c r="G9" s="465"/>
      <c r="H9" s="465">
        <v>1</v>
      </c>
    </row>
    <row r="10" spans="1:8" ht="13.8" thickBot="1">
      <c r="A10" s="465" t="s">
        <v>5359</v>
      </c>
      <c r="B10" s="465" t="s">
        <v>1792</v>
      </c>
      <c r="C10" s="466">
        <v>2</v>
      </c>
      <c r="D10" s="465"/>
      <c r="E10" s="466" t="s">
        <v>1793</v>
      </c>
      <c r="F10" s="466"/>
      <c r="G10" s="465"/>
      <c r="H10" s="465">
        <v>2</v>
      </c>
    </row>
    <row r="11" spans="1:8" ht="13.8" thickBot="1">
      <c r="A11" s="465" t="s">
        <v>5360</v>
      </c>
      <c r="B11" s="465" t="s">
        <v>1902</v>
      </c>
      <c r="C11" s="466">
        <v>2</v>
      </c>
      <c r="D11" s="465"/>
      <c r="E11" s="466" t="s">
        <v>1793</v>
      </c>
      <c r="F11" s="466"/>
      <c r="G11" s="465"/>
      <c r="H11" s="465">
        <v>2</v>
      </c>
    </row>
    <row r="12" spans="1:8" ht="13.8" thickBot="1">
      <c r="A12" s="465" t="s">
        <v>5361</v>
      </c>
      <c r="B12" s="465" t="s">
        <v>1902</v>
      </c>
      <c r="C12" s="466">
        <v>2</v>
      </c>
      <c r="D12" s="467" t="s">
        <v>614</v>
      </c>
      <c r="E12" s="466" t="s">
        <v>1793</v>
      </c>
      <c r="F12" s="466"/>
      <c r="G12" s="465"/>
      <c r="H12" s="465">
        <v>2</v>
      </c>
    </row>
    <row r="13" spans="1:8" ht="13.8" thickBot="1">
      <c r="A13" s="465" t="s">
        <v>5362</v>
      </c>
      <c r="B13" s="465" t="s">
        <v>1840</v>
      </c>
      <c r="C13" s="466">
        <v>2</v>
      </c>
      <c r="D13" s="465"/>
      <c r="E13" s="466" t="s">
        <v>1793</v>
      </c>
      <c r="F13" s="466"/>
      <c r="G13" s="465"/>
      <c r="H13" s="465">
        <v>2</v>
      </c>
    </row>
    <row r="14" spans="1:8" ht="13.8" thickBot="1">
      <c r="A14" s="467" t="s">
        <v>5363</v>
      </c>
      <c r="B14" s="465" t="s">
        <v>1919</v>
      </c>
      <c r="C14" s="466">
        <v>2</v>
      </c>
      <c r="D14" s="465"/>
      <c r="E14" s="466" t="s">
        <v>1793</v>
      </c>
      <c r="F14" s="466"/>
      <c r="G14" s="465"/>
      <c r="H14" s="465">
        <v>2</v>
      </c>
    </row>
    <row r="15" spans="1:8" ht="13.8" thickBot="1">
      <c r="A15" s="465" t="s">
        <v>5364</v>
      </c>
      <c r="B15" s="465" t="s">
        <v>1852</v>
      </c>
      <c r="C15" s="466">
        <v>2</v>
      </c>
      <c r="D15" s="465"/>
      <c r="E15" s="466" t="s">
        <v>1793</v>
      </c>
      <c r="F15" s="466"/>
      <c r="G15" s="465"/>
      <c r="H15" s="465">
        <v>2</v>
      </c>
    </row>
    <row r="16" spans="1:8" ht="13.8" thickBot="1">
      <c r="A16" s="467" t="s">
        <v>5365</v>
      </c>
      <c r="B16" s="465" t="s">
        <v>1920</v>
      </c>
      <c r="C16" s="466">
        <v>2</v>
      </c>
      <c r="D16" s="465"/>
      <c r="E16" s="466" t="s">
        <v>1793</v>
      </c>
      <c r="F16" s="466"/>
      <c r="G16" s="465"/>
      <c r="H16" s="465">
        <v>3</v>
      </c>
    </row>
    <row r="17" spans="1:8" ht="13.8" thickBot="1">
      <c r="A17" s="467" t="s">
        <v>5380</v>
      </c>
      <c r="B17" s="465" t="s">
        <v>2228</v>
      </c>
      <c r="C17" s="466">
        <v>2</v>
      </c>
      <c r="D17" s="465"/>
      <c r="E17" s="466" t="s">
        <v>2216</v>
      </c>
      <c r="F17" s="466" t="s">
        <v>1224</v>
      </c>
      <c r="G17" s="465"/>
      <c r="H17" s="465">
        <v>3</v>
      </c>
    </row>
    <row r="18" spans="1:8" ht="13.8" thickBot="1">
      <c r="A18" s="467" t="s">
        <v>5456</v>
      </c>
      <c r="B18" s="465" t="s">
        <v>1753</v>
      </c>
      <c r="C18" s="466">
        <v>2</v>
      </c>
      <c r="D18" s="465"/>
      <c r="E18" s="466" t="s">
        <v>4822</v>
      </c>
      <c r="F18" s="466"/>
      <c r="G18" s="465"/>
      <c r="H18" s="465">
        <v>4</v>
      </c>
    </row>
    <row r="19" spans="1:8" ht="13.8" thickBot="1">
      <c r="A19" s="465" t="s">
        <v>820</v>
      </c>
      <c r="B19" s="465" t="s">
        <v>1593</v>
      </c>
      <c r="C19" s="466">
        <v>2</v>
      </c>
      <c r="D19" s="465"/>
      <c r="E19" s="466" t="s">
        <v>4970</v>
      </c>
      <c r="F19" s="466"/>
      <c r="G19" s="465"/>
      <c r="H19" s="465">
        <v>5</v>
      </c>
    </row>
    <row r="20" spans="1:8" ht="13.8" thickBot="1">
      <c r="A20" s="467" t="s">
        <v>5457</v>
      </c>
      <c r="B20" s="465" t="s">
        <v>5008</v>
      </c>
      <c r="C20" s="466">
        <v>2</v>
      </c>
      <c r="D20" s="465"/>
      <c r="E20" s="466" t="s">
        <v>4970</v>
      </c>
      <c r="F20" s="466"/>
      <c r="G20" s="465"/>
      <c r="H20" s="465">
        <v>5</v>
      </c>
    </row>
    <row r="21" spans="1:8" ht="13.8" thickBot="1">
      <c r="A21" s="465" t="s">
        <v>5458</v>
      </c>
      <c r="B21" s="465" t="s">
        <v>1491</v>
      </c>
      <c r="C21" s="466">
        <v>2</v>
      </c>
      <c r="D21" s="465"/>
      <c r="E21" s="466" t="s">
        <v>5094</v>
      </c>
      <c r="F21" s="466"/>
      <c r="G21" s="465"/>
      <c r="H21" s="465">
        <v>5</v>
      </c>
    </row>
    <row r="22" spans="1:8" ht="13.8" thickBot="1">
      <c r="A22" s="467" t="s">
        <v>5459</v>
      </c>
      <c r="B22" s="465" t="s">
        <v>1491</v>
      </c>
      <c r="C22" s="466">
        <v>2</v>
      </c>
      <c r="D22" s="465"/>
      <c r="E22" s="466" t="s">
        <v>5094</v>
      </c>
      <c r="F22" s="466"/>
      <c r="G22" s="465"/>
      <c r="H22" s="465">
        <v>5</v>
      </c>
    </row>
    <row r="23" spans="1:8" ht="13.8" thickBot="1">
      <c r="A23" s="467" t="s">
        <v>5460</v>
      </c>
      <c r="B23" s="465" t="s">
        <v>1495</v>
      </c>
      <c r="C23" s="466">
        <v>2</v>
      </c>
      <c r="D23" s="465"/>
      <c r="E23" s="466" t="s">
        <v>5109</v>
      </c>
      <c r="F23" s="466"/>
      <c r="G23" s="465"/>
      <c r="H23" s="465">
        <v>6</v>
      </c>
    </row>
    <row r="24" spans="1:8" ht="13.8" thickBot="1">
      <c r="A24" s="467" t="s">
        <v>5381</v>
      </c>
      <c r="B24" s="465" t="s">
        <v>2281</v>
      </c>
      <c r="C24" s="466">
        <v>2</v>
      </c>
      <c r="D24" s="465"/>
      <c r="E24" s="466" t="s">
        <v>2273</v>
      </c>
      <c r="F24" s="466"/>
      <c r="G24" s="465"/>
      <c r="H24" s="465">
        <v>7</v>
      </c>
    </row>
    <row r="25" spans="1:8" ht="13.8" thickBot="1">
      <c r="A25" s="467" t="s">
        <v>5461</v>
      </c>
      <c r="B25" s="465" t="s">
        <v>5138</v>
      </c>
      <c r="C25" s="466">
        <v>2</v>
      </c>
      <c r="D25" s="465"/>
      <c r="E25" s="466" t="s">
        <v>5125</v>
      </c>
      <c r="F25" s="466"/>
      <c r="G25" s="465"/>
      <c r="H25" s="465">
        <v>8</v>
      </c>
    </row>
    <row r="26" spans="1:8" ht="13.8" thickBot="1">
      <c r="A26" s="467" t="s">
        <v>5382</v>
      </c>
      <c r="B26" s="465" t="s">
        <v>1724</v>
      </c>
      <c r="C26" s="466">
        <v>2</v>
      </c>
      <c r="D26" s="465"/>
      <c r="E26" s="466" t="s">
        <v>2289</v>
      </c>
      <c r="F26" s="466" t="s">
        <v>1226</v>
      </c>
      <c r="G26" s="465"/>
      <c r="H26" s="465">
        <v>8</v>
      </c>
    </row>
    <row r="27" spans="1:8" ht="13.8" thickBot="1">
      <c r="A27" s="467" t="s">
        <v>5383</v>
      </c>
      <c r="B27" s="465" t="s">
        <v>1726</v>
      </c>
      <c r="C27" s="466">
        <v>2</v>
      </c>
      <c r="D27" s="465"/>
      <c r="E27" s="466" t="s">
        <v>2289</v>
      </c>
      <c r="F27" s="466"/>
      <c r="G27" s="465"/>
      <c r="H27" s="465">
        <v>9</v>
      </c>
    </row>
    <row r="28" spans="1:8" ht="13.8" thickBot="1">
      <c r="A28" s="465" t="s">
        <v>5384</v>
      </c>
      <c r="B28" s="465" t="s">
        <v>1725</v>
      </c>
      <c r="C28" s="466">
        <v>2</v>
      </c>
      <c r="D28" s="465"/>
      <c r="E28" s="466" t="s">
        <v>2289</v>
      </c>
      <c r="F28" s="466"/>
      <c r="G28" s="465"/>
      <c r="H28" s="465">
        <v>10</v>
      </c>
    </row>
    <row r="29" spans="1:8" ht="13.8" thickBot="1">
      <c r="A29" s="465" t="s">
        <v>5385</v>
      </c>
      <c r="B29" s="465" t="s">
        <v>2455</v>
      </c>
      <c r="C29" s="466">
        <v>2</v>
      </c>
      <c r="D29" s="465"/>
      <c r="E29" s="466" t="s">
        <v>2449</v>
      </c>
      <c r="F29" s="466"/>
      <c r="G29" s="465"/>
      <c r="H29" s="465">
        <v>13</v>
      </c>
    </row>
    <row r="30" spans="1:8" ht="13.8" thickBot="1">
      <c r="A30" s="467" t="s">
        <v>5386</v>
      </c>
      <c r="B30" s="465" t="s">
        <v>2521</v>
      </c>
      <c r="C30" s="466">
        <v>2</v>
      </c>
      <c r="D30" s="465"/>
      <c r="E30" s="466" t="s">
        <v>2449</v>
      </c>
      <c r="F30" s="466"/>
      <c r="G30" s="465"/>
      <c r="H30" s="465"/>
    </row>
    <row r="31" spans="1:8" ht="13.8" thickBot="1">
      <c r="A31" s="467" t="s">
        <v>5387</v>
      </c>
      <c r="B31" s="465" t="s">
        <v>1300</v>
      </c>
      <c r="C31" s="466">
        <v>2</v>
      </c>
      <c r="D31" s="465"/>
      <c r="E31" s="466" t="s">
        <v>2523</v>
      </c>
      <c r="F31" s="466"/>
      <c r="G31" s="465"/>
      <c r="H31" s="465">
        <v>5</v>
      </c>
    </row>
    <row r="32" spans="1:8" ht="13.8" thickBot="1">
      <c r="A32" s="467" t="s">
        <v>5388</v>
      </c>
      <c r="B32" s="465" t="s">
        <v>1300</v>
      </c>
      <c r="C32" s="466">
        <v>2</v>
      </c>
      <c r="D32" s="465"/>
      <c r="E32" s="466" t="s">
        <v>2523</v>
      </c>
      <c r="F32" s="466"/>
      <c r="G32" s="465"/>
      <c r="H32" s="465">
        <v>1</v>
      </c>
    </row>
    <row r="33" spans="1:8" ht="13.8" thickBot="1">
      <c r="A33" s="465" t="s">
        <v>5389</v>
      </c>
      <c r="B33" s="465" t="s">
        <v>2712</v>
      </c>
      <c r="C33" s="466">
        <v>2</v>
      </c>
      <c r="D33" s="465"/>
      <c r="E33" s="466" t="s">
        <v>2523</v>
      </c>
      <c r="F33" s="466"/>
      <c r="G33" s="465"/>
      <c r="H33" s="465">
        <v>1</v>
      </c>
    </row>
    <row r="34" spans="1:8" ht="13.8" thickBot="1">
      <c r="A34" s="467" t="s">
        <v>5366</v>
      </c>
      <c r="B34" s="465" t="s">
        <v>1252</v>
      </c>
      <c r="C34" s="466">
        <v>2</v>
      </c>
      <c r="D34" s="465"/>
      <c r="E34" s="466" t="s">
        <v>1922</v>
      </c>
      <c r="F34" s="466"/>
      <c r="G34" s="465"/>
      <c r="H34" s="465">
        <v>1</v>
      </c>
    </row>
    <row r="35" spans="1:8" ht="13.8" thickBot="1">
      <c r="A35" s="465" t="s">
        <v>5367</v>
      </c>
      <c r="B35" s="465" t="s">
        <v>1992</v>
      </c>
      <c r="C35" s="466">
        <v>2</v>
      </c>
      <c r="D35" s="465"/>
      <c r="E35" s="466" t="s">
        <v>1922</v>
      </c>
      <c r="F35" s="466"/>
      <c r="G35" s="465"/>
      <c r="H35" s="465">
        <v>3</v>
      </c>
    </row>
    <row r="36" spans="1:8" ht="13.8" thickBot="1">
      <c r="A36" s="465" t="s">
        <v>5368</v>
      </c>
      <c r="B36" s="465" t="s">
        <v>1994</v>
      </c>
      <c r="C36" s="466">
        <v>2</v>
      </c>
      <c r="D36" s="465"/>
      <c r="E36" s="466" t="s">
        <v>1922</v>
      </c>
      <c r="F36" s="466"/>
      <c r="G36" s="465"/>
      <c r="H36" s="465">
        <v>5</v>
      </c>
    </row>
    <row r="37" spans="1:8" ht="13.8" thickBot="1">
      <c r="A37" s="467" t="s">
        <v>5369</v>
      </c>
      <c r="B37" s="465" t="s">
        <v>1995</v>
      </c>
      <c r="C37" s="466">
        <v>2</v>
      </c>
      <c r="D37" s="465"/>
      <c r="E37" s="466" t="s">
        <v>1922</v>
      </c>
      <c r="F37" s="466"/>
      <c r="G37" s="465"/>
      <c r="H37" s="465">
        <v>2</v>
      </c>
    </row>
    <row r="38" spans="1:8" ht="13.8" thickBot="1">
      <c r="A38" s="465" t="s">
        <v>5370</v>
      </c>
      <c r="B38" s="465" t="s">
        <v>1996</v>
      </c>
      <c r="C38" s="466">
        <v>2</v>
      </c>
      <c r="D38" s="465"/>
      <c r="E38" s="466" t="s">
        <v>1922</v>
      </c>
      <c r="F38" s="466"/>
      <c r="G38" s="465"/>
      <c r="H38" s="465">
        <v>1</v>
      </c>
    </row>
    <row r="39" spans="1:8" ht="13.8" thickBot="1">
      <c r="A39" s="467" t="s">
        <v>5371</v>
      </c>
      <c r="B39" s="465" t="s">
        <v>2026</v>
      </c>
      <c r="C39" s="466">
        <v>2</v>
      </c>
      <c r="D39" s="467" t="s">
        <v>2027</v>
      </c>
      <c r="E39" s="466" t="s">
        <v>1997</v>
      </c>
      <c r="F39" s="466" t="s">
        <v>1224</v>
      </c>
      <c r="G39" s="465"/>
      <c r="H39" s="465">
        <v>4</v>
      </c>
    </row>
    <row r="40" spans="1:8" ht="13.8" thickBot="1">
      <c r="A40" s="465" t="s">
        <v>5372</v>
      </c>
      <c r="B40" s="465" t="s">
        <v>2028</v>
      </c>
      <c r="C40" s="466">
        <v>2</v>
      </c>
      <c r="D40" s="467" t="s">
        <v>397</v>
      </c>
      <c r="E40" s="466" t="s">
        <v>1997</v>
      </c>
      <c r="F40" s="466" t="s">
        <v>1220</v>
      </c>
      <c r="G40" s="465"/>
      <c r="H40" s="465">
        <v>7</v>
      </c>
    </row>
    <row r="41" spans="1:8" ht="13.8" thickBot="1">
      <c r="A41" s="465" t="s">
        <v>5373</v>
      </c>
      <c r="B41" s="465" t="s">
        <v>1752</v>
      </c>
      <c r="C41" s="466">
        <v>2</v>
      </c>
      <c r="D41" s="465"/>
      <c r="E41" s="466" t="s">
        <v>1997</v>
      </c>
      <c r="F41" s="466"/>
      <c r="G41" s="465"/>
      <c r="H41" s="465">
        <v>3</v>
      </c>
    </row>
    <row r="42" spans="1:8" ht="13.8" thickBot="1">
      <c r="A42" s="467" t="s">
        <v>5374</v>
      </c>
      <c r="B42" s="465" t="s">
        <v>2029</v>
      </c>
      <c r="C42" s="466">
        <v>2</v>
      </c>
      <c r="D42" s="465"/>
      <c r="E42" s="466" t="s">
        <v>1997</v>
      </c>
      <c r="F42" s="466"/>
      <c r="G42" s="465"/>
      <c r="H42" s="465">
        <v>2</v>
      </c>
    </row>
    <row r="43" spans="1:8" ht="13.8" thickBot="1">
      <c r="A43" s="467" t="s">
        <v>5375</v>
      </c>
      <c r="B43" s="465" t="s">
        <v>2030</v>
      </c>
      <c r="C43" s="466">
        <v>2</v>
      </c>
      <c r="D43" s="465"/>
      <c r="E43" s="466" t="s">
        <v>1997</v>
      </c>
      <c r="F43" s="466"/>
      <c r="G43" s="465"/>
      <c r="H43" s="465">
        <v>1</v>
      </c>
    </row>
    <row r="44" spans="1:8" ht="13.8" thickBot="1">
      <c r="A44" s="465" t="s">
        <v>5390</v>
      </c>
      <c r="B44" s="465" t="s">
        <v>1554</v>
      </c>
      <c r="C44" s="466">
        <v>2</v>
      </c>
      <c r="D44" s="465"/>
      <c r="E44" s="466" t="s">
        <v>2957</v>
      </c>
      <c r="F44" s="466"/>
      <c r="G44" s="465"/>
      <c r="H44" s="465">
        <v>1</v>
      </c>
    </row>
    <row r="45" spans="1:8" ht="13.8" thickBot="1">
      <c r="A45" s="467" t="s">
        <v>5391</v>
      </c>
      <c r="B45" s="465" t="s">
        <v>3113</v>
      </c>
      <c r="C45" s="466">
        <v>2</v>
      </c>
      <c r="D45" s="465" t="s">
        <v>3114</v>
      </c>
      <c r="E45" s="466" t="s">
        <v>3085</v>
      </c>
      <c r="F45" s="466"/>
      <c r="G45" s="465"/>
      <c r="H45" s="465">
        <v>14</v>
      </c>
    </row>
    <row r="46" spans="1:8" ht="13.8" thickBot="1">
      <c r="A46" s="467" t="s">
        <v>5392</v>
      </c>
      <c r="B46" s="465" t="s">
        <v>3115</v>
      </c>
      <c r="C46" s="466">
        <v>2</v>
      </c>
      <c r="D46" s="465"/>
      <c r="E46" s="466" t="s">
        <v>3116</v>
      </c>
      <c r="F46" s="466"/>
      <c r="G46" s="465"/>
      <c r="H46" s="465">
        <v>3</v>
      </c>
    </row>
    <row r="47" spans="1:8" ht="13.8" thickBot="1">
      <c r="A47" s="467" t="s">
        <v>5393</v>
      </c>
      <c r="B47" s="465" t="s">
        <v>3127</v>
      </c>
      <c r="C47" s="466">
        <v>2</v>
      </c>
      <c r="D47" s="465"/>
      <c r="E47" s="466" t="s">
        <v>3116</v>
      </c>
      <c r="F47" s="466"/>
      <c r="G47" s="465"/>
      <c r="H47" s="465">
        <v>2</v>
      </c>
    </row>
    <row r="48" spans="1:8" ht="13.8" thickBot="1">
      <c r="A48" s="467" t="s">
        <v>5394</v>
      </c>
      <c r="B48" s="465" t="s">
        <v>1390</v>
      </c>
      <c r="C48" s="466">
        <v>2</v>
      </c>
      <c r="D48" s="465"/>
      <c r="E48" s="466" t="s">
        <v>3161</v>
      </c>
      <c r="F48" s="466" t="s">
        <v>1910</v>
      </c>
      <c r="G48" s="465">
        <v>1</v>
      </c>
      <c r="H48" s="465">
        <v>14</v>
      </c>
    </row>
    <row r="49" spans="1:8" ht="13.8" thickBot="1">
      <c r="A49" s="467" t="s">
        <v>5395</v>
      </c>
      <c r="B49" s="465" t="s">
        <v>3278</v>
      </c>
      <c r="C49" s="466">
        <v>2</v>
      </c>
      <c r="D49" s="465"/>
      <c r="E49" s="466" t="s">
        <v>3161</v>
      </c>
      <c r="F49" s="466" t="s">
        <v>1910</v>
      </c>
      <c r="G49" s="465"/>
      <c r="H49" s="465">
        <v>24</v>
      </c>
    </row>
    <row r="50" spans="1:8" ht="13.8" thickBot="1">
      <c r="A50" s="467" t="s">
        <v>5396</v>
      </c>
      <c r="B50" s="465" t="s">
        <v>1390</v>
      </c>
      <c r="C50" s="466">
        <v>2</v>
      </c>
      <c r="D50" s="465"/>
      <c r="E50" s="466" t="s">
        <v>3161</v>
      </c>
      <c r="F50" s="466" t="s">
        <v>1220</v>
      </c>
      <c r="G50" s="465"/>
      <c r="H50" s="465">
        <v>12</v>
      </c>
    </row>
    <row r="51" spans="1:8" ht="13.8" thickBot="1">
      <c r="A51" s="467" t="s">
        <v>5397</v>
      </c>
      <c r="B51" s="465" t="s">
        <v>1390</v>
      </c>
      <c r="C51" s="466">
        <v>2</v>
      </c>
      <c r="D51" s="465"/>
      <c r="E51" s="466" t="s">
        <v>3161</v>
      </c>
      <c r="F51" s="466"/>
      <c r="G51" s="465"/>
      <c r="H51" s="465">
        <v>2</v>
      </c>
    </row>
    <row r="52" spans="1:8" ht="13.8" thickBot="1">
      <c r="A52" s="467" t="s">
        <v>5398</v>
      </c>
      <c r="B52" s="465" t="s">
        <v>1390</v>
      </c>
      <c r="C52" s="466">
        <v>2</v>
      </c>
      <c r="D52" s="465"/>
      <c r="E52" s="466" t="s">
        <v>3161</v>
      </c>
      <c r="F52" s="466"/>
      <c r="G52" s="465"/>
      <c r="H52" s="465">
        <v>2</v>
      </c>
    </row>
    <row r="53" spans="1:8" ht="13.8" thickBot="1">
      <c r="A53" s="467" t="s">
        <v>5399</v>
      </c>
      <c r="B53" s="465" t="s">
        <v>1390</v>
      </c>
      <c r="C53" s="466">
        <v>2</v>
      </c>
      <c r="D53" s="465" t="s">
        <v>3279</v>
      </c>
      <c r="E53" s="466" t="s">
        <v>3161</v>
      </c>
      <c r="F53" s="466"/>
      <c r="G53" s="465"/>
      <c r="H53" s="465">
        <v>1</v>
      </c>
    </row>
    <row r="54" spans="1:8" ht="13.8" thickBot="1">
      <c r="A54" s="467" t="s">
        <v>5400</v>
      </c>
      <c r="B54" s="465" t="s">
        <v>3280</v>
      </c>
      <c r="C54" s="466">
        <v>2</v>
      </c>
      <c r="D54" s="465"/>
      <c r="E54" s="466" t="s">
        <v>3161</v>
      </c>
      <c r="F54" s="466"/>
      <c r="G54" s="465"/>
      <c r="H54" s="465">
        <v>9</v>
      </c>
    </row>
    <row r="55" spans="1:8" ht="13.8" thickBot="1">
      <c r="A55" s="467" t="s">
        <v>5401</v>
      </c>
      <c r="B55" s="465" t="s">
        <v>3281</v>
      </c>
      <c r="C55" s="466">
        <v>2</v>
      </c>
      <c r="D55" s="465"/>
      <c r="E55" s="466" t="s">
        <v>3161</v>
      </c>
      <c r="F55" s="466"/>
      <c r="G55" s="465"/>
      <c r="H55" s="465">
        <v>2</v>
      </c>
    </row>
    <row r="56" spans="1:8" ht="13.8" thickBot="1">
      <c r="A56" s="467" t="s">
        <v>5402</v>
      </c>
      <c r="B56" s="465" t="s">
        <v>1392</v>
      </c>
      <c r="C56" s="466">
        <v>2</v>
      </c>
      <c r="D56" s="465"/>
      <c r="E56" s="466" t="s">
        <v>3161</v>
      </c>
      <c r="F56" s="466"/>
      <c r="G56" s="465"/>
      <c r="H56" s="465">
        <v>1</v>
      </c>
    </row>
    <row r="57" spans="1:8" ht="13.8" thickBot="1">
      <c r="A57" s="465" t="s">
        <v>5403</v>
      </c>
      <c r="B57" s="465" t="s">
        <v>1392</v>
      </c>
      <c r="C57" s="466">
        <v>2</v>
      </c>
      <c r="D57" s="465"/>
      <c r="E57" s="466" t="s">
        <v>3161</v>
      </c>
      <c r="F57" s="466"/>
      <c r="G57" s="465"/>
      <c r="H57" s="465">
        <v>1</v>
      </c>
    </row>
    <row r="58" spans="1:8" ht="13.8" thickBot="1">
      <c r="A58" s="467" t="s">
        <v>5404</v>
      </c>
      <c r="B58" s="465" t="s">
        <v>3282</v>
      </c>
      <c r="C58" s="466">
        <v>2</v>
      </c>
      <c r="D58" s="465"/>
      <c r="E58" s="466" t="s">
        <v>3161</v>
      </c>
      <c r="F58" s="466"/>
      <c r="G58" s="465"/>
      <c r="H58" s="465">
        <v>4</v>
      </c>
    </row>
    <row r="59" spans="1:8" ht="13.8" thickBot="1">
      <c r="A59" s="467" t="s">
        <v>5405</v>
      </c>
      <c r="B59" s="465" t="s">
        <v>3170</v>
      </c>
      <c r="C59" s="466">
        <v>2</v>
      </c>
      <c r="D59" s="467" t="s">
        <v>614</v>
      </c>
      <c r="E59" s="466" t="s">
        <v>3161</v>
      </c>
      <c r="F59" s="466"/>
      <c r="G59" s="465"/>
      <c r="H59" s="465">
        <v>3</v>
      </c>
    </row>
    <row r="60" spans="1:8" ht="13.8" thickBot="1">
      <c r="A60" s="467" t="s">
        <v>5406</v>
      </c>
      <c r="B60" s="465" t="s">
        <v>3178</v>
      </c>
      <c r="C60" s="466">
        <v>2</v>
      </c>
      <c r="D60" s="465"/>
      <c r="E60" s="466" t="s">
        <v>3161</v>
      </c>
      <c r="F60" s="466"/>
      <c r="G60" s="465"/>
      <c r="H60" s="465">
        <v>1</v>
      </c>
    </row>
    <row r="61" spans="1:8" ht="13.8" thickBot="1">
      <c r="A61" s="467" t="s">
        <v>5407</v>
      </c>
      <c r="B61" s="465" t="s">
        <v>3283</v>
      </c>
      <c r="C61" s="466">
        <v>2</v>
      </c>
      <c r="D61" s="465"/>
      <c r="E61" s="466" t="s">
        <v>3161</v>
      </c>
      <c r="F61" s="466"/>
      <c r="G61" s="465"/>
      <c r="H61" s="465">
        <v>2</v>
      </c>
    </row>
    <row r="62" spans="1:8" ht="13.8" thickBot="1">
      <c r="A62" s="465" t="s">
        <v>5408</v>
      </c>
      <c r="B62" s="465" t="s">
        <v>3283</v>
      </c>
      <c r="C62" s="466">
        <v>2</v>
      </c>
      <c r="D62" s="465"/>
      <c r="E62" s="466" t="s">
        <v>3161</v>
      </c>
      <c r="F62" s="466"/>
      <c r="G62" s="465"/>
      <c r="H62" s="465">
        <v>1</v>
      </c>
    </row>
    <row r="63" spans="1:8" ht="13.8" thickBot="1">
      <c r="A63" s="467" t="s">
        <v>5409</v>
      </c>
      <c r="B63" s="465" t="s">
        <v>1416</v>
      </c>
      <c r="C63" s="466">
        <v>2</v>
      </c>
      <c r="D63" s="467" t="s">
        <v>614</v>
      </c>
      <c r="E63" s="466" t="s">
        <v>3285</v>
      </c>
      <c r="F63" s="466" t="s">
        <v>1880</v>
      </c>
      <c r="G63" s="465">
        <v>1</v>
      </c>
      <c r="H63" s="465">
        <v>4</v>
      </c>
    </row>
    <row r="64" spans="1:8" ht="13.8" thickBot="1">
      <c r="A64" s="467" t="s">
        <v>5410</v>
      </c>
      <c r="B64" s="465" t="s">
        <v>1417</v>
      </c>
      <c r="C64" s="466">
        <v>2</v>
      </c>
      <c r="D64" s="467" t="s">
        <v>614</v>
      </c>
      <c r="E64" s="466" t="s">
        <v>3285</v>
      </c>
      <c r="F64" s="466"/>
      <c r="G64" s="465"/>
      <c r="H64" s="465">
        <v>11</v>
      </c>
    </row>
    <row r="65" spans="1:8" ht="13.8" thickBot="1">
      <c r="A65" s="467" t="s">
        <v>5411</v>
      </c>
      <c r="B65" s="465" t="s">
        <v>1432</v>
      </c>
      <c r="C65" s="466">
        <v>2</v>
      </c>
      <c r="D65" s="465"/>
      <c r="E65" s="466" t="s">
        <v>3315</v>
      </c>
      <c r="F65" s="466"/>
      <c r="G65" s="465"/>
      <c r="H65" s="465">
        <v>4</v>
      </c>
    </row>
    <row r="66" spans="1:8" ht="13.8" thickBot="1">
      <c r="A66" s="467" t="s">
        <v>5412</v>
      </c>
      <c r="B66" s="465" t="s">
        <v>3350</v>
      </c>
      <c r="C66" s="466">
        <v>2</v>
      </c>
      <c r="D66" s="465"/>
      <c r="E66" s="466" t="s">
        <v>3315</v>
      </c>
      <c r="F66" s="466"/>
      <c r="G66" s="465"/>
      <c r="H66" s="465">
        <v>1</v>
      </c>
    </row>
    <row r="67" spans="1:8" ht="13.8" thickBot="1">
      <c r="A67" s="467" t="s">
        <v>5376</v>
      </c>
      <c r="B67" s="465" t="s">
        <v>2044</v>
      </c>
      <c r="C67" s="466">
        <v>2</v>
      </c>
      <c r="D67" s="465"/>
      <c r="E67" s="466" t="s">
        <v>2032</v>
      </c>
      <c r="F67" s="466"/>
      <c r="G67" s="465"/>
      <c r="H67" s="465">
        <v>2</v>
      </c>
    </row>
    <row r="68" spans="1:8" ht="13.8" thickBot="1">
      <c r="A68" s="467" t="s">
        <v>5413</v>
      </c>
      <c r="B68" s="465" t="s">
        <v>1439</v>
      </c>
      <c r="C68" s="466">
        <v>2</v>
      </c>
      <c r="D68" s="465"/>
      <c r="E68" s="466" t="s">
        <v>3351</v>
      </c>
      <c r="F68" s="466"/>
      <c r="G68" s="465"/>
      <c r="H68" s="465">
        <v>3</v>
      </c>
    </row>
    <row r="69" spans="1:8" ht="13.8" thickBot="1">
      <c r="A69" s="467" t="s">
        <v>5414</v>
      </c>
      <c r="B69" s="465" t="s">
        <v>3447</v>
      </c>
      <c r="C69" s="466">
        <v>2</v>
      </c>
      <c r="D69" s="467" t="s">
        <v>614</v>
      </c>
      <c r="E69" s="466" t="s">
        <v>3414</v>
      </c>
      <c r="F69" s="466"/>
      <c r="G69" s="465"/>
      <c r="H69" s="465">
        <v>3</v>
      </c>
    </row>
    <row r="70" spans="1:8" ht="13.8" thickBot="1">
      <c r="A70" s="467" t="s">
        <v>5415</v>
      </c>
      <c r="B70" s="465" t="s">
        <v>3565</v>
      </c>
      <c r="C70" s="466">
        <v>2</v>
      </c>
      <c r="D70" s="465"/>
      <c r="E70" s="466" t="s">
        <v>3517</v>
      </c>
      <c r="F70" s="466"/>
      <c r="G70" s="465"/>
      <c r="H70" s="465">
        <v>4</v>
      </c>
    </row>
    <row r="71" spans="1:8" ht="13.8" thickBot="1">
      <c r="A71" s="465" t="s">
        <v>5416</v>
      </c>
      <c r="B71" s="465" t="s">
        <v>1466</v>
      </c>
      <c r="C71" s="466">
        <v>2</v>
      </c>
      <c r="D71" s="465"/>
      <c r="E71" s="466" t="s">
        <v>3652</v>
      </c>
      <c r="F71" s="466"/>
      <c r="G71" s="465"/>
      <c r="H71" s="465">
        <v>1</v>
      </c>
    </row>
    <row r="72" spans="1:8" ht="13.8" thickBot="1">
      <c r="A72" s="467" t="s">
        <v>5377</v>
      </c>
      <c r="B72" s="465" t="s">
        <v>1246</v>
      </c>
      <c r="C72" s="466">
        <v>2</v>
      </c>
      <c r="D72" s="465"/>
      <c r="E72" s="466" t="s">
        <v>2087</v>
      </c>
      <c r="F72" s="466"/>
      <c r="G72" s="465"/>
      <c r="H72" s="465">
        <v>7</v>
      </c>
    </row>
    <row r="73" spans="1:8" ht="13.8" thickBot="1">
      <c r="A73" s="467" t="s">
        <v>5417</v>
      </c>
      <c r="B73" s="465" t="s">
        <v>1480</v>
      </c>
      <c r="C73" s="466">
        <v>2</v>
      </c>
      <c r="D73" s="465"/>
      <c r="E73" s="466" t="s">
        <v>3734</v>
      </c>
      <c r="F73" s="466"/>
      <c r="G73" s="465"/>
      <c r="H73" s="465">
        <v>1</v>
      </c>
    </row>
    <row r="74" spans="1:8" ht="13.8" thickBot="1">
      <c r="A74" s="467" t="s">
        <v>5418</v>
      </c>
      <c r="B74" s="465" t="s">
        <v>3805</v>
      </c>
      <c r="C74" s="466">
        <v>2</v>
      </c>
      <c r="D74" s="465"/>
      <c r="E74" s="466" t="s">
        <v>3734</v>
      </c>
      <c r="F74" s="466"/>
      <c r="G74" s="465"/>
      <c r="H74" s="465">
        <v>2</v>
      </c>
    </row>
    <row r="75" spans="1:8" ht="13.8" thickBot="1">
      <c r="A75" s="467" t="s">
        <v>5419</v>
      </c>
      <c r="B75" s="465" t="s">
        <v>1502</v>
      </c>
      <c r="C75" s="466">
        <v>2</v>
      </c>
      <c r="D75" s="465"/>
      <c r="E75" s="466" t="s">
        <v>3807</v>
      </c>
      <c r="F75" s="466"/>
      <c r="G75" s="465"/>
      <c r="H75" s="465">
        <v>2</v>
      </c>
    </row>
    <row r="76" spans="1:8" ht="13.8" thickBot="1">
      <c r="A76" s="465" t="s">
        <v>5420</v>
      </c>
      <c r="B76" s="465" t="s">
        <v>1502</v>
      </c>
      <c r="C76" s="466">
        <v>2</v>
      </c>
      <c r="D76" s="465"/>
      <c r="E76" s="466" t="s">
        <v>3807</v>
      </c>
      <c r="F76" s="466"/>
      <c r="G76" s="465"/>
      <c r="H76" s="465">
        <v>1</v>
      </c>
    </row>
    <row r="77" spans="1:8" ht="13.8" thickBot="1">
      <c r="A77" s="465" t="s">
        <v>5421</v>
      </c>
      <c r="B77" s="465" t="s">
        <v>3853</v>
      </c>
      <c r="C77" s="466">
        <v>2</v>
      </c>
      <c r="D77" s="465"/>
      <c r="E77" s="466" t="s">
        <v>3807</v>
      </c>
      <c r="F77" s="466"/>
      <c r="G77" s="465"/>
      <c r="H77" s="465">
        <v>5</v>
      </c>
    </row>
    <row r="78" spans="1:8" ht="13.8" thickBot="1">
      <c r="A78" s="465" t="s">
        <v>5422</v>
      </c>
      <c r="B78" s="465" t="s">
        <v>3854</v>
      </c>
      <c r="C78" s="466">
        <v>2</v>
      </c>
      <c r="D78" s="465"/>
      <c r="E78" s="466" t="s">
        <v>3807</v>
      </c>
      <c r="F78" s="466"/>
      <c r="G78" s="465"/>
      <c r="H78" s="465">
        <v>3</v>
      </c>
    </row>
    <row r="79" spans="1:8" ht="13.8" thickBot="1">
      <c r="A79" s="467" t="s">
        <v>5423</v>
      </c>
      <c r="B79" s="465" t="s">
        <v>1507</v>
      </c>
      <c r="C79" s="466">
        <v>2</v>
      </c>
      <c r="D79" s="467" t="s">
        <v>614</v>
      </c>
      <c r="E79" s="466" t="s">
        <v>3856</v>
      </c>
      <c r="F79" s="466"/>
      <c r="G79" s="465"/>
      <c r="H79" s="465">
        <v>2</v>
      </c>
    </row>
    <row r="80" spans="1:8" ht="13.8" thickBot="1">
      <c r="A80" s="465" t="s">
        <v>5424</v>
      </c>
      <c r="B80" s="465" t="s">
        <v>3901</v>
      </c>
      <c r="C80" s="466">
        <v>2</v>
      </c>
      <c r="D80" s="465"/>
      <c r="E80" s="466" t="s">
        <v>3856</v>
      </c>
      <c r="F80" s="466"/>
      <c r="G80" s="465"/>
      <c r="H80" s="465">
        <v>3</v>
      </c>
    </row>
    <row r="81" spans="1:8" ht="13.8" thickBot="1">
      <c r="A81" s="467" t="s">
        <v>5425</v>
      </c>
      <c r="B81" s="465" t="s">
        <v>1515</v>
      </c>
      <c r="C81" s="466">
        <v>2</v>
      </c>
      <c r="D81" s="465"/>
      <c r="E81" s="466" t="s">
        <v>3932</v>
      </c>
      <c r="F81" s="466"/>
      <c r="G81" s="465"/>
      <c r="H81" s="465">
        <v>3</v>
      </c>
    </row>
    <row r="82" spans="1:8" ht="13.8" thickBot="1">
      <c r="A82" s="467" t="s">
        <v>5426</v>
      </c>
      <c r="B82" s="465" t="s">
        <v>3956</v>
      </c>
      <c r="C82" s="466">
        <v>2</v>
      </c>
      <c r="D82" s="465"/>
      <c r="E82" s="466" t="s">
        <v>3932</v>
      </c>
      <c r="F82" s="466"/>
      <c r="G82" s="465"/>
      <c r="H82" s="465">
        <v>3</v>
      </c>
    </row>
    <row r="83" spans="1:8" ht="13.8" thickBot="1">
      <c r="A83" s="467" t="s">
        <v>5427</v>
      </c>
      <c r="B83" s="465" t="s">
        <v>4335</v>
      </c>
      <c r="C83" s="466">
        <v>2</v>
      </c>
      <c r="D83" s="465"/>
      <c r="E83" s="466" t="s">
        <v>4214</v>
      </c>
      <c r="F83" s="466" t="s">
        <v>1910</v>
      </c>
      <c r="G83" s="465"/>
      <c r="H83" s="465">
        <v>5</v>
      </c>
    </row>
    <row r="84" spans="1:8" ht="13.8" thickBot="1">
      <c r="A84" s="467" t="s">
        <v>5428</v>
      </c>
      <c r="B84" s="465" t="s">
        <v>1610</v>
      </c>
      <c r="C84" s="466">
        <v>2</v>
      </c>
      <c r="D84" s="467" t="s">
        <v>4336</v>
      </c>
      <c r="E84" s="466" t="s">
        <v>4214</v>
      </c>
      <c r="F84" s="466" t="s">
        <v>1220</v>
      </c>
      <c r="G84" s="465"/>
      <c r="H84" s="465">
        <v>1</v>
      </c>
    </row>
    <row r="85" spans="1:8" ht="13.8" thickBot="1">
      <c r="A85" s="467" t="s">
        <v>5429</v>
      </c>
      <c r="B85" s="465" t="s">
        <v>1607</v>
      </c>
      <c r="C85" s="466">
        <v>2</v>
      </c>
      <c r="D85" s="465"/>
      <c r="E85" s="466" t="s">
        <v>4214</v>
      </c>
      <c r="F85" s="466"/>
      <c r="G85" s="465"/>
      <c r="H85" s="465">
        <v>2</v>
      </c>
    </row>
    <row r="86" spans="1:8" ht="13.8" thickBot="1">
      <c r="A86" s="467" t="s">
        <v>5430</v>
      </c>
      <c r="B86" s="465" t="s">
        <v>1607</v>
      </c>
      <c r="C86" s="466">
        <v>2</v>
      </c>
      <c r="D86" s="467" t="s">
        <v>614</v>
      </c>
      <c r="E86" s="466" t="s">
        <v>4214</v>
      </c>
      <c r="F86" s="466"/>
      <c r="G86" s="465"/>
      <c r="H86" s="465">
        <v>8</v>
      </c>
    </row>
    <row r="87" spans="1:8" ht="13.8" thickBot="1">
      <c r="A87" s="467" t="s">
        <v>5431</v>
      </c>
      <c r="B87" s="465" t="s">
        <v>1607</v>
      </c>
      <c r="C87" s="466">
        <v>2</v>
      </c>
      <c r="D87" s="465"/>
      <c r="E87" s="466" t="s">
        <v>4214</v>
      </c>
      <c r="F87" s="466"/>
      <c r="G87" s="465"/>
      <c r="H87" s="465">
        <v>2</v>
      </c>
    </row>
    <row r="88" spans="1:8" ht="13.8" thickBot="1">
      <c r="A88" s="467" t="s">
        <v>5432</v>
      </c>
      <c r="B88" s="465" t="s">
        <v>4337</v>
      </c>
      <c r="C88" s="466">
        <v>2</v>
      </c>
      <c r="D88" s="465"/>
      <c r="E88" s="466" t="s">
        <v>4214</v>
      </c>
      <c r="F88" s="466"/>
      <c r="G88" s="465"/>
      <c r="H88" s="465">
        <v>1</v>
      </c>
    </row>
    <row r="89" spans="1:8" ht="13.8" thickBot="1">
      <c r="A89" s="467" t="s">
        <v>5378</v>
      </c>
      <c r="B89" s="465" t="s">
        <v>2131</v>
      </c>
      <c r="C89" s="466">
        <v>2</v>
      </c>
      <c r="D89" s="465"/>
      <c r="E89" s="466" t="s">
        <v>2123</v>
      </c>
      <c r="F89" s="466"/>
      <c r="G89" s="465"/>
      <c r="H89" s="465">
        <v>1</v>
      </c>
    </row>
    <row r="90" spans="1:8" ht="13.8" thickBot="1">
      <c r="A90" s="467" t="s">
        <v>5433</v>
      </c>
      <c r="B90" s="465" t="s">
        <v>1645</v>
      </c>
      <c r="C90" s="466">
        <v>2</v>
      </c>
      <c r="D90" s="465"/>
      <c r="E90" s="466" t="s">
        <v>4339</v>
      </c>
      <c r="F90" s="466"/>
      <c r="G90" s="465"/>
      <c r="H90" s="465">
        <v>2</v>
      </c>
    </row>
    <row r="91" spans="1:8" ht="13.8" thickBot="1">
      <c r="A91" s="467" t="s">
        <v>5434</v>
      </c>
      <c r="B91" s="465" t="s">
        <v>4352</v>
      </c>
      <c r="C91" s="466">
        <v>2</v>
      </c>
      <c r="D91" s="465"/>
      <c r="E91" s="466" t="s">
        <v>4347</v>
      </c>
      <c r="F91" s="466"/>
      <c r="G91" s="465"/>
      <c r="H91" s="465">
        <v>4</v>
      </c>
    </row>
    <row r="92" spans="1:8" ht="13.8" thickBot="1">
      <c r="A92" s="465" t="s">
        <v>5435</v>
      </c>
      <c r="B92" s="465" t="s">
        <v>4363</v>
      </c>
      <c r="C92" s="466">
        <v>2</v>
      </c>
      <c r="D92" s="465"/>
      <c r="E92" s="466" t="s">
        <v>4354</v>
      </c>
      <c r="F92" s="466"/>
      <c r="G92" s="465"/>
      <c r="H92" s="465">
        <v>10</v>
      </c>
    </row>
    <row r="93" spans="1:8" ht="13.8" thickBot="1">
      <c r="A93" s="467" t="s">
        <v>5436</v>
      </c>
      <c r="B93" s="465" t="s">
        <v>1655</v>
      </c>
      <c r="C93" s="466">
        <v>2</v>
      </c>
      <c r="D93" s="465"/>
      <c r="E93" s="466" t="s">
        <v>4364</v>
      </c>
      <c r="F93" s="466"/>
      <c r="G93" s="465"/>
      <c r="H93" s="465">
        <v>1</v>
      </c>
    </row>
    <row r="94" spans="1:8" ht="13.8" thickBot="1">
      <c r="A94" s="467" t="s">
        <v>5437</v>
      </c>
      <c r="B94" s="465" t="s">
        <v>4390</v>
      </c>
      <c r="C94" s="466">
        <v>2</v>
      </c>
      <c r="D94" s="465"/>
      <c r="E94" s="466" t="s">
        <v>4364</v>
      </c>
      <c r="F94" s="466"/>
      <c r="G94" s="465"/>
      <c r="H94" s="465">
        <v>11</v>
      </c>
    </row>
    <row r="95" spans="1:8" ht="13.8" thickBot="1">
      <c r="A95" s="465" t="s">
        <v>5438</v>
      </c>
      <c r="B95" s="465" t="s">
        <v>1715</v>
      </c>
      <c r="C95" s="466">
        <v>2</v>
      </c>
      <c r="D95" s="465"/>
      <c r="E95" s="466" t="s">
        <v>4403</v>
      </c>
      <c r="F95" s="466"/>
      <c r="G95" s="465"/>
      <c r="H95" s="465">
        <v>2</v>
      </c>
    </row>
    <row r="96" spans="1:8" ht="13.8" thickBot="1">
      <c r="A96" s="465" t="s">
        <v>5439</v>
      </c>
      <c r="B96" s="465" t="s">
        <v>4467</v>
      </c>
      <c r="C96" s="466">
        <v>2</v>
      </c>
      <c r="D96" s="465"/>
      <c r="E96" s="466" t="s">
        <v>4438</v>
      </c>
      <c r="F96" s="466"/>
      <c r="G96" s="465"/>
      <c r="H96" s="465">
        <v>2</v>
      </c>
    </row>
    <row r="97" spans="1:8" ht="13.8" thickBot="1">
      <c r="A97" s="465" t="s">
        <v>5440</v>
      </c>
      <c r="B97" s="465" t="s">
        <v>1647</v>
      </c>
      <c r="C97" s="466">
        <v>2</v>
      </c>
      <c r="D97" s="465"/>
      <c r="E97" s="466" t="s">
        <v>4509</v>
      </c>
      <c r="F97" s="466"/>
      <c r="G97" s="465"/>
      <c r="H97" s="465">
        <v>2</v>
      </c>
    </row>
    <row r="98" spans="1:8" ht="13.8" thickBot="1">
      <c r="A98" s="467" t="s">
        <v>5441</v>
      </c>
      <c r="B98" s="465" t="s">
        <v>1647</v>
      </c>
      <c r="C98" s="466">
        <v>2</v>
      </c>
      <c r="D98" s="465"/>
      <c r="E98" s="466" t="s">
        <v>4509</v>
      </c>
      <c r="F98" s="466"/>
      <c r="G98" s="465"/>
      <c r="H98" s="465">
        <v>2</v>
      </c>
    </row>
    <row r="99" spans="1:8" ht="13.8" thickBot="1">
      <c r="A99" s="467" t="s">
        <v>5442</v>
      </c>
      <c r="B99" s="465" t="s">
        <v>1647</v>
      </c>
      <c r="C99" s="466">
        <v>2</v>
      </c>
      <c r="D99" s="465"/>
      <c r="E99" s="466" t="s">
        <v>4509</v>
      </c>
      <c r="F99" s="466"/>
      <c r="G99" s="465"/>
      <c r="H99" s="465">
        <v>8</v>
      </c>
    </row>
    <row r="100" spans="1:8" ht="13.8" thickBot="1">
      <c r="A100" s="465" t="s">
        <v>1022</v>
      </c>
      <c r="B100" s="465" t="s">
        <v>1647</v>
      </c>
      <c r="C100" s="466">
        <v>2</v>
      </c>
      <c r="D100" s="467" t="s">
        <v>4533</v>
      </c>
      <c r="E100" s="466" t="s">
        <v>4509</v>
      </c>
      <c r="F100" s="466"/>
      <c r="G100" s="465"/>
      <c r="H100" s="465">
        <v>2</v>
      </c>
    </row>
    <row r="101" spans="1:8" ht="13.8" thickBot="1">
      <c r="A101" s="467" t="s">
        <v>5443</v>
      </c>
      <c r="B101" s="465" t="s">
        <v>1647</v>
      </c>
      <c r="C101" s="466">
        <v>2</v>
      </c>
      <c r="D101" s="465"/>
      <c r="E101" s="466" t="s">
        <v>4509</v>
      </c>
      <c r="F101" s="466"/>
      <c r="G101" s="465"/>
      <c r="H101" s="465">
        <v>6</v>
      </c>
    </row>
    <row r="102" spans="1:8" ht="13.8" thickBot="1">
      <c r="A102" s="467" t="s">
        <v>5444</v>
      </c>
      <c r="B102" s="465" t="s">
        <v>1647</v>
      </c>
      <c r="C102" s="466">
        <v>2</v>
      </c>
      <c r="D102" s="465"/>
      <c r="E102" s="466" t="s">
        <v>4509</v>
      </c>
      <c r="F102" s="466"/>
      <c r="G102" s="465"/>
      <c r="H102" s="465">
        <v>6</v>
      </c>
    </row>
    <row r="103" spans="1:8" ht="13.8" thickBot="1">
      <c r="A103" s="467" t="s">
        <v>5445</v>
      </c>
      <c r="B103" s="465" t="s">
        <v>4534</v>
      </c>
      <c r="C103" s="466">
        <v>2</v>
      </c>
      <c r="D103" s="465"/>
      <c r="E103" s="466" t="s">
        <v>4509</v>
      </c>
      <c r="F103" s="466"/>
      <c r="G103" s="465"/>
      <c r="H103" s="465">
        <v>3</v>
      </c>
    </row>
    <row r="104" spans="1:8" ht="13.8" thickBot="1">
      <c r="A104" s="465" t="s">
        <v>5446</v>
      </c>
      <c r="B104" s="465" t="s">
        <v>4532</v>
      </c>
      <c r="C104" s="466">
        <v>2</v>
      </c>
      <c r="D104" s="465"/>
      <c r="E104" s="466" t="s">
        <v>4509</v>
      </c>
      <c r="F104" s="466"/>
      <c r="G104" s="465"/>
      <c r="H104" s="465">
        <v>5</v>
      </c>
    </row>
    <row r="105" spans="1:8" ht="13.8" thickBot="1">
      <c r="A105" s="467" t="s">
        <v>5447</v>
      </c>
      <c r="B105" s="465" t="s">
        <v>1665</v>
      </c>
      <c r="C105" s="466">
        <v>2</v>
      </c>
      <c r="D105" s="465"/>
      <c r="E105" s="466" t="s">
        <v>4536</v>
      </c>
      <c r="F105" s="466"/>
      <c r="G105" s="465"/>
      <c r="H105" s="465"/>
    </row>
    <row r="106" spans="1:8" ht="13.8" thickBot="1">
      <c r="A106" s="467" t="s">
        <v>5448</v>
      </c>
      <c r="B106" s="465" t="s">
        <v>4586</v>
      </c>
      <c r="C106" s="466">
        <v>2</v>
      </c>
      <c r="D106" s="467" t="s">
        <v>4587</v>
      </c>
      <c r="E106" s="466" t="s">
        <v>4557</v>
      </c>
      <c r="F106" s="466" t="s">
        <v>1224</v>
      </c>
      <c r="G106" s="465"/>
      <c r="H106" s="465">
        <v>8</v>
      </c>
    </row>
    <row r="107" spans="1:8" ht="13.8" thickBot="1">
      <c r="A107" s="467" t="s">
        <v>5449</v>
      </c>
      <c r="B107" s="465" t="s">
        <v>4579</v>
      </c>
      <c r="C107" s="466">
        <v>2</v>
      </c>
      <c r="D107" s="465"/>
      <c r="E107" s="466" t="s">
        <v>4557</v>
      </c>
      <c r="F107" s="466"/>
      <c r="G107" s="465"/>
      <c r="H107" s="465">
        <v>8</v>
      </c>
    </row>
    <row r="108" spans="1:8" ht="13.8" thickBot="1">
      <c r="A108" s="465" t="s">
        <v>5450</v>
      </c>
      <c r="B108" s="465" t="s">
        <v>4588</v>
      </c>
      <c r="C108" s="466">
        <v>2</v>
      </c>
      <c r="D108" s="465"/>
      <c r="E108" s="466" t="s">
        <v>4557</v>
      </c>
      <c r="F108" s="466"/>
      <c r="G108" s="465"/>
      <c r="H108" s="465">
        <v>10</v>
      </c>
    </row>
    <row r="109" spans="1:8" ht="13.8" thickBot="1">
      <c r="A109" s="467" t="s">
        <v>5379</v>
      </c>
      <c r="B109" s="465" t="s">
        <v>2214</v>
      </c>
      <c r="C109" s="466">
        <v>2</v>
      </c>
      <c r="D109" s="465"/>
      <c r="E109" s="466" t="s">
        <v>2152</v>
      </c>
      <c r="F109" s="466"/>
      <c r="G109" s="465"/>
      <c r="H109" s="465">
        <v>1</v>
      </c>
    </row>
    <row r="110" spans="1:8" ht="13.8" thickBot="1">
      <c r="A110" s="467" t="s">
        <v>5451</v>
      </c>
      <c r="B110" s="465" t="s">
        <v>1693</v>
      </c>
      <c r="C110" s="466">
        <v>2</v>
      </c>
      <c r="D110" s="465"/>
      <c r="E110" s="466" t="s">
        <v>4644</v>
      </c>
      <c r="F110" s="466"/>
      <c r="G110" s="465"/>
      <c r="H110" s="465">
        <v>11</v>
      </c>
    </row>
    <row r="111" spans="1:8" ht="13.8" thickBot="1">
      <c r="A111" s="467" t="s">
        <v>5452</v>
      </c>
      <c r="B111" s="465" t="s">
        <v>1677</v>
      </c>
      <c r="C111" s="466">
        <v>2</v>
      </c>
      <c r="D111" s="467" t="s">
        <v>4669</v>
      </c>
      <c r="E111" s="466" t="s">
        <v>4644</v>
      </c>
      <c r="F111" s="466"/>
      <c r="G111" s="465"/>
      <c r="H111" s="465">
        <v>7</v>
      </c>
    </row>
    <row r="112" spans="1:8" ht="13.8" thickBot="1">
      <c r="A112" s="467" t="s">
        <v>5453</v>
      </c>
      <c r="B112" s="465" t="s">
        <v>1708</v>
      </c>
      <c r="C112" s="466">
        <v>2</v>
      </c>
      <c r="D112" s="465"/>
      <c r="E112" s="466" t="s">
        <v>4672</v>
      </c>
      <c r="F112" s="466"/>
      <c r="G112" s="465"/>
      <c r="H112" s="465">
        <v>2</v>
      </c>
    </row>
    <row r="113" spans="1:8" ht="13.8" thickBot="1">
      <c r="A113" s="467" t="s">
        <v>5454</v>
      </c>
      <c r="B113" s="465" t="s">
        <v>1708</v>
      </c>
      <c r="C113" s="466">
        <v>2</v>
      </c>
      <c r="D113" s="465"/>
      <c r="E113" s="466" t="s">
        <v>4672</v>
      </c>
      <c r="F113" s="466"/>
      <c r="G113" s="465"/>
      <c r="H113" s="465">
        <v>1</v>
      </c>
    </row>
    <row r="114" spans="1:8" ht="13.8" thickBot="1">
      <c r="A114" s="465" t="s">
        <v>5455</v>
      </c>
      <c r="B114" s="465" t="s">
        <v>1709</v>
      </c>
      <c r="C114" s="466">
        <v>2</v>
      </c>
      <c r="D114" s="465"/>
      <c r="E114" s="466" t="s">
        <v>4672</v>
      </c>
      <c r="F114" s="466"/>
      <c r="G114" s="465"/>
      <c r="H114" s="465">
        <v>2</v>
      </c>
    </row>
    <row r="115" spans="1:8" ht="13.8" thickBot="1">
      <c r="A115" s="465" t="s">
        <v>5466</v>
      </c>
      <c r="B115" s="465" t="s">
        <v>5030</v>
      </c>
      <c r="C115" s="466">
        <v>2.5</v>
      </c>
      <c r="D115" s="467" t="s">
        <v>614</v>
      </c>
      <c r="E115" s="466" t="s">
        <v>5010</v>
      </c>
      <c r="F115" s="466"/>
      <c r="G115" s="465"/>
      <c r="H115" s="465">
        <v>3</v>
      </c>
    </row>
    <row r="116" spans="1:8" ht="13.8" thickBot="1">
      <c r="A116" s="467" t="s">
        <v>5462</v>
      </c>
      <c r="B116" s="465" t="s">
        <v>1988</v>
      </c>
      <c r="C116" s="466">
        <v>2.5</v>
      </c>
      <c r="D116" s="465"/>
      <c r="E116" s="466" t="s">
        <v>1922</v>
      </c>
      <c r="F116" s="466"/>
      <c r="G116" s="465"/>
      <c r="H116" s="465">
        <v>2</v>
      </c>
    </row>
    <row r="117" spans="1:8" ht="13.8" thickBot="1">
      <c r="A117" s="467" t="s">
        <v>5464</v>
      </c>
      <c r="B117" s="465" t="s">
        <v>3313</v>
      </c>
      <c r="C117" s="466">
        <v>2.5</v>
      </c>
      <c r="D117" s="465"/>
      <c r="E117" s="466" t="s">
        <v>3285</v>
      </c>
      <c r="F117" s="466"/>
      <c r="G117" s="465"/>
      <c r="H117" s="465">
        <v>6</v>
      </c>
    </row>
    <row r="118" spans="1:8" ht="13.8" thickBot="1">
      <c r="A118" s="467" t="s">
        <v>5463</v>
      </c>
      <c r="B118" s="465" t="s">
        <v>2090</v>
      </c>
      <c r="C118" s="466">
        <v>2.5</v>
      </c>
      <c r="D118" s="465"/>
      <c r="E118" s="466" t="s">
        <v>2087</v>
      </c>
      <c r="F118" s="466"/>
      <c r="G118" s="465"/>
      <c r="H118" s="465">
        <v>1</v>
      </c>
    </row>
    <row r="119" spans="1:8" ht="13.8" thickBot="1">
      <c r="A119" s="467" t="s">
        <v>5465</v>
      </c>
      <c r="B119" s="465" t="s">
        <v>3994</v>
      </c>
      <c r="C119" s="466">
        <v>2.5</v>
      </c>
      <c r="D119" s="465"/>
      <c r="E119" s="466" t="s">
        <v>3957</v>
      </c>
      <c r="F119" s="466"/>
      <c r="G119" s="465"/>
      <c r="H119" s="465">
        <v>3</v>
      </c>
    </row>
    <row r="120" spans="1:8" ht="13.8" thickBot="1">
      <c r="A120" s="467" t="s">
        <v>5467</v>
      </c>
      <c r="B120" s="465" t="s">
        <v>1909</v>
      </c>
      <c r="C120" s="466">
        <v>3</v>
      </c>
      <c r="D120" s="465"/>
      <c r="E120" s="466" t="s">
        <v>1793</v>
      </c>
      <c r="F120" s="466" t="s">
        <v>1865</v>
      </c>
      <c r="G120" s="465"/>
      <c r="H120" s="465">
        <v>5</v>
      </c>
    </row>
    <row r="121" spans="1:8" ht="13.8" thickBot="1">
      <c r="A121" s="467" t="s">
        <v>5468</v>
      </c>
      <c r="B121" s="465" t="s">
        <v>1852</v>
      </c>
      <c r="C121" s="466">
        <v>3</v>
      </c>
      <c r="D121" s="465"/>
      <c r="E121" s="466" t="s">
        <v>1793</v>
      </c>
      <c r="F121" s="466" t="s">
        <v>1910</v>
      </c>
      <c r="G121" s="465"/>
      <c r="H121" s="465">
        <v>6</v>
      </c>
    </row>
    <row r="122" spans="1:8" ht="13.8" thickBot="1">
      <c r="A122" s="465" t="s">
        <v>5469</v>
      </c>
      <c r="B122" s="465" t="s">
        <v>1797</v>
      </c>
      <c r="C122" s="466">
        <v>3</v>
      </c>
      <c r="D122" s="465"/>
      <c r="E122" s="466" t="s">
        <v>1793</v>
      </c>
      <c r="F122" s="466" t="s">
        <v>1224</v>
      </c>
      <c r="G122" s="465"/>
      <c r="H122" s="465">
        <v>12</v>
      </c>
    </row>
    <row r="123" spans="1:8" ht="13.8" thickBot="1">
      <c r="A123" s="465" t="s">
        <v>5470</v>
      </c>
      <c r="B123" s="465" t="s">
        <v>1911</v>
      </c>
      <c r="C123" s="466">
        <v>3</v>
      </c>
      <c r="D123" s="467" t="s">
        <v>1912</v>
      </c>
      <c r="E123" s="466" t="s">
        <v>1793</v>
      </c>
      <c r="F123" s="466" t="s">
        <v>1224</v>
      </c>
      <c r="G123" s="465"/>
      <c r="H123" s="465">
        <v>6</v>
      </c>
    </row>
    <row r="124" spans="1:8" ht="13.8" thickBot="1">
      <c r="A124" s="467" t="s">
        <v>5471</v>
      </c>
      <c r="B124" s="465" t="s">
        <v>1913</v>
      </c>
      <c r="C124" s="466">
        <v>3</v>
      </c>
      <c r="D124" s="467" t="s">
        <v>614</v>
      </c>
      <c r="E124" s="466" t="s">
        <v>1793</v>
      </c>
      <c r="F124" s="466" t="s">
        <v>1224</v>
      </c>
      <c r="G124" s="465"/>
      <c r="H124" s="465">
        <v>1</v>
      </c>
    </row>
    <row r="125" spans="1:8" ht="13.8" thickBot="1">
      <c r="A125" s="465" t="s">
        <v>5472</v>
      </c>
      <c r="B125" s="465" t="s">
        <v>1792</v>
      </c>
      <c r="C125" s="466">
        <v>3</v>
      </c>
      <c r="D125" s="465"/>
      <c r="E125" s="466" t="s">
        <v>1793</v>
      </c>
      <c r="F125" s="466"/>
      <c r="G125" s="465"/>
      <c r="H125" s="465">
        <v>3</v>
      </c>
    </row>
    <row r="126" spans="1:8" ht="13.8" thickBot="1">
      <c r="A126" s="467" t="s">
        <v>5473</v>
      </c>
      <c r="B126" s="465" t="s">
        <v>1792</v>
      </c>
      <c r="C126" s="466">
        <v>3</v>
      </c>
      <c r="D126" s="465"/>
      <c r="E126" s="466" t="s">
        <v>1793</v>
      </c>
      <c r="F126" s="466"/>
      <c r="G126" s="465">
        <v>1</v>
      </c>
      <c r="H126" s="465">
        <v>3</v>
      </c>
    </row>
    <row r="127" spans="1:8" ht="13.8" thickBot="1">
      <c r="A127" s="467" t="s">
        <v>5474</v>
      </c>
      <c r="B127" s="465" t="s">
        <v>1792</v>
      </c>
      <c r="C127" s="466">
        <v>3</v>
      </c>
      <c r="D127" s="465"/>
      <c r="E127" s="466" t="s">
        <v>1793</v>
      </c>
      <c r="F127" s="466"/>
      <c r="G127" s="465"/>
      <c r="H127" s="465">
        <v>1</v>
      </c>
    </row>
    <row r="128" spans="1:8" ht="13.8" thickBot="1">
      <c r="A128" s="465" t="s">
        <v>5475</v>
      </c>
      <c r="B128" s="465" t="s">
        <v>1792</v>
      </c>
      <c r="C128" s="466">
        <v>3</v>
      </c>
      <c r="D128" s="465"/>
      <c r="E128" s="466" t="s">
        <v>1793</v>
      </c>
      <c r="F128" s="466"/>
      <c r="G128" s="465">
        <v>1</v>
      </c>
      <c r="H128" s="465">
        <v>6</v>
      </c>
    </row>
    <row r="129" spans="1:8" ht="13.8" thickBot="1">
      <c r="A129" s="467" t="s">
        <v>5476</v>
      </c>
      <c r="B129" s="465" t="s">
        <v>1914</v>
      </c>
      <c r="C129" s="466">
        <v>3</v>
      </c>
      <c r="D129" s="465"/>
      <c r="E129" s="466" t="s">
        <v>1793</v>
      </c>
      <c r="F129" s="466"/>
      <c r="G129" s="465"/>
      <c r="H129" s="465">
        <v>1</v>
      </c>
    </row>
    <row r="130" spans="1:8" ht="13.8" thickBot="1">
      <c r="A130" s="467" t="s">
        <v>5477</v>
      </c>
      <c r="B130" s="465" t="s">
        <v>1915</v>
      </c>
      <c r="C130" s="466">
        <v>3</v>
      </c>
      <c r="D130" s="465"/>
      <c r="E130" s="466" t="s">
        <v>1793</v>
      </c>
      <c r="F130" s="466"/>
      <c r="G130" s="465"/>
      <c r="H130" s="465">
        <v>2</v>
      </c>
    </row>
    <row r="131" spans="1:8" ht="13.8" thickBot="1">
      <c r="A131" s="465" t="s">
        <v>891</v>
      </c>
      <c r="B131" s="465" t="s">
        <v>1802</v>
      </c>
      <c r="C131" s="466">
        <v>3</v>
      </c>
      <c r="D131" s="465"/>
      <c r="E131" s="466" t="s">
        <v>1793</v>
      </c>
      <c r="F131" s="466"/>
      <c r="G131" s="465">
        <v>1</v>
      </c>
      <c r="H131" s="465">
        <v>12</v>
      </c>
    </row>
    <row r="132" spans="1:8" ht="13.8" thickBot="1">
      <c r="A132" s="467" t="s">
        <v>5478</v>
      </c>
      <c r="B132" s="465" t="s">
        <v>1874</v>
      </c>
      <c r="C132" s="466">
        <v>3</v>
      </c>
      <c r="D132" s="465"/>
      <c r="E132" s="466" t="s">
        <v>1793</v>
      </c>
      <c r="F132" s="466"/>
      <c r="G132" s="465"/>
      <c r="H132" s="465">
        <v>4</v>
      </c>
    </row>
    <row r="133" spans="1:8" ht="13.8" thickBot="1">
      <c r="A133" s="465" t="s">
        <v>646</v>
      </c>
      <c r="B133" s="465" t="s">
        <v>1916</v>
      </c>
      <c r="C133" s="466">
        <v>3</v>
      </c>
      <c r="D133" s="467" t="s">
        <v>614</v>
      </c>
      <c r="E133" s="466" t="s">
        <v>1793</v>
      </c>
      <c r="F133" s="466"/>
      <c r="G133" s="465"/>
      <c r="H133" s="465">
        <v>3</v>
      </c>
    </row>
    <row r="134" spans="1:8" ht="13.8" thickBot="1">
      <c r="A134" s="467" t="s">
        <v>5507</v>
      </c>
      <c r="B134" s="465" t="s">
        <v>2240</v>
      </c>
      <c r="C134" s="466">
        <v>3</v>
      </c>
      <c r="D134" s="465"/>
      <c r="E134" s="466" t="s">
        <v>2216</v>
      </c>
      <c r="F134" s="466" t="s">
        <v>1910</v>
      </c>
      <c r="G134" s="465"/>
      <c r="H134" s="465">
        <v>2</v>
      </c>
    </row>
    <row r="135" spans="1:8" ht="13.8" thickBot="1">
      <c r="A135" s="467" t="s">
        <v>5508</v>
      </c>
      <c r="B135" s="465" t="s">
        <v>2228</v>
      </c>
      <c r="C135" s="466">
        <v>3</v>
      </c>
      <c r="D135" s="465"/>
      <c r="E135" s="466" t="s">
        <v>2216</v>
      </c>
      <c r="F135" s="466"/>
      <c r="G135" s="465"/>
      <c r="H135" s="465">
        <v>2</v>
      </c>
    </row>
    <row r="136" spans="1:8" ht="13.8" thickBot="1">
      <c r="A136" s="467" t="s">
        <v>5509</v>
      </c>
      <c r="B136" s="465" t="s">
        <v>2228</v>
      </c>
      <c r="C136" s="466">
        <v>3</v>
      </c>
      <c r="D136" s="465"/>
      <c r="E136" s="466" t="s">
        <v>2216</v>
      </c>
      <c r="F136" s="466"/>
      <c r="G136" s="465"/>
      <c r="H136" s="465">
        <v>5</v>
      </c>
    </row>
    <row r="137" spans="1:8" ht="13.8" thickBot="1">
      <c r="A137" s="467" t="s">
        <v>5769</v>
      </c>
      <c r="B137" s="465" t="s">
        <v>1759</v>
      </c>
      <c r="C137" s="466">
        <v>3</v>
      </c>
      <c r="D137" s="467" t="s">
        <v>614</v>
      </c>
      <c r="E137" s="466" t="s">
        <v>4789</v>
      </c>
      <c r="F137" s="466"/>
      <c r="G137" s="465"/>
      <c r="H137" s="465">
        <v>1</v>
      </c>
    </row>
    <row r="138" spans="1:8" ht="13.8" thickBot="1">
      <c r="A138" s="467" t="s">
        <v>5770</v>
      </c>
      <c r="B138" s="465" t="s">
        <v>1755</v>
      </c>
      <c r="C138" s="466">
        <v>3</v>
      </c>
      <c r="D138" s="465"/>
      <c r="E138" s="466" t="s">
        <v>4822</v>
      </c>
      <c r="F138" s="466" t="s">
        <v>1224</v>
      </c>
      <c r="G138" s="465"/>
      <c r="H138" s="465">
        <v>2</v>
      </c>
    </row>
    <row r="139" spans="1:8" ht="13.8" thickBot="1">
      <c r="A139" s="467" t="s">
        <v>5771</v>
      </c>
      <c r="B139" s="465" t="s">
        <v>1755</v>
      </c>
      <c r="C139" s="466">
        <v>3</v>
      </c>
      <c r="D139" s="465"/>
      <c r="E139" s="466" t="s">
        <v>4822</v>
      </c>
      <c r="F139" s="466"/>
      <c r="G139" s="465"/>
      <c r="H139" s="465">
        <v>1</v>
      </c>
    </row>
    <row r="140" spans="1:8" ht="13.8" thickBot="1">
      <c r="A140" s="467" t="s">
        <v>5772</v>
      </c>
      <c r="B140" s="465" t="s">
        <v>1755</v>
      </c>
      <c r="C140" s="466">
        <v>3</v>
      </c>
      <c r="D140" s="465"/>
      <c r="E140" s="466" t="s">
        <v>4822</v>
      </c>
      <c r="F140" s="466"/>
      <c r="G140" s="465"/>
      <c r="H140" s="465">
        <v>3</v>
      </c>
    </row>
    <row r="141" spans="1:8" ht="13.8" thickBot="1">
      <c r="A141" s="465" t="s">
        <v>5773</v>
      </c>
      <c r="B141" s="465" t="s">
        <v>1755</v>
      </c>
      <c r="C141" s="466">
        <v>3</v>
      </c>
      <c r="D141" s="465"/>
      <c r="E141" s="466" t="s">
        <v>4822</v>
      </c>
      <c r="F141" s="466"/>
      <c r="G141" s="465"/>
      <c r="H141" s="465">
        <v>1</v>
      </c>
    </row>
    <row r="142" spans="1:8" ht="13.8" thickBot="1">
      <c r="A142" s="467" t="s">
        <v>5774</v>
      </c>
      <c r="B142" s="465" t="s">
        <v>1755</v>
      </c>
      <c r="C142" s="466">
        <v>3</v>
      </c>
      <c r="D142" s="465"/>
      <c r="E142" s="466" t="s">
        <v>4822</v>
      </c>
      <c r="F142" s="466"/>
      <c r="G142" s="465"/>
      <c r="H142" s="465">
        <v>3</v>
      </c>
    </row>
    <row r="143" spans="1:8" ht="13.8" thickBot="1">
      <c r="A143" s="467" t="s">
        <v>5775</v>
      </c>
      <c r="B143" s="465" t="s">
        <v>1755</v>
      </c>
      <c r="C143" s="466">
        <v>3</v>
      </c>
      <c r="D143" s="465"/>
      <c r="E143" s="466" t="s">
        <v>4822</v>
      </c>
      <c r="F143" s="466"/>
      <c r="G143" s="465"/>
      <c r="H143" s="465">
        <v>2</v>
      </c>
    </row>
    <row r="144" spans="1:8" ht="13.8" thickBot="1">
      <c r="A144" s="467" t="s">
        <v>5776</v>
      </c>
      <c r="B144" s="465" t="s">
        <v>4823</v>
      </c>
      <c r="C144" s="466">
        <v>3</v>
      </c>
      <c r="D144" s="465" t="s">
        <v>4844</v>
      </c>
      <c r="E144" s="466" t="s">
        <v>4822</v>
      </c>
      <c r="F144" s="466"/>
      <c r="G144" s="465"/>
      <c r="H144" s="465"/>
    </row>
    <row r="145" spans="1:8" ht="13.8" thickBot="1">
      <c r="A145" s="465" t="s">
        <v>5777</v>
      </c>
      <c r="B145" s="465" t="s">
        <v>4823</v>
      </c>
      <c r="C145" s="466">
        <v>3</v>
      </c>
      <c r="D145" s="465"/>
      <c r="E145" s="466" t="s">
        <v>4822</v>
      </c>
      <c r="F145" s="466"/>
      <c r="G145" s="465"/>
      <c r="H145" s="465">
        <v>2</v>
      </c>
    </row>
    <row r="146" spans="1:8" ht="13.8" thickBot="1">
      <c r="A146" s="467" t="s">
        <v>5778</v>
      </c>
      <c r="B146" s="465" t="s">
        <v>4846</v>
      </c>
      <c r="C146" s="466">
        <v>3</v>
      </c>
      <c r="D146" s="465"/>
      <c r="E146" s="466" t="s">
        <v>4822</v>
      </c>
      <c r="F146" s="466"/>
      <c r="G146" s="465"/>
      <c r="H146" s="465">
        <v>6</v>
      </c>
    </row>
    <row r="147" spans="1:8" ht="13.8" thickBot="1">
      <c r="A147" s="467" t="s">
        <v>5779</v>
      </c>
      <c r="B147" s="465" t="s">
        <v>1754</v>
      </c>
      <c r="C147" s="466">
        <v>3</v>
      </c>
      <c r="D147" s="465"/>
      <c r="E147" s="466" t="s">
        <v>4822</v>
      </c>
      <c r="F147" s="466"/>
      <c r="G147" s="465"/>
      <c r="H147" s="465">
        <v>5</v>
      </c>
    </row>
    <row r="148" spans="1:8" ht="13.8" thickBot="1">
      <c r="A148" s="467" t="s">
        <v>5780</v>
      </c>
      <c r="B148" s="465" t="s">
        <v>4847</v>
      </c>
      <c r="C148" s="466">
        <v>3</v>
      </c>
      <c r="D148" s="465"/>
      <c r="E148" s="466" t="s">
        <v>4822</v>
      </c>
      <c r="F148" s="466"/>
      <c r="G148" s="465"/>
      <c r="H148" s="465">
        <v>1</v>
      </c>
    </row>
    <row r="149" spans="1:8" ht="13.8" thickBot="1">
      <c r="A149" s="465" t="s">
        <v>5781</v>
      </c>
      <c r="B149" s="465" t="s">
        <v>4848</v>
      </c>
      <c r="C149" s="466">
        <v>3</v>
      </c>
      <c r="D149" s="467" t="s">
        <v>614</v>
      </c>
      <c r="E149" s="466" t="s">
        <v>4822</v>
      </c>
      <c r="F149" s="466"/>
      <c r="G149" s="465"/>
      <c r="H149" s="465">
        <v>4</v>
      </c>
    </row>
    <row r="150" spans="1:8" ht="13.8" thickBot="1">
      <c r="A150" s="467" t="s">
        <v>5782</v>
      </c>
      <c r="B150" s="465" t="s">
        <v>4901</v>
      </c>
      <c r="C150" s="466">
        <v>3</v>
      </c>
      <c r="D150" s="467" t="s">
        <v>4902</v>
      </c>
      <c r="E150" s="466" t="s">
        <v>4865</v>
      </c>
      <c r="F150" s="466" t="s">
        <v>1226</v>
      </c>
      <c r="G150" s="465"/>
      <c r="H150" s="465">
        <v>1</v>
      </c>
    </row>
    <row r="151" spans="1:8" ht="13.8" thickBot="1">
      <c r="A151" s="467" t="s">
        <v>5783</v>
      </c>
      <c r="B151" s="465" t="s">
        <v>4903</v>
      </c>
      <c r="C151" s="466">
        <v>3</v>
      </c>
      <c r="D151" s="467" t="s">
        <v>614</v>
      </c>
      <c r="E151" s="466" t="s">
        <v>4865</v>
      </c>
      <c r="F151" s="466"/>
      <c r="G151" s="465"/>
      <c r="H151" s="465">
        <v>1</v>
      </c>
    </row>
    <row r="152" spans="1:8" ht="13.8" thickBot="1">
      <c r="A152" s="467" t="s">
        <v>5784</v>
      </c>
      <c r="B152" s="465" t="s">
        <v>4913</v>
      </c>
      <c r="C152" s="466">
        <v>3</v>
      </c>
      <c r="D152" s="465"/>
      <c r="E152" s="466" t="s">
        <v>4905</v>
      </c>
      <c r="F152" s="466"/>
      <c r="G152" s="465"/>
      <c r="H152" s="465">
        <v>1</v>
      </c>
    </row>
    <row r="153" spans="1:8" ht="13.8" thickBot="1">
      <c r="A153" s="467" t="s">
        <v>5785</v>
      </c>
      <c r="B153" s="465" t="s">
        <v>1601</v>
      </c>
      <c r="C153" s="466">
        <v>3</v>
      </c>
      <c r="D153" s="467" t="s">
        <v>614</v>
      </c>
      <c r="E153" s="466" t="s">
        <v>4970</v>
      </c>
      <c r="F153" s="466" t="s">
        <v>1224</v>
      </c>
      <c r="G153" s="465"/>
      <c r="H153" s="465">
        <v>1</v>
      </c>
    </row>
    <row r="154" spans="1:8" ht="13.8" thickBot="1">
      <c r="A154" s="467" t="s">
        <v>5786</v>
      </c>
      <c r="B154" s="465" t="s">
        <v>1593</v>
      </c>
      <c r="C154" s="466">
        <v>3</v>
      </c>
      <c r="D154" s="465"/>
      <c r="E154" s="466" t="s">
        <v>4970</v>
      </c>
      <c r="F154" s="466"/>
      <c r="G154" s="465"/>
      <c r="H154" s="465">
        <v>3</v>
      </c>
    </row>
    <row r="155" spans="1:8" ht="13.8" thickBot="1">
      <c r="A155" s="467" t="s">
        <v>5787</v>
      </c>
      <c r="B155" s="465" t="s">
        <v>1593</v>
      </c>
      <c r="C155" s="466">
        <v>3</v>
      </c>
      <c r="D155" s="465"/>
      <c r="E155" s="466" t="s">
        <v>4970</v>
      </c>
      <c r="F155" s="466"/>
      <c r="G155" s="465"/>
      <c r="H155" s="465">
        <v>1</v>
      </c>
    </row>
    <row r="156" spans="1:8" ht="13.8" thickBot="1">
      <c r="A156" s="467" t="s">
        <v>5788</v>
      </c>
      <c r="B156" s="465" t="s">
        <v>5005</v>
      </c>
      <c r="C156" s="466">
        <v>3</v>
      </c>
      <c r="D156" s="465"/>
      <c r="E156" s="466" t="s">
        <v>4970</v>
      </c>
      <c r="F156" s="466"/>
      <c r="G156" s="465"/>
      <c r="H156" s="465">
        <v>7</v>
      </c>
    </row>
    <row r="157" spans="1:8" ht="13.8" thickBot="1">
      <c r="A157" s="467" t="s">
        <v>5789</v>
      </c>
      <c r="B157" s="465" t="s">
        <v>5006</v>
      </c>
      <c r="C157" s="466">
        <v>3</v>
      </c>
      <c r="D157" s="465"/>
      <c r="E157" s="466" t="s">
        <v>4970</v>
      </c>
      <c r="F157" s="466"/>
      <c r="G157" s="465"/>
      <c r="H157" s="465"/>
    </row>
    <row r="158" spans="1:8" ht="13.8" thickBot="1">
      <c r="A158" s="467" t="s">
        <v>5790</v>
      </c>
      <c r="B158" s="465" t="s">
        <v>5007</v>
      </c>
      <c r="C158" s="466">
        <v>3</v>
      </c>
      <c r="D158" s="465"/>
      <c r="E158" s="466" t="s">
        <v>4970</v>
      </c>
      <c r="F158" s="466"/>
      <c r="G158" s="465"/>
      <c r="H158" s="465">
        <v>3</v>
      </c>
    </row>
    <row r="159" spans="1:8" ht="13.8" thickBot="1">
      <c r="A159" s="467" t="s">
        <v>5791</v>
      </c>
      <c r="B159" s="465" t="s">
        <v>1598</v>
      </c>
      <c r="C159" s="466">
        <v>3</v>
      </c>
      <c r="D159" s="465"/>
      <c r="E159" s="466" t="s">
        <v>4970</v>
      </c>
      <c r="F159" s="466"/>
      <c r="G159" s="465"/>
      <c r="H159" s="465">
        <v>4</v>
      </c>
    </row>
    <row r="160" spans="1:8" ht="13.8" thickBot="1">
      <c r="A160" s="467" t="s">
        <v>5792</v>
      </c>
      <c r="B160" s="465" t="s">
        <v>5023</v>
      </c>
      <c r="C160" s="466">
        <v>3</v>
      </c>
      <c r="D160" s="465"/>
      <c r="E160" s="466" t="s">
        <v>5010</v>
      </c>
      <c r="F160" s="466"/>
      <c r="G160" s="465">
        <v>1</v>
      </c>
      <c r="H160" s="465">
        <v>4</v>
      </c>
    </row>
    <row r="161" spans="1:8" ht="13.8" thickBot="1">
      <c r="A161" s="467" t="s">
        <v>5793</v>
      </c>
      <c r="B161" s="465" t="s">
        <v>5029</v>
      </c>
      <c r="C161" s="466">
        <v>3</v>
      </c>
      <c r="D161" s="465"/>
      <c r="E161" s="466" t="s">
        <v>5010</v>
      </c>
      <c r="F161" s="466"/>
      <c r="G161" s="465"/>
      <c r="H161" s="465">
        <v>1</v>
      </c>
    </row>
    <row r="162" spans="1:8" ht="13.8" thickBot="1">
      <c r="A162" s="465" t="s">
        <v>5794</v>
      </c>
      <c r="B162" s="465" t="s">
        <v>1336</v>
      </c>
      <c r="C162" s="466">
        <v>3</v>
      </c>
      <c r="D162" s="465"/>
      <c r="E162" s="466" t="s">
        <v>5031</v>
      </c>
      <c r="F162" s="466"/>
      <c r="G162" s="465"/>
      <c r="H162" s="465">
        <v>3</v>
      </c>
    </row>
    <row r="163" spans="1:8" ht="13.8" thickBot="1">
      <c r="A163" s="467" t="s">
        <v>5795</v>
      </c>
      <c r="B163" s="465" t="s">
        <v>1491</v>
      </c>
      <c r="C163" s="466">
        <v>3</v>
      </c>
      <c r="D163" s="465"/>
      <c r="E163" s="466" t="s">
        <v>5094</v>
      </c>
      <c r="F163" s="466" t="s">
        <v>1910</v>
      </c>
      <c r="G163" s="465"/>
      <c r="H163" s="465">
        <v>2</v>
      </c>
    </row>
    <row r="164" spans="1:8" ht="13.8" thickBot="1">
      <c r="A164" s="467" t="s">
        <v>5796</v>
      </c>
      <c r="B164" s="465" t="s">
        <v>1491</v>
      </c>
      <c r="C164" s="466">
        <v>3</v>
      </c>
      <c r="D164" s="465"/>
      <c r="E164" s="466" t="s">
        <v>5094</v>
      </c>
      <c r="F164" s="466"/>
      <c r="G164" s="465"/>
      <c r="H164" s="465">
        <v>9</v>
      </c>
    </row>
    <row r="165" spans="1:8" ht="13.8" thickBot="1">
      <c r="A165" s="467" t="s">
        <v>5797</v>
      </c>
      <c r="B165" s="465" t="s">
        <v>1491</v>
      </c>
      <c r="C165" s="466">
        <v>3</v>
      </c>
      <c r="D165" s="465"/>
      <c r="E165" s="466" t="s">
        <v>5094</v>
      </c>
      <c r="F165" s="466"/>
      <c r="G165" s="465">
        <v>1</v>
      </c>
      <c r="H165" s="465">
        <v>11</v>
      </c>
    </row>
    <row r="166" spans="1:8" ht="13.8" thickBot="1">
      <c r="A166" s="465" t="s">
        <v>5798</v>
      </c>
      <c r="B166" s="465" t="s">
        <v>5100</v>
      </c>
      <c r="C166" s="466">
        <v>3</v>
      </c>
      <c r="D166" s="465"/>
      <c r="E166" s="466" t="s">
        <v>5094</v>
      </c>
      <c r="F166" s="466"/>
      <c r="G166" s="465"/>
      <c r="H166" s="465">
        <v>2</v>
      </c>
    </row>
    <row r="167" spans="1:8" ht="13.8" thickBot="1">
      <c r="A167" s="467" t="s">
        <v>5799</v>
      </c>
      <c r="B167" s="465" t="s">
        <v>5101</v>
      </c>
      <c r="C167" s="466">
        <v>3</v>
      </c>
      <c r="D167" s="465"/>
      <c r="E167" s="466" t="s">
        <v>5094</v>
      </c>
      <c r="F167" s="466"/>
      <c r="G167" s="465"/>
      <c r="H167" s="465">
        <v>2</v>
      </c>
    </row>
    <row r="168" spans="1:8" ht="13.8" thickBot="1">
      <c r="A168" s="467" t="s">
        <v>5800</v>
      </c>
      <c r="B168" s="465" t="s">
        <v>5098</v>
      </c>
      <c r="C168" s="466">
        <v>3</v>
      </c>
      <c r="D168" s="465"/>
      <c r="E168" s="466" t="s">
        <v>5094</v>
      </c>
      <c r="F168" s="466"/>
      <c r="G168" s="465"/>
      <c r="H168" s="465">
        <v>10</v>
      </c>
    </row>
    <row r="169" spans="1:8" ht="13.8" thickBot="1">
      <c r="A169" s="465" t="s">
        <v>5801</v>
      </c>
      <c r="B169" s="465" t="s">
        <v>1495</v>
      </c>
      <c r="C169" s="466">
        <v>3</v>
      </c>
      <c r="D169" s="467" t="s">
        <v>5123</v>
      </c>
      <c r="E169" s="466" t="s">
        <v>5109</v>
      </c>
      <c r="F169" s="466"/>
      <c r="G169" s="465"/>
      <c r="H169" s="465">
        <v>2</v>
      </c>
    </row>
    <row r="170" spans="1:8" ht="13.8" thickBot="1">
      <c r="A170" s="467" t="s">
        <v>5510</v>
      </c>
      <c r="B170" s="465" t="s">
        <v>2288</v>
      </c>
      <c r="C170" s="466">
        <v>3</v>
      </c>
      <c r="D170" s="465"/>
      <c r="E170" s="466" t="s">
        <v>2273</v>
      </c>
      <c r="F170" s="466"/>
      <c r="G170" s="465"/>
      <c r="H170" s="465">
        <v>1</v>
      </c>
    </row>
    <row r="171" spans="1:8" ht="13.8" thickBot="1">
      <c r="A171" s="465" t="s">
        <v>5511</v>
      </c>
      <c r="B171" s="465" t="s">
        <v>1733</v>
      </c>
      <c r="C171" s="466">
        <v>3</v>
      </c>
      <c r="D171" s="465"/>
      <c r="E171" s="466" t="s">
        <v>2289</v>
      </c>
      <c r="F171" s="466"/>
      <c r="G171" s="465"/>
      <c r="H171" s="465">
        <v>2</v>
      </c>
    </row>
    <row r="172" spans="1:8" ht="13.8" thickBot="1">
      <c r="A172" s="467" t="s">
        <v>5512</v>
      </c>
      <c r="B172" s="465" t="s">
        <v>2519</v>
      </c>
      <c r="C172" s="466">
        <v>3</v>
      </c>
      <c r="D172" s="467" t="s">
        <v>614</v>
      </c>
      <c r="E172" s="466" t="s">
        <v>2449</v>
      </c>
      <c r="F172" s="466"/>
      <c r="G172" s="465"/>
      <c r="H172" s="465">
        <v>6</v>
      </c>
    </row>
    <row r="173" spans="1:8" ht="13.8" thickBot="1">
      <c r="A173" s="467" t="s">
        <v>5513</v>
      </c>
      <c r="B173" s="465" t="s">
        <v>2485</v>
      </c>
      <c r="C173" s="466">
        <v>3</v>
      </c>
      <c r="D173" s="465" t="s">
        <v>2486</v>
      </c>
      <c r="E173" s="466" t="s">
        <v>2449</v>
      </c>
      <c r="F173" s="466"/>
      <c r="G173" s="465"/>
      <c r="H173" s="465">
        <v>2</v>
      </c>
    </row>
    <row r="174" spans="1:8" ht="13.8" thickBot="1">
      <c r="A174" s="467" t="s">
        <v>5514</v>
      </c>
      <c r="B174" s="465" t="s">
        <v>2520</v>
      </c>
      <c r="C174" s="466">
        <v>3</v>
      </c>
      <c r="D174" s="467" t="s">
        <v>614</v>
      </c>
      <c r="E174" s="466" t="s">
        <v>2449</v>
      </c>
      <c r="F174" s="466"/>
      <c r="G174" s="465"/>
      <c r="H174" s="465">
        <v>1</v>
      </c>
    </row>
    <row r="175" spans="1:8" ht="13.8" thickBot="1">
      <c r="A175" s="467" t="s">
        <v>5515</v>
      </c>
      <c r="B175" s="465" t="s">
        <v>1300</v>
      </c>
      <c r="C175" s="466">
        <v>3</v>
      </c>
      <c r="D175" s="465"/>
      <c r="E175" s="466" t="s">
        <v>2523</v>
      </c>
      <c r="F175" s="466" t="s">
        <v>1865</v>
      </c>
      <c r="G175" s="465"/>
      <c r="H175" s="465">
        <v>4</v>
      </c>
    </row>
    <row r="176" spans="1:8" ht="13.8" thickBot="1">
      <c r="A176" s="467" t="s">
        <v>5516</v>
      </c>
      <c r="B176" s="465" t="s">
        <v>1300</v>
      </c>
      <c r="C176" s="466">
        <v>3</v>
      </c>
      <c r="D176" s="467" t="s">
        <v>614</v>
      </c>
      <c r="E176" s="466" t="s">
        <v>2523</v>
      </c>
      <c r="F176" s="466" t="s">
        <v>1224</v>
      </c>
      <c r="G176" s="465"/>
      <c r="H176" s="465">
        <v>1</v>
      </c>
    </row>
    <row r="177" spans="1:8" ht="13.8" thickBot="1">
      <c r="A177" s="465" t="s">
        <v>5517</v>
      </c>
      <c r="B177" s="465" t="s">
        <v>2706</v>
      </c>
      <c r="C177" s="466">
        <v>3</v>
      </c>
      <c r="D177" s="465"/>
      <c r="E177" s="466" t="s">
        <v>2523</v>
      </c>
      <c r="F177" s="466" t="s">
        <v>1224</v>
      </c>
      <c r="G177" s="465"/>
      <c r="H177" s="465">
        <v>21</v>
      </c>
    </row>
    <row r="178" spans="1:8" ht="13.8" thickBot="1">
      <c r="A178" s="467" t="s">
        <v>5518</v>
      </c>
      <c r="B178" s="465" t="s">
        <v>2707</v>
      </c>
      <c r="C178" s="466">
        <v>3</v>
      </c>
      <c r="D178" s="465"/>
      <c r="E178" s="466" t="s">
        <v>2523</v>
      </c>
      <c r="F178" s="466" t="s">
        <v>1220</v>
      </c>
      <c r="G178" s="465"/>
      <c r="H178" s="465">
        <v>16</v>
      </c>
    </row>
    <row r="179" spans="1:8" ht="13.8" thickBot="1">
      <c r="A179" s="465" t="s">
        <v>5519</v>
      </c>
      <c r="B179" s="465" t="s">
        <v>1300</v>
      </c>
      <c r="C179" s="466">
        <v>3</v>
      </c>
      <c r="D179" s="467" t="s">
        <v>614</v>
      </c>
      <c r="E179" s="466" t="s">
        <v>2523</v>
      </c>
      <c r="F179" s="466"/>
      <c r="G179" s="465"/>
      <c r="H179" s="465">
        <v>2</v>
      </c>
    </row>
    <row r="180" spans="1:8" ht="13.8" thickBot="1">
      <c r="A180" s="467" t="s">
        <v>5520</v>
      </c>
      <c r="B180" s="465" t="s">
        <v>1300</v>
      </c>
      <c r="C180" s="466">
        <v>3</v>
      </c>
      <c r="D180" s="465"/>
      <c r="E180" s="466" t="s">
        <v>2523</v>
      </c>
      <c r="F180" s="466"/>
      <c r="G180" s="465"/>
      <c r="H180" s="465">
        <v>4</v>
      </c>
    </row>
    <row r="181" spans="1:8" ht="13.8" thickBot="1">
      <c r="A181" s="465" t="s">
        <v>5521</v>
      </c>
      <c r="B181" s="465" t="s">
        <v>1300</v>
      </c>
      <c r="C181" s="466">
        <v>3</v>
      </c>
      <c r="D181" s="465"/>
      <c r="E181" s="466" t="s">
        <v>2523</v>
      </c>
      <c r="F181" s="466"/>
      <c r="G181" s="465"/>
      <c r="H181" s="465">
        <v>1</v>
      </c>
    </row>
    <row r="182" spans="1:8" ht="13.8" thickBot="1">
      <c r="A182" s="467" t="s">
        <v>5522</v>
      </c>
      <c r="B182" s="465" t="s">
        <v>1300</v>
      </c>
      <c r="C182" s="466">
        <v>3</v>
      </c>
      <c r="D182" s="465"/>
      <c r="E182" s="466" t="s">
        <v>2523</v>
      </c>
      <c r="F182" s="466"/>
      <c r="G182" s="465"/>
      <c r="H182" s="465">
        <v>2</v>
      </c>
    </row>
    <row r="183" spans="1:8" ht="13.8" thickBot="1">
      <c r="A183" s="467" t="s">
        <v>5523</v>
      </c>
      <c r="B183" s="465" t="s">
        <v>1300</v>
      </c>
      <c r="C183" s="466">
        <v>3</v>
      </c>
      <c r="D183" s="465"/>
      <c r="E183" s="466" t="s">
        <v>2523</v>
      </c>
      <c r="F183" s="466"/>
      <c r="G183" s="465"/>
      <c r="H183" s="465">
        <v>4</v>
      </c>
    </row>
    <row r="184" spans="1:8" ht="13.8" thickBot="1">
      <c r="A184" s="465" t="s">
        <v>5524</v>
      </c>
      <c r="B184" s="465" t="s">
        <v>1300</v>
      </c>
      <c r="C184" s="466">
        <v>3</v>
      </c>
      <c r="D184" s="467" t="s">
        <v>614</v>
      </c>
      <c r="E184" s="466" t="s">
        <v>2523</v>
      </c>
      <c r="F184" s="466"/>
      <c r="G184" s="465"/>
      <c r="H184" s="465">
        <v>1</v>
      </c>
    </row>
    <row r="185" spans="1:8" ht="13.8" thickBot="1">
      <c r="A185" s="467" t="s">
        <v>5525</v>
      </c>
      <c r="B185" s="465" t="s">
        <v>1300</v>
      </c>
      <c r="C185" s="466">
        <v>3</v>
      </c>
      <c r="D185" s="465"/>
      <c r="E185" s="466" t="s">
        <v>2523</v>
      </c>
      <c r="F185" s="466"/>
      <c r="G185" s="465"/>
      <c r="H185" s="465">
        <v>3</v>
      </c>
    </row>
    <row r="186" spans="1:8" ht="13.8" thickBot="1">
      <c r="A186" s="467" t="s">
        <v>5526</v>
      </c>
      <c r="B186" s="465" t="s">
        <v>1300</v>
      </c>
      <c r="C186" s="466">
        <v>3</v>
      </c>
      <c r="D186" s="465"/>
      <c r="E186" s="466" t="s">
        <v>2523</v>
      </c>
      <c r="F186" s="466"/>
      <c r="G186" s="465"/>
      <c r="H186" s="465">
        <v>8</v>
      </c>
    </row>
    <row r="187" spans="1:8" ht="13.8" thickBot="1">
      <c r="A187" s="467" t="s">
        <v>5527</v>
      </c>
      <c r="B187" s="465" t="s">
        <v>2708</v>
      </c>
      <c r="C187" s="466">
        <v>3</v>
      </c>
      <c r="D187" s="465"/>
      <c r="E187" s="466" t="s">
        <v>2523</v>
      </c>
      <c r="F187" s="466"/>
      <c r="G187" s="465"/>
      <c r="H187" s="465">
        <v>2</v>
      </c>
    </row>
    <row r="188" spans="1:8" ht="13.8" thickBot="1">
      <c r="A188" s="465" t="s">
        <v>5528</v>
      </c>
      <c r="B188" s="465" t="s">
        <v>2709</v>
      </c>
      <c r="C188" s="466">
        <v>3</v>
      </c>
      <c r="D188" s="465"/>
      <c r="E188" s="466" t="s">
        <v>2523</v>
      </c>
      <c r="F188" s="466"/>
      <c r="G188" s="465"/>
      <c r="H188" s="465">
        <v>1</v>
      </c>
    </row>
    <row r="189" spans="1:8" ht="13.8" thickBot="1">
      <c r="A189" s="465" t="s">
        <v>5529</v>
      </c>
      <c r="B189" s="465" t="s">
        <v>2537</v>
      </c>
      <c r="C189" s="466">
        <v>3</v>
      </c>
      <c r="D189" s="465"/>
      <c r="E189" s="466" t="s">
        <v>2523</v>
      </c>
      <c r="F189" s="466"/>
      <c r="G189" s="465"/>
      <c r="H189" s="465">
        <v>4</v>
      </c>
    </row>
    <row r="190" spans="1:8" ht="13.8" thickBot="1">
      <c r="A190" s="465" t="s">
        <v>5530</v>
      </c>
      <c r="B190" s="465" t="s">
        <v>2537</v>
      </c>
      <c r="C190" s="466">
        <v>3</v>
      </c>
      <c r="D190" s="465"/>
      <c r="E190" s="466" t="s">
        <v>2523</v>
      </c>
      <c r="F190" s="466"/>
      <c r="G190" s="465"/>
      <c r="H190" s="465">
        <v>1</v>
      </c>
    </row>
    <row r="191" spans="1:8" ht="13.8" thickBot="1">
      <c r="A191" s="467" t="s">
        <v>5531</v>
      </c>
      <c r="B191" s="465" t="s">
        <v>1301</v>
      </c>
      <c r="C191" s="466">
        <v>3</v>
      </c>
      <c r="D191" s="465"/>
      <c r="E191" s="466" t="s">
        <v>2523</v>
      </c>
      <c r="F191" s="466"/>
      <c r="G191" s="465"/>
      <c r="H191" s="465">
        <v>13</v>
      </c>
    </row>
    <row r="192" spans="1:8" ht="13.8" thickBot="1">
      <c r="A192" s="465" t="s">
        <v>5532</v>
      </c>
      <c r="B192" s="465" t="s">
        <v>2710</v>
      </c>
      <c r="C192" s="466">
        <v>3</v>
      </c>
      <c r="D192" s="465"/>
      <c r="E192" s="466" t="s">
        <v>2523</v>
      </c>
      <c r="F192" s="466"/>
      <c r="G192" s="465"/>
      <c r="H192" s="465">
        <v>3</v>
      </c>
    </row>
    <row r="193" spans="1:8" ht="13.8" thickBot="1">
      <c r="A193" s="465" t="s">
        <v>5533</v>
      </c>
      <c r="B193" s="465" t="s">
        <v>1302</v>
      </c>
      <c r="C193" s="466">
        <v>3</v>
      </c>
      <c r="D193" s="465"/>
      <c r="E193" s="466" t="s">
        <v>2523</v>
      </c>
      <c r="F193" s="466"/>
      <c r="G193" s="465"/>
      <c r="H193" s="465">
        <v>15</v>
      </c>
    </row>
    <row r="194" spans="1:8" ht="13.8" thickBot="1">
      <c r="A194" s="467" t="s">
        <v>5534</v>
      </c>
      <c r="B194" s="465" t="s">
        <v>2711</v>
      </c>
      <c r="C194" s="466">
        <v>3</v>
      </c>
      <c r="D194" s="465"/>
      <c r="E194" s="466" t="s">
        <v>2523</v>
      </c>
      <c r="F194" s="466"/>
      <c r="G194" s="465"/>
      <c r="H194" s="465">
        <v>1</v>
      </c>
    </row>
    <row r="195" spans="1:8" ht="13.8" thickBot="1">
      <c r="A195" s="467" t="s">
        <v>5535</v>
      </c>
      <c r="B195" s="465" t="s">
        <v>2600</v>
      </c>
      <c r="C195" s="466">
        <v>3</v>
      </c>
      <c r="D195" s="465"/>
      <c r="E195" s="466" t="s">
        <v>2523</v>
      </c>
      <c r="F195" s="466"/>
      <c r="G195" s="465"/>
      <c r="H195" s="465">
        <v>2</v>
      </c>
    </row>
    <row r="196" spans="1:8" ht="13.8" thickBot="1">
      <c r="A196" s="465" t="s">
        <v>645</v>
      </c>
      <c r="B196" s="465" t="s">
        <v>1252</v>
      </c>
      <c r="C196" s="466">
        <v>3</v>
      </c>
      <c r="D196" s="465"/>
      <c r="E196" s="466" t="s">
        <v>1922</v>
      </c>
      <c r="F196" s="466"/>
      <c r="G196" s="465"/>
      <c r="H196" s="465">
        <v>5</v>
      </c>
    </row>
    <row r="197" spans="1:8" ht="13.8" thickBot="1">
      <c r="A197" s="465" t="s">
        <v>5479</v>
      </c>
      <c r="B197" s="465" t="s">
        <v>1252</v>
      </c>
      <c r="C197" s="466">
        <v>3</v>
      </c>
      <c r="D197" s="465"/>
      <c r="E197" s="466" t="s">
        <v>1922</v>
      </c>
      <c r="F197" s="466"/>
      <c r="G197" s="465"/>
      <c r="H197" s="465">
        <v>2</v>
      </c>
    </row>
    <row r="198" spans="1:8" ht="13.8" thickBot="1">
      <c r="A198" s="467" t="s">
        <v>5480</v>
      </c>
      <c r="B198" s="465" t="s">
        <v>1252</v>
      </c>
      <c r="C198" s="466">
        <v>3</v>
      </c>
      <c r="D198" s="465"/>
      <c r="E198" s="466" t="s">
        <v>1922</v>
      </c>
      <c r="F198" s="466"/>
      <c r="G198" s="465"/>
      <c r="H198" s="465">
        <v>1</v>
      </c>
    </row>
    <row r="199" spans="1:8" ht="13.8" thickBot="1">
      <c r="A199" s="467" t="s">
        <v>5481</v>
      </c>
      <c r="B199" s="465" t="s">
        <v>1252</v>
      </c>
      <c r="C199" s="466">
        <v>3</v>
      </c>
      <c r="D199" s="465"/>
      <c r="E199" s="466" t="s">
        <v>1922</v>
      </c>
      <c r="F199" s="466"/>
      <c r="G199" s="465"/>
      <c r="H199" s="465">
        <v>3</v>
      </c>
    </row>
    <row r="200" spans="1:8" ht="13.8" thickBot="1">
      <c r="A200" s="467" t="s">
        <v>5482</v>
      </c>
      <c r="B200" s="465" t="s">
        <v>1252</v>
      </c>
      <c r="C200" s="466">
        <v>3</v>
      </c>
      <c r="D200" s="465"/>
      <c r="E200" s="466" t="s">
        <v>1922</v>
      </c>
      <c r="F200" s="466"/>
      <c r="G200" s="465"/>
      <c r="H200" s="465">
        <v>2</v>
      </c>
    </row>
    <row r="201" spans="1:8" ht="13.8" thickBot="1">
      <c r="A201" s="467" t="s">
        <v>5483</v>
      </c>
      <c r="B201" s="465" t="s">
        <v>1252</v>
      </c>
      <c r="C201" s="466">
        <v>3</v>
      </c>
      <c r="D201" s="465"/>
      <c r="E201" s="466" t="s">
        <v>1922</v>
      </c>
      <c r="F201" s="466"/>
      <c r="G201" s="465"/>
      <c r="H201" s="465">
        <v>4</v>
      </c>
    </row>
    <row r="202" spans="1:8" ht="13.8" thickBot="1">
      <c r="A202" s="467" t="s">
        <v>5484</v>
      </c>
      <c r="B202" s="465" t="s">
        <v>1930</v>
      </c>
      <c r="C202" s="466">
        <v>3</v>
      </c>
      <c r="D202" s="465"/>
      <c r="E202" s="466" t="s">
        <v>1922</v>
      </c>
      <c r="F202" s="466"/>
      <c r="G202" s="465"/>
      <c r="H202" s="465">
        <v>7</v>
      </c>
    </row>
    <row r="203" spans="1:8" ht="13.8" thickBot="1">
      <c r="A203" s="467" t="s">
        <v>5485</v>
      </c>
      <c r="B203" s="465" t="s">
        <v>1993</v>
      </c>
      <c r="C203" s="466">
        <v>3</v>
      </c>
      <c r="D203" s="465"/>
      <c r="E203" s="466" t="s">
        <v>1922</v>
      </c>
      <c r="F203" s="466"/>
      <c r="G203" s="465"/>
      <c r="H203" s="465">
        <v>16</v>
      </c>
    </row>
    <row r="204" spans="1:8" ht="13.8" thickBot="1">
      <c r="A204" s="467" t="s">
        <v>5486</v>
      </c>
      <c r="B204" s="465" t="s">
        <v>1255</v>
      </c>
      <c r="C204" s="466">
        <v>3</v>
      </c>
      <c r="D204" s="465"/>
      <c r="E204" s="466" t="s">
        <v>1922</v>
      </c>
      <c r="F204" s="466"/>
      <c r="G204" s="465"/>
      <c r="H204" s="465">
        <v>8</v>
      </c>
    </row>
    <row r="205" spans="1:8" ht="13.8" thickBot="1">
      <c r="A205" s="467" t="s">
        <v>5487</v>
      </c>
      <c r="B205" s="465" t="s">
        <v>1992</v>
      </c>
      <c r="C205" s="466">
        <v>3</v>
      </c>
      <c r="D205" s="465"/>
      <c r="E205" s="466" t="s">
        <v>1922</v>
      </c>
      <c r="F205" s="466"/>
      <c r="G205" s="465"/>
      <c r="H205" s="465">
        <v>3</v>
      </c>
    </row>
    <row r="206" spans="1:8" ht="13.8" thickBot="1">
      <c r="A206" s="465" t="s">
        <v>5536</v>
      </c>
      <c r="B206" s="465" t="s">
        <v>2752</v>
      </c>
      <c r="C206" s="466">
        <v>3</v>
      </c>
      <c r="D206" s="465"/>
      <c r="E206" s="466" t="s">
        <v>2747</v>
      </c>
      <c r="F206" s="466"/>
      <c r="G206" s="465"/>
      <c r="H206" s="465">
        <v>3</v>
      </c>
    </row>
    <row r="207" spans="1:8" ht="13.8" thickBot="1">
      <c r="A207" s="467" t="s">
        <v>5537</v>
      </c>
      <c r="B207" s="465" t="s">
        <v>1372</v>
      </c>
      <c r="C207" s="466">
        <v>3</v>
      </c>
      <c r="D207" s="465"/>
      <c r="E207" s="466" t="s">
        <v>2747</v>
      </c>
      <c r="F207" s="466"/>
      <c r="G207" s="465"/>
      <c r="H207" s="465">
        <v>6</v>
      </c>
    </row>
    <row r="208" spans="1:8" ht="13.8" thickBot="1">
      <c r="A208" s="467" t="s">
        <v>5538</v>
      </c>
      <c r="B208" s="465" t="s">
        <v>2762</v>
      </c>
      <c r="C208" s="466">
        <v>3</v>
      </c>
      <c r="D208" s="465"/>
      <c r="E208" s="466" t="s">
        <v>2754</v>
      </c>
      <c r="F208" s="466"/>
      <c r="G208" s="465"/>
      <c r="H208" s="465">
        <v>1</v>
      </c>
    </row>
    <row r="209" spans="1:8" ht="13.8" thickBot="1">
      <c r="A209" s="465" t="s">
        <v>5539</v>
      </c>
      <c r="B209" s="465" t="s">
        <v>2762</v>
      </c>
      <c r="C209" s="466">
        <v>3</v>
      </c>
      <c r="D209" s="465"/>
      <c r="E209" s="466" t="s">
        <v>2754</v>
      </c>
      <c r="F209" s="466"/>
      <c r="G209" s="465"/>
      <c r="H209" s="465">
        <v>2</v>
      </c>
    </row>
    <row r="210" spans="1:8" ht="13.8" thickBot="1">
      <c r="A210" s="467" t="s">
        <v>5540</v>
      </c>
      <c r="B210" s="465" t="s">
        <v>1375</v>
      </c>
      <c r="C210" s="466">
        <v>3</v>
      </c>
      <c r="D210" s="465"/>
      <c r="E210" s="466" t="s">
        <v>2779</v>
      </c>
      <c r="F210" s="466"/>
      <c r="G210" s="465"/>
      <c r="H210" s="465">
        <v>1</v>
      </c>
    </row>
    <row r="211" spans="1:8" ht="13.8" thickBot="1">
      <c r="A211" s="467" t="s">
        <v>5541</v>
      </c>
      <c r="B211" s="465" t="s">
        <v>2838</v>
      </c>
      <c r="C211" s="466">
        <v>3</v>
      </c>
      <c r="D211" s="465"/>
      <c r="E211" s="466" t="s">
        <v>2797</v>
      </c>
      <c r="F211" s="466" t="s">
        <v>1865</v>
      </c>
      <c r="G211" s="465"/>
      <c r="H211" s="465">
        <v>3</v>
      </c>
    </row>
    <row r="212" spans="1:8" ht="13.8" thickBot="1">
      <c r="A212" s="465" t="s">
        <v>5542</v>
      </c>
      <c r="B212" s="465" t="s">
        <v>1331</v>
      </c>
      <c r="C212" s="466">
        <v>3</v>
      </c>
      <c r="D212" s="465"/>
      <c r="E212" s="466" t="s">
        <v>2797</v>
      </c>
      <c r="F212" s="466"/>
      <c r="G212" s="465"/>
      <c r="H212" s="465">
        <v>4</v>
      </c>
    </row>
    <row r="213" spans="1:8" ht="13.8" thickBot="1">
      <c r="A213" s="465" t="s">
        <v>5543</v>
      </c>
      <c r="B213" s="465" t="s">
        <v>2839</v>
      </c>
      <c r="C213" s="466">
        <v>3</v>
      </c>
      <c r="D213" s="465"/>
      <c r="E213" s="466" t="s">
        <v>2797</v>
      </c>
      <c r="F213" s="466"/>
      <c r="G213" s="465"/>
      <c r="H213" s="465">
        <v>1</v>
      </c>
    </row>
    <row r="214" spans="1:8" ht="13.8" thickBot="1">
      <c r="A214" s="465" t="s">
        <v>5544</v>
      </c>
      <c r="B214" s="465" t="s">
        <v>1340</v>
      </c>
      <c r="C214" s="466">
        <v>3</v>
      </c>
      <c r="D214" s="465"/>
      <c r="E214" s="466" t="s">
        <v>2841</v>
      </c>
      <c r="F214" s="466"/>
      <c r="G214" s="465"/>
      <c r="H214" s="465">
        <v>8</v>
      </c>
    </row>
    <row r="215" spans="1:8" ht="13.8" thickBot="1">
      <c r="A215" s="467" t="s">
        <v>5545</v>
      </c>
      <c r="B215" s="465" t="s">
        <v>1340</v>
      </c>
      <c r="C215" s="466">
        <v>3</v>
      </c>
      <c r="D215" s="465"/>
      <c r="E215" s="466" t="s">
        <v>2841</v>
      </c>
      <c r="F215" s="466"/>
      <c r="G215" s="465"/>
      <c r="H215" s="465">
        <v>1</v>
      </c>
    </row>
    <row r="216" spans="1:8" ht="13.8" thickBot="1">
      <c r="A216" s="467" t="s">
        <v>5546</v>
      </c>
      <c r="B216" s="465" t="s">
        <v>1340</v>
      </c>
      <c r="C216" s="466">
        <v>3</v>
      </c>
      <c r="D216" s="465"/>
      <c r="E216" s="466" t="s">
        <v>2841</v>
      </c>
      <c r="F216" s="466"/>
      <c r="G216" s="465"/>
      <c r="H216" s="465">
        <v>19</v>
      </c>
    </row>
    <row r="217" spans="1:8" ht="13.8" thickBot="1">
      <c r="A217" s="465" t="s">
        <v>5547</v>
      </c>
      <c r="B217" s="465" t="s">
        <v>2882</v>
      </c>
      <c r="C217" s="466">
        <v>3</v>
      </c>
      <c r="D217" s="465"/>
      <c r="E217" s="466" t="s">
        <v>2841</v>
      </c>
      <c r="F217" s="466"/>
      <c r="G217" s="465"/>
      <c r="H217" s="465">
        <v>1</v>
      </c>
    </row>
    <row r="218" spans="1:8" ht="13.8" thickBot="1">
      <c r="A218" s="465" t="s">
        <v>5548</v>
      </c>
      <c r="B218" s="465" t="s">
        <v>1348</v>
      </c>
      <c r="C218" s="466">
        <v>3</v>
      </c>
      <c r="D218" s="465"/>
      <c r="E218" s="466" t="s">
        <v>2884</v>
      </c>
      <c r="F218" s="466" t="s">
        <v>1226</v>
      </c>
      <c r="G218" s="465">
        <v>1</v>
      </c>
      <c r="H218" s="465">
        <v>16</v>
      </c>
    </row>
    <row r="219" spans="1:8" ht="13.8" thickBot="1">
      <c r="A219" s="465" t="s">
        <v>5549</v>
      </c>
      <c r="B219" s="465" t="s">
        <v>1349</v>
      </c>
      <c r="C219" s="466">
        <v>3</v>
      </c>
      <c r="D219" s="467" t="s">
        <v>614</v>
      </c>
      <c r="E219" s="466" t="s">
        <v>2884</v>
      </c>
      <c r="F219" s="466"/>
      <c r="G219" s="465"/>
      <c r="H219" s="465">
        <v>10</v>
      </c>
    </row>
    <row r="220" spans="1:8" ht="13.8" thickBot="1">
      <c r="A220" s="465" t="s">
        <v>5550</v>
      </c>
      <c r="B220" s="465" t="s">
        <v>2896</v>
      </c>
      <c r="C220" s="466">
        <v>3</v>
      </c>
      <c r="D220" s="465"/>
      <c r="E220" s="466" t="s">
        <v>2884</v>
      </c>
      <c r="F220" s="466"/>
      <c r="G220" s="465">
        <v>1</v>
      </c>
      <c r="H220" s="465">
        <v>4</v>
      </c>
    </row>
    <row r="221" spans="1:8" ht="13.8" thickBot="1">
      <c r="A221" s="465" t="s">
        <v>5551</v>
      </c>
      <c r="B221" s="465" t="s">
        <v>2896</v>
      </c>
      <c r="C221" s="466">
        <v>3</v>
      </c>
      <c r="D221" s="467" t="s">
        <v>614</v>
      </c>
      <c r="E221" s="466" t="s">
        <v>2884</v>
      </c>
      <c r="F221" s="466"/>
      <c r="G221" s="465"/>
      <c r="H221" s="465">
        <v>2</v>
      </c>
    </row>
    <row r="222" spans="1:8" ht="13.8" thickBot="1">
      <c r="A222" s="465" t="s">
        <v>5552</v>
      </c>
      <c r="B222" s="465" t="s">
        <v>2897</v>
      </c>
      <c r="C222" s="466">
        <v>3</v>
      </c>
      <c r="D222" s="465"/>
      <c r="E222" s="466" t="s">
        <v>2884</v>
      </c>
      <c r="F222" s="466"/>
      <c r="G222" s="465"/>
      <c r="H222" s="465">
        <v>4</v>
      </c>
    </row>
    <row r="223" spans="1:8" ht="13.8" thickBot="1">
      <c r="A223" s="465" t="s">
        <v>5553</v>
      </c>
      <c r="B223" s="465" t="s">
        <v>2898</v>
      </c>
      <c r="C223" s="466">
        <v>3</v>
      </c>
      <c r="D223" s="465"/>
      <c r="E223" s="466" t="s">
        <v>2884</v>
      </c>
      <c r="F223" s="466"/>
      <c r="G223" s="465"/>
      <c r="H223" s="465">
        <v>9</v>
      </c>
    </row>
    <row r="224" spans="1:8" ht="13.8" thickBot="1">
      <c r="A224" s="467" t="s">
        <v>5554</v>
      </c>
      <c r="B224" s="465" t="s">
        <v>1356</v>
      </c>
      <c r="C224" s="466">
        <v>3</v>
      </c>
      <c r="D224" s="465"/>
      <c r="E224" s="466" t="s">
        <v>2899</v>
      </c>
      <c r="F224" s="466" t="s">
        <v>1226</v>
      </c>
      <c r="G224" s="465"/>
      <c r="H224" s="465">
        <v>5</v>
      </c>
    </row>
    <row r="225" spans="1:8" ht="13.8" thickBot="1">
      <c r="A225" s="465" t="s">
        <v>5488</v>
      </c>
      <c r="B225" s="465" t="s">
        <v>1752</v>
      </c>
      <c r="C225" s="466">
        <v>3</v>
      </c>
      <c r="D225" s="465"/>
      <c r="E225" s="466" t="s">
        <v>1997</v>
      </c>
      <c r="F225" s="466"/>
      <c r="G225" s="465"/>
      <c r="H225" s="465">
        <v>1</v>
      </c>
    </row>
    <row r="226" spans="1:8" ht="13.8" thickBot="1">
      <c r="A226" s="465" t="s">
        <v>5489</v>
      </c>
      <c r="B226" s="465" t="s">
        <v>1752</v>
      </c>
      <c r="C226" s="466">
        <v>3</v>
      </c>
      <c r="D226" s="465"/>
      <c r="E226" s="466" t="s">
        <v>1997</v>
      </c>
      <c r="F226" s="466"/>
      <c r="G226" s="465">
        <v>1</v>
      </c>
      <c r="H226" s="465">
        <v>8</v>
      </c>
    </row>
    <row r="227" spans="1:8" ht="13.8" thickBot="1">
      <c r="A227" s="467" t="s">
        <v>5490</v>
      </c>
      <c r="B227" s="465" t="s">
        <v>2024</v>
      </c>
      <c r="C227" s="466">
        <v>3</v>
      </c>
      <c r="D227" s="467" t="s">
        <v>614</v>
      </c>
      <c r="E227" s="466" t="s">
        <v>1997</v>
      </c>
      <c r="F227" s="466"/>
      <c r="G227" s="465"/>
      <c r="H227" s="465">
        <v>5</v>
      </c>
    </row>
    <row r="228" spans="1:8" ht="13.8" thickBot="1">
      <c r="A228" s="467" t="s">
        <v>5491</v>
      </c>
      <c r="B228" s="465" t="s">
        <v>2025</v>
      </c>
      <c r="C228" s="466">
        <v>3</v>
      </c>
      <c r="D228" s="465" t="s">
        <v>614</v>
      </c>
      <c r="E228" s="466" t="s">
        <v>1997</v>
      </c>
      <c r="F228" s="466"/>
      <c r="G228" s="465"/>
      <c r="H228" s="465">
        <v>1</v>
      </c>
    </row>
    <row r="229" spans="1:8" ht="13.8" thickBot="1">
      <c r="A229" s="465" t="s">
        <v>5555</v>
      </c>
      <c r="B229" s="465" t="s">
        <v>2942</v>
      </c>
      <c r="C229" s="466">
        <v>3</v>
      </c>
      <c r="D229" s="465"/>
      <c r="E229" s="466" t="s">
        <v>2922</v>
      </c>
      <c r="F229" s="466"/>
      <c r="G229" s="465"/>
      <c r="H229" s="465">
        <v>6</v>
      </c>
    </row>
    <row r="230" spans="1:8" ht="13.8" thickBot="1">
      <c r="A230" s="465" t="s">
        <v>5556</v>
      </c>
      <c r="B230" s="465" t="s">
        <v>2944</v>
      </c>
      <c r="C230" s="466">
        <v>3</v>
      </c>
      <c r="D230" s="467" t="s">
        <v>614</v>
      </c>
      <c r="E230" s="466" t="s">
        <v>2943</v>
      </c>
      <c r="F230" s="466" t="s">
        <v>1880</v>
      </c>
      <c r="G230" s="465"/>
      <c r="H230" s="465">
        <v>16</v>
      </c>
    </row>
    <row r="231" spans="1:8" ht="13.8" thickBot="1">
      <c r="A231" s="465" t="s">
        <v>5557</v>
      </c>
      <c r="B231" s="465" t="s">
        <v>1552</v>
      </c>
      <c r="C231" s="466">
        <v>3</v>
      </c>
      <c r="D231" s="465"/>
      <c r="E231" s="466" t="s">
        <v>2957</v>
      </c>
      <c r="F231" s="466" t="s">
        <v>1224</v>
      </c>
      <c r="G231" s="465"/>
      <c r="H231" s="465">
        <v>2</v>
      </c>
    </row>
    <row r="232" spans="1:8" ht="13.8" thickBot="1">
      <c r="A232" s="465" t="s">
        <v>5558</v>
      </c>
      <c r="B232" s="465" t="s">
        <v>1552</v>
      </c>
      <c r="C232" s="466">
        <v>3</v>
      </c>
      <c r="D232" s="465"/>
      <c r="E232" s="466" t="s">
        <v>2957</v>
      </c>
      <c r="F232" s="466" t="s">
        <v>1224</v>
      </c>
      <c r="G232" s="465"/>
      <c r="H232" s="465">
        <v>1</v>
      </c>
    </row>
    <row r="233" spans="1:8" ht="13.8" thickBot="1">
      <c r="A233" s="465" t="s">
        <v>5559</v>
      </c>
      <c r="B233" s="465" t="s">
        <v>1552</v>
      </c>
      <c r="C233" s="466">
        <v>3</v>
      </c>
      <c r="D233" s="465"/>
      <c r="E233" s="466" t="s">
        <v>2957</v>
      </c>
      <c r="F233" s="466" t="s">
        <v>1224</v>
      </c>
      <c r="G233" s="465"/>
      <c r="H233" s="465">
        <v>1</v>
      </c>
    </row>
    <row r="234" spans="1:8" ht="13.8" thickBot="1">
      <c r="A234" s="467" t="s">
        <v>5560</v>
      </c>
      <c r="B234" s="465" t="s">
        <v>3080</v>
      </c>
      <c r="C234" s="466">
        <v>3</v>
      </c>
      <c r="D234" s="465"/>
      <c r="E234" s="466" t="s">
        <v>2957</v>
      </c>
      <c r="F234" s="466" t="s">
        <v>1224</v>
      </c>
      <c r="G234" s="465"/>
      <c r="H234" s="465">
        <v>3</v>
      </c>
    </row>
    <row r="235" spans="1:8" ht="13.8" thickBot="1">
      <c r="A235" s="465" t="s">
        <v>5561</v>
      </c>
      <c r="B235" s="465" t="s">
        <v>1567</v>
      </c>
      <c r="C235" s="466">
        <v>3</v>
      </c>
      <c r="D235" s="465"/>
      <c r="E235" s="466" t="s">
        <v>2957</v>
      </c>
      <c r="F235" s="466" t="s">
        <v>1224</v>
      </c>
      <c r="G235" s="465"/>
      <c r="H235" s="465">
        <v>2</v>
      </c>
    </row>
    <row r="236" spans="1:8" ht="13.8" thickBot="1">
      <c r="A236" s="465" t="s">
        <v>5562</v>
      </c>
      <c r="B236" s="465" t="s">
        <v>1552</v>
      </c>
      <c r="C236" s="466">
        <v>3</v>
      </c>
      <c r="D236" s="465"/>
      <c r="E236" s="466" t="s">
        <v>2957</v>
      </c>
      <c r="F236" s="466"/>
      <c r="G236" s="465"/>
      <c r="H236" s="465">
        <v>2</v>
      </c>
    </row>
    <row r="237" spans="1:8" ht="13.8" thickBot="1">
      <c r="A237" s="467" t="s">
        <v>5563</v>
      </c>
      <c r="B237" s="465" t="s">
        <v>3081</v>
      </c>
      <c r="C237" s="466">
        <v>3</v>
      </c>
      <c r="D237" s="465"/>
      <c r="E237" s="466" t="s">
        <v>2957</v>
      </c>
      <c r="F237" s="466"/>
      <c r="G237" s="465"/>
      <c r="H237" s="465">
        <v>1</v>
      </c>
    </row>
    <row r="238" spans="1:8" ht="13.8" thickBot="1">
      <c r="A238" s="465" t="s">
        <v>5564</v>
      </c>
      <c r="B238" s="465" t="s">
        <v>3082</v>
      </c>
      <c r="C238" s="466">
        <v>3</v>
      </c>
      <c r="D238" s="465"/>
      <c r="E238" s="466" t="s">
        <v>2957</v>
      </c>
      <c r="F238" s="466"/>
      <c r="G238" s="465"/>
      <c r="H238" s="465">
        <v>2</v>
      </c>
    </row>
    <row r="239" spans="1:8" ht="13.8" thickBot="1">
      <c r="A239" s="465" t="s">
        <v>5565</v>
      </c>
      <c r="B239" s="465" t="s">
        <v>1571</v>
      </c>
      <c r="C239" s="466">
        <v>3</v>
      </c>
      <c r="D239" s="465"/>
      <c r="E239" s="466" t="s">
        <v>2957</v>
      </c>
      <c r="F239" s="466"/>
      <c r="G239" s="465"/>
      <c r="H239" s="465">
        <v>1</v>
      </c>
    </row>
    <row r="240" spans="1:8" ht="13.8" thickBot="1">
      <c r="A240" s="465" t="s">
        <v>5566</v>
      </c>
      <c r="B240" s="465" t="s">
        <v>2960</v>
      </c>
      <c r="C240" s="466">
        <v>3</v>
      </c>
      <c r="D240" s="465"/>
      <c r="E240" s="466" t="s">
        <v>2957</v>
      </c>
      <c r="F240" s="466"/>
      <c r="G240" s="465"/>
      <c r="H240" s="465">
        <v>2</v>
      </c>
    </row>
    <row r="241" spans="1:8" ht="13.8" thickBot="1">
      <c r="A241" s="465" t="s">
        <v>5567</v>
      </c>
      <c r="B241" s="465" t="s">
        <v>1555</v>
      </c>
      <c r="C241" s="466">
        <v>3</v>
      </c>
      <c r="D241" s="465"/>
      <c r="E241" s="466" t="s">
        <v>2957</v>
      </c>
      <c r="F241" s="466"/>
      <c r="G241" s="465"/>
      <c r="H241" s="465">
        <v>4</v>
      </c>
    </row>
    <row r="242" spans="1:8" ht="13.8" thickBot="1">
      <c r="A242" s="465" t="s">
        <v>5568</v>
      </c>
      <c r="B242" s="465" t="s">
        <v>1555</v>
      </c>
      <c r="C242" s="466">
        <v>3</v>
      </c>
      <c r="D242" s="465"/>
      <c r="E242" s="466" t="s">
        <v>2957</v>
      </c>
      <c r="F242" s="466"/>
      <c r="G242" s="465"/>
      <c r="H242" s="465">
        <v>6</v>
      </c>
    </row>
    <row r="243" spans="1:8" ht="13.8" thickBot="1">
      <c r="A243" s="465" t="s">
        <v>5569</v>
      </c>
      <c r="B243" s="465" t="s">
        <v>1555</v>
      </c>
      <c r="C243" s="466">
        <v>3</v>
      </c>
      <c r="D243" s="465"/>
      <c r="E243" s="466" t="s">
        <v>2957</v>
      </c>
      <c r="F243" s="466"/>
      <c r="G243" s="465"/>
      <c r="H243" s="465">
        <v>6</v>
      </c>
    </row>
    <row r="244" spans="1:8" ht="13.8" thickBot="1">
      <c r="A244" s="467" t="s">
        <v>5570</v>
      </c>
      <c r="B244" s="465" t="s">
        <v>1555</v>
      </c>
      <c r="C244" s="466">
        <v>3</v>
      </c>
      <c r="D244" s="465"/>
      <c r="E244" s="466" t="s">
        <v>2957</v>
      </c>
      <c r="F244" s="466"/>
      <c r="G244" s="465"/>
      <c r="H244" s="465">
        <v>5</v>
      </c>
    </row>
    <row r="245" spans="1:8" ht="13.8" thickBot="1">
      <c r="A245" s="467" t="s">
        <v>5571</v>
      </c>
      <c r="B245" s="465" t="s">
        <v>1562</v>
      </c>
      <c r="C245" s="466">
        <v>3</v>
      </c>
      <c r="D245" s="465"/>
      <c r="E245" s="466" t="s">
        <v>2957</v>
      </c>
      <c r="F245" s="466"/>
      <c r="G245" s="465"/>
      <c r="H245" s="465">
        <v>7</v>
      </c>
    </row>
    <row r="246" spans="1:8" ht="13.8" thickBot="1">
      <c r="A246" s="467" t="s">
        <v>5572</v>
      </c>
      <c r="B246" s="465" t="s">
        <v>3083</v>
      </c>
      <c r="C246" s="466">
        <v>3</v>
      </c>
      <c r="D246" s="465"/>
      <c r="E246" s="466" t="s">
        <v>2957</v>
      </c>
      <c r="F246" s="466"/>
      <c r="G246" s="465"/>
      <c r="H246" s="465">
        <v>16</v>
      </c>
    </row>
    <row r="247" spans="1:8" ht="13.8" thickBot="1">
      <c r="A247" s="467" t="s">
        <v>5573</v>
      </c>
      <c r="B247" s="465" t="s">
        <v>1554</v>
      </c>
      <c r="C247" s="466">
        <v>3</v>
      </c>
      <c r="D247" s="465"/>
      <c r="E247" s="466" t="s">
        <v>2957</v>
      </c>
      <c r="F247" s="466"/>
      <c r="G247" s="465"/>
      <c r="H247" s="465">
        <v>7</v>
      </c>
    </row>
    <row r="248" spans="1:8" ht="13.8" thickBot="1">
      <c r="A248" s="467" t="s">
        <v>5574</v>
      </c>
      <c r="B248" s="465" t="s">
        <v>1554</v>
      </c>
      <c r="C248" s="466">
        <v>3</v>
      </c>
      <c r="D248" s="465"/>
      <c r="E248" s="466" t="s">
        <v>2957</v>
      </c>
      <c r="F248" s="466"/>
      <c r="G248" s="465"/>
      <c r="H248" s="465">
        <v>5</v>
      </c>
    </row>
    <row r="249" spans="1:8" ht="13.8" thickBot="1">
      <c r="A249" s="465" t="s">
        <v>5575</v>
      </c>
      <c r="B249" s="465" t="s">
        <v>1554</v>
      </c>
      <c r="C249" s="466">
        <v>3</v>
      </c>
      <c r="D249" s="465"/>
      <c r="E249" s="466" t="s">
        <v>2957</v>
      </c>
      <c r="F249" s="466"/>
      <c r="G249" s="465"/>
      <c r="H249" s="465">
        <v>4</v>
      </c>
    </row>
    <row r="250" spans="1:8" ht="13.8" thickBot="1">
      <c r="A250" s="467" t="s">
        <v>5576</v>
      </c>
      <c r="B250" s="465" t="s">
        <v>3089</v>
      </c>
      <c r="C250" s="466">
        <v>3</v>
      </c>
      <c r="D250" s="465"/>
      <c r="E250" s="466" t="s">
        <v>3085</v>
      </c>
      <c r="F250" s="466"/>
      <c r="G250" s="465"/>
      <c r="H250" s="465">
        <v>5</v>
      </c>
    </row>
    <row r="251" spans="1:8" ht="13.8" thickBot="1">
      <c r="A251" s="467" t="s">
        <v>5577</v>
      </c>
      <c r="B251" s="465" t="s">
        <v>3089</v>
      </c>
      <c r="C251" s="466">
        <v>3</v>
      </c>
      <c r="D251" s="465"/>
      <c r="E251" s="466" t="s">
        <v>3085</v>
      </c>
      <c r="F251" s="466"/>
      <c r="G251" s="465"/>
      <c r="H251" s="465"/>
    </row>
    <row r="252" spans="1:8" ht="13.8" thickBot="1">
      <c r="A252" s="467" t="s">
        <v>5578</v>
      </c>
      <c r="B252" s="465" t="s">
        <v>3089</v>
      </c>
      <c r="C252" s="466">
        <v>3</v>
      </c>
      <c r="D252" s="465"/>
      <c r="E252" s="466" t="s">
        <v>3085</v>
      </c>
      <c r="F252" s="466"/>
      <c r="G252" s="465"/>
      <c r="H252" s="465"/>
    </row>
    <row r="253" spans="1:8" ht="13.8" thickBot="1">
      <c r="A253" s="465" t="s">
        <v>5579</v>
      </c>
      <c r="B253" s="465" t="s">
        <v>3089</v>
      </c>
      <c r="C253" s="466">
        <v>3</v>
      </c>
      <c r="D253" s="465"/>
      <c r="E253" s="466" t="s">
        <v>3085</v>
      </c>
      <c r="F253" s="466"/>
      <c r="G253" s="465"/>
      <c r="H253" s="465">
        <v>4</v>
      </c>
    </row>
    <row r="254" spans="1:8" ht="13.8" thickBot="1">
      <c r="A254" s="467" t="s">
        <v>5580</v>
      </c>
      <c r="B254" s="465" t="s">
        <v>3089</v>
      </c>
      <c r="C254" s="466">
        <v>3</v>
      </c>
      <c r="D254" s="465"/>
      <c r="E254" s="466" t="s">
        <v>3085</v>
      </c>
      <c r="F254" s="466"/>
      <c r="G254" s="465"/>
      <c r="H254" s="465">
        <v>2</v>
      </c>
    </row>
    <row r="255" spans="1:8" ht="13.8" thickBot="1">
      <c r="A255" s="465" t="s">
        <v>5581</v>
      </c>
      <c r="B255" s="465" t="s">
        <v>3089</v>
      </c>
      <c r="C255" s="466">
        <v>3</v>
      </c>
      <c r="D255" s="465"/>
      <c r="E255" s="466" t="s">
        <v>3085</v>
      </c>
      <c r="F255" s="466"/>
      <c r="G255" s="465"/>
      <c r="H255" s="465">
        <v>4</v>
      </c>
    </row>
    <row r="256" spans="1:8" ht="13.8" thickBot="1">
      <c r="A256" s="467" t="s">
        <v>5582</v>
      </c>
      <c r="B256" s="465" t="s">
        <v>3098</v>
      </c>
      <c r="C256" s="466">
        <v>3</v>
      </c>
      <c r="D256" s="465"/>
      <c r="E256" s="466" t="s">
        <v>3085</v>
      </c>
      <c r="F256" s="466"/>
      <c r="G256" s="465">
        <v>1</v>
      </c>
      <c r="H256" s="465">
        <v>5</v>
      </c>
    </row>
    <row r="257" spans="1:8" ht="13.8" thickBot="1">
      <c r="A257" s="465" t="s">
        <v>5583</v>
      </c>
      <c r="B257" s="465" t="s">
        <v>3115</v>
      </c>
      <c r="C257" s="466">
        <v>3</v>
      </c>
      <c r="D257" s="467" t="s">
        <v>614</v>
      </c>
      <c r="E257" s="466" t="s">
        <v>3116</v>
      </c>
      <c r="F257" s="466" t="s">
        <v>1910</v>
      </c>
      <c r="G257" s="465"/>
      <c r="H257" s="465">
        <v>9</v>
      </c>
    </row>
    <row r="258" spans="1:8" ht="13.8" thickBot="1">
      <c r="A258" s="467" t="s">
        <v>5584</v>
      </c>
      <c r="B258" s="465" t="s">
        <v>3124</v>
      </c>
      <c r="C258" s="466">
        <v>3</v>
      </c>
      <c r="D258" s="465"/>
      <c r="E258" s="466" t="s">
        <v>3116</v>
      </c>
      <c r="F258" s="466" t="s">
        <v>1226</v>
      </c>
      <c r="G258" s="465"/>
      <c r="H258" s="465">
        <v>6</v>
      </c>
    </row>
    <row r="259" spans="1:8" ht="13.8" thickBot="1">
      <c r="A259" s="467" t="s">
        <v>5585</v>
      </c>
      <c r="B259" s="465" t="s">
        <v>3115</v>
      </c>
      <c r="C259" s="466">
        <v>3</v>
      </c>
      <c r="D259" s="465"/>
      <c r="E259" s="466" t="s">
        <v>3116</v>
      </c>
      <c r="F259" s="466"/>
      <c r="G259" s="465"/>
      <c r="H259" s="465">
        <v>4</v>
      </c>
    </row>
    <row r="260" spans="1:8" ht="13.8" thickBot="1">
      <c r="A260" s="465" t="s">
        <v>5586</v>
      </c>
      <c r="B260" s="465" t="s">
        <v>3125</v>
      </c>
      <c r="C260" s="466">
        <v>3</v>
      </c>
      <c r="D260" s="467" t="s">
        <v>3126</v>
      </c>
      <c r="E260" s="466" t="s">
        <v>3116</v>
      </c>
      <c r="F260" s="466"/>
      <c r="G260" s="465"/>
      <c r="H260" s="465">
        <v>4</v>
      </c>
    </row>
    <row r="261" spans="1:8" ht="13.8" thickBot="1">
      <c r="A261" s="465" t="s">
        <v>5587</v>
      </c>
      <c r="B261" s="465" t="s">
        <v>3156</v>
      </c>
      <c r="C261" s="466">
        <v>3</v>
      </c>
      <c r="D261" s="465"/>
      <c r="E261" s="466" t="s">
        <v>3130</v>
      </c>
      <c r="F261" s="466" t="s">
        <v>1910</v>
      </c>
      <c r="G261" s="465"/>
      <c r="H261" s="465">
        <v>4</v>
      </c>
    </row>
    <row r="262" spans="1:8" ht="13.8" thickBot="1">
      <c r="A262" s="467" t="s">
        <v>5588</v>
      </c>
      <c r="B262" s="465" t="s">
        <v>3131</v>
      </c>
      <c r="C262" s="466">
        <v>3</v>
      </c>
      <c r="D262" s="465"/>
      <c r="E262" s="466" t="s">
        <v>3130</v>
      </c>
      <c r="F262" s="466" t="s">
        <v>1226</v>
      </c>
      <c r="G262" s="465"/>
      <c r="H262" s="465">
        <v>6</v>
      </c>
    </row>
    <row r="263" spans="1:8" ht="13.8" thickBot="1">
      <c r="A263" s="467" t="s">
        <v>5589</v>
      </c>
      <c r="B263" s="465" t="s">
        <v>3131</v>
      </c>
      <c r="C263" s="466">
        <v>3</v>
      </c>
      <c r="D263" s="465"/>
      <c r="E263" s="466" t="s">
        <v>3130</v>
      </c>
      <c r="F263" s="466"/>
      <c r="G263" s="465"/>
      <c r="H263" s="465">
        <v>4</v>
      </c>
    </row>
    <row r="264" spans="1:8" ht="13.8" thickBot="1">
      <c r="A264" s="465" t="s">
        <v>5590</v>
      </c>
      <c r="B264" s="465" t="s">
        <v>3274</v>
      </c>
      <c r="C264" s="466">
        <v>3</v>
      </c>
      <c r="D264" s="465"/>
      <c r="E264" s="466" t="s">
        <v>3161</v>
      </c>
      <c r="F264" s="466" t="s">
        <v>1910</v>
      </c>
      <c r="G264" s="465"/>
      <c r="H264" s="465">
        <v>3</v>
      </c>
    </row>
    <row r="265" spans="1:8" ht="13.8" thickBot="1">
      <c r="A265" s="465" t="s">
        <v>5591</v>
      </c>
      <c r="B265" s="465" t="s">
        <v>1391</v>
      </c>
      <c r="C265" s="466">
        <v>3</v>
      </c>
      <c r="D265" s="465"/>
      <c r="E265" s="466" t="s">
        <v>3161</v>
      </c>
      <c r="F265" s="466" t="s">
        <v>1220</v>
      </c>
      <c r="G265" s="465"/>
      <c r="H265" s="465">
        <v>2</v>
      </c>
    </row>
    <row r="266" spans="1:8" ht="13.8" thickBot="1">
      <c r="A266" s="465" t="s">
        <v>5592</v>
      </c>
      <c r="B266" s="465" t="s">
        <v>1390</v>
      </c>
      <c r="C266" s="466">
        <v>3</v>
      </c>
      <c r="D266" s="465"/>
      <c r="E266" s="466" t="s">
        <v>3161</v>
      </c>
      <c r="F266" s="466"/>
      <c r="G266" s="465"/>
      <c r="H266" s="465">
        <v>2</v>
      </c>
    </row>
    <row r="267" spans="1:8" ht="13.8" thickBot="1">
      <c r="A267" s="465" t="s">
        <v>5593</v>
      </c>
      <c r="B267" s="465" t="s">
        <v>1390</v>
      </c>
      <c r="C267" s="466">
        <v>3</v>
      </c>
      <c r="D267" s="465"/>
      <c r="E267" s="466" t="s">
        <v>3161</v>
      </c>
      <c r="F267" s="466"/>
      <c r="G267" s="465"/>
      <c r="H267" s="465">
        <v>2</v>
      </c>
    </row>
    <row r="268" spans="1:8" ht="13.8" thickBot="1">
      <c r="A268" s="467" t="s">
        <v>5594</v>
      </c>
      <c r="B268" s="465" t="s">
        <v>1390</v>
      </c>
      <c r="C268" s="466">
        <v>3</v>
      </c>
      <c r="D268" s="465"/>
      <c r="E268" s="466" t="s">
        <v>3161</v>
      </c>
      <c r="F268" s="466"/>
      <c r="G268" s="465"/>
      <c r="H268" s="465">
        <v>1</v>
      </c>
    </row>
    <row r="269" spans="1:8" ht="13.8" thickBot="1">
      <c r="A269" s="465" t="s">
        <v>5595</v>
      </c>
      <c r="B269" s="465" t="s">
        <v>1390</v>
      </c>
      <c r="C269" s="466">
        <v>3</v>
      </c>
      <c r="D269" s="465"/>
      <c r="E269" s="466" t="s">
        <v>3161</v>
      </c>
      <c r="F269" s="466"/>
      <c r="G269" s="465"/>
      <c r="H269" s="465">
        <v>3</v>
      </c>
    </row>
    <row r="270" spans="1:8" ht="13.8" thickBot="1">
      <c r="A270" s="465" t="s">
        <v>5596</v>
      </c>
      <c r="B270" s="465" t="s">
        <v>1390</v>
      </c>
      <c r="C270" s="466">
        <v>3</v>
      </c>
      <c r="D270" s="465"/>
      <c r="E270" s="466" t="s">
        <v>3161</v>
      </c>
      <c r="F270" s="466"/>
      <c r="G270" s="465"/>
      <c r="H270" s="465">
        <v>2</v>
      </c>
    </row>
    <row r="271" spans="1:8" ht="13.8" thickBot="1">
      <c r="A271" s="465" t="s">
        <v>5597</v>
      </c>
      <c r="B271" s="465" t="s">
        <v>1390</v>
      </c>
      <c r="C271" s="466">
        <v>3</v>
      </c>
      <c r="D271" s="465"/>
      <c r="E271" s="466" t="s">
        <v>3161</v>
      </c>
      <c r="F271" s="466"/>
      <c r="G271" s="465"/>
      <c r="H271" s="465">
        <v>1</v>
      </c>
    </row>
    <row r="272" spans="1:8" ht="13.8" thickBot="1">
      <c r="A272" s="467" t="s">
        <v>5598</v>
      </c>
      <c r="B272" s="465" t="s">
        <v>1390</v>
      </c>
      <c r="C272" s="466">
        <v>3</v>
      </c>
      <c r="D272" s="467" t="s">
        <v>614</v>
      </c>
      <c r="E272" s="466" t="s">
        <v>3161</v>
      </c>
      <c r="F272" s="466"/>
      <c r="G272" s="465"/>
      <c r="H272" s="465">
        <v>2</v>
      </c>
    </row>
    <row r="273" spans="1:8" ht="13.8" thickBot="1">
      <c r="A273" s="465" t="s">
        <v>1060</v>
      </c>
      <c r="B273" s="465" t="s">
        <v>1390</v>
      </c>
      <c r="C273" s="466">
        <v>3</v>
      </c>
      <c r="D273" s="467" t="s">
        <v>614</v>
      </c>
      <c r="E273" s="466" t="s">
        <v>3161</v>
      </c>
      <c r="F273" s="466"/>
      <c r="G273" s="465">
        <v>1</v>
      </c>
      <c r="H273" s="465">
        <v>3</v>
      </c>
    </row>
    <row r="274" spans="1:8" ht="13.8" thickBot="1">
      <c r="A274" s="467" t="s">
        <v>5599</v>
      </c>
      <c r="B274" s="465" t="s">
        <v>1390</v>
      </c>
      <c r="C274" s="466">
        <v>3</v>
      </c>
      <c r="D274" s="465"/>
      <c r="E274" s="466" t="s">
        <v>3161</v>
      </c>
      <c r="F274" s="466"/>
      <c r="G274" s="465"/>
      <c r="H274" s="465">
        <v>1</v>
      </c>
    </row>
    <row r="275" spans="1:8" ht="13.8" thickBot="1">
      <c r="A275" s="467" t="s">
        <v>5600</v>
      </c>
      <c r="B275" s="465" t="s">
        <v>1390</v>
      </c>
      <c r="C275" s="466">
        <v>3</v>
      </c>
      <c r="D275" s="465"/>
      <c r="E275" s="466" t="s">
        <v>3161</v>
      </c>
      <c r="F275" s="466"/>
      <c r="G275" s="465">
        <v>1</v>
      </c>
      <c r="H275" s="465">
        <v>2</v>
      </c>
    </row>
    <row r="276" spans="1:8" ht="13.8" thickBot="1">
      <c r="A276" s="465" t="s">
        <v>896</v>
      </c>
      <c r="B276" s="465" t="s">
        <v>1390</v>
      </c>
      <c r="C276" s="466">
        <v>3</v>
      </c>
      <c r="D276" s="465"/>
      <c r="E276" s="466" t="s">
        <v>3161</v>
      </c>
      <c r="F276" s="466"/>
      <c r="G276" s="465"/>
      <c r="H276" s="465">
        <v>5</v>
      </c>
    </row>
    <row r="277" spans="1:8" ht="13.8" thickBot="1">
      <c r="A277" s="467" t="s">
        <v>5601</v>
      </c>
      <c r="B277" s="465" t="s">
        <v>1390</v>
      </c>
      <c r="C277" s="466">
        <v>3</v>
      </c>
      <c r="D277" s="465"/>
      <c r="E277" s="466" t="s">
        <v>3161</v>
      </c>
      <c r="F277" s="466"/>
      <c r="G277" s="465"/>
      <c r="H277" s="465">
        <v>2</v>
      </c>
    </row>
    <row r="278" spans="1:8" ht="13.8" thickBot="1">
      <c r="A278" s="467" t="s">
        <v>5602</v>
      </c>
      <c r="B278" s="465" t="s">
        <v>1392</v>
      </c>
      <c r="C278" s="466">
        <v>3</v>
      </c>
      <c r="D278" s="465"/>
      <c r="E278" s="466" t="s">
        <v>3161</v>
      </c>
      <c r="F278" s="466"/>
      <c r="G278" s="465"/>
      <c r="H278" s="465">
        <v>17</v>
      </c>
    </row>
    <row r="279" spans="1:8" ht="13.8" thickBot="1">
      <c r="A279" s="465" t="s">
        <v>5603</v>
      </c>
      <c r="B279" s="465" t="s">
        <v>3273</v>
      </c>
      <c r="C279" s="466">
        <v>3</v>
      </c>
      <c r="D279" s="467" t="s">
        <v>614</v>
      </c>
      <c r="E279" s="466" t="s">
        <v>3161</v>
      </c>
      <c r="F279" s="466"/>
      <c r="G279" s="465"/>
      <c r="H279" s="465">
        <v>2</v>
      </c>
    </row>
    <row r="280" spans="1:8" ht="13.8" thickBot="1">
      <c r="A280" s="467" t="s">
        <v>5604</v>
      </c>
      <c r="B280" s="465" t="s">
        <v>1393</v>
      </c>
      <c r="C280" s="466">
        <v>3</v>
      </c>
      <c r="D280" s="465"/>
      <c r="E280" s="466" t="s">
        <v>3161</v>
      </c>
      <c r="F280" s="466"/>
      <c r="G280" s="465"/>
      <c r="H280" s="465">
        <v>2</v>
      </c>
    </row>
    <row r="281" spans="1:8" ht="13.8" thickBot="1">
      <c r="A281" s="467" t="s">
        <v>5605</v>
      </c>
      <c r="B281" s="465" t="s">
        <v>3220</v>
      </c>
      <c r="C281" s="466">
        <v>3</v>
      </c>
      <c r="D281" s="465"/>
      <c r="E281" s="466" t="s">
        <v>3161</v>
      </c>
      <c r="F281" s="466"/>
      <c r="G281" s="465"/>
      <c r="H281" s="465">
        <v>4</v>
      </c>
    </row>
    <row r="282" spans="1:8" ht="13.8" thickBot="1">
      <c r="A282" s="467" t="s">
        <v>5606</v>
      </c>
      <c r="B282" s="465" t="s">
        <v>3275</v>
      </c>
      <c r="C282" s="466">
        <v>3</v>
      </c>
      <c r="D282" s="465"/>
      <c r="E282" s="466" t="s">
        <v>3161</v>
      </c>
      <c r="F282" s="466"/>
      <c r="G282" s="465"/>
      <c r="H282" s="465">
        <v>1</v>
      </c>
    </row>
    <row r="283" spans="1:8" ht="13.8" thickBot="1">
      <c r="A283" s="467" t="s">
        <v>5607</v>
      </c>
      <c r="B283" s="465" t="s">
        <v>3276</v>
      </c>
      <c r="C283" s="466">
        <v>3</v>
      </c>
      <c r="D283" s="465"/>
      <c r="E283" s="466" t="s">
        <v>3161</v>
      </c>
      <c r="F283" s="466"/>
      <c r="G283" s="465"/>
      <c r="H283" s="465">
        <v>1</v>
      </c>
    </row>
    <row r="284" spans="1:8" ht="13.8" thickBot="1">
      <c r="A284" s="467" t="s">
        <v>5608</v>
      </c>
      <c r="B284" s="465" t="s">
        <v>3277</v>
      </c>
      <c r="C284" s="466">
        <v>3</v>
      </c>
      <c r="D284" s="465"/>
      <c r="E284" s="466" t="s">
        <v>3161</v>
      </c>
      <c r="F284" s="466"/>
      <c r="G284" s="465"/>
      <c r="H284" s="465">
        <v>1</v>
      </c>
    </row>
    <row r="285" spans="1:8" ht="13.8" thickBot="1">
      <c r="A285" s="467" t="s">
        <v>5609</v>
      </c>
      <c r="B285" s="465" t="s">
        <v>1394</v>
      </c>
      <c r="C285" s="466">
        <v>3</v>
      </c>
      <c r="D285" s="465"/>
      <c r="E285" s="466" t="s">
        <v>3161</v>
      </c>
      <c r="F285" s="466"/>
      <c r="G285" s="465">
        <v>1</v>
      </c>
      <c r="H285" s="465">
        <v>31</v>
      </c>
    </row>
    <row r="286" spans="1:8" ht="13.8" thickBot="1">
      <c r="A286" s="467" t="s">
        <v>5610</v>
      </c>
      <c r="B286" s="465" t="s">
        <v>3312</v>
      </c>
      <c r="C286" s="466">
        <v>3</v>
      </c>
      <c r="D286" s="465"/>
      <c r="E286" s="466" t="s">
        <v>3285</v>
      </c>
      <c r="F286" s="466" t="s">
        <v>1910</v>
      </c>
      <c r="G286" s="465"/>
      <c r="H286" s="465">
        <v>4</v>
      </c>
    </row>
    <row r="287" spans="1:8" ht="13.8" thickBot="1">
      <c r="A287" s="465" t="s">
        <v>1118</v>
      </c>
      <c r="B287" s="465" t="s">
        <v>1418</v>
      </c>
      <c r="C287" s="466">
        <v>3</v>
      </c>
      <c r="D287" s="467" t="s">
        <v>614</v>
      </c>
      <c r="E287" s="466" t="s">
        <v>3285</v>
      </c>
      <c r="F287" s="466" t="s">
        <v>1220</v>
      </c>
      <c r="G287" s="465"/>
      <c r="H287" s="465">
        <v>18</v>
      </c>
    </row>
    <row r="288" spans="1:8" ht="13.8" thickBot="1">
      <c r="A288" s="467" t="s">
        <v>5611</v>
      </c>
      <c r="B288" s="465" t="s">
        <v>1419</v>
      </c>
      <c r="C288" s="466">
        <v>3</v>
      </c>
      <c r="D288" s="465"/>
      <c r="E288" s="466" t="s">
        <v>3285</v>
      </c>
      <c r="F288" s="466"/>
      <c r="G288" s="465">
        <v>3</v>
      </c>
      <c r="H288" s="465">
        <v>26</v>
      </c>
    </row>
    <row r="289" spans="1:8" ht="13.8" thickBot="1">
      <c r="A289" s="467" t="s">
        <v>5612</v>
      </c>
      <c r="B289" s="465" t="s">
        <v>1419</v>
      </c>
      <c r="C289" s="466">
        <v>3</v>
      </c>
      <c r="D289" s="467" t="s">
        <v>614</v>
      </c>
      <c r="E289" s="466" t="s">
        <v>3285</v>
      </c>
      <c r="F289" s="466"/>
      <c r="G289" s="465"/>
      <c r="H289" s="465">
        <v>8</v>
      </c>
    </row>
    <row r="290" spans="1:8" ht="13.8" thickBot="1">
      <c r="A290" s="467" t="s">
        <v>5613</v>
      </c>
      <c r="B290" s="465" t="s">
        <v>1427</v>
      </c>
      <c r="C290" s="466">
        <v>3</v>
      </c>
      <c r="D290" s="465"/>
      <c r="E290" s="466" t="s">
        <v>3315</v>
      </c>
      <c r="F290" s="466" t="s">
        <v>1226</v>
      </c>
      <c r="G290" s="465">
        <v>1</v>
      </c>
      <c r="H290" s="465">
        <v>31</v>
      </c>
    </row>
    <row r="291" spans="1:8" ht="13.8" thickBot="1">
      <c r="A291" s="467" t="s">
        <v>5614</v>
      </c>
      <c r="B291" s="465" t="s">
        <v>1428</v>
      </c>
      <c r="C291" s="466">
        <v>3</v>
      </c>
      <c r="D291" s="467" t="s">
        <v>3346</v>
      </c>
      <c r="E291" s="466" t="s">
        <v>3315</v>
      </c>
      <c r="F291" s="466" t="s">
        <v>1226</v>
      </c>
      <c r="G291" s="465"/>
      <c r="H291" s="465">
        <v>35</v>
      </c>
    </row>
    <row r="292" spans="1:8" ht="13.8" thickBot="1">
      <c r="A292" s="465" t="s">
        <v>913</v>
      </c>
      <c r="B292" s="465" t="s">
        <v>1429</v>
      </c>
      <c r="C292" s="466">
        <v>3</v>
      </c>
      <c r="D292" s="467" t="s">
        <v>614</v>
      </c>
      <c r="E292" s="466" t="s">
        <v>3315</v>
      </c>
      <c r="F292" s="466" t="s">
        <v>2067</v>
      </c>
      <c r="G292" s="465">
        <v>1</v>
      </c>
      <c r="H292" s="465">
        <v>11</v>
      </c>
    </row>
    <row r="293" spans="1:8" ht="13.8" thickBot="1">
      <c r="A293" s="467" t="s">
        <v>5615</v>
      </c>
      <c r="B293" s="465" t="s">
        <v>1431</v>
      </c>
      <c r="C293" s="466">
        <v>3</v>
      </c>
      <c r="D293" s="467" t="s">
        <v>614</v>
      </c>
      <c r="E293" s="466" t="s">
        <v>3315</v>
      </c>
      <c r="F293" s="466" t="s">
        <v>1224</v>
      </c>
      <c r="G293" s="465">
        <v>1</v>
      </c>
      <c r="H293" s="465">
        <v>14</v>
      </c>
    </row>
    <row r="294" spans="1:8" ht="13.8" thickBot="1">
      <c r="A294" s="467" t="s">
        <v>5616</v>
      </c>
      <c r="B294" s="465" t="s">
        <v>1433</v>
      </c>
      <c r="C294" s="466">
        <v>3</v>
      </c>
      <c r="D294" s="465"/>
      <c r="E294" s="466" t="s">
        <v>3315</v>
      </c>
      <c r="F294" s="466"/>
      <c r="G294" s="465">
        <v>1</v>
      </c>
      <c r="H294" s="465">
        <v>9</v>
      </c>
    </row>
    <row r="295" spans="1:8" ht="13.8" thickBot="1">
      <c r="A295" s="467" t="s">
        <v>5617</v>
      </c>
      <c r="B295" s="465" t="s">
        <v>3347</v>
      </c>
      <c r="C295" s="466">
        <v>3</v>
      </c>
      <c r="D295" s="467" t="s">
        <v>614</v>
      </c>
      <c r="E295" s="466" t="s">
        <v>3315</v>
      </c>
      <c r="F295" s="466"/>
      <c r="G295" s="465"/>
      <c r="H295" s="465">
        <v>2</v>
      </c>
    </row>
    <row r="296" spans="1:8" ht="13.8" thickBot="1">
      <c r="A296" s="467" t="s">
        <v>5618</v>
      </c>
      <c r="B296" s="465" t="s">
        <v>3348</v>
      </c>
      <c r="C296" s="466">
        <v>3</v>
      </c>
      <c r="D296" s="465"/>
      <c r="E296" s="466" t="s">
        <v>3315</v>
      </c>
      <c r="F296" s="466"/>
      <c r="G296" s="465"/>
      <c r="H296" s="465">
        <v>2</v>
      </c>
    </row>
    <row r="297" spans="1:8" ht="13.8" thickBot="1">
      <c r="A297" s="467" t="s">
        <v>5619</v>
      </c>
      <c r="B297" s="465" t="s">
        <v>3321</v>
      </c>
      <c r="C297" s="466">
        <v>3</v>
      </c>
      <c r="D297" s="467" t="s">
        <v>614</v>
      </c>
      <c r="E297" s="466" t="s">
        <v>3315</v>
      </c>
      <c r="F297" s="466"/>
      <c r="G297" s="465"/>
      <c r="H297" s="465">
        <v>6</v>
      </c>
    </row>
    <row r="298" spans="1:8" ht="13.8" thickBot="1">
      <c r="A298" s="467" t="s">
        <v>5620</v>
      </c>
      <c r="B298" s="465" t="s">
        <v>1430</v>
      </c>
      <c r="C298" s="466">
        <v>3</v>
      </c>
      <c r="D298" s="465"/>
      <c r="E298" s="466" t="s">
        <v>3315</v>
      </c>
      <c r="F298" s="466"/>
      <c r="G298" s="465">
        <v>1</v>
      </c>
      <c r="H298" s="465">
        <v>8</v>
      </c>
    </row>
    <row r="299" spans="1:8" ht="13.8" thickBot="1">
      <c r="A299" s="467" t="s">
        <v>5621</v>
      </c>
      <c r="B299" s="465" t="s">
        <v>1432</v>
      </c>
      <c r="C299" s="466">
        <v>3</v>
      </c>
      <c r="D299" s="467" t="s">
        <v>614</v>
      </c>
      <c r="E299" s="466" t="s">
        <v>3315</v>
      </c>
      <c r="F299" s="466"/>
      <c r="G299" s="465">
        <v>2</v>
      </c>
      <c r="H299" s="465">
        <v>36</v>
      </c>
    </row>
    <row r="300" spans="1:8" ht="13.8" thickBot="1">
      <c r="A300" s="467" t="s">
        <v>5622</v>
      </c>
      <c r="B300" s="465" t="s">
        <v>3349</v>
      </c>
      <c r="C300" s="466">
        <v>3</v>
      </c>
      <c r="D300" s="467" t="s">
        <v>614</v>
      </c>
      <c r="E300" s="466" t="s">
        <v>3315</v>
      </c>
      <c r="F300" s="466"/>
      <c r="G300" s="465"/>
      <c r="H300" s="465">
        <v>12</v>
      </c>
    </row>
    <row r="301" spans="1:8" ht="13.8" thickBot="1">
      <c r="A301" s="465" t="s">
        <v>5492</v>
      </c>
      <c r="B301" s="465" t="s">
        <v>1283</v>
      </c>
      <c r="C301" s="466">
        <v>3</v>
      </c>
      <c r="D301" s="467" t="s">
        <v>614</v>
      </c>
      <c r="E301" s="466" t="s">
        <v>2032</v>
      </c>
      <c r="F301" s="466" t="s">
        <v>1251</v>
      </c>
      <c r="G301" s="465"/>
      <c r="H301" s="465">
        <v>1</v>
      </c>
    </row>
    <row r="302" spans="1:8" ht="13.8" thickBot="1">
      <c r="A302" s="465" t="s">
        <v>5493</v>
      </c>
      <c r="B302" s="465" t="s">
        <v>1284</v>
      </c>
      <c r="C302" s="466">
        <v>3</v>
      </c>
      <c r="D302" s="465"/>
      <c r="E302" s="466" t="s">
        <v>2032</v>
      </c>
      <c r="F302" s="466" t="s">
        <v>1224</v>
      </c>
      <c r="G302" s="465"/>
      <c r="H302" s="465">
        <v>8</v>
      </c>
    </row>
    <row r="303" spans="1:8" ht="13.8" thickBot="1">
      <c r="A303" s="467" t="s">
        <v>5494</v>
      </c>
      <c r="B303" s="465" t="s">
        <v>1287</v>
      </c>
      <c r="C303" s="466">
        <v>3</v>
      </c>
      <c r="D303" s="465"/>
      <c r="E303" s="466" t="s">
        <v>2032</v>
      </c>
      <c r="F303" s="466"/>
      <c r="G303" s="465"/>
      <c r="H303" s="465">
        <v>4</v>
      </c>
    </row>
    <row r="304" spans="1:8" ht="13.8" thickBot="1">
      <c r="A304" s="465" t="s">
        <v>5495</v>
      </c>
      <c r="B304" s="465" t="s">
        <v>1287</v>
      </c>
      <c r="C304" s="466">
        <v>3</v>
      </c>
      <c r="D304" s="465"/>
      <c r="E304" s="466" t="s">
        <v>2032</v>
      </c>
      <c r="F304" s="466"/>
      <c r="G304" s="465">
        <v>1</v>
      </c>
      <c r="H304" s="465">
        <v>8</v>
      </c>
    </row>
    <row r="305" spans="1:8" ht="13.8" thickBot="1">
      <c r="A305" s="467" t="s">
        <v>5496</v>
      </c>
      <c r="B305" s="465" t="s">
        <v>2084</v>
      </c>
      <c r="C305" s="466">
        <v>3</v>
      </c>
      <c r="D305" s="465"/>
      <c r="E305" s="466" t="s">
        <v>2032</v>
      </c>
      <c r="F305" s="466"/>
      <c r="G305" s="465"/>
      <c r="H305" s="465">
        <v>3</v>
      </c>
    </row>
    <row r="306" spans="1:8" ht="13.8" thickBot="1">
      <c r="A306" s="467" t="s">
        <v>5623</v>
      </c>
      <c r="B306" s="465" t="s">
        <v>3397</v>
      </c>
      <c r="C306" s="466">
        <v>3</v>
      </c>
      <c r="D306" s="465"/>
      <c r="E306" s="466" t="s">
        <v>3351</v>
      </c>
      <c r="F306" s="466"/>
      <c r="G306" s="465"/>
      <c r="H306" s="465">
        <v>1</v>
      </c>
    </row>
    <row r="307" spans="1:8" ht="13.8" thickBot="1">
      <c r="A307" s="465" t="s">
        <v>5624</v>
      </c>
      <c r="B307" s="465" t="s">
        <v>3477</v>
      </c>
      <c r="C307" s="466">
        <v>3</v>
      </c>
      <c r="D307" s="465"/>
      <c r="E307" s="466" t="s">
        <v>3452</v>
      </c>
      <c r="F307" s="466"/>
      <c r="G307" s="465"/>
      <c r="H307" s="465">
        <v>10</v>
      </c>
    </row>
    <row r="308" spans="1:8" ht="13.8" thickBot="1">
      <c r="A308" s="465" t="s">
        <v>5625</v>
      </c>
      <c r="B308" s="465" t="s">
        <v>3493</v>
      </c>
      <c r="C308" s="466">
        <v>3</v>
      </c>
      <c r="D308" s="467" t="s">
        <v>3494</v>
      </c>
      <c r="E308" s="466" t="s">
        <v>3452</v>
      </c>
      <c r="F308" s="466"/>
      <c r="G308" s="465"/>
      <c r="H308" s="465">
        <v>7</v>
      </c>
    </row>
    <row r="309" spans="1:8" ht="13.8" thickBot="1">
      <c r="A309" s="465" t="s">
        <v>5626</v>
      </c>
      <c r="B309" s="465" t="s">
        <v>1452</v>
      </c>
      <c r="C309" s="466">
        <v>3</v>
      </c>
      <c r="D309" s="465"/>
      <c r="E309" s="466" t="s">
        <v>3517</v>
      </c>
      <c r="F309" s="466"/>
      <c r="G309" s="465"/>
      <c r="H309" s="465">
        <v>16</v>
      </c>
    </row>
    <row r="310" spans="1:8" ht="13.8" thickBot="1">
      <c r="A310" s="465" t="s">
        <v>5627</v>
      </c>
      <c r="B310" s="465" t="s">
        <v>1452</v>
      </c>
      <c r="C310" s="466">
        <v>3</v>
      </c>
      <c r="D310" s="465"/>
      <c r="E310" s="466" t="s">
        <v>3517</v>
      </c>
      <c r="F310" s="466"/>
      <c r="G310" s="465"/>
      <c r="H310" s="465">
        <v>2</v>
      </c>
    </row>
    <row r="311" spans="1:8" ht="13.8" thickBot="1">
      <c r="A311" s="467" t="s">
        <v>5628</v>
      </c>
      <c r="B311" s="465" t="s">
        <v>3637</v>
      </c>
      <c r="C311" s="466">
        <v>3</v>
      </c>
      <c r="D311" s="465"/>
      <c r="E311" s="466" t="s">
        <v>3517</v>
      </c>
      <c r="F311" s="466"/>
      <c r="G311" s="465"/>
      <c r="H311" s="465">
        <v>4</v>
      </c>
    </row>
    <row r="312" spans="1:8" ht="13.8" thickBot="1">
      <c r="A312" s="465" t="s">
        <v>5629</v>
      </c>
      <c r="B312" s="465" t="s">
        <v>1456</v>
      </c>
      <c r="C312" s="466">
        <v>3</v>
      </c>
      <c r="D312" s="465"/>
      <c r="E312" s="466" t="s">
        <v>3517</v>
      </c>
      <c r="F312" s="466"/>
      <c r="G312" s="465"/>
      <c r="H312" s="465">
        <v>1</v>
      </c>
    </row>
    <row r="313" spans="1:8" ht="13.8" thickBot="1">
      <c r="A313" s="465" t="s">
        <v>5630</v>
      </c>
      <c r="B313" s="465" t="s">
        <v>1453</v>
      </c>
      <c r="C313" s="466">
        <v>3</v>
      </c>
      <c r="D313" s="465"/>
      <c r="E313" s="466" t="s">
        <v>3517</v>
      </c>
      <c r="F313" s="466"/>
      <c r="G313" s="465"/>
      <c r="H313" s="465">
        <v>6</v>
      </c>
    </row>
    <row r="314" spans="1:8" ht="13.8" thickBot="1">
      <c r="A314" s="465" t="s">
        <v>5631</v>
      </c>
      <c r="B314" s="465" t="s">
        <v>3645</v>
      </c>
      <c r="C314" s="466">
        <v>3</v>
      </c>
      <c r="D314" s="465"/>
      <c r="E314" s="466" t="s">
        <v>3641</v>
      </c>
      <c r="F314" s="466" t="s">
        <v>1910</v>
      </c>
      <c r="G314" s="465"/>
      <c r="H314" s="465">
        <v>3</v>
      </c>
    </row>
    <row r="315" spans="1:8" ht="13.8" thickBot="1">
      <c r="A315" s="465" t="s">
        <v>5632</v>
      </c>
      <c r="B315" s="465" t="s">
        <v>1466</v>
      </c>
      <c r="C315" s="466">
        <v>3</v>
      </c>
      <c r="D315" s="465"/>
      <c r="E315" s="466" t="s">
        <v>3652</v>
      </c>
      <c r="F315" s="466" t="s">
        <v>1865</v>
      </c>
      <c r="G315" s="465"/>
      <c r="H315" s="465">
        <v>6</v>
      </c>
    </row>
    <row r="316" spans="1:8" ht="13.8" thickBot="1">
      <c r="A316" s="465" t="s">
        <v>5633</v>
      </c>
      <c r="B316" s="465" t="s">
        <v>3719</v>
      </c>
      <c r="C316" s="466">
        <v>3</v>
      </c>
      <c r="D316" s="465"/>
      <c r="E316" s="466" t="s">
        <v>3652</v>
      </c>
      <c r="F316" s="466" t="s">
        <v>1865</v>
      </c>
      <c r="G316" s="465"/>
      <c r="H316" s="465">
        <v>4</v>
      </c>
    </row>
    <row r="317" spans="1:8" ht="13.8" thickBot="1">
      <c r="A317" s="467" t="s">
        <v>5634</v>
      </c>
      <c r="B317" s="465" t="s">
        <v>1465</v>
      </c>
      <c r="C317" s="466">
        <v>3</v>
      </c>
      <c r="D317" s="465"/>
      <c r="E317" s="466" t="s">
        <v>3652</v>
      </c>
      <c r="F317" s="466" t="s">
        <v>1226</v>
      </c>
      <c r="G317" s="465"/>
      <c r="H317" s="465">
        <v>18</v>
      </c>
    </row>
    <row r="318" spans="1:8" ht="13.8" thickBot="1">
      <c r="A318" s="465" t="s">
        <v>5635</v>
      </c>
      <c r="B318" s="465" t="s">
        <v>1466</v>
      </c>
      <c r="C318" s="466">
        <v>3</v>
      </c>
      <c r="D318" s="467" t="s">
        <v>614</v>
      </c>
      <c r="E318" s="466" t="s">
        <v>3652</v>
      </c>
      <c r="F318" s="466" t="s">
        <v>1224</v>
      </c>
      <c r="G318" s="465"/>
      <c r="H318" s="465"/>
    </row>
    <row r="319" spans="1:8" ht="13.8" thickBot="1">
      <c r="A319" s="467" t="s">
        <v>5636</v>
      </c>
      <c r="B319" s="465" t="s">
        <v>1466</v>
      </c>
      <c r="C319" s="466">
        <v>3</v>
      </c>
      <c r="D319" s="465"/>
      <c r="E319" s="466" t="s">
        <v>3652</v>
      </c>
      <c r="F319" s="466"/>
      <c r="G319" s="465"/>
      <c r="H319" s="465">
        <v>4</v>
      </c>
    </row>
    <row r="320" spans="1:8" ht="13.8" thickBot="1">
      <c r="A320" s="465" t="s">
        <v>5637</v>
      </c>
      <c r="B320" s="465" t="s">
        <v>1466</v>
      </c>
      <c r="C320" s="466">
        <v>3</v>
      </c>
      <c r="D320" s="465"/>
      <c r="E320" s="466" t="s">
        <v>3652</v>
      </c>
      <c r="F320" s="466"/>
      <c r="G320" s="465"/>
      <c r="H320" s="465">
        <v>2</v>
      </c>
    </row>
    <row r="321" spans="1:8" ht="13.8" thickBot="1">
      <c r="A321" s="467" t="s">
        <v>5638</v>
      </c>
      <c r="B321" s="465" t="s">
        <v>1466</v>
      </c>
      <c r="C321" s="466">
        <v>3</v>
      </c>
      <c r="D321" s="465"/>
      <c r="E321" s="466" t="s">
        <v>3652</v>
      </c>
      <c r="F321" s="466"/>
      <c r="G321" s="465"/>
      <c r="H321" s="465">
        <v>1</v>
      </c>
    </row>
    <row r="322" spans="1:8" ht="13.8" thickBot="1">
      <c r="A322" s="467" t="s">
        <v>5639</v>
      </c>
      <c r="B322" s="465" t="s">
        <v>1466</v>
      </c>
      <c r="C322" s="466">
        <v>3</v>
      </c>
      <c r="D322" s="465"/>
      <c r="E322" s="466" t="s">
        <v>3652</v>
      </c>
      <c r="F322" s="466"/>
      <c r="G322" s="465">
        <v>1</v>
      </c>
      <c r="H322" s="465">
        <v>6</v>
      </c>
    </row>
    <row r="323" spans="1:8" ht="13.8" thickBot="1">
      <c r="A323" s="467" t="s">
        <v>5640</v>
      </c>
      <c r="B323" s="465" t="s">
        <v>1466</v>
      </c>
      <c r="C323" s="466">
        <v>3</v>
      </c>
      <c r="D323" s="465"/>
      <c r="E323" s="466" t="s">
        <v>3652</v>
      </c>
      <c r="F323" s="466"/>
      <c r="G323" s="465"/>
      <c r="H323" s="465">
        <v>1</v>
      </c>
    </row>
    <row r="324" spans="1:8" ht="13.8" thickBot="1">
      <c r="A324" s="467" t="s">
        <v>5641</v>
      </c>
      <c r="B324" s="465" t="s">
        <v>1466</v>
      </c>
      <c r="C324" s="466">
        <v>3</v>
      </c>
      <c r="D324" s="465"/>
      <c r="E324" s="466" t="s">
        <v>3652</v>
      </c>
      <c r="F324" s="466"/>
      <c r="G324" s="465"/>
      <c r="H324" s="465">
        <v>1</v>
      </c>
    </row>
    <row r="325" spans="1:8" ht="13.8" thickBot="1">
      <c r="A325" s="467" t="s">
        <v>5642</v>
      </c>
      <c r="B325" s="465" t="s">
        <v>3718</v>
      </c>
      <c r="C325" s="466">
        <v>3</v>
      </c>
      <c r="D325" s="465"/>
      <c r="E325" s="466" t="s">
        <v>3652</v>
      </c>
      <c r="F325" s="466"/>
      <c r="G325" s="465"/>
      <c r="H325" s="465">
        <v>1</v>
      </c>
    </row>
    <row r="326" spans="1:8" ht="13.8" thickBot="1">
      <c r="A326" s="465" t="s">
        <v>5643</v>
      </c>
      <c r="B326" s="465" t="s">
        <v>3720</v>
      </c>
      <c r="C326" s="466">
        <v>3</v>
      </c>
      <c r="D326" s="465"/>
      <c r="E326" s="466" t="s">
        <v>3652</v>
      </c>
      <c r="F326" s="466"/>
      <c r="G326" s="465"/>
      <c r="H326" s="465">
        <v>1</v>
      </c>
    </row>
    <row r="327" spans="1:8" ht="13.8" thickBot="1">
      <c r="A327" s="467" t="s">
        <v>5644</v>
      </c>
      <c r="B327" s="465" t="s">
        <v>3721</v>
      </c>
      <c r="C327" s="466">
        <v>3</v>
      </c>
      <c r="D327" s="465"/>
      <c r="E327" s="466" t="s">
        <v>3652</v>
      </c>
      <c r="F327" s="466"/>
      <c r="G327" s="465"/>
      <c r="H327" s="465">
        <v>2</v>
      </c>
    </row>
    <row r="328" spans="1:8" ht="13.8" thickBot="1">
      <c r="A328" s="465" t="s">
        <v>5645</v>
      </c>
      <c r="B328" s="465" t="s">
        <v>3722</v>
      </c>
      <c r="C328" s="466">
        <v>3</v>
      </c>
      <c r="D328" s="465"/>
      <c r="E328" s="466" t="s">
        <v>3652</v>
      </c>
      <c r="F328" s="466"/>
      <c r="G328" s="465"/>
      <c r="H328" s="465">
        <v>4</v>
      </c>
    </row>
    <row r="329" spans="1:8" ht="13.8" thickBot="1">
      <c r="A329" s="467" t="s">
        <v>5646</v>
      </c>
      <c r="B329" s="465" t="s">
        <v>3731</v>
      </c>
      <c r="C329" s="466">
        <v>3</v>
      </c>
      <c r="D329" s="465"/>
      <c r="E329" s="466" t="s">
        <v>3724</v>
      </c>
      <c r="F329" s="466" t="s">
        <v>1865</v>
      </c>
      <c r="G329" s="465"/>
      <c r="H329" s="465">
        <v>3</v>
      </c>
    </row>
    <row r="330" spans="1:8" ht="13.8" thickBot="1">
      <c r="A330" s="465" t="s">
        <v>5647</v>
      </c>
      <c r="B330" s="465" t="s">
        <v>3732</v>
      </c>
      <c r="C330" s="466">
        <v>3</v>
      </c>
      <c r="D330" s="465"/>
      <c r="E330" s="466" t="s">
        <v>3724</v>
      </c>
      <c r="F330" s="466" t="s">
        <v>1224</v>
      </c>
      <c r="G330" s="465"/>
      <c r="H330" s="465">
        <v>3</v>
      </c>
    </row>
    <row r="331" spans="1:8" ht="13.8" thickBot="1">
      <c r="A331" s="465" t="s">
        <v>5648</v>
      </c>
      <c r="B331" s="465" t="s">
        <v>3725</v>
      </c>
      <c r="C331" s="466">
        <v>3</v>
      </c>
      <c r="D331" s="465"/>
      <c r="E331" s="466" t="s">
        <v>3724</v>
      </c>
      <c r="F331" s="466"/>
      <c r="G331" s="465"/>
      <c r="H331" s="465">
        <v>1</v>
      </c>
    </row>
    <row r="332" spans="1:8" ht="13.8" thickBot="1">
      <c r="A332" s="467" t="s">
        <v>5649</v>
      </c>
      <c r="B332" s="465" t="s">
        <v>3725</v>
      </c>
      <c r="C332" s="466">
        <v>3</v>
      </c>
      <c r="D332" s="467" t="s">
        <v>614</v>
      </c>
      <c r="E332" s="466" t="s">
        <v>3724</v>
      </c>
      <c r="F332" s="466"/>
      <c r="G332" s="465"/>
      <c r="H332" s="465">
        <v>10</v>
      </c>
    </row>
    <row r="333" spans="1:8" ht="13.8" thickBot="1">
      <c r="A333" s="465" t="s">
        <v>5650</v>
      </c>
      <c r="B333" s="465" t="s">
        <v>3733</v>
      </c>
      <c r="C333" s="466">
        <v>3</v>
      </c>
      <c r="D333" s="467" t="s">
        <v>614</v>
      </c>
      <c r="E333" s="466" t="s">
        <v>3724</v>
      </c>
      <c r="F333" s="466"/>
      <c r="G333" s="465"/>
      <c r="H333" s="465">
        <v>4</v>
      </c>
    </row>
    <row r="334" spans="1:8" ht="13.8" thickBot="1">
      <c r="A334" s="465" t="s">
        <v>5497</v>
      </c>
      <c r="B334" s="465" t="s">
        <v>1246</v>
      </c>
      <c r="C334" s="466">
        <v>3</v>
      </c>
      <c r="D334" s="465"/>
      <c r="E334" s="466" t="s">
        <v>2087</v>
      </c>
      <c r="F334" s="466"/>
      <c r="G334" s="465"/>
      <c r="H334" s="465">
        <v>1</v>
      </c>
    </row>
    <row r="335" spans="1:8" ht="13.8" thickBot="1">
      <c r="A335" s="467" t="s">
        <v>5498</v>
      </c>
      <c r="B335" s="465" t="s">
        <v>2110</v>
      </c>
      <c r="C335" s="466">
        <v>3</v>
      </c>
      <c r="D335" s="465"/>
      <c r="E335" s="466" t="s">
        <v>2087</v>
      </c>
      <c r="F335" s="466"/>
      <c r="G335" s="465"/>
      <c r="H335" s="465">
        <v>8</v>
      </c>
    </row>
    <row r="336" spans="1:8" ht="13.8" thickBot="1">
      <c r="A336" s="467" t="s">
        <v>5499</v>
      </c>
      <c r="B336" s="465" t="s">
        <v>2111</v>
      </c>
      <c r="C336" s="466">
        <v>3</v>
      </c>
      <c r="D336" s="465"/>
      <c r="E336" s="466" t="s">
        <v>2087</v>
      </c>
      <c r="F336" s="466"/>
      <c r="G336" s="465"/>
      <c r="H336" s="465">
        <v>10</v>
      </c>
    </row>
    <row r="337" spans="1:8" ht="13.8" thickBot="1">
      <c r="A337" s="467" t="s">
        <v>5500</v>
      </c>
      <c r="B337" s="465" t="s">
        <v>2112</v>
      </c>
      <c r="C337" s="466">
        <v>3</v>
      </c>
      <c r="D337" s="465"/>
      <c r="E337" s="466" t="s">
        <v>2087</v>
      </c>
      <c r="F337" s="466"/>
      <c r="G337" s="465"/>
      <c r="H337" s="465">
        <v>5</v>
      </c>
    </row>
    <row r="338" spans="1:8" ht="13.8" thickBot="1">
      <c r="A338" s="465" t="s">
        <v>5651</v>
      </c>
      <c r="B338" s="465" t="s">
        <v>1480</v>
      </c>
      <c r="C338" s="466">
        <v>3</v>
      </c>
      <c r="D338" s="467" t="s">
        <v>614</v>
      </c>
      <c r="E338" s="466" t="s">
        <v>3734</v>
      </c>
      <c r="F338" s="466" t="s">
        <v>1224</v>
      </c>
      <c r="G338" s="465"/>
      <c r="H338" s="465">
        <v>1</v>
      </c>
    </row>
    <row r="339" spans="1:8" ht="13.8" thickBot="1">
      <c r="A339" s="465" t="s">
        <v>5652</v>
      </c>
      <c r="B339" s="465" t="s">
        <v>1479</v>
      </c>
      <c r="C339" s="466">
        <v>3</v>
      </c>
      <c r="D339" s="465"/>
      <c r="E339" s="466" t="s">
        <v>3734</v>
      </c>
      <c r="F339" s="466" t="s">
        <v>1220</v>
      </c>
      <c r="G339" s="465"/>
      <c r="H339" s="465">
        <v>2</v>
      </c>
    </row>
    <row r="340" spans="1:8" ht="13.8" thickBot="1">
      <c r="A340" s="467" t="s">
        <v>5653</v>
      </c>
      <c r="B340" s="465" t="s">
        <v>1480</v>
      </c>
      <c r="C340" s="466">
        <v>3</v>
      </c>
      <c r="D340" s="465"/>
      <c r="E340" s="466" t="s">
        <v>3734</v>
      </c>
      <c r="F340" s="466"/>
      <c r="G340" s="465"/>
      <c r="H340" s="465">
        <v>3</v>
      </c>
    </row>
    <row r="341" spans="1:8" ht="13.8" thickBot="1">
      <c r="A341" s="467" t="s">
        <v>5654</v>
      </c>
      <c r="B341" s="465" t="s">
        <v>3800</v>
      </c>
      <c r="C341" s="466">
        <v>3</v>
      </c>
      <c r="D341" s="465"/>
      <c r="E341" s="466" t="s">
        <v>3734</v>
      </c>
      <c r="F341" s="466"/>
      <c r="G341" s="465"/>
      <c r="H341" s="465">
        <v>2</v>
      </c>
    </row>
    <row r="342" spans="1:8" ht="13.8" thickBot="1">
      <c r="A342" s="467" t="s">
        <v>5655</v>
      </c>
      <c r="B342" s="465" t="s">
        <v>3801</v>
      </c>
      <c r="C342" s="466">
        <v>3</v>
      </c>
      <c r="D342" s="465"/>
      <c r="E342" s="466" t="s">
        <v>3734</v>
      </c>
      <c r="F342" s="466"/>
      <c r="G342" s="465"/>
      <c r="H342" s="465">
        <v>3</v>
      </c>
    </row>
    <row r="343" spans="1:8" ht="13.8" thickBot="1">
      <c r="A343" s="467" t="s">
        <v>5656</v>
      </c>
      <c r="B343" s="465" t="s">
        <v>3802</v>
      </c>
      <c r="C343" s="466">
        <v>3</v>
      </c>
      <c r="D343" s="465"/>
      <c r="E343" s="466" t="s">
        <v>3734</v>
      </c>
      <c r="F343" s="466"/>
      <c r="G343" s="465"/>
      <c r="H343" s="465">
        <v>2</v>
      </c>
    </row>
    <row r="344" spans="1:8" ht="13.8" thickBot="1">
      <c r="A344" s="465" t="s">
        <v>5657</v>
      </c>
      <c r="B344" s="465" t="s">
        <v>3803</v>
      </c>
      <c r="C344" s="466">
        <v>3</v>
      </c>
      <c r="D344" s="465"/>
      <c r="E344" s="466" t="s">
        <v>3734</v>
      </c>
      <c r="F344" s="466"/>
      <c r="G344" s="465"/>
      <c r="H344" s="465">
        <v>2</v>
      </c>
    </row>
    <row r="345" spans="1:8" ht="13.8" thickBot="1">
      <c r="A345" s="467" t="s">
        <v>5658</v>
      </c>
      <c r="B345" s="465" t="s">
        <v>3804</v>
      </c>
      <c r="C345" s="466">
        <v>3</v>
      </c>
      <c r="D345" s="467" t="s">
        <v>614</v>
      </c>
      <c r="E345" s="466" t="s">
        <v>3734</v>
      </c>
      <c r="F345" s="466"/>
      <c r="G345" s="465"/>
      <c r="H345" s="465">
        <v>2</v>
      </c>
    </row>
    <row r="346" spans="1:8" ht="13.8" thickBot="1">
      <c r="A346" s="465" t="s">
        <v>5659</v>
      </c>
      <c r="B346" s="465" t="s">
        <v>3793</v>
      </c>
      <c r="C346" s="466">
        <v>3</v>
      </c>
      <c r="D346" s="467" t="s">
        <v>614</v>
      </c>
      <c r="E346" s="466" t="s">
        <v>3734</v>
      </c>
      <c r="F346" s="466"/>
      <c r="G346" s="465"/>
      <c r="H346" s="465">
        <v>1</v>
      </c>
    </row>
    <row r="347" spans="1:8" ht="13.8" thickBot="1">
      <c r="A347" s="465" t="s">
        <v>5660</v>
      </c>
      <c r="B347" s="465" t="s">
        <v>1502</v>
      </c>
      <c r="C347" s="466">
        <v>3</v>
      </c>
      <c r="D347" s="465"/>
      <c r="E347" s="466" t="s">
        <v>3807</v>
      </c>
      <c r="F347" s="466"/>
      <c r="G347" s="465"/>
      <c r="H347" s="465">
        <v>17</v>
      </c>
    </row>
    <row r="348" spans="1:8" ht="13.8" thickBot="1">
      <c r="A348" s="465" t="s">
        <v>5661</v>
      </c>
      <c r="B348" s="465" t="s">
        <v>1502</v>
      </c>
      <c r="C348" s="466">
        <v>3</v>
      </c>
      <c r="D348" s="465"/>
      <c r="E348" s="466" t="s">
        <v>3807</v>
      </c>
      <c r="F348" s="466"/>
      <c r="G348" s="465"/>
      <c r="H348" s="465">
        <v>13</v>
      </c>
    </row>
    <row r="349" spans="1:8" ht="13.8" thickBot="1">
      <c r="A349" s="465" t="s">
        <v>5662</v>
      </c>
      <c r="B349" s="465" t="s">
        <v>1502</v>
      </c>
      <c r="C349" s="466">
        <v>3</v>
      </c>
      <c r="D349" s="465"/>
      <c r="E349" s="466" t="s">
        <v>3807</v>
      </c>
      <c r="F349" s="466"/>
      <c r="G349" s="465"/>
      <c r="H349" s="465">
        <v>3</v>
      </c>
    </row>
    <row r="350" spans="1:8" ht="13.8" thickBot="1">
      <c r="A350" s="465" t="s">
        <v>5663</v>
      </c>
      <c r="B350" s="465" t="s">
        <v>3847</v>
      </c>
      <c r="C350" s="466">
        <v>3</v>
      </c>
      <c r="D350" s="465"/>
      <c r="E350" s="466" t="s">
        <v>3807</v>
      </c>
      <c r="F350" s="466"/>
      <c r="G350" s="465"/>
      <c r="H350" s="465">
        <v>3</v>
      </c>
    </row>
    <row r="351" spans="1:8" ht="13.8" thickBot="1">
      <c r="A351" s="465" t="s">
        <v>5664</v>
      </c>
      <c r="B351" s="465" t="s">
        <v>3852</v>
      </c>
      <c r="C351" s="466">
        <v>3</v>
      </c>
      <c r="D351" s="465"/>
      <c r="E351" s="466" t="s">
        <v>3807</v>
      </c>
      <c r="F351" s="466"/>
      <c r="G351" s="465"/>
      <c r="H351" s="465">
        <v>2</v>
      </c>
    </row>
    <row r="352" spans="1:8" ht="13.8" thickBot="1">
      <c r="A352" s="465" t="s">
        <v>5665</v>
      </c>
      <c r="B352" s="465" t="s">
        <v>3897</v>
      </c>
      <c r="C352" s="466">
        <v>3</v>
      </c>
      <c r="D352" s="465"/>
      <c r="E352" s="466" t="s">
        <v>3856</v>
      </c>
      <c r="F352" s="466" t="s">
        <v>1910</v>
      </c>
      <c r="G352" s="465"/>
      <c r="H352" s="465">
        <v>10</v>
      </c>
    </row>
    <row r="353" spans="1:8" ht="13.8" thickBot="1">
      <c r="A353" s="465" t="s">
        <v>5666</v>
      </c>
      <c r="B353" s="465" t="s">
        <v>1507</v>
      </c>
      <c r="C353" s="466">
        <v>3</v>
      </c>
      <c r="D353" s="467" t="s">
        <v>614</v>
      </c>
      <c r="E353" s="466" t="s">
        <v>3856</v>
      </c>
      <c r="F353" s="466"/>
      <c r="G353" s="465"/>
      <c r="H353" s="465">
        <v>1</v>
      </c>
    </row>
    <row r="354" spans="1:8" ht="13.8" thickBot="1">
      <c r="A354" s="465" t="s">
        <v>5667</v>
      </c>
      <c r="B354" s="465" t="s">
        <v>1507</v>
      </c>
      <c r="C354" s="466">
        <v>3</v>
      </c>
      <c r="D354" s="465"/>
      <c r="E354" s="466" t="s">
        <v>3856</v>
      </c>
      <c r="F354" s="466"/>
      <c r="G354" s="465"/>
      <c r="H354" s="465">
        <v>2</v>
      </c>
    </row>
    <row r="355" spans="1:8" ht="13.8" thickBot="1">
      <c r="A355" s="467" t="s">
        <v>5668</v>
      </c>
      <c r="B355" s="465" t="s">
        <v>1507</v>
      </c>
      <c r="C355" s="466">
        <v>3</v>
      </c>
      <c r="D355" s="465"/>
      <c r="E355" s="466" t="s">
        <v>3856</v>
      </c>
      <c r="F355" s="466"/>
      <c r="G355" s="465"/>
      <c r="H355" s="465">
        <v>4</v>
      </c>
    </row>
    <row r="356" spans="1:8" ht="13.8" thickBot="1">
      <c r="A356" s="467" t="s">
        <v>5669</v>
      </c>
      <c r="B356" s="465" t="s">
        <v>3898</v>
      </c>
      <c r="C356" s="466">
        <v>3</v>
      </c>
      <c r="D356" s="467" t="s">
        <v>3899</v>
      </c>
      <c r="E356" s="466" t="s">
        <v>3856</v>
      </c>
      <c r="F356" s="466"/>
      <c r="G356" s="465"/>
      <c r="H356" s="465">
        <v>3</v>
      </c>
    </row>
    <row r="357" spans="1:8" ht="13.8" thickBot="1">
      <c r="A357" s="467" t="s">
        <v>5670</v>
      </c>
      <c r="B357" s="465" t="s">
        <v>3900</v>
      </c>
      <c r="C357" s="466">
        <v>3</v>
      </c>
      <c r="D357" s="465"/>
      <c r="E357" s="466" t="s">
        <v>3856</v>
      </c>
      <c r="F357" s="466"/>
      <c r="G357" s="465"/>
      <c r="H357" s="465">
        <v>5</v>
      </c>
    </row>
    <row r="358" spans="1:8" ht="13.8" thickBot="1">
      <c r="A358" s="465" t="s">
        <v>5671</v>
      </c>
      <c r="B358" s="465" t="s">
        <v>1515</v>
      </c>
      <c r="C358" s="466">
        <v>3</v>
      </c>
      <c r="D358" s="465" t="s">
        <v>3954</v>
      </c>
      <c r="E358" s="466" t="s">
        <v>3932</v>
      </c>
      <c r="F358" s="466"/>
      <c r="G358" s="465"/>
      <c r="H358" s="465">
        <v>1</v>
      </c>
    </row>
    <row r="359" spans="1:8" ht="13.8" thickBot="1">
      <c r="A359" s="465" t="s">
        <v>5672</v>
      </c>
      <c r="B359" s="465" t="s">
        <v>1515</v>
      </c>
      <c r="C359" s="466">
        <v>3</v>
      </c>
      <c r="D359" s="465"/>
      <c r="E359" s="466" t="s">
        <v>3932</v>
      </c>
      <c r="F359" s="466"/>
      <c r="G359" s="465"/>
      <c r="H359" s="465">
        <v>4</v>
      </c>
    </row>
    <row r="360" spans="1:8" ht="13.8" thickBot="1">
      <c r="A360" s="467" t="s">
        <v>5673</v>
      </c>
      <c r="B360" s="465" t="s">
        <v>3946</v>
      </c>
      <c r="C360" s="466">
        <v>3</v>
      </c>
      <c r="D360" s="465"/>
      <c r="E360" s="466" t="s">
        <v>3932</v>
      </c>
      <c r="F360" s="466"/>
      <c r="G360" s="465"/>
      <c r="H360" s="465">
        <v>2</v>
      </c>
    </row>
    <row r="361" spans="1:8" ht="13.8" thickBot="1">
      <c r="A361" s="467" t="s">
        <v>5674</v>
      </c>
      <c r="B361" s="465" t="s">
        <v>3955</v>
      </c>
      <c r="C361" s="466">
        <v>3</v>
      </c>
      <c r="D361" s="465"/>
      <c r="E361" s="466" t="s">
        <v>3932</v>
      </c>
      <c r="F361" s="466"/>
      <c r="G361" s="465"/>
      <c r="H361" s="465">
        <v>2</v>
      </c>
    </row>
    <row r="362" spans="1:8" ht="13.8" thickBot="1">
      <c r="A362" s="467" t="s">
        <v>5675</v>
      </c>
      <c r="B362" s="465" t="s">
        <v>1519</v>
      </c>
      <c r="C362" s="466">
        <v>3</v>
      </c>
      <c r="D362" s="467" t="s">
        <v>614</v>
      </c>
      <c r="E362" s="466" t="s">
        <v>3957</v>
      </c>
      <c r="F362" s="466"/>
      <c r="G362" s="465"/>
      <c r="H362" s="465">
        <v>7</v>
      </c>
    </row>
    <row r="363" spans="1:8" ht="13.8" thickBot="1">
      <c r="A363" s="467" t="s">
        <v>5676</v>
      </c>
      <c r="B363" s="465" t="s">
        <v>3993</v>
      </c>
      <c r="C363" s="466">
        <v>3</v>
      </c>
      <c r="D363" s="465"/>
      <c r="E363" s="466" t="s">
        <v>3957</v>
      </c>
      <c r="F363" s="466"/>
      <c r="G363" s="465"/>
      <c r="H363" s="465">
        <v>2</v>
      </c>
    </row>
    <row r="364" spans="1:8" ht="13.8" thickBot="1">
      <c r="A364" s="465" t="s">
        <v>5677</v>
      </c>
      <c r="B364" s="465" t="s">
        <v>1525</v>
      </c>
      <c r="C364" s="466">
        <v>3</v>
      </c>
      <c r="D364" s="465"/>
      <c r="E364" s="466" t="s">
        <v>3996</v>
      </c>
      <c r="F364" s="466"/>
      <c r="G364" s="465"/>
      <c r="H364" s="465">
        <v>1</v>
      </c>
    </row>
    <row r="365" spans="1:8" ht="13.8" thickBot="1">
      <c r="A365" s="467" t="s">
        <v>5678</v>
      </c>
      <c r="B365" s="465" t="s">
        <v>4065</v>
      </c>
      <c r="C365" s="466">
        <v>3</v>
      </c>
      <c r="D365" s="465" t="s">
        <v>4061</v>
      </c>
      <c r="E365" s="466" t="s">
        <v>4046</v>
      </c>
      <c r="F365" s="466"/>
      <c r="G365" s="465"/>
      <c r="H365" s="465">
        <v>1</v>
      </c>
    </row>
    <row r="366" spans="1:8" ht="13.8" thickBot="1">
      <c r="A366" s="465" t="s">
        <v>5679</v>
      </c>
      <c r="B366" s="465" t="s">
        <v>1537</v>
      </c>
      <c r="C366" s="466">
        <v>3</v>
      </c>
      <c r="D366" s="465"/>
      <c r="E366" s="466" t="s">
        <v>4067</v>
      </c>
      <c r="F366" s="466"/>
      <c r="G366" s="465"/>
      <c r="H366" s="465">
        <v>2</v>
      </c>
    </row>
    <row r="367" spans="1:8" ht="13.8" thickBot="1">
      <c r="A367" s="465" t="s">
        <v>5680</v>
      </c>
      <c r="B367" s="465" t="s">
        <v>1537</v>
      </c>
      <c r="C367" s="466">
        <v>3</v>
      </c>
      <c r="D367" s="465"/>
      <c r="E367" s="466" t="s">
        <v>4067</v>
      </c>
      <c r="F367" s="466"/>
      <c r="G367" s="465"/>
      <c r="H367" s="465">
        <v>2</v>
      </c>
    </row>
    <row r="368" spans="1:8" ht="13.8" thickBot="1">
      <c r="A368" s="465" t="s">
        <v>5681</v>
      </c>
      <c r="B368" s="465" t="s">
        <v>1537</v>
      </c>
      <c r="C368" s="466">
        <v>3</v>
      </c>
      <c r="D368" s="465"/>
      <c r="E368" s="466" t="s">
        <v>4067</v>
      </c>
      <c r="F368" s="466"/>
      <c r="G368" s="465"/>
      <c r="H368" s="465">
        <v>7</v>
      </c>
    </row>
    <row r="369" spans="1:8" ht="13.8" thickBot="1">
      <c r="A369" s="465" t="s">
        <v>5682</v>
      </c>
      <c r="B369" s="465" t="s">
        <v>1537</v>
      </c>
      <c r="C369" s="466">
        <v>3</v>
      </c>
      <c r="D369" s="465"/>
      <c r="E369" s="466" t="s">
        <v>4067</v>
      </c>
      <c r="F369" s="466"/>
      <c r="G369" s="465"/>
      <c r="H369" s="465">
        <v>2</v>
      </c>
    </row>
    <row r="370" spans="1:8" ht="13.8" thickBot="1">
      <c r="A370" s="465" t="s">
        <v>5683</v>
      </c>
      <c r="B370" s="465" t="s">
        <v>4100</v>
      </c>
      <c r="C370" s="466">
        <v>3</v>
      </c>
      <c r="D370" s="465"/>
      <c r="E370" s="466" t="s">
        <v>4067</v>
      </c>
      <c r="F370" s="466"/>
      <c r="G370" s="465"/>
      <c r="H370" s="465">
        <v>2</v>
      </c>
    </row>
    <row r="371" spans="1:8" ht="13.8" thickBot="1">
      <c r="A371" s="467" t="s">
        <v>5684</v>
      </c>
      <c r="B371" s="465" t="s">
        <v>1538</v>
      </c>
      <c r="C371" s="466">
        <v>3</v>
      </c>
      <c r="D371" s="465"/>
      <c r="E371" s="466" t="s">
        <v>4067</v>
      </c>
      <c r="F371" s="466"/>
      <c r="G371" s="465"/>
      <c r="H371" s="465">
        <v>5</v>
      </c>
    </row>
    <row r="372" spans="1:8" ht="13.8" thickBot="1">
      <c r="A372" s="465" t="s">
        <v>5685</v>
      </c>
      <c r="B372" s="465" t="s">
        <v>4116</v>
      </c>
      <c r="C372" s="466">
        <v>3</v>
      </c>
      <c r="D372" s="467" t="s">
        <v>614</v>
      </c>
      <c r="E372" s="466" t="s">
        <v>4102</v>
      </c>
      <c r="F372" s="466" t="s">
        <v>1220</v>
      </c>
      <c r="G372" s="465"/>
      <c r="H372" s="465">
        <v>3</v>
      </c>
    </row>
    <row r="373" spans="1:8" ht="13.8" thickBot="1">
      <c r="A373" s="465" t="s">
        <v>5686</v>
      </c>
      <c r="B373" s="465" t="s">
        <v>1544</v>
      </c>
      <c r="C373" s="466">
        <v>3</v>
      </c>
      <c r="D373" s="465"/>
      <c r="E373" s="466" t="s">
        <v>4102</v>
      </c>
      <c r="F373" s="466"/>
      <c r="G373" s="465"/>
      <c r="H373" s="465">
        <v>8</v>
      </c>
    </row>
    <row r="374" spans="1:8" ht="13.8" thickBot="1">
      <c r="A374" s="465" t="s">
        <v>5687</v>
      </c>
      <c r="B374" s="465" t="s">
        <v>4117</v>
      </c>
      <c r="C374" s="466">
        <v>3</v>
      </c>
      <c r="D374" s="467" t="s">
        <v>614</v>
      </c>
      <c r="E374" s="466" t="s">
        <v>4102</v>
      </c>
      <c r="F374" s="466"/>
      <c r="G374" s="465"/>
      <c r="H374" s="465">
        <v>2</v>
      </c>
    </row>
    <row r="375" spans="1:8" ht="13.8" thickBot="1">
      <c r="A375" s="467" t="s">
        <v>5688</v>
      </c>
      <c r="B375" s="465" t="s">
        <v>4118</v>
      </c>
      <c r="C375" s="466">
        <v>3</v>
      </c>
      <c r="D375" s="465"/>
      <c r="E375" s="466" t="s">
        <v>4102</v>
      </c>
      <c r="F375" s="466"/>
      <c r="G375" s="465"/>
      <c r="H375" s="465">
        <v>2</v>
      </c>
    </row>
    <row r="376" spans="1:8" ht="13.8" thickBot="1">
      <c r="A376" s="465" t="s">
        <v>5689</v>
      </c>
      <c r="B376" s="465" t="s">
        <v>4132</v>
      </c>
      <c r="C376" s="466">
        <v>3</v>
      </c>
      <c r="D376" s="465"/>
      <c r="E376" s="466" t="s">
        <v>4121</v>
      </c>
      <c r="F376" s="466"/>
      <c r="G376" s="465"/>
      <c r="H376" s="465">
        <v>1</v>
      </c>
    </row>
    <row r="377" spans="1:8" ht="13.8" thickBot="1">
      <c r="A377" s="465" t="s">
        <v>5690</v>
      </c>
      <c r="B377" s="465" t="s">
        <v>4136</v>
      </c>
      <c r="C377" s="466">
        <v>3</v>
      </c>
      <c r="D377" s="465"/>
      <c r="E377" s="466" t="s">
        <v>4134</v>
      </c>
      <c r="F377" s="466" t="s">
        <v>1910</v>
      </c>
      <c r="G377" s="465"/>
      <c r="H377" s="465">
        <v>5</v>
      </c>
    </row>
    <row r="378" spans="1:8" ht="13.8" thickBot="1">
      <c r="A378" s="465" t="s">
        <v>5691</v>
      </c>
      <c r="B378" s="465" t="s">
        <v>4136</v>
      </c>
      <c r="C378" s="466">
        <v>3</v>
      </c>
      <c r="D378" s="465"/>
      <c r="E378" s="466" t="s">
        <v>4134</v>
      </c>
      <c r="F378" s="466" t="s">
        <v>1226</v>
      </c>
      <c r="G378" s="465"/>
      <c r="H378" s="465">
        <v>5</v>
      </c>
    </row>
    <row r="379" spans="1:8" ht="13.8" thickBot="1">
      <c r="A379" s="465" t="s">
        <v>5692</v>
      </c>
      <c r="B379" s="465" t="s">
        <v>4136</v>
      </c>
      <c r="C379" s="466">
        <v>3</v>
      </c>
      <c r="D379" s="465"/>
      <c r="E379" s="466" t="s">
        <v>4134</v>
      </c>
      <c r="F379" s="466"/>
      <c r="G379" s="465"/>
      <c r="H379" s="465">
        <v>3</v>
      </c>
    </row>
    <row r="380" spans="1:8" ht="13.8" thickBot="1">
      <c r="A380" s="465" t="s">
        <v>5693</v>
      </c>
      <c r="B380" s="465" t="s">
        <v>4142</v>
      </c>
      <c r="C380" s="466">
        <v>3</v>
      </c>
      <c r="D380" s="465"/>
      <c r="E380" s="466" t="s">
        <v>4140</v>
      </c>
      <c r="F380" s="466"/>
      <c r="G380" s="465"/>
      <c r="H380" s="465">
        <v>1</v>
      </c>
    </row>
    <row r="381" spans="1:8" ht="13.8" thickBot="1">
      <c r="A381" s="465" t="s">
        <v>5694</v>
      </c>
      <c r="B381" s="465" t="s">
        <v>4199</v>
      </c>
      <c r="C381" s="466">
        <v>3</v>
      </c>
      <c r="D381" s="465"/>
      <c r="E381" s="466" t="s">
        <v>4160</v>
      </c>
      <c r="F381" s="466"/>
      <c r="G381" s="465"/>
      <c r="H381" s="465">
        <v>1</v>
      </c>
    </row>
    <row r="382" spans="1:8" ht="13.8" thickBot="1">
      <c r="A382" s="465" t="s">
        <v>5695</v>
      </c>
      <c r="B382" s="465" t="s">
        <v>1614</v>
      </c>
      <c r="C382" s="466">
        <v>3</v>
      </c>
      <c r="D382" s="467" t="s">
        <v>4328</v>
      </c>
      <c r="E382" s="466" t="s">
        <v>4214</v>
      </c>
      <c r="F382" s="466" t="s">
        <v>1226</v>
      </c>
      <c r="G382" s="465"/>
      <c r="H382" s="465">
        <v>2</v>
      </c>
    </row>
    <row r="383" spans="1:8" ht="13.8" thickBot="1">
      <c r="A383" s="467" t="s">
        <v>5696</v>
      </c>
      <c r="B383" s="465" t="s">
        <v>1615</v>
      </c>
      <c r="C383" s="466">
        <v>3</v>
      </c>
      <c r="D383" s="465"/>
      <c r="E383" s="466" t="s">
        <v>4214</v>
      </c>
      <c r="F383" s="466" t="s">
        <v>1226</v>
      </c>
      <c r="G383" s="465"/>
      <c r="H383" s="465">
        <v>5</v>
      </c>
    </row>
    <row r="384" spans="1:8" ht="13.8" thickBot="1">
      <c r="A384" s="465" t="s">
        <v>5697</v>
      </c>
      <c r="B384" s="465" t="s">
        <v>1607</v>
      </c>
      <c r="C384" s="466">
        <v>3</v>
      </c>
      <c r="D384" s="465"/>
      <c r="E384" s="466" t="s">
        <v>4214</v>
      </c>
      <c r="F384" s="466" t="s">
        <v>1224</v>
      </c>
      <c r="G384" s="465"/>
      <c r="H384" s="465">
        <v>1</v>
      </c>
    </row>
    <row r="385" spans="1:8" ht="13.8" thickBot="1">
      <c r="A385" s="465" t="s">
        <v>5698</v>
      </c>
      <c r="B385" s="465" t="s">
        <v>4329</v>
      </c>
      <c r="C385" s="466">
        <v>3</v>
      </c>
      <c r="D385" s="465"/>
      <c r="E385" s="466" t="s">
        <v>4214</v>
      </c>
      <c r="F385" s="466" t="s">
        <v>1224</v>
      </c>
      <c r="G385" s="465"/>
      <c r="H385" s="465">
        <v>1</v>
      </c>
    </row>
    <row r="386" spans="1:8" ht="13.8" thickBot="1">
      <c r="A386" s="465" t="s">
        <v>5699</v>
      </c>
      <c r="B386" s="465" t="s">
        <v>1607</v>
      </c>
      <c r="C386" s="466">
        <v>3</v>
      </c>
      <c r="D386" s="465"/>
      <c r="E386" s="466" t="s">
        <v>4214</v>
      </c>
      <c r="F386" s="466"/>
      <c r="G386" s="465"/>
      <c r="H386" s="465">
        <v>6</v>
      </c>
    </row>
    <row r="387" spans="1:8" ht="13.8" thickBot="1">
      <c r="A387" s="465" t="s">
        <v>5700</v>
      </c>
      <c r="B387" s="465" t="s">
        <v>1607</v>
      </c>
      <c r="C387" s="466">
        <v>3</v>
      </c>
      <c r="D387" s="465"/>
      <c r="E387" s="466" t="s">
        <v>4214</v>
      </c>
      <c r="F387" s="466"/>
      <c r="G387" s="465"/>
      <c r="H387" s="465">
        <v>1</v>
      </c>
    </row>
    <row r="388" spans="1:8" ht="13.8" thickBot="1">
      <c r="A388" s="465" t="s">
        <v>5701</v>
      </c>
      <c r="B388" s="465" t="s">
        <v>1607</v>
      </c>
      <c r="C388" s="466">
        <v>3</v>
      </c>
      <c r="D388" s="465"/>
      <c r="E388" s="466" t="s">
        <v>4214</v>
      </c>
      <c r="F388" s="466"/>
      <c r="G388" s="465"/>
      <c r="H388" s="465">
        <v>5</v>
      </c>
    </row>
    <row r="389" spans="1:8" ht="13.8" thickBot="1">
      <c r="A389" s="465" t="s">
        <v>5702</v>
      </c>
      <c r="B389" s="465" t="s">
        <v>1607</v>
      </c>
      <c r="C389" s="466">
        <v>3</v>
      </c>
      <c r="D389" s="465"/>
      <c r="E389" s="466" t="s">
        <v>4214</v>
      </c>
      <c r="F389" s="466"/>
      <c r="G389" s="465"/>
      <c r="H389" s="465">
        <v>2</v>
      </c>
    </row>
    <row r="390" spans="1:8" ht="13.8" thickBot="1">
      <c r="A390" s="465" t="s">
        <v>5703</v>
      </c>
      <c r="B390" s="465" t="s">
        <v>4330</v>
      </c>
      <c r="C390" s="466">
        <v>3</v>
      </c>
      <c r="D390" s="465"/>
      <c r="E390" s="466" t="s">
        <v>4214</v>
      </c>
      <c r="F390" s="466"/>
      <c r="G390" s="465"/>
      <c r="H390" s="465">
        <v>2</v>
      </c>
    </row>
    <row r="391" spans="1:8" ht="13.8" thickBot="1">
      <c r="A391" s="465" t="s">
        <v>5704</v>
      </c>
      <c r="B391" s="465" t="s">
        <v>4331</v>
      </c>
      <c r="C391" s="466">
        <v>3</v>
      </c>
      <c r="D391" s="465"/>
      <c r="E391" s="466" t="s">
        <v>4214</v>
      </c>
      <c r="F391" s="466"/>
      <c r="G391" s="465"/>
      <c r="H391" s="465">
        <v>2</v>
      </c>
    </row>
    <row r="392" spans="1:8" ht="13.8" thickBot="1">
      <c r="A392" s="465" t="s">
        <v>5705</v>
      </c>
      <c r="B392" s="465" t="s">
        <v>1627</v>
      </c>
      <c r="C392" s="466">
        <v>3</v>
      </c>
      <c r="D392" s="465"/>
      <c r="E392" s="466" t="s">
        <v>4214</v>
      </c>
      <c r="F392" s="466"/>
      <c r="G392" s="465"/>
      <c r="H392" s="465">
        <v>3</v>
      </c>
    </row>
    <row r="393" spans="1:8" ht="13.8" thickBot="1">
      <c r="A393" s="465" t="s">
        <v>5706</v>
      </c>
      <c r="B393" s="465" t="s">
        <v>4332</v>
      </c>
      <c r="C393" s="466">
        <v>3</v>
      </c>
      <c r="D393" s="465"/>
      <c r="E393" s="466" t="s">
        <v>4214</v>
      </c>
      <c r="F393" s="466"/>
      <c r="G393" s="465"/>
      <c r="H393" s="465">
        <v>1</v>
      </c>
    </row>
    <row r="394" spans="1:8" ht="13.8" thickBot="1">
      <c r="A394" s="465" t="s">
        <v>5707</v>
      </c>
      <c r="B394" s="465" t="s">
        <v>4333</v>
      </c>
      <c r="C394" s="466">
        <v>3</v>
      </c>
      <c r="D394" s="465"/>
      <c r="E394" s="466" t="s">
        <v>4214</v>
      </c>
      <c r="F394" s="466"/>
      <c r="G394" s="465"/>
      <c r="H394" s="465">
        <v>3</v>
      </c>
    </row>
    <row r="395" spans="1:8" ht="13.8" thickBot="1">
      <c r="A395" s="465" t="s">
        <v>5708</v>
      </c>
      <c r="B395" s="465" t="s">
        <v>1617</v>
      </c>
      <c r="C395" s="466">
        <v>3</v>
      </c>
      <c r="D395" s="465"/>
      <c r="E395" s="466" t="s">
        <v>4214</v>
      </c>
      <c r="F395" s="466"/>
      <c r="G395" s="465"/>
      <c r="H395" s="465">
        <v>8</v>
      </c>
    </row>
    <row r="396" spans="1:8" ht="13.8" thickBot="1">
      <c r="A396" s="467" t="s">
        <v>5709</v>
      </c>
      <c r="B396" s="465" t="s">
        <v>1617</v>
      </c>
      <c r="C396" s="466">
        <v>3</v>
      </c>
      <c r="D396" s="465"/>
      <c r="E396" s="466" t="s">
        <v>4214</v>
      </c>
      <c r="F396" s="466"/>
      <c r="G396" s="465"/>
      <c r="H396" s="465">
        <v>7</v>
      </c>
    </row>
    <row r="397" spans="1:8" ht="13.8" thickBot="1">
      <c r="A397" s="465" t="s">
        <v>5710</v>
      </c>
      <c r="B397" s="465" t="s">
        <v>4334</v>
      </c>
      <c r="C397" s="466">
        <v>3</v>
      </c>
      <c r="D397" s="467" t="s">
        <v>614</v>
      </c>
      <c r="E397" s="466" t="s">
        <v>4214</v>
      </c>
      <c r="F397" s="466"/>
      <c r="G397" s="465"/>
      <c r="H397" s="465">
        <v>1</v>
      </c>
    </row>
    <row r="398" spans="1:8" ht="13.8" thickBot="1">
      <c r="A398" s="467" t="s">
        <v>5501</v>
      </c>
      <c r="B398" s="465" t="s">
        <v>2122</v>
      </c>
      <c r="C398" s="466">
        <v>3</v>
      </c>
      <c r="D398" s="465"/>
      <c r="E398" s="466" t="s">
        <v>2123</v>
      </c>
      <c r="F398" s="466"/>
      <c r="G398" s="465"/>
      <c r="H398" s="465">
        <v>2</v>
      </c>
    </row>
    <row r="399" spans="1:8" ht="13.8" thickBot="1">
      <c r="A399" s="467" t="s">
        <v>5502</v>
      </c>
      <c r="B399" s="465" t="s">
        <v>2147</v>
      </c>
      <c r="C399" s="466">
        <v>3</v>
      </c>
      <c r="D399" s="465"/>
      <c r="E399" s="466" t="s">
        <v>2123</v>
      </c>
      <c r="F399" s="466"/>
      <c r="G399" s="465"/>
      <c r="H399" s="465">
        <v>3</v>
      </c>
    </row>
    <row r="400" spans="1:8" ht="13.8" thickBot="1">
      <c r="A400" s="467" t="s">
        <v>5711</v>
      </c>
      <c r="B400" s="465" t="s">
        <v>4345</v>
      </c>
      <c r="C400" s="466">
        <v>3</v>
      </c>
      <c r="D400" s="465"/>
      <c r="E400" s="466" t="s">
        <v>4339</v>
      </c>
      <c r="F400" s="466"/>
      <c r="G400" s="465"/>
      <c r="H400" s="465">
        <v>1</v>
      </c>
    </row>
    <row r="401" spans="1:8" ht="13.8" thickBot="1">
      <c r="A401" s="465" t="s">
        <v>5712</v>
      </c>
      <c r="B401" s="465" t="s">
        <v>1654</v>
      </c>
      <c r="C401" s="466">
        <v>3</v>
      </c>
      <c r="D401" s="465"/>
      <c r="E401" s="466" t="s">
        <v>4354</v>
      </c>
      <c r="F401" s="466" t="s">
        <v>1910</v>
      </c>
      <c r="G401" s="465"/>
      <c r="H401" s="465">
        <v>5</v>
      </c>
    </row>
    <row r="402" spans="1:8" ht="13.8" thickBot="1">
      <c r="A402" s="465" t="s">
        <v>5713</v>
      </c>
      <c r="B402" s="465" t="s">
        <v>1654</v>
      </c>
      <c r="C402" s="466">
        <v>3</v>
      </c>
      <c r="D402" s="465"/>
      <c r="E402" s="466" t="s">
        <v>4354</v>
      </c>
      <c r="F402" s="466"/>
      <c r="G402" s="465"/>
      <c r="H402" s="465">
        <v>1</v>
      </c>
    </row>
    <row r="403" spans="1:8" ht="13.8" thickBot="1">
      <c r="A403" s="467" t="s">
        <v>5714</v>
      </c>
      <c r="B403" s="465" t="s">
        <v>4387</v>
      </c>
      <c r="C403" s="466">
        <v>3</v>
      </c>
      <c r="D403" s="465"/>
      <c r="E403" s="466" t="s">
        <v>4364</v>
      </c>
      <c r="F403" s="466" t="s">
        <v>1910</v>
      </c>
      <c r="G403" s="465"/>
      <c r="H403" s="465">
        <v>4</v>
      </c>
    </row>
    <row r="404" spans="1:8" ht="13.8" thickBot="1">
      <c r="A404" s="467" t="s">
        <v>5715</v>
      </c>
      <c r="B404" s="465" t="s">
        <v>1656</v>
      </c>
      <c r="C404" s="466">
        <v>3</v>
      </c>
      <c r="D404" s="465"/>
      <c r="E404" s="466" t="s">
        <v>4364</v>
      </c>
      <c r="F404" s="466"/>
      <c r="G404" s="465"/>
      <c r="H404" s="465">
        <v>2</v>
      </c>
    </row>
    <row r="405" spans="1:8" ht="13.8" thickBot="1">
      <c r="A405" s="467" t="s">
        <v>5716</v>
      </c>
      <c r="B405" s="465" t="s">
        <v>4389</v>
      </c>
      <c r="C405" s="466">
        <v>3</v>
      </c>
      <c r="D405" s="465"/>
      <c r="E405" s="466" t="s">
        <v>4364</v>
      </c>
      <c r="F405" s="466"/>
      <c r="G405" s="465"/>
      <c r="H405" s="465">
        <v>2</v>
      </c>
    </row>
    <row r="406" spans="1:8" ht="13.8" thickBot="1">
      <c r="A406" s="465" t="s">
        <v>5717</v>
      </c>
      <c r="B406" s="465" t="s">
        <v>1639</v>
      </c>
      <c r="C406" s="466">
        <v>3</v>
      </c>
      <c r="D406" s="465"/>
      <c r="E406" s="466" t="s">
        <v>4391</v>
      </c>
      <c r="F406" s="466"/>
      <c r="G406" s="465"/>
      <c r="H406" s="465">
        <v>2</v>
      </c>
    </row>
    <row r="407" spans="1:8" ht="13.8" thickBot="1">
      <c r="A407" s="465" t="s">
        <v>5718</v>
      </c>
      <c r="B407" s="465" t="s">
        <v>4396</v>
      </c>
      <c r="C407" s="466">
        <v>3</v>
      </c>
      <c r="D407" s="465"/>
      <c r="E407" s="466" t="s">
        <v>4395</v>
      </c>
      <c r="F407" s="466"/>
      <c r="G407" s="465"/>
      <c r="H407" s="465">
        <v>1</v>
      </c>
    </row>
    <row r="408" spans="1:8" ht="13.8" thickBot="1">
      <c r="A408" s="465" t="s">
        <v>5719</v>
      </c>
      <c r="B408" s="465" t="s">
        <v>1707</v>
      </c>
      <c r="C408" s="466">
        <v>3</v>
      </c>
      <c r="D408" s="465"/>
      <c r="E408" s="466" t="s">
        <v>4395</v>
      </c>
      <c r="F408" s="466"/>
      <c r="G408" s="465"/>
      <c r="H408" s="465">
        <v>3</v>
      </c>
    </row>
    <row r="409" spans="1:8" ht="13.8" thickBot="1">
      <c r="A409" s="465" t="s">
        <v>5720</v>
      </c>
      <c r="B409" s="465" t="s">
        <v>4424</v>
      </c>
      <c r="C409" s="466">
        <v>3</v>
      </c>
      <c r="D409" s="465"/>
      <c r="E409" s="466" t="s">
        <v>4403</v>
      </c>
      <c r="F409" s="466"/>
      <c r="G409" s="465"/>
      <c r="H409" s="465">
        <v>1</v>
      </c>
    </row>
    <row r="410" spans="1:8" ht="13.8" thickBot="1">
      <c r="A410" s="465" t="s">
        <v>5721</v>
      </c>
      <c r="B410" s="465" t="s">
        <v>4426</v>
      </c>
      <c r="C410" s="466">
        <v>3</v>
      </c>
      <c r="D410" s="467" t="s">
        <v>614</v>
      </c>
      <c r="E410" s="466" t="s">
        <v>4425</v>
      </c>
      <c r="F410" s="466"/>
      <c r="G410" s="465"/>
      <c r="H410" s="465">
        <v>2</v>
      </c>
    </row>
    <row r="411" spans="1:8" ht="13.8" thickBot="1">
      <c r="A411" s="465" t="s">
        <v>5722</v>
      </c>
      <c r="B411" s="465" t="s">
        <v>4431</v>
      </c>
      <c r="C411" s="466">
        <v>3</v>
      </c>
      <c r="D411" s="465"/>
      <c r="E411" s="466" t="s">
        <v>4428</v>
      </c>
      <c r="F411" s="466"/>
      <c r="G411" s="465"/>
      <c r="H411" s="465">
        <v>2</v>
      </c>
    </row>
    <row r="412" spans="1:8" ht="13.8" thickBot="1">
      <c r="A412" s="465" t="s">
        <v>5723</v>
      </c>
      <c r="B412" s="465" t="s">
        <v>4436</v>
      </c>
      <c r="C412" s="466">
        <v>3</v>
      </c>
      <c r="D412" s="465"/>
      <c r="E412" s="466" t="s">
        <v>4433</v>
      </c>
      <c r="F412" s="466"/>
      <c r="G412" s="465"/>
      <c r="H412" s="465">
        <v>4</v>
      </c>
    </row>
    <row r="413" spans="1:8" ht="13.8" thickBot="1">
      <c r="A413" s="465" t="s">
        <v>5724</v>
      </c>
      <c r="B413" s="465" t="s">
        <v>1638</v>
      </c>
      <c r="C413" s="466">
        <v>3</v>
      </c>
      <c r="D413" s="465"/>
      <c r="E413" s="466" t="s">
        <v>4438</v>
      </c>
      <c r="F413" s="466"/>
      <c r="G413" s="465"/>
      <c r="H413" s="465">
        <v>1</v>
      </c>
    </row>
    <row r="414" spans="1:8" ht="13.8" thickBot="1">
      <c r="A414" s="465" t="s">
        <v>5725</v>
      </c>
      <c r="B414" s="465" t="s">
        <v>4488</v>
      </c>
      <c r="C414" s="466">
        <v>3</v>
      </c>
      <c r="D414" s="465"/>
      <c r="E414" s="466" t="s">
        <v>4438</v>
      </c>
      <c r="F414" s="466"/>
      <c r="G414" s="465"/>
      <c r="H414" s="465">
        <v>3</v>
      </c>
    </row>
    <row r="415" spans="1:8" ht="13.8" thickBot="1">
      <c r="A415" s="467" t="s">
        <v>5726</v>
      </c>
      <c r="B415" s="465" t="s">
        <v>4492</v>
      </c>
      <c r="C415" s="466">
        <v>3</v>
      </c>
      <c r="D415" s="465"/>
      <c r="E415" s="466" t="s">
        <v>4491</v>
      </c>
      <c r="F415" s="466"/>
      <c r="G415" s="465"/>
      <c r="H415" s="465">
        <v>1</v>
      </c>
    </row>
    <row r="416" spans="1:8" ht="13.8" thickBot="1">
      <c r="A416" s="465" t="s">
        <v>5727</v>
      </c>
      <c r="B416" s="465" t="s">
        <v>4507</v>
      </c>
      <c r="C416" s="466">
        <v>3</v>
      </c>
      <c r="D416" s="465"/>
      <c r="E416" s="466" t="s">
        <v>4491</v>
      </c>
      <c r="F416" s="466"/>
      <c r="G416" s="465"/>
      <c r="H416" s="465">
        <v>1</v>
      </c>
    </row>
    <row r="417" spans="1:8" ht="13.8" thickBot="1">
      <c r="A417" s="465" t="s">
        <v>5728</v>
      </c>
      <c r="B417" s="465" t="s">
        <v>1647</v>
      </c>
      <c r="C417" s="466">
        <v>3</v>
      </c>
      <c r="D417" s="465"/>
      <c r="E417" s="466" t="s">
        <v>4509</v>
      </c>
      <c r="F417" s="466"/>
      <c r="G417" s="465"/>
      <c r="H417" s="465">
        <v>6</v>
      </c>
    </row>
    <row r="418" spans="1:8" ht="13.8" thickBot="1">
      <c r="A418" s="467" t="s">
        <v>5729</v>
      </c>
      <c r="B418" s="465" t="s">
        <v>1647</v>
      </c>
      <c r="C418" s="466">
        <v>3</v>
      </c>
      <c r="D418" s="465"/>
      <c r="E418" s="466" t="s">
        <v>4509</v>
      </c>
      <c r="F418" s="466"/>
      <c r="G418" s="465">
        <v>1</v>
      </c>
      <c r="H418" s="465">
        <v>9</v>
      </c>
    </row>
    <row r="419" spans="1:8" ht="13.8" thickBot="1">
      <c r="A419" s="465" t="s">
        <v>5730</v>
      </c>
      <c r="B419" s="465" t="s">
        <v>1647</v>
      </c>
      <c r="C419" s="466">
        <v>3</v>
      </c>
      <c r="D419" s="465"/>
      <c r="E419" s="466" t="s">
        <v>4509</v>
      </c>
      <c r="F419" s="466"/>
      <c r="G419" s="465">
        <v>2</v>
      </c>
      <c r="H419" s="465">
        <v>10</v>
      </c>
    </row>
    <row r="420" spans="1:8" ht="13.8" thickBot="1">
      <c r="A420" s="465" t="s">
        <v>5731</v>
      </c>
      <c r="B420" s="465" t="s">
        <v>4532</v>
      </c>
      <c r="C420" s="466">
        <v>3</v>
      </c>
      <c r="D420" s="465"/>
      <c r="E420" s="466" t="s">
        <v>4509</v>
      </c>
      <c r="F420" s="466"/>
      <c r="G420" s="465"/>
      <c r="H420" s="465">
        <v>2</v>
      </c>
    </row>
    <row r="421" spans="1:8" ht="13.8" thickBot="1">
      <c r="A421" s="465" t="s">
        <v>5732</v>
      </c>
      <c r="B421" s="465" t="s">
        <v>1662</v>
      </c>
      <c r="C421" s="466">
        <v>3</v>
      </c>
      <c r="D421" s="465"/>
      <c r="E421" s="466" t="s">
        <v>4536</v>
      </c>
      <c r="F421" s="466" t="s">
        <v>1865</v>
      </c>
      <c r="G421" s="465"/>
      <c r="H421" s="465">
        <v>5</v>
      </c>
    </row>
    <row r="422" spans="1:8" ht="13.8" thickBot="1">
      <c r="A422" s="465" t="s">
        <v>5733</v>
      </c>
      <c r="B422" s="465" t="s">
        <v>1663</v>
      </c>
      <c r="C422" s="466">
        <v>3</v>
      </c>
      <c r="D422" s="465"/>
      <c r="E422" s="466" t="s">
        <v>4536</v>
      </c>
      <c r="F422" s="466"/>
      <c r="G422" s="465"/>
      <c r="H422" s="465">
        <v>7</v>
      </c>
    </row>
    <row r="423" spans="1:8" ht="13.8" thickBot="1">
      <c r="A423" s="465" t="s">
        <v>5734</v>
      </c>
      <c r="B423" s="465" t="s">
        <v>4580</v>
      </c>
      <c r="C423" s="466">
        <v>3</v>
      </c>
      <c r="D423" s="465"/>
      <c r="E423" s="466" t="s">
        <v>4557</v>
      </c>
      <c r="F423" s="466" t="s">
        <v>1224</v>
      </c>
      <c r="G423" s="465"/>
      <c r="H423" s="465">
        <v>7</v>
      </c>
    </row>
    <row r="424" spans="1:8" ht="13.8" thickBot="1">
      <c r="A424" s="465" t="s">
        <v>5735</v>
      </c>
      <c r="B424" s="465" t="s">
        <v>4581</v>
      </c>
      <c r="C424" s="466">
        <v>3</v>
      </c>
      <c r="D424" s="465"/>
      <c r="E424" s="466" t="s">
        <v>4557</v>
      </c>
      <c r="F424" s="466" t="s">
        <v>1220</v>
      </c>
      <c r="G424" s="465"/>
      <c r="H424" s="465">
        <v>2</v>
      </c>
    </row>
    <row r="425" spans="1:8" ht="13.8" thickBot="1">
      <c r="A425" s="465" t="s">
        <v>5736</v>
      </c>
      <c r="B425" s="465" t="s">
        <v>4563</v>
      </c>
      <c r="C425" s="466">
        <v>3</v>
      </c>
      <c r="D425" s="465"/>
      <c r="E425" s="466" t="s">
        <v>4557</v>
      </c>
      <c r="F425" s="466"/>
      <c r="G425" s="465"/>
      <c r="H425" s="465">
        <v>2</v>
      </c>
    </row>
    <row r="426" spans="1:8" ht="13.8" thickBot="1">
      <c r="A426" s="465" t="s">
        <v>5737</v>
      </c>
      <c r="B426" s="465" t="s">
        <v>4563</v>
      </c>
      <c r="C426" s="466">
        <v>3</v>
      </c>
      <c r="D426" s="465"/>
      <c r="E426" s="466" t="s">
        <v>4557</v>
      </c>
      <c r="F426" s="466"/>
      <c r="G426" s="465"/>
      <c r="H426" s="465">
        <v>1</v>
      </c>
    </row>
    <row r="427" spans="1:8" ht="13.8" thickBot="1">
      <c r="A427" s="465" t="s">
        <v>5738</v>
      </c>
      <c r="B427" s="465" t="s">
        <v>4578</v>
      </c>
      <c r="C427" s="466">
        <v>3</v>
      </c>
      <c r="D427" s="465"/>
      <c r="E427" s="466" t="s">
        <v>4557</v>
      </c>
      <c r="F427" s="466"/>
      <c r="G427" s="465"/>
      <c r="H427" s="465"/>
    </row>
    <row r="428" spans="1:8" ht="13.8" thickBot="1">
      <c r="A428" s="465" t="s">
        <v>5739</v>
      </c>
      <c r="B428" s="465" t="s">
        <v>4578</v>
      </c>
      <c r="C428" s="466">
        <v>3</v>
      </c>
      <c r="D428" s="465"/>
      <c r="E428" s="466" t="s">
        <v>4557</v>
      </c>
      <c r="F428" s="466"/>
      <c r="G428" s="465"/>
      <c r="H428" s="465"/>
    </row>
    <row r="429" spans="1:8" ht="13.8" thickBot="1">
      <c r="A429" s="465" t="s">
        <v>5740</v>
      </c>
      <c r="B429" s="465" t="s">
        <v>4582</v>
      </c>
      <c r="C429" s="466">
        <v>3</v>
      </c>
      <c r="D429" s="465"/>
      <c r="E429" s="466" t="s">
        <v>4557</v>
      </c>
      <c r="F429" s="466"/>
      <c r="G429" s="465"/>
      <c r="H429" s="465">
        <v>1</v>
      </c>
    </row>
    <row r="430" spans="1:8" ht="13.8" thickBot="1">
      <c r="A430" s="465" t="s">
        <v>5741</v>
      </c>
      <c r="B430" s="465" t="s">
        <v>4583</v>
      </c>
      <c r="C430" s="466">
        <v>3</v>
      </c>
      <c r="D430" s="465"/>
      <c r="E430" s="466" t="s">
        <v>4557</v>
      </c>
      <c r="F430" s="466"/>
      <c r="G430" s="465"/>
      <c r="H430" s="465"/>
    </row>
    <row r="431" spans="1:8" ht="13.8" thickBot="1">
      <c r="A431" s="465" t="s">
        <v>5742</v>
      </c>
      <c r="B431" s="465" t="s">
        <v>4584</v>
      </c>
      <c r="C431" s="466">
        <v>3</v>
      </c>
      <c r="D431" s="465"/>
      <c r="E431" s="466" t="s">
        <v>4557</v>
      </c>
      <c r="F431" s="466"/>
      <c r="G431" s="465"/>
      <c r="H431" s="465">
        <v>5</v>
      </c>
    </row>
    <row r="432" spans="1:8" ht="13.8" thickBot="1">
      <c r="A432" s="465" t="s">
        <v>5743</v>
      </c>
      <c r="B432" s="465" t="s">
        <v>4580</v>
      </c>
      <c r="C432" s="466">
        <v>3</v>
      </c>
      <c r="D432" s="465"/>
      <c r="E432" s="466" t="s">
        <v>4557</v>
      </c>
      <c r="F432" s="466"/>
      <c r="G432" s="465"/>
      <c r="H432" s="465">
        <v>6</v>
      </c>
    </row>
    <row r="433" spans="1:8" ht="13.8" thickBot="1">
      <c r="A433" s="465" t="s">
        <v>5744</v>
      </c>
      <c r="B433" s="465" t="s">
        <v>4585</v>
      </c>
      <c r="C433" s="466">
        <v>3</v>
      </c>
      <c r="D433" s="465"/>
      <c r="E433" s="466" t="s">
        <v>4557</v>
      </c>
      <c r="F433" s="466"/>
      <c r="G433" s="465"/>
      <c r="H433" s="465">
        <v>2</v>
      </c>
    </row>
    <row r="434" spans="1:8" ht="13.8" thickBot="1">
      <c r="A434" s="467" t="s">
        <v>5745</v>
      </c>
      <c r="B434" s="465" t="s">
        <v>1673</v>
      </c>
      <c r="C434" s="466">
        <v>3</v>
      </c>
      <c r="D434" s="465"/>
      <c r="E434" s="466" t="s">
        <v>4589</v>
      </c>
      <c r="F434" s="466" t="s">
        <v>1220</v>
      </c>
      <c r="G434" s="465">
        <v>1</v>
      </c>
      <c r="H434" s="465">
        <v>8</v>
      </c>
    </row>
    <row r="435" spans="1:8" ht="13.8" thickBot="1">
      <c r="A435" s="465" t="s">
        <v>5746</v>
      </c>
      <c r="B435" s="465" t="s">
        <v>4597</v>
      </c>
      <c r="C435" s="466">
        <v>3</v>
      </c>
      <c r="D435" s="467" t="s">
        <v>614</v>
      </c>
      <c r="E435" s="466" t="s">
        <v>4596</v>
      </c>
      <c r="F435" s="466" t="s">
        <v>1224</v>
      </c>
      <c r="G435" s="465">
        <v>1</v>
      </c>
      <c r="H435" s="465">
        <v>9</v>
      </c>
    </row>
    <row r="436" spans="1:8" ht="13.8" thickBot="1">
      <c r="A436" s="465" t="s">
        <v>5747</v>
      </c>
      <c r="B436" s="465" t="s">
        <v>4624</v>
      </c>
      <c r="C436" s="466">
        <v>3</v>
      </c>
      <c r="D436" s="467" t="s">
        <v>614</v>
      </c>
      <c r="E436" s="466" t="s">
        <v>4596</v>
      </c>
      <c r="F436" s="466" t="s">
        <v>1224</v>
      </c>
      <c r="G436" s="465"/>
      <c r="H436" s="465">
        <v>5</v>
      </c>
    </row>
    <row r="437" spans="1:8" ht="13.8" thickBot="1">
      <c r="A437" s="465" t="s">
        <v>413</v>
      </c>
      <c r="B437" s="465" t="s">
        <v>4620</v>
      </c>
      <c r="C437" s="466">
        <v>3</v>
      </c>
      <c r="D437" s="465"/>
      <c r="E437" s="466" t="s">
        <v>4596</v>
      </c>
      <c r="F437" s="466"/>
      <c r="G437" s="465"/>
      <c r="H437" s="465">
        <v>2</v>
      </c>
    </row>
    <row r="438" spans="1:8" ht="13.8" thickBot="1">
      <c r="A438" s="465" t="s">
        <v>5748</v>
      </c>
      <c r="B438" s="465" t="s">
        <v>4624</v>
      </c>
      <c r="C438" s="466">
        <v>3</v>
      </c>
      <c r="D438" s="465"/>
      <c r="E438" s="466" t="s">
        <v>4596</v>
      </c>
      <c r="F438" s="466"/>
      <c r="G438" s="465"/>
      <c r="H438" s="465">
        <v>3</v>
      </c>
    </row>
    <row r="439" spans="1:8" ht="13.8" thickBot="1">
      <c r="A439" s="465" t="s">
        <v>5749</v>
      </c>
      <c r="B439" s="465" t="s">
        <v>4626</v>
      </c>
      <c r="C439" s="466">
        <v>3</v>
      </c>
      <c r="D439" s="465"/>
      <c r="E439" s="466" t="s">
        <v>4596</v>
      </c>
      <c r="F439" s="466"/>
      <c r="G439" s="465"/>
      <c r="H439" s="465">
        <v>3</v>
      </c>
    </row>
    <row r="440" spans="1:8" ht="13.8" thickBot="1">
      <c r="A440" s="465" t="s">
        <v>778</v>
      </c>
      <c r="B440" s="465" t="s">
        <v>2212</v>
      </c>
      <c r="C440" s="466">
        <v>3</v>
      </c>
      <c r="D440" s="467" t="s">
        <v>614</v>
      </c>
      <c r="E440" s="466" t="s">
        <v>2152</v>
      </c>
      <c r="F440" s="466" t="s">
        <v>1220</v>
      </c>
      <c r="G440" s="465"/>
      <c r="H440" s="465">
        <v>3</v>
      </c>
    </row>
    <row r="441" spans="1:8" ht="13.8" thickBot="1">
      <c r="A441" s="467" t="s">
        <v>5503</v>
      </c>
      <c r="B441" s="465" t="s">
        <v>2213</v>
      </c>
      <c r="C441" s="466">
        <v>3</v>
      </c>
      <c r="D441" s="465"/>
      <c r="E441" s="466" t="s">
        <v>2152</v>
      </c>
      <c r="F441" s="466" t="s">
        <v>1220</v>
      </c>
      <c r="G441" s="465"/>
      <c r="H441" s="465">
        <v>3</v>
      </c>
    </row>
    <row r="442" spans="1:8" ht="13.8" thickBot="1">
      <c r="A442" s="467" t="s">
        <v>5504</v>
      </c>
      <c r="B442" s="468" t="s">
        <v>1270</v>
      </c>
      <c r="C442" s="466">
        <v>3</v>
      </c>
      <c r="D442" s="465"/>
      <c r="E442" s="466" t="s">
        <v>2152</v>
      </c>
      <c r="F442" s="466"/>
      <c r="G442" s="465"/>
      <c r="H442" s="465">
        <v>3</v>
      </c>
    </row>
    <row r="443" spans="1:8" ht="13.8" thickBot="1">
      <c r="A443" s="467" t="s">
        <v>5505</v>
      </c>
      <c r="B443" s="465" t="s">
        <v>1270</v>
      </c>
      <c r="C443" s="466">
        <v>3</v>
      </c>
      <c r="D443" s="465"/>
      <c r="E443" s="466" t="s">
        <v>2152</v>
      </c>
      <c r="F443" s="466"/>
      <c r="G443" s="465"/>
      <c r="H443" s="465">
        <v>2</v>
      </c>
    </row>
    <row r="444" spans="1:8" ht="13.8" thickBot="1">
      <c r="A444" s="465" t="s">
        <v>725</v>
      </c>
      <c r="B444" s="465" t="s">
        <v>1270</v>
      </c>
      <c r="C444" s="466">
        <v>3</v>
      </c>
      <c r="D444" s="465"/>
      <c r="E444" s="466" t="s">
        <v>2152</v>
      </c>
      <c r="F444" s="466"/>
      <c r="G444" s="465"/>
      <c r="H444" s="465">
        <v>4</v>
      </c>
    </row>
    <row r="445" spans="1:8" ht="13.8" thickBot="1">
      <c r="A445" s="465" t="s">
        <v>5506</v>
      </c>
      <c r="B445" s="465" t="s">
        <v>2213</v>
      </c>
      <c r="C445" s="466">
        <v>3</v>
      </c>
      <c r="D445" s="465"/>
      <c r="E445" s="466" t="s">
        <v>2152</v>
      </c>
      <c r="F445" s="466"/>
      <c r="G445" s="465"/>
      <c r="H445" s="465">
        <v>1</v>
      </c>
    </row>
    <row r="446" spans="1:8" ht="13.8" thickBot="1">
      <c r="A446" s="465" t="s">
        <v>5750</v>
      </c>
      <c r="B446" s="465" t="s">
        <v>1678</v>
      </c>
      <c r="C446" s="466">
        <v>3</v>
      </c>
      <c r="D446" s="465"/>
      <c r="E446" s="466" t="s">
        <v>4644</v>
      </c>
      <c r="F446" s="466"/>
      <c r="G446" s="465"/>
      <c r="H446" s="465">
        <v>3</v>
      </c>
    </row>
    <row r="447" spans="1:8" ht="13.8" thickBot="1">
      <c r="A447" s="465" t="s">
        <v>5751</v>
      </c>
      <c r="B447" s="465" t="s">
        <v>1678</v>
      </c>
      <c r="C447" s="466">
        <v>3</v>
      </c>
      <c r="D447" s="465"/>
      <c r="E447" s="466" t="s">
        <v>4644</v>
      </c>
      <c r="F447" s="466"/>
      <c r="G447" s="465"/>
      <c r="H447" s="465">
        <v>3</v>
      </c>
    </row>
    <row r="448" spans="1:8" ht="13.8" thickBot="1">
      <c r="A448" s="467" t="s">
        <v>5752</v>
      </c>
      <c r="B448" s="465" t="s">
        <v>1678</v>
      </c>
      <c r="C448" s="466">
        <v>3</v>
      </c>
      <c r="D448" s="465"/>
      <c r="E448" s="466" t="s">
        <v>4644</v>
      </c>
      <c r="F448" s="466"/>
      <c r="G448" s="465"/>
      <c r="H448" s="465">
        <v>3</v>
      </c>
    </row>
    <row r="449" spans="1:8" ht="13.8" thickBot="1">
      <c r="A449" s="467" t="s">
        <v>5753</v>
      </c>
      <c r="B449" s="465" t="s">
        <v>1678</v>
      </c>
      <c r="C449" s="466">
        <v>3</v>
      </c>
      <c r="D449" s="467" t="s">
        <v>614</v>
      </c>
      <c r="E449" s="466" t="s">
        <v>4644</v>
      </c>
      <c r="F449" s="466"/>
      <c r="G449" s="465"/>
      <c r="H449" s="465">
        <v>7</v>
      </c>
    </row>
    <row r="450" spans="1:8" ht="13.8" thickBot="1">
      <c r="A450" s="467" t="s">
        <v>5754</v>
      </c>
      <c r="B450" s="465" t="s">
        <v>1679</v>
      </c>
      <c r="C450" s="466">
        <v>3</v>
      </c>
      <c r="D450" s="467" t="s">
        <v>614</v>
      </c>
      <c r="E450" s="466" t="s">
        <v>4644</v>
      </c>
      <c r="F450" s="466"/>
      <c r="G450" s="465"/>
      <c r="H450" s="465">
        <v>6</v>
      </c>
    </row>
    <row r="451" spans="1:8" ht="13.8" thickBot="1">
      <c r="A451" s="467" t="s">
        <v>5755</v>
      </c>
      <c r="B451" s="465" t="s">
        <v>4668</v>
      </c>
      <c r="C451" s="466">
        <v>3</v>
      </c>
      <c r="D451" s="467" t="s">
        <v>614</v>
      </c>
      <c r="E451" s="466" t="s">
        <v>4644</v>
      </c>
      <c r="F451" s="466"/>
      <c r="G451" s="465"/>
      <c r="H451" s="465">
        <v>4</v>
      </c>
    </row>
    <row r="452" spans="1:8" ht="13.8" thickBot="1">
      <c r="A452" s="467" t="s">
        <v>5756</v>
      </c>
      <c r="B452" s="465" t="s">
        <v>1708</v>
      </c>
      <c r="C452" s="466">
        <v>3</v>
      </c>
      <c r="D452" s="465"/>
      <c r="E452" s="466" t="s">
        <v>4672</v>
      </c>
      <c r="F452" s="466" t="s">
        <v>1865</v>
      </c>
      <c r="G452" s="465"/>
      <c r="H452" s="465">
        <v>17</v>
      </c>
    </row>
    <row r="453" spans="1:8" ht="13.8" thickBot="1">
      <c r="A453" s="467" t="s">
        <v>5757</v>
      </c>
      <c r="B453" s="465" t="s">
        <v>1708</v>
      </c>
      <c r="C453" s="466">
        <v>3</v>
      </c>
      <c r="D453" s="465"/>
      <c r="E453" s="466" t="s">
        <v>4672</v>
      </c>
      <c r="F453" s="466"/>
      <c r="G453" s="465"/>
      <c r="H453" s="465">
        <v>1</v>
      </c>
    </row>
    <row r="454" spans="1:8" ht="13.8" thickBot="1">
      <c r="A454" s="467" t="s">
        <v>5758</v>
      </c>
      <c r="B454" s="465" t="s">
        <v>1708</v>
      </c>
      <c r="C454" s="466">
        <v>3</v>
      </c>
      <c r="D454" s="465"/>
      <c r="E454" s="466" t="s">
        <v>4672</v>
      </c>
      <c r="F454" s="466"/>
      <c r="G454" s="465"/>
      <c r="H454" s="465">
        <v>9</v>
      </c>
    </row>
    <row r="455" spans="1:8" ht="13.8" thickBot="1">
      <c r="A455" s="467" t="s">
        <v>5759</v>
      </c>
      <c r="B455" s="465" t="s">
        <v>1708</v>
      </c>
      <c r="C455" s="466">
        <v>3</v>
      </c>
      <c r="D455" s="465"/>
      <c r="E455" s="466" t="s">
        <v>4672</v>
      </c>
      <c r="F455" s="466"/>
      <c r="G455" s="465"/>
      <c r="H455" s="465">
        <v>2</v>
      </c>
    </row>
    <row r="456" spans="1:8" ht="13.8" thickBot="1">
      <c r="A456" s="465" t="s">
        <v>5760</v>
      </c>
      <c r="B456" s="465" t="s">
        <v>1708</v>
      </c>
      <c r="C456" s="466">
        <v>3</v>
      </c>
      <c r="D456" s="465"/>
      <c r="E456" s="466" t="s">
        <v>4672</v>
      </c>
      <c r="F456" s="466"/>
      <c r="G456" s="465"/>
      <c r="H456" s="465">
        <v>3</v>
      </c>
    </row>
    <row r="457" spans="1:8" ht="13.8" thickBot="1">
      <c r="A457" s="467" t="s">
        <v>5761</v>
      </c>
      <c r="B457" s="465" t="s">
        <v>4697</v>
      </c>
      <c r="C457" s="466">
        <v>3</v>
      </c>
      <c r="D457" s="467" t="s">
        <v>614</v>
      </c>
      <c r="E457" s="466" t="s">
        <v>4672</v>
      </c>
      <c r="F457" s="466"/>
      <c r="G457" s="465"/>
      <c r="H457" s="465">
        <v>3</v>
      </c>
    </row>
    <row r="458" spans="1:8" ht="13.8" thickBot="1">
      <c r="A458" s="467" t="s">
        <v>5762</v>
      </c>
      <c r="B458" s="465" t="s">
        <v>4698</v>
      </c>
      <c r="C458" s="466">
        <v>3</v>
      </c>
      <c r="D458" s="465"/>
      <c r="E458" s="466" t="s">
        <v>4672</v>
      </c>
      <c r="F458" s="466"/>
      <c r="G458" s="465"/>
      <c r="H458" s="465">
        <v>2</v>
      </c>
    </row>
    <row r="459" spans="1:8" ht="13.8" thickBot="1">
      <c r="A459" s="467" t="s">
        <v>5763</v>
      </c>
      <c r="B459" s="465" t="s">
        <v>4699</v>
      </c>
      <c r="C459" s="466">
        <v>3</v>
      </c>
      <c r="D459" s="465"/>
      <c r="E459" s="466" t="s">
        <v>4672</v>
      </c>
      <c r="F459" s="466"/>
      <c r="G459" s="465"/>
      <c r="H459" s="465">
        <v>2</v>
      </c>
    </row>
    <row r="460" spans="1:8" ht="13.8" thickBot="1">
      <c r="A460" s="467" t="s">
        <v>5764</v>
      </c>
      <c r="B460" s="465" t="s">
        <v>4700</v>
      </c>
      <c r="C460" s="466">
        <v>3</v>
      </c>
      <c r="D460" s="465"/>
      <c r="E460" s="466" t="s">
        <v>4672</v>
      </c>
      <c r="F460" s="466"/>
      <c r="G460" s="465"/>
      <c r="H460" s="465">
        <v>2</v>
      </c>
    </row>
    <row r="461" spans="1:8" ht="13.8" thickBot="1">
      <c r="A461" s="467" t="s">
        <v>5765</v>
      </c>
      <c r="B461" s="465" t="s">
        <v>4701</v>
      </c>
      <c r="C461" s="466">
        <v>3</v>
      </c>
      <c r="D461" s="465"/>
      <c r="E461" s="466" t="s">
        <v>4702</v>
      </c>
      <c r="F461" s="466"/>
      <c r="G461" s="465"/>
      <c r="H461" s="465">
        <v>2</v>
      </c>
    </row>
    <row r="462" spans="1:8" ht="13.8" thickBot="1">
      <c r="A462" s="467" t="s">
        <v>5766</v>
      </c>
      <c r="B462" s="465" t="s">
        <v>4707</v>
      </c>
      <c r="C462" s="466">
        <v>3</v>
      </c>
      <c r="D462" s="465"/>
      <c r="E462" s="466" t="s">
        <v>4702</v>
      </c>
      <c r="F462" s="466"/>
      <c r="G462" s="465"/>
      <c r="H462" s="465">
        <v>2</v>
      </c>
    </row>
    <row r="463" spans="1:8" ht="13.8" thickBot="1">
      <c r="A463" s="465" t="s">
        <v>931</v>
      </c>
      <c r="B463" s="465" t="s">
        <v>4766</v>
      </c>
      <c r="C463" s="466">
        <v>3</v>
      </c>
      <c r="D463" s="465"/>
      <c r="E463" s="466" t="s">
        <v>4753</v>
      </c>
      <c r="F463" s="466" t="s">
        <v>1865</v>
      </c>
      <c r="G463" s="465"/>
      <c r="H463" s="465">
        <v>1</v>
      </c>
    </row>
    <row r="464" spans="1:8" ht="13.8" thickBot="1">
      <c r="A464" s="467" t="s">
        <v>5767</v>
      </c>
      <c r="B464" s="465" t="s">
        <v>4766</v>
      </c>
      <c r="C464" s="466">
        <v>3</v>
      </c>
      <c r="D464" s="465"/>
      <c r="E464" s="466" t="s">
        <v>4753</v>
      </c>
      <c r="F464" s="466"/>
      <c r="G464" s="465"/>
      <c r="H464" s="465">
        <v>1</v>
      </c>
    </row>
    <row r="465" spans="1:8" ht="13.8" thickBot="1">
      <c r="A465" s="467" t="s">
        <v>5768</v>
      </c>
      <c r="B465" s="465" t="s">
        <v>4766</v>
      </c>
      <c r="C465" s="466">
        <v>3</v>
      </c>
      <c r="D465" s="465"/>
      <c r="E465" s="466" t="s">
        <v>4753</v>
      </c>
      <c r="F465" s="466"/>
      <c r="G465" s="465"/>
      <c r="H465" s="465">
        <v>1</v>
      </c>
    </row>
    <row r="466" spans="1:8" ht="13.8" thickBot="1">
      <c r="A466" s="467" t="s">
        <v>5802</v>
      </c>
      <c r="B466" s="465" t="s">
        <v>1767</v>
      </c>
      <c r="C466" s="466">
        <v>3.25</v>
      </c>
      <c r="D466" s="465"/>
      <c r="E466" s="466" t="s">
        <v>5010</v>
      </c>
      <c r="F466" s="466"/>
      <c r="G466" s="465"/>
      <c r="H466" s="465">
        <v>1</v>
      </c>
    </row>
    <row r="467" spans="1:8" ht="13.8" thickBot="1">
      <c r="A467" s="467" t="s">
        <v>5803</v>
      </c>
      <c r="B467" s="465" t="s">
        <v>1907</v>
      </c>
      <c r="C467" s="466">
        <v>3.5</v>
      </c>
      <c r="D467" s="467" t="s">
        <v>614</v>
      </c>
      <c r="E467" s="466" t="s">
        <v>1793</v>
      </c>
      <c r="F467" s="466" t="s">
        <v>1841</v>
      </c>
      <c r="G467" s="465"/>
      <c r="H467" s="465">
        <v>4</v>
      </c>
    </row>
    <row r="468" spans="1:8" ht="13.8" thickBot="1">
      <c r="A468" s="467" t="s">
        <v>5804</v>
      </c>
      <c r="B468" s="465" t="s">
        <v>1908</v>
      </c>
      <c r="C468" s="466">
        <v>3.5</v>
      </c>
      <c r="D468" s="467" t="s">
        <v>614</v>
      </c>
      <c r="E468" s="466" t="s">
        <v>1793</v>
      </c>
      <c r="F468" s="466" t="s">
        <v>1226</v>
      </c>
      <c r="G468" s="465"/>
      <c r="H468" s="465">
        <v>1</v>
      </c>
    </row>
    <row r="469" spans="1:8" ht="13.8" thickBot="1">
      <c r="A469" s="465" t="s">
        <v>5805</v>
      </c>
      <c r="B469" s="465" t="s">
        <v>1866</v>
      </c>
      <c r="C469" s="466">
        <v>3.5</v>
      </c>
      <c r="D469" s="465"/>
      <c r="E469" s="466" t="s">
        <v>1793</v>
      </c>
      <c r="F469" s="466" t="s">
        <v>1226</v>
      </c>
      <c r="G469" s="465"/>
      <c r="H469" s="465">
        <v>1</v>
      </c>
    </row>
    <row r="470" spans="1:8" ht="13.8" thickBot="1">
      <c r="A470" s="467" t="s">
        <v>5806</v>
      </c>
      <c r="B470" s="465" t="s">
        <v>1792</v>
      </c>
      <c r="C470" s="466">
        <v>3.5</v>
      </c>
      <c r="D470" s="465"/>
      <c r="E470" s="466" t="s">
        <v>1793</v>
      </c>
      <c r="F470" s="466"/>
      <c r="G470" s="465"/>
      <c r="H470" s="465">
        <v>1</v>
      </c>
    </row>
    <row r="471" spans="1:8" ht="13.8" thickBot="1">
      <c r="A471" s="467" t="s">
        <v>5807</v>
      </c>
      <c r="B471" s="465" t="s">
        <v>1792</v>
      </c>
      <c r="C471" s="466">
        <v>3.5</v>
      </c>
      <c r="D471" s="465"/>
      <c r="E471" s="466" t="s">
        <v>1793</v>
      </c>
      <c r="F471" s="466"/>
      <c r="G471" s="465"/>
      <c r="H471" s="465">
        <v>6</v>
      </c>
    </row>
    <row r="472" spans="1:8" ht="13.8" thickBot="1">
      <c r="A472" s="465" t="s">
        <v>5808</v>
      </c>
      <c r="B472" s="465" t="s">
        <v>1792</v>
      </c>
      <c r="C472" s="466">
        <v>3.5</v>
      </c>
      <c r="D472" s="465"/>
      <c r="E472" s="466" t="s">
        <v>1793</v>
      </c>
      <c r="F472" s="466"/>
      <c r="G472" s="465"/>
      <c r="H472" s="465">
        <v>4</v>
      </c>
    </row>
    <row r="473" spans="1:8" ht="13.8" thickBot="1">
      <c r="A473" s="467" t="s">
        <v>5809</v>
      </c>
      <c r="B473" s="465" t="s">
        <v>1852</v>
      </c>
      <c r="C473" s="466">
        <v>3.5</v>
      </c>
      <c r="D473" s="465"/>
      <c r="E473" s="466" t="s">
        <v>1793</v>
      </c>
      <c r="F473" s="466"/>
      <c r="G473" s="465"/>
      <c r="H473" s="465">
        <v>5</v>
      </c>
    </row>
    <row r="474" spans="1:8" ht="13.8" thickBot="1">
      <c r="A474" s="467" t="s">
        <v>5822</v>
      </c>
      <c r="B474" s="465" t="s">
        <v>2228</v>
      </c>
      <c r="C474" s="466">
        <v>3.5</v>
      </c>
      <c r="D474" s="465" t="s">
        <v>2239</v>
      </c>
      <c r="E474" s="466" t="s">
        <v>2216</v>
      </c>
      <c r="F474" s="466"/>
      <c r="G474" s="465"/>
      <c r="H474" s="465">
        <v>2</v>
      </c>
    </row>
    <row r="475" spans="1:8" ht="13.8" thickBot="1">
      <c r="A475" s="465" t="s">
        <v>5896</v>
      </c>
      <c r="B475" s="465" t="s">
        <v>1759</v>
      </c>
      <c r="C475" s="466">
        <v>3.5</v>
      </c>
      <c r="D475" s="465"/>
      <c r="E475" s="466" t="s">
        <v>4789</v>
      </c>
      <c r="F475" s="466"/>
      <c r="G475" s="465">
        <v>1</v>
      </c>
      <c r="H475" s="465">
        <v>10</v>
      </c>
    </row>
    <row r="476" spans="1:8" ht="13.8" thickBot="1">
      <c r="A476" s="465" t="s">
        <v>5897</v>
      </c>
      <c r="B476" s="465" t="s">
        <v>1593</v>
      </c>
      <c r="C476" s="466">
        <v>3.5</v>
      </c>
      <c r="D476" s="465"/>
      <c r="E476" s="466" t="s">
        <v>4970</v>
      </c>
      <c r="F476" s="466" t="s">
        <v>1226</v>
      </c>
      <c r="G476" s="465"/>
      <c r="H476" s="465">
        <v>3</v>
      </c>
    </row>
    <row r="477" spans="1:8" ht="13.8" thickBot="1">
      <c r="A477" s="465" t="s">
        <v>5898</v>
      </c>
      <c r="B477" s="465" t="s">
        <v>1593</v>
      </c>
      <c r="C477" s="466">
        <v>3.5</v>
      </c>
      <c r="D477" s="465"/>
      <c r="E477" s="466" t="s">
        <v>4970</v>
      </c>
      <c r="F477" s="466" t="s">
        <v>1224</v>
      </c>
      <c r="G477" s="465"/>
      <c r="H477" s="465">
        <v>10</v>
      </c>
    </row>
    <row r="478" spans="1:8" ht="13.8" thickBot="1">
      <c r="A478" s="465" t="s">
        <v>5899</v>
      </c>
      <c r="B478" s="465" t="s">
        <v>1593</v>
      </c>
      <c r="C478" s="466">
        <v>3.5</v>
      </c>
      <c r="D478" s="465"/>
      <c r="E478" s="466" t="s">
        <v>4970</v>
      </c>
      <c r="F478" s="466"/>
      <c r="G478" s="465"/>
      <c r="H478" s="465">
        <v>2</v>
      </c>
    </row>
    <row r="479" spans="1:8" ht="13.8" thickBot="1">
      <c r="A479" s="465" t="s">
        <v>5900</v>
      </c>
      <c r="B479" s="465" t="s">
        <v>1598</v>
      </c>
      <c r="C479" s="466">
        <v>3.5</v>
      </c>
      <c r="D479" s="465"/>
      <c r="E479" s="466" t="s">
        <v>4970</v>
      </c>
      <c r="F479" s="466"/>
      <c r="G479" s="465"/>
      <c r="H479" s="465">
        <v>2</v>
      </c>
    </row>
    <row r="480" spans="1:8" ht="13.8" thickBot="1">
      <c r="A480" s="465" t="s">
        <v>5901</v>
      </c>
      <c r="B480" s="465" t="s">
        <v>5003</v>
      </c>
      <c r="C480" s="466">
        <v>3.5</v>
      </c>
      <c r="D480" s="465"/>
      <c r="E480" s="466" t="s">
        <v>4970</v>
      </c>
      <c r="F480" s="466"/>
      <c r="G480" s="465"/>
      <c r="H480" s="465">
        <v>3</v>
      </c>
    </row>
    <row r="481" spans="1:8" ht="13.8" thickBot="1">
      <c r="A481" s="465" t="s">
        <v>5902</v>
      </c>
      <c r="B481" s="465" t="s">
        <v>5004</v>
      </c>
      <c r="C481" s="466">
        <v>3.5</v>
      </c>
      <c r="D481" s="465"/>
      <c r="E481" s="466" t="s">
        <v>4970</v>
      </c>
      <c r="F481" s="466"/>
      <c r="G481" s="465"/>
      <c r="H481" s="465">
        <v>1</v>
      </c>
    </row>
    <row r="482" spans="1:8" ht="13.8" thickBot="1">
      <c r="A482" s="467" t="s">
        <v>5823</v>
      </c>
      <c r="B482" s="465" t="s">
        <v>2271</v>
      </c>
      <c r="C482" s="466">
        <v>3.5</v>
      </c>
      <c r="D482" s="467" t="s">
        <v>614</v>
      </c>
      <c r="E482" s="466" t="s">
        <v>2242</v>
      </c>
      <c r="F482" s="466" t="s">
        <v>1224</v>
      </c>
      <c r="G482" s="465"/>
      <c r="H482" s="465">
        <v>3</v>
      </c>
    </row>
    <row r="483" spans="1:8" ht="13.8" thickBot="1">
      <c r="A483" s="465" t="s">
        <v>5903</v>
      </c>
      <c r="B483" s="465" t="s">
        <v>1337</v>
      </c>
      <c r="C483" s="466">
        <v>3.5</v>
      </c>
      <c r="D483" s="467" t="s">
        <v>614</v>
      </c>
      <c r="E483" s="466" t="s">
        <v>5031</v>
      </c>
      <c r="F483" s="466" t="s">
        <v>1226</v>
      </c>
      <c r="G483" s="465"/>
      <c r="H483" s="465">
        <v>20</v>
      </c>
    </row>
    <row r="484" spans="1:8" ht="13.8" thickBot="1">
      <c r="A484" s="465" t="s">
        <v>5904</v>
      </c>
      <c r="B484" s="465" t="s">
        <v>1491</v>
      </c>
      <c r="C484" s="466">
        <v>3.5</v>
      </c>
      <c r="D484" s="465"/>
      <c r="E484" s="466" t="s">
        <v>5094</v>
      </c>
      <c r="F484" s="466"/>
      <c r="G484" s="465"/>
      <c r="H484" s="465">
        <v>10</v>
      </c>
    </row>
    <row r="485" spans="1:8" ht="13.8" thickBot="1">
      <c r="A485" s="465" t="s">
        <v>5905</v>
      </c>
      <c r="B485" s="465" t="s">
        <v>1491</v>
      </c>
      <c r="C485" s="466">
        <v>3.5</v>
      </c>
      <c r="D485" s="465"/>
      <c r="E485" s="466" t="s">
        <v>5094</v>
      </c>
      <c r="F485" s="466"/>
      <c r="G485" s="465"/>
      <c r="H485" s="465">
        <v>3</v>
      </c>
    </row>
    <row r="486" spans="1:8" ht="13.8" thickBot="1">
      <c r="A486" s="465" t="s">
        <v>5906</v>
      </c>
      <c r="B486" s="465" t="s">
        <v>1491</v>
      </c>
      <c r="C486" s="466">
        <v>3.5</v>
      </c>
      <c r="D486" s="465"/>
      <c r="E486" s="466" t="s">
        <v>5094</v>
      </c>
      <c r="F486" s="466"/>
      <c r="G486" s="465"/>
      <c r="H486" s="465">
        <v>12</v>
      </c>
    </row>
    <row r="487" spans="1:8" ht="13.8" thickBot="1">
      <c r="A487" s="465" t="s">
        <v>5907</v>
      </c>
      <c r="B487" s="465" t="s">
        <v>5099</v>
      </c>
      <c r="C487" s="466">
        <v>3.5</v>
      </c>
      <c r="D487" s="465"/>
      <c r="E487" s="466" t="s">
        <v>5094</v>
      </c>
      <c r="F487" s="466"/>
      <c r="G487" s="465"/>
      <c r="H487" s="465">
        <v>1</v>
      </c>
    </row>
    <row r="488" spans="1:8" ht="13.8" thickBot="1">
      <c r="A488" s="465" t="s">
        <v>5908</v>
      </c>
      <c r="B488" s="465" t="s">
        <v>1495</v>
      </c>
      <c r="C488" s="466">
        <v>3.5</v>
      </c>
      <c r="D488" s="467" t="s">
        <v>614</v>
      </c>
      <c r="E488" s="466" t="s">
        <v>5109</v>
      </c>
      <c r="F488" s="466"/>
      <c r="G488" s="465"/>
      <c r="H488" s="465">
        <v>4</v>
      </c>
    </row>
    <row r="489" spans="1:8" ht="13.8" thickBot="1">
      <c r="A489" s="467" t="s">
        <v>5824</v>
      </c>
      <c r="B489" s="465" t="s">
        <v>1726</v>
      </c>
      <c r="C489" s="466">
        <v>3.5</v>
      </c>
      <c r="D489" s="465"/>
      <c r="E489" s="466" t="s">
        <v>2289</v>
      </c>
      <c r="F489" s="466"/>
      <c r="G489" s="465"/>
      <c r="H489" s="465">
        <v>15</v>
      </c>
    </row>
    <row r="490" spans="1:8" ht="13.8" thickBot="1">
      <c r="A490" s="467" t="s">
        <v>5825</v>
      </c>
      <c r="B490" s="465" t="s">
        <v>2518</v>
      </c>
      <c r="C490" s="466">
        <v>3.5</v>
      </c>
      <c r="D490" s="465"/>
      <c r="E490" s="466" t="s">
        <v>2449</v>
      </c>
      <c r="F490" s="466"/>
      <c r="G490" s="465"/>
      <c r="H490" s="465">
        <v>2</v>
      </c>
    </row>
    <row r="491" spans="1:8" ht="13.8" thickBot="1">
      <c r="A491" s="465" t="s">
        <v>5826</v>
      </c>
      <c r="B491" s="465" t="s">
        <v>1300</v>
      </c>
      <c r="C491" s="466">
        <v>3.5</v>
      </c>
      <c r="D491" s="465"/>
      <c r="E491" s="466" t="s">
        <v>2523</v>
      </c>
      <c r="F491" s="466"/>
      <c r="G491" s="465"/>
      <c r="H491" s="465">
        <v>2</v>
      </c>
    </row>
    <row r="492" spans="1:8" ht="13.8" thickBot="1">
      <c r="A492" s="465" t="s">
        <v>5827</v>
      </c>
      <c r="B492" s="465" t="s">
        <v>2703</v>
      </c>
      <c r="C492" s="466">
        <v>3.5</v>
      </c>
      <c r="D492" s="465"/>
      <c r="E492" s="466" t="s">
        <v>2523</v>
      </c>
      <c r="F492" s="466"/>
      <c r="G492" s="465"/>
      <c r="H492" s="465">
        <v>2</v>
      </c>
    </row>
    <row r="493" spans="1:8" ht="13.8" thickBot="1">
      <c r="A493" s="465" t="s">
        <v>415</v>
      </c>
      <c r="B493" s="465" t="s">
        <v>2704</v>
      </c>
      <c r="C493" s="466">
        <v>3.5</v>
      </c>
      <c r="D493" s="467" t="s">
        <v>614</v>
      </c>
      <c r="E493" s="466" t="s">
        <v>2523</v>
      </c>
      <c r="F493" s="466"/>
      <c r="G493" s="465"/>
      <c r="H493" s="465">
        <v>1</v>
      </c>
    </row>
    <row r="494" spans="1:8" ht="13.8" thickBot="1">
      <c r="A494" s="467" t="s">
        <v>5828</v>
      </c>
      <c r="B494" s="465" t="s">
        <v>1301</v>
      </c>
      <c r="C494" s="466">
        <v>3.5</v>
      </c>
      <c r="D494" s="465"/>
      <c r="E494" s="466" t="s">
        <v>2523</v>
      </c>
      <c r="F494" s="466"/>
      <c r="G494" s="465">
        <v>1</v>
      </c>
      <c r="H494" s="465">
        <v>9</v>
      </c>
    </row>
    <row r="495" spans="1:8" ht="13.8" thickBot="1">
      <c r="A495" s="467" t="s">
        <v>5829</v>
      </c>
      <c r="B495" s="465" t="s">
        <v>2705</v>
      </c>
      <c r="C495" s="466">
        <v>3.5</v>
      </c>
      <c r="D495" s="465"/>
      <c r="E495" s="466" t="s">
        <v>2523</v>
      </c>
      <c r="F495" s="466"/>
      <c r="G495" s="465"/>
      <c r="H495" s="465">
        <v>2</v>
      </c>
    </row>
    <row r="496" spans="1:8" ht="13.8" thickBot="1">
      <c r="A496" s="467" t="s">
        <v>5810</v>
      </c>
      <c r="B496" s="465" t="s">
        <v>1252</v>
      </c>
      <c r="C496" s="466">
        <v>3.5</v>
      </c>
      <c r="D496" s="465"/>
      <c r="E496" s="466" t="s">
        <v>1922</v>
      </c>
      <c r="F496" s="466" t="s">
        <v>1910</v>
      </c>
      <c r="G496" s="465"/>
      <c r="H496" s="465">
        <v>4</v>
      </c>
    </row>
    <row r="497" spans="1:8" ht="13.8" thickBot="1">
      <c r="A497" s="465" t="s">
        <v>5811</v>
      </c>
      <c r="B497" s="465" t="s">
        <v>1261</v>
      </c>
      <c r="C497" s="466">
        <v>3.5</v>
      </c>
      <c r="D497" s="465"/>
      <c r="E497" s="466" t="s">
        <v>1922</v>
      </c>
      <c r="F497" s="466" t="s">
        <v>1910</v>
      </c>
      <c r="G497" s="465"/>
      <c r="H497" s="465">
        <v>8</v>
      </c>
    </row>
    <row r="498" spans="1:8" ht="13.8" thickBot="1">
      <c r="A498" s="467" t="s">
        <v>5812</v>
      </c>
      <c r="B498" s="465" t="s">
        <v>1252</v>
      </c>
      <c r="C498" s="466">
        <v>3.5</v>
      </c>
      <c r="D498" s="465"/>
      <c r="E498" s="466" t="s">
        <v>1922</v>
      </c>
      <c r="F498" s="466" t="s">
        <v>1226</v>
      </c>
      <c r="G498" s="465"/>
      <c r="H498" s="465">
        <v>1</v>
      </c>
    </row>
    <row r="499" spans="1:8" ht="13.8" thickBot="1">
      <c r="A499" s="467" t="s">
        <v>5813</v>
      </c>
      <c r="B499" s="465" t="s">
        <v>1252</v>
      </c>
      <c r="C499" s="466">
        <v>3.5</v>
      </c>
      <c r="D499" s="465"/>
      <c r="E499" s="466" t="s">
        <v>1922</v>
      </c>
      <c r="F499" s="466"/>
      <c r="G499" s="465"/>
      <c r="H499" s="465">
        <v>6</v>
      </c>
    </row>
    <row r="500" spans="1:8" ht="13.8" thickBot="1">
      <c r="A500" s="467" t="s">
        <v>5814</v>
      </c>
      <c r="B500" s="465" t="s">
        <v>1991</v>
      </c>
      <c r="C500" s="466">
        <v>3.5</v>
      </c>
      <c r="D500" s="465"/>
      <c r="E500" s="466" t="s">
        <v>1922</v>
      </c>
      <c r="F500" s="466"/>
      <c r="G500" s="465"/>
      <c r="H500" s="465">
        <v>3</v>
      </c>
    </row>
    <row r="501" spans="1:8" ht="13.8" thickBot="1">
      <c r="A501" s="467" t="s">
        <v>5815</v>
      </c>
      <c r="B501" s="465" t="s">
        <v>1992</v>
      </c>
      <c r="C501" s="466">
        <v>3.5</v>
      </c>
      <c r="D501" s="465"/>
      <c r="E501" s="466" t="s">
        <v>1922</v>
      </c>
      <c r="F501" s="466"/>
      <c r="G501" s="465"/>
      <c r="H501" s="465">
        <v>3</v>
      </c>
    </row>
    <row r="502" spans="1:8" ht="13.8" thickBot="1">
      <c r="A502" s="467" t="s">
        <v>5830</v>
      </c>
      <c r="B502" s="465" t="s">
        <v>2751</v>
      </c>
      <c r="C502" s="466">
        <v>3.5</v>
      </c>
      <c r="D502" s="465"/>
      <c r="E502" s="466" t="s">
        <v>2747</v>
      </c>
      <c r="F502" s="466"/>
      <c r="G502" s="465"/>
      <c r="H502" s="465">
        <v>2</v>
      </c>
    </row>
    <row r="503" spans="1:8" ht="13.8" thickBot="1">
      <c r="A503" s="467" t="s">
        <v>5831</v>
      </c>
      <c r="B503" s="465" t="s">
        <v>2837</v>
      </c>
      <c r="C503" s="466">
        <v>3.5</v>
      </c>
      <c r="D503" s="467" t="s">
        <v>614</v>
      </c>
      <c r="E503" s="466" t="s">
        <v>2797</v>
      </c>
      <c r="F503" s="466"/>
      <c r="G503" s="465"/>
      <c r="H503" s="465">
        <v>3</v>
      </c>
    </row>
    <row r="504" spans="1:8" ht="13.8" thickBot="1">
      <c r="A504" s="465" t="s">
        <v>5832</v>
      </c>
      <c r="B504" s="465" t="s">
        <v>1341</v>
      </c>
      <c r="C504" s="466">
        <v>3.5</v>
      </c>
      <c r="D504" s="465"/>
      <c r="E504" s="466" t="s">
        <v>2841</v>
      </c>
      <c r="F504" s="466"/>
      <c r="G504" s="465"/>
      <c r="H504" s="465">
        <v>8</v>
      </c>
    </row>
    <row r="505" spans="1:8" ht="13.8" thickBot="1">
      <c r="A505" s="465" t="s">
        <v>5833</v>
      </c>
      <c r="B505" s="474" t="s">
        <v>1356</v>
      </c>
      <c r="C505" s="466">
        <v>3.5</v>
      </c>
      <c r="D505" s="465"/>
      <c r="E505" s="466" t="s">
        <v>2899</v>
      </c>
      <c r="F505" s="466"/>
      <c r="G505" s="465"/>
      <c r="H505" s="465">
        <v>5</v>
      </c>
    </row>
    <row r="506" spans="1:8" ht="13.8" thickBot="1">
      <c r="A506" s="465" t="s">
        <v>5834</v>
      </c>
      <c r="B506" s="465" t="s">
        <v>1355</v>
      </c>
      <c r="C506" s="466">
        <v>3.5</v>
      </c>
      <c r="D506" s="467" t="s">
        <v>614</v>
      </c>
      <c r="E506" s="466" t="s">
        <v>2899</v>
      </c>
      <c r="F506" s="466"/>
      <c r="G506" s="465"/>
      <c r="H506" s="465">
        <v>7</v>
      </c>
    </row>
    <row r="507" spans="1:8" ht="13.8" thickBot="1">
      <c r="A507" s="467" t="s">
        <v>5816</v>
      </c>
      <c r="B507" s="465" t="s">
        <v>2018</v>
      </c>
      <c r="C507" s="466">
        <v>3.5</v>
      </c>
      <c r="D507" s="465"/>
      <c r="E507" s="466" t="s">
        <v>1997</v>
      </c>
      <c r="F507" s="466"/>
      <c r="G507" s="465"/>
      <c r="H507" s="465">
        <v>9</v>
      </c>
    </row>
    <row r="508" spans="1:8" ht="13.8" thickBot="1">
      <c r="A508" s="465" t="s">
        <v>5835</v>
      </c>
      <c r="B508" s="465" t="s">
        <v>2924</v>
      </c>
      <c r="C508" s="466">
        <v>3.5</v>
      </c>
      <c r="D508" s="465"/>
      <c r="E508" s="466" t="s">
        <v>2922</v>
      </c>
      <c r="F508" s="466"/>
      <c r="G508" s="465">
        <v>1</v>
      </c>
      <c r="H508" s="465">
        <v>5</v>
      </c>
    </row>
    <row r="509" spans="1:8" ht="13.8" thickBot="1">
      <c r="A509" s="467" t="s">
        <v>5836</v>
      </c>
      <c r="B509" s="465" t="s">
        <v>1552</v>
      </c>
      <c r="C509" s="466">
        <v>3.5</v>
      </c>
      <c r="D509" s="465"/>
      <c r="E509" s="466" t="s">
        <v>2957</v>
      </c>
      <c r="F509" s="466" t="s">
        <v>1226</v>
      </c>
      <c r="G509" s="465"/>
      <c r="H509" s="465">
        <v>2</v>
      </c>
    </row>
    <row r="510" spans="1:8" ht="13.8" thickBot="1">
      <c r="A510" s="465" t="s">
        <v>5837</v>
      </c>
      <c r="B510" s="465" t="s">
        <v>1556</v>
      </c>
      <c r="C510" s="466">
        <v>3.5</v>
      </c>
      <c r="D510" s="465"/>
      <c r="E510" s="466" t="s">
        <v>2957</v>
      </c>
      <c r="F510" s="466" t="s">
        <v>1226</v>
      </c>
      <c r="G510" s="465"/>
      <c r="H510" s="465">
        <v>8</v>
      </c>
    </row>
    <row r="511" spans="1:8" ht="13.8" thickBot="1">
      <c r="A511" s="465" t="s">
        <v>5838</v>
      </c>
      <c r="B511" s="465" t="s">
        <v>1557</v>
      </c>
      <c r="C511" s="466">
        <v>3.5</v>
      </c>
      <c r="D511" s="465"/>
      <c r="E511" s="466" t="s">
        <v>2957</v>
      </c>
      <c r="F511" s="466" t="s">
        <v>1220</v>
      </c>
      <c r="G511" s="465"/>
      <c r="H511" s="465">
        <v>3</v>
      </c>
    </row>
    <row r="512" spans="1:8" ht="13.8" thickBot="1">
      <c r="A512" s="465" t="s">
        <v>5839</v>
      </c>
      <c r="B512" s="465" t="s">
        <v>1552</v>
      </c>
      <c r="C512" s="466">
        <v>3.5</v>
      </c>
      <c r="D512" s="465"/>
      <c r="E512" s="466" t="s">
        <v>2957</v>
      </c>
      <c r="F512" s="466"/>
      <c r="G512" s="465"/>
      <c r="H512" s="465">
        <v>3</v>
      </c>
    </row>
    <row r="513" spans="1:8" ht="13.8" thickBot="1">
      <c r="A513" s="465" t="s">
        <v>5840</v>
      </c>
      <c r="B513" s="465" t="s">
        <v>3079</v>
      </c>
      <c r="C513" s="466">
        <v>3.5</v>
      </c>
      <c r="D513" s="465"/>
      <c r="E513" s="466" t="s">
        <v>2957</v>
      </c>
      <c r="F513" s="466"/>
      <c r="G513" s="465"/>
      <c r="H513" s="465">
        <v>2</v>
      </c>
    </row>
    <row r="514" spans="1:8" ht="13.8" thickBot="1">
      <c r="A514" s="465" t="s">
        <v>5841</v>
      </c>
      <c r="B514" s="465" t="s">
        <v>3111</v>
      </c>
      <c r="C514" s="466">
        <v>3.5</v>
      </c>
      <c r="D514" s="465"/>
      <c r="E514" s="466" t="s">
        <v>3085</v>
      </c>
      <c r="F514" s="466" t="s">
        <v>1910</v>
      </c>
      <c r="G514" s="465"/>
      <c r="H514" s="465">
        <v>4</v>
      </c>
    </row>
    <row r="515" spans="1:8" ht="13.8" thickBot="1">
      <c r="A515" s="465" t="s">
        <v>5842</v>
      </c>
      <c r="B515" s="465" t="s">
        <v>3112</v>
      </c>
      <c r="C515" s="466">
        <v>3.5</v>
      </c>
      <c r="D515" s="467" t="s">
        <v>614</v>
      </c>
      <c r="E515" s="466" t="s">
        <v>3085</v>
      </c>
      <c r="F515" s="466" t="s">
        <v>1224</v>
      </c>
      <c r="G515" s="465">
        <v>1</v>
      </c>
      <c r="H515" s="465">
        <v>14</v>
      </c>
    </row>
    <row r="516" spans="1:8" ht="13.8" thickBot="1">
      <c r="A516" s="467" t="s">
        <v>5843</v>
      </c>
      <c r="B516" s="465" t="s">
        <v>1395</v>
      </c>
      <c r="C516" s="466">
        <v>3.5</v>
      </c>
      <c r="D516" s="467" t="s">
        <v>3272</v>
      </c>
      <c r="E516" s="466" t="s">
        <v>3161</v>
      </c>
      <c r="F516" s="466" t="s">
        <v>1224</v>
      </c>
      <c r="G516" s="465"/>
      <c r="H516" s="465">
        <v>18</v>
      </c>
    </row>
    <row r="517" spans="1:8" ht="13.8" thickBot="1">
      <c r="A517" s="465" t="s">
        <v>5844</v>
      </c>
      <c r="B517" s="465" t="s">
        <v>1390</v>
      </c>
      <c r="C517" s="466">
        <v>3.5</v>
      </c>
      <c r="D517" s="465"/>
      <c r="E517" s="466" t="s">
        <v>3161</v>
      </c>
      <c r="F517" s="466"/>
      <c r="G517" s="465"/>
      <c r="H517" s="465">
        <v>8</v>
      </c>
    </row>
    <row r="518" spans="1:8" ht="13.8" thickBot="1">
      <c r="A518" s="465" t="s">
        <v>5845</v>
      </c>
      <c r="B518" s="465" t="s">
        <v>1390</v>
      </c>
      <c r="C518" s="466">
        <v>3.5</v>
      </c>
      <c r="D518" s="465"/>
      <c r="E518" s="466" t="s">
        <v>3161</v>
      </c>
      <c r="F518" s="466"/>
      <c r="G518" s="465"/>
      <c r="H518" s="465">
        <v>2</v>
      </c>
    </row>
    <row r="519" spans="1:8" ht="13.8" thickBot="1">
      <c r="A519" s="465" t="s">
        <v>5846</v>
      </c>
      <c r="B519" s="465" t="s">
        <v>1399</v>
      </c>
      <c r="C519" s="466">
        <v>3.5</v>
      </c>
      <c r="D519" s="467" t="s">
        <v>614</v>
      </c>
      <c r="E519" s="466" t="s">
        <v>3161</v>
      </c>
      <c r="F519" s="466"/>
      <c r="G519" s="465"/>
      <c r="H519" s="465">
        <v>2</v>
      </c>
    </row>
    <row r="520" spans="1:8" ht="13.8" thickBot="1">
      <c r="A520" s="465" t="s">
        <v>5847</v>
      </c>
      <c r="B520" s="465" t="s">
        <v>3273</v>
      </c>
      <c r="C520" s="466">
        <v>3.5</v>
      </c>
      <c r="D520" s="465"/>
      <c r="E520" s="466" t="s">
        <v>3161</v>
      </c>
      <c r="F520" s="466"/>
      <c r="G520" s="465">
        <v>1</v>
      </c>
      <c r="H520" s="465">
        <v>8</v>
      </c>
    </row>
    <row r="521" spans="1:8" ht="13.8" thickBot="1">
      <c r="A521" s="465" t="s">
        <v>5848</v>
      </c>
      <c r="B521" s="465" t="s">
        <v>3220</v>
      </c>
      <c r="C521" s="466">
        <v>3.5</v>
      </c>
      <c r="D521" s="465"/>
      <c r="E521" s="466" t="s">
        <v>3161</v>
      </c>
      <c r="F521" s="466"/>
      <c r="G521" s="465"/>
      <c r="H521" s="465">
        <v>3</v>
      </c>
    </row>
    <row r="522" spans="1:8" ht="13.8" thickBot="1">
      <c r="A522" s="465" t="s">
        <v>5849</v>
      </c>
      <c r="B522" s="465" t="s">
        <v>1419</v>
      </c>
      <c r="C522" s="466">
        <v>3.5</v>
      </c>
      <c r="D522" s="467" t="s">
        <v>614</v>
      </c>
      <c r="E522" s="466" t="s">
        <v>3285</v>
      </c>
      <c r="F522" s="466"/>
      <c r="G522" s="465"/>
      <c r="H522" s="465">
        <v>11</v>
      </c>
    </row>
    <row r="523" spans="1:8" ht="13.8" thickBot="1">
      <c r="A523" s="467" t="s">
        <v>5850</v>
      </c>
      <c r="B523" s="465" t="s">
        <v>1433</v>
      </c>
      <c r="C523" s="466">
        <v>3.5</v>
      </c>
      <c r="D523" s="465"/>
      <c r="E523" s="466" t="s">
        <v>3315</v>
      </c>
      <c r="F523" s="466"/>
      <c r="G523" s="465">
        <v>1</v>
      </c>
      <c r="H523" s="465">
        <v>8</v>
      </c>
    </row>
    <row r="524" spans="1:8" ht="13.8" thickBot="1">
      <c r="A524" s="465" t="s">
        <v>5851</v>
      </c>
      <c r="B524" s="465" t="s">
        <v>3343</v>
      </c>
      <c r="C524" s="466">
        <v>3.5</v>
      </c>
      <c r="D524" s="467" t="s">
        <v>614</v>
      </c>
      <c r="E524" s="466" t="s">
        <v>3315</v>
      </c>
      <c r="F524" s="466"/>
      <c r="G524" s="465">
        <v>1</v>
      </c>
      <c r="H524" s="465">
        <v>5</v>
      </c>
    </row>
    <row r="525" spans="1:8" ht="13.8" thickBot="1">
      <c r="A525" s="465" t="s">
        <v>5852</v>
      </c>
      <c r="B525" s="465" t="s">
        <v>3344</v>
      </c>
      <c r="C525" s="466">
        <v>3.5</v>
      </c>
      <c r="D525" s="467" t="s">
        <v>614</v>
      </c>
      <c r="E525" s="466" t="s">
        <v>3315</v>
      </c>
      <c r="F525" s="466"/>
      <c r="G525" s="465"/>
      <c r="H525" s="465">
        <v>4</v>
      </c>
    </row>
    <row r="526" spans="1:8" ht="13.8" thickBot="1">
      <c r="A526" s="467" t="s">
        <v>5853</v>
      </c>
      <c r="B526" s="465" t="s">
        <v>3345</v>
      </c>
      <c r="C526" s="466">
        <v>3.5</v>
      </c>
      <c r="D526" s="467" t="s">
        <v>2512</v>
      </c>
      <c r="E526" s="466" t="s">
        <v>3315</v>
      </c>
      <c r="F526" s="466"/>
      <c r="G526" s="465"/>
      <c r="H526" s="465">
        <v>6</v>
      </c>
    </row>
    <row r="527" spans="1:8" ht="13.8" thickBot="1">
      <c r="A527" s="465" t="s">
        <v>5817</v>
      </c>
      <c r="B527" s="465" t="s">
        <v>2083</v>
      </c>
      <c r="C527" s="466">
        <v>3.5</v>
      </c>
      <c r="D527" s="465"/>
      <c r="E527" s="466" t="s">
        <v>2032</v>
      </c>
      <c r="F527" s="466"/>
      <c r="G527" s="465"/>
      <c r="H527" s="465">
        <v>3</v>
      </c>
    </row>
    <row r="528" spans="1:8" ht="13.8" thickBot="1">
      <c r="A528" s="465" t="s">
        <v>5854</v>
      </c>
      <c r="B528" s="465" t="s">
        <v>3451</v>
      </c>
      <c r="C528" s="466">
        <v>3.5</v>
      </c>
      <c r="D528" s="465"/>
      <c r="E528" s="466" t="s">
        <v>3452</v>
      </c>
      <c r="F528" s="466"/>
      <c r="G528" s="465"/>
      <c r="H528" s="465"/>
    </row>
    <row r="529" spans="1:8" ht="13.8" thickBot="1">
      <c r="A529" s="465" t="s">
        <v>5855</v>
      </c>
      <c r="B529" s="465" t="s">
        <v>3492</v>
      </c>
      <c r="C529" s="466">
        <v>3.5</v>
      </c>
      <c r="D529" s="467" t="s">
        <v>614</v>
      </c>
      <c r="E529" s="466" t="s">
        <v>3452</v>
      </c>
      <c r="F529" s="466"/>
      <c r="G529" s="465"/>
      <c r="H529" s="465">
        <v>8</v>
      </c>
    </row>
    <row r="530" spans="1:8" ht="13.8" thickBot="1">
      <c r="A530" s="465" t="s">
        <v>5856</v>
      </c>
      <c r="B530" s="465" t="s">
        <v>3516</v>
      </c>
      <c r="C530" s="466">
        <v>3.5</v>
      </c>
      <c r="D530" s="467" t="s">
        <v>614</v>
      </c>
      <c r="E530" s="466" t="s">
        <v>3496</v>
      </c>
      <c r="F530" s="466"/>
      <c r="G530" s="465"/>
      <c r="H530" s="465">
        <v>2</v>
      </c>
    </row>
    <row r="531" spans="1:8" ht="13.8" thickBot="1">
      <c r="A531" s="465" t="s">
        <v>5857</v>
      </c>
      <c r="B531" s="465" t="s">
        <v>3645</v>
      </c>
      <c r="C531" s="466">
        <v>3.5</v>
      </c>
      <c r="D531" s="465"/>
      <c r="E531" s="466" t="s">
        <v>3641</v>
      </c>
      <c r="F531" s="466" t="s">
        <v>1910</v>
      </c>
      <c r="G531" s="465"/>
      <c r="H531" s="465">
        <v>2</v>
      </c>
    </row>
    <row r="532" spans="1:8" ht="13.8" thickBot="1">
      <c r="A532" s="465" t="s">
        <v>5858</v>
      </c>
      <c r="B532" s="465" t="s">
        <v>3707</v>
      </c>
      <c r="C532" s="466">
        <v>3.5</v>
      </c>
      <c r="D532" s="465"/>
      <c r="E532" s="466" t="s">
        <v>3652</v>
      </c>
      <c r="F532" s="466" t="s">
        <v>1865</v>
      </c>
      <c r="G532" s="465">
        <v>2</v>
      </c>
      <c r="H532" s="465">
        <v>9</v>
      </c>
    </row>
    <row r="533" spans="1:8" ht="13.8" thickBot="1">
      <c r="A533" s="465" t="s">
        <v>5859</v>
      </c>
      <c r="B533" s="465" t="s">
        <v>3718</v>
      </c>
      <c r="C533" s="466">
        <v>3.5</v>
      </c>
      <c r="D533" s="465"/>
      <c r="E533" s="466" t="s">
        <v>3652</v>
      </c>
      <c r="F533" s="466"/>
      <c r="G533" s="465"/>
      <c r="H533" s="465">
        <v>2</v>
      </c>
    </row>
    <row r="534" spans="1:8" ht="13.8" thickBot="1">
      <c r="A534" s="467" t="s">
        <v>5860</v>
      </c>
      <c r="B534" s="465" t="s">
        <v>1480</v>
      </c>
      <c r="C534" s="466">
        <v>3.5</v>
      </c>
      <c r="D534" s="465"/>
      <c r="E534" s="466" t="s">
        <v>3734</v>
      </c>
      <c r="F534" s="466"/>
      <c r="G534" s="465"/>
      <c r="H534" s="465">
        <v>5</v>
      </c>
    </row>
    <row r="535" spans="1:8" ht="13.8" thickBot="1">
      <c r="A535" s="465" t="s">
        <v>5861</v>
      </c>
      <c r="B535" s="465" t="s">
        <v>1488</v>
      </c>
      <c r="C535" s="466">
        <v>3.5</v>
      </c>
      <c r="D535" s="465"/>
      <c r="E535" s="466" t="s">
        <v>3734</v>
      </c>
      <c r="F535" s="466"/>
      <c r="G535" s="465"/>
      <c r="H535" s="465">
        <v>2</v>
      </c>
    </row>
    <row r="536" spans="1:8" ht="13.8" thickBot="1">
      <c r="A536" s="467" t="s">
        <v>5862</v>
      </c>
      <c r="B536" s="465" t="s">
        <v>3799</v>
      </c>
      <c r="C536" s="466">
        <v>3.5</v>
      </c>
      <c r="D536" s="465"/>
      <c r="E536" s="466" t="s">
        <v>3734</v>
      </c>
      <c r="F536" s="466"/>
      <c r="G536" s="465"/>
      <c r="H536" s="465">
        <v>6</v>
      </c>
    </row>
    <row r="537" spans="1:8" ht="13.8" thickBot="1">
      <c r="A537" s="465" t="s">
        <v>5863</v>
      </c>
      <c r="B537" s="465" t="s">
        <v>1502</v>
      </c>
      <c r="C537" s="466">
        <v>3.5</v>
      </c>
      <c r="D537" s="465"/>
      <c r="E537" s="466" t="s">
        <v>3807</v>
      </c>
      <c r="F537" s="466"/>
      <c r="G537" s="465"/>
      <c r="H537" s="465">
        <v>7</v>
      </c>
    </row>
    <row r="538" spans="1:8" ht="13.8" thickBot="1">
      <c r="A538" s="467" t="s">
        <v>5864</v>
      </c>
      <c r="B538" s="465" t="s">
        <v>3851</v>
      </c>
      <c r="C538" s="466">
        <v>3.5</v>
      </c>
      <c r="D538" s="465"/>
      <c r="E538" s="466" t="s">
        <v>3807</v>
      </c>
      <c r="F538" s="466"/>
      <c r="G538" s="465"/>
      <c r="H538" s="465">
        <v>3</v>
      </c>
    </row>
    <row r="539" spans="1:8" ht="13.8" thickBot="1">
      <c r="A539" s="467" t="s">
        <v>5865</v>
      </c>
      <c r="B539" s="465" t="s">
        <v>1507</v>
      </c>
      <c r="C539" s="466">
        <v>3.5</v>
      </c>
      <c r="D539" s="465"/>
      <c r="E539" s="466" t="s">
        <v>3856</v>
      </c>
      <c r="F539" s="466"/>
      <c r="G539" s="465"/>
      <c r="H539" s="465">
        <v>4</v>
      </c>
    </row>
    <row r="540" spans="1:8" ht="13.8" thickBot="1">
      <c r="A540" s="465" t="s">
        <v>5866</v>
      </c>
      <c r="B540" s="465" t="s">
        <v>3927</v>
      </c>
      <c r="C540" s="466">
        <v>3.5</v>
      </c>
      <c r="D540" s="465"/>
      <c r="E540" s="466" t="s">
        <v>3903</v>
      </c>
      <c r="F540" s="466" t="s">
        <v>1910</v>
      </c>
      <c r="G540" s="465"/>
      <c r="H540" s="465">
        <v>9</v>
      </c>
    </row>
    <row r="541" spans="1:8" ht="13.8" thickBot="1">
      <c r="A541" s="467" t="s">
        <v>5867</v>
      </c>
      <c r="B541" s="465" t="s">
        <v>3928</v>
      </c>
      <c r="C541" s="466">
        <v>3.5</v>
      </c>
      <c r="D541" s="465"/>
      <c r="E541" s="466" t="s">
        <v>3903</v>
      </c>
      <c r="F541" s="466" t="s">
        <v>1224</v>
      </c>
      <c r="G541" s="465"/>
      <c r="H541" s="465">
        <v>3</v>
      </c>
    </row>
    <row r="542" spans="1:8" ht="13.8" thickBot="1">
      <c r="A542" s="465" t="s">
        <v>5868</v>
      </c>
      <c r="B542" s="465" t="s">
        <v>3929</v>
      </c>
      <c r="C542" s="466">
        <v>3.5</v>
      </c>
      <c r="D542" s="465"/>
      <c r="E542" s="466" t="s">
        <v>3903</v>
      </c>
      <c r="F542" s="466" t="s">
        <v>1224</v>
      </c>
      <c r="G542" s="465"/>
      <c r="H542" s="465">
        <v>3</v>
      </c>
    </row>
    <row r="543" spans="1:8" ht="13.8" thickBot="1">
      <c r="A543" s="465" t="s">
        <v>5869</v>
      </c>
      <c r="B543" s="465" t="s">
        <v>3930</v>
      </c>
      <c r="C543" s="466">
        <v>3.5</v>
      </c>
      <c r="D543" s="467" t="s">
        <v>614</v>
      </c>
      <c r="E543" s="466" t="s">
        <v>3903</v>
      </c>
      <c r="F543" s="466"/>
      <c r="G543" s="465"/>
      <c r="H543" s="465">
        <v>3</v>
      </c>
    </row>
    <row r="544" spans="1:8" ht="13.8" thickBot="1">
      <c r="A544" s="465" t="s">
        <v>5870</v>
      </c>
      <c r="B544" s="465" t="s">
        <v>1515</v>
      </c>
      <c r="C544" s="466">
        <v>3.5</v>
      </c>
      <c r="D544" s="465"/>
      <c r="E544" s="466" t="s">
        <v>3932</v>
      </c>
      <c r="F544" s="466"/>
      <c r="G544" s="465"/>
      <c r="H544" s="465">
        <v>2</v>
      </c>
    </row>
    <row r="545" spans="1:8" ht="13.8" thickBot="1">
      <c r="A545" s="465" t="s">
        <v>5871</v>
      </c>
      <c r="B545" s="465" t="s">
        <v>4052</v>
      </c>
      <c r="C545" s="466">
        <v>3.5</v>
      </c>
      <c r="D545" s="465"/>
      <c r="E545" s="466" t="s">
        <v>4046</v>
      </c>
      <c r="F545" s="466" t="s">
        <v>1865</v>
      </c>
      <c r="G545" s="465">
        <v>1</v>
      </c>
      <c r="H545" s="465">
        <v>1</v>
      </c>
    </row>
    <row r="546" spans="1:8" ht="13.8" thickBot="1">
      <c r="A546" s="465" t="s">
        <v>5872</v>
      </c>
      <c r="B546" s="465" t="s">
        <v>1537</v>
      </c>
      <c r="C546" s="466">
        <v>3.5</v>
      </c>
      <c r="D546" s="465"/>
      <c r="E546" s="466" t="s">
        <v>4067</v>
      </c>
      <c r="F546" s="466"/>
      <c r="G546" s="465"/>
      <c r="H546" s="465">
        <v>3</v>
      </c>
    </row>
    <row r="547" spans="1:8" ht="13.8" thickBot="1">
      <c r="A547" s="465" t="s">
        <v>5873</v>
      </c>
      <c r="B547" s="465" t="s">
        <v>1537</v>
      </c>
      <c r="C547" s="466">
        <v>3.5</v>
      </c>
      <c r="D547" s="465"/>
      <c r="E547" s="466" t="s">
        <v>4067</v>
      </c>
      <c r="F547" s="466"/>
      <c r="G547" s="465"/>
      <c r="H547" s="465">
        <v>6</v>
      </c>
    </row>
    <row r="548" spans="1:8" ht="13.8" thickBot="1">
      <c r="A548" s="465" t="s">
        <v>5874</v>
      </c>
      <c r="B548" s="465" t="s">
        <v>4115</v>
      </c>
      <c r="C548" s="466">
        <v>3.5</v>
      </c>
      <c r="D548" s="467" t="s">
        <v>614</v>
      </c>
      <c r="E548" s="466" t="s">
        <v>4102</v>
      </c>
      <c r="F548" s="466" t="s">
        <v>1226</v>
      </c>
      <c r="G548" s="465"/>
      <c r="H548" s="465">
        <v>11</v>
      </c>
    </row>
    <row r="549" spans="1:8" ht="13.8" thickBot="1">
      <c r="A549" s="465" t="s">
        <v>5875</v>
      </c>
      <c r="B549" s="465" t="s">
        <v>1544</v>
      </c>
      <c r="C549" s="466">
        <v>3.5</v>
      </c>
      <c r="D549" s="467" t="s">
        <v>614</v>
      </c>
      <c r="E549" s="466" t="s">
        <v>4102</v>
      </c>
      <c r="F549" s="466"/>
      <c r="G549" s="465"/>
      <c r="H549" s="465">
        <v>8</v>
      </c>
    </row>
    <row r="550" spans="1:8" ht="13.8" thickBot="1">
      <c r="A550" s="467" t="s">
        <v>5876</v>
      </c>
      <c r="B550" s="465" t="s">
        <v>1544</v>
      </c>
      <c r="C550" s="466">
        <v>3.5</v>
      </c>
      <c r="D550" s="465"/>
      <c r="E550" s="466" t="s">
        <v>4102</v>
      </c>
      <c r="F550" s="466"/>
      <c r="G550" s="465"/>
      <c r="H550" s="465">
        <v>3</v>
      </c>
    </row>
    <row r="551" spans="1:8" ht="13.8" thickBot="1">
      <c r="A551" s="465" t="s">
        <v>5877</v>
      </c>
      <c r="B551" s="465" t="s">
        <v>4326</v>
      </c>
      <c r="C551" s="466">
        <v>3.5</v>
      </c>
      <c r="D551" s="465"/>
      <c r="E551" s="466" t="s">
        <v>4214</v>
      </c>
      <c r="F551" s="466" t="s">
        <v>1224</v>
      </c>
      <c r="G551" s="465"/>
      <c r="H551" s="465">
        <v>9</v>
      </c>
    </row>
    <row r="552" spans="1:8" ht="13.8" thickBot="1">
      <c r="A552" s="465" t="s">
        <v>5878</v>
      </c>
      <c r="B552" s="465" t="s">
        <v>4327</v>
      </c>
      <c r="C552" s="466">
        <v>3.5</v>
      </c>
      <c r="D552" s="465"/>
      <c r="E552" s="466" t="s">
        <v>4214</v>
      </c>
      <c r="F552" s="466"/>
      <c r="G552" s="465">
        <v>1</v>
      </c>
      <c r="H552" s="465">
        <v>4</v>
      </c>
    </row>
    <row r="553" spans="1:8" ht="13.8" thickBot="1">
      <c r="A553" s="465" t="s">
        <v>5879</v>
      </c>
      <c r="B553" s="465" t="s">
        <v>4220</v>
      </c>
      <c r="C553" s="466">
        <v>3.5</v>
      </c>
      <c r="D553" s="465"/>
      <c r="E553" s="466" t="s">
        <v>4214</v>
      </c>
      <c r="F553" s="466"/>
      <c r="G553" s="465"/>
      <c r="H553" s="465">
        <v>2</v>
      </c>
    </row>
    <row r="554" spans="1:8" ht="13.8" thickBot="1">
      <c r="A554" s="465" t="s">
        <v>5880</v>
      </c>
      <c r="B554" s="465" t="s">
        <v>4362</v>
      </c>
      <c r="C554" s="466">
        <v>3.5</v>
      </c>
      <c r="D554" s="465"/>
      <c r="E554" s="466" t="s">
        <v>4354</v>
      </c>
      <c r="F554" s="466"/>
      <c r="G554" s="465"/>
      <c r="H554" s="465">
        <v>2</v>
      </c>
    </row>
    <row r="555" spans="1:8" ht="13.8" thickBot="1">
      <c r="A555" s="465" t="s">
        <v>5881</v>
      </c>
      <c r="B555" s="465" t="s">
        <v>4426</v>
      </c>
      <c r="C555" s="466">
        <v>3.5</v>
      </c>
      <c r="D555" s="465"/>
      <c r="E555" s="466" t="s">
        <v>4425</v>
      </c>
      <c r="F555" s="466"/>
      <c r="G555" s="465"/>
      <c r="H555" s="465">
        <v>2</v>
      </c>
    </row>
    <row r="556" spans="1:8" ht="13.8" thickBot="1">
      <c r="A556" s="465" t="s">
        <v>5882</v>
      </c>
      <c r="B556" s="465" t="s">
        <v>4487</v>
      </c>
      <c r="C556" s="466">
        <v>3.5</v>
      </c>
      <c r="D556" s="465"/>
      <c r="E556" s="466" t="s">
        <v>4438</v>
      </c>
      <c r="F556" s="466" t="s">
        <v>1224</v>
      </c>
      <c r="G556" s="465"/>
      <c r="H556" s="465">
        <v>1</v>
      </c>
    </row>
    <row r="557" spans="1:8" ht="13.8" thickBot="1">
      <c r="A557" s="465" t="s">
        <v>5883</v>
      </c>
      <c r="B557" s="465" t="s">
        <v>1638</v>
      </c>
      <c r="C557" s="466">
        <v>3.5</v>
      </c>
      <c r="D557" s="465"/>
      <c r="E557" s="466" t="s">
        <v>4438</v>
      </c>
      <c r="F557" s="466"/>
      <c r="G557" s="465"/>
      <c r="H557" s="465">
        <v>1</v>
      </c>
    </row>
    <row r="558" spans="1:8" ht="13.8" thickBot="1">
      <c r="A558" s="465" t="s">
        <v>5884</v>
      </c>
      <c r="B558" s="465" t="s">
        <v>1647</v>
      </c>
      <c r="C558" s="466">
        <v>3.5</v>
      </c>
      <c r="D558" s="465"/>
      <c r="E558" s="466" t="s">
        <v>4509</v>
      </c>
      <c r="F558" s="466"/>
      <c r="G558" s="465"/>
      <c r="H558" s="465">
        <v>2</v>
      </c>
    </row>
    <row r="559" spans="1:8" ht="13.8" thickBot="1">
      <c r="A559" s="465" t="s">
        <v>5885</v>
      </c>
      <c r="B559" s="465" t="s">
        <v>4531</v>
      </c>
      <c r="C559" s="466">
        <v>3.5</v>
      </c>
      <c r="D559" s="465"/>
      <c r="E559" s="466" t="s">
        <v>4509</v>
      </c>
      <c r="F559" s="466"/>
      <c r="G559" s="465"/>
      <c r="H559" s="465">
        <v>2</v>
      </c>
    </row>
    <row r="560" spans="1:8" ht="13.8" thickBot="1">
      <c r="A560" s="467" t="s">
        <v>5886</v>
      </c>
      <c r="B560" s="465" t="s">
        <v>1665</v>
      </c>
      <c r="C560" s="466">
        <v>3.5</v>
      </c>
      <c r="D560" s="465"/>
      <c r="E560" s="466" t="s">
        <v>4536</v>
      </c>
      <c r="F560" s="466"/>
      <c r="G560" s="465">
        <v>1</v>
      </c>
      <c r="H560" s="465">
        <v>9</v>
      </c>
    </row>
    <row r="561" spans="1:8" ht="13.8" thickBot="1">
      <c r="A561" s="465" t="s">
        <v>5887</v>
      </c>
      <c r="B561" s="465" t="s">
        <v>1664</v>
      </c>
      <c r="C561" s="466">
        <v>3.5</v>
      </c>
      <c r="D561" s="467" t="s">
        <v>614</v>
      </c>
      <c r="E561" s="466" t="s">
        <v>4536</v>
      </c>
      <c r="F561" s="466"/>
      <c r="G561" s="465"/>
      <c r="H561" s="465">
        <v>19</v>
      </c>
    </row>
    <row r="562" spans="1:8" ht="13.8" thickBot="1">
      <c r="A562" s="465" t="s">
        <v>5888</v>
      </c>
      <c r="B562" s="465" t="s">
        <v>4579</v>
      </c>
      <c r="C562" s="466">
        <v>3.5</v>
      </c>
      <c r="D562" s="465"/>
      <c r="E562" s="466" t="s">
        <v>4557</v>
      </c>
      <c r="F562" s="466"/>
      <c r="G562" s="465"/>
      <c r="H562" s="465">
        <v>5</v>
      </c>
    </row>
    <row r="563" spans="1:8" ht="13.8" thickBot="1">
      <c r="A563" s="467" t="s">
        <v>5889</v>
      </c>
      <c r="B563" s="465" t="s">
        <v>4580</v>
      </c>
      <c r="C563" s="466">
        <v>3.5</v>
      </c>
      <c r="D563" s="465"/>
      <c r="E563" s="466" t="s">
        <v>4557</v>
      </c>
      <c r="F563" s="466"/>
      <c r="G563" s="465"/>
      <c r="H563" s="465">
        <v>3</v>
      </c>
    </row>
    <row r="564" spans="1:8" ht="13.8" thickBot="1">
      <c r="A564" s="465" t="s">
        <v>5890</v>
      </c>
      <c r="B564" s="465" t="s">
        <v>4580</v>
      </c>
      <c r="C564" s="466">
        <v>3.5</v>
      </c>
      <c r="D564" s="465"/>
      <c r="E564" s="466" t="s">
        <v>4557</v>
      </c>
      <c r="F564" s="466"/>
      <c r="G564" s="465"/>
      <c r="H564" s="465">
        <v>7</v>
      </c>
    </row>
    <row r="565" spans="1:8" ht="13.8" thickBot="1">
      <c r="A565" s="467" t="s">
        <v>5891</v>
      </c>
      <c r="B565" s="465" t="s">
        <v>4594</v>
      </c>
      <c r="C565" s="466">
        <v>3.5</v>
      </c>
      <c r="D565" s="465"/>
      <c r="E565" s="466" t="s">
        <v>4589</v>
      </c>
      <c r="F565" s="466"/>
      <c r="G565" s="465"/>
      <c r="H565" s="465">
        <v>3</v>
      </c>
    </row>
    <row r="566" spans="1:8" ht="13.8" thickBot="1">
      <c r="A566" s="465" t="s">
        <v>5892</v>
      </c>
      <c r="B566" s="465" t="s">
        <v>4597</v>
      </c>
      <c r="C566" s="466">
        <v>3.5</v>
      </c>
      <c r="D566" s="465"/>
      <c r="E566" s="466" t="s">
        <v>4596</v>
      </c>
      <c r="F566" s="466" t="s">
        <v>1226</v>
      </c>
      <c r="G566" s="465">
        <v>1</v>
      </c>
      <c r="H566" s="465">
        <v>4</v>
      </c>
    </row>
    <row r="567" spans="1:8" ht="13.8" thickBot="1">
      <c r="A567" s="465" t="s">
        <v>5893</v>
      </c>
      <c r="B567" s="465" t="s">
        <v>4597</v>
      </c>
      <c r="C567" s="466">
        <v>3.5</v>
      </c>
      <c r="D567" s="465"/>
      <c r="E567" s="466" t="s">
        <v>4596</v>
      </c>
      <c r="F567" s="466"/>
      <c r="G567" s="465"/>
      <c r="H567" s="465">
        <v>5</v>
      </c>
    </row>
    <row r="568" spans="1:8" ht="13.8" thickBot="1">
      <c r="A568" s="467" t="s">
        <v>5818</v>
      </c>
      <c r="B568" s="465" t="s">
        <v>2155</v>
      </c>
      <c r="C568" s="466">
        <v>3.5</v>
      </c>
      <c r="D568" s="465"/>
      <c r="E568" s="466" t="s">
        <v>2152</v>
      </c>
      <c r="F568" s="466" t="s">
        <v>1224</v>
      </c>
      <c r="G568" s="465"/>
      <c r="H568" s="465">
        <v>3</v>
      </c>
    </row>
    <row r="569" spans="1:8" ht="13.8" thickBot="1">
      <c r="A569" s="467" t="s">
        <v>5819</v>
      </c>
      <c r="B569" s="465" t="s">
        <v>1270</v>
      </c>
      <c r="C569" s="466">
        <v>3.5</v>
      </c>
      <c r="D569" s="465"/>
      <c r="E569" s="466" t="s">
        <v>2152</v>
      </c>
      <c r="F569" s="466"/>
      <c r="G569" s="465"/>
      <c r="H569" s="465">
        <v>4</v>
      </c>
    </row>
    <row r="570" spans="1:8" ht="13.8" thickBot="1">
      <c r="A570" s="467" t="s">
        <v>5820</v>
      </c>
      <c r="B570" s="465" t="s">
        <v>1272</v>
      </c>
      <c r="C570" s="466">
        <v>3.5</v>
      </c>
      <c r="D570" s="465"/>
      <c r="E570" s="466" t="s">
        <v>2152</v>
      </c>
      <c r="F570" s="466"/>
      <c r="G570" s="465"/>
      <c r="H570" s="465">
        <v>3</v>
      </c>
    </row>
    <row r="571" spans="1:8" ht="13.8" thickBot="1">
      <c r="A571" s="467" t="s">
        <v>5821</v>
      </c>
      <c r="B571" s="465" t="s">
        <v>1273</v>
      </c>
      <c r="C571" s="466">
        <v>3.5</v>
      </c>
      <c r="D571" s="465"/>
      <c r="E571" s="466" t="s">
        <v>2152</v>
      </c>
      <c r="F571" s="466"/>
      <c r="G571" s="465"/>
      <c r="H571" s="465">
        <v>3</v>
      </c>
    </row>
    <row r="572" spans="1:8" ht="13.8" thickBot="1">
      <c r="A572" s="467" t="s">
        <v>5894</v>
      </c>
      <c r="B572" s="465" t="s">
        <v>1709</v>
      </c>
      <c r="C572" s="466">
        <v>3.5</v>
      </c>
      <c r="D572" s="465"/>
      <c r="E572" s="466" t="s">
        <v>4672</v>
      </c>
      <c r="F572" s="466"/>
      <c r="G572" s="465"/>
      <c r="H572" s="465">
        <v>10</v>
      </c>
    </row>
    <row r="573" spans="1:8" ht="13.8" thickBot="1">
      <c r="A573" s="465" t="s">
        <v>5895</v>
      </c>
      <c r="B573" s="465" t="s">
        <v>4696</v>
      </c>
      <c r="C573" s="466">
        <v>3.5</v>
      </c>
      <c r="D573" s="465"/>
      <c r="E573" s="466" t="s">
        <v>4672</v>
      </c>
      <c r="F573" s="466"/>
      <c r="G573" s="465"/>
      <c r="H573" s="465">
        <v>2</v>
      </c>
    </row>
    <row r="574" spans="1:8" ht="13.8" thickBot="1">
      <c r="A574" s="465" t="s">
        <v>5909</v>
      </c>
      <c r="B574" s="465" t="s">
        <v>2270</v>
      </c>
      <c r="C574" s="466">
        <v>3.6</v>
      </c>
      <c r="D574" s="465"/>
      <c r="E574" s="466" t="s">
        <v>2242</v>
      </c>
      <c r="F574" s="466"/>
      <c r="G574" s="465"/>
      <c r="H574" s="465">
        <v>2</v>
      </c>
    </row>
    <row r="575" spans="1:8" ht="13.8" thickBot="1">
      <c r="A575" s="465" t="s">
        <v>5910</v>
      </c>
      <c r="B575" s="465" t="s">
        <v>1792</v>
      </c>
      <c r="C575" s="466">
        <v>4</v>
      </c>
      <c r="D575" s="465"/>
      <c r="E575" s="466" t="s">
        <v>1793</v>
      </c>
      <c r="F575" s="466" t="s">
        <v>1865</v>
      </c>
      <c r="G575" s="465">
        <v>1</v>
      </c>
      <c r="H575" s="465">
        <v>5</v>
      </c>
    </row>
    <row r="576" spans="1:8" ht="13.8" thickBot="1">
      <c r="A576" s="467" t="s">
        <v>5911</v>
      </c>
      <c r="B576" s="465" t="s">
        <v>1852</v>
      </c>
      <c r="C576" s="466">
        <v>4</v>
      </c>
      <c r="D576" s="465"/>
      <c r="E576" s="466" t="s">
        <v>1793</v>
      </c>
      <c r="F576" s="466" t="s">
        <v>1865</v>
      </c>
      <c r="G576" s="465"/>
      <c r="H576" s="465">
        <v>7</v>
      </c>
    </row>
    <row r="577" spans="1:8" ht="13.8" thickBot="1">
      <c r="A577" s="465" t="s">
        <v>5912</v>
      </c>
      <c r="B577" s="465" t="s">
        <v>1852</v>
      </c>
      <c r="C577" s="466">
        <v>4</v>
      </c>
      <c r="D577" s="465"/>
      <c r="E577" s="466" t="s">
        <v>1793</v>
      </c>
      <c r="F577" s="466" t="s">
        <v>1865</v>
      </c>
      <c r="G577" s="465"/>
      <c r="H577" s="465">
        <v>6</v>
      </c>
    </row>
    <row r="578" spans="1:8" ht="13.8" thickBot="1">
      <c r="A578" s="465" t="s">
        <v>5913</v>
      </c>
      <c r="B578" s="465" t="s">
        <v>1894</v>
      </c>
      <c r="C578" s="466">
        <v>4</v>
      </c>
      <c r="D578" s="465"/>
      <c r="E578" s="466" t="s">
        <v>1793</v>
      </c>
      <c r="F578" s="466" t="s">
        <v>1226</v>
      </c>
      <c r="G578" s="465"/>
      <c r="H578" s="465">
        <v>5</v>
      </c>
    </row>
    <row r="579" spans="1:8" ht="13.8" thickBot="1">
      <c r="A579" s="467" t="s">
        <v>5914</v>
      </c>
      <c r="B579" s="465" t="s">
        <v>1797</v>
      </c>
      <c r="C579" s="466">
        <v>4</v>
      </c>
      <c r="D579" s="465"/>
      <c r="E579" s="466" t="s">
        <v>1793</v>
      </c>
      <c r="F579" s="466" t="s">
        <v>1226</v>
      </c>
      <c r="G579" s="465"/>
      <c r="H579" s="465">
        <v>9</v>
      </c>
    </row>
    <row r="580" spans="1:8" ht="13.8" thickBot="1">
      <c r="A580" s="465" t="s">
        <v>5915</v>
      </c>
      <c r="B580" s="465" t="s">
        <v>1895</v>
      </c>
      <c r="C580" s="466">
        <v>4</v>
      </c>
      <c r="D580" s="465"/>
      <c r="E580" s="466" t="s">
        <v>1793</v>
      </c>
      <c r="F580" s="466" t="s">
        <v>1226</v>
      </c>
      <c r="G580" s="465"/>
      <c r="H580" s="465">
        <v>9</v>
      </c>
    </row>
    <row r="581" spans="1:8" ht="13.8" thickBot="1">
      <c r="A581" s="467" t="s">
        <v>5916</v>
      </c>
      <c r="B581" s="465" t="s">
        <v>1802</v>
      </c>
      <c r="C581" s="466">
        <v>4</v>
      </c>
      <c r="D581" s="465"/>
      <c r="E581" s="466" t="s">
        <v>1793</v>
      </c>
      <c r="F581" s="466" t="s">
        <v>1226</v>
      </c>
      <c r="G581" s="465"/>
      <c r="H581" s="465">
        <v>12</v>
      </c>
    </row>
    <row r="582" spans="1:8" ht="13.8" thickBot="1">
      <c r="A582" s="465" t="s">
        <v>5917</v>
      </c>
      <c r="B582" s="465" t="s">
        <v>1792</v>
      </c>
      <c r="C582" s="466">
        <v>4</v>
      </c>
      <c r="D582" s="465"/>
      <c r="E582" s="466" t="s">
        <v>1793</v>
      </c>
      <c r="F582" s="466" t="s">
        <v>1224</v>
      </c>
      <c r="G582" s="465">
        <v>1</v>
      </c>
      <c r="H582" s="465">
        <v>6</v>
      </c>
    </row>
    <row r="583" spans="1:8" ht="13.8" thickBot="1">
      <c r="A583" s="465" t="s">
        <v>5918</v>
      </c>
      <c r="B583" s="465" t="s">
        <v>1896</v>
      </c>
      <c r="C583" s="466">
        <v>4</v>
      </c>
      <c r="D583" s="467" t="s">
        <v>1897</v>
      </c>
      <c r="E583" s="466" t="s">
        <v>1793</v>
      </c>
      <c r="F583" s="466" t="s">
        <v>1224</v>
      </c>
      <c r="G583" s="465"/>
      <c r="H583" s="465">
        <v>8</v>
      </c>
    </row>
    <row r="584" spans="1:8" ht="13.8" thickBot="1">
      <c r="A584" s="467" t="s">
        <v>5919</v>
      </c>
      <c r="B584" s="465" t="s">
        <v>1898</v>
      </c>
      <c r="C584" s="466">
        <v>4</v>
      </c>
      <c r="D584" s="465"/>
      <c r="E584" s="466" t="s">
        <v>1793</v>
      </c>
      <c r="F584" s="466" t="s">
        <v>1224</v>
      </c>
      <c r="G584" s="465"/>
      <c r="H584" s="465">
        <v>14</v>
      </c>
    </row>
    <row r="585" spans="1:8" ht="13.8" thickBot="1">
      <c r="A585" s="465" t="s">
        <v>5920</v>
      </c>
      <c r="B585" s="465" t="s">
        <v>1899</v>
      </c>
      <c r="C585" s="466">
        <v>4</v>
      </c>
      <c r="D585" s="465"/>
      <c r="E585" s="466" t="s">
        <v>1793</v>
      </c>
      <c r="F585" s="466" t="s">
        <v>1224</v>
      </c>
      <c r="G585" s="465"/>
      <c r="H585" s="465">
        <v>3</v>
      </c>
    </row>
    <row r="586" spans="1:8" ht="13.8" thickBot="1">
      <c r="A586" s="465" t="s">
        <v>5921</v>
      </c>
      <c r="B586" s="465" t="s">
        <v>1874</v>
      </c>
      <c r="C586" s="466">
        <v>4</v>
      </c>
      <c r="D586" s="465"/>
      <c r="E586" s="466" t="s">
        <v>1793</v>
      </c>
      <c r="F586" s="466" t="s">
        <v>1224</v>
      </c>
      <c r="G586" s="465"/>
      <c r="H586" s="465">
        <v>3</v>
      </c>
    </row>
    <row r="587" spans="1:8" ht="13.8" thickBot="1">
      <c r="A587" s="465" t="s">
        <v>5922</v>
      </c>
      <c r="B587" s="465" t="s">
        <v>1900</v>
      </c>
      <c r="C587" s="466">
        <v>4</v>
      </c>
      <c r="D587" s="465"/>
      <c r="E587" s="466" t="s">
        <v>1793</v>
      </c>
      <c r="F587" s="466" t="s">
        <v>1224</v>
      </c>
      <c r="G587" s="465"/>
      <c r="H587" s="465">
        <v>8</v>
      </c>
    </row>
    <row r="588" spans="1:8" ht="13.8" thickBot="1">
      <c r="A588" s="465" t="s">
        <v>5923</v>
      </c>
      <c r="B588" s="465" t="s">
        <v>1792</v>
      </c>
      <c r="C588" s="466">
        <v>4</v>
      </c>
      <c r="D588" s="465"/>
      <c r="E588" s="466" t="s">
        <v>1793</v>
      </c>
      <c r="F588" s="466" t="s">
        <v>1220</v>
      </c>
      <c r="G588" s="465"/>
      <c r="H588" s="465">
        <v>1</v>
      </c>
    </row>
    <row r="589" spans="1:8" ht="13.8" thickBot="1">
      <c r="A589" s="465" t="s">
        <v>5924</v>
      </c>
      <c r="B589" s="465" t="s">
        <v>1792</v>
      </c>
      <c r="C589" s="466">
        <v>4</v>
      </c>
      <c r="D589" s="465"/>
      <c r="E589" s="466" t="s">
        <v>1793</v>
      </c>
      <c r="F589" s="466"/>
      <c r="G589" s="465"/>
      <c r="H589" s="465">
        <v>3</v>
      </c>
    </row>
    <row r="590" spans="1:8" ht="13.8" thickBot="1">
      <c r="A590" s="465" t="s">
        <v>5925</v>
      </c>
      <c r="B590" s="465" t="s">
        <v>1792</v>
      </c>
      <c r="C590" s="466">
        <v>4</v>
      </c>
      <c r="D590" s="465"/>
      <c r="E590" s="466" t="s">
        <v>1793</v>
      </c>
      <c r="F590" s="466"/>
      <c r="G590" s="465"/>
      <c r="H590" s="465">
        <v>4</v>
      </c>
    </row>
    <row r="591" spans="1:8" ht="13.8" thickBot="1">
      <c r="A591" s="465" t="s">
        <v>5926</v>
      </c>
      <c r="B591" s="465" t="s">
        <v>1792</v>
      </c>
      <c r="C591" s="466">
        <v>4</v>
      </c>
      <c r="D591" s="465"/>
      <c r="E591" s="466" t="s">
        <v>1793</v>
      </c>
      <c r="F591" s="466"/>
      <c r="G591" s="465"/>
      <c r="H591" s="465">
        <v>1</v>
      </c>
    </row>
    <row r="592" spans="1:8" ht="13.8" thickBot="1">
      <c r="A592" s="465" t="s">
        <v>5927</v>
      </c>
      <c r="B592" s="465" t="s">
        <v>1792</v>
      </c>
      <c r="C592" s="466">
        <v>4</v>
      </c>
      <c r="D592" s="465"/>
      <c r="E592" s="466" t="s">
        <v>1793</v>
      </c>
      <c r="F592" s="466"/>
      <c r="G592" s="465"/>
      <c r="H592" s="465">
        <v>2</v>
      </c>
    </row>
    <row r="593" spans="1:8" ht="13.8" thickBot="1">
      <c r="A593" s="465" t="s">
        <v>5928</v>
      </c>
      <c r="B593" s="465" t="s">
        <v>1792</v>
      </c>
      <c r="C593" s="466">
        <v>4</v>
      </c>
      <c r="D593" s="465"/>
      <c r="E593" s="466" t="s">
        <v>1793</v>
      </c>
      <c r="F593" s="466"/>
      <c r="G593" s="465"/>
      <c r="H593" s="465">
        <v>3</v>
      </c>
    </row>
    <row r="594" spans="1:8" ht="13.8" thickBot="1">
      <c r="A594" s="465" t="s">
        <v>5929</v>
      </c>
      <c r="B594" s="465" t="s">
        <v>1901</v>
      </c>
      <c r="C594" s="466">
        <v>4</v>
      </c>
      <c r="D594" s="465"/>
      <c r="E594" s="466" t="s">
        <v>1793</v>
      </c>
      <c r="F594" s="466"/>
      <c r="G594" s="465">
        <v>1</v>
      </c>
      <c r="H594" s="465">
        <v>10</v>
      </c>
    </row>
    <row r="595" spans="1:8" ht="13.8" thickBot="1">
      <c r="A595" s="465" t="s">
        <v>5930</v>
      </c>
      <c r="B595" s="465" t="s">
        <v>1902</v>
      </c>
      <c r="C595" s="466">
        <v>4</v>
      </c>
      <c r="D595" s="465"/>
      <c r="E595" s="466" t="s">
        <v>1793</v>
      </c>
      <c r="F595" s="466"/>
      <c r="G595" s="465"/>
      <c r="H595" s="465">
        <v>2</v>
      </c>
    </row>
    <row r="596" spans="1:8" ht="13.8" thickBot="1">
      <c r="A596" s="467" t="s">
        <v>5931</v>
      </c>
      <c r="B596" s="465" t="s">
        <v>1902</v>
      </c>
      <c r="C596" s="466">
        <v>4</v>
      </c>
      <c r="D596" s="465"/>
      <c r="E596" s="466" t="s">
        <v>1793</v>
      </c>
      <c r="F596" s="466"/>
      <c r="G596" s="465"/>
      <c r="H596" s="465">
        <v>1</v>
      </c>
    </row>
    <row r="597" spans="1:8" ht="13.8" thickBot="1">
      <c r="A597" s="467" t="s">
        <v>5932</v>
      </c>
      <c r="B597" s="465" t="s">
        <v>1903</v>
      </c>
      <c r="C597" s="466">
        <v>4</v>
      </c>
      <c r="D597" s="465"/>
      <c r="E597" s="466" t="s">
        <v>1793</v>
      </c>
      <c r="F597" s="466"/>
      <c r="G597" s="465"/>
      <c r="H597" s="465"/>
    </row>
    <row r="598" spans="1:8" ht="13.8" thickBot="1">
      <c r="A598" s="467" t="s">
        <v>5933</v>
      </c>
      <c r="B598" s="465" t="s">
        <v>1904</v>
      </c>
      <c r="C598" s="466">
        <v>4</v>
      </c>
      <c r="D598" s="465"/>
      <c r="E598" s="466" t="s">
        <v>1793</v>
      </c>
      <c r="F598" s="466"/>
      <c r="G598" s="465"/>
      <c r="H598" s="465">
        <v>3</v>
      </c>
    </row>
    <row r="599" spans="1:8" ht="13.8" thickBot="1">
      <c r="A599" s="467" t="s">
        <v>5934</v>
      </c>
      <c r="B599" s="465" t="s">
        <v>1905</v>
      </c>
      <c r="C599" s="466">
        <v>4</v>
      </c>
      <c r="D599" s="467" t="s">
        <v>1854</v>
      </c>
      <c r="E599" s="466" t="s">
        <v>1793</v>
      </c>
      <c r="F599" s="466"/>
      <c r="G599" s="465"/>
      <c r="H599" s="465">
        <v>3</v>
      </c>
    </row>
    <row r="600" spans="1:8" ht="13.8" thickBot="1">
      <c r="A600" s="467" t="s">
        <v>5935</v>
      </c>
      <c r="B600" s="465" t="s">
        <v>1852</v>
      </c>
      <c r="C600" s="466">
        <v>4</v>
      </c>
      <c r="D600" s="467" t="s">
        <v>614</v>
      </c>
      <c r="E600" s="466" t="s">
        <v>1793</v>
      </c>
      <c r="F600" s="466"/>
      <c r="G600" s="465"/>
      <c r="H600" s="465">
        <v>1</v>
      </c>
    </row>
    <row r="601" spans="1:8" ht="13.8" thickBot="1">
      <c r="A601" s="467" t="s">
        <v>5936</v>
      </c>
      <c r="B601" s="465" t="s">
        <v>1852</v>
      </c>
      <c r="C601" s="466">
        <v>4</v>
      </c>
      <c r="D601" s="465"/>
      <c r="E601" s="466" t="s">
        <v>1793</v>
      </c>
      <c r="F601" s="466"/>
      <c r="G601" s="465"/>
      <c r="H601" s="465">
        <v>7</v>
      </c>
    </row>
    <row r="602" spans="1:8" ht="13.8" thickBot="1">
      <c r="A602" s="467" t="s">
        <v>5937</v>
      </c>
      <c r="B602" s="465" t="s">
        <v>1906</v>
      </c>
      <c r="C602" s="466">
        <v>4</v>
      </c>
      <c r="D602" s="465"/>
      <c r="E602" s="466" t="s">
        <v>1793</v>
      </c>
      <c r="F602" s="466"/>
      <c r="G602" s="465"/>
      <c r="H602" s="465">
        <v>1</v>
      </c>
    </row>
    <row r="603" spans="1:8" ht="13.8" thickBot="1">
      <c r="A603" s="467" t="s">
        <v>5938</v>
      </c>
      <c r="B603" s="465" t="s">
        <v>1891</v>
      </c>
      <c r="C603" s="466">
        <v>4</v>
      </c>
      <c r="D603" s="465"/>
      <c r="E603" s="466" t="s">
        <v>1793</v>
      </c>
      <c r="F603" s="466"/>
      <c r="G603" s="465"/>
      <c r="H603" s="465">
        <v>6</v>
      </c>
    </row>
    <row r="604" spans="1:8" ht="13.8" thickBot="1">
      <c r="A604" s="467" t="s">
        <v>6018</v>
      </c>
      <c r="B604" s="465" t="s">
        <v>2238</v>
      </c>
      <c r="C604" s="466">
        <v>4</v>
      </c>
      <c r="D604" s="465"/>
      <c r="E604" s="466" t="s">
        <v>2216</v>
      </c>
      <c r="F604" s="466"/>
      <c r="G604" s="465"/>
      <c r="H604" s="465">
        <v>2</v>
      </c>
    </row>
    <row r="605" spans="1:8" ht="13.8" thickBot="1">
      <c r="A605" s="467" t="s">
        <v>6393</v>
      </c>
      <c r="B605" s="465" t="s">
        <v>4818</v>
      </c>
      <c r="C605" s="466">
        <v>4</v>
      </c>
      <c r="D605" s="465"/>
      <c r="E605" s="466" t="s">
        <v>4789</v>
      </c>
      <c r="F605" s="466" t="s">
        <v>1865</v>
      </c>
      <c r="G605" s="465"/>
      <c r="H605" s="465">
        <v>2</v>
      </c>
    </row>
    <row r="606" spans="1:8" ht="13.8" thickBot="1">
      <c r="A606" s="465" t="s">
        <v>6394</v>
      </c>
      <c r="B606" s="465" t="s">
        <v>4800</v>
      </c>
      <c r="C606" s="466">
        <v>4</v>
      </c>
      <c r="D606" s="467" t="s">
        <v>4819</v>
      </c>
      <c r="E606" s="466" t="s">
        <v>4789</v>
      </c>
      <c r="F606" s="466"/>
      <c r="G606" s="465"/>
      <c r="H606" s="465">
        <v>5</v>
      </c>
    </row>
    <row r="607" spans="1:8" ht="13.8" thickBot="1">
      <c r="A607" s="467" t="s">
        <v>6395</v>
      </c>
      <c r="B607" s="465" t="s">
        <v>4820</v>
      </c>
      <c r="C607" s="466">
        <v>4</v>
      </c>
      <c r="D607" s="467" t="s">
        <v>614</v>
      </c>
      <c r="E607" s="466" t="s">
        <v>4789</v>
      </c>
      <c r="F607" s="466"/>
      <c r="G607" s="465">
        <v>1</v>
      </c>
      <c r="H607" s="465">
        <v>4</v>
      </c>
    </row>
    <row r="608" spans="1:8" ht="13.8" thickBot="1">
      <c r="A608" s="465" t="s">
        <v>6396</v>
      </c>
      <c r="B608" s="465" t="s">
        <v>1755</v>
      </c>
      <c r="C608" s="466">
        <v>4</v>
      </c>
      <c r="D608" s="465"/>
      <c r="E608" s="466" t="s">
        <v>4822</v>
      </c>
      <c r="F608" s="466" t="s">
        <v>1251</v>
      </c>
      <c r="G608" s="465"/>
      <c r="H608" s="465">
        <v>6</v>
      </c>
    </row>
    <row r="609" spans="1:8" ht="13.8" thickBot="1">
      <c r="A609" s="465" t="s">
        <v>6397</v>
      </c>
      <c r="B609" s="465" t="s">
        <v>1755</v>
      </c>
      <c r="C609" s="466">
        <v>4</v>
      </c>
      <c r="D609" s="465"/>
      <c r="E609" s="466" t="s">
        <v>4822</v>
      </c>
      <c r="F609" s="466"/>
      <c r="G609" s="465"/>
      <c r="H609" s="465">
        <v>2</v>
      </c>
    </row>
    <row r="610" spans="1:8" ht="13.8" thickBot="1">
      <c r="A610" s="467" t="s">
        <v>6398</v>
      </c>
      <c r="B610" s="465" t="s">
        <v>1757</v>
      </c>
      <c r="C610" s="466">
        <v>4</v>
      </c>
      <c r="D610" s="465"/>
      <c r="E610" s="466" t="s">
        <v>4822</v>
      </c>
      <c r="F610" s="466"/>
      <c r="G610" s="465"/>
      <c r="H610" s="465">
        <v>4</v>
      </c>
    </row>
    <row r="611" spans="1:8" ht="13.8" thickBot="1">
      <c r="A611" s="465" t="s">
        <v>6399</v>
      </c>
      <c r="B611" s="465" t="s">
        <v>4863</v>
      </c>
      <c r="C611" s="466">
        <v>4</v>
      </c>
      <c r="D611" s="467" t="s">
        <v>614</v>
      </c>
      <c r="E611" s="466" t="s">
        <v>4850</v>
      </c>
      <c r="F611" s="466"/>
      <c r="G611" s="465"/>
      <c r="H611" s="465">
        <v>2</v>
      </c>
    </row>
    <row r="612" spans="1:8" ht="13.8" thickBot="1">
      <c r="A612" s="465" t="s">
        <v>6400</v>
      </c>
      <c r="B612" s="465" t="s">
        <v>4899</v>
      </c>
      <c r="C612" s="466">
        <v>4</v>
      </c>
      <c r="D612" s="467" t="s">
        <v>614</v>
      </c>
      <c r="E612" s="466" t="s">
        <v>4865</v>
      </c>
      <c r="F612" s="466" t="s">
        <v>1220</v>
      </c>
      <c r="G612" s="465"/>
      <c r="H612" s="465">
        <v>1</v>
      </c>
    </row>
    <row r="613" spans="1:8" ht="13.8" thickBot="1">
      <c r="A613" s="467" t="s">
        <v>6401</v>
      </c>
      <c r="B613" s="465" t="s">
        <v>4867</v>
      </c>
      <c r="C613" s="466">
        <v>4</v>
      </c>
      <c r="D613" s="467" t="s">
        <v>614</v>
      </c>
      <c r="E613" s="466" t="s">
        <v>4865</v>
      </c>
      <c r="F613" s="466"/>
      <c r="G613" s="465"/>
      <c r="H613" s="465">
        <v>2</v>
      </c>
    </row>
    <row r="614" spans="1:8" ht="13.8" thickBot="1">
      <c r="A614" s="465" t="s">
        <v>6402</v>
      </c>
      <c r="B614" s="465" t="s">
        <v>4900</v>
      </c>
      <c r="C614" s="466">
        <v>4</v>
      </c>
      <c r="D614" s="465"/>
      <c r="E614" s="466" t="s">
        <v>4865</v>
      </c>
      <c r="F614" s="466"/>
      <c r="G614" s="465"/>
      <c r="H614" s="465">
        <v>2</v>
      </c>
    </row>
    <row r="615" spans="1:8" ht="13.8" thickBot="1">
      <c r="A615" s="465" t="s">
        <v>6403</v>
      </c>
      <c r="B615" s="465" t="s">
        <v>4916</v>
      </c>
      <c r="C615" s="466">
        <v>4</v>
      </c>
      <c r="D615" s="465"/>
      <c r="E615" s="466" t="s">
        <v>4905</v>
      </c>
      <c r="F615" s="466" t="s">
        <v>1220</v>
      </c>
      <c r="G615" s="465"/>
      <c r="H615" s="465">
        <v>3</v>
      </c>
    </row>
    <row r="616" spans="1:8" ht="13.8" thickBot="1">
      <c r="A616" s="465" t="s">
        <v>6404</v>
      </c>
      <c r="B616" s="465" t="s">
        <v>4911</v>
      </c>
      <c r="C616" s="466">
        <v>4</v>
      </c>
      <c r="D616" s="465"/>
      <c r="E616" s="466" t="s">
        <v>4905</v>
      </c>
      <c r="F616" s="466"/>
      <c r="G616" s="465"/>
      <c r="H616" s="465">
        <v>1</v>
      </c>
    </row>
    <row r="617" spans="1:8" ht="13.8" thickBot="1">
      <c r="A617" s="467" t="s">
        <v>6405</v>
      </c>
      <c r="B617" s="465" t="s">
        <v>4940</v>
      </c>
      <c r="C617" s="466">
        <v>4</v>
      </c>
      <c r="D617" s="465"/>
      <c r="E617" s="466" t="s">
        <v>4918</v>
      </c>
      <c r="F617" s="466"/>
      <c r="G617" s="465"/>
      <c r="H617" s="465">
        <v>1</v>
      </c>
    </row>
    <row r="618" spans="1:8" ht="13.8" thickBot="1">
      <c r="A618" s="465" t="s">
        <v>6406</v>
      </c>
      <c r="B618" s="465" t="s">
        <v>4941</v>
      </c>
      <c r="C618" s="466">
        <v>4</v>
      </c>
      <c r="D618" s="465"/>
      <c r="E618" s="466" t="s">
        <v>4918</v>
      </c>
      <c r="F618" s="466"/>
      <c r="G618" s="465"/>
      <c r="H618" s="465">
        <v>2</v>
      </c>
    </row>
    <row r="619" spans="1:8" ht="13.8" thickBot="1">
      <c r="A619" s="465" t="s">
        <v>6407</v>
      </c>
      <c r="B619" s="465" t="s">
        <v>4961</v>
      </c>
      <c r="C619" s="466">
        <v>4</v>
      </c>
      <c r="D619" s="465"/>
      <c r="E619" s="466" t="s">
        <v>4943</v>
      </c>
      <c r="F619" s="466" t="s">
        <v>1226</v>
      </c>
      <c r="G619" s="465"/>
      <c r="H619" s="465">
        <v>5</v>
      </c>
    </row>
    <row r="620" spans="1:8" ht="13.8" thickBot="1">
      <c r="A620" s="465" t="s">
        <v>6408</v>
      </c>
      <c r="B620" s="465" t="s">
        <v>4968</v>
      </c>
      <c r="C620" s="466">
        <v>4</v>
      </c>
      <c r="D620" s="465"/>
      <c r="E620" s="466" t="s">
        <v>4963</v>
      </c>
      <c r="F620" s="466"/>
      <c r="G620" s="465"/>
      <c r="H620" s="465">
        <v>7</v>
      </c>
    </row>
    <row r="621" spans="1:8" ht="13.8" thickBot="1">
      <c r="A621" s="467" t="s">
        <v>6409</v>
      </c>
      <c r="B621" s="465" t="s">
        <v>1593</v>
      </c>
      <c r="C621" s="466">
        <v>4</v>
      </c>
      <c r="D621" s="465"/>
      <c r="E621" s="466" t="s">
        <v>4970</v>
      </c>
      <c r="F621" s="466" t="s">
        <v>1226</v>
      </c>
      <c r="G621" s="465"/>
      <c r="H621" s="465">
        <v>3</v>
      </c>
    </row>
    <row r="622" spans="1:8" ht="13.8" thickBot="1">
      <c r="A622" s="465" t="s">
        <v>6410</v>
      </c>
      <c r="B622" s="465" t="s">
        <v>1593</v>
      </c>
      <c r="C622" s="466">
        <v>4</v>
      </c>
      <c r="D622" s="465"/>
      <c r="E622" s="466" t="s">
        <v>4970</v>
      </c>
      <c r="F622" s="466" t="s">
        <v>1224</v>
      </c>
      <c r="G622" s="465"/>
      <c r="H622" s="465">
        <v>6</v>
      </c>
    </row>
    <row r="623" spans="1:8" ht="13.8" thickBot="1">
      <c r="A623" s="465" t="s">
        <v>6411</v>
      </c>
      <c r="B623" s="465" t="s">
        <v>4997</v>
      </c>
      <c r="C623" s="466">
        <v>4</v>
      </c>
      <c r="D623" s="465"/>
      <c r="E623" s="466" t="s">
        <v>4970</v>
      </c>
      <c r="F623" s="466" t="s">
        <v>2015</v>
      </c>
      <c r="G623" s="465"/>
      <c r="H623" s="465">
        <v>3</v>
      </c>
    </row>
    <row r="624" spans="1:8" ht="13.8" thickBot="1">
      <c r="A624" s="465" t="s">
        <v>6412</v>
      </c>
      <c r="B624" s="465" t="s">
        <v>4998</v>
      </c>
      <c r="C624" s="466">
        <v>4</v>
      </c>
      <c r="D624" s="465"/>
      <c r="E624" s="466" t="s">
        <v>4970</v>
      </c>
      <c r="F624" s="466" t="s">
        <v>1220</v>
      </c>
      <c r="G624" s="465">
        <v>1</v>
      </c>
      <c r="H624" s="465">
        <v>5</v>
      </c>
    </row>
    <row r="625" spans="1:8" ht="13.8" thickBot="1">
      <c r="A625" s="465" t="s">
        <v>6413</v>
      </c>
      <c r="B625" s="465" t="s">
        <v>1593</v>
      </c>
      <c r="C625" s="466">
        <v>4</v>
      </c>
      <c r="D625" s="465"/>
      <c r="E625" s="466" t="s">
        <v>4970</v>
      </c>
      <c r="F625" s="466"/>
      <c r="G625" s="465">
        <v>1</v>
      </c>
      <c r="H625" s="465">
        <v>3</v>
      </c>
    </row>
    <row r="626" spans="1:8" ht="13.8" thickBot="1">
      <c r="A626" s="467" t="s">
        <v>6414</v>
      </c>
      <c r="B626" s="465" t="s">
        <v>1593</v>
      </c>
      <c r="C626" s="466">
        <v>4</v>
      </c>
      <c r="D626" s="465"/>
      <c r="E626" s="466" t="s">
        <v>4970</v>
      </c>
      <c r="F626" s="466"/>
      <c r="G626" s="465"/>
      <c r="H626" s="465">
        <v>3</v>
      </c>
    </row>
    <row r="627" spans="1:8" ht="13.8" thickBot="1">
      <c r="A627" s="467" t="s">
        <v>6415</v>
      </c>
      <c r="B627" s="465" t="s">
        <v>1593</v>
      </c>
      <c r="C627" s="466">
        <v>4</v>
      </c>
      <c r="D627" s="465"/>
      <c r="E627" s="466" t="s">
        <v>4970</v>
      </c>
      <c r="F627" s="466"/>
      <c r="G627" s="465">
        <v>1</v>
      </c>
      <c r="H627" s="465">
        <v>5</v>
      </c>
    </row>
    <row r="628" spans="1:8" ht="13.8" thickBot="1">
      <c r="A628" s="465" t="s">
        <v>6416</v>
      </c>
      <c r="B628" s="465" t="s">
        <v>1593</v>
      </c>
      <c r="C628" s="466">
        <v>4</v>
      </c>
      <c r="D628" s="465"/>
      <c r="E628" s="466" t="s">
        <v>4970</v>
      </c>
      <c r="F628" s="466"/>
      <c r="G628" s="465"/>
      <c r="H628" s="465">
        <v>2</v>
      </c>
    </row>
    <row r="629" spans="1:8" ht="13.8" thickBot="1">
      <c r="A629" s="465" t="s">
        <v>6417</v>
      </c>
      <c r="B629" s="465" t="s">
        <v>1593</v>
      </c>
      <c r="C629" s="466">
        <v>4</v>
      </c>
      <c r="D629" s="465"/>
      <c r="E629" s="466" t="s">
        <v>4970</v>
      </c>
      <c r="F629" s="466"/>
      <c r="G629" s="465"/>
      <c r="H629" s="465">
        <v>2</v>
      </c>
    </row>
    <row r="630" spans="1:8" ht="13.8" thickBot="1">
      <c r="A630" s="465" t="s">
        <v>6418</v>
      </c>
      <c r="B630" s="465" t="s">
        <v>1593</v>
      </c>
      <c r="C630" s="466">
        <v>4</v>
      </c>
      <c r="D630" s="465"/>
      <c r="E630" s="466" t="s">
        <v>4970</v>
      </c>
      <c r="F630" s="466"/>
      <c r="G630" s="465">
        <v>1</v>
      </c>
      <c r="H630" s="465">
        <v>3</v>
      </c>
    </row>
    <row r="631" spans="1:8" ht="13.8" thickBot="1">
      <c r="A631" s="465" t="s">
        <v>6419</v>
      </c>
      <c r="B631" s="465" t="s">
        <v>1602</v>
      </c>
      <c r="C631" s="466">
        <v>4</v>
      </c>
      <c r="D631" s="465"/>
      <c r="E631" s="466" t="s">
        <v>4970</v>
      </c>
      <c r="F631" s="466"/>
      <c r="G631" s="465">
        <v>1</v>
      </c>
      <c r="H631" s="465">
        <v>7</v>
      </c>
    </row>
    <row r="632" spans="1:8" ht="13.8" thickBot="1">
      <c r="A632" s="465" t="s">
        <v>6420</v>
      </c>
      <c r="B632" s="465" t="s">
        <v>1602</v>
      </c>
      <c r="C632" s="466">
        <v>4</v>
      </c>
      <c r="D632" s="465"/>
      <c r="E632" s="466" t="s">
        <v>4970</v>
      </c>
      <c r="F632" s="466"/>
      <c r="G632" s="465"/>
      <c r="H632" s="465">
        <v>5</v>
      </c>
    </row>
    <row r="633" spans="1:8" ht="13.8" thickBot="1">
      <c r="A633" s="465" t="s">
        <v>6421</v>
      </c>
      <c r="B633" s="465" t="s">
        <v>4999</v>
      </c>
      <c r="C633" s="466">
        <v>4</v>
      </c>
      <c r="D633" s="465"/>
      <c r="E633" s="466" t="s">
        <v>4970</v>
      </c>
      <c r="F633" s="466"/>
      <c r="G633" s="465">
        <v>1</v>
      </c>
      <c r="H633" s="465">
        <v>4</v>
      </c>
    </row>
    <row r="634" spans="1:8" ht="13.8" thickBot="1">
      <c r="A634" s="465" t="s">
        <v>6422</v>
      </c>
      <c r="B634" s="465" t="s">
        <v>5000</v>
      </c>
      <c r="C634" s="466">
        <v>4</v>
      </c>
      <c r="D634" s="465"/>
      <c r="E634" s="466" t="s">
        <v>4970</v>
      </c>
      <c r="F634" s="466"/>
      <c r="G634" s="465"/>
      <c r="H634" s="465">
        <v>9</v>
      </c>
    </row>
    <row r="635" spans="1:8" ht="13.8" thickBot="1">
      <c r="A635" s="465" t="s">
        <v>6423</v>
      </c>
      <c r="B635" s="465" t="s">
        <v>1598</v>
      </c>
      <c r="C635" s="466">
        <v>4</v>
      </c>
      <c r="D635" s="465"/>
      <c r="E635" s="466" t="s">
        <v>4970</v>
      </c>
      <c r="F635" s="466"/>
      <c r="G635" s="465"/>
      <c r="H635" s="465">
        <v>2</v>
      </c>
    </row>
    <row r="636" spans="1:8" ht="13.8" thickBot="1">
      <c r="A636" s="465" t="s">
        <v>6424</v>
      </c>
      <c r="B636" s="465" t="s">
        <v>5001</v>
      </c>
      <c r="C636" s="466">
        <v>4</v>
      </c>
      <c r="D636" s="465"/>
      <c r="E636" s="466" t="s">
        <v>4970</v>
      </c>
      <c r="F636" s="466"/>
      <c r="G636" s="465"/>
      <c r="H636" s="465">
        <v>2</v>
      </c>
    </row>
    <row r="637" spans="1:8" ht="13.8" thickBot="1">
      <c r="A637" s="465" t="s">
        <v>6425</v>
      </c>
      <c r="B637" s="465" t="s">
        <v>1599</v>
      </c>
      <c r="C637" s="466">
        <v>4</v>
      </c>
      <c r="D637" s="465"/>
      <c r="E637" s="466" t="s">
        <v>4970</v>
      </c>
      <c r="F637" s="466"/>
      <c r="G637" s="465"/>
      <c r="H637" s="465">
        <v>5</v>
      </c>
    </row>
    <row r="638" spans="1:8" ht="13.8" thickBot="1">
      <c r="A638" s="465" t="s">
        <v>6426</v>
      </c>
      <c r="B638" s="465" t="s">
        <v>1599</v>
      </c>
      <c r="C638" s="466">
        <v>4</v>
      </c>
      <c r="D638" s="465"/>
      <c r="E638" s="466" t="s">
        <v>4970</v>
      </c>
      <c r="F638" s="466"/>
      <c r="G638" s="465"/>
      <c r="H638" s="465">
        <v>3</v>
      </c>
    </row>
    <row r="639" spans="1:8" ht="13.8" thickBot="1">
      <c r="A639" s="465" t="s">
        <v>6427</v>
      </c>
      <c r="B639" s="465" t="s">
        <v>1603</v>
      </c>
      <c r="C639" s="466">
        <v>4</v>
      </c>
      <c r="D639" s="467" t="s">
        <v>614</v>
      </c>
      <c r="E639" s="466" t="s">
        <v>4970</v>
      </c>
      <c r="F639" s="466"/>
      <c r="G639" s="465"/>
      <c r="H639" s="465">
        <v>6</v>
      </c>
    </row>
    <row r="640" spans="1:8" ht="13.8" thickBot="1">
      <c r="A640" s="465" t="s">
        <v>6428</v>
      </c>
      <c r="B640" s="465" t="s">
        <v>5002</v>
      </c>
      <c r="C640" s="466">
        <v>4</v>
      </c>
      <c r="D640" s="465"/>
      <c r="E640" s="466" t="s">
        <v>4970</v>
      </c>
      <c r="F640" s="466"/>
      <c r="G640" s="465"/>
      <c r="H640" s="465">
        <v>1</v>
      </c>
    </row>
    <row r="641" spans="1:8" ht="13.8" thickBot="1">
      <c r="A641" s="465" t="s">
        <v>6019</v>
      </c>
      <c r="B641" s="465" t="s">
        <v>2269</v>
      </c>
      <c r="C641" s="466">
        <v>4</v>
      </c>
      <c r="D641" s="465"/>
      <c r="E641" s="466" t="s">
        <v>2242</v>
      </c>
      <c r="F641" s="466" t="s">
        <v>1865</v>
      </c>
      <c r="G641" s="465"/>
      <c r="H641" s="465">
        <v>5</v>
      </c>
    </row>
    <row r="642" spans="1:8" ht="13.8" thickBot="1">
      <c r="A642" s="467" t="s">
        <v>6020</v>
      </c>
      <c r="B642" s="465" t="s">
        <v>2246</v>
      </c>
      <c r="C642" s="466">
        <v>4</v>
      </c>
      <c r="D642" s="465"/>
      <c r="E642" s="466" t="s">
        <v>2242</v>
      </c>
      <c r="F642" s="466" t="s">
        <v>1841</v>
      </c>
      <c r="G642" s="465"/>
      <c r="H642" s="465">
        <v>11</v>
      </c>
    </row>
    <row r="643" spans="1:8" ht="13.8" thickBot="1">
      <c r="A643" s="467" t="s">
        <v>6021</v>
      </c>
      <c r="B643" s="465" t="s">
        <v>2246</v>
      </c>
      <c r="C643" s="466">
        <v>4</v>
      </c>
      <c r="D643" s="465"/>
      <c r="E643" s="466" t="s">
        <v>2242</v>
      </c>
      <c r="F643" s="466"/>
      <c r="G643" s="465"/>
      <c r="H643" s="465">
        <v>4</v>
      </c>
    </row>
    <row r="644" spans="1:8" ht="13.8" thickBot="1">
      <c r="A644" s="465" t="s">
        <v>6429</v>
      </c>
      <c r="B644" s="465" t="s">
        <v>5027</v>
      </c>
      <c r="C644" s="466">
        <v>4</v>
      </c>
      <c r="D644" s="467" t="s">
        <v>614</v>
      </c>
      <c r="E644" s="466" t="s">
        <v>5010</v>
      </c>
      <c r="F644" s="466" t="s">
        <v>1880</v>
      </c>
      <c r="G644" s="465"/>
      <c r="H644" s="465">
        <v>3</v>
      </c>
    </row>
    <row r="645" spans="1:8" ht="13.8" thickBot="1">
      <c r="A645" s="467" t="s">
        <v>6430</v>
      </c>
      <c r="B645" s="465" t="s">
        <v>1769</v>
      </c>
      <c r="C645" s="466">
        <v>4</v>
      </c>
      <c r="D645" s="465"/>
      <c r="E645" s="466" t="s">
        <v>5010</v>
      </c>
      <c r="F645" s="466" t="s">
        <v>1226</v>
      </c>
      <c r="G645" s="465"/>
      <c r="H645" s="465">
        <v>3</v>
      </c>
    </row>
    <row r="646" spans="1:8" ht="13.8" thickBot="1">
      <c r="A646" s="467" t="s">
        <v>6431</v>
      </c>
      <c r="B646" s="465" t="s">
        <v>1764</v>
      </c>
      <c r="C646" s="466">
        <v>4</v>
      </c>
      <c r="D646" s="465"/>
      <c r="E646" s="466" t="s">
        <v>5010</v>
      </c>
      <c r="F646" s="466" t="s">
        <v>1224</v>
      </c>
      <c r="G646" s="465"/>
      <c r="H646" s="465">
        <v>5</v>
      </c>
    </row>
    <row r="647" spans="1:8" ht="13.8" thickBot="1">
      <c r="A647" s="467" t="s">
        <v>6432</v>
      </c>
      <c r="B647" s="465" t="s">
        <v>5028</v>
      </c>
      <c r="C647" s="466">
        <v>4</v>
      </c>
      <c r="D647" s="465"/>
      <c r="E647" s="466" t="s">
        <v>5010</v>
      </c>
      <c r="F647" s="466" t="s">
        <v>1224</v>
      </c>
      <c r="G647" s="465"/>
      <c r="H647" s="465">
        <v>2</v>
      </c>
    </row>
    <row r="648" spans="1:8" ht="13.8" thickBot="1">
      <c r="A648" s="465" t="s">
        <v>6433</v>
      </c>
      <c r="B648" s="465" t="s">
        <v>1769</v>
      </c>
      <c r="C648" s="466">
        <v>4</v>
      </c>
      <c r="D648" s="465"/>
      <c r="E648" s="466" t="s">
        <v>5010</v>
      </c>
      <c r="F648" s="466" t="s">
        <v>1224</v>
      </c>
      <c r="G648" s="465"/>
      <c r="H648" s="465">
        <v>9</v>
      </c>
    </row>
    <row r="649" spans="1:8" ht="13.8" thickBot="1">
      <c r="A649" s="467" t="s">
        <v>6434</v>
      </c>
      <c r="B649" s="465" t="s">
        <v>1336</v>
      </c>
      <c r="C649" s="466">
        <v>4</v>
      </c>
      <c r="D649" s="467" t="s">
        <v>614</v>
      </c>
      <c r="E649" s="466" t="s">
        <v>5031</v>
      </c>
      <c r="F649" s="466" t="s">
        <v>1880</v>
      </c>
      <c r="G649" s="465">
        <v>1</v>
      </c>
      <c r="H649" s="465">
        <v>5</v>
      </c>
    </row>
    <row r="650" spans="1:8" ht="13.8" thickBot="1">
      <c r="A650" s="467" t="s">
        <v>6435</v>
      </c>
      <c r="B650" s="465" t="s">
        <v>1336</v>
      </c>
      <c r="C650" s="466">
        <v>4</v>
      </c>
      <c r="D650" s="465"/>
      <c r="E650" s="466" t="s">
        <v>5031</v>
      </c>
      <c r="F650" s="466" t="s">
        <v>1224</v>
      </c>
      <c r="G650" s="465"/>
      <c r="H650" s="465">
        <v>3</v>
      </c>
    </row>
    <row r="651" spans="1:8" ht="13.8" thickBot="1">
      <c r="A651" s="465" t="s">
        <v>6436</v>
      </c>
      <c r="B651" s="465" t="s">
        <v>5040</v>
      </c>
      <c r="C651" s="466">
        <v>4</v>
      </c>
      <c r="D651" s="467" t="s">
        <v>614</v>
      </c>
      <c r="E651" s="466" t="s">
        <v>5031</v>
      </c>
      <c r="F651" s="466" t="s">
        <v>1220</v>
      </c>
      <c r="G651" s="465"/>
      <c r="H651" s="465">
        <v>2</v>
      </c>
    </row>
    <row r="652" spans="1:8" ht="13.8" thickBot="1">
      <c r="A652" s="467" t="s">
        <v>6437</v>
      </c>
      <c r="B652" s="465" t="s">
        <v>5062</v>
      </c>
      <c r="C652" s="466">
        <v>4</v>
      </c>
      <c r="D652" s="465"/>
      <c r="E652" s="466" t="s">
        <v>5059</v>
      </c>
      <c r="F652" s="466"/>
      <c r="G652" s="465"/>
      <c r="H652" s="465">
        <v>3</v>
      </c>
    </row>
    <row r="653" spans="1:8" ht="13.8" thickBot="1">
      <c r="A653" s="467" t="s">
        <v>6438</v>
      </c>
      <c r="B653" s="465" t="s">
        <v>5076</v>
      </c>
      <c r="C653" s="466">
        <v>4</v>
      </c>
      <c r="D653" s="465"/>
      <c r="E653" s="466" t="s">
        <v>5059</v>
      </c>
      <c r="F653" s="466"/>
      <c r="G653" s="465"/>
      <c r="H653" s="465">
        <v>3</v>
      </c>
    </row>
    <row r="654" spans="1:8" ht="13.8" thickBot="1">
      <c r="A654" s="467" t="s">
        <v>6439</v>
      </c>
      <c r="B654" s="465" t="s">
        <v>5077</v>
      </c>
      <c r="C654" s="466">
        <v>4</v>
      </c>
      <c r="D654" s="465"/>
      <c r="E654" s="466" t="s">
        <v>5059</v>
      </c>
      <c r="F654" s="466"/>
      <c r="G654" s="465"/>
      <c r="H654" s="465">
        <v>5</v>
      </c>
    </row>
    <row r="655" spans="1:8" ht="13.8" thickBot="1">
      <c r="A655" s="465" t="s">
        <v>6440</v>
      </c>
      <c r="B655" s="465" t="s">
        <v>1491</v>
      </c>
      <c r="C655" s="466">
        <v>4</v>
      </c>
      <c r="D655" s="465"/>
      <c r="E655" s="466" t="s">
        <v>5094</v>
      </c>
      <c r="F655" s="466"/>
      <c r="G655" s="465"/>
      <c r="H655" s="465">
        <v>4</v>
      </c>
    </row>
    <row r="656" spans="1:8" ht="13.8" thickBot="1">
      <c r="A656" s="467" t="s">
        <v>6441</v>
      </c>
      <c r="B656" s="465" t="s">
        <v>1491</v>
      </c>
      <c r="C656" s="466">
        <v>4</v>
      </c>
      <c r="D656" s="467" t="s">
        <v>614</v>
      </c>
      <c r="E656" s="466" t="s">
        <v>5094</v>
      </c>
      <c r="F656" s="466"/>
      <c r="G656" s="465"/>
      <c r="H656" s="465">
        <v>1</v>
      </c>
    </row>
    <row r="657" spans="1:8" ht="13.8" thickBot="1">
      <c r="A657" s="467" t="s">
        <v>6442</v>
      </c>
      <c r="B657" s="465" t="s">
        <v>1491</v>
      </c>
      <c r="C657" s="466">
        <v>4</v>
      </c>
      <c r="D657" s="465"/>
      <c r="E657" s="466" t="s">
        <v>5094</v>
      </c>
      <c r="F657" s="466"/>
      <c r="G657" s="465"/>
      <c r="H657" s="465">
        <v>2</v>
      </c>
    </row>
    <row r="658" spans="1:8" ht="13.8" thickBot="1">
      <c r="A658" s="467" t="s">
        <v>6443</v>
      </c>
      <c r="B658" s="465" t="s">
        <v>1493</v>
      </c>
      <c r="C658" s="466">
        <v>4</v>
      </c>
      <c r="D658" s="467" t="s">
        <v>5107</v>
      </c>
      <c r="E658" s="466" t="s">
        <v>5103</v>
      </c>
      <c r="F658" s="466" t="s">
        <v>1224</v>
      </c>
      <c r="G658" s="465"/>
      <c r="H658" s="465">
        <v>12</v>
      </c>
    </row>
    <row r="659" spans="1:8" ht="13.8" thickBot="1">
      <c r="A659" s="467" t="s">
        <v>6444</v>
      </c>
      <c r="B659" s="465" t="s">
        <v>1495</v>
      </c>
      <c r="C659" s="466">
        <v>4</v>
      </c>
      <c r="D659" s="465"/>
      <c r="E659" s="466" t="s">
        <v>5109</v>
      </c>
      <c r="F659" s="466" t="s">
        <v>1880</v>
      </c>
      <c r="G659" s="465"/>
      <c r="H659" s="465">
        <v>4</v>
      </c>
    </row>
    <row r="660" spans="1:8" ht="13.8" thickBot="1">
      <c r="A660" s="467" t="s">
        <v>6445</v>
      </c>
      <c r="B660" s="465" t="s">
        <v>1496</v>
      </c>
      <c r="C660" s="466">
        <v>4</v>
      </c>
      <c r="D660" s="465"/>
      <c r="E660" s="466" t="s">
        <v>5109</v>
      </c>
      <c r="F660" s="466" t="s">
        <v>1880</v>
      </c>
      <c r="G660" s="465"/>
      <c r="H660" s="465">
        <v>6</v>
      </c>
    </row>
    <row r="661" spans="1:8" ht="13.8" thickBot="1">
      <c r="A661" s="467" t="s">
        <v>6446</v>
      </c>
      <c r="B661" s="465" t="s">
        <v>1496</v>
      </c>
      <c r="C661" s="466">
        <v>4</v>
      </c>
      <c r="D661" s="467" t="s">
        <v>614</v>
      </c>
      <c r="E661" s="466" t="s">
        <v>5109</v>
      </c>
      <c r="F661" s="466" t="s">
        <v>1865</v>
      </c>
      <c r="G661" s="465">
        <v>1</v>
      </c>
      <c r="H661" s="465">
        <v>14</v>
      </c>
    </row>
    <row r="662" spans="1:8" ht="13.8" thickBot="1">
      <c r="A662" s="467" t="s">
        <v>6447</v>
      </c>
      <c r="B662" s="465" t="s">
        <v>5116</v>
      </c>
      <c r="C662" s="466">
        <v>4</v>
      </c>
      <c r="D662" s="465"/>
      <c r="E662" s="466" t="s">
        <v>5109</v>
      </c>
      <c r="F662" s="466" t="s">
        <v>1910</v>
      </c>
      <c r="G662" s="465"/>
      <c r="H662" s="465">
        <v>11</v>
      </c>
    </row>
    <row r="663" spans="1:8" ht="13.8" thickBot="1">
      <c r="A663" s="467" t="s">
        <v>6448</v>
      </c>
      <c r="B663" s="465" t="s">
        <v>1497</v>
      </c>
      <c r="C663" s="466">
        <v>4</v>
      </c>
      <c r="D663" s="465"/>
      <c r="E663" s="466" t="s">
        <v>5109</v>
      </c>
      <c r="F663" s="466" t="s">
        <v>1226</v>
      </c>
      <c r="G663" s="465"/>
      <c r="H663" s="465">
        <v>7</v>
      </c>
    </row>
    <row r="664" spans="1:8" ht="13.8" thickBot="1">
      <c r="A664" s="465" t="s">
        <v>6449</v>
      </c>
      <c r="B664" s="465" t="s">
        <v>1495</v>
      </c>
      <c r="C664" s="466">
        <v>4</v>
      </c>
      <c r="D664" s="467" t="s">
        <v>614</v>
      </c>
      <c r="E664" s="466" t="s">
        <v>5109</v>
      </c>
      <c r="F664" s="466" t="s">
        <v>1224</v>
      </c>
      <c r="G664" s="465"/>
      <c r="H664" s="465">
        <v>7</v>
      </c>
    </row>
    <row r="665" spans="1:8" ht="13.8" thickBot="1">
      <c r="A665" s="467" t="s">
        <v>6450</v>
      </c>
      <c r="B665" s="465" t="s">
        <v>1496</v>
      </c>
      <c r="C665" s="466">
        <v>4</v>
      </c>
      <c r="D665" s="465"/>
      <c r="E665" s="466" t="s">
        <v>5109</v>
      </c>
      <c r="F665" s="466"/>
      <c r="G665" s="465"/>
      <c r="H665" s="465">
        <v>1</v>
      </c>
    </row>
    <row r="666" spans="1:8" ht="13.8" thickBot="1">
      <c r="A666" s="467" t="s">
        <v>6451</v>
      </c>
      <c r="B666" s="465" t="s">
        <v>1498</v>
      </c>
      <c r="C666" s="466">
        <v>4</v>
      </c>
      <c r="D666" s="467" t="s">
        <v>614</v>
      </c>
      <c r="E666" s="466" t="s">
        <v>5109</v>
      </c>
      <c r="F666" s="466"/>
      <c r="G666" s="465"/>
      <c r="H666" s="465">
        <v>5</v>
      </c>
    </row>
    <row r="667" spans="1:8" ht="13.8" thickBot="1">
      <c r="A667" s="467" t="s">
        <v>6452</v>
      </c>
      <c r="B667" s="465" t="s">
        <v>5122</v>
      </c>
      <c r="C667" s="466">
        <v>4</v>
      </c>
      <c r="D667" s="465"/>
      <c r="E667" s="466" t="s">
        <v>5109</v>
      </c>
      <c r="F667" s="466"/>
      <c r="G667" s="465"/>
      <c r="H667" s="465">
        <v>1</v>
      </c>
    </row>
    <row r="668" spans="1:8" ht="13.8" thickBot="1">
      <c r="A668" s="467" t="s">
        <v>6453</v>
      </c>
      <c r="B668" s="465" t="s">
        <v>1696</v>
      </c>
      <c r="C668" s="466">
        <v>4</v>
      </c>
      <c r="D668" s="465"/>
      <c r="E668" s="466" t="s">
        <v>5139</v>
      </c>
      <c r="F668" s="466" t="s">
        <v>1865</v>
      </c>
      <c r="G668" s="465">
        <v>1</v>
      </c>
      <c r="H668" s="465">
        <v>6</v>
      </c>
    </row>
    <row r="669" spans="1:8" ht="13.8" thickBot="1">
      <c r="A669" s="467" t="s">
        <v>6454</v>
      </c>
      <c r="B669" s="465" t="s">
        <v>1697</v>
      </c>
      <c r="C669" s="466">
        <v>4</v>
      </c>
      <c r="D669" s="465"/>
      <c r="E669" s="466" t="s">
        <v>5139</v>
      </c>
      <c r="F669" s="466" t="s">
        <v>1224</v>
      </c>
      <c r="G669" s="465"/>
      <c r="H669" s="465">
        <v>9</v>
      </c>
    </row>
    <row r="670" spans="1:8" ht="13.8" thickBot="1">
      <c r="A670" s="465" t="s">
        <v>6455</v>
      </c>
      <c r="B670" s="465" t="s">
        <v>1695</v>
      </c>
      <c r="C670" s="466">
        <v>4</v>
      </c>
      <c r="D670" s="467" t="s">
        <v>614</v>
      </c>
      <c r="E670" s="466" t="s">
        <v>5139</v>
      </c>
      <c r="F670" s="466"/>
      <c r="G670" s="465"/>
      <c r="H670" s="465">
        <v>4</v>
      </c>
    </row>
    <row r="671" spans="1:8" ht="13.8" thickBot="1">
      <c r="A671" s="467" t="s">
        <v>6456</v>
      </c>
      <c r="B671" s="465" t="s">
        <v>5152</v>
      </c>
      <c r="C671" s="466">
        <v>4</v>
      </c>
      <c r="D671" s="465"/>
      <c r="E671" s="466" t="s">
        <v>5139</v>
      </c>
      <c r="F671" s="466"/>
      <c r="G671" s="465"/>
      <c r="H671" s="465">
        <v>3</v>
      </c>
    </row>
    <row r="672" spans="1:8" ht="13.8" thickBot="1">
      <c r="A672" s="467" t="s">
        <v>6457</v>
      </c>
      <c r="B672" s="465" t="s">
        <v>1698</v>
      </c>
      <c r="C672" s="466">
        <v>4</v>
      </c>
      <c r="D672" s="467" t="s">
        <v>5153</v>
      </c>
      <c r="E672" s="466" t="s">
        <v>5139</v>
      </c>
      <c r="F672" s="466"/>
      <c r="G672" s="465"/>
      <c r="H672" s="465">
        <v>8</v>
      </c>
    </row>
    <row r="673" spans="1:8" ht="13.8" thickBot="1">
      <c r="A673" s="467" t="s">
        <v>6458</v>
      </c>
      <c r="B673" s="465" t="s">
        <v>5177</v>
      </c>
      <c r="C673" s="466">
        <v>4</v>
      </c>
      <c r="D673" s="465"/>
      <c r="E673" s="466" t="s">
        <v>5155</v>
      </c>
      <c r="F673" s="466"/>
      <c r="G673" s="465"/>
      <c r="H673" s="465">
        <v>1</v>
      </c>
    </row>
    <row r="674" spans="1:8" ht="13.8" thickBot="1">
      <c r="A674" s="467" t="s">
        <v>6459</v>
      </c>
      <c r="B674" s="465" t="s">
        <v>5223</v>
      </c>
      <c r="C674" s="466">
        <v>4</v>
      </c>
      <c r="D674" s="465"/>
      <c r="E674" s="466" t="s">
        <v>5219</v>
      </c>
      <c r="F674" s="466" t="s">
        <v>1220</v>
      </c>
      <c r="G674" s="465"/>
      <c r="H674" s="465">
        <v>2</v>
      </c>
    </row>
    <row r="675" spans="1:8" ht="13.8" thickBot="1">
      <c r="A675" s="467" t="s">
        <v>6460</v>
      </c>
      <c r="B675" s="465" t="s">
        <v>5224</v>
      </c>
      <c r="C675" s="466">
        <v>4</v>
      </c>
      <c r="D675" s="465"/>
      <c r="E675" s="466" t="s">
        <v>5219</v>
      </c>
      <c r="F675" s="466"/>
      <c r="G675" s="465"/>
      <c r="H675" s="465">
        <v>3</v>
      </c>
    </row>
    <row r="676" spans="1:8" ht="13.8" thickBot="1">
      <c r="A676" s="465" t="s">
        <v>6022</v>
      </c>
      <c r="B676" s="465" t="s">
        <v>1726</v>
      </c>
      <c r="C676" s="466">
        <v>4</v>
      </c>
      <c r="D676" s="465"/>
      <c r="E676" s="466" t="s">
        <v>2289</v>
      </c>
      <c r="F676" s="466" t="s">
        <v>1865</v>
      </c>
      <c r="G676" s="465"/>
      <c r="H676" s="465">
        <v>9</v>
      </c>
    </row>
    <row r="677" spans="1:8" ht="13.8" thickBot="1">
      <c r="A677" s="467" t="s">
        <v>6023</v>
      </c>
      <c r="B677" s="465" t="s">
        <v>1726</v>
      </c>
      <c r="C677" s="466">
        <v>4</v>
      </c>
      <c r="D677" s="465"/>
      <c r="E677" s="466" t="s">
        <v>2289</v>
      </c>
      <c r="F677" s="466" t="s">
        <v>1865</v>
      </c>
      <c r="G677" s="465"/>
      <c r="H677" s="465">
        <v>3</v>
      </c>
    </row>
    <row r="678" spans="1:8" ht="13.8" thickBot="1">
      <c r="A678" s="467" t="s">
        <v>6024</v>
      </c>
      <c r="B678" s="465" t="s">
        <v>1726</v>
      </c>
      <c r="C678" s="466">
        <v>4</v>
      </c>
      <c r="D678" s="465"/>
      <c r="E678" s="466" t="s">
        <v>2289</v>
      </c>
      <c r="F678" s="466" t="s">
        <v>1910</v>
      </c>
      <c r="G678" s="465"/>
      <c r="H678" s="465">
        <v>4</v>
      </c>
    </row>
    <row r="679" spans="1:8" ht="13.8" thickBot="1">
      <c r="A679" s="467" t="s">
        <v>6025</v>
      </c>
      <c r="B679" s="465" t="s">
        <v>1727</v>
      </c>
      <c r="C679" s="466">
        <v>4</v>
      </c>
      <c r="D679" s="467" t="s">
        <v>614</v>
      </c>
      <c r="E679" s="466" t="s">
        <v>2289</v>
      </c>
      <c r="F679" s="466" t="s">
        <v>1841</v>
      </c>
      <c r="G679" s="465"/>
      <c r="H679" s="465">
        <v>13</v>
      </c>
    </row>
    <row r="680" spans="1:8" ht="13.8" thickBot="1">
      <c r="A680" s="467" t="s">
        <v>6026</v>
      </c>
      <c r="B680" s="465" t="s">
        <v>1726</v>
      </c>
      <c r="C680" s="466">
        <v>4</v>
      </c>
      <c r="D680" s="465"/>
      <c r="E680" s="466" t="s">
        <v>2289</v>
      </c>
      <c r="F680" s="466" t="s">
        <v>1224</v>
      </c>
      <c r="G680" s="465"/>
      <c r="H680" s="465">
        <v>1</v>
      </c>
    </row>
    <row r="681" spans="1:8" ht="13.8" thickBot="1">
      <c r="A681" s="467" t="s">
        <v>6027</v>
      </c>
      <c r="B681" s="465" t="s">
        <v>1728</v>
      </c>
      <c r="C681" s="466">
        <v>4</v>
      </c>
      <c r="D681" s="465"/>
      <c r="E681" s="466" t="s">
        <v>2289</v>
      </c>
      <c r="F681" s="466" t="s">
        <v>1220</v>
      </c>
      <c r="G681" s="465"/>
      <c r="H681" s="465">
        <v>18</v>
      </c>
    </row>
    <row r="682" spans="1:8" ht="13.8" thickBot="1">
      <c r="A682" s="467" t="s">
        <v>6028</v>
      </c>
      <c r="B682" s="465" t="s">
        <v>1729</v>
      </c>
      <c r="C682" s="466">
        <v>4</v>
      </c>
      <c r="D682" s="465"/>
      <c r="E682" s="466" t="s">
        <v>2289</v>
      </c>
      <c r="F682" s="466" t="s">
        <v>1220</v>
      </c>
      <c r="G682" s="465">
        <v>2</v>
      </c>
      <c r="H682" s="465">
        <v>20</v>
      </c>
    </row>
    <row r="683" spans="1:8" ht="13.8" thickBot="1">
      <c r="A683" s="465" t="s">
        <v>6029</v>
      </c>
      <c r="B683" s="465" t="s">
        <v>1726</v>
      </c>
      <c r="C683" s="466">
        <v>4</v>
      </c>
      <c r="D683" s="467" t="s">
        <v>614</v>
      </c>
      <c r="E683" s="466" t="s">
        <v>2289</v>
      </c>
      <c r="F683" s="466"/>
      <c r="G683" s="465"/>
      <c r="H683" s="465">
        <v>4</v>
      </c>
    </row>
    <row r="684" spans="1:8" ht="13.8" thickBot="1">
      <c r="A684" s="467" t="s">
        <v>6030</v>
      </c>
      <c r="B684" s="465" t="s">
        <v>2446</v>
      </c>
      <c r="C684" s="466">
        <v>4</v>
      </c>
      <c r="D684" s="465" t="s">
        <v>2447</v>
      </c>
      <c r="E684" s="466" t="s">
        <v>2289</v>
      </c>
      <c r="F684" s="466"/>
      <c r="G684" s="465"/>
      <c r="H684" s="465">
        <v>1</v>
      </c>
    </row>
    <row r="685" spans="1:8" ht="13.8" thickBot="1">
      <c r="A685" s="467" t="s">
        <v>6461</v>
      </c>
      <c r="B685" s="465" t="s">
        <v>5340</v>
      </c>
      <c r="C685" s="466">
        <v>4</v>
      </c>
      <c r="D685" s="465"/>
      <c r="E685" s="466" t="s">
        <v>5325</v>
      </c>
      <c r="F685" s="466"/>
      <c r="G685" s="465"/>
      <c r="H685" s="465">
        <v>4</v>
      </c>
    </row>
    <row r="686" spans="1:8" ht="13.8" thickBot="1">
      <c r="A686" s="467" t="s">
        <v>6031</v>
      </c>
      <c r="B686" s="465" t="s">
        <v>2514</v>
      </c>
      <c r="C686" s="466">
        <v>4</v>
      </c>
      <c r="D686" s="465"/>
      <c r="E686" s="466" t="s">
        <v>2449</v>
      </c>
      <c r="F686" s="466" t="s">
        <v>1226</v>
      </c>
      <c r="G686" s="465">
        <v>1</v>
      </c>
      <c r="H686" s="465">
        <v>1</v>
      </c>
    </row>
    <row r="687" spans="1:8" ht="13.8" thickBot="1">
      <c r="A687" s="467" t="s">
        <v>6032</v>
      </c>
      <c r="B687" s="465" t="s">
        <v>2515</v>
      </c>
      <c r="C687" s="466">
        <v>4</v>
      </c>
      <c r="D687" s="467" t="s">
        <v>614</v>
      </c>
      <c r="E687" s="466" t="s">
        <v>2449</v>
      </c>
      <c r="F687" s="466" t="s">
        <v>1224</v>
      </c>
      <c r="G687" s="465"/>
      <c r="H687" s="465">
        <v>3</v>
      </c>
    </row>
    <row r="688" spans="1:8" ht="13.8" thickBot="1">
      <c r="A688" s="465" t="s">
        <v>6033</v>
      </c>
      <c r="B688" s="465" t="s">
        <v>2448</v>
      </c>
      <c r="C688" s="466">
        <v>4</v>
      </c>
      <c r="D688" s="465"/>
      <c r="E688" s="466" t="s">
        <v>2449</v>
      </c>
      <c r="F688" s="466" t="s">
        <v>1220</v>
      </c>
      <c r="G688" s="465"/>
      <c r="H688" s="465">
        <v>2</v>
      </c>
    </row>
    <row r="689" spans="1:8" ht="13.8" thickBot="1">
      <c r="A689" s="465" t="s">
        <v>6034</v>
      </c>
      <c r="B689" s="465" t="s">
        <v>2516</v>
      </c>
      <c r="C689" s="466">
        <v>4</v>
      </c>
      <c r="D689" s="467" t="s">
        <v>614</v>
      </c>
      <c r="E689" s="466" t="s">
        <v>2449</v>
      </c>
      <c r="F689" s="466" t="s">
        <v>1220</v>
      </c>
      <c r="G689" s="465"/>
      <c r="H689" s="465">
        <v>5</v>
      </c>
    </row>
    <row r="690" spans="1:8" ht="13.8" thickBot="1">
      <c r="A690" s="465" t="s">
        <v>6035</v>
      </c>
      <c r="B690" s="465" t="s">
        <v>2517</v>
      </c>
      <c r="C690" s="466">
        <v>4</v>
      </c>
      <c r="D690" s="465"/>
      <c r="E690" s="466" t="s">
        <v>2449</v>
      </c>
      <c r="F690" s="466"/>
      <c r="G690" s="465"/>
      <c r="H690" s="465">
        <v>3</v>
      </c>
    </row>
    <row r="691" spans="1:8" ht="13.8" thickBot="1">
      <c r="A691" s="465" t="s">
        <v>6036</v>
      </c>
      <c r="B691" s="465" t="s">
        <v>2455</v>
      </c>
      <c r="C691" s="466">
        <v>4</v>
      </c>
      <c r="D691" s="465"/>
      <c r="E691" s="466" t="s">
        <v>2449</v>
      </c>
      <c r="F691" s="466"/>
      <c r="G691" s="465"/>
      <c r="H691" s="465">
        <v>4</v>
      </c>
    </row>
    <row r="692" spans="1:8" ht="13.8" thickBot="1">
      <c r="A692" s="467" t="s">
        <v>6037</v>
      </c>
      <c r="B692" s="465" t="s">
        <v>2534</v>
      </c>
      <c r="C692" s="466">
        <v>4</v>
      </c>
      <c r="D692" s="465"/>
      <c r="E692" s="466" t="s">
        <v>2523</v>
      </c>
      <c r="F692" s="466" t="s">
        <v>1880</v>
      </c>
      <c r="G692" s="465">
        <v>1</v>
      </c>
      <c r="H692" s="465">
        <v>9</v>
      </c>
    </row>
    <row r="693" spans="1:8" ht="13.8" thickBot="1">
      <c r="A693" s="465" t="s">
        <v>6038</v>
      </c>
      <c r="B693" s="465" t="s">
        <v>1304</v>
      </c>
      <c r="C693" s="466">
        <v>4</v>
      </c>
      <c r="D693" s="465"/>
      <c r="E693" s="466" t="s">
        <v>2523</v>
      </c>
      <c r="F693" s="466" t="s">
        <v>1865</v>
      </c>
      <c r="G693" s="465"/>
      <c r="H693" s="465">
        <v>6</v>
      </c>
    </row>
    <row r="694" spans="1:8" ht="13.8" thickBot="1">
      <c r="A694" s="467" t="s">
        <v>6039</v>
      </c>
      <c r="B694" s="465" t="s">
        <v>1300</v>
      </c>
      <c r="C694" s="466">
        <v>4</v>
      </c>
      <c r="D694" s="465"/>
      <c r="E694" s="466" t="s">
        <v>2523</v>
      </c>
      <c r="F694" s="466" t="s">
        <v>1224</v>
      </c>
      <c r="G694" s="465"/>
      <c r="H694" s="465">
        <v>1</v>
      </c>
    </row>
    <row r="695" spans="1:8" ht="13.8" thickBot="1">
      <c r="A695" s="467" t="s">
        <v>6040</v>
      </c>
      <c r="B695" s="465" t="s">
        <v>1304</v>
      </c>
      <c r="C695" s="466">
        <v>4</v>
      </c>
      <c r="D695" s="465"/>
      <c r="E695" s="466" t="s">
        <v>2523</v>
      </c>
      <c r="F695" s="466" t="s">
        <v>1224</v>
      </c>
      <c r="G695" s="465"/>
      <c r="H695" s="465">
        <v>8</v>
      </c>
    </row>
    <row r="696" spans="1:8" ht="13.8" thickBot="1">
      <c r="A696" s="465" t="s">
        <v>6041</v>
      </c>
      <c r="B696" s="465" t="s">
        <v>2692</v>
      </c>
      <c r="C696" s="466">
        <v>4</v>
      </c>
      <c r="D696" s="465"/>
      <c r="E696" s="466" t="s">
        <v>2523</v>
      </c>
      <c r="F696" s="466" t="s">
        <v>1224</v>
      </c>
      <c r="G696" s="465"/>
      <c r="H696" s="465">
        <v>6</v>
      </c>
    </row>
    <row r="697" spans="1:8" ht="13.8" thickBot="1">
      <c r="A697" s="467" t="s">
        <v>6042</v>
      </c>
      <c r="B697" s="465" t="s">
        <v>2693</v>
      </c>
      <c r="C697" s="466">
        <v>4</v>
      </c>
      <c r="D697" s="465"/>
      <c r="E697" s="466" t="s">
        <v>2523</v>
      </c>
      <c r="F697" s="466" t="s">
        <v>1224</v>
      </c>
      <c r="G697" s="465"/>
      <c r="H697" s="465">
        <v>1</v>
      </c>
    </row>
    <row r="698" spans="1:8" ht="13.8" thickBot="1">
      <c r="A698" s="467" t="s">
        <v>6043</v>
      </c>
      <c r="B698" s="465" t="s">
        <v>2694</v>
      </c>
      <c r="C698" s="466">
        <v>4</v>
      </c>
      <c r="D698" s="467" t="s">
        <v>614</v>
      </c>
      <c r="E698" s="466" t="s">
        <v>2523</v>
      </c>
      <c r="F698" s="466" t="s">
        <v>1936</v>
      </c>
      <c r="G698" s="465"/>
      <c r="H698" s="465">
        <v>10</v>
      </c>
    </row>
    <row r="699" spans="1:8" ht="13.8" thickBot="1">
      <c r="A699" s="465" t="s">
        <v>6044</v>
      </c>
      <c r="B699" s="465" t="s">
        <v>2695</v>
      </c>
      <c r="C699" s="466">
        <v>4</v>
      </c>
      <c r="D699" s="465"/>
      <c r="E699" s="466" t="s">
        <v>2523</v>
      </c>
      <c r="F699" s="466" t="s">
        <v>1220</v>
      </c>
      <c r="G699" s="465"/>
      <c r="H699" s="465">
        <v>2</v>
      </c>
    </row>
    <row r="700" spans="1:8" ht="13.8" thickBot="1">
      <c r="A700" s="467" t="s">
        <v>6045</v>
      </c>
      <c r="B700" s="465" t="s">
        <v>1313</v>
      </c>
      <c r="C700" s="466">
        <v>4</v>
      </c>
      <c r="D700" s="467" t="s">
        <v>614</v>
      </c>
      <c r="E700" s="466" t="s">
        <v>2523</v>
      </c>
      <c r="F700" s="466" t="s">
        <v>1220</v>
      </c>
      <c r="G700" s="465"/>
      <c r="H700" s="465">
        <v>1</v>
      </c>
    </row>
    <row r="701" spans="1:8" ht="13.8" thickBot="1">
      <c r="A701" s="467" t="s">
        <v>6046</v>
      </c>
      <c r="B701" s="465" t="s">
        <v>2696</v>
      </c>
      <c r="C701" s="466">
        <v>4</v>
      </c>
      <c r="D701" s="465"/>
      <c r="E701" s="466" t="s">
        <v>2523</v>
      </c>
      <c r="F701" s="466" t="s">
        <v>1220</v>
      </c>
      <c r="G701" s="465"/>
      <c r="H701" s="465">
        <v>4</v>
      </c>
    </row>
    <row r="702" spans="1:8" ht="13.8" thickBot="1">
      <c r="A702" s="465" t="s">
        <v>6047</v>
      </c>
      <c r="B702" s="465" t="s">
        <v>1300</v>
      </c>
      <c r="C702" s="466">
        <v>4</v>
      </c>
      <c r="D702" s="465"/>
      <c r="E702" s="466" t="s">
        <v>2523</v>
      </c>
      <c r="F702" s="466"/>
      <c r="G702" s="465"/>
      <c r="H702" s="465">
        <v>3</v>
      </c>
    </row>
    <row r="703" spans="1:8" ht="13.8" thickBot="1">
      <c r="A703" s="467" t="s">
        <v>6048</v>
      </c>
      <c r="B703" s="465" t="s">
        <v>1300</v>
      </c>
      <c r="C703" s="466">
        <v>4</v>
      </c>
      <c r="D703" s="465"/>
      <c r="E703" s="466" t="s">
        <v>2523</v>
      </c>
      <c r="F703" s="466"/>
      <c r="G703" s="465"/>
      <c r="H703" s="465">
        <v>2</v>
      </c>
    </row>
    <row r="704" spans="1:8" ht="13.8" thickBot="1">
      <c r="A704" s="465" t="s">
        <v>6049</v>
      </c>
      <c r="B704" s="465" t="s">
        <v>1300</v>
      </c>
      <c r="C704" s="466">
        <v>4</v>
      </c>
      <c r="D704" s="465"/>
      <c r="E704" s="466" t="s">
        <v>2523</v>
      </c>
      <c r="F704" s="466"/>
      <c r="G704" s="465"/>
      <c r="H704" s="465">
        <v>1</v>
      </c>
    </row>
    <row r="705" spans="1:8" ht="13.8" thickBot="1">
      <c r="A705" s="465" t="s">
        <v>6050</v>
      </c>
      <c r="B705" s="465" t="s">
        <v>1300</v>
      </c>
      <c r="C705" s="466">
        <v>4</v>
      </c>
      <c r="D705" s="465"/>
      <c r="E705" s="466" t="s">
        <v>2523</v>
      </c>
      <c r="F705" s="466"/>
      <c r="G705" s="465"/>
      <c r="H705" s="465">
        <v>2</v>
      </c>
    </row>
    <row r="706" spans="1:8" ht="13.8" thickBot="1">
      <c r="A706" s="467" t="s">
        <v>6051</v>
      </c>
      <c r="B706" s="465" t="s">
        <v>1300</v>
      </c>
      <c r="C706" s="466">
        <v>4</v>
      </c>
      <c r="D706" s="465"/>
      <c r="E706" s="466" t="s">
        <v>2523</v>
      </c>
      <c r="F706" s="466"/>
      <c r="G706" s="465"/>
      <c r="H706" s="465">
        <v>17</v>
      </c>
    </row>
    <row r="707" spans="1:8" ht="13.8" thickBot="1">
      <c r="A707" s="467" t="s">
        <v>6052</v>
      </c>
      <c r="B707" s="465" t="s">
        <v>1300</v>
      </c>
      <c r="C707" s="466">
        <v>4</v>
      </c>
      <c r="D707" s="465"/>
      <c r="E707" s="466" t="s">
        <v>2523</v>
      </c>
      <c r="F707" s="466"/>
      <c r="G707" s="465"/>
      <c r="H707" s="465">
        <v>1</v>
      </c>
    </row>
    <row r="708" spans="1:8" ht="13.8" thickBot="1">
      <c r="A708" s="467" t="s">
        <v>6053</v>
      </c>
      <c r="B708" s="465" t="s">
        <v>1300</v>
      </c>
      <c r="C708" s="466">
        <v>4</v>
      </c>
      <c r="D708" s="465"/>
      <c r="E708" s="466" t="s">
        <v>2523</v>
      </c>
      <c r="F708" s="466"/>
      <c r="G708" s="465"/>
      <c r="H708" s="465">
        <v>6</v>
      </c>
    </row>
    <row r="709" spans="1:8" ht="13.8" thickBot="1">
      <c r="A709" s="467" t="s">
        <v>6054</v>
      </c>
      <c r="B709" s="465" t="s">
        <v>1300</v>
      </c>
      <c r="C709" s="466">
        <v>4</v>
      </c>
      <c r="D709" s="465"/>
      <c r="E709" s="466" t="s">
        <v>2523</v>
      </c>
      <c r="F709" s="466"/>
      <c r="G709" s="465"/>
      <c r="H709" s="465">
        <v>1</v>
      </c>
    </row>
    <row r="710" spans="1:8" ht="13.8" thickBot="1">
      <c r="A710" s="465" t="s">
        <v>6055</v>
      </c>
      <c r="B710" s="465" t="s">
        <v>2697</v>
      </c>
      <c r="C710" s="466">
        <v>4</v>
      </c>
      <c r="D710" s="467" t="s">
        <v>614</v>
      </c>
      <c r="E710" s="466" t="s">
        <v>2523</v>
      </c>
      <c r="F710" s="466"/>
      <c r="G710" s="465"/>
      <c r="H710" s="465">
        <v>4</v>
      </c>
    </row>
    <row r="711" spans="1:8" ht="13.8" thickBot="1">
      <c r="A711" s="465" t="s">
        <v>6056</v>
      </c>
      <c r="B711" s="465" t="s">
        <v>1305</v>
      </c>
      <c r="C711" s="466">
        <v>4</v>
      </c>
      <c r="D711" s="465"/>
      <c r="E711" s="466" t="s">
        <v>2523</v>
      </c>
      <c r="F711" s="466"/>
      <c r="G711" s="465"/>
      <c r="H711" s="465">
        <v>1</v>
      </c>
    </row>
    <row r="712" spans="1:8" ht="13.8" thickBot="1">
      <c r="A712" s="465" t="s">
        <v>6057</v>
      </c>
      <c r="B712" s="465" t="s">
        <v>1305</v>
      </c>
      <c r="C712" s="466">
        <v>4</v>
      </c>
      <c r="D712" s="465"/>
      <c r="E712" s="466" t="s">
        <v>2523</v>
      </c>
      <c r="F712" s="466"/>
      <c r="G712" s="465"/>
      <c r="H712" s="465">
        <v>15</v>
      </c>
    </row>
    <row r="713" spans="1:8" ht="13.8" thickBot="1">
      <c r="A713" s="465" t="s">
        <v>6058</v>
      </c>
      <c r="B713" s="465" t="s">
        <v>2698</v>
      </c>
      <c r="C713" s="466">
        <v>4</v>
      </c>
      <c r="D713" s="465"/>
      <c r="E713" s="466" t="s">
        <v>2523</v>
      </c>
      <c r="F713" s="466"/>
      <c r="G713" s="465"/>
      <c r="H713" s="465">
        <v>1</v>
      </c>
    </row>
    <row r="714" spans="1:8" ht="13.8" thickBot="1">
      <c r="A714" s="467" t="s">
        <v>6059</v>
      </c>
      <c r="B714" s="465" t="s">
        <v>1306</v>
      </c>
      <c r="C714" s="466">
        <v>4</v>
      </c>
      <c r="D714" s="465"/>
      <c r="E714" s="466" t="s">
        <v>2523</v>
      </c>
      <c r="F714" s="466"/>
      <c r="G714" s="465"/>
      <c r="H714" s="465">
        <v>2</v>
      </c>
    </row>
    <row r="715" spans="1:8" ht="13.8" thickBot="1">
      <c r="A715" s="467" t="s">
        <v>6060</v>
      </c>
      <c r="B715" s="465" t="s">
        <v>2699</v>
      </c>
      <c r="C715" s="466">
        <v>4</v>
      </c>
      <c r="D715" s="465"/>
      <c r="E715" s="466" t="s">
        <v>2523</v>
      </c>
      <c r="F715" s="466"/>
      <c r="G715" s="465"/>
      <c r="H715" s="465">
        <v>2</v>
      </c>
    </row>
    <row r="716" spans="1:8" ht="13.8" thickBot="1">
      <c r="A716" s="467" t="s">
        <v>6061</v>
      </c>
      <c r="B716" s="465" t="s">
        <v>1308</v>
      </c>
      <c r="C716" s="466">
        <v>4</v>
      </c>
      <c r="D716" s="465"/>
      <c r="E716" s="466" t="s">
        <v>2523</v>
      </c>
      <c r="F716" s="466"/>
      <c r="G716" s="465"/>
      <c r="H716" s="465">
        <v>5</v>
      </c>
    </row>
    <row r="717" spans="1:8" ht="13.8" thickBot="1">
      <c r="A717" s="467" t="s">
        <v>6062</v>
      </c>
      <c r="B717" s="465" t="s">
        <v>2534</v>
      </c>
      <c r="C717" s="466">
        <v>4</v>
      </c>
      <c r="D717" s="465"/>
      <c r="E717" s="466" t="s">
        <v>2523</v>
      </c>
      <c r="F717" s="466"/>
      <c r="G717" s="465">
        <v>1</v>
      </c>
      <c r="H717" s="465">
        <v>4</v>
      </c>
    </row>
    <row r="718" spans="1:8" ht="13.8" thickBot="1">
      <c r="A718" s="467" t="s">
        <v>6063</v>
      </c>
      <c r="B718" s="465" t="s">
        <v>2700</v>
      </c>
      <c r="C718" s="466">
        <v>4</v>
      </c>
      <c r="D718" s="465"/>
      <c r="E718" s="466" t="s">
        <v>2523</v>
      </c>
      <c r="F718" s="466"/>
      <c r="G718" s="465"/>
      <c r="H718" s="465">
        <v>8</v>
      </c>
    </row>
    <row r="719" spans="1:8" ht="13.8" thickBot="1">
      <c r="A719" s="467" t="s">
        <v>6064</v>
      </c>
      <c r="B719" s="465" t="s">
        <v>2681</v>
      </c>
      <c r="C719" s="466">
        <v>4</v>
      </c>
      <c r="D719" s="465"/>
      <c r="E719" s="466" t="s">
        <v>2523</v>
      </c>
      <c r="F719" s="466"/>
      <c r="G719" s="465">
        <v>1</v>
      </c>
      <c r="H719" s="465">
        <v>6</v>
      </c>
    </row>
    <row r="720" spans="1:8" ht="13.8" thickBot="1">
      <c r="A720" s="465" t="s">
        <v>6065</v>
      </c>
      <c r="B720" s="465" t="s">
        <v>1309</v>
      </c>
      <c r="C720" s="466">
        <v>4</v>
      </c>
      <c r="D720" s="465"/>
      <c r="E720" s="466" t="s">
        <v>2523</v>
      </c>
      <c r="F720" s="466"/>
      <c r="G720" s="465"/>
      <c r="H720" s="465">
        <v>9</v>
      </c>
    </row>
    <row r="721" spans="1:8" ht="13.8" thickBot="1">
      <c r="A721" s="465" t="s">
        <v>6066</v>
      </c>
      <c r="B721" s="465" t="s">
        <v>2701</v>
      </c>
      <c r="C721" s="466">
        <v>4</v>
      </c>
      <c r="D721" s="465"/>
      <c r="E721" s="466" t="s">
        <v>2523</v>
      </c>
      <c r="F721" s="466"/>
      <c r="G721" s="465"/>
      <c r="H721" s="465">
        <v>3</v>
      </c>
    </row>
    <row r="722" spans="1:8" ht="13.8" thickBot="1">
      <c r="A722" s="467" t="s">
        <v>6067</v>
      </c>
      <c r="B722" s="465" t="s">
        <v>2702</v>
      </c>
      <c r="C722" s="466">
        <v>4</v>
      </c>
      <c r="D722" s="465"/>
      <c r="E722" s="466" t="s">
        <v>2523</v>
      </c>
      <c r="F722" s="466"/>
      <c r="G722" s="465"/>
      <c r="H722" s="465">
        <v>4</v>
      </c>
    </row>
    <row r="723" spans="1:8" ht="13.8" thickBot="1">
      <c r="A723" s="465" t="s">
        <v>5939</v>
      </c>
      <c r="B723" s="465" t="s">
        <v>1930</v>
      </c>
      <c r="C723" s="466">
        <v>4</v>
      </c>
      <c r="D723" s="465"/>
      <c r="E723" s="466" t="s">
        <v>1922</v>
      </c>
      <c r="F723" s="466" t="s">
        <v>1865</v>
      </c>
      <c r="G723" s="465"/>
      <c r="H723" s="465">
        <v>8</v>
      </c>
    </row>
    <row r="724" spans="1:8" ht="13.8" thickBot="1">
      <c r="A724" s="467" t="s">
        <v>5940</v>
      </c>
      <c r="B724" s="465" t="s">
        <v>1980</v>
      </c>
      <c r="C724" s="466">
        <v>4</v>
      </c>
      <c r="D724" s="467" t="s">
        <v>614</v>
      </c>
      <c r="E724" s="466" t="s">
        <v>1922</v>
      </c>
      <c r="F724" s="466" t="s">
        <v>1865</v>
      </c>
      <c r="G724" s="465"/>
      <c r="H724" s="465">
        <v>5</v>
      </c>
    </row>
    <row r="725" spans="1:8" ht="13.8" thickBot="1">
      <c r="A725" s="465" t="s">
        <v>5941</v>
      </c>
      <c r="B725" s="465" t="s">
        <v>1981</v>
      </c>
      <c r="C725" s="466">
        <v>4</v>
      </c>
      <c r="D725" s="465"/>
      <c r="E725" s="466" t="s">
        <v>1922</v>
      </c>
      <c r="F725" s="466" t="s">
        <v>1865</v>
      </c>
      <c r="G725" s="465"/>
      <c r="H725" s="465">
        <v>9</v>
      </c>
    </row>
    <row r="726" spans="1:8" ht="13.8" thickBot="1">
      <c r="A726" s="467" t="s">
        <v>5942</v>
      </c>
      <c r="B726" s="465" t="s">
        <v>1982</v>
      </c>
      <c r="C726" s="466">
        <v>4</v>
      </c>
      <c r="D726" s="465"/>
      <c r="E726" s="466" t="s">
        <v>1922</v>
      </c>
      <c r="F726" s="466" t="s">
        <v>1910</v>
      </c>
      <c r="G726" s="465"/>
      <c r="H726" s="465">
        <v>6</v>
      </c>
    </row>
    <row r="727" spans="1:8" ht="13.8" thickBot="1">
      <c r="A727" s="467" t="s">
        <v>5943</v>
      </c>
      <c r="B727" s="465" t="s">
        <v>1983</v>
      </c>
      <c r="C727" s="466">
        <v>4</v>
      </c>
      <c r="D727" s="465"/>
      <c r="E727" s="466" t="s">
        <v>1922</v>
      </c>
      <c r="F727" s="466" t="s">
        <v>1226</v>
      </c>
      <c r="G727" s="465"/>
      <c r="H727" s="465">
        <v>1</v>
      </c>
    </row>
    <row r="728" spans="1:8" ht="13.8" thickBot="1">
      <c r="A728" s="467" t="s">
        <v>5944</v>
      </c>
      <c r="B728" s="465" t="s">
        <v>1984</v>
      </c>
      <c r="C728" s="466">
        <v>4</v>
      </c>
      <c r="D728" s="465"/>
      <c r="E728" s="466" t="s">
        <v>1922</v>
      </c>
      <c r="F728" s="466" t="s">
        <v>1226</v>
      </c>
      <c r="G728" s="465"/>
      <c r="H728" s="465">
        <v>1</v>
      </c>
    </row>
    <row r="729" spans="1:8" ht="13.8" thickBot="1">
      <c r="A729" s="467" t="s">
        <v>5945</v>
      </c>
      <c r="B729" s="465" t="s">
        <v>1985</v>
      </c>
      <c r="C729" s="466">
        <v>4</v>
      </c>
      <c r="D729" s="465"/>
      <c r="E729" s="466" t="s">
        <v>1922</v>
      </c>
      <c r="F729" s="466" t="s">
        <v>1224</v>
      </c>
      <c r="G729" s="465"/>
      <c r="H729" s="465">
        <v>11</v>
      </c>
    </row>
    <row r="730" spans="1:8" ht="13.8" thickBot="1">
      <c r="A730" s="467" t="s">
        <v>5946</v>
      </c>
      <c r="B730" s="465" t="s">
        <v>1986</v>
      </c>
      <c r="C730" s="466">
        <v>4</v>
      </c>
      <c r="D730" s="465"/>
      <c r="E730" s="466" t="s">
        <v>1922</v>
      </c>
      <c r="F730" s="466" t="s">
        <v>1975</v>
      </c>
      <c r="G730" s="465">
        <v>1</v>
      </c>
      <c r="H730" s="465">
        <v>6</v>
      </c>
    </row>
    <row r="731" spans="1:8" ht="13.8" thickBot="1">
      <c r="A731" s="467" t="s">
        <v>5947</v>
      </c>
      <c r="B731" s="465" t="s">
        <v>1252</v>
      </c>
      <c r="C731" s="466">
        <v>4</v>
      </c>
      <c r="D731" s="465"/>
      <c r="E731" s="466" t="s">
        <v>1922</v>
      </c>
      <c r="F731" s="466"/>
      <c r="G731" s="465"/>
      <c r="H731" s="465">
        <v>5</v>
      </c>
    </row>
    <row r="732" spans="1:8" ht="13.8" thickBot="1">
      <c r="A732" s="467" t="s">
        <v>5948</v>
      </c>
      <c r="B732" s="465" t="s">
        <v>1252</v>
      </c>
      <c r="C732" s="466">
        <v>4</v>
      </c>
      <c r="D732" s="465"/>
      <c r="E732" s="466" t="s">
        <v>1922</v>
      </c>
      <c r="F732" s="466"/>
      <c r="G732" s="465"/>
      <c r="H732" s="465">
        <v>2</v>
      </c>
    </row>
    <row r="733" spans="1:8" ht="13.8" thickBot="1">
      <c r="A733" s="467" t="s">
        <v>5949</v>
      </c>
      <c r="B733" s="465" t="s">
        <v>1252</v>
      </c>
      <c r="C733" s="466">
        <v>4</v>
      </c>
      <c r="D733" s="465"/>
      <c r="E733" s="466" t="s">
        <v>1922</v>
      </c>
      <c r="F733" s="466"/>
      <c r="G733" s="465"/>
      <c r="H733" s="465">
        <v>3</v>
      </c>
    </row>
    <row r="734" spans="1:8" ht="13.8" thickBot="1">
      <c r="A734" s="467" t="s">
        <v>5950</v>
      </c>
      <c r="B734" s="465" t="s">
        <v>1252</v>
      </c>
      <c r="C734" s="466">
        <v>4</v>
      </c>
      <c r="D734" s="465"/>
      <c r="E734" s="466" t="s">
        <v>1922</v>
      </c>
      <c r="F734" s="466"/>
      <c r="G734" s="465"/>
      <c r="H734" s="465">
        <v>2</v>
      </c>
    </row>
    <row r="735" spans="1:8" ht="13.8" thickBot="1">
      <c r="A735" s="467" t="s">
        <v>5951</v>
      </c>
      <c r="B735" s="465" t="s">
        <v>1252</v>
      </c>
      <c r="C735" s="466">
        <v>4</v>
      </c>
      <c r="D735" s="465"/>
      <c r="E735" s="466" t="s">
        <v>1922</v>
      </c>
      <c r="F735" s="466"/>
      <c r="G735" s="465"/>
      <c r="H735" s="465">
        <v>2</v>
      </c>
    </row>
    <row r="736" spans="1:8" ht="13.8" thickBot="1">
      <c r="A736" s="467" t="s">
        <v>5952</v>
      </c>
      <c r="B736" s="465" t="s">
        <v>1252</v>
      </c>
      <c r="C736" s="466">
        <v>4</v>
      </c>
      <c r="D736" s="465"/>
      <c r="E736" s="466" t="s">
        <v>1922</v>
      </c>
      <c r="F736" s="466"/>
      <c r="G736" s="465"/>
      <c r="H736" s="465">
        <v>2</v>
      </c>
    </row>
    <row r="737" spans="1:8" ht="13.8" thickBot="1">
      <c r="A737" s="465" t="s">
        <v>5953</v>
      </c>
      <c r="B737" s="465" t="s">
        <v>1252</v>
      </c>
      <c r="C737" s="466">
        <v>4</v>
      </c>
      <c r="D737" s="465"/>
      <c r="E737" s="466" t="s">
        <v>1922</v>
      </c>
      <c r="F737" s="466"/>
      <c r="G737" s="465">
        <v>1</v>
      </c>
      <c r="H737" s="465">
        <v>4</v>
      </c>
    </row>
    <row r="738" spans="1:8" ht="13.8" thickBot="1">
      <c r="A738" s="467" t="s">
        <v>5954</v>
      </c>
      <c r="B738" s="465" t="s">
        <v>1252</v>
      </c>
      <c r="C738" s="466">
        <v>4</v>
      </c>
      <c r="D738" s="465"/>
      <c r="E738" s="466" t="s">
        <v>1922</v>
      </c>
      <c r="F738" s="466"/>
      <c r="G738" s="465"/>
      <c r="H738" s="465">
        <v>1</v>
      </c>
    </row>
    <row r="739" spans="1:8" ht="13.8" thickBot="1">
      <c r="A739" s="465" t="s">
        <v>5955</v>
      </c>
      <c r="B739" s="465" t="s">
        <v>1267</v>
      </c>
      <c r="C739" s="466">
        <v>4</v>
      </c>
      <c r="D739" s="465"/>
      <c r="E739" s="466" t="s">
        <v>1922</v>
      </c>
      <c r="F739" s="466"/>
      <c r="G739" s="465"/>
      <c r="H739" s="465">
        <v>2</v>
      </c>
    </row>
    <row r="740" spans="1:8" ht="13.8" thickBot="1">
      <c r="A740" s="467" t="s">
        <v>5956</v>
      </c>
      <c r="B740" s="465" t="s">
        <v>1267</v>
      </c>
      <c r="C740" s="466">
        <v>4</v>
      </c>
      <c r="D740" s="465"/>
      <c r="E740" s="466" t="s">
        <v>1922</v>
      </c>
      <c r="F740" s="466"/>
      <c r="G740" s="465"/>
      <c r="H740" s="465">
        <v>1</v>
      </c>
    </row>
    <row r="741" spans="1:8" ht="13.8" thickBot="1">
      <c r="A741" s="467" t="s">
        <v>5957</v>
      </c>
      <c r="B741" s="465" t="s">
        <v>1257</v>
      </c>
      <c r="C741" s="466">
        <v>4</v>
      </c>
      <c r="D741" s="465"/>
      <c r="E741" s="466" t="s">
        <v>1922</v>
      </c>
      <c r="F741" s="466"/>
      <c r="G741" s="465">
        <v>1</v>
      </c>
      <c r="H741" s="465">
        <v>4</v>
      </c>
    </row>
    <row r="742" spans="1:8" ht="13.8" thickBot="1">
      <c r="A742" s="467" t="s">
        <v>5958</v>
      </c>
      <c r="B742" s="465" t="s">
        <v>1257</v>
      </c>
      <c r="C742" s="466">
        <v>4</v>
      </c>
      <c r="D742" s="465"/>
      <c r="E742" s="466" t="s">
        <v>1922</v>
      </c>
      <c r="F742" s="466"/>
      <c r="G742" s="465">
        <v>2</v>
      </c>
      <c r="H742" s="465">
        <v>7</v>
      </c>
    </row>
    <row r="743" spans="1:8" ht="13.8" thickBot="1">
      <c r="A743" s="467" t="s">
        <v>5959</v>
      </c>
      <c r="B743" s="465" t="s">
        <v>1257</v>
      </c>
      <c r="C743" s="466">
        <v>4</v>
      </c>
      <c r="D743" s="465"/>
      <c r="E743" s="466" t="s">
        <v>1922</v>
      </c>
      <c r="F743" s="466"/>
      <c r="G743" s="465"/>
      <c r="H743" s="465">
        <v>2</v>
      </c>
    </row>
    <row r="744" spans="1:8" ht="13.8" thickBot="1">
      <c r="A744" s="467" t="s">
        <v>5960</v>
      </c>
      <c r="B744" s="465" t="s">
        <v>1987</v>
      </c>
      <c r="C744" s="466">
        <v>4</v>
      </c>
      <c r="D744" s="465"/>
      <c r="E744" s="466" t="s">
        <v>1922</v>
      </c>
      <c r="F744" s="466"/>
      <c r="G744" s="465"/>
      <c r="H744" s="465">
        <v>2</v>
      </c>
    </row>
    <row r="745" spans="1:8" ht="13.8" thickBot="1">
      <c r="A745" s="467" t="s">
        <v>5961</v>
      </c>
      <c r="B745" s="465" t="s">
        <v>1988</v>
      </c>
      <c r="C745" s="466">
        <v>4</v>
      </c>
      <c r="D745" s="465"/>
      <c r="E745" s="466" t="s">
        <v>1922</v>
      </c>
      <c r="F745" s="466"/>
      <c r="G745" s="465"/>
      <c r="H745" s="465">
        <v>1</v>
      </c>
    </row>
    <row r="746" spans="1:8" ht="13.8" thickBot="1">
      <c r="A746" s="467" t="s">
        <v>5962</v>
      </c>
      <c r="B746" s="465" t="s">
        <v>1942</v>
      </c>
      <c r="C746" s="466">
        <v>4</v>
      </c>
      <c r="D746" s="465"/>
      <c r="E746" s="466" t="s">
        <v>1922</v>
      </c>
      <c r="F746" s="466"/>
      <c r="G746" s="465"/>
      <c r="H746" s="465">
        <v>2</v>
      </c>
    </row>
    <row r="747" spans="1:8" ht="13.8" thickBot="1">
      <c r="A747" s="467" t="s">
        <v>5963</v>
      </c>
      <c r="B747" s="465" t="s">
        <v>1258</v>
      </c>
      <c r="C747" s="466">
        <v>4</v>
      </c>
      <c r="D747" s="465"/>
      <c r="E747" s="466" t="s">
        <v>1922</v>
      </c>
      <c r="F747" s="466"/>
      <c r="G747" s="465"/>
      <c r="H747" s="465">
        <v>5</v>
      </c>
    </row>
    <row r="748" spans="1:8" ht="13.8" thickBot="1">
      <c r="A748" s="465" t="s">
        <v>5964</v>
      </c>
      <c r="B748" s="465" t="s">
        <v>1256</v>
      </c>
      <c r="C748" s="466">
        <v>4</v>
      </c>
      <c r="D748" s="465"/>
      <c r="E748" s="466" t="s">
        <v>1922</v>
      </c>
      <c r="F748" s="466"/>
      <c r="G748" s="465"/>
      <c r="H748" s="465">
        <v>4</v>
      </c>
    </row>
    <row r="749" spans="1:8" ht="13.8" thickBot="1">
      <c r="A749" s="467" t="s">
        <v>5965</v>
      </c>
      <c r="B749" s="465" t="s">
        <v>1256</v>
      </c>
      <c r="C749" s="466">
        <v>4</v>
      </c>
      <c r="D749" s="465"/>
      <c r="E749" s="466" t="s">
        <v>1922</v>
      </c>
      <c r="F749" s="466"/>
      <c r="G749" s="465"/>
      <c r="H749" s="465">
        <v>5</v>
      </c>
    </row>
    <row r="750" spans="1:8" ht="13.8" thickBot="1">
      <c r="A750" s="467" t="s">
        <v>5966</v>
      </c>
      <c r="B750" s="465" t="s">
        <v>1256</v>
      </c>
      <c r="C750" s="466">
        <v>4</v>
      </c>
      <c r="D750" s="467" t="s">
        <v>614</v>
      </c>
      <c r="E750" s="466" t="s">
        <v>1922</v>
      </c>
      <c r="F750" s="466"/>
      <c r="G750" s="465"/>
      <c r="H750" s="465">
        <v>1</v>
      </c>
    </row>
    <row r="751" spans="1:8" ht="13.8" thickBot="1">
      <c r="A751" s="465" t="s">
        <v>5967</v>
      </c>
      <c r="B751" s="465" t="s">
        <v>1261</v>
      </c>
      <c r="C751" s="466">
        <v>4</v>
      </c>
      <c r="D751" s="465"/>
      <c r="E751" s="466" t="s">
        <v>1922</v>
      </c>
      <c r="F751" s="466"/>
      <c r="G751" s="465"/>
      <c r="H751" s="465">
        <v>6</v>
      </c>
    </row>
    <row r="752" spans="1:8" ht="13.8" thickBot="1">
      <c r="A752" s="465" t="s">
        <v>5968</v>
      </c>
      <c r="B752" s="465" t="s">
        <v>1261</v>
      </c>
      <c r="C752" s="466">
        <v>4</v>
      </c>
      <c r="D752" s="465"/>
      <c r="E752" s="466" t="s">
        <v>1922</v>
      </c>
      <c r="F752" s="466"/>
      <c r="G752" s="465"/>
      <c r="H752" s="465">
        <v>2</v>
      </c>
    </row>
    <row r="753" spans="1:8" ht="13.8" thickBot="1">
      <c r="A753" s="465" t="s">
        <v>5969</v>
      </c>
      <c r="B753" s="465" t="s">
        <v>1989</v>
      </c>
      <c r="C753" s="466">
        <v>4</v>
      </c>
      <c r="D753" s="465"/>
      <c r="E753" s="466" t="s">
        <v>1922</v>
      </c>
      <c r="F753" s="466"/>
      <c r="G753" s="465"/>
      <c r="H753" s="465">
        <v>3</v>
      </c>
    </row>
    <row r="754" spans="1:8" ht="13.8" thickBot="1">
      <c r="A754" s="467" t="s">
        <v>5970</v>
      </c>
      <c r="B754" s="465" t="s">
        <v>1990</v>
      </c>
      <c r="C754" s="466">
        <v>4</v>
      </c>
      <c r="D754" s="465"/>
      <c r="E754" s="466" t="s">
        <v>1922</v>
      </c>
      <c r="F754" s="466"/>
      <c r="G754" s="465"/>
      <c r="H754" s="465">
        <v>2</v>
      </c>
    </row>
    <row r="755" spans="1:8" ht="13.8" thickBot="1">
      <c r="A755" s="467" t="s">
        <v>6068</v>
      </c>
      <c r="B755" s="465" t="s">
        <v>2750</v>
      </c>
      <c r="C755" s="466">
        <v>4</v>
      </c>
      <c r="D755" s="465"/>
      <c r="E755" s="466" t="s">
        <v>2747</v>
      </c>
      <c r="F755" s="466"/>
      <c r="G755" s="465"/>
      <c r="H755" s="465">
        <v>1</v>
      </c>
    </row>
    <row r="756" spans="1:8" ht="13.8" thickBot="1">
      <c r="A756" s="467" t="s">
        <v>6069</v>
      </c>
      <c r="B756" s="465" t="s">
        <v>2777</v>
      </c>
      <c r="C756" s="466">
        <v>4</v>
      </c>
      <c r="D756" s="467" t="s">
        <v>614</v>
      </c>
      <c r="E756" s="466" t="s">
        <v>2764</v>
      </c>
      <c r="F756" s="466"/>
      <c r="G756" s="465">
        <v>1</v>
      </c>
      <c r="H756" s="465">
        <v>4</v>
      </c>
    </row>
    <row r="757" spans="1:8" ht="13.8" thickBot="1">
      <c r="A757" s="467" t="s">
        <v>6070</v>
      </c>
      <c r="B757" s="465" t="s">
        <v>2831</v>
      </c>
      <c r="C757" s="466">
        <v>4</v>
      </c>
      <c r="D757" s="465"/>
      <c r="E757" s="466" t="s">
        <v>2797</v>
      </c>
      <c r="F757" s="466" t="s">
        <v>1865</v>
      </c>
      <c r="G757" s="465"/>
      <c r="H757" s="465">
        <v>6</v>
      </c>
    </row>
    <row r="758" spans="1:8" ht="13.8" thickBot="1">
      <c r="A758" s="467" t="s">
        <v>6071</v>
      </c>
      <c r="B758" s="465" t="s">
        <v>1331</v>
      </c>
      <c r="C758" s="466">
        <v>4</v>
      </c>
      <c r="D758" s="465"/>
      <c r="E758" s="466" t="s">
        <v>2797</v>
      </c>
      <c r="F758" s="466" t="s">
        <v>1224</v>
      </c>
      <c r="G758" s="465"/>
      <c r="H758" s="465">
        <v>8</v>
      </c>
    </row>
    <row r="759" spans="1:8" ht="13.8" thickBot="1">
      <c r="A759" s="465" t="s">
        <v>6072</v>
      </c>
      <c r="B759" s="465" t="s">
        <v>1331</v>
      </c>
      <c r="C759" s="466">
        <v>4</v>
      </c>
      <c r="D759" s="465"/>
      <c r="E759" s="466" t="s">
        <v>2797</v>
      </c>
      <c r="F759" s="466" t="s">
        <v>1224</v>
      </c>
      <c r="G759" s="465"/>
      <c r="H759" s="465">
        <v>5</v>
      </c>
    </row>
    <row r="760" spans="1:8" ht="13.8" thickBot="1">
      <c r="A760" s="465" t="s">
        <v>6073</v>
      </c>
      <c r="B760" s="465" t="s">
        <v>1331</v>
      </c>
      <c r="C760" s="466">
        <v>4</v>
      </c>
      <c r="D760" s="465"/>
      <c r="E760" s="466" t="s">
        <v>2797</v>
      </c>
      <c r="F760" s="466" t="s">
        <v>1220</v>
      </c>
      <c r="G760" s="465"/>
      <c r="H760" s="465">
        <v>6</v>
      </c>
    </row>
    <row r="761" spans="1:8" ht="13.8" thickBot="1">
      <c r="A761" s="467" t="s">
        <v>6074</v>
      </c>
      <c r="B761" s="465" t="s">
        <v>2832</v>
      </c>
      <c r="C761" s="466">
        <v>4</v>
      </c>
      <c r="D761" s="465"/>
      <c r="E761" s="466" t="s">
        <v>2797</v>
      </c>
      <c r="F761" s="466" t="s">
        <v>1220</v>
      </c>
      <c r="G761" s="465"/>
      <c r="H761" s="465">
        <v>4</v>
      </c>
    </row>
    <row r="762" spans="1:8" ht="13.8" thickBot="1">
      <c r="A762" s="465" t="s">
        <v>6075</v>
      </c>
      <c r="B762" s="465" t="s">
        <v>1331</v>
      </c>
      <c r="C762" s="466">
        <v>4</v>
      </c>
      <c r="D762" s="465"/>
      <c r="E762" s="466" t="s">
        <v>2797</v>
      </c>
      <c r="F762" s="466"/>
      <c r="G762" s="465">
        <v>1</v>
      </c>
      <c r="H762" s="465">
        <v>3</v>
      </c>
    </row>
    <row r="763" spans="1:8" ht="13.8" thickBot="1">
      <c r="A763" s="465" t="s">
        <v>6076</v>
      </c>
      <c r="B763" s="465" t="s">
        <v>1331</v>
      </c>
      <c r="C763" s="466">
        <v>4</v>
      </c>
      <c r="D763" s="467" t="s">
        <v>614</v>
      </c>
      <c r="E763" s="466" t="s">
        <v>2797</v>
      </c>
      <c r="F763" s="466"/>
      <c r="G763" s="465"/>
      <c r="H763" s="465">
        <v>5</v>
      </c>
    </row>
    <row r="764" spans="1:8" ht="13.8" thickBot="1">
      <c r="A764" s="465" t="s">
        <v>6077</v>
      </c>
      <c r="B764" s="465" t="s">
        <v>2833</v>
      </c>
      <c r="C764" s="466">
        <v>4</v>
      </c>
      <c r="D764" s="467" t="s">
        <v>614</v>
      </c>
      <c r="E764" s="466" t="s">
        <v>2797</v>
      </c>
      <c r="F764" s="466"/>
      <c r="G764" s="465"/>
      <c r="H764" s="465">
        <v>3</v>
      </c>
    </row>
    <row r="765" spans="1:8" ht="13.8" thickBot="1">
      <c r="A765" s="465" t="s">
        <v>6078</v>
      </c>
      <c r="B765" s="465" t="s">
        <v>2834</v>
      </c>
      <c r="C765" s="466">
        <v>4</v>
      </c>
      <c r="D765" s="467" t="s">
        <v>614</v>
      </c>
      <c r="E765" s="466" t="s">
        <v>2797</v>
      </c>
      <c r="F765" s="466"/>
      <c r="G765" s="465"/>
      <c r="H765" s="465">
        <v>1</v>
      </c>
    </row>
    <row r="766" spans="1:8" ht="13.8" thickBot="1">
      <c r="A766" s="465" t="s">
        <v>6079</v>
      </c>
      <c r="B766" s="465" t="s">
        <v>2835</v>
      </c>
      <c r="C766" s="466">
        <v>4</v>
      </c>
      <c r="D766" s="465"/>
      <c r="E766" s="466" t="s">
        <v>2797</v>
      </c>
      <c r="F766" s="466"/>
      <c r="G766" s="465"/>
      <c r="H766" s="465">
        <v>1</v>
      </c>
    </row>
    <row r="767" spans="1:8" ht="13.8" thickBot="1">
      <c r="A767" s="467" t="s">
        <v>6080</v>
      </c>
      <c r="B767" s="465" t="s">
        <v>2824</v>
      </c>
      <c r="C767" s="466">
        <v>4</v>
      </c>
      <c r="D767" s="465"/>
      <c r="E767" s="466" t="s">
        <v>2797</v>
      </c>
      <c r="F767" s="466"/>
      <c r="G767" s="465"/>
      <c r="H767" s="465">
        <v>3</v>
      </c>
    </row>
    <row r="768" spans="1:8" ht="13.8" thickBot="1">
      <c r="A768" s="465" t="s">
        <v>6081</v>
      </c>
      <c r="B768" s="465" t="s">
        <v>2836</v>
      </c>
      <c r="C768" s="466">
        <v>4</v>
      </c>
      <c r="D768" s="465"/>
      <c r="E768" s="466" t="s">
        <v>2797</v>
      </c>
      <c r="F768" s="466"/>
      <c r="G768" s="465"/>
      <c r="H768" s="465">
        <v>1</v>
      </c>
    </row>
    <row r="769" spans="1:8" ht="13.8" thickBot="1">
      <c r="A769" s="467" t="s">
        <v>6082</v>
      </c>
      <c r="B769" s="465" t="s">
        <v>1340</v>
      </c>
      <c r="C769" s="466">
        <v>4</v>
      </c>
      <c r="D769" s="465"/>
      <c r="E769" s="466" t="s">
        <v>2841</v>
      </c>
      <c r="F769" s="466" t="s">
        <v>1224</v>
      </c>
      <c r="G769" s="465"/>
      <c r="H769" s="465">
        <v>10</v>
      </c>
    </row>
    <row r="770" spans="1:8" ht="13.8" thickBot="1">
      <c r="A770" s="467" t="s">
        <v>6083</v>
      </c>
      <c r="B770" s="465" t="s">
        <v>2879</v>
      </c>
      <c r="C770" s="466">
        <v>4</v>
      </c>
      <c r="D770" s="465"/>
      <c r="E770" s="466" t="s">
        <v>2841</v>
      </c>
      <c r="F770" s="466"/>
      <c r="G770" s="465"/>
      <c r="H770" s="465">
        <v>1</v>
      </c>
    </row>
    <row r="771" spans="1:8" ht="13.8" thickBot="1">
      <c r="A771" s="465" t="s">
        <v>6084</v>
      </c>
      <c r="B771" s="465" t="s">
        <v>2880</v>
      </c>
      <c r="C771" s="466">
        <v>4</v>
      </c>
      <c r="D771" s="465"/>
      <c r="E771" s="466" t="s">
        <v>2841</v>
      </c>
      <c r="F771" s="466"/>
      <c r="G771" s="465">
        <v>1</v>
      </c>
      <c r="H771" s="465">
        <v>7</v>
      </c>
    </row>
    <row r="772" spans="1:8" ht="13.8" thickBot="1">
      <c r="A772" s="467" t="s">
        <v>6085</v>
      </c>
      <c r="B772" s="465" t="s">
        <v>2881</v>
      </c>
      <c r="C772" s="466">
        <v>4</v>
      </c>
      <c r="D772" s="465"/>
      <c r="E772" s="466" t="s">
        <v>2841</v>
      </c>
      <c r="F772" s="466"/>
      <c r="G772" s="465"/>
      <c r="H772" s="465">
        <v>1</v>
      </c>
    </row>
    <row r="773" spans="1:8" ht="13.8" thickBot="1">
      <c r="A773" s="465" t="s">
        <v>6086</v>
      </c>
      <c r="B773" s="465" t="s">
        <v>2894</v>
      </c>
      <c r="C773" s="466">
        <v>4</v>
      </c>
      <c r="D773" s="465"/>
      <c r="E773" s="466" t="s">
        <v>2884</v>
      </c>
      <c r="F773" s="466" t="s">
        <v>1226</v>
      </c>
      <c r="G773" s="465"/>
      <c r="H773" s="465">
        <v>8</v>
      </c>
    </row>
    <row r="774" spans="1:8" ht="13.8" thickBot="1">
      <c r="A774" s="467" t="s">
        <v>6087</v>
      </c>
      <c r="B774" s="465" t="s">
        <v>2895</v>
      </c>
      <c r="C774" s="466">
        <v>4</v>
      </c>
      <c r="D774" s="465"/>
      <c r="E774" s="466" t="s">
        <v>2884</v>
      </c>
      <c r="F774" s="466"/>
      <c r="G774" s="465"/>
      <c r="H774" s="465">
        <v>5</v>
      </c>
    </row>
    <row r="775" spans="1:8" ht="13.8" thickBot="1">
      <c r="A775" s="467" t="s">
        <v>6088</v>
      </c>
      <c r="B775" s="465" t="s">
        <v>1352</v>
      </c>
      <c r="C775" s="466">
        <v>4</v>
      </c>
      <c r="D775" s="465"/>
      <c r="E775" s="466" t="s">
        <v>2884</v>
      </c>
      <c r="F775" s="466"/>
      <c r="G775" s="465"/>
      <c r="H775" s="465">
        <v>12</v>
      </c>
    </row>
    <row r="776" spans="1:8" ht="13.8" thickBot="1">
      <c r="A776" s="467" t="s">
        <v>6089</v>
      </c>
      <c r="B776" s="465" t="s">
        <v>1356</v>
      </c>
      <c r="C776" s="466">
        <v>4</v>
      </c>
      <c r="D776" s="465"/>
      <c r="E776" s="466" t="s">
        <v>2899</v>
      </c>
      <c r="F776" s="466" t="s">
        <v>1880</v>
      </c>
      <c r="G776" s="465"/>
      <c r="H776" s="465">
        <v>10</v>
      </c>
    </row>
    <row r="777" spans="1:8" ht="13.8" thickBot="1">
      <c r="A777" s="467" t="s">
        <v>6090</v>
      </c>
      <c r="B777" s="465" t="s">
        <v>1356</v>
      </c>
      <c r="C777" s="466">
        <v>4</v>
      </c>
      <c r="D777" s="467" t="s">
        <v>614</v>
      </c>
      <c r="E777" s="466" t="s">
        <v>2899</v>
      </c>
      <c r="F777" s="466" t="s">
        <v>1226</v>
      </c>
      <c r="G777" s="465"/>
      <c r="H777" s="465">
        <v>2</v>
      </c>
    </row>
    <row r="778" spans="1:8" ht="13.8" thickBot="1">
      <c r="A778" s="467" t="s">
        <v>6091</v>
      </c>
      <c r="B778" s="465" t="s">
        <v>1356</v>
      </c>
      <c r="C778" s="466">
        <v>4</v>
      </c>
      <c r="D778" s="465"/>
      <c r="E778" s="466" t="s">
        <v>2899</v>
      </c>
      <c r="F778" s="466" t="s">
        <v>1224</v>
      </c>
      <c r="G778" s="465"/>
      <c r="H778" s="465">
        <v>17</v>
      </c>
    </row>
    <row r="779" spans="1:8" ht="13.8" thickBot="1">
      <c r="A779" s="465" t="s">
        <v>6092</v>
      </c>
      <c r="B779" s="465" t="s">
        <v>1356</v>
      </c>
      <c r="C779" s="466">
        <v>4</v>
      </c>
      <c r="D779" s="467" t="s">
        <v>614</v>
      </c>
      <c r="E779" s="466" t="s">
        <v>2899</v>
      </c>
      <c r="F779" s="466"/>
      <c r="G779" s="465"/>
      <c r="H779" s="465">
        <v>10</v>
      </c>
    </row>
    <row r="780" spans="1:8" ht="13.8" thickBot="1">
      <c r="A780" s="467" t="s">
        <v>5971</v>
      </c>
      <c r="B780" s="465" t="s">
        <v>2018</v>
      </c>
      <c r="C780" s="466">
        <v>4</v>
      </c>
      <c r="D780" s="465"/>
      <c r="E780" s="466" t="s">
        <v>1997</v>
      </c>
      <c r="F780" s="466" t="s">
        <v>1910</v>
      </c>
      <c r="G780" s="465"/>
      <c r="H780" s="465">
        <v>8</v>
      </c>
    </row>
    <row r="781" spans="1:8" ht="13.8" thickBot="1">
      <c r="A781" s="467" t="s">
        <v>5972</v>
      </c>
      <c r="B781" s="465" t="s">
        <v>2019</v>
      </c>
      <c r="C781" s="466">
        <v>4</v>
      </c>
      <c r="D781" s="465"/>
      <c r="E781" s="466" t="s">
        <v>1997</v>
      </c>
      <c r="F781" s="466" t="s">
        <v>1220</v>
      </c>
      <c r="G781" s="465"/>
      <c r="H781" s="465">
        <v>2</v>
      </c>
    </row>
    <row r="782" spans="1:8" ht="13.8" thickBot="1">
      <c r="A782" s="467" t="s">
        <v>5973</v>
      </c>
      <c r="B782" s="465" t="s">
        <v>1752</v>
      </c>
      <c r="C782" s="466">
        <v>4</v>
      </c>
      <c r="D782" s="465"/>
      <c r="E782" s="466" t="s">
        <v>1997</v>
      </c>
      <c r="F782" s="466"/>
      <c r="G782" s="465"/>
      <c r="H782" s="465">
        <v>1</v>
      </c>
    </row>
    <row r="783" spans="1:8" ht="13.8" thickBot="1">
      <c r="A783" s="467" t="s">
        <v>5974</v>
      </c>
      <c r="B783" s="465" t="s">
        <v>1752</v>
      </c>
      <c r="C783" s="466">
        <v>4</v>
      </c>
      <c r="D783" s="465"/>
      <c r="E783" s="466" t="s">
        <v>1997</v>
      </c>
      <c r="F783" s="466"/>
      <c r="G783" s="465"/>
      <c r="H783" s="465">
        <v>1</v>
      </c>
    </row>
    <row r="784" spans="1:8" ht="13.8" thickBot="1">
      <c r="A784" s="465" t="s">
        <v>5975</v>
      </c>
      <c r="B784" s="465" t="s">
        <v>1752</v>
      </c>
      <c r="C784" s="466">
        <v>4</v>
      </c>
      <c r="D784" s="465"/>
      <c r="E784" s="466" t="s">
        <v>1997</v>
      </c>
      <c r="F784" s="466"/>
      <c r="G784" s="465"/>
      <c r="H784" s="465">
        <v>1</v>
      </c>
    </row>
    <row r="785" spans="1:8" ht="13.8" thickBot="1">
      <c r="A785" s="465" t="s">
        <v>909</v>
      </c>
      <c r="B785" s="465" t="s">
        <v>2020</v>
      </c>
      <c r="C785" s="466">
        <v>4</v>
      </c>
      <c r="D785" s="465"/>
      <c r="E785" s="466" t="s">
        <v>1997</v>
      </c>
      <c r="F785" s="466"/>
      <c r="G785" s="465"/>
      <c r="H785" s="465">
        <v>1</v>
      </c>
    </row>
    <row r="786" spans="1:8" ht="13.8" thickBot="1">
      <c r="A786" s="467" t="s">
        <v>5958</v>
      </c>
      <c r="B786" s="465" t="s">
        <v>2021</v>
      </c>
      <c r="C786" s="466">
        <v>4</v>
      </c>
      <c r="D786" s="465"/>
      <c r="E786" s="466" t="s">
        <v>1997</v>
      </c>
      <c r="F786" s="466"/>
      <c r="G786" s="465"/>
      <c r="H786" s="465">
        <v>2</v>
      </c>
    </row>
    <row r="787" spans="1:8" ht="13.8" thickBot="1">
      <c r="A787" s="467" t="s">
        <v>5976</v>
      </c>
      <c r="B787" s="465" t="s">
        <v>2016</v>
      </c>
      <c r="C787" s="466">
        <v>4</v>
      </c>
      <c r="D787" s="465"/>
      <c r="E787" s="466" t="s">
        <v>1997</v>
      </c>
      <c r="F787" s="466"/>
      <c r="G787" s="465"/>
      <c r="H787" s="465">
        <v>1</v>
      </c>
    </row>
    <row r="788" spans="1:8" ht="13.8" thickBot="1">
      <c r="A788" s="465" t="s">
        <v>5977</v>
      </c>
      <c r="B788" s="465" t="s">
        <v>2022</v>
      </c>
      <c r="C788" s="466">
        <v>4</v>
      </c>
      <c r="D788" s="467" t="s">
        <v>614</v>
      </c>
      <c r="E788" s="466" t="s">
        <v>1997</v>
      </c>
      <c r="F788" s="466"/>
      <c r="G788" s="465"/>
      <c r="H788" s="465">
        <v>2</v>
      </c>
    </row>
    <row r="789" spans="1:8" ht="13.8" thickBot="1">
      <c r="A789" s="465" t="s">
        <v>5978</v>
      </c>
      <c r="B789" s="465" t="s">
        <v>2023</v>
      </c>
      <c r="C789" s="466">
        <v>4</v>
      </c>
      <c r="D789" s="465"/>
      <c r="E789" s="466" t="s">
        <v>1997</v>
      </c>
      <c r="F789" s="466"/>
      <c r="G789" s="465"/>
      <c r="H789" s="465">
        <v>2</v>
      </c>
    </row>
    <row r="790" spans="1:8" ht="13.8" thickBot="1">
      <c r="A790" s="467" t="s">
        <v>6093</v>
      </c>
      <c r="B790" s="465" t="s">
        <v>2941</v>
      </c>
      <c r="C790" s="466">
        <v>4</v>
      </c>
      <c r="D790" s="465"/>
      <c r="E790" s="466" t="s">
        <v>2922</v>
      </c>
      <c r="F790" s="466" t="s">
        <v>1880</v>
      </c>
      <c r="G790" s="465"/>
      <c r="H790" s="465">
        <v>5</v>
      </c>
    </row>
    <row r="791" spans="1:8" ht="13.8" thickBot="1">
      <c r="A791" s="465" t="s">
        <v>6094</v>
      </c>
      <c r="B791" s="465" t="s">
        <v>2941</v>
      </c>
      <c r="C791" s="466">
        <v>4</v>
      </c>
      <c r="D791" s="465"/>
      <c r="E791" s="466" t="s">
        <v>2922</v>
      </c>
      <c r="F791" s="466"/>
      <c r="G791" s="465"/>
      <c r="H791" s="465">
        <v>4</v>
      </c>
    </row>
    <row r="792" spans="1:8" ht="13.8" thickBot="1">
      <c r="A792" s="467" t="s">
        <v>6095</v>
      </c>
      <c r="B792" s="465" t="s">
        <v>1365</v>
      </c>
      <c r="C792" s="466">
        <v>4</v>
      </c>
      <c r="D792" s="465"/>
      <c r="E792" s="466" t="s">
        <v>2943</v>
      </c>
      <c r="F792" s="466"/>
      <c r="G792" s="465"/>
      <c r="H792" s="465">
        <v>2</v>
      </c>
    </row>
    <row r="793" spans="1:8" ht="13.8" thickBot="1">
      <c r="A793" s="465" t="s">
        <v>6096</v>
      </c>
      <c r="B793" s="465" t="s">
        <v>3014</v>
      </c>
      <c r="C793" s="466">
        <v>4</v>
      </c>
      <c r="D793" s="465"/>
      <c r="E793" s="466" t="s">
        <v>2957</v>
      </c>
      <c r="F793" s="466" t="s">
        <v>1880</v>
      </c>
      <c r="G793" s="465">
        <v>1</v>
      </c>
      <c r="H793" s="465">
        <v>16</v>
      </c>
    </row>
    <row r="794" spans="1:8" ht="13.8" thickBot="1">
      <c r="A794" s="467" t="s">
        <v>6097</v>
      </c>
      <c r="B794" s="465" t="s">
        <v>1552</v>
      </c>
      <c r="C794" s="466">
        <v>4</v>
      </c>
      <c r="D794" s="465"/>
      <c r="E794" s="466" t="s">
        <v>2957</v>
      </c>
      <c r="F794" s="466" t="s">
        <v>1865</v>
      </c>
      <c r="G794" s="465"/>
      <c r="H794" s="465">
        <v>4</v>
      </c>
    </row>
    <row r="795" spans="1:8" ht="13.8" thickBot="1">
      <c r="A795" s="465" t="s">
        <v>6098</v>
      </c>
      <c r="B795" s="465" t="s">
        <v>1558</v>
      </c>
      <c r="C795" s="466">
        <v>4</v>
      </c>
      <c r="D795" s="467" t="s">
        <v>614</v>
      </c>
      <c r="E795" s="466" t="s">
        <v>2957</v>
      </c>
      <c r="F795" s="466" t="s">
        <v>1865</v>
      </c>
      <c r="G795" s="465">
        <v>1</v>
      </c>
      <c r="H795" s="465">
        <v>17</v>
      </c>
    </row>
    <row r="796" spans="1:8" ht="13.8" thickBot="1">
      <c r="A796" s="465" t="s">
        <v>6099</v>
      </c>
      <c r="B796" s="465" t="s">
        <v>1559</v>
      </c>
      <c r="C796" s="466">
        <v>4</v>
      </c>
      <c r="D796" s="467" t="s">
        <v>614</v>
      </c>
      <c r="E796" s="466" t="s">
        <v>2957</v>
      </c>
      <c r="F796" s="466" t="s">
        <v>2374</v>
      </c>
      <c r="G796" s="465">
        <v>1</v>
      </c>
      <c r="H796" s="465">
        <v>12</v>
      </c>
    </row>
    <row r="797" spans="1:8" ht="13.8" thickBot="1">
      <c r="A797" s="467" t="s">
        <v>6100</v>
      </c>
      <c r="B797" s="465" t="s">
        <v>1552</v>
      </c>
      <c r="C797" s="466">
        <v>4</v>
      </c>
      <c r="D797" s="465"/>
      <c r="E797" s="466" t="s">
        <v>2957</v>
      </c>
      <c r="F797" s="466" t="s">
        <v>1226</v>
      </c>
      <c r="G797" s="465"/>
      <c r="H797" s="465">
        <v>2</v>
      </c>
    </row>
    <row r="798" spans="1:8" ht="13.8" thickBot="1">
      <c r="A798" s="465" t="s">
        <v>6101</v>
      </c>
      <c r="B798" s="465" t="s">
        <v>3065</v>
      </c>
      <c r="C798" s="466">
        <v>4</v>
      </c>
      <c r="D798" s="465"/>
      <c r="E798" s="466" t="s">
        <v>2957</v>
      </c>
      <c r="F798" s="466" t="s">
        <v>1226</v>
      </c>
      <c r="G798" s="465">
        <v>1</v>
      </c>
      <c r="H798" s="465">
        <v>1</v>
      </c>
    </row>
    <row r="799" spans="1:8" ht="13.8" thickBot="1">
      <c r="A799" s="465" t="s">
        <v>6102</v>
      </c>
      <c r="B799" s="465" t="s">
        <v>1560</v>
      </c>
      <c r="C799" s="466">
        <v>4</v>
      </c>
      <c r="D799" s="465" t="s">
        <v>3030</v>
      </c>
      <c r="E799" s="466" t="s">
        <v>2957</v>
      </c>
      <c r="F799" s="466" t="s">
        <v>1226</v>
      </c>
      <c r="G799" s="465"/>
      <c r="H799" s="465">
        <v>4</v>
      </c>
    </row>
    <row r="800" spans="1:8" ht="13.8" thickBot="1">
      <c r="A800" s="467" t="s">
        <v>6103</v>
      </c>
      <c r="B800" s="465" t="s">
        <v>3066</v>
      </c>
      <c r="C800" s="466">
        <v>4</v>
      </c>
      <c r="D800" s="465"/>
      <c r="E800" s="466" t="s">
        <v>2957</v>
      </c>
      <c r="F800" s="466" t="s">
        <v>1226</v>
      </c>
      <c r="G800" s="465">
        <v>1</v>
      </c>
      <c r="H800" s="465">
        <v>1</v>
      </c>
    </row>
    <row r="801" spans="1:8" ht="13.8" thickBot="1">
      <c r="A801" s="465" t="s">
        <v>6104</v>
      </c>
      <c r="B801" s="465" t="s">
        <v>1561</v>
      </c>
      <c r="C801" s="466">
        <v>4</v>
      </c>
      <c r="D801" s="465"/>
      <c r="E801" s="466" t="s">
        <v>2957</v>
      </c>
      <c r="F801" s="466" t="s">
        <v>2067</v>
      </c>
      <c r="G801" s="465">
        <v>2</v>
      </c>
      <c r="H801" s="465">
        <v>9</v>
      </c>
    </row>
    <row r="802" spans="1:8" ht="13.8" thickBot="1">
      <c r="A802" s="465" t="s">
        <v>6105</v>
      </c>
      <c r="B802" s="465" t="s">
        <v>1552</v>
      </c>
      <c r="C802" s="466">
        <v>4</v>
      </c>
      <c r="D802" s="465"/>
      <c r="E802" s="466" t="s">
        <v>2957</v>
      </c>
      <c r="F802" s="466" t="s">
        <v>1224</v>
      </c>
      <c r="G802" s="465"/>
      <c r="H802" s="465">
        <v>6</v>
      </c>
    </row>
    <row r="803" spans="1:8" ht="13.8" thickBot="1">
      <c r="A803" s="467" t="s">
        <v>6106</v>
      </c>
      <c r="B803" s="465" t="s">
        <v>1552</v>
      </c>
      <c r="C803" s="466">
        <v>4</v>
      </c>
      <c r="D803" s="465"/>
      <c r="E803" s="466" t="s">
        <v>2957</v>
      </c>
      <c r="F803" s="466" t="s">
        <v>1224</v>
      </c>
      <c r="G803" s="465"/>
      <c r="H803" s="465">
        <v>5</v>
      </c>
    </row>
    <row r="804" spans="1:8" ht="13.8" thickBot="1">
      <c r="A804" s="467" t="s">
        <v>6107</v>
      </c>
      <c r="B804" s="465" t="s">
        <v>1552</v>
      </c>
      <c r="C804" s="466">
        <v>4</v>
      </c>
      <c r="D804" s="465"/>
      <c r="E804" s="466" t="s">
        <v>2957</v>
      </c>
      <c r="F804" s="466" t="s">
        <v>1224</v>
      </c>
      <c r="G804" s="465"/>
      <c r="H804" s="465">
        <v>9</v>
      </c>
    </row>
    <row r="805" spans="1:8" ht="13.8" thickBot="1">
      <c r="A805" s="465" t="s">
        <v>6108</v>
      </c>
      <c r="B805" s="465" t="s">
        <v>3067</v>
      </c>
      <c r="C805" s="466">
        <v>4</v>
      </c>
      <c r="D805" s="465"/>
      <c r="E805" s="466" t="s">
        <v>2957</v>
      </c>
      <c r="F805" s="466" t="s">
        <v>1224</v>
      </c>
      <c r="G805" s="465"/>
      <c r="H805" s="465">
        <v>11</v>
      </c>
    </row>
    <row r="806" spans="1:8" ht="13.8" thickBot="1">
      <c r="A806" s="465" t="s">
        <v>6109</v>
      </c>
      <c r="B806" s="465" t="s">
        <v>1562</v>
      </c>
      <c r="C806" s="466">
        <v>4</v>
      </c>
      <c r="D806" s="465"/>
      <c r="E806" s="466" t="s">
        <v>2957</v>
      </c>
      <c r="F806" s="466" t="s">
        <v>1224</v>
      </c>
      <c r="G806" s="465"/>
      <c r="H806" s="465">
        <v>4</v>
      </c>
    </row>
    <row r="807" spans="1:8" ht="13.8" thickBot="1">
      <c r="A807" s="465" t="s">
        <v>6110</v>
      </c>
      <c r="B807" s="465" t="s">
        <v>3068</v>
      </c>
      <c r="C807" s="466">
        <v>4</v>
      </c>
      <c r="D807" s="467" t="s">
        <v>614</v>
      </c>
      <c r="E807" s="466" t="s">
        <v>2957</v>
      </c>
      <c r="F807" s="466" t="s">
        <v>1220</v>
      </c>
      <c r="G807" s="465"/>
      <c r="H807" s="465">
        <v>1</v>
      </c>
    </row>
    <row r="808" spans="1:8" ht="13.8" thickBot="1">
      <c r="A808" s="467" t="s">
        <v>6111</v>
      </c>
      <c r="B808" s="465" t="s">
        <v>3069</v>
      </c>
      <c r="C808" s="466">
        <v>4</v>
      </c>
      <c r="D808" s="467" t="s">
        <v>614</v>
      </c>
      <c r="E808" s="466" t="s">
        <v>2957</v>
      </c>
      <c r="F808" s="466" t="s">
        <v>1220</v>
      </c>
      <c r="G808" s="465"/>
      <c r="H808" s="465">
        <v>1</v>
      </c>
    </row>
    <row r="809" spans="1:8" ht="13.8" thickBot="1">
      <c r="A809" s="467" t="s">
        <v>6112</v>
      </c>
      <c r="B809" s="465" t="s">
        <v>3070</v>
      </c>
      <c r="C809" s="466">
        <v>4</v>
      </c>
      <c r="D809" s="465" t="s">
        <v>3071</v>
      </c>
      <c r="E809" s="466" t="s">
        <v>2957</v>
      </c>
      <c r="F809" s="466" t="s">
        <v>1220</v>
      </c>
      <c r="G809" s="465"/>
      <c r="H809" s="465">
        <v>3</v>
      </c>
    </row>
    <row r="810" spans="1:8" ht="13.8" thickBot="1">
      <c r="A810" s="467" t="s">
        <v>6113</v>
      </c>
      <c r="B810" s="465" t="s">
        <v>1556</v>
      </c>
      <c r="C810" s="466">
        <v>4</v>
      </c>
      <c r="D810" s="465"/>
      <c r="E810" s="466" t="s">
        <v>2957</v>
      </c>
      <c r="F810" s="466" t="s">
        <v>1220</v>
      </c>
      <c r="G810" s="465"/>
      <c r="H810" s="465">
        <v>2</v>
      </c>
    </row>
    <row r="811" spans="1:8" ht="13.8" thickBot="1">
      <c r="A811" s="467" t="s">
        <v>6114</v>
      </c>
      <c r="B811" s="465" t="s">
        <v>1552</v>
      </c>
      <c r="C811" s="466">
        <v>4</v>
      </c>
      <c r="D811" s="465"/>
      <c r="E811" s="466" t="s">
        <v>2957</v>
      </c>
      <c r="F811" s="466"/>
      <c r="G811" s="465"/>
      <c r="H811" s="465">
        <v>2</v>
      </c>
    </row>
    <row r="812" spans="1:8" ht="13.8" thickBot="1">
      <c r="A812" s="467" t="s">
        <v>6115</v>
      </c>
      <c r="B812" s="465" t="s">
        <v>1552</v>
      </c>
      <c r="C812" s="466">
        <v>4</v>
      </c>
      <c r="D812" s="465"/>
      <c r="E812" s="466" t="s">
        <v>2957</v>
      </c>
      <c r="F812" s="466"/>
      <c r="G812" s="465"/>
      <c r="H812" s="465">
        <v>3</v>
      </c>
    </row>
    <row r="813" spans="1:8" ht="13.8" thickBot="1">
      <c r="A813" s="467" t="s">
        <v>6116</v>
      </c>
      <c r="B813" s="465" t="s">
        <v>1552</v>
      </c>
      <c r="C813" s="466">
        <v>4</v>
      </c>
      <c r="D813" s="465"/>
      <c r="E813" s="466" t="s">
        <v>2957</v>
      </c>
      <c r="F813" s="466"/>
      <c r="G813" s="465"/>
      <c r="H813" s="465">
        <v>4</v>
      </c>
    </row>
    <row r="814" spans="1:8" ht="13.8" thickBot="1">
      <c r="A814" s="467" t="s">
        <v>6117</v>
      </c>
      <c r="B814" s="465" t="s">
        <v>1552</v>
      </c>
      <c r="C814" s="466">
        <v>4</v>
      </c>
      <c r="D814" s="465"/>
      <c r="E814" s="466" t="s">
        <v>2957</v>
      </c>
      <c r="F814" s="466"/>
      <c r="G814" s="465"/>
      <c r="H814" s="465">
        <v>3</v>
      </c>
    </row>
    <row r="815" spans="1:8" ht="13.8" thickBot="1">
      <c r="A815" s="467" t="s">
        <v>6118</v>
      </c>
      <c r="B815" s="465" t="s">
        <v>1552</v>
      </c>
      <c r="C815" s="466">
        <v>4</v>
      </c>
      <c r="D815" s="465"/>
      <c r="E815" s="466" t="s">
        <v>2957</v>
      </c>
      <c r="F815" s="466"/>
      <c r="G815" s="465"/>
      <c r="H815" s="465">
        <v>1</v>
      </c>
    </row>
    <row r="816" spans="1:8" ht="13.8" thickBot="1">
      <c r="A816" s="467" t="s">
        <v>6119</v>
      </c>
      <c r="B816" s="465" t="s">
        <v>1552</v>
      </c>
      <c r="C816" s="466">
        <v>4</v>
      </c>
      <c r="D816" s="465"/>
      <c r="E816" s="466" t="s">
        <v>2957</v>
      </c>
      <c r="F816" s="466"/>
      <c r="G816" s="465"/>
      <c r="H816" s="465">
        <v>4</v>
      </c>
    </row>
    <row r="817" spans="1:8" ht="13.8" thickBot="1">
      <c r="A817" s="467" t="s">
        <v>6120</v>
      </c>
      <c r="B817" s="465" t="s">
        <v>1552</v>
      </c>
      <c r="C817" s="466">
        <v>4</v>
      </c>
      <c r="D817" s="465"/>
      <c r="E817" s="466" t="s">
        <v>2957</v>
      </c>
      <c r="F817" s="466"/>
      <c r="G817" s="465"/>
      <c r="H817" s="465">
        <v>2</v>
      </c>
    </row>
    <row r="818" spans="1:8" ht="13.8" thickBot="1">
      <c r="A818" s="467" t="s">
        <v>6121</v>
      </c>
      <c r="B818" s="465" t="s">
        <v>1552</v>
      </c>
      <c r="C818" s="466">
        <v>4</v>
      </c>
      <c r="D818" s="465"/>
      <c r="E818" s="466" t="s">
        <v>2957</v>
      </c>
      <c r="F818" s="466"/>
      <c r="G818" s="465"/>
      <c r="H818" s="465">
        <v>2</v>
      </c>
    </row>
    <row r="819" spans="1:8" ht="13.8" thickBot="1">
      <c r="A819" s="467" t="s">
        <v>6122</v>
      </c>
      <c r="B819" s="465" t="s">
        <v>1552</v>
      </c>
      <c r="C819" s="466">
        <v>4</v>
      </c>
      <c r="D819" s="465"/>
      <c r="E819" s="466" t="s">
        <v>2957</v>
      </c>
      <c r="F819" s="466"/>
      <c r="G819" s="465"/>
      <c r="H819" s="465">
        <v>3</v>
      </c>
    </row>
    <row r="820" spans="1:8" ht="13.8" thickBot="1">
      <c r="A820" s="467" t="s">
        <v>6123</v>
      </c>
      <c r="B820" s="465" t="s">
        <v>1552</v>
      </c>
      <c r="C820" s="466">
        <v>4</v>
      </c>
      <c r="D820" s="465"/>
      <c r="E820" s="466" t="s">
        <v>2957</v>
      </c>
      <c r="F820" s="466"/>
      <c r="G820" s="465"/>
      <c r="H820" s="465">
        <v>4</v>
      </c>
    </row>
    <row r="821" spans="1:8" ht="13.8" thickBot="1">
      <c r="A821" s="465" t="s">
        <v>6124</v>
      </c>
      <c r="B821" s="465" t="s">
        <v>1552</v>
      </c>
      <c r="C821" s="466">
        <v>4</v>
      </c>
      <c r="D821" s="465"/>
      <c r="E821" s="466" t="s">
        <v>2957</v>
      </c>
      <c r="F821" s="466"/>
      <c r="G821" s="465"/>
      <c r="H821" s="465">
        <v>2</v>
      </c>
    </row>
    <row r="822" spans="1:8" ht="13.8" thickBot="1">
      <c r="A822" s="467" t="s">
        <v>6125</v>
      </c>
      <c r="B822" s="465" t="s">
        <v>1552</v>
      </c>
      <c r="C822" s="466">
        <v>4</v>
      </c>
      <c r="D822" s="465"/>
      <c r="E822" s="466" t="s">
        <v>2957</v>
      </c>
      <c r="F822" s="466"/>
      <c r="G822" s="465"/>
      <c r="H822" s="465">
        <v>1</v>
      </c>
    </row>
    <row r="823" spans="1:8" ht="13.8" thickBot="1">
      <c r="A823" s="467" t="s">
        <v>6126</v>
      </c>
      <c r="B823" s="465" t="s">
        <v>1580</v>
      </c>
      <c r="C823" s="466">
        <v>4</v>
      </c>
      <c r="D823" s="465"/>
      <c r="E823" s="466" t="s">
        <v>2957</v>
      </c>
      <c r="F823" s="466"/>
      <c r="G823" s="465">
        <v>1</v>
      </c>
      <c r="H823" s="465">
        <v>3</v>
      </c>
    </row>
    <row r="824" spans="1:8" ht="13.8" thickBot="1">
      <c r="A824" s="467" t="s">
        <v>6127</v>
      </c>
      <c r="B824" s="465" t="s">
        <v>3072</v>
      </c>
      <c r="C824" s="466">
        <v>4</v>
      </c>
      <c r="D824" s="465"/>
      <c r="E824" s="466" t="s">
        <v>2957</v>
      </c>
      <c r="F824" s="466"/>
      <c r="G824" s="465"/>
      <c r="H824" s="465">
        <v>2</v>
      </c>
    </row>
    <row r="825" spans="1:8" ht="13.8" thickBot="1">
      <c r="A825" s="465" t="s">
        <v>6128</v>
      </c>
      <c r="B825" s="465" t="s">
        <v>3073</v>
      </c>
      <c r="C825" s="466">
        <v>4</v>
      </c>
      <c r="D825" s="465"/>
      <c r="E825" s="466" t="s">
        <v>2957</v>
      </c>
      <c r="F825" s="466"/>
      <c r="G825" s="465"/>
      <c r="H825" s="465">
        <v>2</v>
      </c>
    </row>
    <row r="826" spans="1:8" ht="13.8" thickBot="1">
      <c r="A826" s="465" t="s">
        <v>6129</v>
      </c>
      <c r="B826" s="465" t="s">
        <v>1563</v>
      </c>
      <c r="C826" s="466">
        <v>4</v>
      </c>
      <c r="D826" s="465"/>
      <c r="E826" s="466" t="s">
        <v>2957</v>
      </c>
      <c r="F826" s="466"/>
      <c r="G826" s="465">
        <v>1</v>
      </c>
      <c r="H826" s="465">
        <v>3</v>
      </c>
    </row>
    <row r="827" spans="1:8" ht="13.8" thickBot="1">
      <c r="A827" s="467" t="s">
        <v>6130</v>
      </c>
      <c r="B827" s="465" t="s">
        <v>1563</v>
      </c>
      <c r="C827" s="466">
        <v>4</v>
      </c>
      <c r="D827" s="465"/>
      <c r="E827" s="466" t="s">
        <v>2957</v>
      </c>
      <c r="F827" s="466"/>
      <c r="G827" s="465"/>
      <c r="H827" s="465">
        <v>3</v>
      </c>
    </row>
    <row r="828" spans="1:8" ht="13.8" thickBot="1">
      <c r="A828" s="467" t="s">
        <v>6131</v>
      </c>
      <c r="B828" s="465" t="s">
        <v>3074</v>
      </c>
      <c r="C828" s="466">
        <v>4</v>
      </c>
      <c r="D828" s="467" t="s">
        <v>614</v>
      </c>
      <c r="E828" s="466" t="s">
        <v>2957</v>
      </c>
      <c r="F828" s="466"/>
      <c r="G828" s="465"/>
      <c r="H828" s="465">
        <v>4</v>
      </c>
    </row>
    <row r="829" spans="1:8" ht="13.8" thickBot="1">
      <c r="A829" s="467" t="s">
        <v>6132</v>
      </c>
      <c r="B829" s="465" t="s">
        <v>3075</v>
      </c>
      <c r="C829" s="466">
        <v>4</v>
      </c>
      <c r="D829" s="465"/>
      <c r="E829" s="466" t="s">
        <v>2957</v>
      </c>
      <c r="F829" s="466"/>
      <c r="G829" s="465"/>
      <c r="H829" s="465">
        <v>3</v>
      </c>
    </row>
    <row r="830" spans="1:8" ht="13.8" thickBot="1">
      <c r="A830" s="467" t="s">
        <v>6133</v>
      </c>
      <c r="B830" s="465" t="s">
        <v>1562</v>
      </c>
      <c r="C830" s="466">
        <v>4</v>
      </c>
      <c r="D830" s="465"/>
      <c r="E830" s="466" t="s">
        <v>2957</v>
      </c>
      <c r="F830" s="466"/>
      <c r="G830" s="465"/>
      <c r="H830" s="465">
        <v>6</v>
      </c>
    </row>
    <row r="831" spans="1:8" ht="13.8" thickBot="1">
      <c r="A831" s="467" t="s">
        <v>6134</v>
      </c>
      <c r="B831" s="465" t="s">
        <v>1562</v>
      </c>
      <c r="C831" s="466">
        <v>4</v>
      </c>
      <c r="D831" s="465"/>
      <c r="E831" s="466" t="s">
        <v>2957</v>
      </c>
      <c r="F831" s="466"/>
      <c r="G831" s="465"/>
      <c r="H831" s="465">
        <v>7</v>
      </c>
    </row>
    <row r="832" spans="1:8" ht="13.8" thickBot="1">
      <c r="A832" s="467" t="s">
        <v>6135</v>
      </c>
      <c r="B832" s="465" t="s">
        <v>3076</v>
      </c>
      <c r="C832" s="466">
        <v>4</v>
      </c>
      <c r="D832" s="465"/>
      <c r="E832" s="466" t="s">
        <v>2957</v>
      </c>
      <c r="F832" s="466"/>
      <c r="G832" s="465"/>
      <c r="H832" s="465">
        <v>5</v>
      </c>
    </row>
    <row r="833" spans="1:8" ht="13.8" thickBot="1">
      <c r="A833" s="467" t="s">
        <v>6136</v>
      </c>
      <c r="B833" s="465" t="s">
        <v>3052</v>
      </c>
      <c r="C833" s="466">
        <v>4</v>
      </c>
      <c r="D833" s="465"/>
      <c r="E833" s="466" t="s">
        <v>2957</v>
      </c>
      <c r="F833" s="466"/>
      <c r="G833" s="465"/>
      <c r="H833" s="465">
        <v>1</v>
      </c>
    </row>
    <row r="834" spans="1:8" ht="13.8" thickBot="1">
      <c r="A834" s="467" t="s">
        <v>6137</v>
      </c>
      <c r="B834" s="465" t="s">
        <v>3077</v>
      </c>
      <c r="C834" s="466">
        <v>4</v>
      </c>
      <c r="D834" s="465"/>
      <c r="E834" s="466" t="s">
        <v>2957</v>
      </c>
      <c r="F834" s="466"/>
      <c r="G834" s="465"/>
      <c r="H834" s="465">
        <v>1</v>
      </c>
    </row>
    <row r="835" spans="1:8" ht="13.8" thickBot="1">
      <c r="A835" s="467" t="s">
        <v>6138</v>
      </c>
      <c r="B835" s="465" t="s">
        <v>1554</v>
      </c>
      <c r="C835" s="466">
        <v>4</v>
      </c>
      <c r="D835" s="465"/>
      <c r="E835" s="466" t="s">
        <v>2957</v>
      </c>
      <c r="F835" s="466"/>
      <c r="G835" s="465"/>
      <c r="H835" s="465">
        <v>5</v>
      </c>
    </row>
    <row r="836" spans="1:8" ht="13.8" thickBot="1">
      <c r="A836" s="467" t="s">
        <v>6139</v>
      </c>
      <c r="B836" s="465" t="s">
        <v>1554</v>
      </c>
      <c r="C836" s="466">
        <v>4</v>
      </c>
      <c r="D836" s="465"/>
      <c r="E836" s="466" t="s">
        <v>2957</v>
      </c>
      <c r="F836" s="466"/>
      <c r="G836" s="465">
        <v>1</v>
      </c>
      <c r="H836" s="465">
        <v>9</v>
      </c>
    </row>
    <row r="837" spans="1:8" ht="13.8" thickBot="1">
      <c r="A837" s="465" t="s">
        <v>6140</v>
      </c>
      <c r="B837" s="465" t="s">
        <v>1554</v>
      </c>
      <c r="C837" s="466">
        <v>4</v>
      </c>
      <c r="D837" s="465"/>
      <c r="E837" s="466" t="s">
        <v>2957</v>
      </c>
      <c r="F837" s="466"/>
      <c r="G837" s="465"/>
      <c r="H837" s="465">
        <v>2</v>
      </c>
    </row>
    <row r="838" spans="1:8" ht="13.8" thickBot="1">
      <c r="A838" s="467" t="s">
        <v>6141</v>
      </c>
      <c r="B838" s="465" t="s">
        <v>3078</v>
      </c>
      <c r="C838" s="466">
        <v>4</v>
      </c>
      <c r="D838" s="465"/>
      <c r="E838" s="466" t="s">
        <v>2957</v>
      </c>
      <c r="F838" s="466"/>
      <c r="G838" s="465"/>
      <c r="H838" s="465">
        <v>3</v>
      </c>
    </row>
    <row r="839" spans="1:8" ht="13.8" thickBot="1">
      <c r="A839" s="467" t="s">
        <v>6142</v>
      </c>
      <c r="B839" s="465" t="s">
        <v>2971</v>
      </c>
      <c r="C839" s="466">
        <v>4</v>
      </c>
      <c r="D839" s="465"/>
      <c r="E839" s="466" t="s">
        <v>2957</v>
      </c>
      <c r="F839" s="466"/>
      <c r="G839" s="465"/>
      <c r="H839" s="465">
        <v>2</v>
      </c>
    </row>
    <row r="840" spans="1:8" ht="13.8" thickBot="1">
      <c r="A840" s="465" t="s">
        <v>6143</v>
      </c>
      <c r="B840" s="465" t="s">
        <v>3089</v>
      </c>
      <c r="C840" s="466">
        <v>4</v>
      </c>
      <c r="D840" s="465"/>
      <c r="E840" s="466" t="s">
        <v>3085</v>
      </c>
      <c r="F840" s="466" t="s">
        <v>1865</v>
      </c>
      <c r="G840" s="465">
        <v>1</v>
      </c>
      <c r="H840" s="465">
        <v>16</v>
      </c>
    </row>
    <row r="841" spans="1:8" ht="13.8" thickBot="1">
      <c r="A841" s="467" t="s">
        <v>6144</v>
      </c>
      <c r="B841" s="465" t="s">
        <v>3108</v>
      </c>
      <c r="C841" s="466">
        <v>4</v>
      </c>
      <c r="D841" s="465"/>
      <c r="E841" s="466" t="s">
        <v>3085</v>
      </c>
      <c r="F841" s="466" t="s">
        <v>1865</v>
      </c>
      <c r="G841" s="465">
        <v>1</v>
      </c>
      <c r="H841" s="465">
        <v>5</v>
      </c>
    </row>
    <row r="842" spans="1:8" ht="13.8" thickBot="1">
      <c r="A842" s="467" t="s">
        <v>6145</v>
      </c>
      <c r="B842" s="465" t="s">
        <v>3089</v>
      </c>
      <c r="C842" s="466">
        <v>4</v>
      </c>
      <c r="D842" s="467" t="s">
        <v>614</v>
      </c>
      <c r="E842" s="466" t="s">
        <v>3085</v>
      </c>
      <c r="F842" s="466" t="s">
        <v>1910</v>
      </c>
      <c r="G842" s="465">
        <v>1</v>
      </c>
      <c r="H842" s="465">
        <v>4</v>
      </c>
    </row>
    <row r="843" spans="1:8" ht="13.8" thickBot="1">
      <c r="A843" s="467" t="s">
        <v>6146</v>
      </c>
      <c r="B843" s="465" t="s">
        <v>3109</v>
      </c>
      <c r="C843" s="466">
        <v>4</v>
      </c>
      <c r="D843" s="465"/>
      <c r="E843" s="466" t="s">
        <v>3085</v>
      </c>
      <c r="F843" s="466" t="s">
        <v>1226</v>
      </c>
      <c r="G843" s="465"/>
      <c r="H843" s="465">
        <v>1</v>
      </c>
    </row>
    <row r="844" spans="1:8" ht="13.8" thickBot="1">
      <c r="A844" s="467" t="s">
        <v>6147</v>
      </c>
      <c r="B844" s="465" t="s">
        <v>3110</v>
      </c>
      <c r="C844" s="466">
        <v>4</v>
      </c>
      <c r="D844" s="465"/>
      <c r="E844" s="466" t="s">
        <v>3085</v>
      </c>
      <c r="F844" s="466" t="s">
        <v>1224</v>
      </c>
      <c r="G844" s="465"/>
      <c r="H844" s="465">
        <v>20</v>
      </c>
    </row>
    <row r="845" spans="1:8" ht="13.8" thickBot="1">
      <c r="A845" s="467" t="s">
        <v>6148</v>
      </c>
      <c r="B845" s="465" t="s">
        <v>1388</v>
      </c>
      <c r="C845" s="466">
        <v>4</v>
      </c>
      <c r="D845" s="465"/>
      <c r="E845" s="466" t="s">
        <v>3085</v>
      </c>
      <c r="F845" s="466" t="s">
        <v>1224</v>
      </c>
      <c r="G845" s="465"/>
      <c r="H845" s="465">
        <v>24</v>
      </c>
    </row>
    <row r="846" spans="1:8" ht="13.8" thickBot="1">
      <c r="A846" s="467" t="s">
        <v>6149</v>
      </c>
      <c r="B846" s="465" t="s">
        <v>3089</v>
      </c>
      <c r="C846" s="466">
        <v>4</v>
      </c>
      <c r="D846" s="467" t="s">
        <v>614</v>
      </c>
      <c r="E846" s="466" t="s">
        <v>3085</v>
      </c>
      <c r="F846" s="466"/>
      <c r="G846" s="465"/>
      <c r="H846" s="465">
        <v>2</v>
      </c>
    </row>
    <row r="847" spans="1:8" ht="13.8" thickBot="1">
      <c r="A847" s="467" t="s">
        <v>6150</v>
      </c>
      <c r="B847" s="465" t="s">
        <v>1385</v>
      </c>
      <c r="C847" s="466">
        <v>4</v>
      </c>
      <c r="D847" s="465"/>
      <c r="E847" s="466" t="s">
        <v>3085</v>
      </c>
      <c r="F847" s="466"/>
      <c r="G847" s="465"/>
      <c r="H847" s="465">
        <v>2</v>
      </c>
    </row>
    <row r="848" spans="1:8" ht="13.8" thickBot="1">
      <c r="A848" s="467" t="s">
        <v>6151</v>
      </c>
      <c r="B848" s="465" t="s">
        <v>3123</v>
      </c>
      <c r="C848" s="466">
        <v>4</v>
      </c>
      <c r="D848" s="467" t="s">
        <v>614</v>
      </c>
      <c r="E848" s="466" t="s">
        <v>3116</v>
      </c>
      <c r="F848" s="466" t="s">
        <v>1880</v>
      </c>
      <c r="G848" s="465">
        <v>3</v>
      </c>
      <c r="H848" s="465">
        <v>9</v>
      </c>
    </row>
    <row r="849" spans="1:8" ht="13.8" thickBot="1">
      <c r="A849" s="467" t="s">
        <v>6152</v>
      </c>
      <c r="B849" s="465" t="s">
        <v>3115</v>
      </c>
      <c r="C849" s="466">
        <v>4</v>
      </c>
      <c r="D849" s="465"/>
      <c r="E849" s="466" t="s">
        <v>3116</v>
      </c>
      <c r="F849" s="466" t="s">
        <v>1224</v>
      </c>
      <c r="G849" s="465"/>
      <c r="H849" s="465">
        <v>2</v>
      </c>
    </row>
    <row r="850" spans="1:8" ht="13.8" thickBot="1">
      <c r="A850" s="467" t="s">
        <v>6153</v>
      </c>
      <c r="B850" s="465" t="s">
        <v>3115</v>
      </c>
      <c r="C850" s="466">
        <v>4</v>
      </c>
      <c r="D850" s="465"/>
      <c r="E850" s="466" t="s">
        <v>3116</v>
      </c>
      <c r="F850" s="466"/>
      <c r="G850" s="465"/>
      <c r="H850" s="465">
        <v>1</v>
      </c>
    </row>
    <row r="851" spans="1:8" ht="13.8" thickBot="1">
      <c r="A851" s="467" t="s">
        <v>6154</v>
      </c>
      <c r="B851" s="465" t="s">
        <v>3153</v>
      </c>
      <c r="C851" s="466">
        <v>4</v>
      </c>
      <c r="D851" s="465"/>
      <c r="E851" s="466" t="s">
        <v>3130</v>
      </c>
      <c r="F851" s="466" t="s">
        <v>1865</v>
      </c>
      <c r="G851" s="465"/>
      <c r="H851" s="465">
        <v>5</v>
      </c>
    </row>
    <row r="852" spans="1:8" ht="13.8" thickBot="1">
      <c r="A852" s="465" t="s">
        <v>6155</v>
      </c>
      <c r="B852" s="465" t="s">
        <v>3154</v>
      </c>
      <c r="C852" s="466">
        <v>4</v>
      </c>
      <c r="D852" s="465"/>
      <c r="E852" s="466" t="s">
        <v>3130</v>
      </c>
      <c r="F852" s="466"/>
      <c r="G852" s="465"/>
      <c r="H852" s="465">
        <v>9</v>
      </c>
    </row>
    <row r="853" spans="1:8" ht="13.8" thickBot="1">
      <c r="A853" s="467" t="s">
        <v>6156</v>
      </c>
      <c r="B853" s="465" t="s">
        <v>3155</v>
      </c>
      <c r="C853" s="466">
        <v>4</v>
      </c>
      <c r="D853" s="465"/>
      <c r="E853" s="466" t="s">
        <v>3130</v>
      </c>
      <c r="F853" s="466"/>
      <c r="G853" s="465"/>
      <c r="H853" s="465">
        <v>4</v>
      </c>
    </row>
    <row r="854" spans="1:8" ht="13.8" thickBot="1">
      <c r="A854" s="467" t="s">
        <v>6157</v>
      </c>
      <c r="B854" s="465" t="s">
        <v>3251</v>
      </c>
      <c r="C854" s="466">
        <v>4</v>
      </c>
      <c r="D854" s="467" t="s">
        <v>614</v>
      </c>
      <c r="E854" s="466" t="s">
        <v>3161</v>
      </c>
      <c r="F854" s="466" t="s">
        <v>1880</v>
      </c>
      <c r="G854" s="465">
        <v>1</v>
      </c>
      <c r="H854" s="465">
        <v>6</v>
      </c>
    </row>
    <row r="855" spans="1:8" ht="13.8" thickBot="1">
      <c r="A855" s="467" t="s">
        <v>6158</v>
      </c>
      <c r="B855" s="465" t="s">
        <v>3210</v>
      </c>
      <c r="C855" s="466">
        <v>4</v>
      </c>
      <c r="D855" s="465"/>
      <c r="E855" s="466" t="s">
        <v>3161</v>
      </c>
      <c r="F855" s="466" t="s">
        <v>1865</v>
      </c>
      <c r="G855" s="465"/>
      <c r="H855" s="465">
        <v>3</v>
      </c>
    </row>
    <row r="856" spans="1:8" ht="13.8" thickBot="1">
      <c r="A856" s="465" t="s">
        <v>6159</v>
      </c>
      <c r="B856" s="465" t="s">
        <v>1399</v>
      </c>
      <c r="C856" s="466">
        <v>4</v>
      </c>
      <c r="D856" s="465"/>
      <c r="E856" s="466" t="s">
        <v>3161</v>
      </c>
      <c r="F856" s="466" t="s">
        <v>1910</v>
      </c>
      <c r="G856" s="465"/>
      <c r="H856" s="465">
        <v>6</v>
      </c>
    </row>
    <row r="857" spans="1:8" ht="13.8" thickBot="1">
      <c r="A857" s="467" t="s">
        <v>6160</v>
      </c>
      <c r="B857" s="465" t="s">
        <v>1390</v>
      </c>
      <c r="C857" s="466">
        <v>4</v>
      </c>
      <c r="D857" s="465"/>
      <c r="E857" s="466" t="s">
        <v>3161</v>
      </c>
      <c r="F857" s="466" t="s">
        <v>1224</v>
      </c>
      <c r="G857" s="465"/>
      <c r="H857" s="465">
        <v>4</v>
      </c>
    </row>
    <row r="858" spans="1:8" ht="13.8" thickBot="1">
      <c r="A858" s="467" t="s">
        <v>6161</v>
      </c>
      <c r="B858" s="465" t="s">
        <v>1390</v>
      </c>
      <c r="C858" s="466">
        <v>4</v>
      </c>
      <c r="D858" s="465"/>
      <c r="E858" s="466" t="s">
        <v>3161</v>
      </c>
      <c r="F858" s="466" t="s">
        <v>1224</v>
      </c>
      <c r="G858" s="465">
        <v>1</v>
      </c>
      <c r="H858" s="465">
        <v>9</v>
      </c>
    </row>
    <row r="859" spans="1:8" ht="13.8" thickBot="1">
      <c r="A859" s="467" t="s">
        <v>6162</v>
      </c>
      <c r="B859" s="465" t="s">
        <v>3164</v>
      </c>
      <c r="C859" s="466">
        <v>4</v>
      </c>
      <c r="D859" s="467" t="s">
        <v>614</v>
      </c>
      <c r="E859" s="466" t="s">
        <v>3161</v>
      </c>
      <c r="F859" s="466" t="s">
        <v>1224</v>
      </c>
      <c r="G859" s="465">
        <v>1</v>
      </c>
      <c r="H859" s="465">
        <v>10</v>
      </c>
    </row>
    <row r="860" spans="1:8" ht="13.8" thickBot="1">
      <c r="A860" s="467" t="s">
        <v>6163</v>
      </c>
      <c r="B860" s="465" t="s">
        <v>3252</v>
      </c>
      <c r="C860" s="466">
        <v>4</v>
      </c>
      <c r="D860" s="465"/>
      <c r="E860" s="466" t="s">
        <v>3161</v>
      </c>
      <c r="F860" s="466" t="s">
        <v>1224</v>
      </c>
      <c r="G860" s="465"/>
      <c r="H860" s="465">
        <v>2</v>
      </c>
    </row>
    <row r="861" spans="1:8" ht="13.8" thickBot="1">
      <c r="A861" s="467" t="s">
        <v>6164</v>
      </c>
      <c r="B861" s="465" t="s">
        <v>1398</v>
      </c>
      <c r="C861" s="466">
        <v>4</v>
      </c>
      <c r="D861" s="467" t="s">
        <v>614</v>
      </c>
      <c r="E861" s="466" t="s">
        <v>3161</v>
      </c>
      <c r="F861" s="466" t="s">
        <v>2015</v>
      </c>
      <c r="G861" s="465">
        <v>1</v>
      </c>
      <c r="H861" s="465">
        <v>9</v>
      </c>
    </row>
    <row r="862" spans="1:8" ht="13.8" thickBot="1">
      <c r="A862" s="467" t="s">
        <v>6165</v>
      </c>
      <c r="B862" s="465" t="s">
        <v>1390</v>
      </c>
      <c r="C862" s="466">
        <v>4</v>
      </c>
      <c r="D862" s="465"/>
      <c r="E862" s="466" t="s">
        <v>3161</v>
      </c>
      <c r="F862" s="466"/>
      <c r="G862" s="465"/>
      <c r="H862" s="465">
        <v>2</v>
      </c>
    </row>
    <row r="863" spans="1:8" ht="13.8" thickBot="1">
      <c r="A863" s="467" t="s">
        <v>6166</v>
      </c>
      <c r="B863" s="465" t="s">
        <v>1390</v>
      </c>
      <c r="C863" s="466">
        <v>4</v>
      </c>
      <c r="D863" s="467" t="s">
        <v>614</v>
      </c>
      <c r="E863" s="466" t="s">
        <v>3161</v>
      </c>
      <c r="F863" s="466"/>
      <c r="G863" s="465"/>
      <c r="H863" s="465">
        <v>1</v>
      </c>
    </row>
    <row r="864" spans="1:8" ht="13.8" thickBot="1">
      <c r="A864" s="467" t="s">
        <v>6167</v>
      </c>
      <c r="B864" s="465" t="s">
        <v>1390</v>
      </c>
      <c r="C864" s="466">
        <v>4</v>
      </c>
      <c r="D864" s="465"/>
      <c r="E864" s="466" t="s">
        <v>3161</v>
      </c>
      <c r="F864" s="466"/>
      <c r="G864" s="465"/>
      <c r="H864" s="465">
        <v>12</v>
      </c>
    </row>
    <row r="865" spans="1:8" ht="13.8" thickBot="1">
      <c r="A865" s="467" t="s">
        <v>6168</v>
      </c>
      <c r="B865" s="465" t="s">
        <v>1390</v>
      </c>
      <c r="C865" s="466">
        <v>4</v>
      </c>
      <c r="D865" s="465"/>
      <c r="E865" s="466" t="s">
        <v>3161</v>
      </c>
      <c r="F865" s="466"/>
      <c r="G865" s="465"/>
      <c r="H865" s="465">
        <v>1</v>
      </c>
    </row>
    <row r="866" spans="1:8" ht="13.8" thickBot="1">
      <c r="A866" s="467" t="s">
        <v>6169</v>
      </c>
      <c r="B866" s="465" t="s">
        <v>1390</v>
      </c>
      <c r="C866" s="466">
        <v>4</v>
      </c>
      <c r="D866" s="465"/>
      <c r="E866" s="466" t="s">
        <v>3161</v>
      </c>
      <c r="F866" s="466"/>
      <c r="G866" s="465"/>
      <c r="H866" s="465">
        <v>1</v>
      </c>
    </row>
    <row r="867" spans="1:8" ht="13.8" thickBot="1">
      <c r="A867" s="467" t="s">
        <v>6170</v>
      </c>
      <c r="B867" s="465" t="s">
        <v>1390</v>
      </c>
      <c r="C867" s="466">
        <v>4</v>
      </c>
      <c r="D867" s="465"/>
      <c r="E867" s="466" t="s">
        <v>3161</v>
      </c>
      <c r="F867" s="466"/>
      <c r="G867" s="465"/>
      <c r="H867" s="465">
        <v>3</v>
      </c>
    </row>
    <row r="868" spans="1:8" ht="13.8" thickBot="1">
      <c r="A868" s="467" t="s">
        <v>6171</v>
      </c>
      <c r="B868" s="465" t="s">
        <v>1390</v>
      </c>
      <c r="C868" s="466">
        <v>4</v>
      </c>
      <c r="D868" s="465"/>
      <c r="E868" s="466" t="s">
        <v>3161</v>
      </c>
      <c r="F868" s="466"/>
      <c r="G868" s="465"/>
      <c r="H868" s="465">
        <v>1</v>
      </c>
    </row>
    <row r="869" spans="1:8" ht="13.8" thickBot="1">
      <c r="A869" s="467" t="s">
        <v>6172</v>
      </c>
      <c r="B869" s="465" t="s">
        <v>1390</v>
      </c>
      <c r="C869" s="466">
        <v>4</v>
      </c>
      <c r="D869" s="465"/>
      <c r="E869" s="466" t="s">
        <v>3161</v>
      </c>
      <c r="F869" s="466"/>
      <c r="G869" s="465"/>
      <c r="H869" s="465">
        <v>1</v>
      </c>
    </row>
    <row r="870" spans="1:8" ht="13.8" thickBot="1">
      <c r="A870" s="467" t="s">
        <v>6173</v>
      </c>
      <c r="B870" s="465" t="s">
        <v>3253</v>
      </c>
      <c r="C870" s="466">
        <v>4</v>
      </c>
      <c r="D870" s="467" t="s">
        <v>3254</v>
      </c>
      <c r="E870" s="466" t="s">
        <v>3161</v>
      </c>
      <c r="F870" s="466"/>
      <c r="G870" s="465"/>
      <c r="H870" s="465">
        <v>2</v>
      </c>
    </row>
    <row r="871" spans="1:8" ht="13.8" thickBot="1">
      <c r="A871" s="467" t="s">
        <v>6174</v>
      </c>
      <c r="B871" s="465" t="s">
        <v>3255</v>
      </c>
      <c r="C871" s="466">
        <v>4</v>
      </c>
      <c r="D871" s="465"/>
      <c r="E871" s="466" t="s">
        <v>3161</v>
      </c>
      <c r="F871" s="466"/>
      <c r="G871" s="465"/>
      <c r="H871" s="465">
        <v>1</v>
      </c>
    </row>
    <row r="872" spans="1:8" ht="13.8" thickBot="1">
      <c r="A872" s="467" t="s">
        <v>6175</v>
      </c>
      <c r="B872" s="465" t="s">
        <v>1399</v>
      </c>
      <c r="C872" s="466">
        <v>4</v>
      </c>
      <c r="D872" s="465"/>
      <c r="E872" s="466" t="s">
        <v>3161</v>
      </c>
      <c r="F872" s="466"/>
      <c r="G872" s="465">
        <v>1</v>
      </c>
      <c r="H872" s="465">
        <v>13</v>
      </c>
    </row>
    <row r="873" spans="1:8" ht="13.8" thickBot="1">
      <c r="A873" s="465" t="s">
        <v>6176</v>
      </c>
      <c r="B873" s="465" t="s">
        <v>3256</v>
      </c>
      <c r="C873" s="466">
        <v>4</v>
      </c>
      <c r="D873" s="467" t="s">
        <v>614</v>
      </c>
      <c r="E873" s="466" t="s">
        <v>3161</v>
      </c>
      <c r="F873" s="466"/>
      <c r="G873" s="465"/>
      <c r="H873" s="465">
        <v>3</v>
      </c>
    </row>
    <row r="874" spans="1:8" ht="13.8" thickBot="1">
      <c r="A874" s="465" t="s">
        <v>6177</v>
      </c>
      <c r="B874" s="465" t="s">
        <v>3257</v>
      </c>
      <c r="C874" s="466">
        <v>4</v>
      </c>
      <c r="D874" s="465"/>
      <c r="E874" s="466" t="s">
        <v>3161</v>
      </c>
      <c r="F874" s="466"/>
      <c r="G874" s="465">
        <v>1</v>
      </c>
      <c r="H874" s="465">
        <v>4</v>
      </c>
    </row>
    <row r="875" spans="1:8" ht="13.8" thickBot="1">
      <c r="A875" s="467" t="s">
        <v>6178</v>
      </c>
      <c r="B875" s="465" t="s">
        <v>3258</v>
      </c>
      <c r="C875" s="466">
        <v>4</v>
      </c>
      <c r="D875" s="467" t="s">
        <v>614</v>
      </c>
      <c r="E875" s="466" t="s">
        <v>3161</v>
      </c>
      <c r="F875" s="466"/>
      <c r="G875" s="465"/>
      <c r="H875" s="465">
        <v>2</v>
      </c>
    </row>
    <row r="876" spans="1:8" ht="13.8" thickBot="1">
      <c r="A876" s="467" t="s">
        <v>6179</v>
      </c>
      <c r="B876" s="465" t="s">
        <v>3259</v>
      </c>
      <c r="C876" s="466">
        <v>4</v>
      </c>
      <c r="D876" s="465"/>
      <c r="E876" s="466" t="s">
        <v>3161</v>
      </c>
      <c r="F876" s="466"/>
      <c r="G876" s="465"/>
      <c r="H876" s="465">
        <v>5</v>
      </c>
    </row>
    <row r="877" spans="1:8" ht="13.8" thickBot="1">
      <c r="A877" s="467" t="s">
        <v>6180</v>
      </c>
      <c r="B877" s="465" t="s">
        <v>3260</v>
      </c>
      <c r="C877" s="466">
        <v>4</v>
      </c>
      <c r="D877" s="465"/>
      <c r="E877" s="466" t="s">
        <v>3161</v>
      </c>
      <c r="F877" s="466"/>
      <c r="G877" s="465"/>
      <c r="H877" s="465">
        <v>4</v>
      </c>
    </row>
    <row r="878" spans="1:8" ht="13.8" thickBot="1">
      <c r="A878" s="467" t="s">
        <v>6181</v>
      </c>
      <c r="B878" s="465" t="s">
        <v>3261</v>
      </c>
      <c r="C878" s="466">
        <v>4</v>
      </c>
      <c r="D878" s="465"/>
      <c r="E878" s="466" t="s">
        <v>3161</v>
      </c>
      <c r="F878" s="466"/>
      <c r="G878" s="465"/>
      <c r="H878" s="465">
        <v>1</v>
      </c>
    </row>
    <row r="879" spans="1:8" ht="13.8" thickBot="1">
      <c r="A879" s="467" t="s">
        <v>6182</v>
      </c>
      <c r="B879" s="465" t="s">
        <v>1400</v>
      </c>
      <c r="C879" s="466">
        <v>4</v>
      </c>
      <c r="D879" s="465"/>
      <c r="E879" s="466" t="s">
        <v>3161</v>
      </c>
      <c r="F879" s="466"/>
      <c r="G879" s="465"/>
      <c r="H879" s="465">
        <v>12</v>
      </c>
    </row>
    <row r="880" spans="1:8" ht="13.8" thickBot="1">
      <c r="A880" s="467" t="s">
        <v>6183</v>
      </c>
      <c r="B880" s="465" t="s">
        <v>3262</v>
      </c>
      <c r="C880" s="466">
        <v>4</v>
      </c>
      <c r="D880" s="465"/>
      <c r="E880" s="466" t="s">
        <v>3161</v>
      </c>
      <c r="F880" s="466"/>
      <c r="G880" s="465"/>
      <c r="H880" s="465">
        <v>1</v>
      </c>
    </row>
    <row r="881" spans="1:8" ht="13.8" thickBot="1">
      <c r="A881" s="467" t="s">
        <v>6184</v>
      </c>
      <c r="B881" s="465" t="s">
        <v>3263</v>
      </c>
      <c r="C881" s="466">
        <v>4</v>
      </c>
      <c r="D881" s="467" t="s">
        <v>3264</v>
      </c>
      <c r="E881" s="466" t="s">
        <v>3161</v>
      </c>
      <c r="F881" s="466"/>
      <c r="G881" s="465"/>
      <c r="H881" s="465">
        <v>2</v>
      </c>
    </row>
    <row r="882" spans="1:8" ht="13.8" thickBot="1">
      <c r="A882" s="467" t="s">
        <v>6185</v>
      </c>
      <c r="B882" s="465" t="s">
        <v>3265</v>
      </c>
      <c r="C882" s="466">
        <v>4</v>
      </c>
      <c r="D882" s="465"/>
      <c r="E882" s="466" t="s">
        <v>3161</v>
      </c>
      <c r="F882" s="466"/>
      <c r="G882" s="465"/>
      <c r="H882" s="465">
        <v>3</v>
      </c>
    </row>
    <row r="883" spans="1:8" ht="13.8" thickBot="1">
      <c r="A883" s="467" t="s">
        <v>6186</v>
      </c>
      <c r="B883" s="465" t="s">
        <v>3266</v>
      </c>
      <c r="C883" s="466">
        <v>4</v>
      </c>
      <c r="D883" s="465"/>
      <c r="E883" s="466" t="s">
        <v>3161</v>
      </c>
      <c r="F883" s="466"/>
      <c r="G883" s="465"/>
      <c r="H883" s="465">
        <v>4</v>
      </c>
    </row>
    <row r="884" spans="1:8" ht="13.8" thickBot="1">
      <c r="A884" s="467" t="s">
        <v>6187</v>
      </c>
      <c r="B884" s="465" t="s">
        <v>3267</v>
      </c>
      <c r="C884" s="466">
        <v>4</v>
      </c>
      <c r="D884" s="467" t="s">
        <v>614</v>
      </c>
      <c r="E884" s="466" t="s">
        <v>3161</v>
      </c>
      <c r="F884" s="466"/>
      <c r="G884" s="465"/>
      <c r="H884" s="465">
        <v>4</v>
      </c>
    </row>
    <row r="885" spans="1:8" ht="13.8" thickBot="1">
      <c r="A885" s="465" t="s">
        <v>6188</v>
      </c>
      <c r="B885" s="465" t="s">
        <v>3268</v>
      </c>
      <c r="C885" s="466">
        <v>4</v>
      </c>
      <c r="D885" s="465"/>
      <c r="E885" s="466" t="s">
        <v>3161</v>
      </c>
      <c r="F885" s="466"/>
      <c r="G885" s="465"/>
      <c r="H885" s="465">
        <v>7</v>
      </c>
    </row>
    <row r="886" spans="1:8" ht="13.8" thickBot="1">
      <c r="A886" s="467" t="s">
        <v>6189</v>
      </c>
      <c r="B886" s="465" t="s">
        <v>3220</v>
      </c>
      <c r="C886" s="466">
        <v>4</v>
      </c>
      <c r="D886" s="467" t="s">
        <v>614</v>
      </c>
      <c r="E886" s="466" t="s">
        <v>3161</v>
      </c>
      <c r="F886" s="466"/>
      <c r="G886" s="465"/>
      <c r="H886" s="465">
        <v>3</v>
      </c>
    </row>
    <row r="887" spans="1:8" ht="13.8" thickBot="1">
      <c r="A887" s="467" t="s">
        <v>6190</v>
      </c>
      <c r="B887" s="465" t="s">
        <v>3269</v>
      </c>
      <c r="C887" s="466">
        <v>4</v>
      </c>
      <c r="D887" s="465"/>
      <c r="E887" s="466" t="s">
        <v>3161</v>
      </c>
      <c r="F887" s="466"/>
      <c r="G887" s="465"/>
      <c r="H887" s="465">
        <v>2</v>
      </c>
    </row>
    <row r="888" spans="1:8" ht="13.8" thickBot="1">
      <c r="A888" s="467" t="s">
        <v>6191</v>
      </c>
      <c r="B888" s="465" t="s">
        <v>3270</v>
      </c>
      <c r="C888" s="466">
        <v>4</v>
      </c>
      <c r="D888" s="467" t="s">
        <v>614</v>
      </c>
      <c r="E888" s="466" t="s">
        <v>3161</v>
      </c>
      <c r="F888" s="466"/>
      <c r="G888" s="465">
        <v>1</v>
      </c>
      <c r="H888" s="465">
        <v>3</v>
      </c>
    </row>
    <row r="889" spans="1:8" ht="13.8" thickBot="1">
      <c r="A889" s="467" t="s">
        <v>6192</v>
      </c>
      <c r="B889" s="465" t="s">
        <v>3271</v>
      </c>
      <c r="C889" s="466">
        <v>4</v>
      </c>
      <c r="D889" s="467" t="s">
        <v>614</v>
      </c>
      <c r="E889" s="466" t="s">
        <v>3161</v>
      </c>
      <c r="F889" s="466"/>
      <c r="G889" s="465"/>
      <c r="H889" s="465">
        <v>2</v>
      </c>
    </row>
    <row r="890" spans="1:8" ht="13.8" thickBot="1">
      <c r="A890" s="467" t="s">
        <v>6193</v>
      </c>
      <c r="B890" s="465" t="s">
        <v>1419</v>
      </c>
      <c r="C890" s="466">
        <v>4</v>
      </c>
      <c r="D890" s="465"/>
      <c r="E890" s="466" t="s">
        <v>3285</v>
      </c>
      <c r="F890" s="466" t="s">
        <v>1865</v>
      </c>
      <c r="G890" s="465">
        <v>1</v>
      </c>
      <c r="H890" s="465">
        <v>17</v>
      </c>
    </row>
    <row r="891" spans="1:8" ht="13.8" thickBot="1">
      <c r="A891" s="467" t="s">
        <v>6194</v>
      </c>
      <c r="B891" s="465" t="s">
        <v>1420</v>
      </c>
      <c r="C891" s="466">
        <v>4</v>
      </c>
      <c r="D891" s="465"/>
      <c r="E891" s="466" t="s">
        <v>3285</v>
      </c>
      <c r="F891" s="466" t="s">
        <v>1865</v>
      </c>
      <c r="G891" s="465">
        <v>2</v>
      </c>
      <c r="H891" s="465">
        <v>16</v>
      </c>
    </row>
    <row r="892" spans="1:8" ht="13.8" thickBot="1">
      <c r="A892" s="467" t="s">
        <v>6195</v>
      </c>
      <c r="B892" s="465" t="s">
        <v>3311</v>
      </c>
      <c r="C892" s="466">
        <v>4</v>
      </c>
      <c r="D892" s="467" t="s">
        <v>614</v>
      </c>
      <c r="E892" s="466" t="s">
        <v>3285</v>
      </c>
      <c r="F892" s="466"/>
      <c r="G892" s="465"/>
      <c r="H892" s="465">
        <v>5</v>
      </c>
    </row>
    <row r="893" spans="1:8" ht="13.8" thickBot="1">
      <c r="A893" s="467" t="s">
        <v>6196</v>
      </c>
      <c r="B893" s="465" t="s">
        <v>3289</v>
      </c>
      <c r="C893" s="466">
        <v>4</v>
      </c>
      <c r="D893" s="467" t="s">
        <v>614</v>
      </c>
      <c r="E893" s="466" t="s">
        <v>3285</v>
      </c>
      <c r="F893" s="466"/>
      <c r="G893" s="465"/>
      <c r="H893" s="465">
        <v>5</v>
      </c>
    </row>
    <row r="894" spans="1:8" ht="13.8" thickBot="1">
      <c r="A894" s="467" t="s">
        <v>6197</v>
      </c>
      <c r="B894" s="465" t="s">
        <v>1420</v>
      </c>
      <c r="C894" s="466">
        <v>4</v>
      </c>
      <c r="D894" s="465"/>
      <c r="E894" s="466" t="s">
        <v>3285</v>
      </c>
      <c r="F894" s="466"/>
      <c r="G894" s="465">
        <v>1</v>
      </c>
      <c r="H894" s="465">
        <v>9</v>
      </c>
    </row>
    <row r="895" spans="1:8" ht="13.8" thickBot="1">
      <c r="A895" s="467" t="s">
        <v>6168</v>
      </c>
      <c r="B895" s="465" t="s">
        <v>3339</v>
      </c>
      <c r="C895" s="466">
        <v>4</v>
      </c>
      <c r="D895" s="465"/>
      <c r="E895" s="466" t="s">
        <v>3315</v>
      </c>
      <c r="F895" s="466" t="s">
        <v>1880</v>
      </c>
      <c r="G895" s="465">
        <v>1</v>
      </c>
      <c r="H895" s="465">
        <v>18</v>
      </c>
    </row>
    <row r="896" spans="1:8" ht="13.8" thickBot="1">
      <c r="A896" s="467" t="s">
        <v>6198</v>
      </c>
      <c r="B896" s="465" t="s">
        <v>1434</v>
      </c>
      <c r="C896" s="466">
        <v>4</v>
      </c>
      <c r="D896" s="467" t="s">
        <v>614</v>
      </c>
      <c r="E896" s="466" t="s">
        <v>3315</v>
      </c>
      <c r="F896" s="466" t="s">
        <v>1880</v>
      </c>
      <c r="G896" s="465">
        <v>1</v>
      </c>
      <c r="H896" s="465">
        <v>18</v>
      </c>
    </row>
    <row r="897" spans="1:8" ht="13.8" thickBot="1">
      <c r="A897" s="467" t="s">
        <v>6199</v>
      </c>
      <c r="B897" s="465" t="s">
        <v>1433</v>
      </c>
      <c r="C897" s="466">
        <v>4</v>
      </c>
      <c r="D897" s="465"/>
      <c r="E897" s="466" t="s">
        <v>3315</v>
      </c>
      <c r="F897" s="466" t="s">
        <v>1865</v>
      </c>
      <c r="G897" s="465">
        <v>2</v>
      </c>
      <c r="H897" s="465">
        <v>8</v>
      </c>
    </row>
    <row r="898" spans="1:8" ht="13.8" thickBot="1">
      <c r="A898" s="467" t="s">
        <v>6200</v>
      </c>
      <c r="B898" s="465" t="s">
        <v>1432</v>
      </c>
      <c r="C898" s="466">
        <v>4</v>
      </c>
      <c r="D898" s="467" t="s">
        <v>614</v>
      </c>
      <c r="E898" s="466" t="s">
        <v>3315</v>
      </c>
      <c r="F898" s="466" t="s">
        <v>1865</v>
      </c>
      <c r="G898" s="465"/>
      <c r="H898" s="465">
        <v>9</v>
      </c>
    </row>
    <row r="899" spans="1:8" ht="13.8" thickBot="1">
      <c r="A899" s="465" t="s">
        <v>6201</v>
      </c>
      <c r="B899" s="465" t="s">
        <v>3340</v>
      </c>
      <c r="C899" s="466">
        <v>4</v>
      </c>
      <c r="D899" s="465"/>
      <c r="E899" s="466" t="s">
        <v>3315</v>
      </c>
      <c r="F899" s="466" t="s">
        <v>1865</v>
      </c>
      <c r="G899" s="465">
        <v>2</v>
      </c>
      <c r="H899" s="465">
        <v>14</v>
      </c>
    </row>
    <row r="900" spans="1:8" ht="13.8" thickBot="1">
      <c r="A900" s="467" t="s">
        <v>6202</v>
      </c>
      <c r="B900" s="465" t="s">
        <v>1432</v>
      </c>
      <c r="C900" s="466">
        <v>4</v>
      </c>
      <c r="D900" s="467" t="s">
        <v>614</v>
      </c>
      <c r="E900" s="466" t="s">
        <v>3315</v>
      </c>
      <c r="F900" s="466" t="s">
        <v>1910</v>
      </c>
      <c r="G900" s="465"/>
      <c r="H900" s="465">
        <v>10</v>
      </c>
    </row>
    <row r="901" spans="1:8" ht="13.8" thickBot="1">
      <c r="A901" s="465" t="s">
        <v>6203</v>
      </c>
      <c r="B901" s="465" t="s">
        <v>3341</v>
      </c>
      <c r="C901" s="466">
        <v>4</v>
      </c>
      <c r="D901" s="465"/>
      <c r="E901" s="466" t="s">
        <v>3315</v>
      </c>
      <c r="F901" s="466" t="s">
        <v>1226</v>
      </c>
      <c r="G901" s="465">
        <v>3</v>
      </c>
      <c r="H901" s="465">
        <v>17</v>
      </c>
    </row>
    <row r="902" spans="1:8" ht="13.8" thickBot="1">
      <c r="A902" s="467" t="s">
        <v>6204</v>
      </c>
      <c r="B902" s="465" t="s">
        <v>1433</v>
      </c>
      <c r="C902" s="466">
        <v>4</v>
      </c>
      <c r="D902" s="465"/>
      <c r="E902" s="466" t="s">
        <v>3315</v>
      </c>
      <c r="F902" s="466" t="s">
        <v>1220</v>
      </c>
      <c r="G902" s="465">
        <v>1</v>
      </c>
      <c r="H902" s="465">
        <v>6</v>
      </c>
    </row>
    <row r="903" spans="1:8" ht="13.8" thickBot="1">
      <c r="A903" s="467" t="s">
        <v>6205</v>
      </c>
      <c r="B903" s="465" t="s">
        <v>1437</v>
      </c>
      <c r="C903" s="466">
        <v>4</v>
      </c>
      <c r="D903" s="467" t="s">
        <v>614</v>
      </c>
      <c r="E903" s="466" t="s">
        <v>3315</v>
      </c>
      <c r="F903" s="466" t="s">
        <v>1220</v>
      </c>
      <c r="G903" s="465"/>
      <c r="H903" s="465">
        <v>12</v>
      </c>
    </row>
    <row r="904" spans="1:8" ht="13.8" thickBot="1">
      <c r="A904" s="467" t="s">
        <v>6206</v>
      </c>
      <c r="B904" s="465" t="s">
        <v>3342</v>
      </c>
      <c r="C904" s="466">
        <v>4</v>
      </c>
      <c r="D904" s="467" t="s">
        <v>614</v>
      </c>
      <c r="E904" s="466" t="s">
        <v>3315</v>
      </c>
      <c r="F904" s="466"/>
      <c r="G904" s="465"/>
      <c r="H904" s="465">
        <v>2</v>
      </c>
    </row>
    <row r="905" spans="1:8" ht="13.8" thickBot="1">
      <c r="A905" s="467" t="s">
        <v>6207</v>
      </c>
      <c r="B905" s="465" t="s">
        <v>1432</v>
      </c>
      <c r="C905" s="466">
        <v>4</v>
      </c>
      <c r="D905" s="465"/>
      <c r="E905" s="466" t="s">
        <v>3315</v>
      </c>
      <c r="F905" s="466"/>
      <c r="G905" s="465"/>
      <c r="H905" s="465">
        <v>1</v>
      </c>
    </row>
    <row r="906" spans="1:8" ht="13.8" thickBot="1">
      <c r="A906" s="467" t="s">
        <v>5979</v>
      </c>
      <c r="B906" s="465" t="s">
        <v>1285</v>
      </c>
      <c r="C906" s="466">
        <v>4</v>
      </c>
      <c r="D906" s="467" t="s">
        <v>614</v>
      </c>
      <c r="E906" s="466" t="s">
        <v>2032</v>
      </c>
      <c r="F906" s="466" t="s">
        <v>1251</v>
      </c>
      <c r="G906" s="465"/>
      <c r="H906" s="465">
        <v>5</v>
      </c>
    </row>
    <row r="907" spans="1:8" ht="13.8" thickBot="1">
      <c r="A907" s="467" t="s">
        <v>5980</v>
      </c>
      <c r="B907" s="465" t="s">
        <v>2082</v>
      </c>
      <c r="C907" s="466">
        <v>4</v>
      </c>
      <c r="D907" s="465"/>
      <c r="E907" s="466" t="s">
        <v>2032</v>
      </c>
      <c r="F907" s="466" t="s">
        <v>1226</v>
      </c>
      <c r="G907" s="465"/>
      <c r="H907" s="465">
        <v>1</v>
      </c>
    </row>
    <row r="908" spans="1:8" ht="13.8" thickBot="1">
      <c r="A908" s="467" t="s">
        <v>5981</v>
      </c>
      <c r="B908" s="465" t="s">
        <v>1286</v>
      </c>
      <c r="C908" s="466">
        <v>4</v>
      </c>
      <c r="D908" s="465"/>
      <c r="E908" s="466" t="s">
        <v>2032</v>
      </c>
      <c r="F908" s="466" t="s">
        <v>1224</v>
      </c>
      <c r="G908" s="465"/>
      <c r="H908" s="465">
        <v>4</v>
      </c>
    </row>
    <row r="909" spans="1:8" ht="13.8" thickBot="1">
      <c r="A909" s="467" t="s">
        <v>5982</v>
      </c>
      <c r="B909" s="465" t="s">
        <v>1287</v>
      </c>
      <c r="C909" s="466">
        <v>4</v>
      </c>
      <c r="D909" s="465"/>
      <c r="E909" s="466" t="s">
        <v>2032</v>
      </c>
      <c r="F909" s="466" t="s">
        <v>1224</v>
      </c>
      <c r="G909" s="465">
        <v>1</v>
      </c>
      <c r="H909" s="465">
        <v>14</v>
      </c>
    </row>
    <row r="910" spans="1:8" ht="13.8" thickBot="1">
      <c r="A910" s="467" t="s">
        <v>5983</v>
      </c>
      <c r="B910" s="465" t="s">
        <v>1288</v>
      </c>
      <c r="C910" s="466">
        <v>4</v>
      </c>
      <c r="D910" s="465"/>
      <c r="E910" s="466" t="s">
        <v>2032</v>
      </c>
      <c r="F910" s="466" t="s">
        <v>1224</v>
      </c>
      <c r="G910" s="465"/>
      <c r="H910" s="465">
        <v>6</v>
      </c>
    </row>
    <row r="911" spans="1:8" ht="13.8" thickBot="1">
      <c r="A911" s="467" t="s">
        <v>5984</v>
      </c>
      <c r="B911" s="465" t="s">
        <v>2044</v>
      </c>
      <c r="C911" s="466">
        <v>4</v>
      </c>
      <c r="D911" s="465"/>
      <c r="E911" s="466" t="s">
        <v>2032</v>
      </c>
      <c r="F911" s="466"/>
      <c r="G911" s="465"/>
      <c r="H911" s="465">
        <v>5</v>
      </c>
    </row>
    <row r="912" spans="1:8" ht="13.8" thickBot="1">
      <c r="A912" s="467" t="s">
        <v>5985</v>
      </c>
      <c r="B912" s="465" t="s">
        <v>2044</v>
      </c>
      <c r="C912" s="466">
        <v>4</v>
      </c>
      <c r="D912" s="465"/>
      <c r="E912" s="466" t="s">
        <v>2032</v>
      </c>
      <c r="F912" s="466"/>
      <c r="G912" s="465"/>
      <c r="H912" s="465">
        <v>1</v>
      </c>
    </row>
    <row r="913" spans="1:8" ht="13.8" thickBot="1">
      <c r="A913" s="465" t="s">
        <v>5986</v>
      </c>
      <c r="B913" s="465" t="s">
        <v>2044</v>
      </c>
      <c r="C913" s="466">
        <v>4</v>
      </c>
      <c r="D913" s="465"/>
      <c r="E913" s="466" t="s">
        <v>2032</v>
      </c>
      <c r="F913" s="466"/>
      <c r="G913" s="465"/>
      <c r="H913" s="465">
        <v>1</v>
      </c>
    </row>
    <row r="914" spans="1:8" ht="13.8" thickBot="1">
      <c r="A914" s="467" t="s">
        <v>5987</v>
      </c>
      <c r="B914" s="465" t="s">
        <v>1289</v>
      </c>
      <c r="C914" s="466">
        <v>4</v>
      </c>
      <c r="D914" s="465"/>
      <c r="E914" s="466" t="s">
        <v>2032</v>
      </c>
      <c r="F914" s="466"/>
      <c r="G914" s="465"/>
      <c r="H914" s="465">
        <v>8</v>
      </c>
    </row>
    <row r="915" spans="1:8" ht="13.8" thickBot="1">
      <c r="A915" s="467" t="s">
        <v>5988</v>
      </c>
      <c r="B915" s="465" t="s">
        <v>1284</v>
      </c>
      <c r="C915" s="466">
        <v>4</v>
      </c>
      <c r="D915" s="465"/>
      <c r="E915" s="466" t="s">
        <v>2032</v>
      </c>
      <c r="F915" s="466"/>
      <c r="G915" s="465"/>
      <c r="H915" s="465">
        <v>1</v>
      </c>
    </row>
    <row r="916" spans="1:8" ht="13.8" thickBot="1">
      <c r="A916" s="467" t="s">
        <v>6208</v>
      </c>
      <c r="B916" s="465" t="s">
        <v>3395</v>
      </c>
      <c r="C916" s="466">
        <v>4</v>
      </c>
      <c r="D916" s="467" t="s">
        <v>614</v>
      </c>
      <c r="E916" s="466" t="s">
        <v>3351</v>
      </c>
      <c r="F916" s="466" t="s">
        <v>1880</v>
      </c>
      <c r="G916" s="465">
        <v>1</v>
      </c>
      <c r="H916" s="465">
        <v>9</v>
      </c>
    </row>
    <row r="917" spans="1:8" ht="13.8" thickBot="1">
      <c r="A917" s="467" t="s">
        <v>6209</v>
      </c>
      <c r="B917" s="465" t="s">
        <v>3396</v>
      </c>
      <c r="C917" s="466">
        <v>4</v>
      </c>
      <c r="D917" s="467" t="s">
        <v>614</v>
      </c>
      <c r="E917" s="466" t="s">
        <v>3351</v>
      </c>
      <c r="F917" s="466" t="s">
        <v>1865</v>
      </c>
      <c r="G917" s="465">
        <v>1</v>
      </c>
      <c r="H917" s="465">
        <v>6</v>
      </c>
    </row>
    <row r="918" spans="1:8" ht="13.8" thickBot="1">
      <c r="A918" s="467" t="s">
        <v>6210</v>
      </c>
      <c r="B918" s="465" t="s">
        <v>1440</v>
      </c>
      <c r="C918" s="466">
        <v>4</v>
      </c>
      <c r="D918" s="465"/>
      <c r="E918" s="466" t="s">
        <v>3351</v>
      </c>
      <c r="F918" s="466" t="s">
        <v>1220</v>
      </c>
      <c r="G918" s="465">
        <v>1</v>
      </c>
      <c r="H918" s="465">
        <v>5</v>
      </c>
    </row>
    <row r="919" spans="1:8" ht="13.8" thickBot="1">
      <c r="A919" s="467" t="s">
        <v>6211</v>
      </c>
      <c r="B919" s="465" t="s">
        <v>1441</v>
      </c>
      <c r="C919" s="466">
        <v>4</v>
      </c>
      <c r="D919" s="467" t="s">
        <v>614</v>
      </c>
      <c r="E919" s="466" t="s">
        <v>3351</v>
      </c>
      <c r="F919" s="466"/>
      <c r="G919" s="465"/>
      <c r="H919" s="465">
        <v>8</v>
      </c>
    </row>
    <row r="920" spans="1:8" ht="13.8" thickBot="1">
      <c r="A920" s="465" t="s">
        <v>6212</v>
      </c>
      <c r="B920" s="465" t="s">
        <v>1449</v>
      </c>
      <c r="C920" s="466">
        <v>4</v>
      </c>
      <c r="D920" s="467" t="s">
        <v>3408</v>
      </c>
      <c r="E920" s="466" t="s">
        <v>3400</v>
      </c>
      <c r="F920" s="466"/>
      <c r="G920" s="465"/>
      <c r="H920" s="465">
        <v>5</v>
      </c>
    </row>
    <row r="921" spans="1:8" ht="13.8" thickBot="1">
      <c r="A921" s="467" t="s">
        <v>6213</v>
      </c>
      <c r="B921" s="465" t="s">
        <v>3412</v>
      </c>
      <c r="C921" s="466">
        <v>4</v>
      </c>
      <c r="D921" s="465"/>
      <c r="E921" s="466" t="s">
        <v>3400</v>
      </c>
      <c r="F921" s="466"/>
      <c r="G921" s="465"/>
      <c r="H921" s="465"/>
    </row>
    <row r="922" spans="1:8" ht="13.8" thickBot="1">
      <c r="A922" s="467" t="s">
        <v>6214</v>
      </c>
      <c r="B922" s="465" t="s">
        <v>3421</v>
      </c>
      <c r="C922" s="466">
        <v>4</v>
      </c>
      <c r="D922" s="467" t="s">
        <v>614</v>
      </c>
      <c r="E922" s="466" t="s">
        <v>3414</v>
      </c>
      <c r="F922" s="466"/>
      <c r="G922" s="465"/>
      <c r="H922" s="465">
        <v>3</v>
      </c>
    </row>
    <row r="923" spans="1:8" ht="13.8" thickBot="1">
      <c r="A923" s="467" t="s">
        <v>6215</v>
      </c>
      <c r="B923" s="465" t="s">
        <v>3489</v>
      </c>
      <c r="C923" s="466">
        <v>4</v>
      </c>
      <c r="D923" s="467" t="s">
        <v>3490</v>
      </c>
      <c r="E923" s="466" t="s">
        <v>3452</v>
      </c>
      <c r="F923" s="466" t="s">
        <v>1226</v>
      </c>
      <c r="G923" s="465"/>
      <c r="H923" s="465">
        <v>11</v>
      </c>
    </row>
    <row r="924" spans="1:8" ht="13.8" thickBot="1">
      <c r="A924" s="467" t="s">
        <v>6216</v>
      </c>
      <c r="B924" s="465" t="s">
        <v>3491</v>
      </c>
      <c r="C924" s="466">
        <v>4</v>
      </c>
      <c r="D924" s="467" t="s">
        <v>614</v>
      </c>
      <c r="E924" s="466" t="s">
        <v>3452</v>
      </c>
      <c r="F924" s="466"/>
      <c r="G924" s="465"/>
      <c r="H924" s="465">
        <v>1</v>
      </c>
    </row>
    <row r="925" spans="1:8" ht="13.8" thickBot="1">
      <c r="A925" s="467" t="s">
        <v>6217</v>
      </c>
      <c r="B925" s="465" t="s">
        <v>3503</v>
      </c>
      <c r="C925" s="466">
        <v>4</v>
      </c>
      <c r="D925" s="465"/>
      <c r="E925" s="466" t="s">
        <v>3496</v>
      </c>
      <c r="F925" s="466"/>
      <c r="G925" s="465"/>
      <c r="H925" s="465">
        <v>1</v>
      </c>
    </row>
    <row r="926" spans="1:8" ht="13.8" thickBot="1">
      <c r="A926" s="465" t="s">
        <v>6218</v>
      </c>
      <c r="B926" s="465" t="s">
        <v>3514</v>
      </c>
      <c r="C926" s="466">
        <v>4</v>
      </c>
      <c r="D926" s="467" t="s">
        <v>614</v>
      </c>
      <c r="E926" s="466" t="s">
        <v>3496</v>
      </c>
      <c r="F926" s="466"/>
      <c r="G926" s="465"/>
      <c r="H926" s="465">
        <v>2</v>
      </c>
    </row>
    <row r="927" spans="1:8" ht="13.8" thickBot="1">
      <c r="A927" s="467" t="s">
        <v>6219</v>
      </c>
      <c r="B927" s="465" t="s">
        <v>3515</v>
      </c>
      <c r="C927" s="466">
        <v>4</v>
      </c>
      <c r="D927" s="465"/>
      <c r="E927" s="466" t="s">
        <v>3496</v>
      </c>
      <c r="F927" s="466"/>
      <c r="G927" s="465"/>
      <c r="H927" s="465">
        <v>2</v>
      </c>
    </row>
    <row r="928" spans="1:8" ht="13.8" thickBot="1">
      <c r="A928" s="467" t="s">
        <v>6220</v>
      </c>
      <c r="B928" s="465" t="s">
        <v>3579</v>
      </c>
      <c r="C928" s="466">
        <v>4</v>
      </c>
      <c r="D928" s="465"/>
      <c r="E928" s="466" t="s">
        <v>3517</v>
      </c>
      <c r="F928" s="466" t="s">
        <v>1226</v>
      </c>
      <c r="G928" s="465"/>
      <c r="H928" s="465">
        <v>1</v>
      </c>
    </row>
    <row r="929" spans="1:8" ht="13.8" thickBot="1">
      <c r="A929" s="467" t="s">
        <v>6221</v>
      </c>
      <c r="B929" s="465" t="s">
        <v>3630</v>
      </c>
      <c r="C929" s="466">
        <v>4</v>
      </c>
      <c r="D929" s="465"/>
      <c r="E929" s="466" t="s">
        <v>3517</v>
      </c>
      <c r="F929" s="466" t="s">
        <v>1226</v>
      </c>
      <c r="G929" s="465"/>
      <c r="H929" s="465">
        <v>1</v>
      </c>
    </row>
    <row r="930" spans="1:8" ht="13.8" thickBot="1">
      <c r="A930" s="467" t="s">
        <v>6222</v>
      </c>
      <c r="B930" s="465" t="s">
        <v>1452</v>
      </c>
      <c r="C930" s="466">
        <v>4</v>
      </c>
      <c r="D930" s="465"/>
      <c r="E930" s="466" t="s">
        <v>3517</v>
      </c>
      <c r="F930" s="466" t="s">
        <v>1224</v>
      </c>
      <c r="G930" s="465"/>
      <c r="H930" s="465">
        <v>1</v>
      </c>
    </row>
    <row r="931" spans="1:8" ht="13.8" thickBot="1">
      <c r="A931" s="467" t="s">
        <v>6223</v>
      </c>
      <c r="B931" s="465" t="s">
        <v>3587</v>
      </c>
      <c r="C931" s="466">
        <v>4</v>
      </c>
      <c r="D931" s="465"/>
      <c r="E931" s="466" t="s">
        <v>3517</v>
      </c>
      <c r="F931" s="466" t="s">
        <v>1224</v>
      </c>
      <c r="G931" s="465"/>
      <c r="H931" s="465">
        <v>5</v>
      </c>
    </row>
    <row r="932" spans="1:8" ht="13.8" thickBot="1">
      <c r="A932" s="467" t="s">
        <v>6224</v>
      </c>
      <c r="B932" s="465" t="s">
        <v>3631</v>
      </c>
      <c r="C932" s="466">
        <v>4</v>
      </c>
      <c r="D932" s="465"/>
      <c r="E932" s="466" t="s">
        <v>3517</v>
      </c>
      <c r="F932" s="466" t="s">
        <v>1224</v>
      </c>
      <c r="G932" s="465">
        <v>1</v>
      </c>
      <c r="H932" s="465">
        <v>6</v>
      </c>
    </row>
    <row r="933" spans="1:8" ht="13.8" thickBot="1">
      <c r="A933" s="467" t="s">
        <v>6225</v>
      </c>
      <c r="B933" s="465" t="s">
        <v>1453</v>
      </c>
      <c r="C933" s="466">
        <v>4</v>
      </c>
      <c r="D933" s="465"/>
      <c r="E933" s="466" t="s">
        <v>3517</v>
      </c>
      <c r="F933" s="466" t="s">
        <v>1220</v>
      </c>
      <c r="G933" s="465"/>
      <c r="H933" s="465">
        <v>5</v>
      </c>
    </row>
    <row r="934" spans="1:8" ht="13.8" thickBot="1">
      <c r="A934" s="465" t="s">
        <v>6226</v>
      </c>
      <c r="B934" s="465" t="s">
        <v>1452</v>
      </c>
      <c r="C934" s="466">
        <v>4</v>
      </c>
      <c r="D934" s="465"/>
      <c r="E934" s="466" t="s">
        <v>3517</v>
      </c>
      <c r="F934" s="466"/>
      <c r="G934" s="465"/>
      <c r="H934" s="465">
        <v>4</v>
      </c>
    </row>
    <row r="935" spans="1:8" ht="13.8" thickBot="1">
      <c r="A935" s="467" t="s">
        <v>6227</v>
      </c>
      <c r="B935" s="465" t="s">
        <v>1452</v>
      </c>
      <c r="C935" s="466">
        <v>4</v>
      </c>
      <c r="D935" s="465"/>
      <c r="E935" s="466" t="s">
        <v>3517</v>
      </c>
      <c r="F935" s="466"/>
      <c r="G935" s="465"/>
      <c r="H935" s="465">
        <v>5</v>
      </c>
    </row>
    <row r="936" spans="1:8" ht="13.8" thickBot="1">
      <c r="A936" s="467" t="s">
        <v>6228</v>
      </c>
      <c r="B936" s="465" t="s">
        <v>1452</v>
      </c>
      <c r="C936" s="466">
        <v>4</v>
      </c>
      <c r="D936" s="465"/>
      <c r="E936" s="466" t="s">
        <v>3517</v>
      </c>
      <c r="F936" s="466"/>
      <c r="G936" s="465">
        <v>1</v>
      </c>
      <c r="H936" s="465">
        <v>3</v>
      </c>
    </row>
    <row r="937" spans="1:8" ht="13.8" thickBot="1">
      <c r="A937" s="467" t="s">
        <v>6229</v>
      </c>
      <c r="B937" s="465" t="s">
        <v>1452</v>
      </c>
      <c r="C937" s="466">
        <v>4</v>
      </c>
      <c r="D937" s="465"/>
      <c r="E937" s="466" t="s">
        <v>3517</v>
      </c>
      <c r="F937" s="466"/>
      <c r="G937" s="465"/>
      <c r="H937" s="465">
        <v>1</v>
      </c>
    </row>
    <row r="938" spans="1:8" ht="13.8" thickBot="1">
      <c r="A938" s="467" t="s">
        <v>6230</v>
      </c>
      <c r="B938" s="465" t="s">
        <v>1458</v>
      </c>
      <c r="C938" s="466">
        <v>4</v>
      </c>
      <c r="D938" s="465"/>
      <c r="E938" s="466" t="s">
        <v>3517</v>
      </c>
      <c r="F938" s="466"/>
      <c r="G938" s="465"/>
      <c r="H938" s="465">
        <v>2</v>
      </c>
    </row>
    <row r="939" spans="1:8" ht="13.8" thickBot="1">
      <c r="A939" s="467" t="s">
        <v>6231</v>
      </c>
      <c r="B939" s="465" t="s">
        <v>3632</v>
      </c>
      <c r="C939" s="466">
        <v>4</v>
      </c>
      <c r="D939" s="467" t="s">
        <v>614</v>
      </c>
      <c r="E939" s="466" t="s">
        <v>3517</v>
      </c>
      <c r="F939" s="466"/>
      <c r="G939" s="465"/>
      <c r="H939" s="465"/>
    </row>
    <row r="940" spans="1:8" ht="13.8" thickBot="1">
      <c r="A940" s="467" t="s">
        <v>6232</v>
      </c>
      <c r="B940" s="465" t="s">
        <v>3633</v>
      </c>
      <c r="C940" s="466">
        <v>4</v>
      </c>
      <c r="D940" s="465"/>
      <c r="E940" s="466" t="s">
        <v>3517</v>
      </c>
      <c r="F940" s="466"/>
      <c r="G940" s="465"/>
      <c r="H940" s="465">
        <v>4</v>
      </c>
    </row>
    <row r="941" spans="1:8" ht="13.8" thickBot="1">
      <c r="A941" s="467" t="s">
        <v>6233</v>
      </c>
      <c r="B941" s="465" t="s">
        <v>3634</v>
      </c>
      <c r="C941" s="466">
        <v>4</v>
      </c>
      <c r="D941" s="467" t="s">
        <v>614</v>
      </c>
      <c r="E941" s="466" t="s">
        <v>3517</v>
      </c>
      <c r="F941" s="466"/>
      <c r="G941" s="465"/>
      <c r="H941" s="465">
        <v>4</v>
      </c>
    </row>
    <row r="942" spans="1:8" ht="13.8" thickBot="1">
      <c r="A942" s="467" t="s">
        <v>6234</v>
      </c>
      <c r="B942" s="465" t="s">
        <v>3579</v>
      </c>
      <c r="C942" s="466">
        <v>4</v>
      </c>
      <c r="D942" s="465"/>
      <c r="E942" s="466" t="s">
        <v>3517</v>
      </c>
      <c r="F942" s="466"/>
      <c r="G942" s="465"/>
      <c r="H942" s="465">
        <v>1</v>
      </c>
    </row>
    <row r="943" spans="1:8" ht="13.8" thickBot="1">
      <c r="A943" s="465" t="s">
        <v>6235</v>
      </c>
      <c r="B943" s="465" t="s">
        <v>3534</v>
      </c>
      <c r="C943" s="466">
        <v>4</v>
      </c>
      <c r="D943" s="465"/>
      <c r="E943" s="466" t="s">
        <v>3517</v>
      </c>
      <c r="F943" s="466"/>
      <c r="G943" s="465"/>
      <c r="H943" s="465">
        <v>4</v>
      </c>
    </row>
    <row r="944" spans="1:8" ht="13.8" thickBot="1">
      <c r="A944" s="467" t="s">
        <v>6236</v>
      </c>
      <c r="B944" s="465" t="s">
        <v>3635</v>
      </c>
      <c r="C944" s="466">
        <v>4</v>
      </c>
      <c r="D944" s="467" t="s">
        <v>3636</v>
      </c>
      <c r="E944" s="466" t="s">
        <v>3517</v>
      </c>
      <c r="F944" s="466"/>
      <c r="G944" s="465"/>
      <c r="H944" s="465">
        <v>4</v>
      </c>
    </row>
    <row r="945" spans="1:8" ht="13.8" thickBot="1">
      <c r="A945" s="465" t="s">
        <v>6237</v>
      </c>
      <c r="B945" s="465" t="s">
        <v>3645</v>
      </c>
      <c r="C945" s="466">
        <v>4</v>
      </c>
      <c r="D945" s="465"/>
      <c r="E945" s="466" t="s">
        <v>3641</v>
      </c>
      <c r="F945" s="466"/>
      <c r="G945" s="465"/>
      <c r="H945" s="465">
        <v>2</v>
      </c>
    </row>
    <row r="946" spans="1:8" ht="13.8" thickBot="1">
      <c r="A946" s="467" t="s">
        <v>6238</v>
      </c>
      <c r="B946" s="465" t="s">
        <v>3643</v>
      </c>
      <c r="C946" s="466">
        <v>4</v>
      </c>
      <c r="D946" s="465"/>
      <c r="E946" s="466" t="s">
        <v>3641</v>
      </c>
      <c r="F946" s="466"/>
      <c r="G946" s="465"/>
      <c r="H946" s="465"/>
    </row>
    <row r="947" spans="1:8" ht="13.8" thickBot="1">
      <c r="A947" s="467" t="s">
        <v>6239</v>
      </c>
      <c r="B947" s="465" t="s">
        <v>3678</v>
      </c>
      <c r="C947" s="466">
        <v>4</v>
      </c>
      <c r="D947" s="465"/>
      <c r="E947" s="466" t="s">
        <v>3652</v>
      </c>
      <c r="F947" s="466" t="s">
        <v>1880</v>
      </c>
      <c r="G947" s="465">
        <v>1</v>
      </c>
      <c r="H947" s="465">
        <v>15</v>
      </c>
    </row>
    <row r="948" spans="1:8" ht="13.8" thickBot="1">
      <c r="A948" s="467" t="s">
        <v>6240</v>
      </c>
      <c r="B948" s="465" t="s">
        <v>1466</v>
      </c>
      <c r="C948" s="466">
        <v>4</v>
      </c>
      <c r="D948" s="465"/>
      <c r="E948" s="466" t="s">
        <v>3652</v>
      </c>
      <c r="F948" s="466" t="s">
        <v>1865</v>
      </c>
      <c r="G948" s="465"/>
      <c r="H948" s="465">
        <v>3</v>
      </c>
    </row>
    <row r="949" spans="1:8" ht="13.8" thickBot="1">
      <c r="A949" s="467" t="s">
        <v>6241</v>
      </c>
      <c r="B949" s="465" t="s">
        <v>1466</v>
      </c>
      <c r="C949" s="466">
        <v>4</v>
      </c>
      <c r="D949" s="465"/>
      <c r="E949" s="466" t="s">
        <v>3652</v>
      </c>
      <c r="F949" s="466" t="s">
        <v>1226</v>
      </c>
      <c r="G949" s="465"/>
      <c r="H949" s="465">
        <v>1</v>
      </c>
    </row>
    <row r="950" spans="1:8" ht="13.8" thickBot="1">
      <c r="A950" s="467" t="s">
        <v>6242</v>
      </c>
      <c r="B950" s="465" t="s">
        <v>1466</v>
      </c>
      <c r="C950" s="466">
        <v>4</v>
      </c>
      <c r="D950" s="465"/>
      <c r="E950" s="466" t="s">
        <v>3652</v>
      </c>
      <c r="F950" s="466" t="s">
        <v>1220</v>
      </c>
      <c r="G950" s="465"/>
      <c r="H950" s="465">
        <v>6</v>
      </c>
    </row>
    <row r="951" spans="1:8" ht="13.8" thickBot="1">
      <c r="A951" s="467" t="s">
        <v>6243</v>
      </c>
      <c r="B951" s="465" t="s">
        <v>3696</v>
      </c>
      <c r="C951" s="466">
        <v>4</v>
      </c>
      <c r="D951" s="467" t="s">
        <v>614</v>
      </c>
      <c r="E951" s="466" t="s">
        <v>3652</v>
      </c>
      <c r="F951" s="466" t="s">
        <v>1220</v>
      </c>
      <c r="G951" s="465"/>
      <c r="H951" s="465"/>
    </row>
    <row r="952" spans="1:8" ht="13.8" thickBot="1">
      <c r="A952" s="467" t="s">
        <v>6244</v>
      </c>
      <c r="B952" s="465" t="s">
        <v>3715</v>
      </c>
      <c r="C952" s="466">
        <v>4</v>
      </c>
      <c r="D952" s="465"/>
      <c r="E952" s="466" t="s">
        <v>3652</v>
      </c>
      <c r="F952" s="466" t="s">
        <v>1220</v>
      </c>
      <c r="G952" s="465"/>
      <c r="H952" s="465">
        <v>2</v>
      </c>
    </row>
    <row r="953" spans="1:8" ht="13.8" thickBot="1">
      <c r="A953" s="467" t="s">
        <v>6245</v>
      </c>
      <c r="B953" s="465" t="s">
        <v>1466</v>
      </c>
      <c r="C953" s="466">
        <v>4</v>
      </c>
      <c r="D953" s="465"/>
      <c r="E953" s="466" t="s">
        <v>3652</v>
      </c>
      <c r="F953" s="466"/>
      <c r="G953" s="465"/>
      <c r="H953" s="465">
        <v>6</v>
      </c>
    </row>
    <row r="954" spans="1:8" ht="13.8" thickBot="1">
      <c r="A954" s="467" t="s">
        <v>6246</v>
      </c>
      <c r="B954" s="465" t="s">
        <v>1466</v>
      </c>
      <c r="C954" s="466">
        <v>4</v>
      </c>
      <c r="D954" s="465"/>
      <c r="E954" s="466" t="s">
        <v>3652</v>
      </c>
      <c r="F954" s="466"/>
      <c r="G954" s="465"/>
      <c r="H954" s="465">
        <v>5</v>
      </c>
    </row>
    <row r="955" spans="1:8" ht="13.8" thickBot="1">
      <c r="A955" s="467" t="s">
        <v>6247</v>
      </c>
      <c r="B955" s="465" t="s">
        <v>1466</v>
      </c>
      <c r="C955" s="466">
        <v>4</v>
      </c>
      <c r="D955" s="465"/>
      <c r="E955" s="466" t="s">
        <v>3652</v>
      </c>
      <c r="F955" s="466"/>
      <c r="G955" s="465"/>
      <c r="H955" s="465">
        <v>4</v>
      </c>
    </row>
    <row r="956" spans="1:8" ht="13.8" thickBot="1">
      <c r="A956" s="467" t="s">
        <v>6248</v>
      </c>
      <c r="B956" s="465" t="s">
        <v>1466</v>
      </c>
      <c r="C956" s="466">
        <v>4</v>
      </c>
      <c r="D956" s="465"/>
      <c r="E956" s="466" t="s">
        <v>3652</v>
      </c>
      <c r="F956" s="466"/>
      <c r="G956" s="465"/>
      <c r="H956" s="465">
        <v>2</v>
      </c>
    </row>
    <row r="957" spans="1:8" ht="13.8" thickBot="1">
      <c r="A957" s="467" t="s">
        <v>6249</v>
      </c>
      <c r="B957" s="465" t="s">
        <v>1466</v>
      </c>
      <c r="C957" s="466">
        <v>4</v>
      </c>
      <c r="D957" s="465"/>
      <c r="E957" s="466" t="s">
        <v>3652</v>
      </c>
      <c r="F957" s="466"/>
      <c r="G957" s="465"/>
      <c r="H957" s="465">
        <v>2</v>
      </c>
    </row>
    <row r="958" spans="1:8" ht="13.8" thickBot="1">
      <c r="A958" s="467" t="s">
        <v>6250</v>
      </c>
      <c r="B958" s="465" t="s">
        <v>1466</v>
      </c>
      <c r="C958" s="466">
        <v>4</v>
      </c>
      <c r="D958" s="465"/>
      <c r="E958" s="466" t="s">
        <v>3652</v>
      </c>
      <c r="F958" s="466"/>
      <c r="G958" s="465"/>
      <c r="H958" s="465">
        <v>1</v>
      </c>
    </row>
    <row r="959" spans="1:8" ht="13.8" thickBot="1">
      <c r="A959" s="465" t="s">
        <v>6251</v>
      </c>
      <c r="B959" s="465" t="s">
        <v>1466</v>
      </c>
      <c r="C959" s="466">
        <v>4</v>
      </c>
      <c r="D959" s="465"/>
      <c r="E959" s="466" t="s">
        <v>3652</v>
      </c>
      <c r="F959" s="466"/>
      <c r="G959" s="465"/>
      <c r="H959" s="465">
        <v>1</v>
      </c>
    </row>
    <row r="960" spans="1:8" ht="13.8" thickBot="1">
      <c r="A960" s="467" t="s">
        <v>6252</v>
      </c>
      <c r="B960" s="465" t="s">
        <v>1466</v>
      </c>
      <c r="C960" s="466">
        <v>4</v>
      </c>
      <c r="D960" s="465"/>
      <c r="E960" s="466" t="s">
        <v>3652</v>
      </c>
      <c r="F960" s="466"/>
      <c r="G960" s="465"/>
      <c r="H960" s="465">
        <v>1</v>
      </c>
    </row>
    <row r="961" spans="1:8" ht="13.8" thickBot="1">
      <c r="A961" s="465" t="s">
        <v>6253</v>
      </c>
      <c r="B961" s="465" t="s">
        <v>1466</v>
      </c>
      <c r="C961" s="466">
        <v>4</v>
      </c>
      <c r="D961" s="465"/>
      <c r="E961" s="466" t="s">
        <v>3652</v>
      </c>
      <c r="F961" s="466"/>
      <c r="G961" s="465"/>
      <c r="H961" s="465">
        <v>1</v>
      </c>
    </row>
    <row r="962" spans="1:8" ht="13.8" thickBot="1">
      <c r="A962" s="467" t="s">
        <v>6254</v>
      </c>
      <c r="B962" s="465" t="s">
        <v>3716</v>
      </c>
      <c r="C962" s="466">
        <v>4</v>
      </c>
      <c r="D962" s="465"/>
      <c r="E962" s="466" t="s">
        <v>3652</v>
      </c>
      <c r="F962" s="466"/>
      <c r="G962" s="465"/>
      <c r="H962" s="465">
        <v>1</v>
      </c>
    </row>
    <row r="963" spans="1:8" ht="13.8" thickBot="1">
      <c r="A963" s="467" t="s">
        <v>6255</v>
      </c>
      <c r="B963" s="465" t="s">
        <v>3717</v>
      </c>
      <c r="C963" s="466">
        <v>4</v>
      </c>
      <c r="D963" s="465"/>
      <c r="E963" s="466" t="s">
        <v>3652</v>
      </c>
      <c r="F963" s="466"/>
      <c r="G963" s="465"/>
      <c r="H963" s="465">
        <v>2</v>
      </c>
    </row>
    <row r="964" spans="1:8" ht="13.8" thickBot="1">
      <c r="A964" s="465" t="s">
        <v>6256</v>
      </c>
      <c r="B964" s="465" t="s">
        <v>3707</v>
      </c>
      <c r="C964" s="466">
        <v>4</v>
      </c>
      <c r="D964" s="465"/>
      <c r="E964" s="466" t="s">
        <v>3652</v>
      </c>
      <c r="F964" s="466"/>
      <c r="G964" s="465"/>
      <c r="H964" s="465">
        <v>1</v>
      </c>
    </row>
    <row r="965" spans="1:8" ht="13.8" thickBot="1">
      <c r="A965" s="467" t="s">
        <v>6257</v>
      </c>
      <c r="B965" s="465" t="s">
        <v>3707</v>
      </c>
      <c r="C965" s="466">
        <v>4</v>
      </c>
      <c r="D965" s="465"/>
      <c r="E965" s="466" t="s">
        <v>3652</v>
      </c>
      <c r="F965" s="466"/>
      <c r="G965" s="465"/>
      <c r="H965" s="465">
        <v>2</v>
      </c>
    </row>
    <row r="966" spans="1:8" ht="13.8" thickBot="1">
      <c r="A966" s="467" t="s">
        <v>6258</v>
      </c>
      <c r="B966" s="465" t="s">
        <v>1467</v>
      </c>
      <c r="C966" s="466">
        <v>4</v>
      </c>
      <c r="D966" s="465"/>
      <c r="E966" s="466" t="s">
        <v>3652</v>
      </c>
      <c r="F966" s="466"/>
      <c r="G966" s="465"/>
      <c r="H966" s="465">
        <v>5</v>
      </c>
    </row>
    <row r="967" spans="1:8" ht="13.8" thickBot="1">
      <c r="A967" s="467" t="s">
        <v>6259</v>
      </c>
      <c r="B967" s="465" t="s">
        <v>3684</v>
      </c>
      <c r="C967" s="466">
        <v>4</v>
      </c>
      <c r="D967" s="465"/>
      <c r="E967" s="466" t="s">
        <v>3652</v>
      </c>
      <c r="F967" s="466"/>
      <c r="G967" s="465"/>
      <c r="H967" s="465">
        <v>1</v>
      </c>
    </row>
    <row r="968" spans="1:8" ht="13.8" thickBot="1">
      <c r="A968" s="467" t="s">
        <v>6260</v>
      </c>
      <c r="B968" s="465" t="s">
        <v>3725</v>
      </c>
      <c r="C968" s="466">
        <v>4</v>
      </c>
      <c r="D968" s="465"/>
      <c r="E968" s="466" t="s">
        <v>3724</v>
      </c>
      <c r="F968" s="466"/>
      <c r="G968" s="465"/>
      <c r="H968" s="465">
        <v>1</v>
      </c>
    </row>
    <row r="969" spans="1:8" ht="13.8" thickBot="1">
      <c r="A969" s="467" t="s">
        <v>6261</v>
      </c>
      <c r="B969" s="465" t="s">
        <v>3730</v>
      </c>
      <c r="C969" s="466">
        <v>4</v>
      </c>
      <c r="D969" s="467" t="s">
        <v>614</v>
      </c>
      <c r="E969" s="466" t="s">
        <v>3724</v>
      </c>
      <c r="F969" s="466"/>
      <c r="G969" s="465"/>
      <c r="H969" s="465">
        <v>9</v>
      </c>
    </row>
    <row r="970" spans="1:8" ht="13.8" thickBot="1">
      <c r="A970" s="467" t="s">
        <v>5989</v>
      </c>
      <c r="B970" s="465" t="s">
        <v>2107</v>
      </c>
      <c r="C970" s="466">
        <v>4</v>
      </c>
      <c r="D970" s="465"/>
      <c r="E970" s="466" t="s">
        <v>2087</v>
      </c>
      <c r="F970" s="466" t="s">
        <v>1224</v>
      </c>
      <c r="G970" s="465"/>
      <c r="H970" s="465">
        <v>2</v>
      </c>
    </row>
    <row r="971" spans="1:8" ht="13.8" thickBot="1">
      <c r="A971" s="467" t="s">
        <v>5990</v>
      </c>
      <c r="B971" s="465" t="s">
        <v>1246</v>
      </c>
      <c r="C971" s="466">
        <v>4</v>
      </c>
      <c r="D971" s="465"/>
      <c r="E971" s="466" t="s">
        <v>2087</v>
      </c>
      <c r="F971" s="466"/>
      <c r="G971" s="465"/>
      <c r="H971" s="465">
        <v>1</v>
      </c>
    </row>
    <row r="972" spans="1:8" ht="13.8" thickBot="1">
      <c r="A972" s="467" t="s">
        <v>5991</v>
      </c>
      <c r="B972" s="465" t="s">
        <v>1246</v>
      </c>
      <c r="C972" s="466">
        <v>4</v>
      </c>
      <c r="D972" s="465"/>
      <c r="E972" s="466" t="s">
        <v>2087</v>
      </c>
      <c r="F972" s="466"/>
      <c r="G972" s="465"/>
      <c r="H972" s="465">
        <v>3</v>
      </c>
    </row>
    <row r="973" spans="1:8" ht="13.8" thickBot="1">
      <c r="A973" s="467" t="s">
        <v>5992</v>
      </c>
      <c r="B973" s="465" t="s">
        <v>1246</v>
      </c>
      <c r="C973" s="466">
        <v>4</v>
      </c>
      <c r="D973" s="465"/>
      <c r="E973" s="466" t="s">
        <v>2087</v>
      </c>
      <c r="F973" s="466"/>
      <c r="G973" s="465"/>
      <c r="H973" s="465">
        <v>1</v>
      </c>
    </row>
    <row r="974" spans="1:8" ht="13.8" thickBot="1">
      <c r="A974" s="467" t="s">
        <v>5993</v>
      </c>
      <c r="B974" s="465" t="s">
        <v>1246</v>
      </c>
      <c r="C974" s="466">
        <v>4</v>
      </c>
      <c r="D974" s="465"/>
      <c r="E974" s="466" t="s">
        <v>2087</v>
      </c>
      <c r="F974" s="466"/>
      <c r="G974" s="465"/>
      <c r="H974" s="465">
        <v>7</v>
      </c>
    </row>
    <row r="975" spans="1:8" ht="13.8" thickBot="1">
      <c r="A975" s="467" t="s">
        <v>5994</v>
      </c>
      <c r="B975" s="465" t="s">
        <v>2105</v>
      </c>
      <c r="C975" s="466">
        <v>4</v>
      </c>
      <c r="D975" s="465"/>
      <c r="E975" s="466" t="s">
        <v>2087</v>
      </c>
      <c r="F975" s="466"/>
      <c r="G975" s="465"/>
      <c r="H975" s="465">
        <v>2</v>
      </c>
    </row>
    <row r="976" spans="1:8" ht="13.8" thickBot="1">
      <c r="A976" s="467" t="s">
        <v>5995</v>
      </c>
      <c r="B976" s="465" t="s">
        <v>1247</v>
      </c>
      <c r="C976" s="466">
        <v>4</v>
      </c>
      <c r="D976" s="465"/>
      <c r="E976" s="466" t="s">
        <v>2087</v>
      </c>
      <c r="F976" s="466"/>
      <c r="G976" s="465"/>
      <c r="H976" s="465">
        <v>7</v>
      </c>
    </row>
    <row r="977" spans="1:8" ht="13.8" thickBot="1">
      <c r="A977" s="467" t="s">
        <v>5996</v>
      </c>
      <c r="B977" s="465" t="s">
        <v>2108</v>
      </c>
      <c r="C977" s="466">
        <v>4</v>
      </c>
      <c r="D977" s="465"/>
      <c r="E977" s="466" t="s">
        <v>2087</v>
      </c>
      <c r="F977" s="466"/>
      <c r="G977" s="465">
        <v>1</v>
      </c>
      <c r="H977" s="465">
        <v>11</v>
      </c>
    </row>
    <row r="978" spans="1:8" ht="13.8" thickBot="1">
      <c r="A978" s="465" t="s">
        <v>5997</v>
      </c>
      <c r="B978" s="465" t="s">
        <v>2109</v>
      </c>
      <c r="C978" s="466">
        <v>4</v>
      </c>
      <c r="D978" s="465"/>
      <c r="E978" s="466" t="s">
        <v>2087</v>
      </c>
      <c r="F978" s="466"/>
      <c r="G978" s="465"/>
      <c r="H978" s="465">
        <v>1</v>
      </c>
    </row>
    <row r="979" spans="1:8" ht="13.8" thickBot="1">
      <c r="A979" s="465" t="s">
        <v>5998</v>
      </c>
      <c r="B979" s="465" t="s">
        <v>2090</v>
      </c>
      <c r="C979" s="466">
        <v>4</v>
      </c>
      <c r="D979" s="467" t="s">
        <v>614</v>
      </c>
      <c r="E979" s="466" t="s">
        <v>2087</v>
      </c>
      <c r="F979" s="466"/>
      <c r="G979" s="465">
        <v>1</v>
      </c>
      <c r="H979" s="465">
        <v>3</v>
      </c>
    </row>
    <row r="980" spans="1:8" ht="13.8" thickBot="1">
      <c r="A980" s="467" t="s">
        <v>6262</v>
      </c>
      <c r="B980" s="465" t="s">
        <v>1480</v>
      </c>
      <c r="C980" s="466">
        <v>4</v>
      </c>
      <c r="D980" s="465"/>
      <c r="E980" s="466" t="s">
        <v>3734</v>
      </c>
      <c r="F980" s="466" t="s">
        <v>1224</v>
      </c>
      <c r="G980" s="465"/>
      <c r="H980" s="465">
        <v>7</v>
      </c>
    </row>
    <row r="981" spans="1:8" ht="13.8" thickBot="1">
      <c r="A981" s="467" t="s">
        <v>6263</v>
      </c>
      <c r="B981" s="465" t="s">
        <v>1480</v>
      </c>
      <c r="C981" s="466">
        <v>4</v>
      </c>
      <c r="D981" s="465"/>
      <c r="E981" s="466" t="s">
        <v>3734</v>
      </c>
      <c r="F981" s="466" t="s">
        <v>1224</v>
      </c>
      <c r="G981" s="465"/>
      <c r="H981" s="465">
        <v>5</v>
      </c>
    </row>
    <row r="982" spans="1:8" ht="13.8" thickBot="1">
      <c r="A982" s="467" t="s">
        <v>6264</v>
      </c>
      <c r="B982" s="465" t="s">
        <v>1480</v>
      </c>
      <c r="C982" s="466">
        <v>4</v>
      </c>
      <c r="D982" s="465"/>
      <c r="E982" s="466" t="s">
        <v>3734</v>
      </c>
      <c r="F982" s="466" t="s">
        <v>1224</v>
      </c>
      <c r="G982" s="465"/>
      <c r="H982" s="465">
        <v>6</v>
      </c>
    </row>
    <row r="983" spans="1:8" ht="13.8" thickBot="1">
      <c r="A983" s="467" t="s">
        <v>6265</v>
      </c>
      <c r="B983" s="465" t="s">
        <v>1480</v>
      </c>
      <c r="C983" s="466">
        <v>4</v>
      </c>
      <c r="D983" s="465"/>
      <c r="E983" s="466" t="s">
        <v>3734</v>
      </c>
      <c r="F983" s="466" t="s">
        <v>1220</v>
      </c>
      <c r="G983" s="465"/>
      <c r="H983" s="465">
        <v>4</v>
      </c>
    </row>
    <row r="984" spans="1:8" ht="13.8" thickBot="1">
      <c r="A984" s="467" t="s">
        <v>6266</v>
      </c>
      <c r="B984" s="465" t="s">
        <v>1480</v>
      </c>
      <c r="C984" s="466">
        <v>4</v>
      </c>
      <c r="D984" s="465"/>
      <c r="E984" s="466" t="s">
        <v>3734</v>
      </c>
      <c r="F984" s="466"/>
      <c r="G984" s="465"/>
      <c r="H984" s="465">
        <v>2</v>
      </c>
    </row>
    <row r="985" spans="1:8" ht="13.8" thickBot="1">
      <c r="A985" s="467" t="s">
        <v>6267</v>
      </c>
      <c r="B985" s="465" t="s">
        <v>1480</v>
      </c>
      <c r="C985" s="466">
        <v>4</v>
      </c>
      <c r="D985" s="465"/>
      <c r="E985" s="466" t="s">
        <v>3734</v>
      </c>
      <c r="F985" s="466"/>
      <c r="G985" s="465"/>
      <c r="H985" s="465">
        <v>6</v>
      </c>
    </row>
    <row r="986" spans="1:8" ht="13.8" thickBot="1">
      <c r="A986" s="467" t="s">
        <v>6268</v>
      </c>
      <c r="B986" s="465" t="s">
        <v>1480</v>
      </c>
      <c r="C986" s="466">
        <v>4</v>
      </c>
      <c r="D986" s="465"/>
      <c r="E986" s="466" t="s">
        <v>3734</v>
      </c>
      <c r="F986" s="466"/>
      <c r="G986" s="465"/>
      <c r="H986" s="465">
        <v>4</v>
      </c>
    </row>
    <row r="987" spans="1:8" ht="13.8" thickBot="1">
      <c r="A987" s="467" t="s">
        <v>6269</v>
      </c>
      <c r="B987" s="465" t="s">
        <v>1480</v>
      </c>
      <c r="C987" s="466">
        <v>4</v>
      </c>
      <c r="D987" s="465"/>
      <c r="E987" s="466" t="s">
        <v>3734</v>
      </c>
      <c r="F987" s="466"/>
      <c r="G987" s="465"/>
      <c r="H987" s="465">
        <v>2</v>
      </c>
    </row>
    <row r="988" spans="1:8" ht="13.8" thickBot="1">
      <c r="A988" s="467" t="s">
        <v>6270</v>
      </c>
      <c r="B988" s="465" t="s">
        <v>1480</v>
      </c>
      <c r="C988" s="466">
        <v>4</v>
      </c>
      <c r="D988" s="465"/>
      <c r="E988" s="466" t="s">
        <v>3734</v>
      </c>
      <c r="F988" s="466"/>
      <c r="G988" s="465"/>
      <c r="H988" s="465">
        <v>2</v>
      </c>
    </row>
    <row r="989" spans="1:8" ht="13.8" thickBot="1">
      <c r="A989" s="467" t="s">
        <v>6271</v>
      </c>
      <c r="B989" s="465" t="s">
        <v>3798</v>
      </c>
      <c r="C989" s="466">
        <v>4</v>
      </c>
      <c r="D989" s="465"/>
      <c r="E989" s="466" t="s">
        <v>3734</v>
      </c>
      <c r="F989" s="466"/>
      <c r="G989" s="465"/>
      <c r="H989" s="465">
        <v>3</v>
      </c>
    </row>
    <row r="990" spans="1:8" ht="13.8" thickBot="1">
      <c r="A990" s="467" t="s">
        <v>6272</v>
      </c>
      <c r="B990" s="465" t="s">
        <v>3793</v>
      </c>
      <c r="C990" s="466">
        <v>4</v>
      </c>
      <c r="D990" s="465"/>
      <c r="E990" s="466" t="s">
        <v>3734</v>
      </c>
      <c r="F990" s="466"/>
      <c r="G990" s="465"/>
      <c r="H990" s="465">
        <v>5</v>
      </c>
    </row>
    <row r="991" spans="1:8" ht="13.8" thickBot="1">
      <c r="A991" s="465" t="s">
        <v>6273</v>
      </c>
      <c r="B991" s="465" t="s">
        <v>3739</v>
      </c>
      <c r="C991" s="466">
        <v>4</v>
      </c>
      <c r="D991" s="465"/>
      <c r="E991" s="466" t="s">
        <v>3734</v>
      </c>
      <c r="F991" s="466"/>
      <c r="G991" s="465"/>
      <c r="H991" s="465">
        <v>3</v>
      </c>
    </row>
    <row r="992" spans="1:8" ht="13.8" thickBot="1">
      <c r="A992" s="467" t="s">
        <v>6274</v>
      </c>
      <c r="B992" s="465" t="s">
        <v>3739</v>
      </c>
      <c r="C992" s="466">
        <v>4</v>
      </c>
      <c r="D992" s="465"/>
      <c r="E992" s="466" t="s">
        <v>3734</v>
      </c>
      <c r="F992" s="466"/>
      <c r="G992" s="465"/>
      <c r="H992" s="465">
        <v>6</v>
      </c>
    </row>
    <row r="993" spans="1:8" ht="13.8" thickBot="1">
      <c r="A993" s="467" t="s">
        <v>6275</v>
      </c>
      <c r="B993" s="465" t="s">
        <v>1502</v>
      </c>
      <c r="C993" s="466">
        <v>4</v>
      </c>
      <c r="D993" s="465"/>
      <c r="E993" s="466" t="s">
        <v>3807</v>
      </c>
      <c r="F993" s="466" t="s">
        <v>1226</v>
      </c>
      <c r="G993" s="465"/>
      <c r="H993" s="465">
        <v>4</v>
      </c>
    </row>
    <row r="994" spans="1:8" ht="13.8" thickBot="1">
      <c r="A994" s="467" t="s">
        <v>6276</v>
      </c>
      <c r="B994" s="465" t="s">
        <v>1502</v>
      </c>
      <c r="C994" s="466">
        <v>4</v>
      </c>
      <c r="D994" s="465"/>
      <c r="E994" s="466" t="s">
        <v>3807</v>
      </c>
      <c r="F994" s="466"/>
      <c r="G994" s="465"/>
      <c r="H994" s="465">
        <v>1</v>
      </c>
    </row>
    <row r="995" spans="1:8" ht="13.8" thickBot="1">
      <c r="A995" s="467" t="s">
        <v>6277</v>
      </c>
      <c r="B995" s="465" t="s">
        <v>1502</v>
      </c>
      <c r="C995" s="466">
        <v>4</v>
      </c>
      <c r="D995" s="465"/>
      <c r="E995" s="466" t="s">
        <v>3807</v>
      </c>
      <c r="F995" s="466"/>
      <c r="G995" s="465"/>
      <c r="H995" s="465">
        <v>3</v>
      </c>
    </row>
    <row r="996" spans="1:8" ht="13.8" thickBot="1">
      <c r="A996" s="465" t="s">
        <v>1178</v>
      </c>
      <c r="B996" s="465" t="s">
        <v>1502</v>
      </c>
      <c r="C996" s="466">
        <v>4</v>
      </c>
      <c r="D996" s="465"/>
      <c r="E996" s="466" t="s">
        <v>3807</v>
      </c>
      <c r="F996" s="466"/>
      <c r="G996" s="465"/>
      <c r="H996" s="465">
        <v>1</v>
      </c>
    </row>
    <row r="997" spans="1:8" ht="13.8" thickBot="1">
      <c r="A997" s="467" t="s">
        <v>6278</v>
      </c>
      <c r="B997" s="465" t="s">
        <v>3847</v>
      </c>
      <c r="C997" s="466">
        <v>4</v>
      </c>
      <c r="D997" s="465"/>
      <c r="E997" s="466" t="s">
        <v>3807</v>
      </c>
      <c r="F997" s="466"/>
      <c r="G997" s="465"/>
      <c r="H997" s="465">
        <v>8</v>
      </c>
    </row>
    <row r="998" spans="1:8" ht="13.8" thickBot="1">
      <c r="A998" s="467" t="s">
        <v>6279</v>
      </c>
      <c r="B998" s="465" t="s">
        <v>3848</v>
      </c>
      <c r="C998" s="466">
        <v>4</v>
      </c>
      <c r="D998" s="467" t="s">
        <v>614</v>
      </c>
      <c r="E998" s="466" t="s">
        <v>3807</v>
      </c>
      <c r="F998" s="466"/>
      <c r="G998" s="465"/>
      <c r="H998" s="465">
        <v>4</v>
      </c>
    </row>
    <row r="999" spans="1:8" ht="13.8" thickBot="1">
      <c r="A999" s="467" t="s">
        <v>6280</v>
      </c>
      <c r="B999" s="465" t="s">
        <v>3849</v>
      </c>
      <c r="C999" s="466">
        <v>4</v>
      </c>
      <c r="D999" s="467" t="s">
        <v>614</v>
      </c>
      <c r="E999" s="466" t="s">
        <v>3807</v>
      </c>
      <c r="F999" s="466"/>
      <c r="G999" s="465"/>
      <c r="H999" s="465">
        <v>3</v>
      </c>
    </row>
    <row r="1000" spans="1:8" ht="13.8" thickBot="1">
      <c r="A1000" s="467" t="s">
        <v>6281</v>
      </c>
      <c r="B1000" s="465" t="s">
        <v>3850</v>
      </c>
      <c r="C1000" s="466">
        <v>4</v>
      </c>
      <c r="D1000" s="465"/>
      <c r="E1000" s="466" t="s">
        <v>3807</v>
      </c>
      <c r="F1000" s="466"/>
      <c r="G1000" s="465"/>
      <c r="H1000" s="465">
        <v>2</v>
      </c>
    </row>
    <row r="1001" spans="1:8" ht="13.8" thickBot="1">
      <c r="A1001" s="465" t="s">
        <v>6282</v>
      </c>
      <c r="B1001" s="465" t="s">
        <v>1508</v>
      </c>
      <c r="C1001" s="466">
        <v>4</v>
      </c>
      <c r="D1001" s="467" t="s">
        <v>3895</v>
      </c>
      <c r="E1001" s="466" t="s">
        <v>3856</v>
      </c>
      <c r="F1001" s="466" t="s">
        <v>1224</v>
      </c>
      <c r="G1001" s="465"/>
      <c r="H1001" s="465">
        <v>7</v>
      </c>
    </row>
    <row r="1002" spans="1:8" ht="13.8" thickBot="1">
      <c r="A1002" s="467" t="s">
        <v>6283</v>
      </c>
      <c r="B1002" s="465" t="s">
        <v>1507</v>
      </c>
      <c r="C1002" s="466">
        <v>4</v>
      </c>
      <c r="D1002" s="465"/>
      <c r="E1002" s="466" t="s">
        <v>3856</v>
      </c>
      <c r="F1002" s="466"/>
      <c r="G1002" s="465"/>
      <c r="H1002" s="465">
        <v>6</v>
      </c>
    </row>
    <row r="1003" spans="1:8" ht="13.8" thickBot="1">
      <c r="A1003" s="467" t="s">
        <v>6284</v>
      </c>
      <c r="B1003" s="465" t="s">
        <v>1507</v>
      </c>
      <c r="C1003" s="466">
        <v>4</v>
      </c>
      <c r="D1003" s="465"/>
      <c r="E1003" s="466" t="s">
        <v>3856</v>
      </c>
      <c r="F1003" s="466"/>
      <c r="G1003" s="465"/>
      <c r="H1003" s="465">
        <v>3</v>
      </c>
    </row>
    <row r="1004" spans="1:8" ht="13.8" thickBot="1">
      <c r="A1004" s="467" t="s">
        <v>6280</v>
      </c>
      <c r="B1004" s="465" t="s">
        <v>1507</v>
      </c>
      <c r="C1004" s="466">
        <v>4</v>
      </c>
      <c r="D1004" s="465"/>
      <c r="E1004" s="466" t="s">
        <v>3856</v>
      </c>
      <c r="F1004" s="466"/>
      <c r="G1004" s="465"/>
      <c r="H1004" s="465">
        <v>10</v>
      </c>
    </row>
    <row r="1005" spans="1:8" ht="13.8" thickBot="1">
      <c r="A1005" s="467" t="s">
        <v>6285</v>
      </c>
      <c r="B1005" s="465" t="s">
        <v>1507</v>
      </c>
      <c r="C1005" s="466">
        <v>4</v>
      </c>
      <c r="D1005" s="465"/>
      <c r="E1005" s="466" t="s">
        <v>3856</v>
      </c>
      <c r="F1005" s="466"/>
      <c r="G1005" s="465"/>
      <c r="H1005" s="465">
        <v>1</v>
      </c>
    </row>
    <row r="1006" spans="1:8" ht="13.8" thickBot="1">
      <c r="A1006" s="467" t="s">
        <v>6286</v>
      </c>
      <c r="B1006" s="465" t="s">
        <v>1507</v>
      </c>
      <c r="C1006" s="466">
        <v>4</v>
      </c>
      <c r="D1006" s="465"/>
      <c r="E1006" s="466" t="s">
        <v>3856</v>
      </c>
      <c r="F1006" s="466"/>
      <c r="G1006" s="465"/>
      <c r="H1006" s="465">
        <v>2</v>
      </c>
    </row>
    <row r="1007" spans="1:8" ht="13.8" thickBot="1">
      <c r="A1007" s="467" t="s">
        <v>6287</v>
      </c>
      <c r="B1007" s="465" t="s">
        <v>3896</v>
      </c>
      <c r="C1007" s="466">
        <v>4</v>
      </c>
      <c r="D1007" s="465"/>
      <c r="E1007" s="466" t="s">
        <v>3856</v>
      </c>
      <c r="F1007" s="466"/>
      <c r="G1007" s="465"/>
      <c r="H1007" s="465">
        <v>1</v>
      </c>
    </row>
    <row r="1008" spans="1:8" ht="13.8" thickBot="1">
      <c r="A1008" s="465" t="s">
        <v>1005</v>
      </c>
      <c r="B1008" s="465" t="s">
        <v>3908</v>
      </c>
      <c r="C1008" s="466">
        <v>4</v>
      </c>
      <c r="D1008" s="467" t="s">
        <v>614</v>
      </c>
      <c r="E1008" s="466" t="s">
        <v>3903</v>
      </c>
      <c r="F1008" s="466" t="s">
        <v>1226</v>
      </c>
      <c r="G1008" s="465"/>
      <c r="H1008" s="465">
        <v>2</v>
      </c>
    </row>
    <row r="1009" spans="1:8" ht="13.8" thickBot="1">
      <c r="A1009" s="467" t="s">
        <v>6288</v>
      </c>
      <c r="B1009" s="465" t="s">
        <v>3949</v>
      </c>
      <c r="C1009" s="466">
        <v>4</v>
      </c>
      <c r="D1009" s="465"/>
      <c r="E1009" s="466" t="s">
        <v>3932</v>
      </c>
      <c r="F1009" s="466" t="s">
        <v>1865</v>
      </c>
      <c r="G1009" s="465"/>
      <c r="H1009" s="465">
        <v>6</v>
      </c>
    </row>
    <row r="1010" spans="1:8" ht="13.8" thickBot="1">
      <c r="A1010" s="467" t="s">
        <v>6289</v>
      </c>
      <c r="B1010" s="465" t="s">
        <v>1511</v>
      </c>
      <c r="C1010" s="466">
        <v>4</v>
      </c>
      <c r="D1010" s="467" t="s">
        <v>614</v>
      </c>
      <c r="E1010" s="466" t="s">
        <v>3932</v>
      </c>
      <c r="F1010" s="466" t="s">
        <v>1226</v>
      </c>
      <c r="G1010" s="465"/>
      <c r="H1010" s="465">
        <v>9</v>
      </c>
    </row>
    <row r="1011" spans="1:8" ht="13.8" thickBot="1">
      <c r="A1011" s="465" t="s">
        <v>6290</v>
      </c>
      <c r="B1011" s="465" t="s">
        <v>1515</v>
      </c>
      <c r="C1011" s="466">
        <v>4</v>
      </c>
      <c r="D1011" s="465"/>
      <c r="E1011" s="466" t="s">
        <v>3932</v>
      </c>
      <c r="F1011" s="466" t="s">
        <v>1224</v>
      </c>
      <c r="G1011" s="465"/>
      <c r="H1011" s="465">
        <v>4</v>
      </c>
    </row>
    <row r="1012" spans="1:8" ht="13.8" thickBot="1">
      <c r="A1012" s="467" t="s">
        <v>6291</v>
      </c>
      <c r="B1012" s="465" t="s">
        <v>3943</v>
      </c>
      <c r="C1012" s="466">
        <v>4</v>
      </c>
      <c r="D1012" s="465"/>
      <c r="E1012" s="466" t="s">
        <v>3932</v>
      </c>
      <c r="F1012" s="466" t="s">
        <v>1220</v>
      </c>
      <c r="G1012" s="465"/>
      <c r="H1012" s="465">
        <v>1</v>
      </c>
    </row>
    <row r="1013" spans="1:8" ht="13.8" thickBot="1">
      <c r="A1013" s="467" t="s">
        <v>6292</v>
      </c>
      <c r="B1013" s="465" t="s">
        <v>3946</v>
      </c>
      <c r="C1013" s="466">
        <v>4</v>
      </c>
      <c r="D1013" s="467" t="s">
        <v>614</v>
      </c>
      <c r="E1013" s="466" t="s">
        <v>3932</v>
      </c>
      <c r="F1013" s="466"/>
      <c r="G1013" s="465"/>
      <c r="H1013" s="465">
        <v>2</v>
      </c>
    </row>
    <row r="1014" spans="1:8" ht="13.8" thickBot="1">
      <c r="A1014" s="467" t="s">
        <v>6293</v>
      </c>
      <c r="B1014" s="465" t="s">
        <v>3950</v>
      </c>
      <c r="C1014" s="466">
        <v>4</v>
      </c>
      <c r="D1014" s="465"/>
      <c r="E1014" s="466" t="s">
        <v>3932</v>
      </c>
      <c r="F1014" s="466"/>
      <c r="G1014" s="465"/>
      <c r="H1014" s="465">
        <v>5</v>
      </c>
    </row>
    <row r="1015" spans="1:8" ht="13.8" thickBot="1">
      <c r="A1015" s="467" t="s">
        <v>6294</v>
      </c>
      <c r="B1015" s="465" t="s">
        <v>3951</v>
      </c>
      <c r="C1015" s="466">
        <v>4</v>
      </c>
      <c r="D1015" s="465"/>
      <c r="E1015" s="466" t="s">
        <v>3932</v>
      </c>
      <c r="F1015" s="466"/>
      <c r="G1015" s="465"/>
      <c r="H1015" s="465">
        <v>4</v>
      </c>
    </row>
    <row r="1016" spans="1:8" ht="13.8" thickBot="1">
      <c r="A1016" s="467" t="s">
        <v>6295</v>
      </c>
      <c r="B1016" s="465" t="s">
        <v>3951</v>
      </c>
      <c r="C1016" s="466">
        <v>4</v>
      </c>
      <c r="D1016" s="467" t="s">
        <v>614</v>
      </c>
      <c r="E1016" s="466" t="s">
        <v>3932</v>
      </c>
      <c r="F1016" s="466"/>
      <c r="G1016" s="465"/>
      <c r="H1016" s="465">
        <v>2</v>
      </c>
    </row>
    <row r="1017" spans="1:8" ht="13.8" thickBot="1">
      <c r="A1017" s="467" t="s">
        <v>6296</v>
      </c>
      <c r="B1017" s="465" t="s">
        <v>3952</v>
      </c>
      <c r="C1017" s="466">
        <v>4</v>
      </c>
      <c r="D1017" s="465"/>
      <c r="E1017" s="466" t="s">
        <v>3932</v>
      </c>
      <c r="F1017" s="466"/>
      <c r="G1017" s="465"/>
      <c r="H1017" s="465">
        <v>5</v>
      </c>
    </row>
    <row r="1018" spans="1:8" ht="13.8" thickBot="1">
      <c r="A1018" s="467" t="s">
        <v>6297</v>
      </c>
      <c r="B1018" s="465" t="s">
        <v>3953</v>
      </c>
      <c r="C1018" s="466">
        <v>4</v>
      </c>
      <c r="D1018" s="467" t="s">
        <v>614</v>
      </c>
      <c r="E1018" s="466" t="s">
        <v>3932</v>
      </c>
      <c r="F1018" s="466"/>
      <c r="G1018" s="465"/>
      <c r="H1018" s="465">
        <v>4</v>
      </c>
    </row>
    <row r="1019" spans="1:8" ht="13.8" thickBot="1">
      <c r="A1019" s="465" t="s">
        <v>6298</v>
      </c>
      <c r="B1019" s="465" t="s">
        <v>1520</v>
      </c>
      <c r="C1019" s="466">
        <v>4</v>
      </c>
      <c r="D1019" s="467" t="s">
        <v>614</v>
      </c>
      <c r="E1019" s="466" t="s">
        <v>3957</v>
      </c>
      <c r="F1019" s="466"/>
      <c r="G1019" s="465"/>
      <c r="H1019" s="465">
        <v>14</v>
      </c>
    </row>
    <row r="1020" spans="1:8" ht="13.8" thickBot="1">
      <c r="A1020" s="467" t="s">
        <v>6299</v>
      </c>
      <c r="B1020" s="465" t="s">
        <v>4040</v>
      </c>
      <c r="C1020" s="466">
        <v>4</v>
      </c>
      <c r="D1020" s="467" t="s">
        <v>614</v>
      </c>
      <c r="E1020" s="466" t="s">
        <v>3996</v>
      </c>
      <c r="F1020" s="466" t="s">
        <v>1220</v>
      </c>
      <c r="G1020" s="465"/>
      <c r="H1020" s="465">
        <v>2</v>
      </c>
    </row>
    <row r="1021" spans="1:8" ht="13.8" thickBot="1">
      <c r="A1021" s="467" t="s">
        <v>6300</v>
      </c>
      <c r="B1021" s="465" t="s">
        <v>4041</v>
      </c>
      <c r="C1021" s="466">
        <v>4</v>
      </c>
      <c r="D1021" s="467" t="s">
        <v>4042</v>
      </c>
      <c r="E1021" s="466" t="s">
        <v>3996</v>
      </c>
      <c r="F1021" s="466" t="s">
        <v>1220</v>
      </c>
      <c r="G1021" s="465"/>
      <c r="H1021" s="465">
        <v>1</v>
      </c>
    </row>
    <row r="1022" spans="1:8" ht="13.8" thickBot="1">
      <c r="A1022" s="467" t="s">
        <v>6301</v>
      </c>
      <c r="B1022" s="465" t="s">
        <v>4043</v>
      </c>
      <c r="C1022" s="466">
        <v>4</v>
      </c>
      <c r="D1022" s="467" t="s">
        <v>614</v>
      </c>
      <c r="E1022" s="466" t="s">
        <v>3996</v>
      </c>
      <c r="F1022" s="466" t="s">
        <v>1220</v>
      </c>
      <c r="G1022" s="465">
        <v>1</v>
      </c>
      <c r="H1022" s="465">
        <v>3</v>
      </c>
    </row>
    <row r="1023" spans="1:8" ht="13.8" thickBot="1">
      <c r="A1023" s="465" t="s">
        <v>6302</v>
      </c>
      <c r="B1023" s="465" t="s">
        <v>1525</v>
      </c>
      <c r="C1023" s="466">
        <v>4</v>
      </c>
      <c r="D1023" s="465"/>
      <c r="E1023" s="466" t="s">
        <v>3996</v>
      </c>
      <c r="F1023" s="466"/>
      <c r="G1023" s="465"/>
      <c r="H1023" s="465">
        <v>1</v>
      </c>
    </row>
    <row r="1024" spans="1:8" ht="13.8" thickBot="1">
      <c r="A1024" s="467" t="s">
        <v>6303</v>
      </c>
      <c r="B1024" s="465" t="s">
        <v>1525</v>
      </c>
      <c r="C1024" s="466">
        <v>4</v>
      </c>
      <c r="D1024" s="465"/>
      <c r="E1024" s="466" t="s">
        <v>3996</v>
      </c>
      <c r="F1024" s="466"/>
      <c r="G1024" s="465"/>
      <c r="H1024" s="465">
        <v>1</v>
      </c>
    </row>
    <row r="1025" spans="1:8" ht="13.8" thickBot="1">
      <c r="A1025" s="467" t="s">
        <v>6304</v>
      </c>
      <c r="B1025" s="465" t="s">
        <v>1525</v>
      </c>
      <c r="C1025" s="466">
        <v>4</v>
      </c>
      <c r="D1025" s="467" t="s">
        <v>614</v>
      </c>
      <c r="E1025" s="466" t="s">
        <v>3996</v>
      </c>
      <c r="F1025" s="466"/>
      <c r="G1025" s="465"/>
      <c r="H1025" s="465">
        <v>9</v>
      </c>
    </row>
    <row r="1026" spans="1:8" ht="13.8" thickBot="1">
      <c r="A1026" s="467" t="s">
        <v>6305</v>
      </c>
      <c r="B1026" s="465" t="s">
        <v>4029</v>
      </c>
      <c r="C1026" s="466">
        <v>4</v>
      </c>
      <c r="D1026" s="465"/>
      <c r="E1026" s="466" t="s">
        <v>3996</v>
      </c>
      <c r="F1026" s="466"/>
      <c r="G1026" s="465"/>
      <c r="H1026" s="465">
        <v>1</v>
      </c>
    </row>
    <row r="1027" spans="1:8" ht="13.8" thickBot="1">
      <c r="A1027" s="467" t="s">
        <v>6306</v>
      </c>
      <c r="B1027" s="465" t="s">
        <v>4044</v>
      </c>
      <c r="C1027" s="466">
        <v>4</v>
      </c>
      <c r="D1027" s="467" t="s">
        <v>614</v>
      </c>
      <c r="E1027" s="466" t="s">
        <v>3996</v>
      </c>
      <c r="F1027" s="466"/>
      <c r="G1027" s="465"/>
      <c r="H1027" s="465">
        <v>2</v>
      </c>
    </row>
    <row r="1028" spans="1:8" ht="13.8" thickBot="1">
      <c r="A1028" s="465" t="s">
        <v>5999</v>
      </c>
      <c r="B1028" s="465" t="s">
        <v>2121</v>
      </c>
      <c r="C1028" s="466">
        <v>4</v>
      </c>
      <c r="D1028" s="467" t="s">
        <v>614</v>
      </c>
      <c r="E1028" s="466" t="s">
        <v>2114</v>
      </c>
      <c r="F1028" s="466" t="s">
        <v>1226</v>
      </c>
      <c r="G1028" s="465"/>
      <c r="H1028" s="465">
        <v>20</v>
      </c>
    </row>
    <row r="1029" spans="1:8" ht="13.8" thickBot="1">
      <c r="A1029" s="467" t="s">
        <v>6307</v>
      </c>
      <c r="B1029" s="465" t="s">
        <v>1539</v>
      </c>
      <c r="C1029" s="466">
        <v>4</v>
      </c>
      <c r="D1029" s="467" t="s">
        <v>4098</v>
      </c>
      <c r="E1029" s="466" t="s">
        <v>4067</v>
      </c>
      <c r="F1029" s="466" t="s">
        <v>1224</v>
      </c>
      <c r="G1029" s="465"/>
      <c r="H1029" s="465">
        <v>6</v>
      </c>
    </row>
    <row r="1030" spans="1:8" ht="13.8" thickBot="1">
      <c r="A1030" s="465" t="s">
        <v>6308</v>
      </c>
      <c r="B1030" s="465" t="s">
        <v>1537</v>
      </c>
      <c r="C1030" s="466">
        <v>4</v>
      </c>
      <c r="D1030" s="465"/>
      <c r="E1030" s="466" t="s">
        <v>4067</v>
      </c>
      <c r="F1030" s="466"/>
      <c r="G1030" s="465"/>
      <c r="H1030" s="465">
        <v>2</v>
      </c>
    </row>
    <row r="1031" spans="1:8" ht="13.8" thickBot="1">
      <c r="A1031" s="467" t="s">
        <v>6309</v>
      </c>
      <c r="B1031" s="465" t="s">
        <v>1537</v>
      </c>
      <c r="C1031" s="466">
        <v>4</v>
      </c>
      <c r="D1031" s="465"/>
      <c r="E1031" s="466" t="s">
        <v>4067</v>
      </c>
      <c r="F1031" s="466"/>
      <c r="G1031" s="465"/>
      <c r="H1031" s="465">
        <v>3</v>
      </c>
    </row>
    <row r="1032" spans="1:8" ht="13.8" thickBot="1">
      <c r="A1032" s="467" t="s">
        <v>6310</v>
      </c>
      <c r="B1032" s="465" t="s">
        <v>4099</v>
      </c>
      <c r="C1032" s="466">
        <v>4</v>
      </c>
      <c r="D1032" s="467" t="s">
        <v>614</v>
      </c>
      <c r="E1032" s="466" t="s">
        <v>4067</v>
      </c>
      <c r="F1032" s="466"/>
      <c r="G1032" s="465"/>
      <c r="H1032" s="465">
        <v>5</v>
      </c>
    </row>
    <row r="1033" spans="1:8" ht="13.8" thickBot="1">
      <c r="A1033" s="467" t="s">
        <v>6311</v>
      </c>
      <c r="B1033" s="465" t="s">
        <v>4114</v>
      </c>
      <c r="C1033" s="466">
        <v>4</v>
      </c>
      <c r="D1033" s="465"/>
      <c r="E1033" s="466" t="s">
        <v>4102</v>
      </c>
      <c r="F1033" s="466" t="s">
        <v>1910</v>
      </c>
      <c r="G1033" s="465"/>
      <c r="H1033" s="465">
        <v>5</v>
      </c>
    </row>
    <row r="1034" spans="1:8" ht="13.8" thickBot="1">
      <c r="A1034" s="467" t="s">
        <v>6312</v>
      </c>
      <c r="B1034" s="465" t="s">
        <v>4131</v>
      </c>
      <c r="C1034" s="466">
        <v>4</v>
      </c>
      <c r="D1034" s="467" t="s">
        <v>614</v>
      </c>
      <c r="E1034" s="466" t="s">
        <v>4121</v>
      </c>
      <c r="F1034" s="466"/>
      <c r="G1034" s="465"/>
      <c r="H1034" s="465">
        <v>2</v>
      </c>
    </row>
    <row r="1035" spans="1:8" ht="13.8" thickBot="1">
      <c r="A1035" s="467" t="s">
        <v>6313</v>
      </c>
      <c r="B1035" s="465" t="s">
        <v>4137</v>
      </c>
      <c r="C1035" s="466">
        <v>4</v>
      </c>
      <c r="D1035" s="465" t="s">
        <v>4138</v>
      </c>
      <c r="E1035" s="466" t="s">
        <v>4134</v>
      </c>
      <c r="F1035" s="466" t="s">
        <v>1865</v>
      </c>
      <c r="G1035" s="465"/>
      <c r="H1035" s="465">
        <v>6</v>
      </c>
    </row>
    <row r="1036" spans="1:8" ht="13.8" thickBot="1">
      <c r="A1036" s="467" t="s">
        <v>6314</v>
      </c>
      <c r="B1036" s="465" t="s">
        <v>4142</v>
      </c>
      <c r="C1036" s="466">
        <v>4</v>
      </c>
      <c r="D1036" s="465"/>
      <c r="E1036" s="466" t="s">
        <v>4140</v>
      </c>
      <c r="F1036" s="466"/>
      <c r="G1036" s="465"/>
      <c r="H1036" s="465">
        <v>5</v>
      </c>
    </row>
    <row r="1037" spans="1:8" ht="13.8" thickBot="1">
      <c r="A1037" s="467" t="s">
        <v>6315</v>
      </c>
      <c r="B1037" s="465" t="s">
        <v>4198</v>
      </c>
      <c r="C1037" s="466">
        <v>4</v>
      </c>
      <c r="D1037" s="467" t="s">
        <v>614</v>
      </c>
      <c r="E1037" s="466" t="s">
        <v>4160</v>
      </c>
      <c r="F1037" s="466"/>
      <c r="G1037" s="465"/>
      <c r="H1037" s="465">
        <v>7</v>
      </c>
    </row>
    <row r="1038" spans="1:8" ht="13.8" thickBot="1">
      <c r="A1038" s="467" t="s">
        <v>6316</v>
      </c>
      <c r="B1038" s="465" t="s">
        <v>4200</v>
      </c>
      <c r="C1038" s="466">
        <v>4</v>
      </c>
      <c r="D1038" s="465"/>
      <c r="E1038" s="466" t="s">
        <v>4201</v>
      </c>
      <c r="F1038" s="466"/>
      <c r="G1038" s="465"/>
      <c r="H1038" s="465"/>
    </row>
    <row r="1039" spans="1:8" ht="13.8" thickBot="1">
      <c r="A1039" s="467" t="s">
        <v>6317</v>
      </c>
      <c r="B1039" s="465" t="s">
        <v>4319</v>
      </c>
      <c r="C1039" s="466">
        <v>4</v>
      </c>
      <c r="D1039" s="465"/>
      <c r="E1039" s="466" t="s">
        <v>4214</v>
      </c>
      <c r="F1039" s="466" t="s">
        <v>1229</v>
      </c>
      <c r="G1039" s="465"/>
      <c r="H1039" s="465">
        <v>1</v>
      </c>
    </row>
    <row r="1040" spans="1:8" ht="13.8" thickBot="1">
      <c r="A1040" s="467" t="s">
        <v>6318</v>
      </c>
      <c r="B1040" s="465" t="s">
        <v>1616</v>
      </c>
      <c r="C1040" s="466">
        <v>4</v>
      </c>
      <c r="D1040" s="465"/>
      <c r="E1040" s="466" t="s">
        <v>4214</v>
      </c>
      <c r="F1040" s="466" t="s">
        <v>1226</v>
      </c>
      <c r="G1040" s="465"/>
      <c r="H1040" s="465">
        <v>7</v>
      </c>
    </row>
    <row r="1041" spans="1:8" ht="13.8" thickBot="1">
      <c r="A1041" s="467" t="s">
        <v>6319</v>
      </c>
      <c r="B1041" s="465" t="s">
        <v>4320</v>
      </c>
      <c r="C1041" s="466">
        <v>4</v>
      </c>
      <c r="D1041" s="467" t="s">
        <v>614</v>
      </c>
      <c r="E1041" s="466" t="s">
        <v>4214</v>
      </c>
      <c r="F1041" s="466" t="s">
        <v>1226</v>
      </c>
      <c r="G1041" s="465">
        <v>1</v>
      </c>
      <c r="H1041" s="465">
        <v>6</v>
      </c>
    </row>
    <row r="1042" spans="1:8" ht="13.8" thickBot="1">
      <c r="A1042" s="465" t="s">
        <v>6320</v>
      </c>
      <c r="B1042" s="465" t="s">
        <v>1617</v>
      </c>
      <c r="C1042" s="466">
        <v>4</v>
      </c>
      <c r="D1042" s="465"/>
      <c r="E1042" s="466" t="s">
        <v>4214</v>
      </c>
      <c r="F1042" s="466" t="s">
        <v>1226</v>
      </c>
      <c r="G1042" s="465"/>
      <c r="H1042" s="465">
        <v>1</v>
      </c>
    </row>
    <row r="1043" spans="1:8" ht="13.8" thickBot="1">
      <c r="A1043" s="467" t="s">
        <v>6321</v>
      </c>
      <c r="B1043" s="465" t="s">
        <v>1607</v>
      </c>
      <c r="C1043" s="466">
        <v>4</v>
      </c>
      <c r="D1043" s="465"/>
      <c r="E1043" s="466" t="s">
        <v>4214</v>
      </c>
      <c r="F1043" s="466" t="s">
        <v>1224</v>
      </c>
      <c r="G1043" s="465">
        <v>1</v>
      </c>
      <c r="H1043" s="465">
        <v>7</v>
      </c>
    </row>
    <row r="1044" spans="1:8" ht="13.8" thickBot="1">
      <c r="A1044" s="467" t="s">
        <v>6322</v>
      </c>
      <c r="B1044" s="465" t="s">
        <v>4321</v>
      </c>
      <c r="C1044" s="466">
        <v>4</v>
      </c>
      <c r="D1044" s="465"/>
      <c r="E1044" s="466" t="s">
        <v>4214</v>
      </c>
      <c r="F1044" s="466" t="s">
        <v>1224</v>
      </c>
      <c r="G1044" s="465"/>
      <c r="H1044" s="465">
        <v>4</v>
      </c>
    </row>
    <row r="1045" spans="1:8" ht="13.8" thickBot="1">
      <c r="A1045" s="465" t="s">
        <v>6323</v>
      </c>
      <c r="B1045" s="465" t="s">
        <v>1612</v>
      </c>
      <c r="C1045" s="466">
        <v>4</v>
      </c>
      <c r="D1045" s="465"/>
      <c r="E1045" s="466" t="s">
        <v>4214</v>
      </c>
      <c r="F1045" s="466" t="s">
        <v>1224</v>
      </c>
      <c r="G1045" s="465"/>
      <c r="H1045" s="465">
        <v>3</v>
      </c>
    </row>
    <row r="1046" spans="1:8" ht="13.8" thickBot="1">
      <c r="A1046" s="467" t="s">
        <v>6324</v>
      </c>
      <c r="B1046" s="465" t="s">
        <v>1617</v>
      </c>
      <c r="C1046" s="466">
        <v>4</v>
      </c>
      <c r="D1046" s="465"/>
      <c r="E1046" s="466" t="s">
        <v>4214</v>
      </c>
      <c r="F1046" s="466" t="s">
        <v>1224</v>
      </c>
      <c r="G1046" s="465"/>
      <c r="H1046" s="465">
        <v>3</v>
      </c>
    </row>
    <row r="1047" spans="1:8" ht="13.8" thickBot="1">
      <c r="A1047" s="467" t="s">
        <v>6325</v>
      </c>
      <c r="B1047" s="465" t="s">
        <v>1617</v>
      </c>
      <c r="C1047" s="466">
        <v>4</v>
      </c>
      <c r="D1047" s="465"/>
      <c r="E1047" s="466" t="s">
        <v>4214</v>
      </c>
      <c r="F1047" s="466" t="s">
        <v>1220</v>
      </c>
      <c r="G1047" s="465"/>
      <c r="H1047" s="465">
        <v>7</v>
      </c>
    </row>
    <row r="1048" spans="1:8" ht="13.8" thickBot="1">
      <c r="A1048" s="467" t="s">
        <v>6326</v>
      </c>
      <c r="B1048" s="465" t="s">
        <v>4322</v>
      </c>
      <c r="C1048" s="466">
        <v>4</v>
      </c>
      <c r="D1048" s="467" t="s">
        <v>614</v>
      </c>
      <c r="E1048" s="466" t="s">
        <v>4214</v>
      </c>
      <c r="F1048" s="466" t="s">
        <v>1220</v>
      </c>
      <c r="G1048" s="465"/>
      <c r="H1048" s="465">
        <v>1</v>
      </c>
    </row>
    <row r="1049" spans="1:8" ht="13.8" thickBot="1">
      <c r="A1049" s="467" t="s">
        <v>6327</v>
      </c>
      <c r="B1049" s="465" t="s">
        <v>1607</v>
      </c>
      <c r="C1049" s="466">
        <v>4</v>
      </c>
      <c r="D1049" s="465"/>
      <c r="E1049" s="466" t="s">
        <v>4214</v>
      </c>
      <c r="F1049" s="466"/>
      <c r="G1049" s="465"/>
      <c r="H1049" s="465">
        <v>5</v>
      </c>
    </row>
    <row r="1050" spans="1:8" ht="13.8" thickBot="1">
      <c r="A1050" s="465" t="s">
        <v>6328</v>
      </c>
      <c r="B1050" s="465" t="s">
        <v>1607</v>
      </c>
      <c r="C1050" s="466">
        <v>4</v>
      </c>
      <c r="D1050" s="465"/>
      <c r="E1050" s="466" t="s">
        <v>4214</v>
      </c>
      <c r="F1050" s="466"/>
      <c r="G1050" s="465"/>
      <c r="H1050" s="465">
        <v>2</v>
      </c>
    </row>
    <row r="1051" spans="1:8" ht="13.8" thickBot="1">
      <c r="A1051" s="467" t="s">
        <v>6329</v>
      </c>
      <c r="B1051" s="465" t="s">
        <v>1607</v>
      </c>
      <c r="C1051" s="466">
        <v>4</v>
      </c>
      <c r="D1051" s="465"/>
      <c r="E1051" s="466" t="s">
        <v>4214</v>
      </c>
      <c r="F1051" s="466"/>
      <c r="G1051" s="465"/>
      <c r="H1051" s="465">
        <v>4</v>
      </c>
    </row>
    <row r="1052" spans="1:8" ht="13.8" thickBot="1">
      <c r="A1052" s="467" t="s">
        <v>6330</v>
      </c>
      <c r="B1052" s="465" t="s">
        <v>1607</v>
      </c>
      <c r="C1052" s="466">
        <v>4</v>
      </c>
      <c r="D1052" s="465"/>
      <c r="E1052" s="466" t="s">
        <v>4214</v>
      </c>
      <c r="F1052" s="466"/>
      <c r="G1052" s="465">
        <v>1</v>
      </c>
      <c r="H1052" s="465">
        <v>5</v>
      </c>
    </row>
    <row r="1053" spans="1:8" ht="13.8" thickBot="1">
      <c r="A1053" s="465" t="s">
        <v>6331</v>
      </c>
      <c r="B1053" s="465" t="s">
        <v>1607</v>
      </c>
      <c r="C1053" s="466">
        <v>4</v>
      </c>
      <c r="D1053" s="465"/>
      <c r="E1053" s="466" t="s">
        <v>4214</v>
      </c>
      <c r="F1053" s="466"/>
      <c r="G1053" s="465"/>
      <c r="H1053" s="465">
        <v>1</v>
      </c>
    </row>
    <row r="1054" spans="1:8" ht="13.8" thickBot="1">
      <c r="A1054" s="467" t="s">
        <v>6332</v>
      </c>
      <c r="B1054" s="465" t="s">
        <v>1607</v>
      </c>
      <c r="C1054" s="466">
        <v>4</v>
      </c>
      <c r="D1054" s="465"/>
      <c r="E1054" s="466" t="s">
        <v>4214</v>
      </c>
      <c r="F1054" s="466"/>
      <c r="G1054" s="465"/>
      <c r="H1054" s="465">
        <v>2</v>
      </c>
    </row>
    <row r="1055" spans="1:8" ht="13.8" thickBot="1">
      <c r="A1055" s="467" t="s">
        <v>6333</v>
      </c>
      <c r="B1055" s="465" t="s">
        <v>1619</v>
      </c>
      <c r="C1055" s="466">
        <v>4</v>
      </c>
      <c r="D1055" s="465"/>
      <c r="E1055" s="466" t="s">
        <v>4214</v>
      </c>
      <c r="F1055" s="466"/>
      <c r="G1055" s="465">
        <v>2</v>
      </c>
      <c r="H1055" s="465">
        <v>6</v>
      </c>
    </row>
    <row r="1056" spans="1:8" ht="13.8" thickBot="1">
      <c r="A1056" s="465" t="s">
        <v>6334</v>
      </c>
      <c r="B1056" s="465" t="s">
        <v>4323</v>
      </c>
      <c r="C1056" s="466">
        <v>4</v>
      </c>
      <c r="D1056" s="465"/>
      <c r="E1056" s="466" t="s">
        <v>4214</v>
      </c>
      <c r="F1056" s="466"/>
      <c r="G1056" s="465"/>
      <c r="H1056" s="465">
        <v>3</v>
      </c>
    </row>
    <row r="1057" spans="1:8" ht="13.8" thickBot="1">
      <c r="A1057" s="467" t="s">
        <v>6335</v>
      </c>
      <c r="B1057" s="465" t="s">
        <v>4324</v>
      </c>
      <c r="C1057" s="466">
        <v>4</v>
      </c>
      <c r="D1057" s="465"/>
      <c r="E1057" s="466" t="s">
        <v>4214</v>
      </c>
      <c r="F1057" s="466"/>
      <c r="G1057" s="465"/>
      <c r="H1057" s="465">
        <v>1</v>
      </c>
    </row>
    <row r="1058" spans="1:8" ht="13.8" thickBot="1">
      <c r="A1058" s="467" t="s">
        <v>6336</v>
      </c>
      <c r="B1058" s="465" t="s">
        <v>4216</v>
      </c>
      <c r="C1058" s="466">
        <v>4</v>
      </c>
      <c r="D1058" s="465"/>
      <c r="E1058" s="466" t="s">
        <v>4214</v>
      </c>
      <c r="F1058" s="466"/>
      <c r="G1058" s="465"/>
      <c r="H1058" s="465">
        <v>2</v>
      </c>
    </row>
    <row r="1059" spans="1:8" ht="13.8" thickBot="1">
      <c r="A1059" s="467" t="s">
        <v>6337</v>
      </c>
      <c r="B1059" s="465" t="s">
        <v>1616</v>
      </c>
      <c r="C1059" s="466">
        <v>4</v>
      </c>
      <c r="D1059" s="465"/>
      <c r="E1059" s="466" t="s">
        <v>4214</v>
      </c>
      <c r="F1059" s="466"/>
      <c r="G1059" s="465"/>
      <c r="H1059" s="465">
        <v>7</v>
      </c>
    </row>
    <row r="1060" spans="1:8" ht="13.8" thickBot="1">
      <c r="A1060" s="467" t="s">
        <v>6338</v>
      </c>
      <c r="B1060" s="465" t="s">
        <v>4257</v>
      </c>
      <c r="C1060" s="466">
        <v>4</v>
      </c>
      <c r="D1060" s="465"/>
      <c r="E1060" s="466" t="s">
        <v>4214</v>
      </c>
      <c r="F1060" s="466"/>
      <c r="G1060" s="465"/>
      <c r="H1060" s="465">
        <v>4</v>
      </c>
    </row>
    <row r="1061" spans="1:8" ht="13.8" thickBot="1">
      <c r="A1061" s="467" t="s">
        <v>6339</v>
      </c>
      <c r="B1061" s="465" t="s">
        <v>1612</v>
      </c>
      <c r="C1061" s="466">
        <v>4</v>
      </c>
      <c r="D1061" s="465"/>
      <c r="E1061" s="466" t="s">
        <v>4214</v>
      </c>
      <c r="F1061" s="466"/>
      <c r="G1061" s="465"/>
      <c r="H1061" s="465">
        <v>4</v>
      </c>
    </row>
    <row r="1062" spans="1:8" ht="13.8" thickBot="1">
      <c r="A1062" s="467" t="s">
        <v>6340</v>
      </c>
      <c r="B1062" s="465" t="s">
        <v>4325</v>
      </c>
      <c r="C1062" s="466">
        <v>4</v>
      </c>
      <c r="D1062" s="465"/>
      <c r="E1062" s="466" t="s">
        <v>4214</v>
      </c>
      <c r="F1062" s="466"/>
      <c r="G1062" s="465"/>
      <c r="H1062" s="465">
        <v>1</v>
      </c>
    </row>
    <row r="1063" spans="1:8" ht="13.8" thickBot="1">
      <c r="A1063" s="467" t="s">
        <v>6341</v>
      </c>
      <c r="B1063" s="465" t="s">
        <v>1617</v>
      </c>
      <c r="C1063" s="466">
        <v>4</v>
      </c>
      <c r="D1063" s="465"/>
      <c r="E1063" s="466" t="s">
        <v>4214</v>
      </c>
      <c r="F1063" s="466"/>
      <c r="G1063" s="465"/>
      <c r="H1063" s="465">
        <v>2</v>
      </c>
    </row>
    <row r="1064" spans="1:8" ht="13.8" thickBot="1">
      <c r="A1064" s="467" t="s">
        <v>6000</v>
      </c>
      <c r="B1064" s="465" t="s">
        <v>2133</v>
      </c>
      <c r="C1064" s="466">
        <v>4</v>
      </c>
      <c r="D1064" s="465"/>
      <c r="E1064" s="466" t="s">
        <v>2123</v>
      </c>
      <c r="F1064" s="466" t="s">
        <v>1910</v>
      </c>
      <c r="G1064" s="465"/>
      <c r="H1064" s="465">
        <v>9</v>
      </c>
    </row>
    <row r="1065" spans="1:8" ht="13.8" thickBot="1">
      <c r="A1065" s="467" t="s">
        <v>6001</v>
      </c>
      <c r="B1065" s="465" t="s">
        <v>2122</v>
      </c>
      <c r="C1065" s="466">
        <v>4</v>
      </c>
      <c r="D1065" s="465"/>
      <c r="E1065" s="466" t="s">
        <v>2123</v>
      </c>
      <c r="F1065" s="466"/>
      <c r="G1065" s="465"/>
      <c r="H1065" s="465">
        <v>1</v>
      </c>
    </row>
    <row r="1066" spans="1:8" ht="13.8" thickBot="1">
      <c r="A1066" s="467" t="s">
        <v>6002</v>
      </c>
      <c r="B1066" s="465" t="s">
        <v>2146</v>
      </c>
      <c r="C1066" s="466">
        <v>4</v>
      </c>
      <c r="D1066" s="465"/>
      <c r="E1066" s="466" t="s">
        <v>2123</v>
      </c>
      <c r="F1066" s="466"/>
      <c r="G1066" s="465"/>
      <c r="H1066" s="465">
        <v>5</v>
      </c>
    </row>
    <row r="1067" spans="1:8" ht="13.8" thickBot="1">
      <c r="A1067" s="465" t="s">
        <v>6342</v>
      </c>
      <c r="B1067" s="465" t="s">
        <v>4344</v>
      </c>
      <c r="C1067" s="466">
        <v>4</v>
      </c>
      <c r="D1067" s="467" t="s">
        <v>614</v>
      </c>
      <c r="E1067" s="466" t="s">
        <v>4339</v>
      </c>
      <c r="F1067" s="466"/>
      <c r="G1067" s="465"/>
      <c r="H1067" s="465">
        <v>4</v>
      </c>
    </row>
    <row r="1068" spans="1:8" ht="13.8" thickBot="1">
      <c r="A1068" s="467" t="s">
        <v>6343</v>
      </c>
      <c r="B1068" s="465" t="s">
        <v>4359</v>
      </c>
      <c r="C1068" s="466">
        <v>4</v>
      </c>
      <c r="D1068" s="465"/>
      <c r="E1068" s="466" t="s">
        <v>4354</v>
      </c>
      <c r="F1068" s="466" t="s">
        <v>1880</v>
      </c>
      <c r="G1068" s="465">
        <v>1</v>
      </c>
      <c r="H1068" s="465">
        <v>4</v>
      </c>
    </row>
    <row r="1069" spans="1:8" ht="13.8" thickBot="1">
      <c r="A1069" s="465" t="s">
        <v>6344</v>
      </c>
      <c r="B1069" s="465" t="s">
        <v>4360</v>
      </c>
      <c r="C1069" s="466">
        <v>4</v>
      </c>
      <c r="D1069" s="465"/>
      <c r="E1069" s="466" t="s">
        <v>4354</v>
      </c>
      <c r="F1069" s="466"/>
      <c r="G1069" s="465"/>
      <c r="H1069" s="465"/>
    </row>
    <row r="1070" spans="1:8" ht="13.8" thickBot="1">
      <c r="A1070" s="465" t="s">
        <v>6345</v>
      </c>
      <c r="B1070" s="465" t="s">
        <v>4361</v>
      </c>
      <c r="C1070" s="466">
        <v>4</v>
      </c>
      <c r="D1070" s="465"/>
      <c r="E1070" s="466" t="s">
        <v>4354</v>
      </c>
      <c r="F1070" s="466"/>
      <c r="G1070" s="465"/>
      <c r="H1070" s="465">
        <v>7</v>
      </c>
    </row>
    <row r="1071" spans="1:8" ht="13.8" thickBot="1">
      <c r="A1071" s="465" t="s">
        <v>6346</v>
      </c>
      <c r="B1071" s="465" t="s">
        <v>4386</v>
      </c>
      <c r="C1071" s="466">
        <v>4</v>
      </c>
      <c r="D1071" s="467" t="s">
        <v>614</v>
      </c>
      <c r="E1071" s="466" t="s">
        <v>4364</v>
      </c>
      <c r="F1071" s="466" t="s">
        <v>1910</v>
      </c>
      <c r="G1071" s="465"/>
      <c r="H1071" s="465">
        <v>1</v>
      </c>
    </row>
    <row r="1072" spans="1:8" ht="13.8" thickBot="1">
      <c r="A1072" s="465" t="s">
        <v>6347</v>
      </c>
      <c r="B1072" s="465" t="s">
        <v>1656</v>
      </c>
      <c r="C1072" s="466">
        <v>4</v>
      </c>
      <c r="D1072" s="465"/>
      <c r="E1072" s="466" t="s">
        <v>4364</v>
      </c>
      <c r="F1072" s="466" t="s">
        <v>1226</v>
      </c>
      <c r="G1072" s="465"/>
      <c r="H1072" s="465">
        <v>4</v>
      </c>
    </row>
    <row r="1073" spans="1:8" ht="13.8" thickBot="1">
      <c r="A1073" s="465" t="s">
        <v>6348</v>
      </c>
      <c r="B1073" s="465" t="s">
        <v>4387</v>
      </c>
      <c r="C1073" s="466">
        <v>4</v>
      </c>
      <c r="D1073" s="465"/>
      <c r="E1073" s="466" t="s">
        <v>4364</v>
      </c>
      <c r="F1073" s="466" t="s">
        <v>1224</v>
      </c>
      <c r="G1073" s="465"/>
      <c r="H1073" s="465">
        <v>7</v>
      </c>
    </row>
    <row r="1074" spans="1:8" ht="13.8" thickBot="1">
      <c r="A1074" s="467" t="s">
        <v>6349</v>
      </c>
      <c r="B1074" s="465" t="s">
        <v>1658</v>
      </c>
      <c r="C1074" s="466">
        <v>4</v>
      </c>
      <c r="D1074" s="467" t="s">
        <v>614</v>
      </c>
      <c r="E1074" s="466" t="s">
        <v>4364</v>
      </c>
      <c r="F1074" s="466"/>
      <c r="G1074" s="465">
        <v>1</v>
      </c>
      <c r="H1074" s="465">
        <v>10</v>
      </c>
    </row>
    <row r="1075" spans="1:8" ht="13.8" thickBot="1">
      <c r="A1075" s="467" t="s">
        <v>6350</v>
      </c>
      <c r="B1075" s="465" t="s">
        <v>4388</v>
      </c>
      <c r="C1075" s="466">
        <v>4</v>
      </c>
      <c r="D1075" s="467" t="s">
        <v>614</v>
      </c>
      <c r="E1075" s="466" t="s">
        <v>4364</v>
      </c>
      <c r="F1075" s="466"/>
      <c r="G1075" s="465"/>
      <c r="H1075" s="465">
        <v>1</v>
      </c>
    </row>
    <row r="1076" spans="1:8" ht="13.8" thickBot="1">
      <c r="A1076" s="467" t="s">
        <v>6351</v>
      </c>
      <c r="B1076" s="465" t="s">
        <v>1639</v>
      </c>
      <c r="C1076" s="466">
        <v>4</v>
      </c>
      <c r="D1076" s="465"/>
      <c r="E1076" s="466" t="s">
        <v>4391</v>
      </c>
      <c r="F1076" s="466"/>
      <c r="G1076" s="465"/>
      <c r="H1076" s="465">
        <v>1</v>
      </c>
    </row>
    <row r="1077" spans="1:8" ht="13.8" thickBot="1">
      <c r="A1077" s="467" t="s">
        <v>6352</v>
      </c>
      <c r="B1077" s="465" t="s">
        <v>4423</v>
      </c>
      <c r="C1077" s="466">
        <v>4</v>
      </c>
      <c r="D1077" s="465"/>
      <c r="E1077" s="466" t="s">
        <v>4403</v>
      </c>
      <c r="F1077" s="466"/>
      <c r="G1077" s="465"/>
      <c r="H1077" s="465">
        <v>1</v>
      </c>
    </row>
    <row r="1078" spans="1:8" ht="13.8" thickBot="1">
      <c r="A1078" s="465" t="s">
        <v>6353</v>
      </c>
      <c r="B1078" s="465" t="s">
        <v>1666</v>
      </c>
      <c r="C1078" s="466">
        <v>4</v>
      </c>
      <c r="D1078" s="465"/>
      <c r="E1078" s="466" t="s">
        <v>4425</v>
      </c>
      <c r="F1078" s="466"/>
      <c r="G1078" s="465"/>
      <c r="H1078" s="465">
        <v>4</v>
      </c>
    </row>
    <row r="1079" spans="1:8" ht="13.8" thickBot="1">
      <c r="A1079" s="467" t="s">
        <v>6354</v>
      </c>
      <c r="B1079" s="465" t="s">
        <v>4430</v>
      </c>
      <c r="C1079" s="466">
        <v>4</v>
      </c>
      <c r="D1079" s="465"/>
      <c r="E1079" s="466" t="s">
        <v>4428</v>
      </c>
      <c r="F1079" s="466"/>
      <c r="G1079" s="465">
        <v>1</v>
      </c>
      <c r="H1079" s="465">
        <v>4</v>
      </c>
    </row>
    <row r="1080" spans="1:8" ht="13.8" thickBot="1">
      <c r="A1080" s="467" t="s">
        <v>6355</v>
      </c>
      <c r="B1080" s="465" t="s">
        <v>4435</v>
      </c>
      <c r="C1080" s="466">
        <v>4</v>
      </c>
      <c r="D1080" s="465"/>
      <c r="E1080" s="466" t="s">
        <v>4433</v>
      </c>
      <c r="F1080" s="466"/>
      <c r="G1080" s="465"/>
      <c r="H1080" s="465">
        <v>3</v>
      </c>
    </row>
    <row r="1081" spans="1:8" ht="13.8" thickBot="1">
      <c r="A1081" s="467" t="s">
        <v>6356</v>
      </c>
      <c r="B1081" s="465" t="s">
        <v>4484</v>
      </c>
      <c r="C1081" s="466">
        <v>4</v>
      </c>
      <c r="D1081" s="465"/>
      <c r="E1081" s="466" t="s">
        <v>4438</v>
      </c>
      <c r="F1081" s="466" t="s">
        <v>1226</v>
      </c>
      <c r="G1081" s="465"/>
      <c r="H1081" s="465">
        <v>1</v>
      </c>
    </row>
    <row r="1082" spans="1:8" ht="13.8" thickBot="1">
      <c r="A1082" s="467" t="s">
        <v>6357</v>
      </c>
      <c r="B1082" s="465" t="s">
        <v>4485</v>
      </c>
      <c r="C1082" s="466">
        <v>4</v>
      </c>
      <c r="D1082" s="467" t="s">
        <v>614</v>
      </c>
      <c r="E1082" s="466" t="s">
        <v>4438</v>
      </c>
      <c r="F1082" s="466" t="s">
        <v>1226</v>
      </c>
      <c r="G1082" s="465"/>
      <c r="H1082" s="465">
        <v>2</v>
      </c>
    </row>
    <row r="1083" spans="1:8" ht="13.8" thickBot="1">
      <c r="A1083" s="465" t="s">
        <v>6358</v>
      </c>
      <c r="B1083" s="465" t="s">
        <v>4486</v>
      </c>
      <c r="C1083" s="466">
        <v>4</v>
      </c>
      <c r="D1083" s="465"/>
      <c r="E1083" s="466" t="s">
        <v>4438</v>
      </c>
      <c r="F1083" s="466" t="s">
        <v>1224</v>
      </c>
      <c r="G1083" s="465"/>
      <c r="H1083" s="465">
        <v>3</v>
      </c>
    </row>
    <row r="1084" spans="1:8" ht="13.8" thickBot="1">
      <c r="A1084" s="467" t="s">
        <v>6359</v>
      </c>
      <c r="B1084" s="465" t="s">
        <v>1638</v>
      </c>
      <c r="C1084" s="466">
        <v>4</v>
      </c>
      <c r="D1084" s="465"/>
      <c r="E1084" s="466" t="s">
        <v>4438</v>
      </c>
      <c r="F1084" s="466"/>
      <c r="G1084" s="465"/>
      <c r="H1084" s="465">
        <v>6</v>
      </c>
    </row>
    <row r="1085" spans="1:8" ht="13.8" thickBot="1">
      <c r="A1085" s="467" t="s">
        <v>6360</v>
      </c>
      <c r="B1085" s="465" t="s">
        <v>1638</v>
      </c>
      <c r="C1085" s="466">
        <v>4</v>
      </c>
      <c r="D1085" s="465"/>
      <c r="E1085" s="466" t="s">
        <v>4438</v>
      </c>
      <c r="F1085" s="466"/>
      <c r="G1085" s="465"/>
      <c r="H1085" s="465">
        <v>3</v>
      </c>
    </row>
    <row r="1086" spans="1:8" ht="13.8" thickBot="1">
      <c r="A1086" s="467" t="s">
        <v>6361</v>
      </c>
      <c r="B1086" s="465" t="s">
        <v>1640</v>
      </c>
      <c r="C1086" s="466">
        <v>4</v>
      </c>
      <c r="D1086" s="465"/>
      <c r="E1086" s="466" t="s">
        <v>4438</v>
      </c>
      <c r="F1086" s="466"/>
      <c r="G1086" s="465"/>
      <c r="H1086" s="465">
        <v>3</v>
      </c>
    </row>
    <row r="1087" spans="1:8" ht="13.8" thickBot="1">
      <c r="A1087" s="467" t="s">
        <v>6362</v>
      </c>
      <c r="B1087" s="465" t="s">
        <v>1644</v>
      </c>
      <c r="C1087" s="466">
        <v>4</v>
      </c>
      <c r="D1087" s="465"/>
      <c r="E1087" s="466" t="s">
        <v>4438</v>
      </c>
      <c r="F1087" s="466"/>
      <c r="G1087" s="465"/>
      <c r="H1087" s="465">
        <v>1</v>
      </c>
    </row>
    <row r="1088" spans="1:8" ht="13.8" thickBot="1">
      <c r="A1088" s="465" t="s">
        <v>6363</v>
      </c>
      <c r="B1088" s="465" t="s">
        <v>4528</v>
      </c>
      <c r="C1088" s="466">
        <v>4</v>
      </c>
      <c r="D1088" s="465"/>
      <c r="E1088" s="466" t="s">
        <v>4509</v>
      </c>
      <c r="F1088" s="466" t="s">
        <v>1226</v>
      </c>
      <c r="G1088" s="465"/>
      <c r="H1088" s="465">
        <v>10</v>
      </c>
    </row>
    <row r="1089" spans="1:8" ht="13.8" thickBot="1">
      <c r="A1089" s="465" t="s">
        <v>6364</v>
      </c>
      <c r="B1089" s="465" t="s">
        <v>1647</v>
      </c>
      <c r="C1089" s="466">
        <v>4</v>
      </c>
      <c r="D1089" s="465"/>
      <c r="E1089" s="466" t="s">
        <v>4509</v>
      </c>
      <c r="F1089" s="466" t="s">
        <v>1220</v>
      </c>
      <c r="G1089" s="465">
        <v>1</v>
      </c>
      <c r="H1089" s="465">
        <v>10</v>
      </c>
    </row>
    <row r="1090" spans="1:8" ht="13.8" thickBot="1">
      <c r="A1090" s="467" t="s">
        <v>6365</v>
      </c>
      <c r="B1090" s="465" t="s">
        <v>4529</v>
      </c>
      <c r="C1090" s="466">
        <v>4</v>
      </c>
      <c r="D1090" s="465"/>
      <c r="E1090" s="466" t="s">
        <v>4509</v>
      </c>
      <c r="F1090" s="466" t="s">
        <v>1220</v>
      </c>
      <c r="G1090" s="465"/>
      <c r="H1090" s="465">
        <v>3</v>
      </c>
    </row>
    <row r="1091" spans="1:8" ht="13.8" thickBot="1">
      <c r="A1091" s="467" t="s">
        <v>6366</v>
      </c>
      <c r="B1091" s="465" t="s">
        <v>4510</v>
      </c>
      <c r="C1091" s="466">
        <v>4</v>
      </c>
      <c r="D1091" s="465"/>
      <c r="E1091" s="466" t="s">
        <v>4509</v>
      </c>
      <c r="F1091" s="466"/>
      <c r="G1091" s="465"/>
      <c r="H1091" s="465">
        <v>3</v>
      </c>
    </row>
    <row r="1092" spans="1:8" ht="13.8" thickBot="1">
      <c r="A1092" s="467" t="s">
        <v>6367</v>
      </c>
      <c r="B1092" s="465" t="s">
        <v>4530</v>
      </c>
      <c r="C1092" s="466">
        <v>4</v>
      </c>
      <c r="D1092" s="465"/>
      <c r="E1092" s="466" t="s">
        <v>4509</v>
      </c>
      <c r="F1092" s="466"/>
      <c r="G1092" s="465"/>
      <c r="H1092" s="465">
        <v>1</v>
      </c>
    </row>
    <row r="1093" spans="1:8" ht="13.8" thickBot="1">
      <c r="A1093" s="467" t="s">
        <v>6368</v>
      </c>
      <c r="B1093" s="465" t="s">
        <v>1648</v>
      </c>
      <c r="C1093" s="466">
        <v>4</v>
      </c>
      <c r="D1093" s="465"/>
      <c r="E1093" s="466" t="s">
        <v>4509</v>
      </c>
      <c r="F1093" s="466"/>
      <c r="G1093" s="465"/>
      <c r="H1093" s="465">
        <v>9</v>
      </c>
    </row>
    <row r="1094" spans="1:8" ht="13.8" thickBot="1">
      <c r="A1094" s="465" t="s">
        <v>6369</v>
      </c>
      <c r="B1094" s="465" t="s">
        <v>1665</v>
      </c>
      <c r="C1094" s="466">
        <v>4</v>
      </c>
      <c r="D1094" s="467" t="s">
        <v>614</v>
      </c>
      <c r="E1094" s="466" t="s">
        <v>4536</v>
      </c>
      <c r="F1094" s="466"/>
      <c r="G1094" s="465"/>
      <c r="H1094" s="465">
        <v>1</v>
      </c>
    </row>
    <row r="1095" spans="1:8" ht="13.8" thickBot="1">
      <c r="A1095" s="467" t="s">
        <v>6370</v>
      </c>
      <c r="B1095" s="465" t="s">
        <v>4563</v>
      </c>
      <c r="C1095" s="466">
        <v>4</v>
      </c>
      <c r="D1095" s="465"/>
      <c r="E1095" s="466" t="s">
        <v>4557</v>
      </c>
      <c r="F1095" s="466"/>
      <c r="G1095" s="465"/>
      <c r="H1095" s="465">
        <v>1</v>
      </c>
    </row>
    <row r="1096" spans="1:8" ht="13.8" thickBot="1">
      <c r="A1096" s="467" t="s">
        <v>6371</v>
      </c>
      <c r="B1096" s="465" t="s">
        <v>4578</v>
      </c>
      <c r="C1096" s="466">
        <v>4</v>
      </c>
      <c r="D1096" s="465"/>
      <c r="E1096" s="466" t="s">
        <v>4557</v>
      </c>
      <c r="F1096" s="466"/>
      <c r="G1096" s="465"/>
      <c r="H1096" s="465">
        <v>2</v>
      </c>
    </row>
    <row r="1097" spans="1:8" ht="13.8" thickBot="1">
      <c r="A1097" s="467" t="s">
        <v>6372</v>
      </c>
      <c r="B1097" s="465" t="s">
        <v>1674</v>
      </c>
      <c r="C1097" s="466">
        <v>4</v>
      </c>
      <c r="D1097" s="465"/>
      <c r="E1097" s="466" t="s">
        <v>4589</v>
      </c>
      <c r="F1097" s="466"/>
      <c r="G1097" s="465"/>
      <c r="H1097" s="465">
        <v>5</v>
      </c>
    </row>
    <row r="1098" spans="1:8" ht="13.8" thickBot="1">
      <c r="A1098" s="467" t="s">
        <v>6373</v>
      </c>
      <c r="B1098" s="465" t="s">
        <v>4624</v>
      </c>
      <c r="C1098" s="466">
        <v>4</v>
      </c>
      <c r="D1098" s="465"/>
      <c r="E1098" s="466" t="s">
        <v>4596</v>
      </c>
      <c r="F1098" s="466" t="s">
        <v>1880</v>
      </c>
      <c r="G1098" s="465">
        <v>2</v>
      </c>
      <c r="H1098" s="465">
        <v>5</v>
      </c>
    </row>
    <row r="1099" spans="1:8" ht="13.8" thickBot="1">
      <c r="A1099" s="467" t="s">
        <v>6374</v>
      </c>
      <c r="B1099" s="465" t="s">
        <v>4625</v>
      </c>
      <c r="C1099" s="466">
        <v>4</v>
      </c>
      <c r="D1099" s="467" t="s">
        <v>614</v>
      </c>
      <c r="E1099" s="466" t="s">
        <v>4596</v>
      </c>
      <c r="F1099" s="466" t="s">
        <v>1224</v>
      </c>
      <c r="G1099" s="465"/>
      <c r="H1099" s="465">
        <v>5</v>
      </c>
    </row>
    <row r="1100" spans="1:8" ht="13.8" thickBot="1">
      <c r="A1100" s="465" t="s">
        <v>6375</v>
      </c>
      <c r="B1100" s="465" t="s">
        <v>4624</v>
      </c>
      <c r="C1100" s="466">
        <v>4</v>
      </c>
      <c r="D1100" s="467" t="s">
        <v>614</v>
      </c>
      <c r="E1100" s="466" t="s">
        <v>4596</v>
      </c>
      <c r="F1100" s="466"/>
      <c r="G1100" s="465"/>
      <c r="H1100" s="465">
        <v>5</v>
      </c>
    </row>
    <row r="1101" spans="1:8" ht="13.8" thickBot="1">
      <c r="A1101" s="465" t="s">
        <v>6003</v>
      </c>
      <c r="B1101" s="465" t="s">
        <v>2207</v>
      </c>
      <c r="C1101" s="466">
        <v>4</v>
      </c>
      <c r="D1101" s="465"/>
      <c r="E1101" s="466" t="s">
        <v>2152</v>
      </c>
      <c r="F1101" s="466" t="s">
        <v>1865</v>
      </c>
      <c r="G1101" s="465"/>
      <c r="H1101" s="465">
        <v>5</v>
      </c>
    </row>
    <row r="1102" spans="1:8" ht="13.8" thickBot="1">
      <c r="A1102" s="465" t="s">
        <v>6004</v>
      </c>
      <c r="B1102" s="465" t="s">
        <v>1270</v>
      </c>
      <c r="C1102" s="466">
        <v>4</v>
      </c>
      <c r="D1102" s="465"/>
      <c r="E1102" s="466" t="s">
        <v>2152</v>
      </c>
      <c r="F1102" s="466" t="s">
        <v>1226</v>
      </c>
      <c r="G1102" s="465"/>
      <c r="H1102" s="465">
        <v>7</v>
      </c>
    </row>
    <row r="1103" spans="1:8" ht="13.8" thickBot="1">
      <c r="A1103" s="465" t="s">
        <v>6005</v>
      </c>
      <c r="B1103" s="465" t="s">
        <v>1270</v>
      </c>
      <c r="C1103" s="466">
        <v>4</v>
      </c>
      <c r="D1103" s="465"/>
      <c r="E1103" s="466" t="s">
        <v>2152</v>
      </c>
      <c r="F1103" s="466" t="s">
        <v>1226</v>
      </c>
      <c r="G1103" s="465"/>
      <c r="H1103" s="465">
        <v>8</v>
      </c>
    </row>
    <row r="1104" spans="1:8" ht="13.8" thickBot="1">
      <c r="A1104" s="465" t="s">
        <v>6006</v>
      </c>
      <c r="B1104" s="468" t="s">
        <v>2188</v>
      </c>
      <c r="C1104" s="466">
        <v>4</v>
      </c>
      <c r="D1104" s="465"/>
      <c r="E1104" s="466" t="s">
        <v>2152</v>
      </c>
      <c r="F1104" s="466" t="s">
        <v>1226</v>
      </c>
      <c r="G1104" s="465"/>
      <c r="H1104" s="465">
        <v>2</v>
      </c>
    </row>
    <row r="1105" spans="1:8" ht="13.8" thickBot="1">
      <c r="A1105" s="465" t="s">
        <v>6007</v>
      </c>
      <c r="B1105" s="465" t="s">
        <v>1274</v>
      </c>
      <c r="C1105" s="466">
        <v>4</v>
      </c>
      <c r="D1105" s="465"/>
      <c r="E1105" s="466" t="s">
        <v>2152</v>
      </c>
      <c r="F1105" s="466" t="s">
        <v>1226</v>
      </c>
      <c r="G1105" s="465"/>
      <c r="H1105" s="465">
        <v>8</v>
      </c>
    </row>
    <row r="1106" spans="1:8" ht="13.8" thickBot="1">
      <c r="A1106" s="465" t="s">
        <v>6008</v>
      </c>
      <c r="B1106" s="465" t="s">
        <v>1275</v>
      </c>
      <c r="C1106" s="466">
        <v>4</v>
      </c>
      <c r="D1106" s="465"/>
      <c r="E1106" s="466" t="s">
        <v>2152</v>
      </c>
      <c r="F1106" s="466" t="s">
        <v>1224</v>
      </c>
      <c r="G1106" s="465">
        <v>1</v>
      </c>
      <c r="H1106" s="465">
        <v>14</v>
      </c>
    </row>
    <row r="1107" spans="1:8" ht="13.8" thickBot="1">
      <c r="A1107" s="467" t="s">
        <v>6009</v>
      </c>
      <c r="B1107" s="465" t="s">
        <v>1276</v>
      </c>
      <c r="C1107" s="466">
        <v>4</v>
      </c>
      <c r="D1107" s="465"/>
      <c r="E1107" s="466" t="s">
        <v>2152</v>
      </c>
      <c r="F1107" s="466" t="s">
        <v>1224</v>
      </c>
      <c r="G1107" s="465"/>
      <c r="H1107" s="465">
        <v>5</v>
      </c>
    </row>
    <row r="1108" spans="1:8" ht="13.8" thickBot="1">
      <c r="A1108" s="467" t="s">
        <v>6010</v>
      </c>
      <c r="B1108" s="465" t="s">
        <v>2208</v>
      </c>
      <c r="C1108" s="466">
        <v>4</v>
      </c>
      <c r="D1108" s="465"/>
      <c r="E1108" s="466" t="s">
        <v>2152</v>
      </c>
      <c r="F1108" s="466" t="s">
        <v>1220</v>
      </c>
      <c r="G1108" s="465"/>
      <c r="H1108" s="465">
        <v>2</v>
      </c>
    </row>
    <row r="1109" spans="1:8" ht="13.8" thickBot="1">
      <c r="A1109" s="467" t="s">
        <v>6011</v>
      </c>
      <c r="B1109" s="465" t="s">
        <v>1270</v>
      </c>
      <c r="C1109" s="466">
        <v>4</v>
      </c>
      <c r="D1109" s="465"/>
      <c r="E1109" s="466" t="s">
        <v>2152</v>
      </c>
      <c r="F1109" s="466"/>
      <c r="G1109" s="465"/>
      <c r="H1109" s="465">
        <v>4</v>
      </c>
    </row>
    <row r="1110" spans="1:8" ht="13.8" thickBot="1">
      <c r="A1110" s="467" t="s">
        <v>6012</v>
      </c>
      <c r="B1110" s="465" t="s">
        <v>1270</v>
      </c>
      <c r="C1110" s="466">
        <v>4</v>
      </c>
      <c r="D1110" s="467" t="s">
        <v>614</v>
      </c>
      <c r="E1110" s="466" t="s">
        <v>2152</v>
      </c>
      <c r="F1110" s="466"/>
      <c r="G1110" s="465">
        <v>2</v>
      </c>
      <c r="H1110" s="465">
        <v>9</v>
      </c>
    </row>
    <row r="1111" spans="1:8" ht="13.8" thickBot="1">
      <c r="A1111" s="467" t="s">
        <v>6013</v>
      </c>
      <c r="B1111" s="465" t="s">
        <v>1270</v>
      </c>
      <c r="C1111" s="466">
        <v>4</v>
      </c>
      <c r="D1111" s="465"/>
      <c r="E1111" s="466" t="s">
        <v>2152</v>
      </c>
      <c r="F1111" s="466"/>
      <c r="G1111" s="465"/>
      <c r="H1111" s="465">
        <v>4</v>
      </c>
    </row>
    <row r="1112" spans="1:8" ht="13.8" thickBot="1">
      <c r="A1112" s="467" t="s">
        <v>6014</v>
      </c>
      <c r="B1112" s="465" t="s">
        <v>1270</v>
      </c>
      <c r="C1112" s="466">
        <v>4</v>
      </c>
      <c r="D1112" s="465"/>
      <c r="E1112" s="466" t="s">
        <v>2152</v>
      </c>
      <c r="F1112" s="466"/>
      <c r="G1112" s="465"/>
      <c r="H1112" s="465">
        <v>2</v>
      </c>
    </row>
    <row r="1113" spans="1:8" ht="13.8" thickBot="1">
      <c r="A1113" s="465" t="s">
        <v>6015</v>
      </c>
      <c r="B1113" s="465" t="s">
        <v>2209</v>
      </c>
      <c r="C1113" s="466">
        <v>4</v>
      </c>
      <c r="D1113" s="465"/>
      <c r="E1113" s="466" t="s">
        <v>2152</v>
      </c>
      <c r="F1113" s="466"/>
      <c r="G1113" s="465"/>
      <c r="H1113" s="465">
        <v>2</v>
      </c>
    </row>
    <row r="1114" spans="1:8" ht="13.8" thickBot="1">
      <c r="A1114" s="467" t="s">
        <v>6016</v>
      </c>
      <c r="B1114" s="465" t="s">
        <v>2210</v>
      </c>
      <c r="C1114" s="466">
        <v>4</v>
      </c>
      <c r="D1114" s="465"/>
      <c r="E1114" s="466" t="s">
        <v>2152</v>
      </c>
      <c r="F1114" s="466"/>
      <c r="G1114" s="465"/>
      <c r="H1114" s="465">
        <v>1</v>
      </c>
    </row>
    <row r="1115" spans="1:8" ht="13.8" thickBot="1">
      <c r="A1115" s="467" t="s">
        <v>6017</v>
      </c>
      <c r="B1115" s="465" t="s">
        <v>2211</v>
      </c>
      <c r="C1115" s="466">
        <v>4</v>
      </c>
      <c r="D1115" s="465"/>
      <c r="E1115" s="466" t="s">
        <v>2152</v>
      </c>
      <c r="F1115" s="466"/>
      <c r="G1115" s="465"/>
      <c r="H1115" s="465">
        <v>2</v>
      </c>
    </row>
    <row r="1116" spans="1:8" ht="13.8" thickBot="1">
      <c r="A1116" s="467" t="s">
        <v>6376</v>
      </c>
      <c r="B1116" s="465" t="s">
        <v>1680</v>
      </c>
      <c r="C1116" s="466">
        <v>4</v>
      </c>
      <c r="D1116" s="467" t="s">
        <v>614</v>
      </c>
      <c r="E1116" s="466" t="s">
        <v>4644</v>
      </c>
      <c r="F1116" s="466" t="s">
        <v>1224</v>
      </c>
      <c r="G1116" s="465"/>
      <c r="H1116" s="465">
        <v>7</v>
      </c>
    </row>
    <row r="1117" spans="1:8" ht="13.8" thickBot="1">
      <c r="A1117" s="467" t="s">
        <v>6372</v>
      </c>
      <c r="B1117" s="465" t="s">
        <v>1681</v>
      </c>
      <c r="C1117" s="466">
        <v>4</v>
      </c>
      <c r="D1117" s="467" t="s">
        <v>614</v>
      </c>
      <c r="E1117" s="466" t="s">
        <v>4644</v>
      </c>
      <c r="F1117" s="466"/>
      <c r="G1117" s="465"/>
      <c r="H1117" s="465">
        <v>6</v>
      </c>
    </row>
    <row r="1118" spans="1:8" ht="13.8" thickBot="1">
      <c r="A1118" s="467" t="s">
        <v>6377</v>
      </c>
      <c r="B1118" s="465" t="s">
        <v>1708</v>
      </c>
      <c r="C1118" s="466">
        <v>4</v>
      </c>
      <c r="D1118" s="465"/>
      <c r="E1118" s="466" t="s">
        <v>4672</v>
      </c>
      <c r="F1118" s="466" t="s">
        <v>1226</v>
      </c>
      <c r="G1118" s="465"/>
      <c r="H1118" s="465">
        <v>8</v>
      </c>
    </row>
    <row r="1119" spans="1:8" ht="13.8" thickBot="1">
      <c r="A1119" s="467" t="s">
        <v>6378</v>
      </c>
      <c r="B1119" s="465" t="s">
        <v>1710</v>
      </c>
      <c r="C1119" s="466">
        <v>4</v>
      </c>
      <c r="D1119" s="465"/>
      <c r="E1119" s="466" t="s">
        <v>4672</v>
      </c>
      <c r="F1119" s="466" t="s">
        <v>1224</v>
      </c>
      <c r="G1119" s="465"/>
      <c r="H1119" s="465">
        <v>5</v>
      </c>
    </row>
    <row r="1120" spans="1:8" ht="13.8" thickBot="1">
      <c r="A1120" s="465" t="s">
        <v>6379</v>
      </c>
      <c r="B1120" s="465" t="s">
        <v>1708</v>
      </c>
      <c r="C1120" s="466">
        <v>4</v>
      </c>
      <c r="D1120" s="465"/>
      <c r="E1120" s="466" t="s">
        <v>4672</v>
      </c>
      <c r="F1120" s="466"/>
      <c r="G1120" s="465"/>
      <c r="H1120" s="465">
        <v>3</v>
      </c>
    </row>
    <row r="1121" spans="1:8" ht="13.8" thickBot="1">
      <c r="A1121" s="467" t="s">
        <v>6380</v>
      </c>
      <c r="B1121" s="465" t="s">
        <v>1708</v>
      </c>
      <c r="C1121" s="466">
        <v>4</v>
      </c>
      <c r="D1121" s="465"/>
      <c r="E1121" s="466" t="s">
        <v>4672</v>
      </c>
      <c r="F1121" s="466"/>
      <c r="G1121" s="465"/>
      <c r="H1121" s="465">
        <v>2</v>
      </c>
    </row>
    <row r="1122" spans="1:8" ht="13.8" thickBot="1">
      <c r="A1122" s="465" t="s">
        <v>6381</v>
      </c>
      <c r="B1122" s="465" t="s">
        <v>1708</v>
      </c>
      <c r="C1122" s="466">
        <v>4</v>
      </c>
      <c r="D1122" s="465"/>
      <c r="E1122" s="466" t="s">
        <v>4672</v>
      </c>
      <c r="F1122" s="466"/>
      <c r="G1122" s="465"/>
      <c r="H1122" s="465">
        <v>2</v>
      </c>
    </row>
    <row r="1123" spans="1:8" ht="13.8" thickBot="1">
      <c r="A1123" s="467" t="s">
        <v>6382</v>
      </c>
      <c r="B1123" s="465" t="s">
        <v>1708</v>
      </c>
      <c r="C1123" s="466">
        <v>4</v>
      </c>
      <c r="D1123" s="465"/>
      <c r="E1123" s="466" t="s">
        <v>4672</v>
      </c>
      <c r="F1123" s="466"/>
      <c r="G1123" s="465"/>
      <c r="H1123" s="465">
        <v>1</v>
      </c>
    </row>
    <row r="1124" spans="1:8" ht="13.8" thickBot="1">
      <c r="A1124" s="467" t="s">
        <v>6383</v>
      </c>
      <c r="B1124" s="465" t="s">
        <v>4693</v>
      </c>
      <c r="C1124" s="466">
        <v>4</v>
      </c>
      <c r="D1124" s="465"/>
      <c r="E1124" s="466" t="s">
        <v>4672</v>
      </c>
      <c r="F1124" s="466"/>
      <c r="G1124" s="465"/>
      <c r="H1124" s="465">
        <v>2</v>
      </c>
    </row>
    <row r="1125" spans="1:8" ht="13.8" thickBot="1">
      <c r="A1125" s="467" t="s">
        <v>6384</v>
      </c>
      <c r="B1125" s="465" t="s">
        <v>1713</v>
      </c>
      <c r="C1125" s="466">
        <v>4</v>
      </c>
      <c r="D1125" s="465"/>
      <c r="E1125" s="466" t="s">
        <v>4672</v>
      </c>
      <c r="F1125" s="466"/>
      <c r="G1125" s="465"/>
      <c r="H1125" s="465">
        <v>9</v>
      </c>
    </row>
    <row r="1126" spans="1:8" ht="13.8" thickBot="1">
      <c r="A1126" s="467" t="s">
        <v>6385</v>
      </c>
      <c r="B1126" s="465" t="s">
        <v>4694</v>
      </c>
      <c r="C1126" s="466">
        <v>4</v>
      </c>
      <c r="D1126" s="465"/>
      <c r="E1126" s="466" t="s">
        <v>4672</v>
      </c>
      <c r="F1126" s="466"/>
      <c r="G1126" s="465"/>
      <c r="H1126" s="465">
        <v>2</v>
      </c>
    </row>
    <row r="1127" spans="1:8" ht="13.8" thickBot="1">
      <c r="A1127" s="467" t="s">
        <v>6386</v>
      </c>
      <c r="B1127" s="465" t="s">
        <v>4677</v>
      </c>
      <c r="C1127" s="466">
        <v>4</v>
      </c>
      <c r="D1127" s="465"/>
      <c r="E1127" s="466" t="s">
        <v>4672</v>
      </c>
      <c r="F1127" s="466"/>
      <c r="G1127" s="465"/>
      <c r="H1127" s="465">
        <v>1</v>
      </c>
    </row>
    <row r="1128" spans="1:8" ht="13.8" thickBot="1">
      <c r="A1128" s="465" t="s">
        <v>6387</v>
      </c>
      <c r="B1128" s="465" t="s">
        <v>4695</v>
      </c>
      <c r="C1128" s="466">
        <v>4</v>
      </c>
      <c r="D1128" s="465"/>
      <c r="E1128" s="466" t="s">
        <v>4672</v>
      </c>
      <c r="F1128" s="466"/>
      <c r="G1128" s="465"/>
      <c r="H1128" s="465">
        <v>3</v>
      </c>
    </row>
    <row r="1129" spans="1:8" ht="13.8" thickBot="1">
      <c r="A1129" s="467" t="s">
        <v>6388</v>
      </c>
      <c r="B1129" s="465" t="s">
        <v>4728</v>
      </c>
      <c r="C1129" s="466">
        <v>4</v>
      </c>
      <c r="D1129" s="467" t="s">
        <v>614</v>
      </c>
      <c r="E1129" s="466" t="s">
        <v>4717</v>
      </c>
      <c r="F1129" s="466"/>
      <c r="G1129" s="465"/>
      <c r="H1129" s="465">
        <v>2</v>
      </c>
    </row>
    <row r="1130" spans="1:8" ht="13.8" thickBot="1">
      <c r="A1130" s="465" t="s">
        <v>6389</v>
      </c>
      <c r="B1130" s="465" t="s">
        <v>4751</v>
      </c>
      <c r="C1130" s="466">
        <v>4</v>
      </c>
      <c r="D1130" s="465"/>
      <c r="E1130" s="466" t="s">
        <v>4717</v>
      </c>
      <c r="F1130" s="466"/>
      <c r="G1130" s="465"/>
      <c r="H1130" s="465">
        <v>2</v>
      </c>
    </row>
    <row r="1131" spans="1:8" ht="13.8" thickBot="1">
      <c r="A1131" s="465" t="s">
        <v>6390</v>
      </c>
      <c r="B1131" s="465" t="s">
        <v>4776</v>
      </c>
      <c r="C1131" s="466">
        <v>4</v>
      </c>
      <c r="D1131" s="465"/>
      <c r="E1131" s="466" t="s">
        <v>4773</v>
      </c>
      <c r="F1131" s="466"/>
      <c r="G1131" s="465"/>
      <c r="H1131" s="465">
        <v>1</v>
      </c>
    </row>
    <row r="1132" spans="1:8" ht="13.8" thickBot="1">
      <c r="A1132" s="467" t="s">
        <v>6391</v>
      </c>
      <c r="B1132" s="465" t="s">
        <v>4787</v>
      </c>
      <c r="C1132" s="466">
        <v>4</v>
      </c>
      <c r="D1132" s="465"/>
      <c r="E1132" s="466" t="s">
        <v>4780</v>
      </c>
      <c r="F1132" s="466" t="s">
        <v>1224</v>
      </c>
      <c r="G1132" s="465"/>
      <c r="H1132" s="465">
        <v>4</v>
      </c>
    </row>
    <row r="1133" spans="1:8" ht="13.8" thickBot="1">
      <c r="A1133" s="467" t="s">
        <v>6392</v>
      </c>
      <c r="B1133" s="465" t="s">
        <v>4788</v>
      </c>
      <c r="C1133" s="466">
        <v>4</v>
      </c>
      <c r="D1133" s="465"/>
      <c r="E1133" s="466" t="s">
        <v>4780</v>
      </c>
      <c r="F1133" s="466"/>
      <c r="G1133" s="465"/>
      <c r="H1133" s="465"/>
    </row>
    <row r="1134" spans="1:8" ht="13.8" thickBot="1">
      <c r="A1134" s="465" t="s">
        <v>6462</v>
      </c>
      <c r="B1134" s="465" t="s">
        <v>2921</v>
      </c>
      <c r="C1134" s="466">
        <v>4.0999999999999996</v>
      </c>
      <c r="D1134" s="465"/>
      <c r="E1134" s="466" t="s">
        <v>2922</v>
      </c>
      <c r="F1134" s="466" t="s">
        <v>1880</v>
      </c>
      <c r="G1134" s="465"/>
      <c r="H1134" s="465">
        <v>5</v>
      </c>
    </row>
    <row r="1135" spans="1:8" ht="13.8" thickBot="1">
      <c r="A1135" s="467" t="s">
        <v>6463</v>
      </c>
      <c r="B1135" s="465" t="s">
        <v>1892</v>
      </c>
      <c r="C1135" s="466">
        <v>4.25</v>
      </c>
      <c r="D1135" s="465"/>
      <c r="E1135" s="466" t="s">
        <v>1793</v>
      </c>
      <c r="F1135" s="466" t="s">
        <v>1226</v>
      </c>
      <c r="G1135" s="465"/>
      <c r="H1135" s="465">
        <v>1</v>
      </c>
    </row>
    <row r="1136" spans="1:8" ht="13.8" thickBot="1">
      <c r="A1136" s="467" t="s">
        <v>6464</v>
      </c>
      <c r="B1136" s="465" t="s">
        <v>1893</v>
      </c>
      <c r="C1136" s="466">
        <v>4.25</v>
      </c>
      <c r="D1136" s="465"/>
      <c r="E1136" s="466" t="s">
        <v>1793</v>
      </c>
      <c r="F1136" s="466" t="s">
        <v>1226</v>
      </c>
      <c r="G1136" s="465"/>
      <c r="H1136" s="465">
        <v>4</v>
      </c>
    </row>
    <row r="1137" spans="1:8" ht="13.8" thickBot="1">
      <c r="A1137" s="467" t="s">
        <v>6470</v>
      </c>
      <c r="B1137" s="465" t="s">
        <v>4942</v>
      </c>
      <c r="C1137" s="466">
        <v>4.25</v>
      </c>
      <c r="D1137" s="465"/>
      <c r="E1137" s="466" t="s">
        <v>4943</v>
      </c>
      <c r="F1137" s="466" t="s">
        <v>1226</v>
      </c>
      <c r="G1137" s="465"/>
      <c r="H1137" s="465"/>
    </row>
    <row r="1138" spans="1:8" ht="13.8" thickBot="1">
      <c r="A1138" s="467" t="s">
        <v>6465</v>
      </c>
      <c r="B1138" s="465" t="s">
        <v>2268</v>
      </c>
      <c r="C1138" s="466">
        <v>4.25</v>
      </c>
      <c r="D1138" s="467" t="s">
        <v>614</v>
      </c>
      <c r="E1138" s="466" t="s">
        <v>2242</v>
      </c>
      <c r="F1138" s="466" t="s">
        <v>1226</v>
      </c>
      <c r="G1138" s="465">
        <v>1</v>
      </c>
      <c r="H1138" s="465">
        <v>8</v>
      </c>
    </row>
    <row r="1139" spans="1:8" ht="13.8" thickBot="1">
      <c r="A1139" s="465" t="s">
        <v>6466</v>
      </c>
      <c r="B1139" s="465" t="s">
        <v>1300</v>
      </c>
      <c r="C1139" s="466">
        <v>4.25</v>
      </c>
      <c r="D1139" s="467" t="s">
        <v>614</v>
      </c>
      <c r="E1139" s="466" t="s">
        <v>2523</v>
      </c>
      <c r="F1139" s="466" t="s">
        <v>1220</v>
      </c>
      <c r="G1139" s="465"/>
      <c r="H1139" s="465">
        <v>1</v>
      </c>
    </row>
    <row r="1140" spans="1:8" ht="13.8" thickBot="1">
      <c r="A1140" s="467" t="s">
        <v>6467</v>
      </c>
      <c r="B1140" s="465" t="s">
        <v>1552</v>
      </c>
      <c r="C1140" s="466">
        <v>4.25</v>
      </c>
      <c r="D1140" s="465"/>
      <c r="E1140" s="466" t="s">
        <v>2957</v>
      </c>
      <c r="F1140" s="466" t="s">
        <v>1226</v>
      </c>
      <c r="G1140" s="465"/>
      <c r="H1140" s="465">
        <v>1</v>
      </c>
    </row>
    <row r="1141" spans="1:8" ht="13.8" thickBot="1">
      <c r="A1141" s="467" t="s">
        <v>6468</v>
      </c>
      <c r="B1141" s="465" t="s">
        <v>1390</v>
      </c>
      <c r="C1141" s="466">
        <v>4.25</v>
      </c>
      <c r="D1141" s="465"/>
      <c r="E1141" s="466" t="s">
        <v>3161</v>
      </c>
      <c r="F1141" s="466"/>
      <c r="G1141" s="465"/>
      <c r="H1141" s="465">
        <v>1</v>
      </c>
    </row>
    <row r="1142" spans="1:8" ht="13.8" thickBot="1">
      <c r="A1142" s="467" t="s">
        <v>6469</v>
      </c>
      <c r="B1142" s="465" t="s">
        <v>1620</v>
      </c>
      <c r="C1142" s="466">
        <v>4.25</v>
      </c>
      <c r="D1142" s="465"/>
      <c r="E1142" s="466" t="s">
        <v>4214</v>
      </c>
      <c r="F1142" s="466" t="s">
        <v>1226</v>
      </c>
      <c r="G1142" s="465"/>
      <c r="H1142" s="465">
        <v>1</v>
      </c>
    </row>
    <row r="1143" spans="1:8" ht="13.8" thickBot="1">
      <c r="A1143" s="467" t="s">
        <v>6471</v>
      </c>
      <c r="B1143" s="465" t="s">
        <v>1792</v>
      </c>
      <c r="C1143" s="466">
        <v>4.5</v>
      </c>
      <c r="D1143" s="467" t="s">
        <v>614</v>
      </c>
      <c r="E1143" s="466" t="s">
        <v>1793</v>
      </c>
      <c r="F1143" s="466" t="s">
        <v>1880</v>
      </c>
      <c r="G1143" s="465"/>
      <c r="H1143" s="465">
        <v>15</v>
      </c>
    </row>
    <row r="1144" spans="1:8" ht="13.8" thickBot="1">
      <c r="A1144" s="467" t="s">
        <v>6472</v>
      </c>
      <c r="B1144" s="465" t="s">
        <v>1792</v>
      </c>
      <c r="C1144" s="466">
        <v>4.5</v>
      </c>
      <c r="D1144" s="467" t="s">
        <v>614</v>
      </c>
      <c r="E1144" s="466" t="s">
        <v>1793</v>
      </c>
      <c r="F1144" s="466" t="s">
        <v>1865</v>
      </c>
      <c r="G1144" s="465"/>
      <c r="H1144" s="465">
        <v>2</v>
      </c>
    </row>
    <row r="1145" spans="1:8" ht="13.8" thickBot="1">
      <c r="A1145" s="467" t="s">
        <v>6473</v>
      </c>
      <c r="B1145" s="465" t="s">
        <v>1881</v>
      </c>
      <c r="C1145" s="466">
        <v>4.5</v>
      </c>
      <c r="D1145" s="467" t="s">
        <v>614</v>
      </c>
      <c r="E1145" s="466" t="s">
        <v>1793</v>
      </c>
      <c r="F1145" s="466" t="s">
        <v>1865</v>
      </c>
      <c r="G1145" s="465"/>
      <c r="H1145" s="465">
        <v>3</v>
      </c>
    </row>
    <row r="1146" spans="1:8" ht="13.8" thickBot="1">
      <c r="A1146" s="467" t="s">
        <v>6474</v>
      </c>
      <c r="B1146" s="465" t="s">
        <v>1792</v>
      </c>
      <c r="C1146" s="466">
        <v>4.5</v>
      </c>
      <c r="D1146" s="465"/>
      <c r="E1146" s="466" t="s">
        <v>1793</v>
      </c>
      <c r="F1146" s="466" t="s">
        <v>1226</v>
      </c>
      <c r="G1146" s="465"/>
      <c r="H1146" s="465">
        <v>1</v>
      </c>
    </row>
    <row r="1147" spans="1:8" ht="13.8" thickBot="1">
      <c r="A1147" s="467" t="s">
        <v>6475</v>
      </c>
      <c r="B1147" s="465" t="s">
        <v>1882</v>
      </c>
      <c r="C1147" s="466">
        <v>4.5</v>
      </c>
      <c r="D1147" s="465"/>
      <c r="E1147" s="466" t="s">
        <v>1793</v>
      </c>
      <c r="F1147" s="466" t="s">
        <v>1226</v>
      </c>
      <c r="G1147" s="465"/>
      <c r="H1147" s="465">
        <v>1</v>
      </c>
    </row>
    <row r="1148" spans="1:8" ht="13.8" thickBot="1">
      <c r="A1148" s="467" t="s">
        <v>6476</v>
      </c>
      <c r="B1148" s="465" t="s">
        <v>1883</v>
      </c>
      <c r="C1148" s="466">
        <v>4.5</v>
      </c>
      <c r="D1148" s="467" t="s">
        <v>614</v>
      </c>
      <c r="E1148" s="466" t="s">
        <v>1793</v>
      </c>
      <c r="F1148" s="466" t="s">
        <v>1226</v>
      </c>
      <c r="G1148" s="465">
        <v>1</v>
      </c>
      <c r="H1148" s="465">
        <v>6</v>
      </c>
    </row>
    <row r="1149" spans="1:8" ht="13.8" thickBot="1">
      <c r="A1149" s="465" t="s">
        <v>6477</v>
      </c>
      <c r="B1149" s="465" t="s">
        <v>1853</v>
      </c>
      <c r="C1149" s="466">
        <v>4.5</v>
      </c>
      <c r="D1149" s="465"/>
      <c r="E1149" s="466" t="s">
        <v>1793</v>
      </c>
      <c r="F1149" s="466" t="s">
        <v>1226</v>
      </c>
      <c r="G1149" s="465"/>
      <c r="H1149" s="465">
        <v>1</v>
      </c>
    </row>
    <row r="1150" spans="1:8" ht="13.8" thickBot="1">
      <c r="A1150" s="467" t="s">
        <v>6478</v>
      </c>
      <c r="B1150" s="465" t="s">
        <v>1884</v>
      </c>
      <c r="C1150" s="466">
        <v>4.5</v>
      </c>
      <c r="D1150" s="465"/>
      <c r="E1150" s="466" t="s">
        <v>1793</v>
      </c>
      <c r="F1150" s="466" t="s">
        <v>1863</v>
      </c>
      <c r="G1150" s="465"/>
      <c r="H1150" s="465">
        <v>4</v>
      </c>
    </row>
    <row r="1151" spans="1:8" ht="13.8" thickBot="1">
      <c r="A1151" s="467" t="s">
        <v>6479</v>
      </c>
      <c r="B1151" s="465" t="s">
        <v>1885</v>
      </c>
      <c r="C1151" s="466">
        <v>4.5</v>
      </c>
      <c r="D1151" s="465"/>
      <c r="E1151" s="466" t="s">
        <v>1793</v>
      </c>
      <c r="F1151" s="466" t="s">
        <v>1224</v>
      </c>
      <c r="G1151" s="465"/>
      <c r="H1151" s="465">
        <v>7</v>
      </c>
    </row>
    <row r="1152" spans="1:8" ht="13.8" thickBot="1">
      <c r="A1152" s="465" t="s">
        <v>6480</v>
      </c>
      <c r="B1152" s="465" t="s">
        <v>1886</v>
      </c>
      <c r="C1152" s="466">
        <v>4.5</v>
      </c>
      <c r="D1152" s="465"/>
      <c r="E1152" s="466" t="s">
        <v>1793</v>
      </c>
      <c r="F1152" s="466" t="s">
        <v>1224</v>
      </c>
      <c r="G1152" s="465"/>
      <c r="H1152" s="465">
        <v>4</v>
      </c>
    </row>
    <row r="1153" spans="1:8" ht="13.8" thickBot="1">
      <c r="A1153" s="467" t="s">
        <v>6481</v>
      </c>
      <c r="B1153" s="465" t="s">
        <v>1792</v>
      </c>
      <c r="C1153" s="466">
        <v>4.5</v>
      </c>
      <c r="D1153" s="465"/>
      <c r="E1153" s="466" t="s">
        <v>1793</v>
      </c>
      <c r="F1153" s="466" t="s">
        <v>1220</v>
      </c>
      <c r="G1153" s="465"/>
      <c r="H1153" s="465">
        <v>5</v>
      </c>
    </row>
    <row r="1154" spans="1:8" ht="13.8" thickBot="1">
      <c r="A1154" s="467" t="s">
        <v>6482</v>
      </c>
      <c r="B1154" s="465" t="s">
        <v>1887</v>
      </c>
      <c r="C1154" s="466">
        <v>4.5</v>
      </c>
      <c r="D1154" s="465"/>
      <c r="E1154" s="466" t="s">
        <v>1793</v>
      </c>
      <c r="F1154" s="466" t="s">
        <v>1220</v>
      </c>
      <c r="G1154" s="465"/>
      <c r="H1154" s="465">
        <v>4</v>
      </c>
    </row>
    <row r="1155" spans="1:8" ht="13.8" thickBot="1">
      <c r="A1155" s="467" t="s">
        <v>6483</v>
      </c>
      <c r="B1155" s="465" t="s">
        <v>1888</v>
      </c>
      <c r="C1155" s="466">
        <v>4.5</v>
      </c>
      <c r="D1155" s="465"/>
      <c r="E1155" s="466" t="s">
        <v>1793</v>
      </c>
      <c r="F1155" s="466" t="s">
        <v>1220</v>
      </c>
      <c r="G1155" s="465"/>
      <c r="H1155" s="465">
        <v>9</v>
      </c>
    </row>
    <row r="1156" spans="1:8" ht="13.8" thickBot="1">
      <c r="A1156" s="467" t="s">
        <v>6484</v>
      </c>
      <c r="B1156" s="465" t="s">
        <v>1792</v>
      </c>
      <c r="C1156" s="466">
        <v>4.5</v>
      </c>
      <c r="D1156" s="465"/>
      <c r="E1156" s="466" t="s">
        <v>1793</v>
      </c>
      <c r="F1156" s="466"/>
      <c r="G1156" s="465"/>
      <c r="H1156" s="465">
        <v>1</v>
      </c>
    </row>
    <row r="1157" spans="1:8" ht="13.8" thickBot="1">
      <c r="A1157" s="467" t="s">
        <v>6485</v>
      </c>
      <c r="B1157" s="465" t="s">
        <v>1792</v>
      </c>
      <c r="C1157" s="466">
        <v>4.5</v>
      </c>
      <c r="D1157" s="465"/>
      <c r="E1157" s="466" t="s">
        <v>1793</v>
      </c>
      <c r="F1157" s="466"/>
      <c r="G1157" s="465"/>
      <c r="H1157" s="465">
        <v>12</v>
      </c>
    </row>
    <row r="1158" spans="1:8" ht="13.8" thickBot="1">
      <c r="A1158" s="465" t="s">
        <v>6486</v>
      </c>
      <c r="B1158" s="465" t="s">
        <v>1792</v>
      </c>
      <c r="C1158" s="466">
        <v>4.5</v>
      </c>
      <c r="D1158" s="465"/>
      <c r="E1158" s="466" t="s">
        <v>1793</v>
      </c>
      <c r="F1158" s="466"/>
      <c r="G1158" s="465"/>
      <c r="H1158" s="465">
        <v>9</v>
      </c>
    </row>
    <row r="1159" spans="1:8" ht="13.8" thickBot="1">
      <c r="A1159" s="465" t="s">
        <v>6487</v>
      </c>
      <c r="B1159" s="465" t="s">
        <v>1797</v>
      </c>
      <c r="C1159" s="466">
        <v>4.5</v>
      </c>
      <c r="D1159" s="465"/>
      <c r="E1159" s="466" t="s">
        <v>1793</v>
      </c>
      <c r="F1159" s="466"/>
      <c r="G1159" s="465">
        <v>1</v>
      </c>
      <c r="H1159" s="465">
        <v>4</v>
      </c>
    </row>
    <row r="1160" spans="1:8" ht="13.8" thickBot="1">
      <c r="A1160" s="465" t="s">
        <v>6488</v>
      </c>
      <c r="B1160" s="465" t="s">
        <v>1797</v>
      </c>
      <c r="C1160" s="466">
        <v>4.5</v>
      </c>
      <c r="D1160" s="465"/>
      <c r="E1160" s="466" t="s">
        <v>1793</v>
      </c>
      <c r="F1160" s="466"/>
      <c r="G1160" s="465"/>
      <c r="H1160" s="465">
        <v>7</v>
      </c>
    </row>
    <row r="1161" spans="1:8" ht="13.8" thickBot="1">
      <c r="A1161" s="465" t="s">
        <v>6489</v>
      </c>
      <c r="B1161" s="465" t="s">
        <v>1889</v>
      </c>
      <c r="C1161" s="466">
        <v>4.5</v>
      </c>
      <c r="D1161" s="467" t="s">
        <v>614</v>
      </c>
      <c r="E1161" s="466" t="s">
        <v>1793</v>
      </c>
      <c r="F1161" s="466"/>
      <c r="G1161" s="465"/>
      <c r="H1161" s="465">
        <v>2</v>
      </c>
    </row>
    <row r="1162" spans="1:8" ht="13.8" thickBot="1">
      <c r="A1162" s="465" t="s">
        <v>6490</v>
      </c>
      <c r="B1162" s="465" t="s">
        <v>1874</v>
      </c>
      <c r="C1162" s="466">
        <v>4.5</v>
      </c>
      <c r="D1162" s="467" t="s">
        <v>614</v>
      </c>
      <c r="E1162" s="466" t="s">
        <v>1793</v>
      </c>
      <c r="F1162" s="466"/>
      <c r="G1162" s="465"/>
      <c r="H1162" s="465">
        <v>1</v>
      </c>
    </row>
    <row r="1163" spans="1:8" ht="13.8" thickBot="1">
      <c r="A1163" s="465" t="s">
        <v>6491</v>
      </c>
      <c r="B1163" s="465" t="s">
        <v>1890</v>
      </c>
      <c r="C1163" s="466">
        <v>4.5</v>
      </c>
      <c r="D1163" s="465"/>
      <c r="E1163" s="466" t="s">
        <v>1793</v>
      </c>
      <c r="F1163" s="466"/>
      <c r="G1163" s="465">
        <v>1</v>
      </c>
      <c r="H1163" s="465">
        <v>4</v>
      </c>
    </row>
    <row r="1164" spans="1:8" ht="13.8" thickBot="1">
      <c r="A1164" s="465" t="s">
        <v>6492</v>
      </c>
      <c r="B1164" s="465" t="s">
        <v>1890</v>
      </c>
      <c r="C1164" s="466">
        <v>4.5</v>
      </c>
      <c r="D1164" s="465"/>
      <c r="E1164" s="466" t="s">
        <v>1793</v>
      </c>
      <c r="F1164" s="466"/>
      <c r="G1164" s="465"/>
      <c r="H1164" s="465">
        <v>3</v>
      </c>
    </row>
    <row r="1165" spans="1:8" ht="13.8" thickBot="1">
      <c r="A1165" s="467" t="s">
        <v>6493</v>
      </c>
      <c r="B1165" s="465" t="s">
        <v>1891</v>
      </c>
      <c r="C1165" s="466">
        <v>4.5</v>
      </c>
      <c r="D1165" s="465"/>
      <c r="E1165" s="466" t="s">
        <v>1793</v>
      </c>
      <c r="F1165" s="466"/>
      <c r="G1165" s="465"/>
      <c r="H1165" s="465">
        <v>6</v>
      </c>
    </row>
    <row r="1166" spans="1:8" ht="13.8" thickBot="1">
      <c r="A1166" s="465" t="s">
        <v>6777</v>
      </c>
      <c r="B1166" s="465" t="s">
        <v>1759</v>
      </c>
      <c r="C1166" s="466">
        <v>4.5</v>
      </c>
      <c r="D1166" s="465"/>
      <c r="E1166" s="466" t="s">
        <v>4789</v>
      </c>
      <c r="F1166" s="466" t="s">
        <v>1226</v>
      </c>
      <c r="G1166" s="465"/>
      <c r="H1166" s="465"/>
    </row>
    <row r="1167" spans="1:8" ht="13.8" thickBot="1">
      <c r="A1167" s="467" t="s">
        <v>6778</v>
      </c>
      <c r="B1167" s="465" t="s">
        <v>1759</v>
      </c>
      <c r="C1167" s="466">
        <v>4.5</v>
      </c>
      <c r="D1167" s="465"/>
      <c r="E1167" s="466" t="s">
        <v>4789</v>
      </c>
      <c r="F1167" s="466" t="s">
        <v>1226</v>
      </c>
      <c r="G1167" s="465"/>
      <c r="H1167" s="465">
        <v>10</v>
      </c>
    </row>
    <row r="1168" spans="1:8" ht="13.8" thickBot="1">
      <c r="A1168" s="465" t="s">
        <v>6779</v>
      </c>
      <c r="B1168" s="465" t="s">
        <v>1760</v>
      </c>
      <c r="C1168" s="466">
        <v>4.5</v>
      </c>
      <c r="D1168" s="465"/>
      <c r="E1168" s="466" t="s">
        <v>4789</v>
      </c>
      <c r="F1168" s="466" t="s">
        <v>1226</v>
      </c>
      <c r="G1168" s="465">
        <v>1</v>
      </c>
      <c r="H1168" s="465">
        <v>16</v>
      </c>
    </row>
    <row r="1169" spans="1:8" ht="13.8" thickBot="1">
      <c r="A1169" s="467" t="s">
        <v>6780</v>
      </c>
      <c r="B1169" s="465" t="s">
        <v>1759</v>
      </c>
      <c r="C1169" s="466">
        <v>4.5</v>
      </c>
      <c r="D1169" s="465"/>
      <c r="E1169" s="466" t="s">
        <v>4789</v>
      </c>
      <c r="F1169" s="466" t="s">
        <v>1224</v>
      </c>
      <c r="G1169" s="465"/>
      <c r="H1169" s="465">
        <v>12</v>
      </c>
    </row>
    <row r="1170" spans="1:8" ht="13.8" thickBot="1">
      <c r="A1170" s="465" t="s">
        <v>6781</v>
      </c>
      <c r="B1170" s="465" t="s">
        <v>1756</v>
      </c>
      <c r="C1170" s="466">
        <v>4.5</v>
      </c>
      <c r="D1170" s="467" t="s">
        <v>4842</v>
      </c>
      <c r="E1170" s="466" t="s">
        <v>4822</v>
      </c>
      <c r="F1170" s="466" t="s">
        <v>1226</v>
      </c>
      <c r="G1170" s="465"/>
      <c r="H1170" s="465">
        <v>6</v>
      </c>
    </row>
    <row r="1171" spans="1:8" ht="13.8" thickBot="1">
      <c r="A1171" s="465" t="s">
        <v>6782</v>
      </c>
      <c r="B1171" s="465" t="s">
        <v>4843</v>
      </c>
      <c r="C1171" s="466">
        <v>4.5</v>
      </c>
      <c r="D1171" s="465" t="s">
        <v>4844</v>
      </c>
      <c r="E1171" s="466" t="s">
        <v>4822</v>
      </c>
      <c r="F1171" s="466"/>
      <c r="G1171" s="465"/>
      <c r="H1171" s="465">
        <v>2</v>
      </c>
    </row>
    <row r="1172" spans="1:8" ht="13.8" thickBot="1">
      <c r="A1172" s="465" t="s">
        <v>6783</v>
      </c>
      <c r="B1172" s="465" t="s">
        <v>4845</v>
      </c>
      <c r="C1172" s="466">
        <v>4.5</v>
      </c>
      <c r="D1172" s="465"/>
      <c r="E1172" s="466" t="s">
        <v>4822</v>
      </c>
      <c r="F1172" s="466"/>
      <c r="G1172" s="465">
        <v>1</v>
      </c>
      <c r="H1172" s="465">
        <v>3</v>
      </c>
    </row>
    <row r="1173" spans="1:8" ht="13.8" thickBot="1">
      <c r="A1173" s="467" t="s">
        <v>6784</v>
      </c>
      <c r="B1173" s="465" t="s">
        <v>4939</v>
      </c>
      <c r="C1173" s="466">
        <v>4.5</v>
      </c>
      <c r="D1173" s="465"/>
      <c r="E1173" s="466" t="s">
        <v>4918</v>
      </c>
      <c r="F1173" s="466" t="s">
        <v>1251</v>
      </c>
      <c r="G1173" s="465"/>
      <c r="H1173" s="465"/>
    </row>
    <row r="1174" spans="1:8" ht="13.8" thickBot="1">
      <c r="A1174" s="465" t="s">
        <v>6785</v>
      </c>
      <c r="B1174" s="465" t="s">
        <v>1593</v>
      </c>
      <c r="C1174" s="466">
        <v>4.5</v>
      </c>
      <c r="D1174" s="465"/>
      <c r="E1174" s="466" t="s">
        <v>4970</v>
      </c>
      <c r="F1174" s="466" t="s">
        <v>1224</v>
      </c>
      <c r="G1174" s="465"/>
      <c r="H1174" s="465">
        <v>3</v>
      </c>
    </row>
    <row r="1175" spans="1:8" ht="13.8" thickBot="1">
      <c r="A1175" s="467" t="s">
        <v>6786</v>
      </c>
      <c r="B1175" s="465" t="s">
        <v>4992</v>
      </c>
      <c r="C1175" s="466">
        <v>4.5</v>
      </c>
      <c r="D1175" s="467" t="s">
        <v>614</v>
      </c>
      <c r="E1175" s="466" t="s">
        <v>4970</v>
      </c>
      <c r="F1175" s="466" t="s">
        <v>1224</v>
      </c>
      <c r="G1175" s="465">
        <v>1</v>
      </c>
      <c r="H1175" s="465">
        <v>4</v>
      </c>
    </row>
    <row r="1176" spans="1:8" ht="13.8" thickBot="1">
      <c r="A1176" s="465" t="s">
        <v>6787</v>
      </c>
      <c r="B1176" s="465" t="s">
        <v>1598</v>
      </c>
      <c r="C1176" s="466">
        <v>4.5</v>
      </c>
      <c r="D1176" s="465"/>
      <c r="E1176" s="466" t="s">
        <v>4970</v>
      </c>
      <c r="F1176" s="466" t="s">
        <v>1224</v>
      </c>
      <c r="G1176" s="465"/>
      <c r="H1176" s="465">
        <v>5</v>
      </c>
    </row>
    <row r="1177" spans="1:8" ht="13.8" thickBot="1">
      <c r="A1177" s="467" t="s">
        <v>6788</v>
      </c>
      <c r="B1177" s="465" t="s">
        <v>1593</v>
      </c>
      <c r="C1177" s="466">
        <v>4.5</v>
      </c>
      <c r="D1177" s="465"/>
      <c r="E1177" s="466" t="s">
        <v>4970</v>
      </c>
      <c r="F1177" s="466"/>
      <c r="G1177" s="465">
        <v>1</v>
      </c>
      <c r="H1177" s="465">
        <v>4</v>
      </c>
    </row>
    <row r="1178" spans="1:8" ht="13.8" thickBot="1">
      <c r="A1178" s="467" t="s">
        <v>6789</v>
      </c>
      <c r="B1178" s="465" t="s">
        <v>1593</v>
      </c>
      <c r="C1178" s="466">
        <v>4.5</v>
      </c>
      <c r="D1178" s="465"/>
      <c r="E1178" s="466" t="s">
        <v>4970</v>
      </c>
      <c r="F1178" s="466"/>
      <c r="G1178" s="465"/>
      <c r="H1178" s="465">
        <v>2</v>
      </c>
    </row>
    <row r="1179" spans="1:8" ht="13.8" thickBot="1">
      <c r="A1179" s="465" t="s">
        <v>6790</v>
      </c>
      <c r="B1179" s="465" t="s">
        <v>4978</v>
      </c>
      <c r="C1179" s="466">
        <v>4.5</v>
      </c>
      <c r="D1179" s="465"/>
      <c r="E1179" s="466" t="s">
        <v>4970</v>
      </c>
      <c r="F1179" s="466"/>
      <c r="G1179" s="465"/>
      <c r="H1179" s="465">
        <v>6</v>
      </c>
    </row>
    <row r="1180" spans="1:8" ht="13.8" thickBot="1">
      <c r="A1180" s="467" t="s">
        <v>6791</v>
      </c>
      <c r="B1180" s="465" t="s">
        <v>4993</v>
      </c>
      <c r="C1180" s="466">
        <v>4.5</v>
      </c>
      <c r="D1180" s="465"/>
      <c r="E1180" s="466" t="s">
        <v>4970</v>
      </c>
      <c r="F1180" s="466"/>
      <c r="G1180" s="465">
        <v>1</v>
      </c>
      <c r="H1180" s="465">
        <v>3</v>
      </c>
    </row>
    <row r="1181" spans="1:8" ht="13.8" thickBot="1">
      <c r="A1181" s="467" t="s">
        <v>6792</v>
      </c>
      <c r="B1181" s="465" t="s">
        <v>1602</v>
      </c>
      <c r="C1181" s="466">
        <v>4.5</v>
      </c>
      <c r="D1181" s="465"/>
      <c r="E1181" s="466" t="s">
        <v>4970</v>
      </c>
      <c r="F1181" s="466"/>
      <c r="G1181" s="465"/>
      <c r="H1181" s="465">
        <v>1</v>
      </c>
    </row>
    <row r="1182" spans="1:8" ht="13.8" thickBot="1">
      <c r="A1182" s="465" t="s">
        <v>6793</v>
      </c>
      <c r="B1182" s="465" t="s">
        <v>1602</v>
      </c>
      <c r="C1182" s="466">
        <v>4.5</v>
      </c>
      <c r="D1182" s="465"/>
      <c r="E1182" s="466" t="s">
        <v>4970</v>
      </c>
      <c r="F1182" s="466"/>
      <c r="G1182" s="465"/>
      <c r="H1182" s="465">
        <v>7</v>
      </c>
    </row>
    <row r="1183" spans="1:8" ht="13.8" thickBot="1">
      <c r="A1183" s="465" t="s">
        <v>6794</v>
      </c>
      <c r="B1183" s="465" t="s">
        <v>4994</v>
      </c>
      <c r="C1183" s="466">
        <v>4.5</v>
      </c>
      <c r="D1183" s="465"/>
      <c r="E1183" s="466" t="s">
        <v>4970</v>
      </c>
      <c r="F1183" s="466"/>
      <c r="G1183" s="465"/>
      <c r="H1183" s="465">
        <v>2</v>
      </c>
    </row>
    <row r="1184" spans="1:8" ht="13.8" thickBot="1">
      <c r="A1184" s="465" t="s">
        <v>6795</v>
      </c>
      <c r="B1184" s="465" t="s">
        <v>4995</v>
      </c>
      <c r="C1184" s="466">
        <v>4.5</v>
      </c>
      <c r="D1184" s="465"/>
      <c r="E1184" s="466" t="s">
        <v>4970</v>
      </c>
      <c r="F1184" s="466"/>
      <c r="G1184" s="465"/>
      <c r="H1184" s="465">
        <v>1</v>
      </c>
    </row>
    <row r="1185" spans="1:8" ht="13.8" thickBot="1">
      <c r="A1185" s="465" t="s">
        <v>6796</v>
      </c>
      <c r="B1185" s="465" t="s">
        <v>4996</v>
      </c>
      <c r="C1185" s="466">
        <v>4.5</v>
      </c>
      <c r="D1185" s="465"/>
      <c r="E1185" s="466" t="s">
        <v>4970</v>
      </c>
      <c r="F1185" s="466"/>
      <c r="G1185" s="465"/>
      <c r="H1185" s="465">
        <v>3</v>
      </c>
    </row>
    <row r="1186" spans="1:8" ht="13.8" thickBot="1">
      <c r="A1186" s="465" t="s">
        <v>6797</v>
      </c>
      <c r="B1186" s="465" t="s">
        <v>1599</v>
      </c>
      <c r="C1186" s="466">
        <v>4.5</v>
      </c>
      <c r="D1186" s="465"/>
      <c r="E1186" s="466" t="s">
        <v>4970</v>
      </c>
      <c r="F1186" s="466"/>
      <c r="G1186" s="465">
        <v>1</v>
      </c>
      <c r="H1186" s="465">
        <v>6</v>
      </c>
    </row>
    <row r="1187" spans="1:8" ht="13.8" thickBot="1">
      <c r="A1187" s="465" t="s">
        <v>6532</v>
      </c>
      <c r="B1187" s="465" t="s">
        <v>2267</v>
      </c>
      <c r="C1187" s="466">
        <v>4.5</v>
      </c>
      <c r="D1187" s="465"/>
      <c r="E1187" s="466" t="s">
        <v>2242</v>
      </c>
      <c r="F1187" s="466" t="s">
        <v>1226</v>
      </c>
      <c r="G1187" s="465"/>
      <c r="H1187" s="465">
        <v>10</v>
      </c>
    </row>
    <row r="1188" spans="1:8" ht="13.8" thickBot="1">
      <c r="A1188" s="467" t="s">
        <v>6798</v>
      </c>
      <c r="B1188" s="465" t="s">
        <v>1767</v>
      </c>
      <c r="C1188" s="466">
        <v>4.5</v>
      </c>
      <c r="D1188" s="465"/>
      <c r="E1188" s="466" t="s">
        <v>5010</v>
      </c>
      <c r="F1188" s="466" t="s">
        <v>1226</v>
      </c>
      <c r="G1188" s="465"/>
      <c r="H1188" s="465">
        <v>1</v>
      </c>
    </row>
    <row r="1189" spans="1:8" ht="13.8" thickBot="1">
      <c r="A1189" s="465" t="s">
        <v>6799</v>
      </c>
      <c r="B1189" s="465" t="s">
        <v>1767</v>
      </c>
      <c r="C1189" s="466">
        <v>4.5</v>
      </c>
      <c r="D1189" s="467" t="s">
        <v>614</v>
      </c>
      <c r="E1189" s="466" t="s">
        <v>5010</v>
      </c>
      <c r="F1189" s="466"/>
      <c r="G1189" s="465"/>
      <c r="H1189" s="465">
        <v>1</v>
      </c>
    </row>
    <row r="1190" spans="1:8" ht="13.8" thickBot="1">
      <c r="A1190" s="465" t="s">
        <v>6800</v>
      </c>
      <c r="B1190" s="465" t="s">
        <v>1765</v>
      </c>
      <c r="C1190" s="466">
        <v>4.5</v>
      </c>
      <c r="D1190" s="465"/>
      <c r="E1190" s="466" t="s">
        <v>5010</v>
      </c>
      <c r="F1190" s="466"/>
      <c r="G1190" s="465"/>
      <c r="H1190" s="465">
        <v>5</v>
      </c>
    </row>
    <row r="1191" spans="1:8" ht="13.8" thickBot="1">
      <c r="A1191" s="465" t="s">
        <v>6801</v>
      </c>
      <c r="B1191" s="465" t="s">
        <v>1336</v>
      </c>
      <c r="C1191" s="466">
        <v>4.5</v>
      </c>
      <c r="D1191" s="467" t="s">
        <v>614</v>
      </c>
      <c r="E1191" s="466" t="s">
        <v>5031</v>
      </c>
      <c r="F1191" s="466" t="s">
        <v>1224</v>
      </c>
      <c r="G1191" s="465"/>
      <c r="H1191" s="465">
        <v>5</v>
      </c>
    </row>
    <row r="1192" spans="1:8" ht="13.8" thickBot="1">
      <c r="A1192" s="467" t="s">
        <v>6802</v>
      </c>
      <c r="B1192" s="465" t="s">
        <v>1336</v>
      </c>
      <c r="C1192" s="466">
        <v>4.5</v>
      </c>
      <c r="D1192" s="465"/>
      <c r="E1192" s="466" t="s">
        <v>5031</v>
      </c>
      <c r="F1192" s="466" t="s">
        <v>1224</v>
      </c>
      <c r="G1192" s="465"/>
      <c r="H1192" s="465">
        <v>9</v>
      </c>
    </row>
    <row r="1193" spans="1:8" ht="13.8" thickBot="1">
      <c r="A1193" s="467" t="s">
        <v>6803</v>
      </c>
      <c r="B1193" s="465" t="s">
        <v>1336</v>
      </c>
      <c r="C1193" s="466">
        <v>4.5</v>
      </c>
      <c r="D1193" s="465"/>
      <c r="E1193" s="466" t="s">
        <v>5031</v>
      </c>
      <c r="F1193" s="466"/>
      <c r="G1193" s="465"/>
      <c r="H1193" s="465">
        <v>7</v>
      </c>
    </row>
    <row r="1194" spans="1:8" ht="13.8" thickBot="1">
      <c r="A1194" s="465" t="s">
        <v>6804</v>
      </c>
      <c r="B1194" s="465" t="s">
        <v>1339</v>
      </c>
      <c r="C1194" s="466">
        <v>4.5</v>
      </c>
      <c r="D1194" s="465"/>
      <c r="E1194" s="466" t="s">
        <v>5031</v>
      </c>
      <c r="F1194" s="466"/>
      <c r="G1194" s="465"/>
      <c r="H1194" s="465">
        <v>7</v>
      </c>
    </row>
    <row r="1195" spans="1:8" ht="13.8" thickBot="1">
      <c r="A1195" s="467" t="s">
        <v>6805</v>
      </c>
      <c r="B1195" s="465" t="s">
        <v>5062</v>
      </c>
      <c r="C1195" s="466">
        <v>4.5</v>
      </c>
      <c r="D1195" s="467" t="s">
        <v>614</v>
      </c>
      <c r="E1195" s="466" t="s">
        <v>5059</v>
      </c>
      <c r="F1195" s="466" t="s">
        <v>1226</v>
      </c>
      <c r="G1195" s="465"/>
      <c r="H1195" s="465">
        <v>2</v>
      </c>
    </row>
    <row r="1196" spans="1:8" ht="13.8" thickBot="1">
      <c r="A1196" s="465" t="s">
        <v>6806</v>
      </c>
      <c r="B1196" s="465" t="s">
        <v>1345</v>
      </c>
      <c r="C1196" s="466">
        <v>4.5</v>
      </c>
      <c r="D1196" s="465" t="s">
        <v>5074</v>
      </c>
      <c r="E1196" s="466" t="s">
        <v>5059</v>
      </c>
      <c r="F1196" s="466" t="s">
        <v>1220</v>
      </c>
      <c r="G1196" s="465"/>
      <c r="H1196" s="465">
        <v>4</v>
      </c>
    </row>
    <row r="1197" spans="1:8" ht="13.8" thickBot="1">
      <c r="A1197" s="465" t="s">
        <v>6807</v>
      </c>
      <c r="B1197" s="465" t="s">
        <v>5075</v>
      </c>
      <c r="C1197" s="466">
        <v>4.5</v>
      </c>
      <c r="D1197" s="465"/>
      <c r="E1197" s="466" t="s">
        <v>5059</v>
      </c>
      <c r="F1197" s="466"/>
      <c r="G1197" s="465"/>
      <c r="H1197" s="465">
        <v>2</v>
      </c>
    </row>
    <row r="1198" spans="1:8" ht="13.8" thickBot="1">
      <c r="A1198" s="465" t="s">
        <v>6808</v>
      </c>
      <c r="B1198" s="465" t="s">
        <v>5098</v>
      </c>
      <c r="C1198" s="466">
        <v>4.5</v>
      </c>
      <c r="D1198" s="465"/>
      <c r="E1198" s="466" t="s">
        <v>5094</v>
      </c>
      <c r="F1198" s="466"/>
      <c r="G1198" s="465"/>
      <c r="H1198" s="465">
        <v>3</v>
      </c>
    </row>
    <row r="1199" spans="1:8" ht="13.8" thickBot="1">
      <c r="A1199" s="465" t="s">
        <v>6809</v>
      </c>
      <c r="B1199" s="465" t="s">
        <v>5106</v>
      </c>
      <c r="C1199" s="466">
        <v>4.5</v>
      </c>
      <c r="D1199" s="467" t="s">
        <v>614</v>
      </c>
      <c r="E1199" s="466" t="s">
        <v>5103</v>
      </c>
      <c r="F1199" s="466" t="s">
        <v>1251</v>
      </c>
      <c r="G1199" s="465">
        <v>1</v>
      </c>
      <c r="H1199" s="465">
        <v>21</v>
      </c>
    </row>
    <row r="1200" spans="1:8" ht="13.8" thickBot="1">
      <c r="A1200" s="465" t="s">
        <v>6810</v>
      </c>
      <c r="B1200" s="465" t="s">
        <v>5121</v>
      </c>
      <c r="C1200" s="466">
        <v>4.5</v>
      </c>
      <c r="D1200" s="465"/>
      <c r="E1200" s="466" t="s">
        <v>5109</v>
      </c>
      <c r="F1200" s="466" t="s">
        <v>1910</v>
      </c>
      <c r="G1200" s="465"/>
      <c r="H1200" s="465">
        <v>6</v>
      </c>
    </row>
    <row r="1201" spans="1:8" ht="13.8" thickBot="1">
      <c r="A1201" s="467" t="s">
        <v>6533</v>
      </c>
      <c r="B1201" s="465" t="s">
        <v>2285</v>
      </c>
      <c r="C1201" s="466">
        <v>4.5</v>
      </c>
      <c r="D1201" s="467" t="s">
        <v>2286</v>
      </c>
      <c r="E1201" s="466" t="s">
        <v>2273</v>
      </c>
      <c r="F1201" s="466" t="s">
        <v>1251</v>
      </c>
      <c r="G1201" s="465">
        <v>1</v>
      </c>
      <c r="H1201" s="465">
        <v>15</v>
      </c>
    </row>
    <row r="1202" spans="1:8" ht="13.8" thickBot="1">
      <c r="A1202" s="467" t="s">
        <v>6534</v>
      </c>
      <c r="B1202" s="465" t="s">
        <v>2287</v>
      </c>
      <c r="C1202" s="466">
        <v>4.5</v>
      </c>
      <c r="D1202" s="467" t="s">
        <v>614</v>
      </c>
      <c r="E1202" s="466" t="s">
        <v>2273</v>
      </c>
      <c r="F1202" s="466"/>
      <c r="G1202" s="465"/>
      <c r="H1202" s="465">
        <v>1</v>
      </c>
    </row>
    <row r="1203" spans="1:8" ht="13.8" thickBot="1">
      <c r="A1203" s="467" t="s">
        <v>6811</v>
      </c>
      <c r="B1203" s="465" t="s">
        <v>1532</v>
      </c>
      <c r="C1203" s="466">
        <v>4.5</v>
      </c>
      <c r="D1203" s="467" t="s">
        <v>614</v>
      </c>
      <c r="E1203" s="466" t="s">
        <v>5125</v>
      </c>
      <c r="F1203" s="466" t="s">
        <v>1226</v>
      </c>
      <c r="G1203" s="465"/>
      <c r="H1203" s="465">
        <v>8</v>
      </c>
    </row>
    <row r="1204" spans="1:8" ht="13.8" thickBot="1">
      <c r="A1204" s="465" t="s">
        <v>6812</v>
      </c>
      <c r="B1204" s="465" t="s">
        <v>1700</v>
      </c>
      <c r="C1204" s="466">
        <v>4.5</v>
      </c>
      <c r="D1204" s="465"/>
      <c r="E1204" s="466" t="s">
        <v>5139</v>
      </c>
      <c r="F1204" s="466" t="s">
        <v>1226</v>
      </c>
      <c r="G1204" s="465"/>
      <c r="H1204" s="465">
        <v>8</v>
      </c>
    </row>
    <row r="1205" spans="1:8" ht="13.8" thickBot="1">
      <c r="A1205" s="465" t="s">
        <v>6813</v>
      </c>
      <c r="B1205" s="465" t="s">
        <v>1699</v>
      </c>
      <c r="C1205" s="466">
        <v>4.5</v>
      </c>
      <c r="D1205" s="467" t="s">
        <v>614</v>
      </c>
      <c r="E1205" s="466" t="s">
        <v>5139</v>
      </c>
      <c r="F1205" s="466" t="s">
        <v>1226</v>
      </c>
      <c r="G1205" s="465"/>
      <c r="H1205" s="465">
        <v>8</v>
      </c>
    </row>
    <row r="1206" spans="1:8" ht="13.8" thickBot="1">
      <c r="A1206" s="467" t="s">
        <v>6814</v>
      </c>
      <c r="B1206" s="465" t="s">
        <v>1702</v>
      </c>
      <c r="C1206" s="466">
        <v>4.5</v>
      </c>
      <c r="D1206" s="465"/>
      <c r="E1206" s="466" t="s">
        <v>5139</v>
      </c>
      <c r="F1206" s="466" t="s">
        <v>1220</v>
      </c>
      <c r="G1206" s="465"/>
      <c r="H1206" s="465">
        <v>10</v>
      </c>
    </row>
    <row r="1207" spans="1:8" ht="13.8" thickBot="1">
      <c r="A1207" s="465" t="s">
        <v>6535</v>
      </c>
      <c r="B1207" s="465" t="s">
        <v>2443</v>
      </c>
      <c r="C1207" s="466">
        <v>4.5</v>
      </c>
      <c r="D1207" s="467" t="s">
        <v>614</v>
      </c>
      <c r="E1207" s="466" t="s">
        <v>2289</v>
      </c>
      <c r="F1207" s="466" t="s">
        <v>1865</v>
      </c>
      <c r="G1207" s="465">
        <v>1</v>
      </c>
      <c r="H1207" s="465">
        <v>2</v>
      </c>
    </row>
    <row r="1208" spans="1:8" ht="13.8" thickBot="1">
      <c r="A1208" s="467" t="s">
        <v>6536</v>
      </c>
      <c r="B1208" s="465" t="s">
        <v>1730</v>
      </c>
      <c r="C1208" s="466">
        <v>4.5</v>
      </c>
      <c r="D1208" s="465"/>
      <c r="E1208" s="466" t="s">
        <v>2289</v>
      </c>
      <c r="F1208" s="466" t="s">
        <v>1226</v>
      </c>
      <c r="G1208" s="465"/>
      <c r="H1208" s="465">
        <v>18</v>
      </c>
    </row>
    <row r="1209" spans="1:8" ht="13.8" thickBot="1">
      <c r="A1209" s="467" t="s">
        <v>6537</v>
      </c>
      <c r="B1209" s="465" t="s">
        <v>2444</v>
      </c>
      <c r="C1209" s="466">
        <v>4.5</v>
      </c>
      <c r="D1209" s="467" t="s">
        <v>614</v>
      </c>
      <c r="E1209" s="466" t="s">
        <v>2289</v>
      </c>
      <c r="F1209" s="466" t="s">
        <v>1224</v>
      </c>
      <c r="G1209" s="465">
        <v>1</v>
      </c>
      <c r="H1209" s="465">
        <v>14</v>
      </c>
    </row>
    <row r="1210" spans="1:8" ht="13.8" thickBot="1">
      <c r="A1210" s="467" t="s">
        <v>6538</v>
      </c>
      <c r="B1210" s="465" t="s">
        <v>1732</v>
      </c>
      <c r="C1210" s="466">
        <v>4.5</v>
      </c>
      <c r="D1210" s="465"/>
      <c r="E1210" s="466" t="s">
        <v>2289</v>
      </c>
      <c r="F1210" s="466" t="s">
        <v>1224</v>
      </c>
      <c r="G1210" s="465">
        <v>1</v>
      </c>
      <c r="H1210" s="465">
        <v>11</v>
      </c>
    </row>
    <row r="1211" spans="1:8" ht="13.8" thickBot="1">
      <c r="A1211" s="467" t="s">
        <v>6539</v>
      </c>
      <c r="B1211" s="465" t="s">
        <v>1733</v>
      </c>
      <c r="C1211" s="466">
        <v>4.5</v>
      </c>
      <c r="D1211" s="465"/>
      <c r="E1211" s="466" t="s">
        <v>2289</v>
      </c>
      <c r="F1211" s="466" t="s">
        <v>1220</v>
      </c>
      <c r="G1211" s="465">
        <v>1</v>
      </c>
      <c r="H1211" s="465">
        <v>15</v>
      </c>
    </row>
    <row r="1212" spans="1:8" ht="13.8" thickBot="1">
      <c r="A1212" s="467" t="s">
        <v>6540</v>
      </c>
      <c r="B1212" s="465" t="s">
        <v>2445</v>
      </c>
      <c r="C1212" s="466">
        <v>4.5</v>
      </c>
      <c r="D1212" s="467" t="s">
        <v>2286</v>
      </c>
      <c r="E1212" s="466" t="s">
        <v>2289</v>
      </c>
      <c r="F1212" s="466"/>
      <c r="G1212" s="465"/>
      <c r="H1212" s="465">
        <v>2</v>
      </c>
    </row>
    <row r="1213" spans="1:8" ht="13.8" thickBot="1">
      <c r="A1213" s="467" t="s">
        <v>6541</v>
      </c>
      <c r="B1213" s="465" t="s">
        <v>1734</v>
      </c>
      <c r="C1213" s="466">
        <v>4.5</v>
      </c>
      <c r="D1213" s="465"/>
      <c r="E1213" s="466" t="s">
        <v>2289</v>
      </c>
      <c r="F1213" s="466"/>
      <c r="G1213" s="465">
        <v>1</v>
      </c>
      <c r="H1213" s="465">
        <v>23</v>
      </c>
    </row>
    <row r="1214" spans="1:8" ht="13.8" thickBot="1">
      <c r="A1214" s="465" t="s">
        <v>6815</v>
      </c>
      <c r="B1214" s="465" t="s">
        <v>5323</v>
      </c>
      <c r="C1214" s="466">
        <v>4.5</v>
      </c>
      <c r="D1214" s="465"/>
      <c r="E1214" s="466" t="s">
        <v>5319</v>
      </c>
      <c r="F1214" s="466" t="s">
        <v>1224</v>
      </c>
      <c r="G1214" s="465">
        <v>1</v>
      </c>
      <c r="H1214" s="465">
        <v>3</v>
      </c>
    </row>
    <row r="1215" spans="1:8" ht="13.8" thickBot="1">
      <c r="A1215" s="467" t="s">
        <v>6542</v>
      </c>
      <c r="B1215" s="465" t="s">
        <v>2448</v>
      </c>
      <c r="C1215" s="466">
        <v>4.5</v>
      </c>
      <c r="D1215" s="467" t="s">
        <v>2512</v>
      </c>
      <c r="E1215" s="466" t="s">
        <v>2449</v>
      </c>
      <c r="F1215" s="466"/>
      <c r="G1215" s="465"/>
      <c r="H1215" s="465">
        <v>1</v>
      </c>
    </row>
    <row r="1216" spans="1:8" ht="13.8" thickBot="1">
      <c r="A1216" s="467" t="s">
        <v>6543</v>
      </c>
      <c r="B1216" s="465" t="s">
        <v>2506</v>
      </c>
      <c r="C1216" s="466">
        <v>4.5</v>
      </c>
      <c r="D1216" s="465"/>
      <c r="E1216" s="466" t="s">
        <v>2449</v>
      </c>
      <c r="F1216" s="466"/>
      <c r="G1216" s="465"/>
      <c r="H1216" s="465">
        <v>2</v>
      </c>
    </row>
    <row r="1217" spans="1:8" ht="13.8" thickBot="1">
      <c r="A1217" s="467" t="s">
        <v>6544</v>
      </c>
      <c r="B1217" s="465" t="s">
        <v>2513</v>
      </c>
      <c r="C1217" s="466">
        <v>4.5</v>
      </c>
      <c r="D1217" s="467" t="s">
        <v>614</v>
      </c>
      <c r="E1217" s="466" t="s">
        <v>2449</v>
      </c>
      <c r="F1217" s="466"/>
      <c r="G1217" s="465"/>
      <c r="H1217" s="465">
        <v>3</v>
      </c>
    </row>
    <row r="1218" spans="1:8" ht="13.8" thickBot="1">
      <c r="A1218" s="467" t="s">
        <v>6545</v>
      </c>
      <c r="B1218" s="465" t="s">
        <v>1300</v>
      </c>
      <c r="C1218" s="466">
        <v>4.5</v>
      </c>
      <c r="D1218" s="465"/>
      <c r="E1218" s="466" t="s">
        <v>2523</v>
      </c>
      <c r="F1218" s="466" t="s">
        <v>1251</v>
      </c>
      <c r="G1218" s="465"/>
      <c r="H1218" s="465">
        <v>1</v>
      </c>
    </row>
    <row r="1219" spans="1:8" ht="13.8" thickBot="1">
      <c r="A1219" s="467" t="s">
        <v>6546</v>
      </c>
      <c r="B1219" s="465" t="s">
        <v>1300</v>
      </c>
      <c r="C1219" s="466">
        <v>4.5</v>
      </c>
      <c r="D1219" s="467" t="s">
        <v>614</v>
      </c>
      <c r="E1219" s="466" t="s">
        <v>2523</v>
      </c>
      <c r="F1219" s="466" t="s">
        <v>1226</v>
      </c>
      <c r="G1219" s="465"/>
      <c r="H1219" s="465">
        <v>1</v>
      </c>
    </row>
    <row r="1220" spans="1:8" ht="13.8" thickBot="1">
      <c r="A1220" s="465" t="s">
        <v>6547</v>
      </c>
      <c r="B1220" s="465" t="s">
        <v>1300</v>
      </c>
      <c r="C1220" s="466">
        <v>4.5</v>
      </c>
      <c r="D1220" s="465"/>
      <c r="E1220" s="466" t="s">
        <v>2523</v>
      </c>
      <c r="F1220" s="466" t="s">
        <v>1220</v>
      </c>
      <c r="G1220" s="465">
        <v>1</v>
      </c>
      <c r="H1220" s="465">
        <v>11</v>
      </c>
    </row>
    <row r="1221" spans="1:8" ht="13.8" thickBot="1">
      <c r="A1221" s="467" t="s">
        <v>6548</v>
      </c>
      <c r="B1221" s="465" t="s">
        <v>1300</v>
      </c>
      <c r="C1221" s="466">
        <v>4.5</v>
      </c>
      <c r="D1221" s="467" t="s">
        <v>2688</v>
      </c>
      <c r="E1221" s="466" t="s">
        <v>2523</v>
      </c>
      <c r="F1221" s="466" t="s">
        <v>1220</v>
      </c>
      <c r="G1221" s="465"/>
      <c r="H1221" s="465">
        <v>2</v>
      </c>
    </row>
    <row r="1222" spans="1:8" ht="13.8" thickBot="1">
      <c r="A1222" s="467" t="s">
        <v>6549</v>
      </c>
      <c r="B1222" s="465" t="s">
        <v>2689</v>
      </c>
      <c r="C1222" s="466">
        <v>4.5</v>
      </c>
      <c r="D1222" s="465"/>
      <c r="E1222" s="466" t="s">
        <v>2523</v>
      </c>
      <c r="F1222" s="466" t="s">
        <v>1220</v>
      </c>
      <c r="G1222" s="465"/>
      <c r="H1222" s="465">
        <v>4</v>
      </c>
    </row>
    <row r="1223" spans="1:8" ht="13.8" thickBot="1">
      <c r="A1223" s="467" t="s">
        <v>6550</v>
      </c>
      <c r="B1223" s="465" t="s">
        <v>1300</v>
      </c>
      <c r="C1223" s="466">
        <v>4.5</v>
      </c>
      <c r="D1223" s="465"/>
      <c r="E1223" s="466" t="s">
        <v>2523</v>
      </c>
      <c r="F1223" s="466"/>
      <c r="G1223" s="465"/>
      <c r="H1223" s="465">
        <v>6</v>
      </c>
    </row>
    <row r="1224" spans="1:8" ht="13.8" thickBot="1">
      <c r="A1224" s="465" t="s">
        <v>6551</v>
      </c>
      <c r="B1224" s="465" t="s">
        <v>1300</v>
      </c>
      <c r="C1224" s="466">
        <v>4.5</v>
      </c>
      <c r="D1224" s="465"/>
      <c r="E1224" s="466" t="s">
        <v>2523</v>
      </c>
      <c r="F1224" s="466"/>
      <c r="G1224" s="465"/>
      <c r="H1224" s="465">
        <v>4</v>
      </c>
    </row>
    <row r="1225" spans="1:8" ht="13.8" thickBot="1">
      <c r="A1225" s="467" t="s">
        <v>6552</v>
      </c>
      <c r="B1225" s="465" t="s">
        <v>1300</v>
      </c>
      <c r="C1225" s="466">
        <v>4.5</v>
      </c>
      <c r="D1225" s="465"/>
      <c r="E1225" s="466" t="s">
        <v>2523</v>
      </c>
      <c r="F1225" s="466"/>
      <c r="G1225" s="465"/>
      <c r="H1225" s="465">
        <v>3</v>
      </c>
    </row>
    <row r="1226" spans="1:8" ht="13.8" thickBot="1">
      <c r="A1226" s="467" t="s">
        <v>6553</v>
      </c>
      <c r="B1226" s="465" t="s">
        <v>1300</v>
      </c>
      <c r="C1226" s="466">
        <v>4.5</v>
      </c>
      <c r="D1226" s="465"/>
      <c r="E1226" s="466" t="s">
        <v>2523</v>
      </c>
      <c r="F1226" s="466"/>
      <c r="G1226" s="465">
        <v>1</v>
      </c>
      <c r="H1226" s="465">
        <v>6</v>
      </c>
    </row>
    <row r="1227" spans="1:8" ht="13.8" thickBot="1">
      <c r="A1227" s="467" t="s">
        <v>6554</v>
      </c>
      <c r="B1227" s="465" t="s">
        <v>1300</v>
      </c>
      <c r="C1227" s="466">
        <v>4.5</v>
      </c>
      <c r="D1227" s="465"/>
      <c r="E1227" s="466" t="s">
        <v>2523</v>
      </c>
      <c r="F1227" s="466"/>
      <c r="G1227" s="465"/>
      <c r="H1227" s="465">
        <v>6</v>
      </c>
    </row>
    <row r="1228" spans="1:8" ht="13.8" thickBot="1">
      <c r="A1228" s="467" t="s">
        <v>6555</v>
      </c>
      <c r="B1228" s="465" t="s">
        <v>1300</v>
      </c>
      <c r="C1228" s="466">
        <v>4.5</v>
      </c>
      <c r="D1228" s="467" t="s">
        <v>614</v>
      </c>
      <c r="E1228" s="466" t="s">
        <v>2523</v>
      </c>
      <c r="F1228" s="466"/>
      <c r="G1228" s="465"/>
      <c r="H1228" s="465">
        <v>3</v>
      </c>
    </row>
    <row r="1229" spans="1:8" ht="13.8" thickBot="1">
      <c r="A1229" s="467" t="s">
        <v>6556</v>
      </c>
      <c r="B1229" s="465" t="s">
        <v>1300</v>
      </c>
      <c r="C1229" s="466">
        <v>4.5</v>
      </c>
      <c r="D1229" s="465"/>
      <c r="E1229" s="466" t="s">
        <v>2523</v>
      </c>
      <c r="F1229" s="466"/>
      <c r="G1229" s="465"/>
      <c r="H1229" s="465">
        <v>11</v>
      </c>
    </row>
    <row r="1230" spans="1:8" ht="13.8" thickBot="1">
      <c r="A1230" s="467" t="s">
        <v>6557</v>
      </c>
      <c r="B1230" s="465" t="s">
        <v>1300</v>
      </c>
      <c r="C1230" s="466">
        <v>4.5</v>
      </c>
      <c r="D1230" s="467" t="s">
        <v>614</v>
      </c>
      <c r="E1230" s="466" t="s">
        <v>2523</v>
      </c>
      <c r="F1230" s="466"/>
      <c r="G1230" s="465"/>
      <c r="H1230" s="465">
        <v>5</v>
      </c>
    </row>
    <row r="1231" spans="1:8" ht="13.8" thickBot="1">
      <c r="A1231" s="467" t="s">
        <v>6558</v>
      </c>
      <c r="B1231" s="465" t="s">
        <v>1304</v>
      </c>
      <c r="C1231" s="466">
        <v>4.5</v>
      </c>
      <c r="D1231" s="465"/>
      <c r="E1231" s="466" t="s">
        <v>2523</v>
      </c>
      <c r="F1231" s="466"/>
      <c r="G1231" s="465">
        <v>1</v>
      </c>
      <c r="H1231" s="465">
        <v>2</v>
      </c>
    </row>
    <row r="1232" spans="1:8" ht="13.8" thickBot="1">
      <c r="A1232" s="467" t="s">
        <v>6559</v>
      </c>
      <c r="B1232" s="465" t="s">
        <v>2656</v>
      </c>
      <c r="C1232" s="466">
        <v>4.5</v>
      </c>
      <c r="D1232" s="465"/>
      <c r="E1232" s="466" t="s">
        <v>2523</v>
      </c>
      <c r="F1232" s="466"/>
      <c r="G1232" s="465"/>
      <c r="H1232" s="465">
        <v>2</v>
      </c>
    </row>
    <row r="1233" spans="1:8" ht="13.8" thickBot="1">
      <c r="A1233" s="467" t="s">
        <v>6560</v>
      </c>
      <c r="B1233" s="465" t="s">
        <v>2690</v>
      </c>
      <c r="C1233" s="466">
        <v>4.5</v>
      </c>
      <c r="D1233" s="465"/>
      <c r="E1233" s="466" t="s">
        <v>2523</v>
      </c>
      <c r="F1233" s="466"/>
      <c r="G1233" s="465"/>
      <c r="H1233" s="465">
        <v>1</v>
      </c>
    </row>
    <row r="1234" spans="1:8" ht="13.8" thickBot="1">
      <c r="A1234" s="467" t="s">
        <v>6561</v>
      </c>
      <c r="B1234" s="465" t="s">
        <v>1310</v>
      </c>
      <c r="C1234" s="466">
        <v>4.5</v>
      </c>
      <c r="D1234" s="465"/>
      <c r="E1234" s="466" t="s">
        <v>2523</v>
      </c>
      <c r="F1234" s="466"/>
      <c r="G1234" s="465"/>
      <c r="H1234" s="465">
        <v>7</v>
      </c>
    </row>
    <row r="1235" spans="1:8" ht="13.8" thickBot="1">
      <c r="A1235" s="467" t="s">
        <v>6562</v>
      </c>
      <c r="B1235" s="465" t="s">
        <v>2534</v>
      </c>
      <c r="C1235" s="466">
        <v>4.5</v>
      </c>
      <c r="D1235" s="467" t="s">
        <v>614</v>
      </c>
      <c r="E1235" s="466" t="s">
        <v>2523</v>
      </c>
      <c r="F1235" s="466"/>
      <c r="G1235" s="465"/>
      <c r="H1235" s="465">
        <v>3</v>
      </c>
    </row>
    <row r="1236" spans="1:8" ht="13.8" thickBot="1">
      <c r="A1236" s="467" t="s">
        <v>6563</v>
      </c>
      <c r="B1236" s="465" t="s">
        <v>2691</v>
      </c>
      <c r="C1236" s="466">
        <v>4.5</v>
      </c>
      <c r="D1236" s="465"/>
      <c r="E1236" s="466" t="s">
        <v>2523</v>
      </c>
      <c r="F1236" s="466"/>
      <c r="G1236" s="465"/>
      <c r="H1236" s="465">
        <v>6</v>
      </c>
    </row>
    <row r="1237" spans="1:8" ht="13.8" thickBot="1">
      <c r="A1237" s="467" t="s">
        <v>6494</v>
      </c>
      <c r="B1237" s="465" t="s">
        <v>1261</v>
      </c>
      <c r="C1237" s="466">
        <v>4.5</v>
      </c>
      <c r="D1237" s="465"/>
      <c r="E1237" s="466" t="s">
        <v>1922</v>
      </c>
      <c r="F1237" s="466" t="s">
        <v>1880</v>
      </c>
      <c r="G1237" s="465">
        <v>1</v>
      </c>
      <c r="H1237" s="465">
        <v>5</v>
      </c>
    </row>
    <row r="1238" spans="1:8" ht="13.8" thickBot="1">
      <c r="A1238" s="465" t="s">
        <v>6495</v>
      </c>
      <c r="B1238" s="465" t="s">
        <v>1259</v>
      </c>
      <c r="C1238" s="466">
        <v>4.5</v>
      </c>
      <c r="D1238" s="465"/>
      <c r="E1238" s="466" t="s">
        <v>1922</v>
      </c>
      <c r="F1238" s="466" t="s">
        <v>1865</v>
      </c>
      <c r="G1238" s="465"/>
      <c r="H1238" s="465">
        <v>12</v>
      </c>
    </row>
    <row r="1239" spans="1:8" ht="13.8" thickBot="1">
      <c r="A1239" s="467" t="s">
        <v>6496</v>
      </c>
      <c r="B1239" s="465" t="s">
        <v>1973</v>
      </c>
      <c r="C1239" s="466">
        <v>4.5</v>
      </c>
      <c r="D1239" s="465"/>
      <c r="E1239" s="466" t="s">
        <v>1922</v>
      </c>
      <c r="F1239" s="466" t="s">
        <v>1865</v>
      </c>
      <c r="G1239" s="465"/>
      <c r="H1239" s="465">
        <v>2</v>
      </c>
    </row>
    <row r="1240" spans="1:8" ht="13.8" thickBot="1">
      <c r="A1240" s="467" t="s">
        <v>6497</v>
      </c>
      <c r="B1240" s="465" t="s">
        <v>1260</v>
      </c>
      <c r="C1240" s="466">
        <v>4.5</v>
      </c>
      <c r="D1240" s="465"/>
      <c r="E1240" s="466" t="s">
        <v>1922</v>
      </c>
      <c r="F1240" s="466" t="s">
        <v>1226</v>
      </c>
      <c r="G1240" s="465"/>
      <c r="H1240" s="465">
        <v>3</v>
      </c>
    </row>
    <row r="1241" spans="1:8" ht="13.8" thickBot="1">
      <c r="A1241" s="467" t="s">
        <v>6498</v>
      </c>
      <c r="B1241" s="465" t="s">
        <v>1974</v>
      </c>
      <c r="C1241" s="466">
        <v>4.5</v>
      </c>
      <c r="D1241" s="467" t="s">
        <v>614</v>
      </c>
      <c r="E1241" s="466" t="s">
        <v>1922</v>
      </c>
      <c r="F1241" s="466" t="s">
        <v>1226</v>
      </c>
      <c r="G1241" s="465">
        <v>2</v>
      </c>
      <c r="H1241" s="465">
        <v>10</v>
      </c>
    </row>
    <row r="1242" spans="1:8" ht="13.8" thickBot="1">
      <c r="A1242" s="465" t="s">
        <v>6499</v>
      </c>
      <c r="B1242" s="465" t="s">
        <v>1256</v>
      </c>
      <c r="C1242" s="466">
        <v>4.5</v>
      </c>
      <c r="D1242" s="465"/>
      <c r="E1242" s="466" t="s">
        <v>1922</v>
      </c>
      <c r="F1242" s="466" t="s">
        <v>1975</v>
      </c>
      <c r="G1242" s="465">
        <v>2</v>
      </c>
      <c r="H1242" s="465">
        <v>4</v>
      </c>
    </row>
    <row r="1243" spans="1:8" ht="13.8" thickBot="1">
      <c r="A1243" s="467" t="s">
        <v>6500</v>
      </c>
      <c r="B1243" s="465" t="s">
        <v>1261</v>
      </c>
      <c r="C1243" s="466">
        <v>4.5</v>
      </c>
      <c r="D1243" s="465"/>
      <c r="E1243" s="466" t="s">
        <v>1922</v>
      </c>
      <c r="F1243" s="466" t="s">
        <v>1220</v>
      </c>
      <c r="G1243" s="465"/>
      <c r="H1243" s="465">
        <v>8</v>
      </c>
    </row>
    <row r="1244" spans="1:8" ht="13.8" thickBot="1">
      <c r="A1244" s="465" t="s">
        <v>6501</v>
      </c>
      <c r="B1244" s="465" t="s">
        <v>1252</v>
      </c>
      <c r="C1244" s="466">
        <v>4.5</v>
      </c>
      <c r="D1244" s="465"/>
      <c r="E1244" s="466" t="s">
        <v>1922</v>
      </c>
      <c r="F1244" s="466"/>
      <c r="G1244" s="465"/>
      <c r="H1244" s="465">
        <v>7</v>
      </c>
    </row>
    <row r="1245" spans="1:8" ht="13.8" thickBot="1">
      <c r="A1245" s="465" t="s">
        <v>6502</v>
      </c>
      <c r="B1245" s="465" t="s">
        <v>1252</v>
      </c>
      <c r="C1245" s="466">
        <v>4.5</v>
      </c>
      <c r="D1245" s="465"/>
      <c r="E1245" s="466" t="s">
        <v>1922</v>
      </c>
      <c r="F1245" s="466"/>
      <c r="G1245" s="465"/>
      <c r="H1245" s="465">
        <v>1</v>
      </c>
    </row>
    <row r="1246" spans="1:8" ht="13.8" thickBot="1">
      <c r="A1246" s="467" t="s">
        <v>6503</v>
      </c>
      <c r="B1246" s="465" t="s">
        <v>1255</v>
      </c>
      <c r="C1246" s="466">
        <v>4.5</v>
      </c>
      <c r="D1246" s="465"/>
      <c r="E1246" s="466" t="s">
        <v>1922</v>
      </c>
      <c r="F1246" s="466"/>
      <c r="G1246" s="465">
        <v>1</v>
      </c>
      <c r="H1246" s="465">
        <v>5</v>
      </c>
    </row>
    <row r="1247" spans="1:8" ht="13.8" thickBot="1">
      <c r="A1247" s="467" t="s">
        <v>6504</v>
      </c>
      <c r="B1247" s="465" t="s">
        <v>1951</v>
      </c>
      <c r="C1247" s="466">
        <v>4.5</v>
      </c>
      <c r="D1247" s="465"/>
      <c r="E1247" s="466" t="s">
        <v>1922</v>
      </c>
      <c r="F1247" s="466"/>
      <c r="G1247" s="465"/>
      <c r="H1247" s="465">
        <v>5</v>
      </c>
    </row>
    <row r="1248" spans="1:8" ht="13.8" thickBot="1">
      <c r="A1248" s="467" t="s">
        <v>6505</v>
      </c>
      <c r="B1248" s="465" t="s">
        <v>1976</v>
      </c>
      <c r="C1248" s="466">
        <v>4.5</v>
      </c>
      <c r="D1248" s="465"/>
      <c r="E1248" s="466" t="s">
        <v>1922</v>
      </c>
      <c r="F1248" s="466"/>
      <c r="G1248" s="465"/>
      <c r="H1248" s="465">
        <v>3</v>
      </c>
    </row>
    <row r="1249" spans="1:8" ht="13.8" thickBot="1">
      <c r="A1249" s="467" t="s">
        <v>6506</v>
      </c>
      <c r="B1249" s="465" t="s">
        <v>1256</v>
      </c>
      <c r="C1249" s="466">
        <v>4.5</v>
      </c>
      <c r="D1249" s="465"/>
      <c r="E1249" s="466" t="s">
        <v>1922</v>
      </c>
      <c r="F1249" s="466"/>
      <c r="G1249" s="465"/>
      <c r="H1249" s="465">
        <v>5</v>
      </c>
    </row>
    <row r="1250" spans="1:8" ht="13.8" thickBot="1">
      <c r="A1250" s="467" t="s">
        <v>6507</v>
      </c>
      <c r="B1250" s="465" t="s">
        <v>1977</v>
      </c>
      <c r="C1250" s="466">
        <v>4.5</v>
      </c>
      <c r="D1250" s="467" t="s">
        <v>1978</v>
      </c>
      <c r="E1250" s="466" t="s">
        <v>1922</v>
      </c>
      <c r="F1250" s="466"/>
      <c r="G1250" s="465"/>
      <c r="H1250" s="465">
        <v>2</v>
      </c>
    </row>
    <row r="1251" spans="1:8" ht="13.8" thickBot="1">
      <c r="A1251" s="467" t="s">
        <v>6508</v>
      </c>
      <c r="B1251" s="465" t="s">
        <v>1979</v>
      </c>
      <c r="C1251" s="466">
        <v>4.5</v>
      </c>
      <c r="D1251" s="465"/>
      <c r="E1251" s="466" t="s">
        <v>1922</v>
      </c>
      <c r="F1251" s="466"/>
      <c r="G1251" s="465"/>
      <c r="H1251" s="465"/>
    </row>
    <row r="1252" spans="1:8" ht="13.8" thickBot="1">
      <c r="A1252" s="467" t="s">
        <v>6564</v>
      </c>
      <c r="B1252" s="465" t="s">
        <v>2796</v>
      </c>
      <c r="C1252" s="466">
        <v>4.5</v>
      </c>
      <c r="D1252" s="465"/>
      <c r="E1252" s="466" t="s">
        <v>2779</v>
      </c>
      <c r="F1252" s="466" t="s">
        <v>1226</v>
      </c>
      <c r="G1252" s="465"/>
      <c r="H1252" s="465">
        <v>7</v>
      </c>
    </row>
    <row r="1253" spans="1:8" ht="13.8" thickBot="1">
      <c r="A1253" s="467" t="s">
        <v>6565</v>
      </c>
      <c r="B1253" s="465" t="s">
        <v>1331</v>
      </c>
      <c r="C1253" s="466">
        <v>4.5</v>
      </c>
      <c r="D1253" s="465"/>
      <c r="E1253" s="466" t="s">
        <v>2797</v>
      </c>
      <c r="F1253" s="466"/>
      <c r="G1253" s="465"/>
      <c r="H1253" s="465">
        <v>1</v>
      </c>
    </row>
    <row r="1254" spans="1:8" ht="13.8" thickBot="1">
      <c r="A1254" s="467" t="s">
        <v>6566</v>
      </c>
      <c r="B1254" s="465" t="s">
        <v>1331</v>
      </c>
      <c r="C1254" s="466">
        <v>4.5</v>
      </c>
      <c r="D1254" s="465"/>
      <c r="E1254" s="466" t="s">
        <v>2797</v>
      </c>
      <c r="F1254" s="466"/>
      <c r="G1254" s="465"/>
      <c r="H1254" s="465">
        <v>1</v>
      </c>
    </row>
    <row r="1255" spans="1:8" ht="13.8" thickBot="1">
      <c r="A1255" s="465" t="s">
        <v>6567</v>
      </c>
      <c r="B1255" s="465" t="s">
        <v>2829</v>
      </c>
      <c r="C1255" s="466">
        <v>4.5</v>
      </c>
      <c r="D1255" s="467" t="s">
        <v>1978</v>
      </c>
      <c r="E1255" s="466" t="s">
        <v>2797</v>
      </c>
      <c r="F1255" s="466"/>
      <c r="G1255" s="465">
        <v>1</v>
      </c>
      <c r="H1255" s="465">
        <v>11</v>
      </c>
    </row>
    <row r="1256" spans="1:8" ht="13.8" thickBot="1">
      <c r="A1256" s="467" t="s">
        <v>6271</v>
      </c>
      <c r="B1256" s="465" t="s">
        <v>2830</v>
      </c>
      <c r="C1256" s="466">
        <v>4.5</v>
      </c>
      <c r="D1256" s="465"/>
      <c r="E1256" s="466" t="s">
        <v>2797</v>
      </c>
      <c r="F1256" s="466"/>
      <c r="G1256" s="465">
        <v>1</v>
      </c>
      <c r="H1256" s="465">
        <v>3</v>
      </c>
    </row>
    <row r="1257" spans="1:8" ht="13.8" thickBot="1">
      <c r="A1257" s="465" t="s">
        <v>6568</v>
      </c>
      <c r="B1257" s="465" t="s">
        <v>2821</v>
      </c>
      <c r="C1257" s="466">
        <v>4.5</v>
      </c>
      <c r="D1257" s="465"/>
      <c r="E1257" s="466" t="s">
        <v>2797</v>
      </c>
      <c r="F1257" s="466"/>
      <c r="G1257" s="465"/>
      <c r="H1257" s="465">
        <v>1</v>
      </c>
    </row>
    <row r="1258" spans="1:8" ht="13.8" thickBot="1">
      <c r="A1258" s="467" t="s">
        <v>6569</v>
      </c>
      <c r="B1258" s="465" t="s">
        <v>1340</v>
      </c>
      <c r="C1258" s="466">
        <v>4.5</v>
      </c>
      <c r="D1258" s="465"/>
      <c r="E1258" s="466" t="s">
        <v>2841</v>
      </c>
      <c r="F1258" s="466" t="s">
        <v>1226</v>
      </c>
      <c r="G1258" s="465"/>
      <c r="H1258" s="465">
        <v>7</v>
      </c>
    </row>
    <row r="1259" spans="1:8" ht="13.8" thickBot="1">
      <c r="A1259" s="467" t="s">
        <v>6570</v>
      </c>
      <c r="B1259" s="465" t="s">
        <v>1340</v>
      </c>
      <c r="C1259" s="466">
        <v>4.5</v>
      </c>
      <c r="D1259" s="465"/>
      <c r="E1259" s="466" t="s">
        <v>2841</v>
      </c>
      <c r="F1259" s="466" t="s">
        <v>1226</v>
      </c>
      <c r="G1259" s="465">
        <v>1</v>
      </c>
      <c r="H1259" s="465">
        <v>17</v>
      </c>
    </row>
    <row r="1260" spans="1:8" ht="13.8" thickBot="1">
      <c r="A1260" s="465" t="s">
        <v>6571</v>
      </c>
      <c r="B1260" s="465" t="s">
        <v>1340</v>
      </c>
      <c r="C1260" s="466">
        <v>4.5</v>
      </c>
      <c r="D1260" s="465"/>
      <c r="E1260" s="466" t="s">
        <v>2841</v>
      </c>
      <c r="F1260" s="466" t="s">
        <v>1224</v>
      </c>
      <c r="G1260" s="465"/>
      <c r="H1260" s="465">
        <v>10</v>
      </c>
    </row>
    <row r="1261" spans="1:8" ht="13.8" thickBot="1">
      <c r="A1261" s="467" t="s">
        <v>6572</v>
      </c>
      <c r="B1261" s="465" t="s">
        <v>2877</v>
      </c>
      <c r="C1261" s="466">
        <v>4.5</v>
      </c>
      <c r="D1261" s="465"/>
      <c r="E1261" s="466" t="s">
        <v>2841</v>
      </c>
      <c r="F1261" s="466"/>
      <c r="G1261" s="465">
        <v>2</v>
      </c>
      <c r="H1261" s="465">
        <v>14</v>
      </c>
    </row>
    <row r="1262" spans="1:8" ht="13.8" thickBot="1">
      <c r="A1262" s="465" t="s">
        <v>6573</v>
      </c>
      <c r="B1262" s="465" t="s">
        <v>2878</v>
      </c>
      <c r="C1262" s="466">
        <v>4.5</v>
      </c>
      <c r="D1262" s="465"/>
      <c r="E1262" s="466" t="s">
        <v>2841</v>
      </c>
      <c r="F1262" s="466"/>
      <c r="G1262" s="465"/>
      <c r="H1262" s="465">
        <v>2</v>
      </c>
    </row>
    <row r="1263" spans="1:8" ht="13.8" thickBot="1">
      <c r="A1263" s="467" t="s">
        <v>6574</v>
      </c>
      <c r="B1263" s="465" t="s">
        <v>1353</v>
      </c>
      <c r="C1263" s="466">
        <v>4.5</v>
      </c>
      <c r="D1263" s="465"/>
      <c r="E1263" s="466" t="s">
        <v>2884</v>
      </c>
      <c r="F1263" s="466" t="s">
        <v>1226</v>
      </c>
      <c r="G1263" s="465">
        <v>1</v>
      </c>
      <c r="H1263" s="465">
        <v>19</v>
      </c>
    </row>
    <row r="1264" spans="1:8" ht="13.8" thickBot="1">
      <c r="A1264" s="467" t="s">
        <v>6575</v>
      </c>
      <c r="B1264" s="465" t="s">
        <v>1349</v>
      </c>
      <c r="C1264" s="466">
        <v>4.5</v>
      </c>
      <c r="D1264" s="467" t="s">
        <v>614</v>
      </c>
      <c r="E1264" s="466" t="s">
        <v>2884</v>
      </c>
      <c r="F1264" s="466"/>
      <c r="G1264" s="465"/>
      <c r="H1264" s="465">
        <v>13</v>
      </c>
    </row>
    <row r="1265" spans="1:8" ht="13.8" thickBot="1">
      <c r="A1265" s="465" t="s">
        <v>6576</v>
      </c>
      <c r="B1265" s="465" t="s">
        <v>2893</v>
      </c>
      <c r="C1265" s="466">
        <v>4.5</v>
      </c>
      <c r="D1265" s="467" t="s">
        <v>614</v>
      </c>
      <c r="E1265" s="466" t="s">
        <v>2884</v>
      </c>
      <c r="F1265" s="466"/>
      <c r="G1265" s="465"/>
      <c r="H1265" s="465">
        <v>11</v>
      </c>
    </row>
    <row r="1266" spans="1:8" ht="13.8" thickBot="1">
      <c r="A1266" s="467" t="s">
        <v>6577</v>
      </c>
      <c r="B1266" s="465" t="s">
        <v>2919</v>
      </c>
      <c r="C1266" s="466">
        <v>4.5</v>
      </c>
      <c r="D1266" s="467" t="s">
        <v>614</v>
      </c>
      <c r="E1266" s="466" t="s">
        <v>2899</v>
      </c>
      <c r="F1266" s="466" t="s">
        <v>1226</v>
      </c>
      <c r="G1266" s="465">
        <v>1</v>
      </c>
      <c r="H1266" s="465">
        <v>21</v>
      </c>
    </row>
    <row r="1267" spans="1:8" ht="13.8" thickBot="1">
      <c r="A1267" s="465" t="s">
        <v>6578</v>
      </c>
      <c r="B1267" s="465" t="s">
        <v>1356</v>
      </c>
      <c r="C1267" s="466">
        <v>4.5</v>
      </c>
      <c r="D1267" s="465"/>
      <c r="E1267" s="466" t="s">
        <v>2899</v>
      </c>
      <c r="F1267" s="466" t="s">
        <v>1224</v>
      </c>
      <c r="G1267" s="465">
        <v>1</v>
      </c>
      <c r="H1267" s="465">
        <v>17</v>
      </c>
    </row>
    <row r="1268" spans="1:8" ht="13.8" thickBot="1">
      <c r="A1268" s="467" t="s">
        <v>6579</v>
      </c>
      <c r="B1268" s="465" t="s">
        <v>1356</v>
      </c>
      <c r="C1268" s="466">
        <v>4.5</v>
      </c>
      <c r="D1268" s="465"/>
      <c r="E1268" s="466" t="s">
        <v>2899</v>
      </c>
      <c r="F1268" s="466" t="s">
        <v>1224</v>
      </c>
      <c r="G1268" s="465">
        <v>1</v>
      </c>
      <c r="H1268" s="465">
        <v>19</v>
      </c>
    </row>
    <row r="1269" spans="1:8" ht="13.8" thickBot="1">
      <c r="A1269" s="467" t="s">
        <v>6580</v>
      </c>
      <c r="B1269" s="465" t="s">
        <v>1358</v>
      </c>
      <c r="C1269" s="466">
        <v>4.5</v>
      </c>
      <c r="D1269" s="467" t="s">
        <v>614</v>
      </c>
      <c r="E1269" s="466" t="s">
        <v>2899</v>
      </c>
      <c r="F1269" s="466" t="s">
        <v>1224</v>
      </c>
      <c r="G1269" s="465"/>
      <c r="H1269" s="465">
        <v>10</v>
      </c>
    </row>
    <row r="1270" spans="1:8" ht="13.8" thickBot="1">
      <c r="A1270" s="467" t="s">
        <v>6581</v>
      </c>
      <c r="B1270" s="465" t="s">
        <v>2920</v>
      </c>
      <c r="C1270" s="466">
        <v>4.5</v>
      </c>
      <c r="D1270" s="467" t="s">
        <v>614</v>
      </c>
      <c r="E1270" s="466" t="s">
        <v>2899</v>
      </c>
      <c r="F1270" s="466" t="s">
        <v>1220</v>
      </c>
      <c r="G1270" s="465"/>
      <c r="H1270" s="465">
        <v>7</v>
      </c>
    </row>
    <row r="1271" spans="1:8" ht="13.8" thickBot="1">
      <c r="A1271" s="467" t="s">
        <v>6582</v>
      </c>
      <c r="B1271" s="465" t="s">
        <v>1356</v>
      </c>
      <c r="C1271" s="466">
        <v>4.5</v>
      </c>
      <c r="D1271" s="465"/>
      <c r="E1271" s="466" t="s">
        <v>2899</v>
      </c>
      <c r="F1271" s="466"/>
      <c r="G1271" s="465"/>
      <c r="H1271" s="465">
        <v>13</v>
      </c>
    </row>
    <row r="1272" spans="1:8" ht="13.8" thickBot="1">
      <c r="A1272" s="467" t="s">
        <v>6583</v>
      </c>
      <c r="B1272" s="465" t="s">
        <v>2921</v>
      </c>
      <c r="C1272" s="466">
        <v>4.5</v>
      </c>
      <c r="D1272" s="465"/>
      <c r="E1272" s="466" t="s">
        <v>2922</v>
      </c>
      <c r="F1272" s="466" t="s">
        <v>1880</v>
      </c>
      <c r="G1272" s="465"/>
      <c r="H1272" s="465">
        <v>13</v>
      </c>
    </row>
    <row r="1273" spans="1:8" ht="13.8" thickBot="1">
      <c r="A1273" s="467" t="s">
        <v>6584</v>
      </c>
      <c r="B1273" s="465" t="s">
        <v>1365</v>
      </c>
      <c r="C1273" s="466">
        <v>4.5</v>
      </c>
      <c r="D1273" s="465"/>
      <c r="E1273" s="466" t="s">
        <v>2943</v>
      </c>
      <c r="F1273" s="466" t="s">
        <v>1880</v>
      </c>
      <c r="G1273" s="465">
        <v>1</v>
      </c>
      <c r="H1273" s="465">
        <v>5</v>
      </c>
    </row>
    <row r="1274" spans="1:8" ht="13.8" thickBot="1">
      <c r="A1274" s="465" t="s">
        <v>6585</v>
      </c>
      <c r="B1274" s="465" t="s">
        <v>1364</v>
      </c>
      <c r="C1274" s="466">
        <v>4.5</v>
      </c>
      <c r="D1274" s="465"/>
      <c r="E1274" s="466" t="s">
        <v>2943</v>
      </c>
      <c r="F1274" s="466" t="s">
        <v>1226</v>
      </c>
      <c r="G1274" s="465"/>
      <c r="H1274" s="465">
        <v>19</v>
      </c>
    </row>
    <row r="1275" spans="1:8" ht="13.8" thickBot="1">
      <c r="A1275" s="467" t="s">
        <v>6586</v>
      </c>
      <c r="B1275" s="465" t="s">
        <v>2956</v>
      </c>
      <c r="C1275" s="466">
        <v>4.5</v>
      </c>
      <c r="D1275" s="465"/>
      <c r="E1275" s="466" t="s">
        <v>2943</v>
      </c>
      <c r="F1275" s="466"/>
      <c r="G1275" s="465">
        <v>1</v>
      </c>
      <c r="H1275" s="465">
        <v>12</v>
      </c>
    </row>
    <row r="1276" spans="1:8" ht="13.8" thickBot="1">
      <c r="A1276" s="467" t="s">
        <v>6587</v>
      </c>
      <c r="B1276" s="465" t="s">
        <v>1552</v>
      </c>
      <c r="C1276" s="466">
        <v>4.5</v>
      </c>
      <c r="D1276" s="465"/>
      <c r="E1276" s="466" t="s">
        <v>2957</v>
      </c>
      <c r="F1276" s="466" t="s">
        <v>1226</v>
      </c>
      <c r="G1276" s="465"/>
      <c r="H1276" s="465">
        <v>4</v>
      </c>
    </row>
    <row r="1277" spans="1:8" ht="13.8" thickBot="1">
      <c r="A1277" s="465" t="s">
        <v>6588</v>
      </c>
      <c r="B1277" s="465" t="s">
        <v>3059</v>
      </c>
      <c r="C1277" s="466">
        <v>4.5</v>
      </c>
      <c r="D1277" s="467" t="s">
        <v>614</v>
      </c>
      <c r="E1277" s="466" t="s">
        <v>2957</v>
      </c>
      <c r="F1277" s="466" t="s">
        <v>1226</v>
      </c>
      <c r="G1277" s="465"/>
      <c r="H1277" s="465">
        <v>6</v>
      </c>
    </row>
    <row r="1278" spans="1:8" ht="13.8" thickBot="1">
      <c r="A1278" s="465" t="s">
        <v>6589</v>
      </c>
      <c r="B1278" s="465" t="s">
        <v>3060</v>
      </c>
      <c r="C1278" s="466">
        <v>4.5</v>
      </c>
      <c r="D1278" s="465"/>
      <c r="E1278" s="466" t="s">
        <v>2957</v>
      </c>
      <c r="F1278" s="466" t="s">
        <v>1226</v>
      </c>
      <c r="G1278" s="465">
        <v>1</v>
      </c>
      <c r="H1278" s="465">
        <v>1</v>
      </c>
    </row>
    <row r="1279" spans="1:8" ht="13.8" thickBot="1">
      <c r="A1279" s="467" t="s">
        <v>6590</v>
      </c>
      <c r="B1279" s="465" t="s">
        <v>1566</v>
      </c>
      <c r="C1279" s="466">
        <v>4.5</v>
      </c>
      <c r="D1279" s="465"/>
      <c r="E1279" s="466" t="s">
        <v>2957</v>
      </c>
      <c r="F1279" s="466" t="s">
        <v>1224</v>
      </c>
      <c r="G1279" s="465"/>
      <c r="H1279" s="465">
        <v>8</v>
      </c>
    </row>
    <row r="1280" spans="1:8" ht="13.8" thickBot="1">
      <c r="A1280" s="467" t="s">
        <v>6591</v>
      </c>
      <c r="B1280" s="465" t="s">
        <v>1567</v>
      </c>
      <c r="C1280" s="466">
        <v>4.5</v>
      </c>
      <c r="D1280" s="465"/>
      <c r="E1280" s="466" t="s">
        <v>2957</v>
      </c>
      <c r="F1280" s="466" t="s">
        <v>1224</v>
      </c>
      <c r="G1280" s="465"/>
      <c r="H1280" s="465">
        <v>7</v>
      </c>
    </row>
    <row r="1281" spans="1:8" ht="13.8" thickBot="1">
      <c r="A1281" s="465" t="s">
        <v>6592</v>
      </c>
      <c r="B1281" s="465" t="s">
        <v>1568</v>
      </c>
      <c r="C1281" s="466">
        <v>4.5</v>
      </c>
      <c r="D1281" s="465"/>
      <c r="E1281" s="466" t="s">
        <v>2957</v>
      </c>
      <c r="F1281" s="466" t="s">
        <v>1224</v>
      </c>
      <c r="G1281" s="465"/>
      <c r="H1281" s="465">
        <v>13</v>
      </c>
    </row>
    <row r="1282" spans="1:8" ht="13.8" thickBot="1">
      <c r="A1282" s="465" t="s">
        <v>6593</v>
      </c>
      <c r="B1282" s="465" t="s">
        <v>1572</v>
      </c>
      <c r="C1282" s="466">
        <v>4.5</v>
      </c>
      <c r="D1282" s="465"/>
      <c r="E1282" s="466" t="s">
        <v>2957</v>
      </c>
      <c r="F1282" s="466" t="s">
        <v>1224</v>
      </c>
      <c r="G1282" s="465"/>
      <c r="H1282" s="465">
        <v>8</v>
      </c>
    </row>
    <row r="1283" spans="1:8" ht="13.8" thickBot="1">
      <c r="A1283" s="467" t="s">
        <v>6594</v>
      </c>
      <c r="B1283" s="465" t="s">
        <v>3061</v>
      </c>
      <c r="C1283" s="466">
        <v>4.5</v>
      </c>
      <c r="D1283" s="467" t="s">
        <v>614</v>
      </c>
      <c r="E1283" s="466" t="s">
        <v>2957</v>
      </c>
      <c r="F1283" s="466" t="s">
        <v>1224</v>
      </c>
      <c r="G1283" s="465"/>
      <c r="H1283" s="465">
        <v>1</v>
      </c>
    </row>
    <row r="1284" spans="1:8" ht="13.8" thickBot="1">
      <c r="A1284" s="467" t="s">
        <v>6595</v>
      </c>
      <c r="B1284" s="465" t="s">
        <v>1569</v>
      </c>
      <c r="C1284" s="466">
        <v>4.5</v>
      </c>
      <c r="D1284" s="465"/>
      <c r="E1284" s="466" t="s">
        <v>2957</v>
      </c>
      <c r="F1284" s="466" t="s">
        <v>1220</v>
      </c>
      <c r="G1284" s="465">
        <v>1</v>
      </c>
      <c r="H1284" s="465">
        <v>7</v>
      </c>
    </row>
    <row r="1285" spans="1:8" ht="13.8" thickBot="1">
      <c r="A1285" s="467" t="s">
        <v>6596</v>
      </c>
      <c r="B1285" s="465" t="s">
        <v>1570</v>
      </c>
      <c r="C1285" s="466">
        <v>4.5</v>
      </c>
      <c r="D1285" s="465"/>
      <c r="E1285" s="466" t="s">
        <v>2957</v>
      </c>
      <c r="F1285" s="466" t="s">
        <v>1220</v>
      </c>
      <c r="G1285" s="465"/>
      <c r="H1285" s="465">
        <v>6</v>
      </c>
    </row>
    <row r="1286" spans="1:8" ht="13.8" thickBot="1">
      <c r="A1286" s="467" t="s">
        <v>6597</v>
      </c>
      <c r="B1286" s="465" t="s">
        <v>1552</v>
      </c>
      <c r="C1286" s="466">
        <v>4.5</v>
      </c>
      <c r="D1286" s="465"/>
      <c r="E1286" s="466" t="s">
        <v>2957</v>
      </c>
      <c r="F1286" s="466"/>
      <c r="G1286" s="465">
        <v>1</v>
      </c>
      <c r="H1286" s="465">
        <v>5</v>
      </c>
    </row>
    <row r="1287" spans="1:8" ht="13.8" thickBot="1">
      <c r="A1287" s="467" t="s">
        <v>6598</v>
      </c>
      <c r="B1287" s="465" t="s">
        <v>1552</v>
      </c>
      <c r="C1287" s="466">
        <v>4.5</v>
      </c>
      <c r="D1287" s="465"/>
      <c r="E1287" s="466" t="s">
        <v>2957</v>
      </c>
      <c r="F1287" s="466"/>
      <c r="G1287" s="465"/>
      <c r="H1287" s="465">
        <v>3</v>
      </c>
    </row>
    <row r="1288" spans="1:8" ht="13.8" thickBot="1">
      <c r="A1288" s="467" t="s">
        <v>6599</v>
      </c>
      <c r="B1288" s="465" t="s">
        <v>1552</v>
      </c>
      <c r="C1288" s="466">
        <v>4.5</v>
      </c>
      <c r="D1288" s="465"/>
      <c r="E1288" s="466" t="s">
        <v>2957</v>
      </c>
      <c r="F1288" s="466"/>
      <c r="G1288" s="465"/>
      <c r="H1288" s="465">
        <v>5</v>
      </c>
    </row>
    <row r="1289" spans="1:8" ht="13.8" thickBot="1">
      <c r="A1289" s="467" t="s">
        <v>6600</v>
      </c>
      <c r="B1289" s="465" t="s">
        <v>1552</v>
      </c>
      <c r="C1289" s="466">
        <v>4.5</v>
      </c>
      <c r="D1289" s="465"/>
      <c r="E1289" s="466" t="s">
        <v>2957</v>
      </c>
      <c r="F1289" s="466"/>
      <c r="G1289" s="465"/>
      <c r="H1289" s="465">
        <v>1</v>
      </c>
    </row>
    <row r="1290" spans="1:8" ht="13.8" thickBot="1">
      <c r="A1290" s="467" t="s">
        <v>6601</v>
      </c>
      <c r="B1290" s="465" t="s">
        <v>1552</v>
      </c>
      <c r="C1290" s="466">
        <v>4.5</v>
      </c>
      <c r="D1290" s="465"/>
      <c r="E1290" s="466" t="s">
        <v>2957</v>
      </c>
      <c r="F1290" s="466"/>
      <c r="G1290" s="465">
        <v>2</v>
      </c>
      <c r="H1290" s="465">
        <v>8</v>
      </c>
    </row>
    <row r="1291" spans="1:8" ht="13.8" thickBot="1">
      <c r="A1291" s="467" t="s">
        <v>6602</v>
      </c>
      <c r="B1291" s="465" t="s">
        <v>1552</v>
      </c>
      <c r="C1291" s="466">
        <v>4.5</v>
      </c>
      <c r="D1291" s="465"/>
      <c r="E1291" s="466" t="s">
        <v>2957</v>
      </c>
      <c r="F1291" s="466"/>
      <c r="G1291" s="465"/>
      <c r="H1291" s="465">
        <v>5</v>
      </c>
    </row>
    <row r="1292" spans="1:8" ht="13.8" thickBot="1">
      <c r="A1292" s="467" t="s">
        <v>6603</v>
      </c>
      <c r="B1292" s="465" t="s">
        <v>1552</v>
      </c>
      <c r="C1292" s="466">
        <v>4.5</v>
      </c>
      <c r="D1292" s="465"/>
      <c r="E1292" s="466" t="s">
        <v>2957</v>
      </c>
      <c r="F1292" s="466"/>
      <c r="G1292" s="465">
        <v>1</v>
      </c>
      <c r="H1292" s="465">
        <v>5</v>
      </c>
    </row>
    <row r="1293" spans="1:8" ht="13.8" thickBot="1">
      <c r="A1293" s="465" t="s">
        <v>6604</v>
      </c>
      <c r="B1293" s="465" t="s">
        <v>1552</v>
      </c>
      <c r="C1293" s="466">
        <v>4.5</v>
      </c>
      <c r="D1293" s="465"/>
      <c r="E1293" s="466" t="s">
        <v>2957</v>
      </c>
      <c r="F1293" s="466"/>
      <c r="G1293" s="465"/>
      <c r="H1293" s="465">
        <v>4</v>
      </c>
    </row>
    <row r="1294" spans="1:8" ht="13.8" thickBot="1">
      <c r="A1294" s="465" t="s">
        <v>6605</v>
      </c>
      <c r="B1294" s="465" t="s">
        <v>1552</v>
      </c>
      <c r="C1294" s="466">
        <v>4.5</v>
      </c>
      <c r="D1294" s="465"/>
      <c r="E1294" s="466" t="s">
        <v>2957</v>
      </c>
      <c r="F1294" s="466"/>
      <c r="G1294" s="465">
        <v>1</v>
      </c>
      <c r="H1294" s="465">
        <v>4</v>
      </c>
    </row>
    <row r="1295" spans="1:8" ht="13.8" thickBot="1">
      <c r="A1295" s="465" t="s">
        <v>6606</v>
      </c>
      <c r="B1295" s="465" t="s">
        <v>1552</v>
      </c>
      <c r="C1295" s="466">
        <v>4.5</v>
      </c>
      <c r="D1295" s="465"/>
      <c r="E1295" s="466" t="s">
        <v>2957</v>
      </c>
      <c r="F1295" s="466"/>
      <c r="G1295" s="465"/>
      <c r="H1295" s="465">
        <v>4</v>
      </c>
    </row>
    <row r="1296" spans="1:8" ht="13.8" thickBot="1">
      <c r="A1296" s="467" t="s">
        <v>6607</v>
      </c>
      <c r="B1296" s="465" t="s">
        <v>1571</v>
      </c>
      <c r="C1296" s="466">
        <v>4.5</v>
      </c>
      <c r="D1296" s="465"/>
      <c r="E1296" s="466" t="s">
        <v>2957</v>
      </c>
      <c r="F1296" s="466"/>
      <c r="G1296" s="465"/>
      <c r="H1296" s="465">
        <v>5</v>
      </c>
    </row>
    <row r="1297" spans="1:8" ht="13.8" thickBot="1">
      <c r="A1297" s="465" t="s">
        <v>6608</v>
      </c>
      <c r="B1297" s="465" t="s">
        <v>3062</v>
      </c>
      <c r="C1297" s="466">
        <v>4.5</v>
      </c>
      <c r="D1297" s="465"/>
      <c r="E1297" s="466" t="s">
        <v>2957</v>
      </c>
      <c r="F1297" s="466"/>
      <c r="G1297" s="465">
        <v>1</v>
      </c>
      <c r="H1297" s="465">
        <v>2</v>
      </c>
    </row>
    <row r="1298" spans="1:8" ht="13.8" thickBot="1">
      <c r="A1298" s="465" t="s">
        <v>6609</v>
      </c>
      <c r="B1298" s="465" t="s">
        <v>1563</v>
      </c>
      <c r="C1298" s="466">
        <v>4.5</v>
      </c>
      <c r="D1298" s="465"/>
      <c r="E1298" s="466" t="s">
        <v>2957</v>
      </c>
      <c r="F1298" s="466"/>
      <c r="G1298" s="465"/>
      <c r="H1298" s="465">
        <v>4</v>
      </c>
    </row>
    <row r="1299" spans="1:8" ht="13.8" thickBot="1">
      <c r="A1299" s="467" t="s">
        <v>6610</v>
      </c>
      <c r="B1299" s="465" t="s">
        <v>1563</v>
      </c>
      <c r="C1299" s="466">
        <v>4.5</v>
      </c>
      <c r="D1299" s="465"/>
      <c r="E1299" s="466" t="s">
        <v>2957</v>
      </c>
      <c r="F1299" s="466"/>
      <c r="G1299" s="465">
        <v>1</v>
      </c>
      <c r="H1299" s="465">
        <v>4</v>
      </c>
    </row>
    <row r="1300" spans="1:8" ht="13.8" thickBot="1">
      <c r="A1300" s="467" t="s">
        <v>6611</v>
      </c>
      <c r="B1300" s="465" t="s">
        <v>1576</v>
      </c>
      <c r="C1300" s="466">
        <v>4.5</v>
      </c>
      <c r="D1300" s="465"/>
      <c r="E1300" s="466" t="s">
        <v>2957</v>
      </c>
      <c r="F1300" s="466"/>
      <c r="G1300" s="465"/>
      <c r="H1300" s="465">
        <v>2</v>
      </c>
    </row>
    <row r="1301" spans="1:8" ht="13.8" thickBot="1">
      <c r="A1301" s="465" t="s">
        <v>6612</v>
      </c>
      <c r="B1301" s="465" t="s">
        <v>3063</v>
      </c>
      <c r="C1301" s="466">
        <v>4.5</v>
      </c>
      <c r="D1301" s="465"/>
      <c r="E1301" s="466" t="s">
        <v>2957</v>
      </c>
      <c r="F1301" s="466"/>
      <c r="G1301" s="465"/>
      <c r="H1301" s="465">
        <v>4</v>
      </c>
    </row>
    <row r="1302" spans="1:8" ht="13.8" thickBot="1">
      <c r="A1302" s="465" t="s">
        <v>6613</v>
      </c>
      <c r="B1302" s="465" t="s">
        <v>1555</v>
      </c>
      <c r="C1302" s="466">
        <v>4.5</v>
      </c>
      <c r="D1302" s="465"/>
      <c r="E1302" s="466" t="s">
        <v>2957</v>
      </c>
      <c r="F1302" s="466"/>
      <c r="G1302" s="465"/>
      <c r="H1302" s="465">
        <v>5</v>
      </c>
    </row>
    <row r="1303" spans="1:8" ht="13.8" thickBot="1">
      <c r="A1303" s="465" t="s">
        <v>6614</v>
      </c>
      <c r="B1303" s="465" t="s">
        <v>1555</v>
      </c>
      <c r="C1303" s="466">
        <v>4.5</v>
      </c>
      <c r="D1303" s="465"/>
      <c r="E1303" s="466" t="s">
        <v>2957</v>
      </c>
      <c r="F1303" s="466"/>
      <c r="G1303" s="465"/>
      <c r="H1303" s="465">
        <v>5</v>
      </c>
    </row>
    <row r="1304" spans="1:8" ht="13.8" thickBot="1">
      <c r="A1304" s="467" t="s">
        <v>6615</v>
      </c>
      <c r="B1304" s="465" t="s">
        <v>3064</v>
      </c>
      <c r="C1304" s="466">
        <v>4.5</v>
      </c>
      <c r="D1304" s="465"/>
      <c r="E1304" s="466" t="s">
        <v>2957</v>
      </c>
      <c r="F1304" s="466"/>
      <c r="G1304" s="465"/>
      <c r="H1304" s="465">
        <v>6</v>
      </c>
    </row>
    <row r="1305" spans="1:8" ht="13.8" thickBot="1">
      <c r="A1305" s="465" t="s">
        <v>6616</v>
      </c>
      <c r="B1305" s="465" t="s">
        <v>1562</v>
      </c>
      <c r="C1305" s="466">
        <v>4.5</v>
      </c>
      <c r="D1305" s="465"/>
      <c r="E1305" s="466" t="s">
        <v>2957</v>
      </c>
      <c r="F1305" s="466"/>
      <c r="G1305" s="465"/>
      <c r="H1305" s="465">
        <v>3</v>
      </c>
    </row>
    <row r="1306" spans="1:8" ht="13.8" thickBot="1">
      <c r="A1306" s="467" t="s">
        <v>6617</v>
      </c>
      <c r="B1306" s="465" t="s">
        <v>3052</v>
      </c>
      <c r="C1306" s="466">
        <v>4.5</v>
      </c>
      <c r="D1306" s="465"/>
      <c r="E1306" s="466" t="s">
        <v>2957</v>
      </c>
      <c r="F1306" s="466"/>
      <c r="G1306" s="465"/>
      <c r="H1306" s="465">
        <v>2</v>
      </c>
    </row>
    <row r="1307" spans="1:8" ht="13.8" thickBot="1">
      <c r="A1307" s="465" t="s">
        <v>6618</v>
      </c>
      <c r="B1307" s="465" t="s">
        <v>1554</v>
      </c>
      <c r="C1307" s="466">
        <v>4.5</v>
      </c>
      <c r="D1307" s="467" t="s">
        <v>614</v>
      </c>
      <c r="E1307" s="466" t="s">
        <v>2957</v>
      </c>
      <c r="F1307" s="466"/>
      <c r="G1307" s="465"/>
      <c r="H1307" s="465">
        <v>1</v>
      </c>
    </row>
    <row r="1308" spans="1:8" ht="13.8" thickBot="1">
      <c r="A1308" s="467" t="s">
        <v>6619</v>
      </c>
      <c r="B1308" s="465" t="s">
        <v>1579</v>
      </c>
      <c r="C1308" s="466">
        <v>4.5</v>
      </c>
      <c r="D1308" s="465"/>
      <c r="E1308" s="466" t="s">
        <v>2957</v>
      </c>
      <c r="F1308" s="466"/>
      <c r="G1308" s="465"/>
      <c r="H1308" s="465">
        <v>3</v>
      </c>
    </row>
    <row r="1309" spans="1:8" ht="13.8" thickBot="1">
      <c r="A1309" s="467" t="s">
        <v>6620</v>
      </c>
      <c r="B1309" s="465" t="s">
        <v>2971</v>
      </c>
      <c r="C1309" s="466">
        <v>4.5</v>
      </c>
      <c r="D1309" s="465"/>
      <c r="E1309" s="466" t="s">
        <v>2957</v>
      </c>
      <c r="F1309" s="466"/>
      <c r="G1309" s="465">
        <v>1</v>
      </c>
      <c r="H1309" s="465">
        <v>7</v>
      </c>
    </row>
    <row r="1310" spans="1:8" ht="13.8" thickBot="1">
      <c r="A1310" s="467" t="s">
        <v>6621</v>
      </c>
      <c r="B1310" s="465" t="s">
        <v>3103</v>
      </c>
      <c r="C1310" s="466">
        <v>4.5</v>
      </c>
      <c r="D1310" s="465"/>
      <c r="E1310" s="466" t="s">
        <v>3085</v>
      </c>
      <c r="F1310" s="466" t="s">
        <v>1251</v>
      </c>
      <c r="G1310" s="465"/>
      <c r="H1310" s="465"/>
    </row>
    <row r="1311" spans="1:8" ht="13.8" thickBot="1">
      <c r="A1311" s="467" t="s">
        <v>6622</v>
      </c>
      <c r="B1311" s="465" t="s">
        <v>3106</v>
      </c>
      <c r="C1311" s="466">
        <v>4.5</v>
      </c>
      <c r="D1311" s="465"/>
      <c r="E1311" s="466" t="s">
        <v>3085</v>
      </c>
      <c r="F1311" s="466" t="s">
        <v>1226</v>
      </c>
      <c r="G1311" s="465"/>
      <c r="H1311" s="465"/>
    </row>
    <row r="1312" spans="1:8" ht="13.8" thickBot="1">
      <c r="A1312" s="467" t="s">
        <v>6623</v>
      </c>
      <c r="B1312" s="465" t="s">
        <v>3107</v>
      </c>
      <c r="C1312" s="466">
        <v>4.5</v>
      </c>
      <c r="D1312" s="465"/>
      <c r="E1312" s="466" t="s">
        <v>3085</v>
      </c>
      <c r="F1312" s="466" t="s">
        <v>1226</v>
      </c>
      <c r="G1312" s="465"/>
      <c r="H1312" s="465"/>
    </row>
    <row r="1313" spans="1:8" ht="13.8" thickBot="1">
      <c r="A1313" s="467" t="s">
        <v>6624</v>
      </c>
      <c r="B1313" s="465" t="s">
        <v>3089</v>
      </c>
      <c r="C1313" s="466">
        <v>4.5</v>
      </c>
      <c r="D1313" s="465"/>
      <c r="E1313" s="466" t="s">
        <v>3085</v>
      </c>
      <c r="F1313" s="466" t="s">
        <v>1224</v>
      </c>
      <c r="G1313" s="465"/>
      <c r="H1313" s="465">
        <v>3</v>
      </c>
    </row>
    <row r="1314" spans="1:8" ht="13.8" thickBot="1">
      <c r="A1314" s="467" t="s">
        <v>6625</v>
      </c>
      <c r="B1314" s="465" t="s">
        <v>3089</v>
      </c>
      <c r="C1314" s="466">
        <v>4.5</v>
      </c>
      <c r="D1314" s="465"/>
      <c r="E1314" s="466" t="s">
        <v>3085</v>
      </c>
      <c r="F1314" s="466"/>
      <c r="G1314" s="465"/>
      <c r="H1314" s="465">
        <v>1</v>
      </c>
    </row>
    <row r="1315" spans="1:8" ht="13.8" thickBot="1">
      <c r="A1315" s="467" t="s">
        <v>6626</v>
      </c>
      <c r="B1315" s="465" t="s">
        <v>3089</v>
      </c>
      <c r="C1315" s="466">
        <v>4.5</v>
      </c>
      <c r="D1315" s="467" t="s">
        <v>2223</v>
      </c>
      <c r="E1315" s="466" t="s">
        <v>3085</v>
      </c>
      <c r="F1315" s="466"/>
      <c r="G1315" s="465"/>
      <c r="H1315" s="465"/>
    </row>
    <row r="1316" spans="1:8" ht="13.8" thickBot="1">
      <c r="A1316" s="467" t="s">
        <v>6627</v>
      </c>
      <c r="B1316" s="465" t="s">
        <v>3152</v>
      </c>
      <c r="C1316" s="466">
        <v>4.5</v>
      </c>
      <c r="D1316" s="465"/>
      <c r="E1316" s="466" t="s">
        <v>3130</v>
      </c>
      <c r="F1316" s="466"/>
      <c r="G1316" s="465"/>
      <c r="H1316" s="465">
        <v>1</v>
      </c>
    </row>
    <row r="1317" spans="1:8" ht="13.8" thickBot="1">
      <c r="A1317" s="467" t="s">
        <v>6628</v>
      </c>
      <c r="B1317" s="465" t="s">
        <v>1390</v>
      </c>
      <c r="C1317" s="466">
        <v>4.5</v>
      </c>
      <c r="D1317" s="465"/>
      <c r="E1317" s="466" t="s">
        <v>3161</v>
      </c>
      <c r="F1317" s="466" t="s">
        <v>1251</v>
      </c>
      <c r="G1317" s="465"/>
      <c r="H1317" s="465"/>
    </row>
    <row r="1318" spans="1:8" ht="13.8" thickBot="1">
      <c r="A1318" s="465" t="s">
        <v>6629</v>
      </c>
      <c r="B1318" s="465" t="s">
        <v>1397</v>
      </c>
      <c r="C1318" s="466">
        <v>4.5</v>
      </c>
      <c r="D1318" s="465"/>
      <c r="E1318" s="466" t="s">
        <v>3161</v>
      </c>
      <c r="F1318" s="466" t="s">
        <v>1226</v>
      </c>
      <c r="G1318" s="465">
        <v>1</v>
      </c>
      <c r="H1318" s="465">
        <v>9</v>
      </c>
    </row>
    <row r="1319" spans="1:8" ht="13.8" thickBot="1">
      <c r="A1319" s="465" t="s">
        <v>6630</v>
      </c>
      <c r="B1319" s="465" t="s">
        <v>1401</v>
      </c>
      <c r="C1319" s="466">
        <v>4.5</v>
      </c>
      <c r="D1319" s="465"/>
      <c r="E1319" s="466" t="s">
        <v>3161</v>
      </c>
      <c r="F1319" s="466" t="s">
        <v>1226</v>
      </c>
      <c r="G1319" s="465"/>
      <c r="H1319" s="465">
        <v>12</v>
      </c>
    </row>
    <row r="1320" spans="1:8" ht="13.8" thickBot="1">
      <c r="A1320" s="467" t="s">
        <v>6631</v>
      </c>
      <c r="B1320" s="465" t="s">
        <v>1403</v>
      </c>
      <c r="C1320" s="466">
        <v>4.5</v>
      </c>
      <c r="D1320" s="465"/>
      <c r="E1320" s="466" t="s">
        <v>3161</v>
      </c>
      <c r="F1320" s="466" t="s">
        <v>1224</v>
      </c>
      <c r="G1320" s="465"/>
      <c r="H1320" s="465">
        <v>4</v>
      </c>
    </row>
    <row r="1321" spans="1:8" ht="13.8" thickBot="1">
      <c r="A1321" s="467" t="s">
        <v>6632</v>
      </c>
      <c r="B1321" s="465" t="s">
        <v>1402</v>
      </c>
      <c r="C1321" s="466">
        <v>4.5</v>
      </c>
      <c r="D1321" s="467" t="s">
        <v>614</v>
      </c>
      <c r="E1321" s="466" t="s">
        <v>3161</v>
      </c>
      <c r="F1321" s="466" t="s">
        <v>1220</v>
      </c>
      <c r="G1321" s="465">
        <v>5</v>
      </c>
      <c r="H1321" s="465">
        <v>14</v>
      </c>
    </row>
    <row r="1322" spans="1:8" ht="13.8" thickBot="1">
      <c r="A1322" s="467" t="s">
        <v>6633</v>
      </c>
      <c r="B1322" s="465" t="s">
        <v>1390</v>
      </c>
      <c r="C1322" s="466">
        <v>4.5</v>
      </c>
      <c r="D1322" s="465"/>
      <c r="E1322" s="466" t="s">
        <v>3161</v>
      </c>
      <c r="F1322" s="466"/>
      <c r="G1322" s="465"/>
      <c r="H1322" s="465">
        <v>2</v>
      </c>
    </row>
    <row r="1323" spans="1:8" ht="13.8" thickBot="1">
      <c r="A1323" s="465" t="s">
        <v>6634</v>
      </c>
      <c r="B1323" s="465" t="s">
        <v>3250</v>
      </c>
      <c r="C1323" s="466">
        <v>4.5</v>
      </c>
      <c r="D1323" s="467" t="s">
        <v>614</v>
      </c>
      <c r="E1323" s="466" t="s">
        <v>3161</v>
      </c>
      <c r="F1323" s="466"/>
      <c r="G1323" s="465"/>
      <c r="H1323" s="465">
        <v>3</v>
      </c>
    </row>
    <row r="1324" spans="1:8" ht="13.8" thickBot="1">
      <c r="A1324" s="467" t="s">
        <v>6635</v>
      </c>
      <c r="B1324" s="465" t="s">
        <v>1419</v>
      </c>
      <c r="C1324" s="466">
        <v>4.5</v>
      </c>
      <c r="D1324" s="467" t="s">
        <v>614</v>
      </c>
      <c r="E1324" s="466" t="s">
        <v>3285</v>
      </c>
      <c r="F1324" s="466"/>
      <c r="G1324" s="465"/>
      <c r="H1324" s="465">
        <v>1</v>
      </c>
    </row>
    <row r="1325" spans="1:8" ht="13.8" thickBot="1">
      <c r="A1325" s="467" t="s">
        <v>6636</v>
      </c>
      <c r="B1325" s="465" t="s">
        <v>1438</v>
      </c>
      <c r="C1325" s="466">
        <v>4.5</v>
      </c>
      <c r="D1325" s="467" t="s">
        <v>614</v>
      </c>
      <c r="E1325" s="466" t="s">
        <v>3315</v>
      </c>
      <c r="F1325" s="466" t="s">
        <v>1224</v>
      </c>
      <c r="G1325" s="465">
        <v>1</v>
      </c>
      <c r="H1325" s="465">
        <v>13</v>
      </c>
    </row>
    <row r="1326" spans="1:8" ht="13.8" thickBot="1">
      <c r="A1326" s="467" t="s">
        <v>6509</v>
      </c>
      <c r="B1326" s="465" t="s">
        <v>2081</v>
      </c>
      <c r="C1326" s="466">
        <v>4.5</v>
      </c>
      <c r="D1326" s="465"/>
      <c r="E1326" s="466" t="s">
        <v>2032</v>
      </c>
      <c r="F1326" s="466" t="s">
        <v>1910</v>
      </c>
      <c r="G1326" s="465"/>
      <c r="H1326" s="465">
        <v>2</v>
      </c>
    </row>
    <row r="1327" spans="1:8" ht="13.8" thickBot="1">
      <c r="A1327" s="467" t="s">
        <v>6510</v>
      </c>
      <c r="B1327" s="468" t="s">
        <v>2044</v>
      </c>
      <c r="C1327" s="466">
        <v>4.5</v>
      </c>
      <c r="D1327" s="465"/>
      <c r="E1327" s="466" t="s">
        <v>2032</v>
      </c>
      <c r="F1327" s="466" t="s">
        <v>1226</v>
      </c>
      <c r="G1327" s="465"/>
      <c r="H1327" s="465">
        <v>2</v>
      </c>
    </row>
    <row r="1328" spans="1:8" ht="13.8" thickBot="1">
      <c r="A1328" s="467" t="s">
        <v>6511</v>
      </c>
      <c r="B1328" s="465" t="s">
        <v>2044</v>
      </c>
      <c r="C1328" s="466">
        <v>4.5</v>
      </c>
      <c r="D1328" s="465"/>
      <c r="E1328" s="466" t="s">
        <v>2032</v>
      </c>
      <c r="F1328" s="466"/>
      <c r="G1328" s="465"/>
      <c r="H1328" s="465">
        <v>5</v>
      </c>
    </row>
    <row r="1329" spans="1:8" ht="13.8" thickBot="1">
      <c r="A1329" s="467" t="s">
        <v>6512</v>
      </c>
      <c r="B1329" s="465" t="s">
        <v>1287</v>
      </c>
      <c r="C1329" s="466">
        <v>4.5</v>
      </c>
      <c r="D1329" s="465"/>
      <c r="E1329" s="466" t="s">
        <v>2032</v>
      </c>
      <c r="F1329" s="466"/>
      <c r="G1329" s="465">
        <v>1</v>
      </c>
      <c r="H1329" s="465">
        <v>4</v>
      </c>
    </row>
    <row r="1330" spans="1:8" ht="13.8" thickBot="1">
      <c r="A1330" s="467" t="s">
        <v>6513</v>
      </c>
      <c r="B1330" s="465" t="s">
        <v>1290</v>
      </c>
      <c r="C1330" s="466">
        <v>4.5</v>
      </c>
      <c r="D1330" s="465"/>
      <c r="E1330" s="466" t="s">
        <v>2032</v>
      </c>
      <c r="F1330" s="466"/>
      <c r="G1330" s="465"/>
      <c r="H1330" s="465">
        <v>10</v>
      </c>
    </row>
    <row r="1331" spans="1:8" ht="13.8" thickBot="1">
      <c r="A1331" s="467" t="s">
        <v>6514</v>
      </c>
      <c r="B1331" s="465" t="s">
        <v>1283</v>
      </c>
      <c r="C1331" s="466">
        <v>4.5</v>
      </c>
      <c r="D1331" s="465"/>
      <c r="E1331" s="466" t="s">
        <v>2032</v>
      </c>
      <c r="F1331" s="466"/>
      <c r="G1331" s="465"/>
      <c r="H1331" s="465">
        <v>4</v>
      </c>
    </row>
    <row r="1332" spans="1:8" ht="13.8" thickBot="1">
      <c r="A1332" s="467" t="s">
        <v>6637</v>
      </c>
      <c r="B1332" s="465" t="s">
        <v>3355</v>
      </c>
      <c r="C1332" s="466">
        <v>4.5</v>
      </c>
      <c r="D1332" s="467" t="s">
        <v>2512</v>
      </c>
      <c r="E1332" s="466" t="s">
        <v>3351</v>
      </c>
      <c r="F1332" s="466" t="s">
        <v>1865</v>
      </c>
      <c r="G1332" s="465">
        <v>1</v>
      </c>
      <c r="H1332" s="465">
        <v>6</v>
      </c>
    </row>
    <row r="1333" spans="1:8" ht="13.8" thickBot="1">
      <c r="A1333" s="467" t="s">
        <v>6638</v>
      </c>
      <c r="B1333" s="465" t="s">
        <v>1443</v>
      </c>
      <c r="C1333" s="466">
        <v>4.5</v>
      </c>
      <c r="D1333" s="467" t="s">
        <v>614</v>
      </c>
      <c r="E1333" s="466" t="s">
        <v>3351</v>
      </c>
      <c r="F1333" s="466" t="s">
        <v>1226</v>
      </c>
      <c r="G1333" s="465"/>
      <c r="H1333" s="465">
        <v>10</v>
      </c>
    </row>
    <row r="1334" spans="1:8" ht="13.8" thickBot="1">
      <c r="A1334" s="467" t="s">
        <v>6637</v>
      </c>
      <c r="B1334" s="465" t="s">
        <v>1442</v>
      </c>
      <c r="C1334" s="466">
        <v>4.5</v>
      </c>
      <c r="D1334" s="467" t="s">
        <v>614</v>
      </c>
      <c r="E1334" s="466" t="s">
        <v>3351</v>
      </c>
      <c r="F1334" s="466" t="s">
        <v>1224</v>
      </c>
      <c r="G1334" s="465"/>
      <c r="H1334" s="465">
        <v>11</v>
      </c>
    </row>
    <row r="1335" spans="1:8" ht="13.8" thickBot="1">
      <c r="A1335" s="467" t="s">
        <v>6639</v>
      </c>
      <c r="B1335" s="465" t="s">
        <v>3394</v>
      </c>
      <c r="C1335" s="466">
        <v>4.5</v>
      </c>
      <c r="D1335" s="467" t="s">
        <v>614</v>
      </c>
      <c r="E1335" s="466" t="s">
        <v>3351</v>
      </c>
      <c r="F1335" s="466" t="s">
        <v>1220</v>
      </c>
      <c r="G1335" s="465"/>
      <c r="H1335" s="465">
        <v>7</v>
      </c>
    </row>
    <row r="1336" spans="1:8" ht="13.8" thickBot="1">
      <c r="A1336" s="467" t="s">
        <v>6640</v>
      </c>
      <c r="B1336" s="465" t="s">
        <v>3421</v>
      </c>
      <c r="C1336" s="466">
        <v>4.5</v>
      </c>
      <c r="D1336" s="467" t="s">
        <v>614</v>
      </c>
      <c r="E1336" s="466" t="s">
        <v>3414</v>
      </c>
      <c r="F1336" s="466"/>
      <c r="G1336" s="465"/>
      <c r="H1336" s="465">
        <v>2</v>
      </c>
    </row>
    <row r="1337" spans="1:8" ht="13.8" thickBot="1">
      <c r="A1337" s="467" t="s">
        <v>6641</v>
      </c>
      <c r="B1337" s="465" t="s">
        <v>3446</v>
      </c>
      <c r="C1337" s="466">
        <v>4.5</v>
      </c>
      <c r="D1337" s="467" t="s">
        <v>614</v>
      </c>
      <c r="E1337" s="466" t="s">
        <v>3414</v>
      </c>
      <c r="F1337" s="466"/>
      <c r="G1337" s="465"/>
      <c r="H1337" s="465">
        <v>1</v>
      </c>
    </row>
    <row r="1338" spans="1:8" ht="13.8" thickBot="1">
      <c r="A1338" s="465" t="s">
        <v>871</v>
      </c>
      <c r="B1338" s="465" t="s">
        <v>3450</v>
      </c>
      <c r="C1338" s="466">
        <v>4.5</v>
      </c>
      <c r="D1338" s="467" t="s">
        <v>614</v>
      </c>
      <c r="E1338" s="466" t="s">
        <v>3448</v>
      </c>
      <c r="F1338" s="466" t="s">
        <v>1865</v>
      </c>
      <c r="G1338" s="465"/>
      <c r="H1338" s="465">
        <v>3</v>
      </c>
    </row>
    <row r="1339" spans="1:8" ht="13.8" thickBot="1">
      <c r="A1339" s="467" t="s">
        <v>6642</v>
      </c>
      <c r="B1339" s="465" t="s">
        <v>1447</v>
      </c>
      <c r="C1339" s="466">
        <v>4.5</v>
      </c>
      <c r="D1339" s="467" t="s">
        <v>614</v>
      </c>
      <c r="E1339" s="466" t="s">
        <v>3448</v>
      </c>
      <c r="F1339" s="466" t="s">
        <v>1220</v>
      </c>
      <c r="G1339" s="465">
        <v>1</v>
      </c>
      <c r="H1339" s="465">
        <v>7</v>
      </c>
    </row>
    <row r="1340" spans="1:8" ht="13.8" thickBot="1">
      <c r="A1340" s="467" t="s">
        <v>6643</v>
      </c>
      <c r="B1340" s="465" t="s">
        <v>3487</v>
      </c>
      <c r="C1340" s="466">
        <v>4.5</v>
      </c>
      <c r="D1340" s="467" t="s">
        <v>614</v>
      </c>
      <c r="E1340" s="466" t="s">
        <v>3452</v>
      </c>
      <c r="F1340" s="466" t="s">
        <v>2417</v>
      </c>
      <c r="G1340" s="465">
        <v>2</v>
      </c>
      <c r="H1340" s="465">
        <v>14</v>
      </c>
    </row>
    <row r="1341" spans="1:8" ht="13.8" thickBot="1">
      <c r="A1341" s="467" t="s">
        <v>6644</v>
      </c>
      <c r="B1341" s="465" t="s">
        <v>3488</v>
      </c>
      <c r="C1341" s="466">
        <v>4.5</v>
      </c>
      <c r="D1341" s="467" t="s">
        <v>614</v>
      </c>
      <c r="E1341" s="466" t="s">
        <v>3452</v>
      </c>
      <c r="F1341" s="466" t="s">
        <v>1224</v>
      </c>
      <c r="G1341" s="465"/>
      <c r="H1341" s="465">
        <v>11</v>
      </c>
    </row>
    <row r="1342" spans="1:8" ht="13.8" thickBot="1">
      <c r="A1342" s="467" t="s">
        <v>6645</v>
      </c>
      <c r="B1342" s="465" t="s">
        <v>3451</v>
      </c>
      <c r="C1342" s="466">
        <v>4.5</v>
      </c>
      <c r="D1342" s="465"/>
      <c r="E1342" s="466" t="s">
        <v>3452</v>
      </c>
      <c r="F1342" s="466" t="s">
        <v>1220</v>
      </c>
      <c r="G1342" s="465"/>
      <c r="H1342" s="465">
        <v>3</v>
      </c>
    </row>
    <row r="1343" spans="1:8" ht="13.8" thickBot="1">
      <c r="A1343" s="467" t="s">
        <v>6646</v>
      </c>
      <c r="B1343" s="465" t="s">
        <v>3512</v>
      </c>
      <c r="C1343" s="466">
        <v>4.5</v>
      </c>
      <c r="D1343" s="465"/>
      <c r="E1343" s="466" t="s">
        <v>3496</v>
      </c>
      <c r="F1343" s="466" t="s">
        <v>1226</v>
      </c>
      <c r="G1343" s="465"/>
      <c r="H1343" s="465">
        <v>3</v>
      </c>
    </row>
    <row r="1344" spans="1:8" ht="13.8" thickBot="1">
      <c r="A1344" s="467" t="s">
        <v>6647</v>
      </c>
      <c r="B1344" s="465" t="s">
        <v>3513</v>
      </c>
      <c r="C1344" s="466">
        <v>4.5</v>
      </c>
      <c r="D1344" s="465"/>
      <c r="E1344" s="466" t="s">
        <v>3496</v>
      </c>
      <c r="F1344" s="466"/>
      <c r="G1344" s="465"/>
      <c r="H1344" s="465">
        <v>2</v>
      </c>
    </row>
    <row r="1345" spans="1:8" ht="13.8" thickBot="1">
      <c r="A1345" s="465" t="s">
        <v>6648</v>
      </c>
      <c r="B1345" s="465" t="s">
        <v>3629</v>
      </c>
      <c r="C1345" s="466">
        <v>4.5</v>
      </c>
      <c r="D1345" s="465"/>
      <c r="E1345" s="466" t="s">
        <v>3517</v>
      </c>
      <c r="F1345" s="466" t="s">
        <v>1224</v>
      </c>
      <c r="G1345" s="465"/>
      <c r="H1345" s="465">
        <v>1</v>
      </c>
    </row>
    <row r="1346" spans="1:8" ht="13.8" thickBot="1">
      <c r="A1346" s="465" t="s">
        <v>1085</v>
      </c>
      <c r="B1346" s="465" t="s">
        <v>1458</v>
      </c>
      <c r="C1346" s="466">
        <v>4.5</v>
      </c>
      <c r="D1346" s="465"/>
      <c r="E1346" s="466" t="s">
        <v>3517</v>
      </c>
      <c r="F1346" s="466"/>
      <c r="G1346" s="465"/>
      <c r="H1346" s="465">
        <v>2</v>
      </c>
    </row>
    <row r="1347" spans="1:8" ht="13.8" thickBot="1">
      <c r="A1347" s="465" t="s">
        <v>6649</v>
      </c>
      <c r="B1347" s="465" t="s">
        <v>1466</v>
      </c>
      <c r="C1347" s="466">
        <v>4.5</v>
      </c>
      <c r="D1347" s="465"/>
      <c r="E1347" s="466" t="s">
        <v>3652</v>
      </c>
      <c r="F1347" s="466" t="s">
        <v>1865</v>
      </c>
      <c r="G1347" s="465"/>
      <c r="H1347" s="465">
        <v>8</v>
      </c>
    </row>
    <row r="1348" spans="1:8" ht="13.8" thickBot="1">
      <c r="A1348" s="465" t="s">
        <v>6650</v>
      </c>
      <c r="B1348" s="465" t="s">
        <v>1469</v>
      </c>
      <c r="C1348" s="466">
        <v>4.5</v>
      </c>
      <c r="D1348" s="465"/>
      <c r="E1348" s="466" t="s">
        <v>3652</v>
      </c>
      <c r="F1348" s="466" t="s">
        <v>1224</v>
      </c>
      <c r="G1348" s="465">
        <v>1</v>
      </c>
      <c r="H1348" s="465">
        <v>10</v>
      </c>
    </row>
    <row r="1349" spans="1:8" ht="13.8" thickBot="1">
      <c r="A1349" s="465" t="s">
        <v>6651</v>
      </c>
      <c r="B1349" s="465" t="s">
        <v>1468</v>
      </c>
      <c r="C1349" s="466">
        <v>4.5</v>
      </c>
      <c r="D1349" s="465"/>
      <c r="E1349" s="466" t="s">
        <v>3652</v>
      </c>
      <c r="F1349" s="466" t="s">
        <v>1224</v>
      </c>
      <c r="G1349" s="465"/>
      <c r="H1349" s="465">
        <v>7</v>
      </c>
    </row>
    <row r="1350" spans="1:8" ht="13.8" thickBot="1">
      <c r="A1350" s="465" t="s">
        <v>6652</v>
      </c>
      <c r="B1350" s="465" t="s">
        <v>1466</v>
      </c>
      <c r="C1350" s="466">
        <v>4.5</v>
      </c>
      <c r="D1350" s="465"/>
      <c r="E1350" s="466" t="s">
        <v>3652</v>
      </c>
      <c r="F1350" s="466" t="s">
        <v>1220</v>
      </c>
      <c r="G1350" s="465">
        <v>1</v>
      </c>
      <c r="H1350" s="465">
        <v>10</v>
      </c>
    </row>
    <row r="1351" spans="1:8" ht="13.8" thickBot="1">
      <c r="A1351" s="465" t="s">
        <v>6653</v>
      </c>
      <c r="B1351" s="465" t="s">
        <v>1466</v>
      </c>
      <c r="C1351" s="466">
        <v>4.5</v>
      </c>
      <c r="D1351" s="465"/>
      <c r="E1351" s="466" t="s">
        <v>3652</v>
      </c>
      <c r="F1351" s="466"/>
      <c r="G1351" s="465"/>
      <c r="H1351" s="465">
        <v>4</v>
      </c>
    </row>
    <row r="1352" spans="1:8" ht="13.8" thickBot="1">
      <c r="A1352" s="465" t="s">
        <v>6654</v>
      </c>
      <c r="B1352" s="465" t="s">
        <v>1466</v>
      </c>
      <c r="C1352" s="466">
        <v>4.5</v>
      </c>
      <c r="D1352" s="465"/>
      <c r="E1352" s="466" t="s">
        <v>3652</v>
      </c>
      <c r="F1352" s="466"/>
      <c r="G1352" s="465"/>
      <c r="H1352" s="465">
        <v>4</v>
      </c>
    </row>
    <row r="1353" spans="1:8" ht="13.8" thickBot="1">
      <c r="A1353" s="465" t="s">
        <v>6655</v>
      </c>
      <c r="B1353" s="465" t="s">
        <v>1466</v>
      </c>
      <c r="C1353" s="466">
        <v>4.5</v>
      </c>
      <c r="D1353" s="465"/>
      <c r="E1353" s="466" t="s">
        <v>3652</v>
      </c>
      <c r="F1353" s="466"/>
      <c r="G1353" s="465"/>
      <c r="H1353" s="465">
        <v>2</v>
      </c>
    </row>
    <row r="1354" spans="1:8" ht="13.8" thickBot="1">
      <c r="A1354" s="465" t="s">
        <v>6656</v>
      </c>
      <c r="B1354" s="465" t="s">
        <v>1466</v>
      </c>
      <c r="C1354" s="466">
        <v>4.5</v>
      </c>
      <c r="D1354" s="465"/>
      <c r="E1354" s="466" t="s">
        <v>3652</v>
      </c>
      <c r="F1354" s="466"/>
      <c r="G1354" s="465"/>
      <c r="H1354" s="465">
        <v>1</v>
      </c>
    </row>
    <row r="1355" spans="1:8" ht="13.8" thickBot="1">
      <c r="A1355" s="465" t="s">
        <v>6657</v>
      </c>
      <c r="B1355" s="465" t="s">
        <v>1466</v>
      </c>
      <c r="C1355" s="466">
        <v>4.5</v>
      </c>
      <c r="D1355" s="465"/>
      <c r="E1355" s="466" t="s">
        <v>3652</v>
      </c>
      <c r="F1355" s="466"/>
      <c r="G1355" s="465"/>
      <c r="H1355" s="465">
        <v>1</v>
      </c>
    </row>
    <row r="1356" spans="1:8" ht="13.8" thickBot="1">
      <c r="A1356" s="465" t="s">
        <v>6658</v>
      </c>
      <c r="B1356" s="465" t="s">
        <v>3711</v>
      </c>
      <c r="C1356" s="466">
        <v>4.5</v>
      </c>
      <c r="D1356" s="467" t="s">
        <v>614</v>
      </c>
      <c r="E1356" s="466" t="s">
        <v>3652</v>
      </c>
      <c r="F1356" s="466"/>
      <c r="G1356" s="465"/>
      <c r="H1356" s="465">
        <v>6</v>
      </c>
    </row>
    <row r="1357" spans="1:8" ht="13.8" thickBot="1">
      <c r="A1357" s="467" t="s">
        <v>6659</v>
      </c>
      <c r="B1357" s="465" t="s">
        <v>3712</v>
      </c>
      <c r="C1357" s="466">
        <v>4.5</v>
      </c>
      <c r="D1357" s="465"/>
      <c r="E1357" s="466" t="s">
        <v>3652</v>
      </c>
      <c r="F1357" s="466"/>
      <c r="G1357" s="465">
        <v>1</v>
      </c>
      <c r="H1357" s="465">
        <v>5</v>
      </c>
    </row>
    <row r="1358" spans="1:8" ht="13.8" thickBot="1">
      <c r="A1358" s="467" t="s">
        <v>6660</v>
      </c>
      <c r="B1358" s="465" t="s">
        <v>1470</v>
      </c>
      <c r="C1358" s="466">
        <v>4.5</v>
      </c>
      <c r="D1358" s="465"/>
      <c r="E1358" s="466" t="s">
        <v>3652</v>
      </c>
      <c r="F1358" s="466"/>
      <c r="G1358" s="465"/>
      <c r="H1358" s="465">
        <v>12</v>
      </c>
    </row>
    <row r="1359" spans="1:8" ht="13.8" thickBot="1">
      <c r="A1359" s="465" t="s">
        <v>6661</v>
      </c>
      <c r="B1359" s="465" t="s">
        <v>3657</v>
      </c>
      <c r="C1359" s="466">
        <v>4.5</v>
      </c>
      <c r="D1359" s="465"/>
      <c r="E1359" s="466" t="s">
        <v>3652</v>
      </c>
      <c r="F1359" s="466"/>
      <c r="G1359" s="465"/>
      <c r="H1359" s="465">
        <v>4</v>
      </c>
    </row>
    <row r="1360" spans="1:8" ht="13.8" thickBot="1">
      <c r="A1360" s="467" t="s">
        <v>6662</v>
      </c>
      <c r="B1360" s="465" t="s">
        <v>3657</v>
      </c>
      <c r="C1360" s="466">
        <v>4.5</v>
      </c>
      <c r="D1360" s="465"/>
      <c r="E1360" s="466" t="s">
        <v>3652</v>
      </c>
      <c r="F1360" s="466"/>
      <c r="G1360" s="465"/>
      <c r="H1360" s="465">
        <v>4</v>
      </c>
    </row>
    <row r="1361" spans="1:8" ht="13.8" thickBot="1">
      <c r="A1361" s="467" t="s">
        <v>6663</v>
      </c>
      <c r="B1361" s="465" t="s">
        <v>3713</v>
      </c>
      <c r="C1361" s="466">
        <v>4.5</v>
      </c>
      <c r="D1361" s="465"/>
      <c r="E1361" s="466" t="s">
        <v>3652</v>
      </c>
      <c r="F1361" s="466"/>
      <c r="G1361" s="465"/>
      <c r="H1361" s="465">
        <v>1</v>
      </c>
    </row>
    <row r="1362" spans="1:8" ht="13.8" thickBot="1">
      <c r="A1362" s="465" t="s">
        <v>6664</v>
      </c>
      <c r="B1362" s="465" t="s">
        <v>3714</v>
      </c>
      <c r="C1362" s="466">
        <v>4.5</v>
      </c>
      <c r="D1362" s="465"/>
      <c r="E1362" s="466" t="s">
        <v>3652</v>
      </c>
      <c r="F1362" s="466"/>
      <c r="G1362" s="465"/>
      <c r="H1362" s="465">
        <v>2</v>
      </c>
    </row>
    <row r="1363" spans="1:8" ht="13.8" thickBot="1">
      <c r="A1363" s="465" t="s">
        <v>6665</v>
      </c>
      <c r="B1363" s="465" t="s">
        <v>3725</v>
      </c>
      <c r="C1363" s="466">
        <v>4.5</v>
      </c>
      <c r="D1363" s="467" t="s">
        <v>614</v>
      </c>
      <c r="E1363" s="466" t="s">
        <v>3724</v>
      </c>
      <c r="F1363" s="466" t="s">
        <v>1226</v>
      </c>
      <c r="G1363" s="465">
        <v>2</v>
      </c>
      <c r="H1363" s="465">
        <v>12</v>
      </c>
    </row>
    <row r="1364" spans="1:8" ht="13.8" thickBot="1">
      <c r="A1364" s="467" t="s">
        <v>6515</v>
      </c>
      <c r="B1364" s="465" t="s">
        <v>1246</v>
      </c>
      <c r="C1364" s="466">
        <v>4.5</v>
      </c>
      <c r="D1364" s="467" t="s">
        <v>614</v>
      </c>
      <c r="E1364" s="466" t="s">
        <v>2087</v>
      </c>
      <c r="F1364" s="466" t="s">
        <v>1226</v>
      </c>
      <c r="G1364" s="465"/>
      <c r="H1364" s="465"/>
    </row>
    <row r="1365" spans="1:8" ht="13.8" thickBot="1">
      <c r="A1365" s="467" t="s">
        <v>6516</v>
      </c>
      <c r="B1365" s="465" t="s">
        <v>1246</v>
      </c>
      <c r="C1365" s="466">
        <v>4.5</v>
      </c>
      <c r="D1365" s="467" t="s">
        <v>614</v>
      </c>
      <c r="E1365" s="466" t="s">
        <v>2087</v>
      </c>
      <c r="F1365" s="466" t="s">
        <v>1226</v>
      </c>
      <c r="G1365" s="465">
        <v>1</v>
      </c>
      <c r="H1365" s="465">
        <v>2</v>
      </c>
    </row>
    <row r="1366" spans="1:8" ht="13.8" thickBot="1">
      <c r="A1366" s="467" t="s">
        <v>6517</v>
      </c>
      <c r="B1366" s="465" t="s">
        <v>1246</v>
      </c>
      <c r="C1366" s="466">
        <v>4.5</v>
      </c>
      <c r="D1366" s="465"/>
      <c r="E1366" s="466" t="s">
        <v>2087</v>
      </c>
      <c r="F1366" s="466"/>
      <c r="G1366" s="465"/>
      <c r="H1366" s="465">
        <v>1</v>
      </c>
    </row>
    <row r="1367" spans="1:8" ht="13.8" thickBot="1">
      <c r="A1367" s="465" t="s">
        <v>6666</v>
      </c>
      <c r="B1367" s="465" t="s">
        <v>3795</v>
      </c>
      <c r="C1367" s="466">
        <v>4.5</v>
      </c>
      <c r="D1367" s="465"/>
      <c r="E1367" s="466" t="s">
        <v>3734</v>
      </c>
      <c r="F1367" s="466" t="s">
        <v>1863</v>
      </c>
      <c r="G1367" s="465"/>
      <c r="H1367" s="465">
        <v>5</v>
      </c>
    </row>
    <row r="1368" spans="1:8" ht="13.8" thickBot="1">
      <c r="A1368" s="465" t="s">
        <v>6667</v>
      </c>
      <c r="B1368" s="465" t="s">
        <v>1480</v>
      </c>
      <c r="C1368" s="466">
        <v>4.5</v>
      </c>
      <c r="D1368" s="465"/>
      <c r="E1368" s="466" t="s">
        <v>3734</v>
      </c>
      <c r="F1368" s="466" t="s">
        <v>1224</v>
      </c>
      <c r="G1368" s="465"/>
      <c r="H1368" s="465">
        <v>3</v>
      </c>
    </row>
    <row r="1369" spans="1:8" ht="13.8" thickBot="1">
      <c r="A1369" s="467" t="s">
        <v>6668</v>
      </c>
      <c r="B1369" s="465" t="s">
        <v>1481</v>
      </c>
      <c r="C1369" s="466">
        <v>4.5</v>
      </c>
      <c r="D1369" s="465"/>
      <c r="E1369" s="466" t="s">
        <v>3734</v>
      </c>
      <c r="F1369" s="466" t="s">
        <v>1220</v>
      </c>
      <c r="G1369" s="465"/>
      <c r="H1369" s="465">
        <v>4</v>
      </c>
    </row>
    <row r="1370" spans="1:8" ht="13.8" thickBot="1">
      <c r="A1370" s="467" t="s">
        <v>6669</v>
      </c>
      <c r="B1370" s="465" t="s">
        <v>1482</v>
      </c>
      <c r="C1370" s="466">
        <v>4.5</v>
      </c>
      <c r="D1370" s="465"/>
      <c r="E1370" s="466" t="s">
        <v>3734</v>
      </c>
      <c r="F1370" s="466" t="s">
        <v>1220</v>
      </c>
      <c r="G1370" s="465"/>
      <c r="H1370" s="465">
        <v>4</v>
      </c>
    </row>
    <row r="1371" spans="1:8" ht="13.8" thickBot="1">
      <c r="A1371" s="467" t="s">
        <v>6670</v>
      </c>
      <c r="B1371" s="465" t="s">
        <v>1480</v>
      </c>
      <c r="C1371" s="466">
        <v>4.5</v>
      </c>
      <c r="D1371" s="465"/>
      <c r="E1371" s="466" t="s">
        <v>3734</v>
      </c>
      <c r="F1371" s="466"/>
      <c r="G1371" s="465"/>
      <c r="H1371" s="465">
        <v>4</v>
      </c>
    </row>
    <row r="1372" spans="1:8" ht="13.8" thickBot="1">
      <c r="A1372" s="465" t="s">
        <v>6671</v>
      </c>
      <c r="B1372" s="465" t="s">
        <v>1480</v>
      </c>
      <c r="C1372" s="466">
        <v>4.5</v>
      </c>
      <c r="D1372" s="465"/>
      <c r="E1372" s="466" t="s">
        <v>3734</v>
      </c>
      <c r="F1372" s="466"/>
      <c r="G1372" s="465"/>
      <c r="H1372" s="465">
        <v>3</v>
      </c>
    </row>
    <row r="1373" spans="1:8" ht="13.8" thickBot="1">
      <c r="A1373" s="465" t="s">
        <v>6672</v>
      </c>
      <c r="B1373" s="465" t="s">
        <v>1480</v>
      </c>
      <c r="C1373" s="466">
        <v>4.5</v>
      </c>
      <c r="D1373" s="465"/>
      <c r="E1373" s="466" t="s">
        <v>3734</v>
      </c>
      <c r="F1373" s="466"/>
      <c r="G1373" s="465"/>
      <c r="H1373" s="465">
        <v>5</v>
      </c>
    </row>
    <row r="1374" spans="1:8" ht="13.8" thickBot="1">
      <c r="A1374" s="465" t="s">
        <v>6673</v>
      </c>
      <c r="B1374" s="465" t="s">
        <v>1480</v>
      </c>
      <c r="C1374" s="466">
        <v>4.5</v>
      </c>
      <c r="D1374" s="467" t="s">
        <v>614</v>
      </c>
      <c r="E1374" s="466" t="s">
        <v>3734</v>
      </c>
      <c r="F1374" s="466"/>
      <c r="G1374" s="465"/>
      <c r="H1374" s="465">
        <v>3</v>
      </c>
    </row>
    <row r="1375" spans="1:8" ht="13.8" thickBot="1">
      <c r="A1375" s="467" t="s">
        <v>6674</v>
      </c>
      <c r="B1375" s="465" t="s">
        <v>3796</v>
      </c>
      <c r="C1375" s="466">
        <v>4.5</v>
      </c>
      <c r="D1375" s="465"/>
      <c r="E1375" s="466" t="s">
        <v>3734</v>
      </c>
      <c r="F1375" s="466"/>
      <c r="G1375" s="465"/>
      <c r="H1375" s="465">
        <v>2</v>
      </c>
    </row>
    <row r="1376" spans="1:8" ht="13.8" thickBot="1">
      <c r="A1376" s="465" t="s">
        <v>6675</v>
      </c>
      <c r="B1376" s="465" t="s">
        <v>3797</v>
      </c>
      <c r="C1376" s="466">
        <v>4.5</v>
      </c>
      <c r="D1376" s="465"/>
      <c r="E1376" s="466" t="s">
        <v>3734</v>
      </c>
      <c r="F1376" s="466"/>
      <c r="G1376" s="465"/>
      <c r="H1376" s="465">
        <v>7</v>
      </c>
    </row>
    <row r="1377" spans="1:8" ht="13.8" thickBot="1">
      <c r="A1377" s="467" t="s">
        <v>6676</v>
      </c>
      <c r="B1377" s="465" t="s">
        <v>1502</v>
      </c>
      <c r="C1377" s="466">
        <v>4.5</v>
      </c>
      <c r="D1377" s="467" t="s">
        <v>614</v>
      </c>
      <c r="E1377" s="466" t="s">
        <v>3807</v>
      </c>
      <c r="F1377" s="466" t="s">
        <v>1865</v>
      </c>
      <c r="G1377" s="465"/>
      <c r="H1377" s="465">
        <v>5</v>
      </c>
    </row>
    <row r="1378" spans="1:8" ht="13.8" thickBot="1">
      <c r="A1378" s="467" t="s">
        <v>6677</v>
      </c>
      <c r="B1378" s="465" t="s">
        <v>1503</v>
      </c>
      <c r="C1378" s="466">
        <v>4.5</v>
      </c>
      <c r="D1378" s="467" t="s">
        <v>614</v>
      </c>
      <c r="E1378" s="466" t="s">
        <v>3807</v>
      </c>
      <c r="F1378" s="466" t="s">
        <v>1226</v>
      </c>
      <c r="G1378" s="465"/>
      <c r="H1378" s="465">
        <v>14</v>
      </c>
    </row>
    <row r="1379" spans="1:8" ht="13.8" thickBot="1">
      <c r="A1379" s="467" t="s">
        <v>6678</v>
      </c>
      <c r="B1379" s="465" t="s">
        <v>1502</v>
      </c>
      <c r="C1379" s="466">
        <v>4.5</v>
      </c>
      <c r="D1379" s="465"/>
      <c r="E1379" s="466" t="s">
        <v>3807</v>
      </c>
      <c r="F1379" s="466" t="s">
        <v>1224</v>
      </c>
      <c r="G1379" s="465">
        <v>1</v>
      </c>
      <c r="H1379" s="465">
        <v>9</v>
      </c>
    </row>
    <row r="1380" spans="1:8" ht="13.8" thickBot="1">
      <c r="A1380" s="467" t="s">
        <v>6679</v>
      </c>
      <c r="B1380" s="465" t="s">
        <v>3844</v>
      </c>
      <c r="C1380" s="466">
        <v>4.5</v>
      </c>
      <c r="D1380" s="465"/>
      <c r="E1380" s="466" t="s">
        <v>3807</v>
      </c>
      <c r="F1380" s="466" t="s">
        <v>1220</v>
      </c>
      <c r="G1380" s="465"/>
      <c r="H1380" s="465">
        <v>4</v>
      </c>
    </row>
    <row r="1381" spans="1:8" ht="13.8" thickBot="1">
      <c r="A1381" s="467" t="s">
        <v>6680</v>
      </c>
      <c r="B1381" s="465" t="s">
        <v>1502</v>
      </c>
      <c r="C1381" s="466">
        <v>4.5</v>
      </c>
      <c r="D1381" s="465"/>
      <c r="E1381" s="466" t="s">
        <v>3807</v>
      </c>
      <c r="F1381" s="466"/>
      <c r="G1381" s="465"/>
      <c r="H1381" s="465">
        <v>1</v>
      </c>
    </row>
    <row r="1382" spans="1:8" ht="13.8" thickBot="1">
      <c r="A1382" s="467" t="s">
        <v>6681</v>
      </c>
      <c r="B1382" s="465" t="s">
        <v>1502</v>
      </c>
      <c r="C1382" s="466">
        <v>4.5</v>
      </c>
      <c r="D1382" s="465"/>
      <c r="E1382" s="466" t="s">
        <v>3807</v>
      </c>
      <c r="F1382" s="466"/>
      <c r="G1382" s="465">
        <v>1</v>
      </c>
      <c r="H1382" s="465">
        <v>10</v>
      </c>
    </row>
    <row r="1383" spans="1:8" ht="13.8" thickBot="1">
      <c r="A1383" s="467" t="s">
        <v>6682</v>
      </c>
      <c r="B1383" s="465" t="s">
        <v>3845</v>
      </c>
      <c r="C1383" s="466">
        <v>4.5</v>
      </c>
      <c r="D1383" s="465"/>
      <c r="E1383" s="466" t="s">
        <v>3807</v>
      </c>
      <c r="F1383" s="466"/>
      <c r="G1383" s="465"/>
      <c r="H1383" s="465">
        <v>4</v>
      </c>
    </row>
    <row r="1384" spans="1:8" ht="13.8" thickBot="1">
      <c r="A1384" s="467" t="s">
        <v>6683</v>
      </c>
      <c r="B1384" s="465" t="s">
        <v>3845</v>
      </c>
      <c r="C1384" s="466">
        <v>4.5</v>
      </c>
      <c r="D1384" s="465"/>
      <c r="E1384" s="466" t="s">
        <v>3807</v>
      </c>
      <c r="F1384" s="466"/>
      <c r="G1384" s="465"/>
      <c r="H1384" s="465">
        <v>4</v>
      </c>
    </row>
    <row r="1385" spans="1:8" ht="13.8" thickBot="1">
      <c r="A1385" s="467" t="s">
        <v>6684</v>
      </c>
      <c r="B1385" s="465" t="s">
        <v>3820</v>
      </c>
      <c r="C1385" s="466">
        <v>4.5</v>
      </c>
      <c r="D1385" s="465"/>
      <c r="E1385" s="466" t="s">
        <v>3807</v>
      </c>
      <c r="F1385" s="466"/>
      <c r="G1385" s="465"/>
      <c r="H1385" s="465">
        <v>1</v>
      </c>
    </row>
    <row r="1386" spans="1:8" ht="13.8" thickBot="1">
      <c r="A1386" s="467" t="s">
        <v>6685</v>
      </c>
      <c r="B1386" s="465" t="s">
        <v>3846</v>
      </c>
      <c r="C1386" s="466">
        <v>4.5</v>
      </c>
      <c r="D1386" s="467" t="s">
        <v>614</v>
      </c>
      <c r="E1386" s="466" t="s">
        <v>3807</v>
      </c>
      <c r="F1386" s="466"/>
      <c r="G1386" s="465"/>
      <c r="H1386" s="465">
        <v>5</v>
      </c>
    </row>
    <row r="1387" spans="1:8" ht="13.8" thickBot="1">
      <c r="A1387" s="467" t="s">
        <v>6686</v>
      </c>
      <c r="B1387" s="465" t="s">
        <v>1507</v>
      </c>
      <c r="C1387" s="466">
        <v>4.5</v>
      </c>
      <c r="D1387" s="467" t="s">
        <v>614</v>
      </c>
      <c r="E1387" s="466" t="s">
        <v>3856</v>
      </c>
      <c r="F1387" s="466" t="s">
        <v>1226</v>
      </c>
      <c r="G1387" s="465"/>
      <c r="H1387" s="465">
        <v>5</v>
      </c>
    </row>
    <row r="1388" spans="1:8" ht="13.8" thickBot="1">
      <c r="A1388" s="465" t="s">
        <v>6687</v>
      </c>
      <c r="B1388" s="465" t="s">
        <v>1507</v>
      </c>
      <c r="C1388" s="466">
        <v>4.5</v>
      </c>
      <c r="D1388" s="465"/>
      <c r="E1388" s="466" t="s">
        <v>3856</v>
      </c>
      <c r="F1388" s="466"/>
      <c r="G1388" s="465"/>
      <c r="H1388" s="465">
        <v>4</v>
      </c>
    </row>
    <row r="1389" spans="1:8" ht="13.8" thickBot="1">
      <c r="A1389" s="467" t="s">
        <v>6688</v>
      </c>
      <c r="B1389" s="465" t="s">
        <v>1507</v>
      </c>
      <c r="C1389" s="466">
        <v>4.5</v>
      </c>
      <c r="D1389" s="465"/>
      <c r="E1389" s="466" t="s">
        <v>3856</v>
      </c>
      <c r="F1389" s="466"/>
      <c r="G1389" s="465">
        <v>1</v>
      </c>
      <c r="H1389" s="465">
        <v>12</v>
      </c>
    </row>
    <row r="1390" spans="1:8" ht="13.8" thickBot="1">
      <c r="A1390" s="465" t="s">
        <v>6689</v>
      </c>
      <c r="B1390" s="465" t="s">
        <v>1513</v>
      </c>
      <c r="C1390" s="466">
        <v>4.5</v>
      </c>
      <c r="D1390" s="467" t="s">
        <v>614</v>
      </c>
      <c r="E1390" s="466" t="s">
        <v>3932</v>
      </c>
      <c r="F1390" s="466" t="s">
        <v>1251</v>
      </c>
      <c r="G1390" s="465"/>
      <c r="H1390" s="465">
        <v>13</v>
      </c>
    </row>
    <row r="1391" spans="1:8" ht="13.8" thickBot="1">
      <c r="A1391" s="467" t="s">
        <v>6690</v>
      </c>
      <c r="B1391" s="465" t="s">
        <v>1514</v>
      </c>
      <c r="C1391" s="466">
        <v>4.5</v>
      </c>
      <c r="D1391" s="467" t="s">
        <v>614</v>
      </c>
      <c r="E1391" s="466" t="s">
        <v>3932</v>
      </c>
      <c r="F1391" s="466" t="s">
        <v>1224</v>
      </c>
      <c r="G1391" s="465"/>
      <c r="H1391" s="465">
        <v>6</v>
      </c>
    </row>
    <row r="1392" spans="1:8" ht="13.8" thickBot="1">
      <c r="A1392" s="467" t="s">
        <v>6691</v>
      </c>
      <c r="B1392" s="465" t="s">
        <v>1515</v>
      </c>
      <c r="C1392" s="466">
        <v>4.5</v>
      </c>
      <c r="D1392" s="467" t="s">
        <v>614</v>
      </c>
      <c r="E1392" s="466" t="s">
        <v>3932</v>
      </c>
      <c r="F1392" s="466"/>
      <c r="G1392" s="465"/>
      <c r="H1392" s="465">
        <v>5</v>
      </c>
    </row>
    <row r="1393" spans="1:8" ht="13.8" thickBot="1">
      <c r="A1393" s="467" t="s">
        <v>6692</v>
      </c>
      <c r="B1393" s="465" t="s">
        <v>1515</v>
      </c>
      <c r="C1393" s="466">
        <v>4.5</v>
      </c>
      <c r="D1393" s="465"/>
      <c r="E1393" s="466" t="s">
        <v>3932</v>
      </c>
      <c r="F1393" s="466"/>
      <c r="G1393" s="465">
        <v>1</v>
      </c>
      <c r="H1393" s="465">
        <v>8</v>
      </c>
    </row>
    <row r="1394" spans="1:8" ht="13.8" thickBot="1">
      <c r="A1394" s="467" t="s">
        <v>6693</v>
      </c>
      <c r="B1394" s="465" t="s">
        <v>3946</v>
      </c>
      <c r="C1394" s="466">
        <v>4.5</v>
      </c>
      <c r="D1394" s="465"/>
      <c r="E1394" s="466" t="s">
        <v>3932</v>
      </c>
      <c r="F1394" s="466"/>
      <c r="G1394" s="465"/>
      <c r="H1394" s="465">
        <v>5</v>
      </c>
    </row>
    <row r="1395" spans="1:8" ht="13.8" thickBot="1">
      <c r="A1395" s="467" t="s">
        <v>6694</v>
      </c>
      <c r="B1395" s="465" t="s">
        <v>3947</v>
      </c>
      <c r="C1395" s="466">
        <v>4.5</v>
      </c>
      <c r="D1395" s="467" t="s">
        <v>614</v>
      </c>
      <c r="E1395" s="466" t="s">
        <v>3932</v>
      </c>
      <c r="F1395" s="466"/>
      <c r="G1395" s="465"/>
      <c r="H1395" s="465">
        <v>3</v>
      </c>
    </row>
    <row r="1396" spans="1:8" ht="13.8" thickBot="1">
      <c r="A1396" s="467" t="s">
        <v>6695</v>
      </c>
      <c r="B1396" s="465" t="s">
        <v>3939</v>
      </c>
      <c r="C1396" s="466">
        <v>4.5</v>
      </c>
      <c r="D1396" s="467" t="s">
        <v>3948</v>
      </c>
      <c r="E1396" s="466" t="s">
        <v>3932</v>
      </c>
      <c r="F1396" s="466"/>
      <c r="G1396" s="465"/>
      <c r="H1396" s="465">
        <v>2</v>
      </c>
    </row>
    <row r="1397" spans="1:8" ht="13.8" thickBot="1">
      <c r="A1397" s="465" t="s">
        <v>6696</v>
      </c>
      <c r="B1397" s="465" t="s">
        <v>3939</v>
      </c>
      <c r="C1397" s="466">
        <v>4.5</v>
      </c>
      <c r="D1397" s="465"/>
      <c r="E1397" s="466" t="s">
        <v>3932</v>
      </c>
      <c r="F1397" s="466"/>
      <c r="G1397" s="465"/>
      <c r="H1397" s="465">
        <v>2</v>
      </c>
    </row>
    <row r="1398" spans="1:8" ht="13.8" thickBot="1">
      <c r="A1398" s="467" t="s">
        <v>6697</v>
      </c>
      <c r="B1398" s="465" t="s">
        <v>1519</v>
      </c>
      <c r="C1398" s="466">
        <v>4.5</v>
      </c>
      <c r="D1398" s="465"/>
      <c r="E1398" s="466" t="s">
        <v>3957</v>
      </c>
      <c r="F1398" s="466" t="s">
        <v>1251</v>
      </c>
      <c r="G1398" s="465"/>
      <c r="H1398" s="465">
        <v>2</v>
      </c>
    </row>
    <row r="1399" spans="1:8" ht="13.8" thickBot="1">
      <c r="A1399" s="467" t="s">
        <v>6698</v>
      </c>
      <c r="B1399" s="465" t="s">
        <v>1521</v>
      </c>
      <c r="C1399" s="466">
        <v>4.5</v>
      </c>
      <c r="D1399" s="465"/>
      <c r="E1399" s="466" t="s">
        <v>3957</v>
      </c>
      <c r="F1399" s="466" t="s">
        <v>1226</v>
      </c>
      <c r="G1399" s="465"/>
      <c r="H1399" s="465">
        <v>12</v>
      </c>
    </row>
    <row r="1400" spans="1:8" ht="13.8" thickBot="1">
      <c r="A1400" s="467" t="s">
        <v>6699</v>
      </c>
      <c r="B1400" s="465" t="s">
        <v>3991</v>
      </c>
      <c r="C1400" s="466">
        <v>4.5</v>
      </c>
      <c r="D1400" s="467" t="s">
        <v>614</v>
      </c>
      <c r="E1400" s="466" t="s">
        <v>3957</v>
      </c>
      <c r="F1400" s="466" t="s">
        <v>1224</v>
      </c>
      <c r="G1400" s="465"/>
      <c r="H1400" s="465">
        <v>3</v>
      </c>
    </row>
    <row r="1401" spans="1:8" ht="13.8" thickBot="1">
      <c r="A1401" s="467" t="s">
        <v>6700</v>
      </c>
      <c r="B1401" s="465" t="s">
        <v>3992</v>
      </c>
      <c r="C1401" s="466">
        <v>4.5</v>
      </c>
      <c r="D1401" s="465"/>
      <c r="E1401" s="466" t="s">
        <v>3957</v>
      </c>
      <c r="F1401" s="466"/>
      <c r="G1401" s="465"/>
      <c r="H1401" s="465">
        <v>2</v>
      </c>
    </row>
    <row r="1402" spans="1:8" ht="13.8" thickBot="1">
      <c r="A1402" s="467" t="s">
        <v>6701</v>
      </c>
      <c r="B1402" s="465" t="s">
        <v>4037</v>
      </c>
      <c r="C1402" s="466">
        <v>4.5</v>
      </c>
      <c r="D1402" s="467" t="s">
        <v>614</v>
      </c>
      <c r="E1402" s="466" t="s">
        <v>3996</v>
      </c>
      <c r="F1402" s="466" t="s">
        <v>1226</v>
      </c>
      <c r="G1402" s="465">
        <v>1</v>
      </c>
      <c r="H1402" s="465">
        <v>2</v>
      </c>
    </row>
    <row r="1403" spans="1:8" ht="13.8" thickBot="1">
      <c r="A1403" s="467" t="s">
        <v>6702</v>
      </c>
      <c r="B1403" s="465" t="s">
        <v>1525</v>
      </c>
      <c r="C1403" s="466">
        <v>4.5</v>
      </c>
      <c r="D1403" s="465"/>
      <c r="E1403" s="466" t="s">
        <v>3996</v>
      </c>
      <c r="F1403" s="466"/>
      <c r="G1403" s="465"/>
      <c r="H1403" s="465">
        <v>1</v>
      </c>
    </row>
    <row r="1404" spans="1:8" ht="13.8" thickBot="1">
      <c r="A1404" s="467" t="s">
        <v>6703</v>
      </c>
      <c r="B1404" s="465" t="s">
        <v>1526</v>
      </c>
      <c r="C1404" s="466">
        <v>4.5</v>
      </c>
      <c r="D1404" s="467" t="s">
        <v>614</v>
      </c>
      <c r="E1404" s="466" t="s">
        <v>3996</v>
      </c>
      <c r="F1404" s="466"/>
      <c r="G1404" s="465"/>
      <c r="H1404" s="465">
        <v>10</v>
      </c>
    </row>
    <row r="1405" spans="1:8" ht="13.8" thickBot="1">
      <c r="A1405" s="467" t="s">
        <v>6704</v>
      </c>
      <c r="B1405" s="465" t="s">
        <v>4038</v>
      </c>
      <c r="C1405" s="466">
        <v>4.5</v>
      </c>
      <c r="D1405" s="465"/>
      <c r="E1405" s="466" t="s">
        <v>3996</v>
      </c>
      <c r="F1405" s="466"/>
      <c r="G1405" s="465"/>
      <c r="H1405" s="465">
        <v>1</v>
      </c>
    </row>
    <row r="1406" spans="1:8" ht="13.8" thickBot="1">
      <c r="A1406" s="467" t="s">
        <v>6705</v>
      </c>
      <c r="B1406" s="465" t="s">
        <v>4039</v>
      </c>
      <c r="C1406" s="466">
        <v>4.5</v>
      </c>
      <c r="D1406" s="465"/>
      <c r="E1406" s="466" t="s">
        <v>3996</v>
      </c>
      <c r="F1406" s="466"/>
      <c r="G1406" s="465"/>
      <c r="H1406" s="465">
        <v>2</v>
      </c>
    </row>
    <row r="1407" spans="1:8" ht="13.8" thickBot="1">
      <c r="A1407" s="467" t="s">
        <v>6706</v>
      </c>
      <c r="B1407" s="465" t="s">
        <v>4064</v>
      </c>
      <c r="C1407" s="466">
        <v>4.5</v>
      </c>
      <c r="D1407" s="465"/>
      <c r="E1407" s="466" t="s">
        <v>4046</v>
      </c>
      <c r="F1407" s="466"/>
      <c r="G1407" s="465"/>
      <c r="H1407" s="465">
        <v>1</v>
      </c>
    </row>
    <row r="1408" spans="1:8" ht="13.8" thickBot="1">
      <c r="A1408" s="465" t="s">
        <v>6707</v>
      </c>
      <c r="B1408" s="465" t="s">
        <v>1538</v>
      </c>
      <c r="C1408" s="466">
        <v>4.5</v>
      </c>
      <c r="D1408" s="467" t="s">
        <v>614</v>
      </c>
      <c r="E1408" s="466" t="s">
        <v>4067</v>
      </c>
      <c r="F1408" s="466" t="s">
        <v>1975</v>
      </c>
      <c r="G1408" s="465"/>
      <c r="H1408" s="465">
        <v>19</v>
      </c>
    </row>
    <row r="1409" spans="1:8" ht="13.8" thickBot="1">
      <c r="A1409" s="465" t="s">
        <v>6708</v>
      </c>
      <c r="B1409" s="465" t="s">
        <v>4097</v>
      </c>
      <c r="C1409" s="466">
        <v>4.5</v>
      </c>
      <c r="D1409" s="467" t="s">
        <v>614</v>
      </c>
      <c r="E1409" s="466" t="s">
        <v>4067</v>
      </c>
      <c r="F1409" s="466"/>
      <c r="G1409" s="465"/>
      <c r="H1409" s="465">
        <v>1</v>
      </c>
    </row>
    <row r="1410" spans="1:8" ht="13.8" thickBot="1">
      <c r="A1410" s="465" t="s">
        <v>6709</v>
      </c>
      <c r="B1410" s="465" t="s">
        <v>1545</v>
      </c>
      <c r="C1410" s="466">
        <v>4.5</v>
      </c>
      <c r="D1410" s="467" t="s">
        <v>614</v>
      </c>
      <c r="E1410" s="466" t="s">
        <v>4102</v>
      </c>
      <c r="F1410" s="466" t="s">
        <v>1220</v>
      </c>
      <c r="G1410" s="465"/>
      <c r="H1410" s="465">
        <v>5</v>
      </c>
    </row>
    <row r="1411" spans="1:8" ht="13.8" thickBot="1">
      <c r="A1411" s="467" t="s">
        <v>6710</v>
      </c>
      <c r="B1411" s="465" t="s">
        <v>1544</v>
      </c>
      <c r="C1411" s="466">
        <v>4.5</v>
      </c>
      <c r="D1411" s="465"/>
      <c r="E1411" s="466" t="s">
        <v>4102</v>
      </c>
      <c r="F1411" s="466"/>
      <c r="G1411" s="465">
        <v>1</v>
      </c>
      <c r="H1411" s="465">
        <v>5</v>
      </c>
    </row>
    <row r="1412" spans="1:8" ht="13.8" thickBot="1">
      <c r="A1412" s="467" t="s">
        <v>6711</v>
      </c>
      <c r="B1412" s="465" t="s">
        <v>1544</v>
      </c>
      <c r="C1412" s="466">
        <v>4.5</v>
      </c>
      <c r="D1412" s="465"/>
      <c r="E1412" s="466" t="s">
        <v>4102</v>
      </c>
      <c r="F1412" s="466"/>
      <c r="G1412" s="465"/>
      <c r="H1412" s="465">
        <v>2</v>
      </c>
    </row>
    <row r="1413" spans="1:8" ht="13.8" thickBot="1">
      <c r="A1413" s="467" t="s">
        <v>6712</v>
      </c>
      <c r="B1413" s="465" t="s">
        <v>1544</v>
      </c>
      <c r="C1413" s="466">
        <v>4.5</v>
      </c>
      <c r="D1413" s="467" t="s">
        <v>614</v>
      </c>
      <c r="E1413" s="466" t="s">
        <v>4102</v>
      </c>
      <c r="F1413" s="466"/>
      <c r="G1413" s="465"/>
      <c r="H1413" s="465">
        <v>1</v>
      </c>
    </row>
    <row r="1414" spans="1:8" ht="13.8" thickBot="1">
      <c r="A1414" s="467" t="s">
        <v>6713</v>
      </c>
      <c r="B1414" s="465" t="s">
        <v>4314</v>
      </c>
      <c r="C1414" s="466">
        <v>4.5</v>
      </c>
      <c r="D1414" s="465"/>
      <c r="E1414" s="466" t="s">
        <v>4214</v>
      </c>
      <c r="F1414" s="466" t="s">
        <v>1251</v>
      </c>
      <c r="G1414" s="465"/>
      <c r="H1414" s="465"/>
    </row>
    <row r="1415" spans="1:8" ht="13.8" thickBot="1">
      <c r="A1415" s="467" t="s">
        <v>6714</v>
      </c>
      <c r="B1415" s="465" t="s">
        <v>4315</v>
      </c>
      <c r="C1415" s="466">
        <v>4.5</v>
      </c>
      <c r="D1415" s="465"/>
      <c r="E1415" s="466" t="s">
        <v>4214</v>
      </c>
      <c r="F1415" s="466" t="s">
        <v>1251</v>
      </c>
      <c r="G1415" s="465"/>
      <c r="H1415" s="465">
        <v>2</v>
      </c>
    </row>
    <row r="1416" spans="1:8" ht="13.8" thickBot="1">
      <c r="A1416" s="467" t="s">
        <v>6715</v>
      </c>
      <c r="B1416" s="465" t="s">
        <v>1607</v>
      </c>
      <c r="C1416" s="466">
        <v>4.5</v>
      </c>
      <c r="D1416" s="465"/>
      <c r="E1416" s="466" t="s">
        <v>4214</v>
      </c>
      <c r="F1416" s="466" t="s">
        <v>1226</v>
      </c>
      <c r="G1416" s="465"/>
      <c r="H1416" s="465">
        <v>5</v>
      </c>
    </row>
    <row r="1417" spans="1:8" ht="13.8" thickBot="1">
      <c r="A1417" s="467" t="s">
        <v>6716</v>
      </c>
      <c r="B1417" s="465" t="s">
        <v>1617</v>
      </c>
      <c r="C1417" s="466">
        <v>4.5</v>
      </c>
      <c r="D1417" s="465"/>
      <c r="E1417" s="466" t="s">
        <v>4214</v>
      </c>
      <c r="F1417" s="466" t="s">
        <v>1226</v>
      </c>
      <c r="G1417" s="465"/>
      <c r="H1417" s="465"/>
    </row>
    <row r="1418" spans="1:8" ht="13.8" thickBot="1">
      <c r="A1418" s="465" t="s">
        <v>6717</v>
      </c>
      <c r="B1418" s="465" t="s">
        <v>1617</v>
      </c>
      <c r="C1418" s="466">
        <v>4.5</v>
      </c>
      <c r="D1418" s="465"/>
      <c r="E1418" s="466" t="s">
        <v>4214</v>
      </c>
      <c r="F1418" s="466" t="s">
        <v>1226</v>
      </c>
      <c r="G1418" s="465">
        <v>1</v>
      </c>
      <c r="H1418" s="465">
        <v>1</v>
      </c>
    </row>
    <row r="1419" spans="1:8" ht="13.8" thickBot="1">
      <c r="A1419" s="465" t="s">
        <v>6718</v>
      </c>
      <c r="B1419" s="465" t="s">
        <v>1621</v>
      </c>
      <c r="C1419" s="466">
        <v>4.5</v>
      </c>
      <c r="D1419" s="465"/>
      <c r="E1419" s="466" t="s">
        <v>4214</v>
      </c>
      <c r="F1419" s="466" t="s">
        <v>1224</v>
      </c>
      <c r="G1419" s="465">
        <v>1</v>
      </c>
      <c r="H1419" s="465">
        <v>7</v>
      </c>
    </row>
    <row r="1420" spans="1:8" ht="13.8" thickBot="1">
      <c r="A1420" s="465" t="s">
        <v>6719</v>
      </c>
      <c r="B1420" s="465" t="s">
        <v>4316</v>
      </c>
      <c r="C1420" s="466">
        <v>4.5</v>
      </c>
      <c r="D1420" s="465"/>
      <c r="E1420" s="466" t="s">
        <v>4214</v>
      </c>
      <c r="F1420" s="466" t="s">
        <v>1224</v>
      </c>
      <c r="G1420" s="465"/>
      <c r="H1420" s="465">
        <v>1</v>
      </c>
    </row>
    <row r="1421" spans="1:8" ht="13.8" thickBot="1">
      <c r="A1421" s="465" t="s">
        <v>6720</v>
      </c>
      <c r="B1421" s="465" t="s">
        <v>1607</v>
      </c>
      <c r="C1421" s="466">
        <v>4.5</v>
      </c>
      <c r="D1421" s="465"/>
      <c r="E1421" s="466" t="s">
        <v>4214</v>
      </c>
      <c r="F1421" s="466"/>
      <c r="G1421" s="465"/>
      <c r="H1421" s="465">
        <v>4</v>
      </c>
    </row>
    <row r="1422" spans="1:8" ht="13.8" thickBot="1">
      <c r="A1422" s="465" t="s">
        <v>6721</v>
      </c>
      <c r="B1422" s="465" t="s">
        <v>1607</v>
      </c>
      <c r="C1422" s="466">
        <v>4.5</v>
      </c>
      <c r="D1422" s="465"/>
      <c r="E1422" s="466" t="s">
        <v>4214</v>
      </c>
      <c r="F1422" s="466"/>
      <c r="G1422" s="465"/>
      <c r="H1422" s="465">
        <v>4</v>
      </c>
    </row>
    <row r="1423" spans="1:8" ht="13.8" thickBot="1">
      <c r="A1423" s="465" t="s">
        <v>6722</v>
      </c>
      <c r="B1423" s="465" t="s">
        <v>1607</v>
      </c>
      <c r="C1423" s="466">
        <v>4.5</v>
      </c>
      <c r="D1423" s="465"/>
      <c r="E1423" s="466" t="s">
        <v>4214</v>
      </c>
      <c r="F1423" s="466"/>
      <c r="G1423" s="465"/>
      <c r="H1423" s="465">
        <v>3</v>
      </c>
    </row>
    <row r="1424" spans="1:8" ht="13.8" thickBot="1">
      <c r="A1424" s="465" t="s">
        <v>6723</v>
      </c>
      <c r="B1424" s="465" t="s">
        <v>1607</v>
      </c>
      <c r="C1424" s="466">
        <v>4.5</v>
      </c>
      <c r="D1424" s="465"/>
      <c r="E1424" s="466" t="s">
        <v>4214</v>
      </c>
      <c r="F1424" s="466"/>
      <c r="G1424" s="465"/>
      <c r="H1424" s="465">
        <v>4</v>
      </c>
    </row>
    <row r="1425" spans="1:8" ht="13.8" thickBot="1">
      <c r="A1425" s="465" t="s">
        <v>6724</v>
      </c>
      <c r="B1425" s="465" t="s">
        <v>1607</v>
      </c>
      <c r="C1425" s="466">
        <v>4.5</v>
      </c>
      <c r="D1425" s="465"/>
      <c r="E1425" s="466" t="s">
        <v>4214</v>
      </c>
      <c r="F1425" s="466"/>
      <c r="G1425" s="465"/>
      <c r="H1425" s="465">
        <v>5</v>
      </c>
    </row>
    <row r="1426" spans="1:8" ht="13.8" thickBot="1">
      <c r="A1426" s="467" t="s">
        <v>6725</v>
      </c>
      <c r="B1426" s="465" t="s">
        <v>1607</v>
      </c>
      <c r="C1426" s="466">
        <v>4.5</v>
      </c>
      <c r="D1426" s="465"/>
      <c r="E1426" s="466" t="s">
        <v>4214</v>
      </c>
      <c r="F1426" s="466"/>
      <c r="G1426" s="465"/>
      <c r="H1426" s="465">
        <v>1</v>
      </c>
    </row>
    <row r="1427" spans="1:8" ht="13.8" thickBot="1">
      <c r="A1427" s="467" t="s">
        <v>6726</v>
      </c>
      <c r="B1427" s="465" t="s">
        <v>1607</v>
      </c>
      <c r="C1427" s="466">
        <v>4.5</v>
      </c>
      <c r="D1427" s="465"/>
      <c r="E1427" s="466" t="s">
        <v>4214</v>
      </c>
      <c r="F1427" s="466"/>
      <c r="G1427" s="465"/>
      <c r="H1427" s="465">
        <v>2</v>
      </c>
    </row>
    <row r="1428" spans="1:8" ht="13.8" thickBot="1">
      <c r="A1428" s="467" t="s">
        <v>6727</v>
      </c>
      <c r="B1428" s="465" t="s">
        <v>1607</v>
      </c>
      <c r="C1428" s="466">
        <v>4.5</v>
      </c>
      <c r="D1428" s="465"/>
      <c r="E1428" s="466" t="s">
        <v>4214</v>
      </c>
      <c r="F1428" s="466"/>
      <c r="G1428" s="465"/>
      <c r="H1428" s="465">
        <v>3</v>
      </c>
    </row>
    <row r="1429" spans="1:8" ht="13.8" thickBot="1">
      <c r="A1429" s="467" t="s">
        <v>6728</v>
      </c>
      <c r="B1429" s="465" t="s">
        <v>4317</v>
      </c>
      <c r="C1429" s="466">
        <v>4.5</v>
      </c>
      <c r="D1429" s="465"/>
      <c r="E1429" s="466" t="s">
        <v>4214</v>
      </c>
      <c r="F1429" s="466"/>
      <c r="G1429" s="465"/>
      <c r="H1429" s="465">
        <v>4</v>
      </c>
    </row>
    <row r="1430" spans="1:8" ht="13.8" thickBot="1">
      <c r="A1430" s="465" t="s">
        <v>6729</v>
      </c>
      <c r="B1430" s="465" t="s">
        <v>4318</v>
      </c>
      <c r="C1430" s="466">
        <v>4.5</v>
      </c>
      <c r="D1430" s="465"/>
      <c r="E1430" s="466" t="s">
        <v>4214</v>
      </c>
      <c r="F1430" s="466"/>
      <c r="G1430" s="465"/>
      <c r="H1430" s="465">
        <v>2</v>
      </c>
    </row>
    <row r="1431" spans="1:8" ht="13.8" thickBot="1">
      <c r="A1431" s="465" t="s">
        <v>6730</v>
      </c>
      <c r="B1431" s="465" t="s">
        <v>1623</v>
      </c>
      <c r="C1431" s="466">
        <v>4.5</v>
      </c>
      <c r="D1431" s="465"/>
      <c r="E1431" s="466" t="s">
        <v>4214</v>
      </c>
      <c r="F1431" s="466"/>
      <c r="G1431" s="465"/>
      <c r="H1431" s="465">
        <v>4</v>
      </c>
    </row>
    <row r="1432" spans="1:8" ht="13.8" thickBot="1">
      <c r="A1432" s="467" t="s">
        <v>6731</v>
      </c>
      <c r="B1432" s="465" t="s">
        <v>1616</v>
      </c>
      <c r="C1432" s="466">
        <v>4.5</v>
      </c>
      <c r="D1432" s="465"/>
      <c r="E1432" s="466" t="s">
        <v>4214</v>
      </c>
      <c r="F1432" s="466"/>
      <c r="G1432" s="465"/>
      <c r="H1432" s="465">
        <v>2</v>
      </c>
    </row>
    <row r="1433" spans="1:8" ht="13.8" thickBot="1">
      <c r="A1433" s="467" t="s">
        <v>6732</v>
      </c>
      <c r="B1433" s="465" t="s">
        <v>1624</v>
      </c>
      <c r="C1433" s="466">
        <v>4.5</v>
      </c>
      <c r="D1433" s="465"/>
      <c r="E1433" s="466" t="s">
        <v>4214</v>
      </c>
      <c r="F1433" s="466"/>
      <c r="G1433" s="465"/>
      <c r="H1433" s="465">
        <v>2</v>
      </c>
    </row>
    <row r="1434" spans="1:8" ht="13.8" thickBot="1">
      <c r="A1434" s="465" t="s">
        <v>6733</v>
      </c>
      <c r="B1434" s="465" t="s">
        <v>4264</v>
      </c>
      <c r="C1434" s="466">
        <v>4.5</v>
      </c>
      <c r="D1434" s="465"/>
      <c r="E1434" s="466" t="s">
        <v>4214</v>
      </c>
      <c r="F1434" s="466"/>
      <c r="G1434" s="465"/>
      <c r="H1434" s="465"/>
    </row>
    <row r="1435" spans="1:8" ht="13.8" thickBot="1">
      <c r="A1435" s="465" t="s">
        <v>6734</v>
      </c>
      <c r="B1435" s="465" t="s">
        <v>1620</v>
      </c>
      <c r="C1435" s="466">
        <v>4.5</v>
      </c>
      <c r="D1435" s="465"/>
      <c r="E1435" s="466" t="s">
        <v>4214</v>
      </c>
      <c r="F1435" s="466"/>
      <c r="G1435" s="465"/>
      <c r="H1435" s="465">
        <v>2</v>
      </c>
    </row>
    <row r="1436" spans="1:8" ht="13.8" thickBot="1">
      <c r="A1436" s="467" t="s">
        <v>6518</v>
      </c>
      <c r="B1436" s="465" t="s">
        <v>2145</v>
      </c>
      <c r="C1436" s="466">
        <v>4.5</v>
      </c>
      <c r="D1436" s="465"/>
      <c r="E1436" s="466" t="s">
        <v>2123</v>
      </c>
      <c r="F1436" s="466"/>
      <c r="G1436" s="465"/>
      <c r="H1436" s="465">
        <v>2</v>
      </c>
    </row>
    <row r="1437" spans="1:8" ht="13.8" thickBot="1">
      <c r="A1437" s="467" t="s">
        <v>6519</v>
      </c>
      <c r="B1437" s="465" t="s">
        <v>1723</v>
      </c>
      <c r="C1437" s="466">
        <v>4.5</v>
      </c>
      <c r="D1437" s="465"/>
      <c r="E1437" s="466" t="s">
        <v>2123</v>
      </c>
      <c r="F1437" s="466"/>
      <c r="G1437" s="465"/>
      <c r="H1437" s="465">
        <v>2</v>
      </c>
    </row>
    <row r="1438" spans="1:8" ht="13.8" thickBot="1">
      <c r="A1438" s="467" t="s">
        <v>6735</v>
      </c>
      <c r="B1438" s="465" t="s">
        <v>1646</v>
      </c>
      <c r="C1438" s="466">
        <v>4.5</v>
      </c>
      <c r="D1438" s="467" t="s">
        <v>614</v>
      </c>
      <c r="E1438" s="466" t="s">
        <v>4339</v>
      </c>
      <c r="F1438" s="466" t="s">
        <v>1226</v>
      </c>
      <c r="G1438" s="465"/>
      <c r="H1438" s="465">
        <v>10</v>
      </c>
    </row>
    <row r="1439" spans="1:8" ht="13.8" thickBot="1">
      <c r="A1439" s="467" t="s">
        <v>6736</v>
      </c>
      <c r="B1439" s="465" t="s">
        <v>4343</v>
      </c>
      <c r="C1439" s="466">
        <v>4.5</v>
      </c>
      <c r="D1439" s="465"/>
      <c r="E1439" s="466" t="s">
        <v>4339</v>
      </c>
      <c r="F1439" s="466"/>
      <c r="G1439" s="465"/>
      <c r="H1439" s="465">
        <v>6</v>
      </c>
    </row>
    <row r="1440" spans="1:8" ht="13.8" thickBot="1">
      <c r="A1440" s="465" t="s">
        <v>6737</v>
      </c>
      <c r="B1440" s="465" t="s">
        <v>1654</v>
      </c>
      <c r="C1440" s="466">
        <v>4.5</v>
      </c>
      <c r="D1440" s="465"/>
      <c r="E1440" s="466" t="s">
        <v>4354</v>
      </c>
      <c r="F1440" s="466"/>
      <c r="G1440" s="465"/>
      <c r="H1440" s="465">
        <v>5</v>
      </c>
    </row>
    <row r="1441" spans="1:8" ht="13.8" thickBot="1">
      <c r="A1441" s="465" t="s">
        <v>6738</v>
      </c>
      <c r="B1441" s="465" t="s">
        <v>4385</v>
      </c>
      <c r="C1441" s="466">
        <v>4.5</v>
      </c>
      <c r="D1441" s="465"/>
      <c r="E1441" s="466" t="s">
        <v>4364</v>
      </c>
      <c r="F1441" s="466" t="s">
        <v>1226</v>
      </c>
      <c r="G1441" s="465"/>
      <c r="H1441" s="465">
        <v>9</v>
      </c>
    </row>
    <row r="1442" spans="1:8" ht="13.8" thickBot="1">
      <c r="A1442" s="467" t="s">
        <v>6739</v>
      </c>
      <c r="B1442" s="465" t="s">
        <v>1659</v>
      </c>
      <c r="C1442" s="466">
        <v>4.5</v>
      </c>
      <c r="D1442" s="465"/>
      <c r="E1442" s="466" t="s">
        <v>4364</v>
      </c>
      <c r="F1442" s="466" t="s">
        <v>1226</v>
      </c>
      <c r="G1442" s="465">
        <v>1</v>
      </c>
      <c r="H1442" s="465">
        <v>6</v>
      </c>
    </row>
    <row r="1443" spans="1:8" ht="13.8" thickBot="1">
      <c r="A1443" s="465" t="s">
        <v>6740</v>
      </c>
      <c r="B1443" s="465" t="s">
        <v>1656</v>
      </c>
      <c r="C1443" s="466">
        <v>4.5</v>
      </c>
      <c r="D1443" s="465"/>
      <c r="E1443" s="466" t="s">
        <v>4364</v>
      </c>
      <c r="F1443" s="466" t="s">
        <v>1224</v>
      </c>
      <c r="G1443" s="465"/>
      <c r="H1443" s="465">
        <v>1</v>
      </c>
    </row>
    <row r="1444" spans="1:8" ht="13.8" thickBot="1">
      <c r="A1444" s="465" t="s">
        <v>6741</v>
      </c>
      <c r="B1444" s="465" t="s">
        <v>1658</v>
      </c>
      <c r="C1444" s="466">
        <v>4.5</v>
      </c>
      <c r="D1444" s="465"/>
      <c r="E1444" s="466" t="s">
        <v>4364</v>
      </c>
      <c r="F1444" s="466"/>
      <c r="G1444" s="465"/>
      <c r="H1444" s="465">
        <v>7</v>
      </c>
    </row>
    <row r="1445" spans="1:8" ht="13.8" thickBot="1">
      <c r="A1445" s="465" t="s">
        <v>6742</v>
      </c>
      <c r="B1445" s="465" t="s">
        <v>4421</v>
      </c>
      <c r="C1445" s="466">
        <v>4.5</v>
      </c>
      <c r="D1445" s="465"/>
      <c r="E1445" s="466" t="s">
        <v>4403</v>
      </c>
      <c r="F1445" s="466" t="s">
        <v>1226</v>
      </c>
      <c r="G1445" s="465"/>
      <c r="H1445" s="465">
        <v>2</v>
      </c>
    </row>
    <row r="1446" spans="1:8" ht="13.8" thickBot="1">
      <c r="A1446" s="467" t="s">
        <v>6743</v>
      </c>
      <c r="B1446" s="465" t="s">
        <v>4422</v>
      </c>
      <c r="C1446" s="466">
        <v>4.5</v>
      </c>
      <c r="D1446" s="467" t="s">
        <v>614</v>
      </c>
      <c r="E1446" s="466" t="s">
        <v>4403</v>
      </c>
      <c r="F1446" s="466"/>
      <c r="G1446" s="465"/>
      <c r="H1446" s="465">
        <v>2</v>
      </c>
    </row>
    <row r="1447" spans="1:8" ht="13.8" thickBot="1">
      <c r="A1447" s="465" t="s">
        <v>6744</v>
      </c>
      <c r="B1447" s="465" t="s">
        <v>4429</v>
      </c>
      <c r="C1447" s="466">
        <v>4.5</v>
      </c>
      <c r="D1447" s="467" t="s">
        <v>614</v>
      </c>
      <c r="E1447" s="466" t="s">
        <v>4428</v>
      </c>
      <c r="F1447" s="466"/>
      <c r="G1447" s="465"/>
      <c r="H1447" s="465">
        <v>3</v>
      </c>
    </row>
    <row r="1448" spans="1:8" ht="13.8" thickBot="1">
      <c r="A1448" s="465" t="s">
        <v>6745</v>
      </c>
      <c r="B1448" s="465" t="s">
        <v>4480</v>
      </c>
      <c r="C1448" s="466">
        <v>4.5</v>
      </c>
      <c r="D1448" s="465"/>
      <c r="E1448" s="466" t="s">
        <v>4438</v>
      </c>
      <c r="F1448" s="466" t="s">
        <v>1226</v>
      </c>
      <c r="G1448" s="465"/>
      <c r="H1448" s="465">
        <v>5</v>
      </c>
    </row>
    <row r="1449" spans="1:8" ht="13.8" thickBot="1">
      <c r="A1449" s="467" t="s">
        <v>6746</v>
      </c>
      <c r="B1449" s="465" t="s">
        <v>4481</v>
      </c>
      <c r="C1449" s="466">
        <v>4.5</v>
      </c>
      <c r="D1449" s="465"/>
      <c r="E1449" s="466" t="s">
        <v>4438</v>
      </c>
      <c r="F1449" s="466"/>
      <c r="G1449" s="465"/>
      <c r="H1449" s="465">
        <v>7</v>
      </c>
    </row>
    <row r="1450" spans="1:8" ht="13.8" thickBot="1">
      <c r="A1450" s="467" t="s">
        <v>6747</v>
      </c>
      <c r="B1450" s="465" t="s">
        <v>4482</v>
      </c>
      <c r="C1450" s="466">
        <v>4.5</v>
      </c>
      <c r="D1450" s="465"/>
      <c r="E1450" s="466" t="s">
        <v>4438</v>
      </c>
      <c r="F1450" s="466"/>
      <c r="G1450" s="465"/>
      <c r="H1450" s="465">
        <v>3</v>
      </c>
    </row>
    <row r="1451" spans="1:8" ht="13.8" thickBot="1">
      <c r="A1451" s="467" t="s">
        <v>6748</v>
      </c>
      <c r="B1451" s="465" t="s">
        <v>4483</v>
      </c>
      <c r="C1451" s="466">
        <v>4.5</v>
      </c>
      <c r="D1451" s="467" t="s">
        <v>614</v>
      </c>
      <c r="E1451" s="466" t="s">
        <v>4438</v>
      </c>
      <c r="F1451" s="466"/>
      <c r="G1451" s="465"/>
      <c r="H1451" s="465">
        <v>2</v>
      </c>
    </row>
    <row r="1452" spans="1:8" ht="13.8" thickBot="1">
      <c r="A1452" s="467" t="s">
        <v>6749</v>
      </c>
      <c r="B1452" s="465" t="s">
        <v>4526</v>
      </c>
      <c r="C1452" s="466">
        <v>4.5</v>
      </c>
      <c r="D1452" s="467" t="s">
        <v>614</v>
      </c>
      <c r="E1452" s="466" t="s">
        <v>4509</v>
      </c>
      <c r="F1452" s="466" t="s">
        <v>1880</v>
      </c>
      <c r="G1452" s="465">
        <v>1</v>
      </c>
      <c r="H1452" s="465">
        <v>6</v>
      </c>
    </row>
    <row r="1453" spans="1:8" ht="13.8" thickBot="1">
      <c r="A1453" s="467" t="s">
        <v>6750</v>
      </c>
      <c r="B1453" s="465" t="s">
        <v>1647</v>
      </c>
      <c r="C1453" s="466">
        <v>4.5</v>
      </c>
      <c r="D1453" s="465"/>
      <c r="E1453" s="466" t="s">
        <v>4509</v>
      </c>
      <c r="F1453" s="466" t="s">
        <v>1226</v>
      </c>
      <c r="G1453" s="465"/>
      <c r="H1453" s="465">
        <v>2</v>
      </c>
    </row>
    <row r="1454" spans="1:8" ht="13.8" thickBot="1">
      <c r="A1454" s="467" t="s">
        <v>6751</v>
      </c>
      <c r="B1454" s="465" t="s">
        <v>1647</v>
      </c>
      <c r="C1454" s="466">
        <v>4.5</v>
      </c>
      <c r="D1454" s="465"/>
      <c r="E1454" s="466" t="s">
        <v>4509</v>
      </c>
      <c r="F1454" s="466" t="s">
        <v>1226</v>
      </c>
      <c r="G1454" s="465"/>
      <c r="H1454" s="465"/>
    </row>
    <row r="1455" spans="1:8" ht="13.8" thickBot="1">
      <c r="A1455" s="467" t="s">
        <v>6752</v>
      </c>
      <c r="B1455" s="465" t="s">
        <v>4527</v>
      </c>
      <c r="C1455" s="466">
        <v>4.5</v>
      </c>
      <c r="D1455" s="465"/>
      <c r="E1455" s="466" t="s">
        <v>4509</v>
      </c>
      <c r="F1455" s="466" t="s">
        <v>1226</v>
      </c>
      <c r="G1455" s="465"/>
      <c r="H1455" s="465">
        <v>1</v>
      </c>
    </row>
    <row r="1456" spans="1:8" ht="13.8" thickBot="1">
      <c r="A1456" s="467" t="s">
        <v>6753</v>
      </c>
      <c r="B1456" s="465" t="s">
        <v>1649</v>
      </c>
      <c r="C1456" s="466">
        <v>4.5</v>
      </c>
      <c r="D1456" s="465"/>
      <c r="E1456" s="466" t="s">
        <v>4509</v>
      </c>
      <c r="F1456" s="466"/>
      <c r="G1456" s="465"/>
      <c r="H1456" s="465">
        <v>4</v>
      </c>
    </row>
    <row r="1457" spans="1:8" ht="13.8" thickBot="1">
      <c r="A1457" s="465" t="s">
        <v>6754</v>
      </c>
      <c r="B1457" s="465" t="s">
        <v>1675</v>
      </c>
      <c r="C1457" s="466">
        <v>4.5</v>
      </c>
      <c r="D1457" s="465"/>
      <c r="E1457" s="466" t="s">
        <v>4589</v>
      </c>
      <c r="F1457" s="466"/>
      <c r="G1457" s="465"/>
      <c r="H1457" s="465">
        <v>5</v>
      </c>
    </row>
    <row r="1458" spans="1:8" ht="13.8" thickBot="1">
      <c r="A1458" s="467" t="s">
        <v>6755</v>
      </c>
      <c r="B1458" s="465" t="s">
        <v>4597</v>
      </c>
      <c r="C1458" s="466">
        <v>4.5</v>
      </c>
      <c r="D1458" s="465"/>
      <c r="E1458" s="466" t="s">
        <v>4596</v>
      </c>
      <c r="F1458" s="466" t="s">
        <v>1226</v>
      </c>
      <c r="G1458" s="465"/>
      <c r="H1458" s="465"/>
    </row>
    <row r="1459" spans="1:8" ht="13.8" thickBot="1">
      <c r="A1459" s="467" t="s">
        <v>6756</v>
      </c>
      <c r="B1459" s="465" t="s">
        <v>4620</v>
      </c>
      <c r="C1459" s="466">
        <v>4.5</v>
      </c>
      <c r="D1459" s="465"/>
      <c r="E1459" s="466" t="s">
        <v>4596</v>
      </c>
      <c r="F1459" s="466" t="s">
        <v>1224</v>
      </c>
      <c r="G1459" s="465">
        <v>1</v>
      </c>
      <c r="H1459" s="465">
        <v>12</v>
      </c>
    </row>
    <row r="1460" spans="1:8" ht="13.8" thickBot="1">
      <c r="A1460" s="465" t="s">
        <v>6757</v>
      </c>
      <c r="B1460" s="465" t="s">
        <v>4621</v>
      </c>
      <c r="C1460" s="466">
        <v>4.5</v>
      </c>
      <c r="D1460" s="467" t="s">
        <v>4622</v>
      </c>
      <c r="E1460" s="466" t="s">
        <v>4596</v>
      </c>
      <c r="F1460" s="466" t="s">
        <v>1220</v>
      </c>
      <c r="G1460" s="465">
        <v>1</v>
      </c>
      <c r="H1460" s="465">
        <v>7</v>
      </c>
    </row>
    <row r="1461" spans="1:8" ht="13.8" thickBot="1">
      <c r="A1461" s="467" t="s">
        <v>6758</v>
      </c>
      <c r="B1461" s="465" t="s">
        <v>4597</v>
      </c>
      <c r="C1461" s="466">
        <v>4.5</v>
      </c>
      <c r="D1461" s="465"/>
      <c r="E1461" s="466" t="s">
        <v>4596</v>
      </c>
      <c r="F1461" s="466"/>
      <c r="G1461" s="465">
        <v>1</v>
      </c>
      <c r="H1461" s="465">
        <v>4</v>
      </c>
    </row>
    <row r="1462" spans="1:8" ht="13.8" thickBot="1">
      <c r="A1462" s="467" t="s">
        <v>6759</v>
      </c>
      <c r="B1462" s="465" t="s">
        <v>4623</v>
      </c>
      <c r="C1462" s="466">
        <v>4.5</v>
      </c>
      <c r="D1462" s="465"/>
      <c r="E1462" s="466" t="s">
        <v>4596</v>
      </c>
      <c r="F1462" s="466"/>
      <c r="G1462" s="465"/>
      <c r="H1462" s="465">
        <v>4</v>
      </c>
    </row>
    <row r="1463" spans="1:8" ht="13.8" thickBot="1">
      <c r="A1463" s="467" t="s">
        <v>6520</v>
      </c>
      <c r="B1463" s="465" t="s">
        <v>2197</v>
      </c>
      <c r="C1463" s="466">
        <v>4.5</v>
      </c>
      <c r="D1463" s="465"/>
      <c r="E1463" s="466" t="s">
        <v>2152</v>
      </c>
      <c r="F1463" s="466" t="s">
        <v>1251</v>
      </c>
      <c r="G1463" s="465"/>
      <c r="H1463" s="465">
        <v>2</v>
      </c>
    </row>
    <row r="1464" spans="1:8" ht="13.8" thickBot="1">
      <c r="A1464" s="467" t="s">
        <v>6521</v>
      </c>
      <c r="B1464" s="465" t="s">
        <v>2189</v>
      </c>
      <c r="C1464" s="466">
        <v>4.5</v>
      </c>
      <c r="D1464" s="465"/>
      <c r="E1464" s="466" t="s">
        <v>2152</v>
      </c>
      <c r="F1464" s="466" t="s">
        <v>1224</v>
      </c>
      <c r="G1464" s="465">
        <v>2</v>
      </c>
      <c r="H1464" s="465">
        <v>5</v>
      </c>
    </row>
    <row r="1465" spans="1:8" ht="13.8" thickBot="1">
      <c r="A1465" s="467" t="s">
        <v>6522</v>
      </c>
      <c r="B1465" s="465" t="s">
        <v>1277</v>
      </c>
      <c r="C1465" s="466">
        <v>4.5</v>
      </c>
      <c r="D1465" s="467" t="s">
        <v>614</v>
      </c>
      <c r="E1465" s="466" t="s">
        <v>2152</v>
      </c>
      <c r="F1465" s="466" t="s">
        <v>1224</v>
      </c>
      <c r="G1465" s="465">
        <v>2</v>
      </c>
      <c r="H1465" s="465">
        <v>7</v>
      </c>
    </row>
    <row r="1466" spans="1:8" ht="13.8" thickBot="1">
      <c r="A1466" s="467" t="s">
        <v>6523</v>
      </c>
      <c r="B1466" s="465" t="s">
        <v>1270</v>
      </c>
      <c r="C1466" s="466">
        <v>4.5</v>
      </c>
      <c r="D1466" s="465"/>
      <c r="E1466" s="466" t="s">
        <v>2152</v>
      </c>
      <c r="F1466" s="466" t="s">
        <v>1220</v>
      </c>
      <c r="G1466" s="465"/>
      <c r="H1466" s="465">
        <v>9</v>
      </c>
    </row>
    <row r="1467" spans="1:8" ht="13.8" thickBot="1">
      <c r="A1467" s="467" t="s">
        <v>6524</v>
      </c>
      <c r="B1467" s="465" t="s">
        <v>2204</v>
      </c>
      <c r="C1467" s="466">
        <v>4.5</v>
      </c>
      <c r="D1467" s="465"/>
      <c r="E1467" s="466" t="s">
        <v>2152</v>
      </c>
      <c r="F1467" s="466" t="s">
        <v>1220</v>
      </c>
      <c r="G1467" s="465"/>
      <c r="H1467" s="465">
        <v>6</v>
      </c>
    </row>
    <row r="1468" spans="1:8" ht="13.8" thickBot="1">
      <c r="A1468" s="465" t="s">
        <v>6525</v>
      </c>
      <c r="B1468" s="465" t="s">
        <v>2205</v>
      </c>
      <c r="C1468" s="466">
        <v>4.5</v>
      </c>
      <c r="D1468" s="465"/>
      <c r="E1468" s="466" t="s">
        <v>2152</v>
      </c>
      <c r="F1468" s="466" t="s">
        <v>1220</v>
      </c>
      <c r="G1468" s="465"/>
      <c r="H1468" s="465">
        <v>2</v>
      </c>
    </row>
    <row r="1469" spans="1:8" ht="13.8" thickBot="1">
      <c r="A1469" s="467" t="s">
        <v>6526</v>
      </c>
      <c r="B1469" s="465" t="s">
        <v>1270</v>
      </c>
      <c r="C1469" s="466">
        <v>4.5</v>
      </c>
      <c r="D1469" s="465"/>
      <c r="E1469" s="466" t="s">
        <v>2152</v>
      </c>
      <c r="F1469" s="466"/>
      <c r="G1469" s="465"/>
      <c r="H1469" s="465">
        <v>4</v>
      </c>
    </row>
    <row r="1470" spans="1:8" ht="13.8" thickBot="1">
      <c r="A1470" s="467" t="s">
        <v>6527</v>
      </c>
      <c r="B1470" s="465" t="s">
        <v>1270</v>
      </c>
      <c r="C1470" s="466">
        <v>4.5</v>
      </c>
      <c r="D1470" s="465"/>
      <c r="E1470" s="466" t="s">
        <v>2152</v>
      </c>
      <c r="F1470" s="466"/>
      <c r="G1470" s="465"/>
      <c r="H1470" s="465">
        <v>5</v>
      </c>
    </row>
    <row r="1471" spans="1:8" ht="13.8" thickBot="1">
      <c r="A1471" s="467" t="s">
        <v>6528</v>
      </c>
      <c r="B1471" s="465" t="s">
        <v>1270</v>
      </c>
      <c r="C1471" s="466">
        <v>4.5</v>
      </c>
      <c r="D1471" s="465"/>
      <c r="E1471" s="466" t="s">
        <v>2152</v>
      </c>
      <c r="F1471" s="466"/>
      <c r="G1471" s="465"/>
      <c r="H1471" s="465">
        <v>2</v>
      </c>
    </row>
    <row r="1472" spans="1:8" ht="13.8" thickBot="1">
      <c r="A1472" s="467" t="s">
        <v>6529</v>
      </c>
      <c r="B1472" s="465" t="s">
        <v>1270</v>
      </c>
      <c r="C1472" s="466">
        <v>4.5</v>
      </c>
      <c r="D1472" s="465"/>
      <c r="E1472" s="466" t="s">
        <v>2152</v>
      </c>
      <c r="F1472" s="466"/>
      <c r="G1472" s="465"/>
      <c r="H1472" s="465">
        <v>2</v>
      </c>
    </row>
    <row r="1473" spans="1:8" ht="13.8" thickBot="1">
      <c r="A1473" s="467" t="s">
        <v>6530</v>
      </c>
      <c r="B1473" s="465" t="s">
        <v>2193</v>
      </c>
      <c r="C1473" s="466">
        <v>4.5</v>
      </c>
      <c r="D1473" s="465"/>
      <c r="E1473" s="466" t="s">
        <v>2152</v>
      </c>
      <c r="F1473" s="466"/>
      <c r="G1473" s="465"/>
      <c r="H1473" s="465">
        <v>8</v>
      </c>
    </row>
    <row r="1474" spans="1:8" ht="13.8" thickBot="1">
      <c r="A1474" s="467" t="s">
        <v>6531</v>
      </c>
      <c r="B1474" s="465" t="s">
        <v>2206</v>
      </c>
      <c r="C1474" s="466">
        <v>4.5</v>
      </c>
      <c r="D1474" s="465"/>
      <c r="E1474" s="466" t="s">
        <v>2152</v>
      </c>
      <c r="F1474" s="466"/>
      <c r="G1474" s="465">
        <v>1</v>
      </c>
      <c r="H1474" s="465">
        <v>6</v>
      </c>
    </row>
    <row r="1475" spans="1:8" ht="13.8" thickBot="1">
      <c r="A1475" s="467" t="s">
        <v>6760</v>
      </c>
      <c r="B1475" s="465" t="s">
        <v>1694</v>
      </c>
      <c r="C1475" s="466">
        <v>4.5</v>
      </c>
      <c r="D1475" s="465"/>
      <c r="E1475" s="466" t="s">
        <v>4644</v>
      </c>
      <c r="F1475" s="466" t="s">
        <v>1226</v>
      </c>
      <c r="G1475" s="465"/>
      <c r="H1475" s="465">
        <v>1</v>
      </c>
    </row>
    <row r="1476" spans="1:8" ht="13.8" thickBot="1">
      <c r="A1476" s="465" t="s">
        <v>6761</v>
      </c>
      <c r="B1476" s="465" t="s">
        <v>4667</v>
      </c>
      <c r="C1476" s="466">
        <v>4.5</v>
      </c>
      <c r="D1476" s="465"/>
      <c r="E1476" s="466" t="s">
        <v>4644</v>
      </c>
      <c r="F1476" s="466" t="s">
        <v>1226</v>
      </c>
      <c r="G1476" s="465"/>
      <c r="H1476" s="465"/>
    </row>
    <row r="1477" spans="1:8" ht="13.8" thickBot="1">
      <c r="A1477" s="467" t="s">
        <v>6762</v>
      </c>
      <c r="B1477" s="465" t="s">
        <v>1678</v>
      </c>
      <c r="C1477" s="466">
        <v>4.5</v>
      </c>
      <c r="D1477" s="467" t="s">
        <v>614</v>
      </c>
      <c r="E1477" s="466" t="s">
        <v>4644</v>
      </c>
      <c r="F1477" s="466" t="s">
        <v>1224</v>
      </c>
      <c r="G1477" s="465"/>
      <c r="H1477" s="465">
        <v>1</v>
      </c>
    </row>
    <row r="1478" spans="1:8" ht="13.8" thickBot="1">
      <c r="A1478" s="467" t="s">
        <v>6763</v>
      </c>
      <c r="B1478" s="465" t="s">
        <v>1683</v>
      </c>
      <c r="C1478" s="466">
        <v>4.5</v>
      </c>
      <c r="D1478" s="467" t="s">
        <v>614</v>
      </c>
      <c r="E1478" s="466" t="s">
        <v>4644</v>
      </c>
      <c r="F1478" s="466" t="s">
        <v>1224</v>
      </c>
      <c r="G1478" s="465"/>
      <c r="H1478" s="465">
        <v>3</v>
      </c>
    </row>
    <row r="1479" spans="1:8" ht="13.8" thickBot="1">
      <c r="A1479" s="465" t="s">
        <v>6764</v>
      </c>
      <c r="B1479" s="465" t="s">
        <v>1708</v>
      </c>
      <c r="C1479" s="466">
        <v>4.5</v>
      </c>
      <c r="D1479" s="465"/>
      <c r="E1479" s="466" t="s">
        <v>4672</v>
      </c>
      <c r="F1479" s="466" t="s">
        <v>1226</v>
      </c>
      <c r="G1479" s="465"/>
      <c r="H1479" s="465"/>
    </row>
    <row r="1480" spans="1:8" ht="13.8" thickBot="1">
      <c r="A1480" s="465" t="s">
        <v>6765</v>
      </c>
      <c r="B1480" s="465" t="s">
        <v>1711</v>
      </c>
      <c r="C1480" s="466">
        <v>4.5</v>
      </c>
      <c r="D1480" s="465"/>
      <c r="E1480" s="466" t="s">
        <v>4672</v>
      </c>
      <c r="F1480" s="466" t="s">
        <v>1226</v>
      </c>
      <c r="G1480" s="465"/>
      <c r="H1480" s="465">
        <v>3</v>
      </c>
    </row>
    <row r="1481" spans="1:8" ht="13.8" thickBot="1">
      <c r="A1481" s="465" t="s">
        <v>6766</v>
      </c>
      <c r="B1481" s="465" t="s">
        <v>4689</v>
      </c>
      <c r="C1481" s="466">
        <v>4.5</v>
      </c>
      <c r="D1481" s="465"/>
      <c r="E1481" s="466" t="s">
        <v>4672</v>
      </c>
      <c r="F1481" s="466" t="s">
        <v>1226</v>
      </c>
      <c r="G1481" s="465"/>
      <c r="H1481" s="465"/>
    </row>
    <row r="1482" spans="1:8" ht="13.8" thickBot="1">
      <c r="A1482" s="467" t="s">
        <v>6767</v>
      </c>
      <c r="B1482" s="465" t="s">
        <v>1708</v>
      </c>
      <c r="C1482" s="466">
        <v>4.5</v>
      </c>
      <c r="D1482" s="465"/>
      <c r="E1482" s="466" t="s">
        <v>4672</v>
      </c>
      <c r="F1482" s="466" t="s">
        <v>1224</v>
      </c>
      <c r="G1482" s="465">
        <v>1</v>
      </c>
      <c r="H1482" s="465">
        <v>6</v>
      </c>
    </row>
    <row r="1483" spans="1:8" ht="13.8" thickBot="1">
      <c r="A1483" s="467" t="s">
        <v>6768</v>
      </c>
      <c r="B1483" s="465" t="s">
        <v>4674</v>
      </c>
      <c r="C1483" s="466">
        <v>4.5</v>
      </c>
      <c r="D1483" s="465"/>
      <c r="E1483" s="466" t="s">
        <v>4672</v>
      </c>
      <c r="F1483" s="466" t="s">
        <v>1220</v>
      </c>
      <c r="G1483" s="465"/>
      <c r="H1483" s="465">
        <v>2</v>
      </c>
    </row>
    <row r="1484" spans="1:8" ht="13.8" thickBot="1">
      <c r="A1484" s="467" t="s">
        <v>6769</v>
      </c>
      <c r="B1484" s="465" t="s">
        <v>1708</v>
      </c>
      <c r="C1484" s="466">
        <v>4.5</v>
      </c>
      <c r="D1484" s="465"/>
      <c r="E1484" s="466" t="s">
        <v>4672</v>
      </c>
      <c r="F1484" s="466"/>
      <c r="G1484" s="465">
        <v>1</v>
      </c>
      <c r="H1484" s="465">
        <v>3</v>
      </c>
    </row>
    <row r="1485" spans="1:8" ht="13.8" thickBot="1">
      <c r="A1485" s="465" t="s">
        <v>6770</v>
      </c>
      <c r="B1485" s="465" t="s">
        <v>4690</v>
      </c>
      <c r="C1485" s="466">
        <v>4.5</v>
      </c>
      <c r="D1485" s="465"/>
      <c r="E1485" s="466" t="s">
        <v>4672</v>
      </c>
      <c r="F1485" s="466"/>
      <c r="G1485" s="465"/>
      <c r="H1485" s="465">
        <v>4</v>
      </c>
    </row>
    <row r="1486" spans="1:8" ht="13.8" thickBot="1">
      <c r="A1486" s="465" t="s">
        <v>6771</v>
      </c>
      <c r="B1486" s="465" t="s">
        <v>1713</v>
      </c>
      <c r="C1486" s="466">
        <v>4.5</v>
      </c>
      <c r="D1486" s="467" t="s">
        <v>614</v>
      </c>
      <c r="E1486" s="466" t="s">
        <v>4672</v>
      </c>
      <c r="F1486" s="466"/>
      <c r="G1486" s="465"/>
      <c r="H1486" s="465">
        <v>5</v>
      </c>
    </row>
    <row r="1487" spans="1:8" ht="13.8" thickBot="1">
      <c r="A1487" s="465" t="s">
        <v>6772</v>
      </c>
      <c r="B1487" s="465" t="s">
        <v>4691</v>
      </c>
      <c r="C1487" s="466">
        <v>4.5</v>
      </c>
      <c r="D1487" s="465"/>
      <c r="E1487" s="466" t="s">
        <v>4672</v>
      </c>
      <c r="F1487" s="466"/>
      <c r="G1487" s="465">
        <v>1</v>
      </c>
      <c r="H1487" s="465">
        <v>3</v>
      </c>
    </row>
    <row r="1488" spans="1:8" ht="13.8" thickBot="1">
      <c r="A1488" s="467" t="s">
        <v>6773</v>
      </c>
      <c r="B1488" s="465" t="s">
        <v>4692</v>
      </c>
      <c r="C1488" s="466">
        <v>4.5</v>
      </c>
      <c r="D1488" s="467" t="s">
        <v>614</v>
      </c>
      <c r="E1488" s="466" t="s">
        <v>4672</v>
      </c>
      <c r="F1488" s="466"/>
      <c r="G1488" s="465"/>
      <c r="H1488" s="465">
        <v>3</v>
      </c>
    </row>
    <row r="1489" spans="1:8" ht="13.8" thickBot="1">
      <c r="A1489" s="467" t="s">
        <v>6774</v>
      </c>
      <c r="B1489" s="465" t="s">
        <v>4711</v>
      </c>
      <c r="C1489" s="466">
        <v>4.5</v>
      </c>
      <c r="D1489" s="465"/>
      <c r="E1489" s="466" t="s">
        <v>4709</v>
      </c>
      <c r="F1489" s="466" t="s">
        <v>1880</v>
      </c>
      <c r="G1489" s="465">
        <v>1</v>
      </c>
      <c r="H1489" s="465">
        <v>6</v>
      </c>
    </row>
    <row r="1490" spans="1:8" ht="13.8" thickBot="1">
      <c r="A1490" s="465" t="s">
        <v>6775</v>
      </c>
      <c r="B1490" s="465" t="s">
        <v>4766</v>
      </c>
      <c r="C1490" s="466">
        <v>4.5</v>
      </c>
      <c r="D1490" s="465"/>
      <c r="E1490" s="466" t="s">
        <v>4753</v>
      </c>
      <c r="F1490" s="466"/>
      <c r="G1490" s="465"/>
      <c r="H1490" s="465">
        <v>2</v>
      </c>
    </row>
    <row r="1491" spans="1:8" ht="13.8" thickBot="1">
      <c r="A1491" s="465" t="s">
        <v>6776</v>
      </c>
      <c r="B1491" s="465" t="s">
        <v>4776</v>
      </c>
      <c r="C1491" s="466">
        <v>4.5</v>
      </c>
      <c r="D1491" s="465"/>
      <c r="E1491" s="466" t="s">
        <v>4773</v>
      </c>
      <c r="F1491" s="466"/>
      <c r="G1491" s="465"/>
      <c r="H1491" s="465">
        <v>1</v>
      </c>
    </row>
    <row r="1492" spans="1:8" ht="13.8" thickBot="1">
      <c r="A1492" s="467" t="s">
        <v>6816</v>
      </c>
      <c r="B1492" s="465" t="s">
        <v>1792</v>
      </c>
      <c r="C1492" s="466">
        <v>5</v>
      </c>
      <c r="D1492" s="465"/>
      <c r="E1492" s="466" t="s">
        <v>1793</v>
      </c>
      <c r="F1492" s="466" t="s">
        <v>1865</v>
      </c>
      <c r="G1492" s="465"/>
      <c r="H1492" s="465">
        <v>3</v>
      </c>
    </row>
    <row r="1493" spans="1:8" ht="13.8" thickBot="1">
      <c r="A1493" s="465" t="s">
        <v>6817</v>
      </c>
      <c r="B1493" s="465" t="s">
        <v>1866</v>
      </c>
      <c r="C1493" s="466">
        <v>5</v>
      </c>
      <c r="D1493" s="467" t="s">
        <v>1854</v>
      </c>
      <c r="E1493" s="466" t="s">
        <v>1793</v>
      </c>
      <c r="F1493" s="466" t="s">
        <v>1251</v>
      </c>
      <c r="G1493" s="465"/>
      <c r="H1493" s="465">
        <v>1</v>
      </c>
    </row>
    <row r="1494" spans="1:8" ht="13.8" thickBot="1">
      <c r="A1494" s="465" t="s">
        <v>6818</v>
      </c>
      <c r="B1494" s="465" t="s">
        <v>1867</v>
      </c>
      <c r="C1494" s="466">
        <v>5</v>
      </c>
      <c r="D1494" s="465"/>
      <c r="E1494" s="466" t="s">
        <v>1793</v>
      </c>
      <c r="F1494" s="466" t="s">
        <v>1251</v>
      </c>
      <c r="G1494" s="465">
        <v>3</v>
      </c>
      <c r="H1494" s="465">
        <v>16</v>
      </c>
    </row>
    <row r="1495" spans="1:8" ht="13.8" thickBot="1">
      <c r="A1495" s="465" t="s">
        <v>6819</v>
      </c>
      <c r="B1495" s="465" t="s">
        <v>1868</v>
      </c>
      <c r="C1495" s="466">
        <v>5</v>
      </c>
      <c r="D1495" s="465"/>
      <c r="E1495" s="466" t="s">
        <v>1793</v>
      </c>
      <c r="F1495" s="466" t="s">
        <v>1226</v>
      </c>
      <c r="G1495" s="465">
        <v>3</v>
      </c>
      <c r="H1495" s="465">
        <v>15</v>
      </c>
    </row>
    <row r="1496" spans="1:8" ht="13.8" thickBot="1">
      <c r="A1496" s="465" t="s">
        <v>6820</v>
      </c>
      <c r="B1496" s="465" t="s">
        <v>1869</v>
      </c>
      <c r="C1496" s="466">
        <v>5</v>
      </c>
      <c r="D1496" s="465"/>
      <c r="E1496" s="466" t="s">
        <v>1793</v>
      </c>
      <c r="F1496" s="466" t="s">
        <v>1226</v>
      </c>
      <c r="G1496" s="465"/>
      <c r="H1496" s="465">
        <v>4</v>
      </c>
    </row>
    <row r="1497" spans="1:8" ht="13.8" thickBot="1">
      <c r="A1497" s="467" t="s">
        <v>6821</v>
      </c>
      <c r="B1497" s="465" t="s">
        <v>1870</v>
      </c>
      <c r="C1497" s="466">
        <v>5</v>
      </c>
      <c r="D1497" s="467" t="s">
        <v>614</v>
      </c>
      <c r="E1497" s="466" t="s">
        <v>1793</v>
      </c>
      <c r="F1497" s="466" t="s">
        <v>1226</v>
      </c>
      <c r="G1497" s="465"/>
      <c r="H1497" s="465">
        <v>2</v>
      </c>
    </row>
    <row r="1498" spans="1:8" ht="13.8" thickBot="1">
      <c r="A1498" s="465" t="s">
        <v>6822</v>
      </c>
      <c r="B1498" s="465" t="s">
        <v>1797</v>
      </c>
      <c r="C1498" s="466">
        <v>5</v>
      </c>
      <c r="D1498" s="465"/>
      <c r="E1498" s="466" t="s">
        <v>1793</v>
      </c>
      <c r="F1498" s="466" t="s">
        <v>1226</v>
      </c>
      <c r="G1498" s="465"/>
      <c r="H1498" s="465">
        <v>1</v>
      </c>
    </row>
    <row r="1499" spans="1:8" ht="13.8" thickBot="1">
      <c r="A1499" s="465" t="s">
        <v>6823</v>
      </c>
      <c r="B1499" s="465" t="s">
        <v>1797</v>
      </c>
      <c r="C1499" s="466">
        <v>5</v>
      </c>
      <c r="D1499" s="465"/>
      <c r="E1499" s="466" t="s">
        <v>1793</v>
      </c>
      <c r="F1499" s="466" t="s">
        <v>1226</v>
      </c>
      <c r="G1499" s="465"/>
      <c r="H1499" s="465">
        <v>1</v>
      </c>
    </row>
    <row r="1500" spans="1:8" ht="13.8" thickBot="1">
      <c r="A1500" s="467" t="s">
        <v>6824</v>
      </c>
      <c r="B1500" s="465" t="s">
        <v>1797</v>
      </c>
      <c r="C1500" s="466">
        <v>5</v>
      </c>
      <c r="D1500" s="465"/>
      <c r="E1500" s="466" t="s">
        <v>1793</v>
      </c>
      <c r="F1500" s="466" t="s">
        <v>1226</v>
      </c>
      <c r="G1500" s="465"/>
      <c r="H1500" s="465">
        <v>1</v>
      </c>
    </row>
    <row r="1501" spans="1:8" ht="13.8" thickBot="1">
      <c r="A1501" s="467" t="s">
        <v>6825</v>
      </c>
      <c r="B1501" s="465" t="s">
        <v>1871</v>
      </c>
      <c r="C1501" s="466">
        <v>5</v>
      </c>
      <c r="D1501" s="465"/>
      <c r="E1501" s="466" t="s">
        <v>1793</v>
      </c>
      <c r="F1501" s="466" t="s">
        <v>1226</v>
      </c>
      <c r="G1501" s="465"/>
      <c r="H1501" s="465">
        <v>8</v>
      </c>
    </row>
    <row r="1502" spans="1:8" ht="13.8" thickBot="1">
      <c r="A1502" s="467" t="s">
        <v>6826</v>
      </c>
      <c r="B1502" s="465" t="s">
        <v>1797</v>
      </c>
      <c r="C1502" s="466">
        <v>5</v>
      </c>
      <c r="D1502" s="465"/>
      <c r="E1502" s="466" t="s">
        <v>1793</v>
      </c>
      <c r="F1502" s="466" t="s">
        <v>1224</v>
      </c>
      <c r="G1502" s="465"/>
      <c r="H1502" s="465">
        <v>2</v>
      </c>
    </row>
    <row r="1503" spans="1:8" ht="13.8" thickBot="1">
      <c r="A1503" s="467" t="s">
        <v>6827</v>
      </c>
      <c r="B1503" s="465" t="s">
        <v>1797</v>
      </c>
      <c r="C1503" s="466">
        <v>5</v>
      </c>
      <c r="D1503" s="465"/>
      <c r="E1503" s="466" t="s">
        <v>1793</v>
      </c>
      <c r="F1503" s="466" t="s">
        <v>1224</v>
      </c>
      <c r="G1503" s="465"/>
      <c r="H1503" s="465">
        <v>3</v>
      </c>
    </row>
    <row r="1504" spans="1:8" ht="13.8" thickBot="1">
      <c r="A1504" s="465" t="s">
        <v>6828</v>
      </c>
      <c r="B1504" s="465" t="s">
        <v>1872</v>
      </c>
      <c r="C1504" s="466">
        <v>5</v>
      </c>
      <c r="D1504" s="465" t="s">
        <v>821</v>
      </c>
      <c r="E1504" s="466" t="s">
        <v>1793</v>
      </c>
      <c r="F1504" s="466" t="s">
        <v>1224</v>
      </c>
      <c r="G1504" s="465">
        <v>1</v>
      </c>
      <c r="H1504" s="465">
        <v>8</v>
      </c>
    </row>
    <row r="1505" spans="1:8" ht="13.8" thickBot="1">
      <c r="A1505" s="467" t="s">
        <v>6829</v>
      </c>
      <c r="B1505" s="465" t="s">
        <v>1792</v>
      </c>
      <c r="C1505" s="466">
        <v>5</v>
      </c>
      <c r="D1505" s="465"/>
      <c r="E1505" s="466" t="s">
        <v>1793</v>
      </c>
      <c r="F1505" s="466" t="s">
        <v>1220</v>
      </c>
      <c r="G1505" s="465">
        <v>1</v>
      </c>
      <c r="H1505" s="465">
        <v>6</v>
      </c>
    </row>
    <row r="1506" spans="1:8" ht="13.8" thickBot="1">
      <c r="A1506" s="465" t="s">
        <v>6830</v>
      </c>
      <c r="B1506" s="465" t="s">
        <v>1873</v>
      </c>
      <c r="C1506" s="466">
        <v>5</v>
      </c>
      <c r="D1506" s="465"/>
      <c r="E1506" s="466" t="s">
        <v>1793</v>
      </c>
      <c r="F1506" s="466" t="s">
        <v>1220</v>
      </c>
      <c r="G1506" s="465"/>
      <c r="H1506" s="465">
        <v>2</v>
      </c>
    </row>
    <row r="1507" spans="1:8" ht="13.8" thickBot="1">
      <c r="A1507" s="467" t="s">
        <v>6831</v>
      </c>
      <c r="B1507" s="465" t="s">
        <v>1874</v>
      </c>
      <c r="C1507" s="466">
        <v>5</v>
      </c>
      <c r="D1507" s="465"/>
      <c r="E1507" s="466" t="s">
        <v>1793</v>
      </c>
      <c r="F1507" s="466" t="s">
        <v>1220</v>
      </c>
      <c r="G1507" s="465"/>
      <c r="H1507" s="465">
        <v>2</v>
      </c>
    </row>
    <row r="1508" spans="1:8" ht="13.8" thickBot="1">
      <c r="A1508" s="467" t="s">
        <v>6832</v>
      </c>
      <c r="B1508" s="465" t="s">
        <v>1792</v>
      </c>
      <c r="C1508" s="466">
        <v>5</v>
      </c>
      <c r="D1508" s="465"/>
      <c r="E1508" s="466" t="s">
        <v>1793</v>
      </c>
      <c r="F1508" s="466"/>
      <c r="G1508" s="465"/>
      <c r="H1508" s="465"/>
    </row>
    <row r="1509" spans="1:8" ht="13.8" thickBot="1">
      <c r="A1509" s="465" t="s">
        <v>6833</v>
      </c>
      <c r="B1509" s="465" t="s">
        <v>1792</v>
      </c>
      <c r="C1509" s="466">
        <v>5</v>
      </c>
      <c r="D1509" s="465"/>
      <c r="E1509" s="466" t="s">
        <v>1793</v>
      </c>
      <c r="F1509" s="466"/>
      <c r="G1509" s="465">
        <v>1</v>
      </c>
      <c r="H1509" s="465">
        <v>2</v>
      </c>
    </row>
    <row r="1510" spans="1:8" ht="13.8" thickBot="1">
      <c r="A1510" s="467" t="s">
        <v>6834</v>
      </c>
      <c r="B1510" s="465" t="s">
        <v>1792</v>
      </c>
      <c r="C1510" s="466">
        <v>5</v>
      </c>
      <c r="D1510" s="465"/>
      <c r="E1510" s="466" t="s">
        <v>1793</v>
      </c>
      <c r="F1510" s="466"/>
      <c r="G1510" s="465">
        <v>2</v>
      </c>
      <c r="H1510" s="465">
        <v>8</v>
      </c>
    </row>
    <row r="1511" spans="1:8" ht="13.8" thickBot="1">
      <c r="A1511" s="465" t="s">
        <v>6835</v>
      </c>
      <c r="B1511" s="465" t="s">
        <v>1792</v>
      </c>
      <c r="C1511" s="466">
        <v>5</v>
      </c>
      <c r="D1511" s="465"/>
      <c r="E1511" s="466" t="s">
        <v>1793</v>
      </c>
      <c r="F1511" s="466"/>
      <c r="G1511" s="465"/>
      <c r="H1511" s="465">
        <v>3</v>
      </c>
    </row>
    <row r="1512" spans="1:8" ht="13.8" thickBot="1">
      <c r="A1512" s="465" t="s">
        <v>6836</v>
      </c>
      <c r="B1512" s="465" t="s">
        <v>1792</v>
      </c>
      <c r="C1512" s="466">
        <v>5</v>
      </c>
      <c r="D1512" s="465"/>
      <c r="E1512" s="466" t="s">
        <v>1793</v>
      </c>
      <c r="F1512" s="466"/>
      <c r="G1512" s="465"/>
      <c r="H1512" s="465">
        <v>1</v>
      </c>
    </row>
    <row r="1513" spans="1:8" ht="13.8" thickBot="1">
      <c r="A1513" s="465" t="s">
        <v>6837</v>
      </c>
      <c r="B1513" s="465" t="s">
        <v>1792</v>
      </c>
      <c r="C1513" s="466">
        <v>5</v>
      </c>
      <c r="D1513" s="465"/>
      <c r="E1513" s="466" t="s">
        <v>1793</v>
      </c>
      <c r="F1513" s="466"/>
      <c r="G1513" s="465"/>
      <c r="H1513" s="465">
        <v>2</v>
      </c>
    </row>
    <row r="1514" spans="1:8" ht="13.8" thickBot="1">
      <c r="A1514" s="465" t="s">
        <v>6838</v>
      </c>
      <c r="B1514" s="465" t="s">
        <v>1792</v>
      </c>
      <c r="C1514" s="466">
        <v>5</v>
      </c>
      <c r="D1514" s="465"/>
      <c r="E1514" s="466" t="s">
        <v>1793</v>
      </c>
      <c r="F1514" s="466"/>
      <c r="G1514" s="465"/>
      <c r="H1514" s="465">
        <v>1</v>
      </c>
    </row>
    <row r="1515" spans="1:8" ht="13.8" thickBot="1">
      <c r="A1515" s="465" t="s">
        <v>6839</v>
      </c>
      <c r="B1515" s="465" t="s">
        <v>1875</v>
      </c>
      <c r="C1515" s="466">
        <v>5</v>
      </c>
      <c r="D1515" s="465"/>
      <c r="E1515" s="466" t="s">
        <v>1793</v>
      </c>
      <c r="F1515" s="466"/>
      <c r="G1515" s="465"/>
      <c r="H1515" s="465">
        <v>1</v>
      </c>
    </row>
    <row r="1516" spans="1:8" ht="13.8" thickBot="1">
      <c r="A1516" s="465" t="s">
        <v>6840</v>
      </c>
      <c r="B1516" s="465" t="s">
        <v>1853</v>
      </c>
      <c r="C1516" s="466">
        <v>5</v>
      </c>
      <c r="D1516" s="465"/>
      <c r="E1516" s="466" t="s">
        <v>1793</v>
      </c>
      <c r="F1516" s="466"/>
      <c r="G1516" s="465"/>
      <c r="H1516" s="465">
        <v>1</v>
      </c>
    </row>
    <row r="1517" spans="1:8" ht="13.8" thickBot="1">
      <c r="A1517" s="467" t="s">
        <v>6841</v>
      </c>
      <c r="B1517" s="465" t="s">
        <v>1876</v>
      </c>
      <c r="C1517" s="466">
        <v>5</v>
      </c>
      <c r="D1517" s="465"/>
      <c r="E1517" s="466" t="s">
        <v>1793</v>
      </c>
      <c r="F1517" s="466"/>
      <c r="G1517" s="465">
        <v>1</v>
      </c>
      <c r="H1517" s="465">
        <v>7</v>
      </c>
    </row>
    <row r="1518" spans="1:8" ht="13.8" thickBot="1">
      <c r="A1518" s="465" t="s">
        <v>6842</v>
      </c>
      <c r="B1518" s="465" t="s">
        <v>1877</v>
      </c>
      <c r="C1518" s="466">
        <v>5</v>
      </c>
      <c r="D1518" s="465"/>
      <c r="E1518" s="466" t="s">
        <v>1793</v>
      </c>
      <c r="F1518" s="466"/>
      <c r="G1518" s="465"/>
      <c r="H1518" s="465">
        <v>1</v>
      </c>
    </row>
    <row r="1519" spans="1:8" ht="13.8" thickBot="1">
      <c r="A1519" s="467" t="s">
        <v>6843</v>
      </c>
      <c r="B1519" s="465" t="s">
        <v>1878</v>
      </c>
      <c r="C1519" s="466">
        <v>5</v>
      </c>
      <c r="D1519" s="465"/>
      <c r="E1519" s="466" t="s">
        <v>1793</v>
      </c>
      <c r="F1519" s="466"/>
      <c r="G1519" s="465"/>
      <c r="H1519" s="465">
        <v>3</v>
      </c>
    </row>
    <row r="1520" spans="1:8" ht="13.8" thickBot="1">
      <c r="A1520" s="467" t="s">
        <v>6844</v>
      </c>
      <c r="B1520" s="465" t="s">
        <v>1879</v>
      </c>
      <c r="C1520" s="466">
        <v>5</v>
      </c>
      <c r="D1520" s="465"/>
      <c r="E1520" s="466" t="s">
        <v>1793</v>
      </c>
      <c r="F1520" s="466"/>
      <c r="G1520" s="465"/>
      <c r="H1520" s="465">
        <v>1</v>
      </c>
    </row>
    <row r="1521" spans="1:8" ht="13.8" thickBot="1">
      <c r="A1521" s="467" t="s">
        <v>6933</v>
      </c>
      <c r="B1521" s="465" t="s">
        <v>2232</v>
      </c>
      <c r="C1521" s="466">
        <v>5</v>
      </c>
      <c r="D1521" s="465"/>
      <c r="E1521" s="466" t="s">
        <v>2216</v>
      </c>
      <c r="F1521" s="466" t="s">
        <v>1880</v>
      </c>
      <c r="G1521" s="465"/>
      <c r="H1521" s="465">
        <v>2</v>
      </c>
    </row>
    <row r="1522" spans="1:8" ht="13.8" thickBot="1">
      <c r="A1522" s="467" t="s">
        <v>6934</v>
      </c>
      <c r="B1522" s="465" t="s">
        <v>2233</v>
      </c>
      <c r="C1522" s="466">
        <v>5</v>
      </c>
      <c r="D1522" s="465"/>
      <c r="E1522" s="466" t="s">
        <v>2216</v>
      </c>
      <c r="F1522" s="466" t="s">
        <v>1251</v>
      </c>
      <c r="G1522" s="465"/>
      <c r="H1522" s="465">
        <v>3</v>
      </c>
    </row>
    <row r="1523" spans="1:8" ht="13.8" thickBot="1">
      <c r="A1523" s="465" t="s">
        <v>6935</v>
      </c>
      <c r="B1523" s="465" t="s">
        <v>2234</v>
      </c>
      <c r="C1523" s="466">
        <v>5</v>
      </c>
      <c r="D1523" s="465"/>
      <c r="E1523" s="466" t="s">
        <v>2216</v>
      </c>
      <c r="F1523" s="466" t="s">
        <v>1226</v>
      </c>
      <c r="G1523" s="465"/>
      <c r="H1523" s="465">
        <v>3</v>
      </c>
    </row>
    <row r="1524" spans="1:8" ht="13.8" thickBot="1">
      <c r="A1524" s="467" t="s">
        <v>6936</v>
      </c>
      <c r="B1524" s="465" t="s">
        <v>2235</v>
      </c>
      <c r="C1524" s="466">
        <v>5</v>
      </c>
      <c r="D1524" s="465"/>
      <c r="E1524" s="466" t="s">
        <v>2216</v>
      </c>
      <c r="F1524" s="466" t="s">
        <v>1226</v>
      </c>
      <c r="G1524" s="465"/>
      <c r="H1524" s="465">
        <v>3</v>
      </c>
    </row>
    <row r="1525" spans="1:8" ht="13.8" thickBot="1">
      <c r="A1525" s="467" t="s">
        <v>6937</v>
      </c>
      <c r="B1525" s="465" t="s">
        <v>2228</v>
      </c>
      <c r="C1525" s="466">
        <v>5</v>
      </c>
      <c r="D1525" s="465"/>
      <c r="E1525" s="466" t="s">
        <v>2216</v>
      </c>
      <c r="F1525" s="466"/>
      <c r="G1525" s="465"/>
      <c r="H1525" s="465">
        <v>3</v>
      </c>
    </row>
    <row r="1526" spans="1:8" ht="13.8" thickBot="1">
      <c r="A1526" s="467" t="s">
        <v>6938</v>
      </c>
      <c r="B1526" s="465" t="s">
        <v>2236</v>
      </c>
      <c r="C1526" s="466">
        <v>5</v>
      </c>
      <c r="D1526" s="465"/>
      <c r="E1526" s="466" t="s">
        <v>2216</v>
      </c>
      <c r="F1526" s="466"/>
      <c r="G1526" s="465"/>
      <c r="H1526" s="465">
        <v>3</v>
      </c>
    </row>
    <row r="1527" spans="1:8" ht="13.8" thickBot="1">
      <c r="A1527" s="465" t="s">
        <v>6939</v>
      </c>
      <c r="B1527" s="465" t="s">
        <v>2226</v>
      </c>
      <c r="C1527" s="466">
        <v>5</v>
      </c>
      <c r="D1527" s="465"/>
      <c r="E1527" s="466" t="s">
        <v>2216</v>
      </c>
      <c r="F1527" s="466"/>
      <c r="G1527" s="465">
        <v>1</v>
      </c>
      <c r="H1527" s="465">
        <v>3</v>
      </c>
    </row>
    <row r="1528" spans="1:8" ht="13.8" thickBot="1">
      <c r="A1528" s="467" t="s">
        <v>6940</v>
      </c>
      <c r="B1528" s="465" t="s">
        <v>2237</v>
      </c>
      <c r="C1528" s="466">
        <v>5</v>
      </c>
      <c r="D1528" s="465"/>
      <c r="E1528" s="466" t="s">
        <v>2216</v>
      </c>
      <c r="F1528" s="466"/>
      <c r="G1528" s="465"/>
      <c r="H1528" s="465">
        <v>2</v>
      </c>
    </row>
    <row r="1529" spans="1:8" ht="13.8" thickBot="1">
      <c r="A1529" s="467" t="s">
        <v>7560</v>
      </c>
      <c r="B1529" s="465" t="s">
        <v>4811</v>
      </c>
      <c r="C1529" s="466">
        <v>5</v>
      </c>
      <c r="D1529" s="465"/>
      <c r="E1529" s="466" t="s">
        <v>4789</v>
      </c>
      <c r="F1529" s="466" t="s">
        <v>1865</v>
      </c>
      <c r="G1529" s="465"/>
      <c r="H1529" s="465">
        <v>7</v>
      </c>
    </row>
    <row r="1530" spans="1:8" ht="13.8" thickBot="1">
      <c r="A1530" s="465" t="s">
        <v>7561</v>
      </c>
      <c r="B1530" s="465" t="s">
        <v>1761</v>
      </c>
      <c r="C1530" s="466">
        <v>5</v>
      </c>
      <c r="D1530" s="465"/>
      <c r="E1530" s="466" t="s">
        <v>4789</v>
      </c>
      <c r="F1530" s="466" t="s">
        <v>1251</v>
      </c>
      <c r="G1530" s="465"/>
      <c r="H1530" s="465">
        <v>16</v>
      </c>
    </row>
    <row r="1531" spans="1:8" ht="13.8" thickBot="1">
      <c r="A1531" s="467" t="s">
        <v>7562</v>
      </c>
      <c r="B1531" s="465" t="s">
        <v>4812</v>
      </c>
      <c r="C1531" s="466">
        <v>5</v>
      </c>
      <c r="D1531" s="465"/>
      <c r="E1531" s="466" t="s">
        <v>4789</v>
      </c>
      <c r="F1531" s="466" t="s">
        <v>2067</v>
      </c>
      <c r="G1531" s="465"/>
      <c r="H1531" s="465">
        <v>17</v>
      </c>
    </row>
    <row r="1532" spans="1:8" ht="13.8" thickBot="1">
      <c r="A1532" s="467" t="s">
        <v>7563</v>
      </c>
      <c r="B1532" s="465" t="s">
        <v>4813</v>
      </c>
      <c r="C1532" s="466">
        <v>5</v>
      </c>
      <c r="D1532" s="465"/>
      <c r="E1532" s="466" t="s">
        <v>4789</v>
      </c>
      <c r="F1532" s="466" t="s">
        <v>1224</v>
      </c>
      <c r="G1532" s="465">
        <v>1</v>
      </c>
      <c r="H1532" s="465">
        <v>10</v>
      </c>
    </row>
    <row r="1533" spans="1:8" ht="13.8" thickBot="1">
      <c r="A1533" s="467" t="s">
        <v>7564</v>
      </c>
      <c r="B1533" s="465" t="s">
        <v>4814</v>
      </c>
      <c r="C1533" s="466">
        <v>5</v>
      </c>
      <c r="D1533" s="465"/>
      <c r="E1533" s="466" t="s">
        <v>4789</v>
      </c>
      <c r="F1533" s="466" t="s">
        <v>1220</v>
      </c>
      <c r="G1533" s="465"/>
      <c r="H1533" s="465">
        <v>2</v>
      </c>
    </row>
    <row r="1534" spans="1:8" ht="13.8" thickBot="1">
      <c r="A1534" s="467" t="s">
        <v>7565</v>
      </c>
      <c r="B1534" s="465" t="s">
        <v>4815</v>
      </c>
      <c r="C1534" s="466">
        <v>5</v>
      </c>
      <c r="D1534" s="467" t="s">
        <v>614</v>
      </c>
      <c r="E1534" s="466" t="s">
        <v>4789</v>
      </c>
      <c r="F1534" s="466" t="s">
        <v>1220</v>
      </c>
      <c r="G1534" s="465"/>
      <c r="H1534" s="465">
        <v>5</v>
      </c>
    </row>
    <row r="1535" spans="1:8" ht="13.8" thickBot="1">
      <c r="A1535" s="467" t="s">
        <v>7566</v>
      </c>
      <c r="B1535" s="465" t="s">
        <v>1759</v>
      </c>
      <c r="C1535" s="466">
        <v>5</v>
      </c>
      <c r="D1535" s="465"/>
      <c r="E1535" s="466" t="s">
        <v>4789</v>
      </c>
      <c r="F1535" s="466"/>
      <c r="G1535" s="465"/>
      <c r="H1535" s="465">
        <v>1</v>
      </c>
    </row>
    <row r="1536" spans="1:8" ht="13.8" thickBot="1">
      <c r="A1536" s="467" t="s">
        <v>7567</v>
      </c>
      <c r="B1536" s="465" t="s">
        <v>1759</v>
      </c>
      <c r="C1536" s="466">
        <v>5</v>
      </c>
      <c r="D1536" s="467" t="s">
        <v>614</v>
      </c>
      <c r="E1536" s="466" t="s">
        <v>4789</v>
      </c>
      <c r="F1536" s="466"/>
      <c r="G1536" s="465"/>
      <c r="H1536" s="465">
        <v>2</v>
      </c>
    </row>
    <row r="1537" spans="1:8" ht="13.8" thickBot="1">
      <c r="A1537" s="467" t="s">
        <v>7568</v>
      </c>
      <c r="B1537" s="465" t="s">
        <v>4800</v>
      </c>
      <c r="C1537" s="466">
        <v>5</v>
      </c>
      <c r="D1537" s="465"/>
      <c r="E1537" s="466" t="s">
        <v>4789</v>
      </c>
      <c r="F1537" s="466"/>
      <c r="G1537" s="465"/>
      <c r="H1537" s="465">
        <v>1</v>
      </c>
    </row>
    <row r="1538" spans="1:8" ht="13.8" thickBot="1">
      <c r="A1538" s="465" t="s">
        <v>7569</v>
      </c>
      <c r="B1538" s="465" t="s">
        <v>4816</v>
      </c>
      <c r="C1538" s="466">
        <v>5</v>
      </c>
      <c r="D1538" s="467" t="s">
        <v>614</v>
      </c>
      <c r="E1538" s="466" t="s">
        <v>4789</v>
      </c>
      <c r="F1538" s="466"/>
      <c r="G1538" s="465"/>
      <c r="H1538" s="465">
        <v>2</v>
      </c>
    </row>
    <row r="1539" spans="1:8" ht="13.8" thickBot="1">
      <c r="A1539" s="467" t="s">
        <v>7570</v>
      </c>
      <c r="B1539" s="465" t="s">
        <v>4813</v>
      </c>
      <c r="C1539" s="466">
        <v>5</v>
      </c>
      <c r="D1539" s="467" t="s">
        <v>614</v>
      </c>
      <c r="E1539" s="466" t="s">
        <v>4789</v>
      </c>
      <c r="F1539" s="466"/>
      <c r="G1539" s="465">
        <v>2</v>
      </c>
      <c r="H1539" s="465">
        <v>6</v>
      </c>
    </row>
    <row r="1540" spans="1:8" ht="13.8" thickBot="1">
      <c r="A1540" s="467" t="s">
        <v>7571</v>
      </c>
      <c r="B1540" s="465" t="s">
        <v>4817</v>
      </c>
      <c r="C1540" s="466">
        <v>5</v>
      </c>
      <c r="D1540" s="465"/>
      <c r="E1540" s="466" t="s">
        <v>4789</v>
      </c>
      <c r="F1540" s="466"/>
      <c r="G1540" s="465"/>
      <c r="H1540" s="465">
        <v>1</v>
      </c>
    </row>
    <row r="1541" spans="1:8" ht="13.8" thickBot="1">
      <c r="A1541" s="467" t="s">
        <v>7572</v>
      </c>
      <c r="B1541" s="465" t="s">
        <v>1757</v>
      </c>
      <c r="C1541" s="466">
        <v>5</v>
      </c>
      <c r="D1541" s="465"/>
      <c r="E1541" s="466" t="s">
        <v>4822</v>
      </c>
      <c r="F1541" s="466" t="s">
        <v>1841</v>
      </c>
      <c r="G1541" s="465"/>
      <c r="H1541" s="465">
        <v>14</v>
      </c>
    </row>
    <row r="1542" spans="1:8" ht="13.8" thickBot="1">
      <c r="A1542" s="467" t="s">
        <v>7573</v>
      </c>
      <c r="B1542" s="465" t="s">
        <v>1755</v>
      </c>
      <c r="C1542" s="466">
        <v>5</v>
      </c>
      <c r="D1542" s="465"/>
      <c r="E1542" s="466" t="s">
        <v>4822</v>
      </c>
      <c r="F1542" s="466" t="s">
        <v>1226</v>
      </c>
      <c r="G1542" s="465"/>
      <c r="H1542" s="465">
        <v>8</v>
      </c>
    </row>
    <row r="1543" spans="1:8" ht="13.8" thickBot="1">
      <c r="A1543" s="467" t="s">
        <v>7574</v>
      </c>
      <c r="B1543" s="465" t="s">
        <v>4837</v>
      </c>
      <c r="C1543" s="466">
        <v>5</v>
      </c>
      <c r="D1543" s="465"/>
      <c r="E1543" s="466" t="s">
        <v>4822</v>
      </c>
      <c r="F1543" s="466" t="s">
        <v>1224</v>
      </c>
      <c r="G1543" s="465"/>
      <c r="H1543" s="465">
        <v>3</v>
      </c>
    </row>
    <row r="1544" spans="1:8" ht="13.8" thickBot="1">
      <c r="A1544" s="467" t="s">
        <v>7575</v>
      </c>
      <c r="B1544" s="465" t="s">
        <v>4838</v>
      </c>
      <c r="C1544" s="466">
        <v>5</v>
      </c>
      <c r="D1544" s="465"/>
      <c r="E1544" s="466" t="s">
        <v>4822</v>
      </c>
      <c r="F1544" s="466" t="s">
        <v>1220</v>
      </c>
      <c r="G1544" s="465"/>
      <c r="H1544" s="465">
        <v>10</v>
      </c>
    </row>
    <row r="1545" spans="1:8" ht="13.8" thickBot="1">
      <c r="A1545" s="465" t="s">
        <v>7576</v>
      </c>
      <c r="B1545" s="465" t="s">
        <v>1755</v>
      </c>
      <c r="C1545" s="466">
        <v>5</v>
      </c>
      <c r="D1545" s="465"/>
      <c r="E1545" s="466" t="s">
        <v>4822</v>
      </c>
      <c r="F1545" s="466"/>
      <c r="G1545" s="465"/>
      <c r="H1545" s="465">
        <v>2</v>
      </c>
    </row>
    <row r="1546" spans="1:8" ht="13.8" thickBot="1">
      <c r="A1546" s="465" t="s">
        <v>7577</v>
      </c>
      <c r="B1546" s="465" t="s">
        <v>1755</v>
      </c>
      <c r="C1546" s="466">
        <v>5</v>
      </c>
      <c r="D1546" s="465"/>
      <c r="E1546" s="466" t="s">
        <v>4822</v>
      </c>
      <c r="F1546" s="466"/>
      <c r="G1546" s="465"/>
      <c r="H1546" s="465"/>
    </row>
    <row r="1547" spans="1:8" ht="13.8" thickBot="1">
      <c r="A1547" s="467" t="s">
        <v>7578</v>
      </c>
      <c r="B1547" s="465" t="s">
        <v>4823</v>
      </c>
      <c r="C1547" s="466">
        <v>5</v>
      </c>
      <c r="D1547" s="467" t="s">
        <v>4839</v>
      </c>
      <c r="E1547" s="466" t="s">
        <v>4822</v>
      </c>
      <c r="F1547" s="466"/>
      <c r="G1547" s="465"/>
      <c r="H1547" s="465">
        <v>1</v>
      </c>
    </row>
    <row r="1548" spans="1:8" ht="13.8" thickBot="1">
      <c r="A1548" s="467" t="s">
        <v>7579</v>
      </c>
      <c r="B1548" s="465" t="s">
        <v>4840</v>
      </c>
      <c r="C1548" s="466">
        <v>5</v>
      </c>
      <c r="D1548" s="465"/>
      <c r="E1548" s="466" t="s">
        <v>4822</v>
      </c>
      <c r="F1548" s="466"/>
      <c r="G1548" s="465"/>
      <c r="H1548" s="465">
        <v>5</v>
      </c>
    </row>
    <row r="1549" spans="1:8" ht="13.8" thickBot="1">
      <c r="A1549" s="467" t="s">
        <v>7580</v>
      </c>
      <c r="B1549" s="465" t="s">
        <v>4828</v>
      </c>
      <c r="C1549" s="466">
        <v>5</v>
      </c>
      <c r="D1549" s="465"/>
      <c r="E1549" s="466" t="s">
        <v>4822</v>
      </c>
      <c r="F1549" s="466"/>
      <c r="G1549" s="465"/>
      <c r="H1549" s="465">
        <v>2</v>
      </c>
    </row>
    <row r="1550" spans="1:8" ht="13.8" thickBot="1">
      <c r="A1550" s="467" t="s">
        <v>7581</v>
      </c>
      <c r="B1550" s="465" t="s">
        <v>4828</v>
      </c>
      <c r="C1550" s="466">
        <v>5</v>
      </c>
      <c r="D1550" s="465"/>
      <c r="E1550" s="466" t="s">
        <v>4822</v>
      </c>
      <c r="F1550" s="466"/>
      <c r="G1550" s="465">
        <v>1</v>
      </c>
      <c r="H1550" s="465">
        <v>4</v>
      </c>
    </row>
    <row r="1551" spans="1:8" ht="13.8" thickBot="1">
      <c r="A1551" s="467" t="s">
        <v>7582</v>
      </c>
      <c r="B1551" s="465" t="s">
        <v>4841</v>
      </c>
      <c r="C1551" s="466">
        <v>5</v>
      </c>
      <c r="D1551" s="465"/>
      <c r="E1551" s="466" t="s">
        <v>4822</v>
      </c>
      <c r="F1551" s="466"/>
      <c r="G1551" s="465"/>
      <c r="H1551" s="465">
        <v>2</v>
      </c>
    </row>
    <row r="1552" spans="1:8" ht="13.8" thickBot="1">
      <c r="A1552" s="465" t="s">
        <v>7583</v>
      </c>
      <c r="B1552" s="465" t="s">
        <v>4851</v>
      </c>
      <c r="C1552" s="466">
        <v>5</v>
      </c>
      <c r="D1552" s="465"/>
      <c r="E1552" s="466" t="s">
        <v>4850</v>
      </c>
      <c r="F1552" s="466"/>
      <c r="G1552" s="465"/>
      <c r="H1552" s="465">
        <v>2</v>
      </c>
    </row>
    <row r="1553" spans="1:8" ht="13.8" thickBot="1">
      <c r="A1553" s="467" t="s">
        <v>7584</v>
      </c>
      <c r="B1553" s="465" t="s">
        <v>4862</v>
      </c>
      <c r="C1553" s="466">
        <v>5</v>
      </c>
      <c r="D1553" s="465"/>
      <c r="E1553" s="466" t="s">
        <v>4850</v>
      </c>
      <c r="F1553" s="466"/>
      <c r="G1553" s="465"/>
      <c r="H1553" s="465">
        <v>1</v>
      </c>
    </row>
    <row r="1554" spans="1:8" ht="13.8" thickBot="1">
      <c r="A1554" s="465" t="s">
        <v>7585</v>
      </c>
      <c r="B1554" s="465" t="s">
        <v>4892</v>
      </c>
      <c r="C1554" s="466">
        <v>5</v>
      </c>
      <c r="D1554" s="467" t="s">
        <v>4893</v>
      </c>
      <c r="E1554" s="466" t="s">
        <v>4865</v>
      </c>
      <c r="F1554" s="466" t="s">
        <v>1229</v>
      </c>
      <c r="G1554" s="465"/>
      <c r="H1554" s="465">
        <v>1</v>
      </c>
    </row>
    <row r="1555" spans="1:8" ht="13.8" thickBot="1">
      <c r="A1555" s="467" t="s">
        <v>7586</v>
      </c>
      <c r="B1555" s="465" t="s">
        <v>4894</v>
      </c>
      <c r="C1555" s="466">
        <v>5</v>
      </c>
      <c r="D1555" s="467" t="s">
        <v>614</v>
      </c>
      <c r="E1555" s="466" t="s">
        <v>4865</v>
      </c>
      <c r="F1555" s="466" t="s">
        <v>1226</v>
      </c>
      <c r="G1555" s="465">
        <v>1</v>
      </c>
      <c r="H1555" s="465">
        <v>2</v>
      </c>
    </row>
    <row r="1556" spans="1:8" ht="13.8" thickBot="1">
      <c r="A1556" s="467" t="s">
        <v>7587</v>
      </c>
      <c r="B1556" s="465" t="s">
        <v>4895</v>
      </c>
      <c r="C1556" s="466">
        <v>5</v>
      </c>
      <c r="D1556" s="467" t="s">
        <v>614</v>
      </c>
      <c r="E1556" s="466" t="s">
        <v>4865</v>
      </c>
      <c r="F1556" s="466" t="s">
        <v>1224</v>
      </c>
      <c r="G1556" s="465"/>
      <c r="H1556" s="465">
        <v>1</v>
      </c>
    </row>
    <row r="1557" spans="1:8" ht="13.8" thickBot="1">
      <c r="A1557" s="467" t="s">
        <v>7588</v>
      </c>
      <c r="B1557" s="465" t="s">
        <v>4867</v>
      </c>
      <c r="C1557" s="466">
        <v>5</v>
      </c>
      <c r="D1557" s="465"/>
      <c r="E1557" s="466" t="s">
        <v>4865</v>
      </c>
      <c r="F1557" s="466"/>
      <c r="G1557" s="465"/>
      <c r="H1557" s="465"/>
    </row>
    <row r="1558" spans="1:8" ht="13.8" thickBot="1">
      <c r="A1558" s="467" t="s">
        <v>7589</v>
      </c>
      <c r="B1558" s="465" t="s">
        <v>4896</v>
      </c>
      <c r="C1558" s="466">
        <v>5</v>
      </c>
      <c r="D1558" s="465" t="s">
        <v>4844</v>
      </c>
      <c r="E1558" s="466" t="s">
        <v>4865</v>
      </c>
      <c r="F1558" s="466"/>
      <c r="G1558" s="465"/>
      <c r="H1558" s="465">
        <v>1</v>
      </c>
    </row>
    <row r="1559" spans="1:8" ht="13.8" thickBot="1">
      <c r="A1559" s="467" t="s">
        <v>7590</v>
      </c>
      <c r="B1559" s="465" t="s">
        <v>4897</v>
      </c>
      <c r="C1559" s="466">
        <v>5</v>
      </c>
      <c r="D1559" s="467" t="s">
        <v>4898</v>
      </c>
      <c r="E1559" s="466" t="s">
        <v>4865</v>
      </c>
      <c r="F1559" s="466"/>
      <c r="G1559" s="465"/>
      <c r="H1559" s="465"/>
    </row>
    <row r="1560" spans="1:8" ht="13.8" thickBot="1">
      <c r="A1560" s="467" t="s">
        <v>7591</v>
      </c>
      <c r="B1560" s="465" t="s">
        <v>4911</v>
      </c>
      <c r="C1560" s="466">
        <v>5</v>
      </c>
      <c r="D1560" s="465"/>
      <c r="E1560" s="466" t="s">
        <v>4905</v>
      </c>
      <c r="F1560" s="466" t="s">
        <v>1224</v>
      </c>
      <c r="G1560" s="465"/>
      <c r="H1560" s="465">
        <v>3</v>
      </c>
    </row>
    <row r="1561" spans="1:8" ht="13.8" thickBot="1">
      <c r="A1561" s="467" t="s">
        <v>7592</v>
      </c>
      <c r="B1561" s="465" t="s">
        <v>4915</v>
      </c>
      <c r="C1561" s="466">
        <v>5</v>
      </c>
      <c r="D1561" s="465"/>
      <c r="E1561" s="466" t="s">
        <v>4905</v>
      </c>
      <c r="F1561" s="466" t="s">
        <v>1220</v>
      </c>
      <c r="G1561" s="465"/>
      <c r="H1561" s="465">
        <v>3</v>
      </c>
    </row>
    <row r="1562" spans="1:8" ht="13.8" thickBot="1">
      <c r="A1562" s="465" t="s">
        <v>7593</v>
      </c>
      <c r="B1562" s="465" t="s">
        <v>4930</v>
      </c>
      <c r="C1562" s="466">
        <v>5</v>
      </c>
      <c r="D1562" s="465"/>
      <c r="E1562" s="466" t="s">
        <v>4918</v>
      </c>
      <c r="F1562" s="466" t="s">
        <v>1224</v>
      </c>
      <c r="G1562" s="465"/>
      <c r="H1562" s="465">
        <v>1</v>
      </c>
    </row>
    <row r="1563" spans="1:8" ht="13.8" thickBot="1">
      <c r="A1563" s="465" t="s">
        <v>7594</v>
      </c>
      <c r="B1563" s="465" t="s">
        <v>4925</v>
      </c>
      <c r="C1563" s="466">
        <v>5</v>
      </c>
      <c r="D1563" s="467" t="s">
        <v>614</v>
      </c>
      <c r="E1563" s="466" t="s">
        <v>4918</v>
      </c>
      <c r="F1563" s="466" t="s">
        <v>1224</v>
      </c>
      <c r="G1563" s="465"/>
      <c r="H1563" s="465">
        <v>1</v>
      </c>
    </row>
    <row r="1564" spans="1:8" ht="13.8" thickBot="1">
      <c r="A1564" s="467" t="s">
        <v>7595</v>
      </c>
      <c r="B1564" s="465" t="s">
        <v>4930</v>
      </c>
      <c r="C1564" s="466">
        <v>5</v>
      </c>
      <c r="D1564" s="465"/>
      <c r="E1564" s="466" t="s">
        <v>4918</v>
      </c>
      <c r="F1564" s="466"/>
      <c r="G1564" s="465"/>
      <c r="H1564" s="465">
        <v>1</v>
      </c>
    </row>
    <row r="1565" spans="1:8" ht="13.8" thickBot="1">
      <c r="A1565" s="465" t="s">
        <v>7596</v>
      </c>
      <c r="B1565" s="465" t="s">
        <v>4938</v>
      </c>
      <c r="C1565" s="466">
        <v>5</v>
      </c>
      <c r="D1565" s="465"/>
      <c r="E1565" s="466" t="s">
        <v>4918</v>
      </c>
      <c r="F1565" s="466"/>
      <c r="G1565" s="465">
        <v>1</v>
      </c>
      <c r="H1565" s="465">
        <v>1</v>
      </c>
    </row>
    <row r="1566" spans="1:8" ht="13.8" thickBot="1">
      <c r="A1566" s="465" t="s">
        <v>7597</v>
      </c>
      <c r="B1566" s="465" t="s">
        <v>4937</v>
      </c>
      <c r="C1566" s="466">
        <v>5</v>
      </c>
      <c r="D1566" s="465" t="s">
        <v>2419</v>
      </c>
      <c r="E1566" s="466" t="s">
        <v>4918</v>
      </c>
      <c r="F1566" s="466"/>
      <c r="G1566" s="465"/>
      <c r="H1566" s="465">
        <v>1</v>
      </c>
    </row>
    <row r="1567" spans="1:8" ht="13.8" thickBot="1">
      <c r="A1567" s="465" t="s">
        <v>7598</v>
      </c>
      <c r="B1567" s="465" t="s">
        <v>4958</v>
      </c>
      <c r="C1567" s="466">
        <v>5</v>
      </c>
      <c r="D1567" s="465"/>
      <c r="E1567" s="466" t="s">
        <v>4943</v>
      </c>
      <c r="F1567" s="466" t="s">
        <v>1251</v>
      </c>
      <c r="G1567" s="465"/>
      <c r="H1567" s="465"/>
    </row>
    <row r="1568" spans="1:8" ht="13.8" thickBot="1">
      <c r="A1568" s="467" t="s">
        <v>7599</v>
      </c>
      <c r="B1568" s="465" t="s">
        <v>4959</v>
      </c>
      <c r="C1568" s="466">
        <v>5</v>
      </c>
      <c r="D1568" s="465"/>
      <c r="E1568" s="466" t="s">
        <v>4943</v>
      </c>
      <c r="F1568" s="466" t="s">
        <v>1220</v>
      </c>
      <c r="G1568" s="465"/>
      <c r="H1568" s="465">
        <v>2</v>
      </c>
    </row>
    <row r="1569" spans="1:8" ht="13.8" thickBot="1">
      <c r="A1569" s="467" t="s">
        <v>7600</v>
      </c>
      <c r="B1569" s="465" t="s">
        <v>4942</v>
      </c>
      <c r="C1569" s="466">
        <v>5</v>
      </c>
      <c r="D1569" s="465"/>
      <c r="E1569" s="466" t="s">
        <v>4943</v>
      </c>
      <c r="F1569" s="466"/>
      <c r="G1569" s="465"/>
      <c r="H1569" s="465">
        <v>7</v>
      </c>
    </row>
    <row r="1570" spans="1:8" ht="13.8" thickBot="1">
      <c r="A1570" s="467" t="s">
        <v>7601</v>
      </c>
      <c r="B1570" s="465" t="s">
        <v>4942</v>
      </c>
      <c r="C1570" s="466">
        <v>5</v>
      </c>
      <c r="D1570" s="465"/>
      <c r="E1570" s="466" t="s">
        <v>4943</v>
      </c>
      <c r="F1570" s="466"/>
      <c r="G1570" s="465"/>
      <c r="H1570" s="465"/>
    </row>
    <row r="1571" spans="1:8" ht="13.8" thickBot="1">
      <c r="A1571" s="467" t="s">
        <v>7602</v>
      </c>
      <c r="B1571" s="465" t="s">
        <v>4960</v>
      </c>
      <c r="C1571" s="466">
        <v>5</v>
      </c>
      <c r="D1571" s="467" t="s">
        <v>4819</v>
      </c>
      <c r="E1571" s="466" t="s">
        <v>4943</v>
      </c>
      <c r="F1571" s="466"/>
      <c r="G1571" s="465"/>
      <c r="H1571" s="465">
        <v>4</v>
      </c>
    </row>
    <row r="1572" spans="1:8" ht="13.8" thickBot="1">
      <c r="A1572" s="467" t="s">
        <v>7603</v>
      </c>
      <c r="B1572" s="465" t="s">
        <v>4967</v>
      </c>
      <c r="C1572" s="466">
        <v>5</v>
      </c>
      <c r="D1572" s="465"/>
      <c r="E1572" s="466" t="s">
        <v>4963</v>
      </c>
      <c r="F1572" s="466" t="s">
        <v>1226</v>
      </c>
      <c r="G1572" s="465"/>
      <c r="H1572" s="465">
        <v>10</v>
      </c>
    </row>
    <row r="1573" spans="1:8" ht="13.8" thickBot="1">
      <c r="A1573" s="467" t="s">
        <v>7604</v>
      </c>
      <c r="B1573" s="465" t="s">
        <v>1602</v>
      </c>
      <c r="C1573" s="466">
        <v>5</v>
      </c>
      <c r="D1573" s="465"/>
      <c r="E1573" s="466" t="s">
        <v>4970</v>
      </c>
      <c r="F1573" s="466" t="s">
        <v>1865</v>
      </c>
      <c r="G1573" s="465"/>
      <c r="H1573" s="465">
        <v>7</v>
      </c>
    </row>
    <row r="1574" spans="1:8" ht="13.8" thickBot="1">
      <c r="A1574" s="467" t="s">
        <v>7605</v>
      </c>
      <c r="B1574" s="465" t="s">
        <v>1604</v>
      </c>
      <c r="C1574" s="466">
        <v>5</v>
      </c>
      <c r="D1574" s="465"/>
      <c r="E1574" s="466" t="s">
        <v>4970</v>
      </c>
      <c r="F1574" s="466" t="s">
        <v>1226</v>
      </c>
      <c r="G1574" s="465"/>
      <c r="H1574" s="465">
        <v>4</v>
      </c>
    </row>
    <row r="1575" spans="1:8" ht="13.8" thickBot="1">
      <c r="A1575" s="467" t="s">
        <v>7606</v>
      </c>
      <c r="B1575" s="465" t="s">
        <v>4988</v>
      </c>
      <c r="C1575" s="466">
        <v>5</v>
      </c>
      <c r="D1575" s="465"/>
      <c r="E1575" s="466" t="s">
        <v>4970</v>
      </c>
      <c r="F1575" s="466" t="s">
        <v>1220</v>
      </c>
      <c r="G1575" s="465"/>
      <c r="H1575" s="465">
        <v>2</v>
      </c>
    </row>
    <row r="1576" spans="1:8" ht="13.8" thickBot="1">
      <c r="A1576" s="465" t="s">
        <v>7607</v>
      </c>
      <c r="B1576" s="465" t="s">
        <v>1605</v>
      </c>
      <c r="C1576" s="466">
        <v>5</v>
      </c>
      <c r="D1576" s="465"/>
      <c r="E1576" s="466" t="s">
        <v>4970</v>
      </c>
      <c r="F1576" s="466" t="s">
        <v>1220</v>
      </c>
      <c r="G1576" s="465"/>
      <c r="H1576" s="465">
        <v>3</v>
      </c>
    </row>
    <row r="1577" spans="1:8" ht="13.8" thickBot="1">
      <c r="A1577" s="465" t="s">
        <v>7608</v>
      </c>
      <c r="B1577" s="465" t="s">
        <v>1593</v>
      </c>
      <c r="C1577" s="466">
        <v>5</v>
      </c>
      <c r="D1577" s="465"/>
      <c r="E1577" s="466" t="s">
        <v>4970</v>
      </c>
      <c r="F1577" s="466"/>
      <c r="G1577" s="465"/>
      <c r="H1577" s="465">
        <v>2</v>
      </c>
    </row>
    <row r="1578" spans="1:8" ht="13.8" thickBot="1">
      <c r="A1578" s="465" t="s">
        <v>7609</v>
      </c>
      <c r="B1578" s="465" t="s">
        <v>1593</v>
      </c>
      <c r="C1578" s="466">
        <v>5</v>
      </c>
      <c r="D1578" s="465"/>
      <c r="E1578" s="466" t="s">
        <v>4970</v>
      </c>
      <c r="F1578" s="466"/>
      <c r="G1578" s="465"/>
      <c r="H1578" s="465">
        <v>10</v>
      </c>
    </row>
    <row r="1579" spans="1:8" ht="13.8" thickBot="1">
      <c r="A1579" s="465" t="s">
        <v>7610</v>
      </c>
      <c r="B1579" s="465" t="s">
        <v>1593</v>
      </c>
      <c r="C1579" s="466">
        <v>5</v>
      </c>
      <c r="D1579" s="465"/>
      <c r="E1579" s="466" t="s">
        <v>4970</v>
      </c>
      <c r="F1579" s="466"/>
      <c r="G1579" s="465"/>
      <c r="H1579" s="465">
        <v>7</v>
      </c>
    </row>
    <row r="1580" spans="1:8" ht="13.8" thickBot="1">
      <c r="A1580" s="465" t="s">
        <v>7611</v>
      </c>
      <c r="B1580" s="465" t="s">
        <v>1593</v>
      </c>
      <c r="C1580" s="466">
        <v>5</v>
      </c>
      <c r="D1580" s="465"/>
      <c r="E1580" s="466" t="s">
        <v>4970</v>
      </c>
      <c r="F1580" s="466"/>
      <c r="G1580" s="465"/>
      <c r="H1580" s="465">
        <v>1</v>
      </c>
    </row>
    <row r="1581" spans="1:8" ht="13.8" thickBot="1">
      <c r="A1581" s="467" t="s">
        <v>7612</v>
      </c>
      <c r="B1581" s="465" t="s">
        <v>1593</v>
      </c>
      <c r="C1581" s="466">
        <v>5</v>
      </c>
      <c r="D1581" s="465"/>
      <c r="E1581" s="466" t="s">
        <v>4970</v>
      </c>
      <c r="F1581" s="466"/>
      <c r="G1581" s="465"/>
      <c r="H1581" s="465">
        <v>1</v>
      </c>
    </row>
    <row r="1582" spans="1:8" ht="13.8" thickBot="1">
      <c r="A1582" s="467" t="s">
        <v>7613</v>
      </c>
      <c r="B1582" s="465" t="s">
        <v>1598</v>
      </c>
      <c r="C1582" s="466">
        <v>5</v>
      </c>
      <c r="D1582" s="465"/>
      <c r="E1582" s="466" t="s">
        <v>4970</v>
      </c>
      <c r="F1582" s="466"/>
      <c r="G1582" s="465"/>
      <c r="H1582" s="465">
        <v>4</v>
      </c>
    </row>
    <row r="1583" spans="1:8" ht="13.8" thickBot="1">
      <c r="A1583" s="467" t="s">
        <v>7614</v>
      </c>
      <c r="B1583" s="465" t="s">
        <v>4989</v>
      </c>
      <c r="C1583" s="466">
        <v>5</v>
      </c>
      <c r="D1583" s="465"/>
      <c r="E1583" s="466" t="s">
        <v>4970</v>
      </c>
      <c r="F1583" s="466"/>
      <c r="G1583" s="465"/>
      <c r="H1583" s="465">
        <v>3</v>
      </c>
    </row>
    <row r="1584" spans="1:8" ht="13.8" thickBot="1">
      <c r="A1584" s="465" t="s">
        <v>7615</v>
      </c>
      <c r="B1584" s="465" t="s">
        <v>4990</v>
      </c>
      <c r="C1584" s="466">
        <v>5</v>
      </c>
      <c r="D1584" s="465"/>
      <c r="E1584" s="466" t="s">
        <v>4970</v>
      </c>
      <c r="F1584" s="466"/>
      <c r="G1584" s="465"/>
      <c r="H1584" s="465">
        <v>1</v>
      </c>
    </row>
    <row r="1585" spans="1:8" ht="13.8" thickBot="1">
      <c r="A1585" s="465" t="s">
        <v>7616</v>
      </c>
      <c r="B1585" s="465" t="s">
        <v>4991</v>
      </c>
      <c r="C1585" s="466">
        <v>5</v>
      </c>
      <c r="D1585" s="465"/>
      <c r="E1585" s="466" t="s">
        <v>4970</v>
      </c>
      <c r="F1585" s="466"/>
      <c r="G1585" s="465"/>
      <c r="H1585" s="465">
        <v>1</v>
      </c>
    </row>
    <row r="1586" spans="1:8" ht="13.8" thickBot="1">
      <c r="A1586" s="467" t="s">
        <v>6941</v>
      </c>
      <c r="B1586" s="465" t="s">
        <v>2246</v>
      </c>
      <c r="C1586" s="466">
        <v>5</v>
      </c>
      <c r="D1586" s="465" t="s">
        <v>2256</v>
      </c>
      <c r="E1586" s="466" t="s">
        <v>2242</v>
      </c>
      <c r="F1586" s="466" t="s">
        <v>1251</v>
      </c>
      <c r="G1586" s="465">
        <v>1</v>
      </c>
      <c r="H1586" s="465">
        <v>1</v>
      </c>
    </row>
    <row r="1587" spans="1:8" ht="13.8" thickBot="1">
      <c r="A1587" s="465" t="s">
        <v>6942</v>
      </c>
      <c r="B1587" s="465" t="s">
        <v>2257</v>
      </c>
      <c r="C1587" s="466">
        <v>5</v>
      </c>
      <c r="D1587" s="465"/>
      <c r="E1587" s="466" t="s">
        <v>2242</v>
      </c>
      <c r="F1587" s="466" t="s">
        <v>1226</v>
      </c>
      <c r="G1587" s="465">
        <v>1</v>
      </c>
      <c r="H1587" s="465">
        <v>10</v>
      </c>
    </row>
    <row r="1588" spans="1:8" ht="13.8" thickBot="1">
      <c r="A1588" s="467" t="s">
        <v>6943</v>
      </c>
      <c r="B1588" s="465" t="s">
        <v>2258</v>
      </c>
      <c r="C1588" s="466">
        <v>5</v>
      </c>
      <c r="D1588" s="465"/>
      <c r="E1588" s="466" t="s">
        <v>2242</v>
      </c>
      <c r="F1588" s="466" t="s">
        <v>1220</v>
      </c>
      <c r="G1588" s="465"/>
      <c r="H1588" s="465">
        <v>3</v>
      </c>
    </row>
    <row r="1589" spans="1:8" ht="13.8" thickBot="1">
      <c r="A1589" s="465" t="s">
        <v>6944</v>
      </c>
      <c r="B1589" s="465" t="s">
        <v>2246</v>
      </c>
      <c r="C1589" s="466">
        <v>5</v>
      </c>
      <c r="D1589" s="465"/>
      <c r="E1589" s="466" t="s">
        <v>2242</v>
      </c>
      <c r="F1589" s="466"/>
      <c r="G1589" s="465"/>
      <c r="H1589" s="465">
        <v>14</v>
      </c>
    </row>
    <row r="1590" spans="1:8" ht="13.8" thickBot="1">
      <c r="A1590" s="465" t="s">
        <v>1037</v>
      </c>
      <c r="B1590" s="465" t="s">
        <v>2259</v>
      </c>
      <c r="C1590" s="466">
        <v>5</v>
      </c>
      <c r="D1590" s="465"/>
      <c r="E1590" s="466" t="s">
        <v>2242</v>
      </c>
      <c r="F1590" s="466"/>
      <c r="G1590" s="465">
        <v>2</v>
      </c>
      <c r="H1590" s="465">
        <v>4</v>
      </c>
    </row>
    <row r="1591" spans="1:8" ht="13.8" thickBot="1">
      <c r="A1591" s="467" t="s">
        <v>6945</v>
      </c>
      <c r="B1591" s="465" t="s">
        <v>2260</v>
      </c>
      <c r="C1591" s="466">
        <v>5</v>
      </c>
      <c r="D1591" s="467" t="s">
        <v>614</v>
      </c>
      <c r="E1591" s="466" t="s">
        <v>2242</v>
      </c>
      <c r="F1591" s="466"/>
      <c r="G1591" s="465"/>
      <c r="H1591" s="465">
        <v>5</v>
      </c>
    </row>
    <row r="1592" spans="1:8" ht="13.8" thickBot="1">
      <c r="A1592" s="467" t="s">
        <v>6946</v>
      </c>
      <c r="B1592" s="465" t="s">
        <v>2261</v>
      </c>
      <c r="C1592" s="466">
        <v>5</v>
      </c>
      <c r="D1592" s="465"/>
      <c r="E1592" s="466" t="s">
        <v>2242</v>
      </c>
      <c r="F1592" s="466"/>
      <c r="G1592" s="465"/>
      <c r="H1592" s="465">
        <v>6</v>
      </c>
    </row>
    <row r="1593" spans="1:8" ht="13.8" thickBot="1">
      <c r="A1593" s="465" t="s">
        <v>6947</v>
      </c>
      <c r="B1593" s="465" t="s">
        <v>2262</v>
      </c>
      <c r="C1593" s="466">
        <v>5</v>
      </c>
      <c r="D1593" s="465"/>
      <c r="E1593" s="466" t="s">
        <v>2242</v>
      </c>
      <c r="F1593" s="466"/>
      <c r="G1593" s="465"/>
      <c r="H1593" s="465">
        <v>5</v>
      </c>
    </row>
    <row r="1594" spans="1:8" ht="13.8" thickBot="1">
      <c r="A1594" s="467" t="s">
        <v>6948</v>
      </c>
      <c r="B1594" s="465" t="s">
        <v>2263</v>
      </c>
      <c r="C1594" s="466">
        <v>5</v>
      </c>
      <c r="D1594" s="465"/>
      <c r="E1594" s="466" t="s">
        <v>2242</v>
      </c>
      <c r="F1594" s="466"/>
      <c r="G1594" s="465"/>
      <c r="H1594" s="465">
        <v>5</v>
      </c>
    </row>
    <row r="1595" spans="1:8" ht="13.8" thickBot="1">
      <c r="A1595" s="465" t="s">
        <v>6949</v>
      </c>
      <c r="B1595" s="465" t="s">
        <v>2264</v>
      </c>
      <c r="C1595" s="466">
        <v>5</v>
      </c>
      <c r="D1595" s="467" t="s">
        <v>614</v>
      </c>
      <c r="E1595" s="466" t="s">
        <v>2242</v>
      </c>
      <c r="F1595" s="466"/>
      <c r="G1595" s="465"/>
      <c r="H1595" s="465">
        <v>3</v>
      </c>
    </row>
    <row r="1596" spans="1:8" ht="13.8" thickBot="1">
      <c r="A1596" s="467" t="s">
        <v>6950</v>
      </c>
      <c r="B1596" s="465" t="s">
        <v>2265</v>
      </c>
      <c r="C1596" s="466">
        <v>5</v>
      </c>
      <c r="D1596" s="465"/>
      <c r="E1596" s="466" t="s">
        <v>2242</v>
      </c>
      <c r="F1596" s="466"/>
      <c r="G1596" s="465"/>
      <c r="H1596" s="465">
        <v>2</v>
      </c>
    </row>
    <row r="1597" spans="1:8" ht="13.8" thickBot="1">
      <c r="A1597" s="465" t="s">
        <v>6951</v>
      </c>
      <c r="B1597" s="465" t="s">
        <v>2266</v>
      </c>
      <c r="C1597" s="466">
        <v>5</v>
      </c>
      <c r="D1597" s="465"/>
      <c r="E1597" s="466" t="s">
        <v>2242</v>
      </c>
      <c r="F1597" s="466"/>
      <c r="G1597" s="465"/>
      <c r="H1597" s="465">
        <v>4</v>
      </c>
    </row>
    <row r="1598" spans="1:8" ht="13.8" thickBot="1">
      <c r="A1598" s="467" t="s">
        <v>7617</v>
      </c>
      <c r="B1598" s="465" t="s">
        <v>1767</v>
      </c>
      <c r="C1598" s="466">
        <v>5</v>
      </c>
      <c r="D1598" s="467" t="s">
        <v>614</v>
      </c>
      <c r="E1598" s="466" t="s">
        <v>5010</v>
      </c>
      <c r="F1598" s="466" t="s">
        <v>1251</v>
      </c>
      <c r="G1598" s="465"/>
      <c r="H1598" s="465">
        <v>1</v>
      </c>
    </row>
    <row r="1599" spans="1:8" ht="13.8" thickBot="1">
      <c r="A1599" s="467" t="s">
        <v>7618</v>
      </c>
      <c r="B1599" s="465" t="s">
        <v>1767</v>
      </c>
      <c r="C1599" s="475">
        <v>5</v>
      </c>
      <c r="D1599" s="467" t="s">
        <v>614</v>
      </c>
      <c r="E1599" s="466" t="s">
        <v>5010</v>
      </c>
      <c r="F1599" s="466" t="s">
        <v>1226</v>
      </c>
      <c r="G1599" s="465"/>
      <c r="H1599" s="465">
        <v>2</v>
      </c>
    </row>
    <row r="1600" spans="1:8" ht="13.8" thickBot="1">
      <c r="A1600" s="467" t="s">
        <v>7619</v>
      </c>
      <c r="B1600" s="465" t="s">
        <v>1766</v>
      </c>
      <c r="C1600" s="466">
        <v>5</v>
      </c>
      <c r="D1600" s="467" t="s">
        <v>614</v>
      </c>
      <c r="E1600" s="466" t="s">
        <v>5010</v>
      </c>
      <c r="F1600" s="466" t="s">
        <v>1226</v>
      </c>
      <c r="G1600" s="465"/>
      <c r="H1600" s="465">
        <v>8</v>
      </c>
    </row>
    <row r="1601" spans="1:8" ht="13.8" thickBot="1">
      <c r="A1601" s="467" t="s">
        <v>7620</v>
      </c>
      <c r="B1601" s="465" t="s">
        <v>1769</v>
      </c>
      <c r="C1601" s="466">
        <v>5</v>
      </c>
      <c r="D1601" s="465"/>
      <c r="E1601" s="466" t="s">
        <v>5010</v>
      </c>
      <c r="F1601" s="466" t="s">
        <v>1226</v>
      </c>
      <c r="G1601" s="465"/>
      <c r="H1601" s="465">
        <v>1</v>
      </c>
    </row>
    <row r="1602" spans="1:8" ht="13.8" thickBot="1">
      <c r="A1602" s="467" t="s">
        <v>7621</v>
      </c>
      <c r="B1602" s="465" t="s">
        <v>5021</v>
      </c>
      <c r="C1602" s="466">
        <v>5</v>
      </c>
      <c r="D1602" s="465"/>
      <c r="E1602" s="466" t="s">
        <v>5010</v>
      </c>
      <c r="F1602" s="466" t="s">
        <v>1226</v>
      </c>
      <c r="G1602" s="465"/>
      <c r="H1602" s="465"/>
    </row>
    <row r="1603" spans="1:8" ht="13.8" thickBot="1">
      <c r="A1603" s="467" t="s">
        <v>7622</v>
      </c>
      <c r="B1603" s="465" t="s">
        <v>5022</v>
      </c>
      <c r="C1603" s="466">
        <v>5</v>
      </c>
      <c r="D1603" s="465"/>
      <c r="E1603" s="466" t="s">
        <v>5010</v>
      </c>
      <c r="F1603" s="466" t="s">
        <v>1226</v>
      </c>
      <c r="G1603" s="465"/>
      <c r="H1603" s="465"/>
    </row>
    <row r="1604" spans="1:8" ht="13.8" thickBot="1">
      <c r="A1604" s="467" t="s">
        <v>7623</v>
      </c>
      <c r="B1604" s="465" t="s">
        <v>5023</v>
      </c>
      <c r="C1604" s="466">
        <v>5</v>
      </c>
      <c r="D1604" s="465"/>
      <c r="E1604" s="466" t="s">
        <v>5010</v>
      </c>
      <c r="F1604" s="466" t="s">
        <v>2067</v>
      </c>
      <c r="G1604" s="465">
        <v>1</v>
      </c>
      <c r="H1604" s="465">
        <v>5</v>
      </c>
    </row>
    <row r="1605" spans="1:8" ht="13.8" thickBot="1">
      <c r="A1605" s="467" t="s">
        <v>7624</v>
      </c>
      <c r="B1605" s="465" t="s">
        <v>1767</v>
      </c>
      <c r="C1605" s="466">
        <v>5</v>
      </c>
      <c r="D1605" s="465"/>
      <c r="E1605" s="466" t="s">
        <v>5010</v>
      </c>
      <c r="F1605" s="466" t="s">
        <v>1224</v>
      </c>
      <c r="G1605" s="465"/>
      <c r="H1605" s="465">
        <v>1</v>
      </c>
    </row>
    <row r="1606" spans="1:8" ht="13.8" thickBot="1">
      <c r="A1606" s="465" t="s">
        <v>7625</v>
      </c>
      <c r="B1606" s="465" t="s">
        <v>5024</v>
      </c>
      <c r="C1606" s="466">
        <v>5</v>
      </c>
      <c r="D1606" s="467" t="s">
        <v>614</v>
      </c>
      <c r="E1606" s="466" t="s">
        <v>5010</v>
      </c>
      <c r="F1606" s="466" t="s">
        <v>1224</v>
      </c>
      <c r="G1606" s="465"/>
      <c r="H1606" s="465">
        <v>7</v>
      </c>
    </row>
    <row r="1607" spans="1:8" ht="13.8" thickBot="1">
      <c r="A1607" s="465" t="s">
        <v>7626</v>
      </c>
      <c r="B1607" s="465" t="s">
        <v>1767</v>
      </c>
      <c r="C1607" s="466">
        <v>5</v>
      </c>
      <c r="D1607" s="465"/>
      <c r="E1607" s="466" t="s">
        <v>5010</v>
      </c>
      <c r="F1607" s="466"/>
      <c r="G1607" s="465"/>
      <c r="H1607" s="465">
        <v>3</v>
      </c>
    </row>
    <row r="1608" spans="1:8" ht="13.8" thickBot="1">
      <c r="A1608" s="465" t="s">
        <v>7627</v>
      </c>
      <c r="B1608" s="465" t="s">
        <v>1767</v>
      </c>
      <c r="C1608" s="466">
        <v>5</v>
      </c>
      <c r="D1608" s="465"/>
      <c r="E1608" s="466" t="s">
        <v>5010</v>
      </c>
      <c r="F1608" s="466"/>
      <c r="G1608" s="465"/>
      <c r="H1608" s="465">
        <v>10</v>
      </c>
    </row>
    <row r="1609" spans="1:8" ht="13.8" thickBot="1">
      <c r="A1609" s="465" t="s">
        <v>7628</v>
      </c>
      <c r="B1609" s="465" t="s">
        <v>5025</v>
      </c>
      <c r="C1609" s="466">
        <v>5</v>
      </c>
      <c r="D1609" s="465"/>
      <c r="E1609" s="466" t="s">
        <v>5010</v>
      </c>
      <c r="F1609" s="466"/>
      <c r="G1609" s="465"/>
      <c r="H1609" s="465">
        <v>3</v>
      </c>
    </row>
    <row r="1610" spans="1:8" ht="13.8" thickBot="1">
      <c r="A1610" s="465" t="s">
        <v>7629</v>
      </c>
      <c r="B1610" s="465" t="s">
        <v>5026</v>
      </c>
      <c r="C1610" s="466">
        <v>5</v>
      </c>
      <c r="D1610" s="465"/>
      <c r="E1610" s="466" t="s">
        <v>5010</v>
      </c>
      <c r="F1610" s="466"/>
      <c r="G1610" s="465"/>
      <c r="H1610" s="465">
        <v>2</v>
      </c>
    </row>
    <row r="1611" spans="1:8" ht="13.8" thickBot="1">
      <c r="A1611" s="465" t="s">
        <v>7630</v>
      </c>
      <c r="B1611" s="465" t="s">
        <v>5038</v>
      </c>
      <c r="C1611" s="466">
        <v>5</v>
      </c>
      <c r="D1611" s="465"/>
      <c r="E1611" s="466" t="s">
        <v>5031</v>
      </c>
      <c r="F1611" s="466"/>
      <c r="G1611" s="465"/>
      <c r="H1611" s="465">
        <v>1</v>
      </c>
    </row>
    <row r="1612" spans="1:8" ht="13.8" thickBot="1">
      <c r="A1612" s="465" t="s">
        <v>7631</v>
      </c>
      <c r="B1612" s="465" t="s">
        <v>5039</v>
      </c>
      <c r="C1612" s="466">
        <v>5</v>
      </c>
      <c r="D1612" s="467" t="s">
        <v>614</v>
      </c>
      <c r="E1612" s="466" t="s">
        <v>5031</v>
      </c>
      <c r="F1612" s="466"/>
      <c r="G1612" s="465"/>
      <c r="H1612" s="465">
        <v>3</v>
      </c>
    </row>
    <row r="1613" spans="1:8" ht="13.8" thickBot="1">
      <c r="A1613" s="465" t="s">
        <v>7632</v>
      </c>
      <c r="B1613" s="465" t="s">
        <v>5054</v>
      </c>
      <c r="C1613" s="466">
        <v>5</v>
      </c>
      <c r="D1613" s="465" t="s">
        <v>5055</v>
      </c>
      <c r="E1613" s="466" t="s">
        <v>5042</v>
      </c>
      <c r="F1613" s="466"/>
      <c r="G1613" s="465"/>
      <c r="H1613" s="465">
        <v>3</v>
      </c>
    </row>
    <row r="1614" spans="1:8" ht="13.8" thickBot="1">
      <c r="A1614" s="465" t="s">
        <v>7633</v>
      </c>
      <c r="B1614" s="465" t="s">
        <v>5069</v>
      </c>
      <c r="C1614" s="466">
        <v>5</v>
      </c>
      <c r="D1614" s="465"/>
      <c r="E1614" s="466" t="s">
        <v>5059</v>
      </c>
      <c r="F1614" s="466" t="s">
        <v>1880</v>
      </c>
      <c r="G1614" s="465"/>
      <c r="H1614" s="465">
        <v>4</v>
      </c>
    </row>
    <row r="1615" spans="1:8" ht="13.8" thickBot="1">
      <c r="A1615" s="465" t="s">
        <v>7634</v>
      </c>
      <c r="B1615" s="465" t="s">
        <v>5070</v>
      </c>
      <c r="C1615" s="466">
        <v>5</v>
      </c>
      <c r="D1615" s="467" t="s">
        <v>614</v>
      </c>
      <c r="E1615" s="466" t="s">
        <v>5059</v>
      </c>
      <c r="F1615" s="466" t="s">
        <v>1226</v>
      </c>
      <c r="G1615" s="465">
        <v>1</v>
      </c>
      <c r="H1615" s="465">
        <v>2</v>
      </c>
    </row>
    <row r="1616" spans="1:8" ht="13.8" thickBot="1">
      <c r="A1616" s="465" t="s">
        <v>7635</v>
      </c>
      <c r="B1616" s="465" t="s">
        <v>5071</v>
      </c>
      <c r="C1616" s="466">
        <v>5</v>
      </c>
      <c r="D1616" s="465"/>
      <c r="E1616" s="466" t="s">
        <v>5059</v>
      </c>
      <c r="F1616" s="466" t="s">
        <v>1226</v>
      </c>
      <c r="G1616" s="465"/>
      <c r="H1616" s="465">
        <v>10</v>
      </c>
    </row>
    <row r="1617" spans="1:8" ht="13.8" thickBot="1">
      <c r="A1617" s="467" t="s">
        <v>7636</v>
      </c>
      <c r="B1617" s="465" t="s">
        <v>5062</v>
      </c>
      <c r="C1617" s="466">
        <v>5</v>
      </c>
      <c r="D1617" s="465"/>
      <c r="E1617" s="466" t="s">
        <v>5059</v>
      </c>
      <c r="F1617" s="466" t="s">
        <v>1224</v>
      </c>
      <c r="G1617" s="465"/>
      <c r="H1617" s="465">
        <v>1</v>
      </c>
    </row>
    <row r="1618" spans="1:8" ht="13.8" thickBot="1">
      <c r="A1618" s="467" t="s">
        <v>7637</v>
      </c>
      <c r="B1618" s="465" t="s">
        <v>5072</v>
      </c>
      <c r="C1618" s="466">
        <v>5</v>
      </c>
      <c r="D1618" s="465"/>
      <c r="E1618" s="466" t="s">
        <v>5059</v>
      </c>
      <c r="F1618" s="466" t="s">
        <v>1224</v>
      </c>
      <c r="G1618" s="465">
        <v>1</v>
      </c>
      <c r="H1618" s="465">
        <v>8</v>
      </c>
    </row>
    <row r="1619" spans="1:8" ht="13.8" thickBot="1">
      <c r="A1619" s="465" t="s">
        <v>7638</v>
      </c>
      <c r="B1619" s="465" t="s">
        <v>1347</v>
      </c>
      <c r="C1619" s="466">
        <v>5</v>
      </c>
      <c r="D1619" s="465"/>
      <c r="E1619" s="466" t="s">
        <v>5059</v>
      </c>
      <c r="F1619" s="466"/>
      <c r="G1619" s="465"/>
      <c r="H1619" s="465"/>
    </row>
    <row r="1620" spans="1:8" ht="13.8" thickBot="1">
      <c r="A1620" s="465" t="s">
        <v>7639</v>
      </c>
      <c r="B1620" s="465" t="s">
        <v>5073</v>
      </c>
      <c r="C1620" s="466">
        <v>5</v>
      </c>
      <c r="D1620" s="467" t="s">
        <v>614</v>
      </c>
      <c r="E1620" s="466" t="s">
        <v>5059</v>
      </c>
      <c r="F1620" s="466"/>
      <c r="G1620" s="465"/>
      <c r="H1620" s="465">
        <v>2</v>
      </c>
    </row>
    <row r="1621" spans="1:8" ht="13.8" thickBot="1">
      <c r="A1621" s="465" t="s">
        <v>7640</v>
      </c>
      <c r="B1621" s="465" t="s">
        <v>5097</v>
      </c>
      <c r="C1621" s="466">
        <v>5</v>
      </c>
      <c r="D1621" s="465"/>
      <c r="E1621" s="466" t="s">
        <v>5094</v>
      </c>
      <c r="F1621" s="466" t="s">
        <v>1910</v>
      </c>
      <c r="G1621" s="465"/>
      <c r="H1621" s="465">
        <v>5</v>
      </c>
    </row>
    <row r="1622" spans="1:8" ht="13.8" thickBot="1">
      <c r="A1622" s="465" t="s">
        <v>7641</v>
      </c>
      <c r="B1622" s="465" t="s">
        <v>1492</v>
      </c>
      <c r="C1622" s="466">
        <v>5</v>
      </c>
      <c r="D1622" s="465"/>
      <c r="E1622" s="466" t="s">
        <v>5094</v>
      </c>
      <c r="F1622" s="466" t="s">
        <v>1226</v>
      </c>
      <c r="G1622" s="465"/>
      <c r="H1622" s="465">
        <v>5</v>
      </c>
    </row>
    <row r="1623" spans="1:8" ht="13.8" thickBot="1">
      <c r="A1623" s="465" t="s">
        <v>7642</v>
      </c>
      <c r="B1623" s="465" t="s">
        <v>1491</v>
      </c>
      <c r="C1623" s="466">
        <v>5</v>
      </c>
      <c r="D1623" s="465"/>
      <c r="E1623" s="466" t="s">
        <v>5094</v>
      </c>
      <c r="F1623" s="466"/>
      <c r="G1623" s="465"/>
      <c r="H1623" s="465">
        <v>2</v>
      </c>
    </row>
    <row r="1624" spans="1:8" ht="13.8" thickBot="1">
      <c r="A1624" s="467" t="s">
        <v>7643</v>
      </c>
      <c r="B1624" s="465" t="s">
        <v>1491</v>
      </c>
      <c r="C1624" s="466">
        <v>5</v>
      </c>
      <c r="D1624" s="465"/>
      <c r="E1624" s="466" t="s">
        <v>5094</v>
      </c>
      <c r="F1624" s="466"/>
      <c r="G1624" s="465"/>
      <c r="H1624" s="465">
        <v>1</v>
      </c>
    </row>
    <row r="1625" spans="1:8" ht="13.8" thickBot="1">
      <c r="A1625" s="465" t="s">
        <v>7644</v>
      </c>
      <c r="B1625" s="465" t="s">
        <v>1495</v>
      </c>
      <c r="C1625" s="466">
        <v>5</v>
      </c>
      <c r="D1625" s="465"/>
      <c r="E1625" s="466" t="s">
        <v>5109</v>
      </c>
      <c r="F1625" s="466" t="s">
        <v>1226</v>
      </c>
      <c r="G1625" s="465"/>
      <c r="H1625" s="465">
        <v>5</v>
      </c>
    </row>
    <row r="1626" spans="1:8" ht="13.8" thickBot="1">
      <c r="A1626" s="465" t="s">
        <v>7645</v>
      </c>
      <c r="B1626" s="465" t="s">
        <v>5118</v>
      </c>
      <c r="C1626" s="466">
        <v>5</v>
      </c>
      <c r="D1626" s="467" t="s">
        <v>614</v>
      </c>
      <c r="E1626" s="466" t="s">
        <v>5109</v>
      </c>
      <c r="F1626" s="466" t="s">
        <v>1226</v>
      </c>
      <c r="G1626" s="465"/>
      <c r="H1626" s="465">
        <v>4</v>
      </c>
    </row>
    <row r="1627" spans="1:8" ht="13.8" thickBot="1">
      <c r="A1627" s="465" t="s">
        <v>7646</v>
      </c>
      <c r="B1627" s="465" t="s">
        <v>1499</v>
      </c>
      <c r="C1627" s="466">
        <v>5</v>
      </c>
      <c r="D1627" s="465"/>
      <c r="E1627" s="466" t="s">
        <v>5109</v>
      </c>
      <c r="F1627" s="466" t="s">
        <v>1226</v>
      </c>
      <c r="G1627" s="465"/>
      <c r="H1627" s="465">
        <v>8</v>
      </c>
    </row>
    <row r="1628" spans="1:8" ht="13.8" thickBot="1">
      <c r="A1628" s="465" t="s">
        <v>7647</v>
      </c>
      <c r="B1628" s="465" t="s">
        <v>1495</v>
      </c>
      <c r="C1628" s="466">
        <v>5</v>
      </c>
      <c r="D1628" s="465"/>
      <c r="E1628" s="466" t="s">
        <v>5109</v>
      </c>
      <c r="F1628" s="466" t="s">
        <v>1224</v>
      </c>
      <c r="G1628" s="465"/>
      <c r="H1628" s="465">
        <v>10</v>
      </c>
    </row>
    <row r="1629" spans="1:8" ht="13.8" thickBot="1">
      <c r="A1629" s="465" t="s">
        <v>7648</v>
      </c>
      <c r="B1629" s="465" t="s">
        <v>1495</v>
      </c>
      <c r="C1629" s="466">
        <v>5</v>
      </c>
      <c r="D1629" s="465"/>
      <c r="E1629" s="466" t="s">
        <v>5109</v>
      </c>
      <c r="F1629" s="466"/>
      <c r="G1629" s="465"/>
      <c r="H1629" s="465">
        <v>1</v>
      </c>
    </row>
    <row r="1630" spans="1:8" ht="13.8" thickBot="1">
      <c r="A1630" s="467" t="s">
        <v>7649</v>
      </c>
      <c r="B1630" s="465" t="s">
        <v>1495</v>
      </c>
      <c r="C1630" s="466">
        <v>5</v>
      </c>
      <c r="D1630" s="465"/>
      <c r="E1630" s="466" t="s">
        <v>5109</v>
      </c>
      <c r="F1630" s="466"/>
      <c r="G1630" s="465"/>
      <c r="H1630" s="465">
        <v>3</v>
      </c>
    </row>
    <row r="1631" spans="1:8" ht="13.8" thickBot="1">
      <c r="A1631" s="465" t="s">
        <v>7650</v>
      </c>
      <c r="B1631" s="465" t="s">
        <v>5119</v>
      </c>
      <c r="C1631" s="466">
        <v>5</v>
      </c>
      <c r="D1631" s="467" t="s">
        <v>614</v>
      </c>
      <c r="E1631" s="466" t="s">
        <v>5109</v>
      </c>
      <c r="F1631" s="466"/>
      <c r="G1631" s="465"/>
      <c r="H1631" s="465">
        <v>6</v>
      </c>
    </row>
    <row r="1632" spans="1:8" ht="13.8" thickBot="1">
      <c r="A1632" s="467" t="s">
        <v>7651</v>
      </c>
      <c r="B1632" s="465" t="s">
        <v>1499</v>
      </c>
      <c r="C1632" s="466">
        <v>5</v>
      </c>
      <c r="D1632" s="465"/>
      <c r="E1632" s="466" t="s">
        <v>5109</v>
      </c>
      <c r="F1632" s="466"/>
      <c r="G1632" s="465"/>
      <c r="H1632" s="465">
        <v>2</v>
      </c>
    </row>
    <row r="1633" spans="1:8" ht="13.8" thickBot="1">
      <c r="A1633" s="465" t="s">
        <v>7652</v>
      </c>
      <c r="B1633" s="465" t="s">
        <v>5120</v>
      </c>
      <c r="C1633" s="466">
        <v>5</v>
      </c>
      <c r="D1633" s="465"/>
      <c r="E1633" s="466" t="s">
        <v>5109</v>
      </c>
      <c r="F1633" s="466"/>
      <c r="G1633" s="465"/>
      <c r="H1633" s="465">
        <v>3</v>
      </c>
    </row>
    <row r="1634" spans="1:8" ht="13.8" thickBot="1">
      <c r="A1634" s="465" t="s">
        <v>910</v>
      </c>
      <c r="B1634" s="465" t="s">
        <v>1720</v>
      </c>
      <c r="C1634" s="466">
        <v>5</v>
      </c>
      <c r="D1634" s="465" t="s">
        <v>2282</v>
      </c>
      <c r="E1634" s="466" t="s">
        <v>2273</v>
      </c>
      <c r="F1634" s="466" t="s">
        <v>1226</v>
      </c>
      <c r="G1634" s="465">
        <v>1</v>
      </c>
      <c r="H1634" s="465">
        <v>23</v>
      </c>
    </row>
    <row r="1635" spans="1:8" ht="13.8" thickBot="1">
      <c r="A1635" s="467" t="s">
        <v>6952</v>
      </c>
      <c r="B1635" s="465" t="s">
        <v>2283</v>
      </c>
      <c r="C1635" s="466">
        <v>5</v>
      </c>
      <c r="D1635" s="465"/>
      <c r="E1635" s="466" t="s">
        <v>2273</v>
      </c>
      <c r="F1635" s="466"/>
      <c r="G1635" s="465">
        <v>2</v>
      </c>
      <c r="H1635" s="465">
        <v>2</v>
      </c>
    </row>
    <row r="1636" spans="1:8" ht="13.8" thickBot="1">
      <c r="A1636" s="465" t="s">
        <v>6953</v>
      </c>
      <c r="B1636" s="465" t="s">
        <v>2284</v>
      </c>
      <c r="C1636" s="466">
        <v>5</v>
      </c>
      <c r="D1636" s="465"/>
      <c r="E1636" s="466" t="s">
        <v>2273</v>
      </c>
      <c r="F1636" s="466"/>
      <c r="G1636" s="465"/>
      <c r="H1636" s="465">
        <v>3</v>
      </c>
    </row>
    <row r="1637" spans="1:8" ht="13.8" thickBot="1">
      <c r="A1637" s="465" t="s">
        <v>7653</v>
      </c>
      <c r="B1637" s="465" t="s">
        <v>1700</v>
      </c>
      <c r="C1637" s="466">
        <v>5</v>
      </c>
      <c r="D1637" s="467" t="s">
        <v>614</v>
      </c>
      <c r="E1637" s="466" t="s">
        <v>5139</v>
      </c>
      <c r="F1637" s="466" t="s">
        <v>1226</v>
      </c>
      <c r="G1637" s="465"/>
      <c r="H1637" s="465">
        <v>1</v>
      </c>
    </row>
    <row r="1638" spans="1:8" ht="13.8" thickBot="1">
      <c r="A1638" s="465" t="s">
        <v>7654</v>
      </c>
      <c r="B1638" s="465" t="s">
        <v>1703</v>
      </c>
      <c r="C1638" s="466">
        <v>5</v>
      </c>
      <c r="D1638" s="465"/>
      <c r="E1638" s="466" t="s">
        <v>5139</v>
      </c>
      <c r="F1638" s="466" t="s">
        <v>1226</v>
      </c>
      <c r="G1638" s="465">
        <v>3</v>
      </c>
      <c r="H1638" s="465">
        <v>11</v>
      </c>
    </row>
    <row r="1639" spans="1:8" ht="13.8" thickBot="1">
      <c r="A1639" s="465" t="s">
        <v>7655</v>
      </c>
      <c r="B1639" s="465" t="s">
        <v>1704</v>
      </c>
      <c r="C1639" s="466">
        <v>5</v>
      </c>
      <c r="D1639" s="465"/>
      <c r="E1639" s="466" t="s">
        <v>5139</v>
      </c>
      <c r="F1639" s="466" t="s">
        <v>1226</v>
      </c>
      <c r="G1639" s="465">
        <v>1</v>
      </c>
      <c r="H1639" s="465">
        <v>10</v>
      </c>
    </row>
    <row r="1640" spans="1:8" ht="13.8" thickBot="1">
      <c r="A1640" s="465" t="s">
        <v>7656</v>
      </c>
      <c r="B1640" s="465" t="s">
        <v>5167</v>
      </c>
      <c r="C1640" s="466">
        <v>5</v>
      </c>
      <c r="D1640" s="465"/>
      <c r="E1640" s="466" t="s">
        <v>5155</v>
      </c>
      <c r="F1640" s="466" t="s">
        <v>1224</v>
      </c>
      <c r="G1640" s="465">
        <v>1</v>
      </c>
      <c r="H1640" s="465">
        <v>4</v>
      </c>
    </row>
    <row r="1641" spans="1:8" ht="13.8" thickBot="1">
      <c r="A1641" s="465" t="s">
        <v>7657</v>
      </c>
      <c r="B1641" s="465" t="s">
        <v>5175</v>
      </c>
      <c r="C1641" s="466">
        <v>5</v>
      </c>
      <c r="D1641" s="467" t="s">
        <v>614</v>
      </c>
      <c r="E1641" s="466" t="s">
        <v>5155</v>
      </c>
      <c r="F1641" s="466"/>
      <c r="G1641" s="465"/>
      <c r="H1641" s="465">
        <v>3</v>
      </c>
    </row>
    <row r="1642" spans="1:8" ht="13.8" thickBot="1">
      <c r="A1642" s="465" t="s">
        <v>7658</v>
      </c>
      <c r="B1642" s="465" t="s">
        <v>5176</v>
      </c>
      <c r="C1642" s="466">
        <v>5</v>
      </c>
      <c r="D1642" s="465"/>
      <c r="E1642" s="466" t="s">
        <v>5155</v>
      </c>
      <c r="F1642" s="466"/>
      <c r="G1642" s="465">
        <v>1</v>
      </c>
      <c r="H1642" s="465">
        <v>6</v>
      </c>
    </row>
    <row r="1643" spans="1:8" ht="13.8" thickBot="1">
      <c r="A1643" s="465" t="s">
        <v>7659</v>
      </c>
      <c r="B1643" s="465" t="s">
        <v>5158</v>
      </c>
      <c r="C1643" s="466">
        <v>5</v>
      </c>
      <c r="D1643" s="467" t="s">
        <v>614</v>
      </c>
      <c r="E1643" s="466" t="s">
        <v>5155</v>
      </c>
      <c r="F1643" s="466"/>
      <c r="G1643" s="465"/>
      <c r="H1643" s="465">
        <v>3</v>
      </c>
    </row>
    <row r="1644" spans="1:8" ht="13.8" thickBot="1">
      <c r="A1644" s="465" t="s">
        <v>7660</v>
      </c>
      <c r="B1644" s="465" t="s">
        <v>5194</v>
      </c>
      <c r="C1644" s="466">
        <v>5</v>
      </c>
      <c r="D1644" s="467" t="s">
        <v>614</v>
      </c>
      <c r="E1644" s="466" t="s">
        <v>5180</v>
      </c>
      <c r="F1644" s="466" t="s">
        <v>1224</v>
      </c>
      <c r="G1644" s="465"/>
      <c r="H1644" s="465">
        <v>3</v>
      </c>
    </row>
    <row r="1645" spans="1:8" ht="13.8" thickBot="1">
      <c r="A1645" s="465" t="s">
        <v>7661</v>
      </c>
      <c r="B1645" s="465" t="s">
        <v>5222</v>
      </c>
      <c r="C1645" s="466">
        <v>5</v>
      </c>
      <c r="D1645" s="465"/>
      <c r="E1645" s="466" t="s">
        <v>5219</v>
      </c>
      <c r="F1645" s="466"/>
      <c r="G1645" s="465"/>
      <c r="H1645" s="465"/>
    </row>
    <row r="1646" spans="1:8" ht="13.8" thickBot="1">
      <c r="A1646" s="465" t="s">
        <v>7662</v>
      </c>
      <c r="B1646" s="465" t="s">
        <v>5220</v>
      </c>
      <c r="C1646" s="466">
        <v>5</v>
      </c>
      <c r="D1646" s="465"/>
      <c r="E1646" s="466" t="s">
        <v>5219</v>
      </c>
      <c r="F1646" s="466"/>
      <c r="G1646" s="465"/>
      <c r="H1646" s="465">
        <v>4</v>
      </c>
    </row>
    <row r="1647" spans="1:8" ht="13.8" thickBot="1">
      <c r="A1647" s="465" t="s">
        <v>7663</v>
      </c>
      <c r="B1647" s="465" t="s">
        <v>5227</v>
      </c>
      <c r="C1647" s="466">
        <v>5</v>
      </c>
      <c r="D1647" s="465"/>
      <c r="E1647" s="466" t="s">
        <v>5226</v>
      </c>
      <c r="F1647" s="466"/>
      <c r="G1647" s="465"/>
      <c r="H1647" s="465">
        <v>1</v>
      </c>
    </row>
    <row r="1648" spans="1:8" ht="13.8" thickBot="1">
      <c r="A1648" s="467" t="s">
        <v>7664</v>
      </c>
      <c r="B1648" s="465" t="s">
        <v>5243</v>
      </c>
      <c r="C1648" s="466">
        <v>5</v>
      </c>
      <c r="D1648" s="467" t="s">
        <v>614</v>
      </c>
      <c r="E1648" s="466" t="s">
        <v>5226</v>
      </c>
      <c r="F1648" s="466"/>
      <c r="G1648" s="465"/>
      <c r="H1648" s="465">
        <v>2</v>
      </c>
    </row>
    <row r="1649" spans="1:8" ht="13.8" thickBot="1">
      <c r="A1649" s="467" t="s">
        <v>7665</v>
      </c>
      <c r="B1649" s="465" t="s">
        <v>5250</v>
      </c>
      <c r="C1649" s="466">
        <v>5</v>
      </c>
      <c r="D1649" s="467" t="s">
        <v>5123</v>
      </c>
      <c r="E1649" s="466" t="s">
        <v>5248</v>
      </c>
      <c r="F1649" s="466" t="s">
        <v>1224</v>
      </c>
      <c r="G1649" s="465">
        <v>1</v>
      </c>
      <c r="H1649" s="465">
        <v>4</v>
      </c>
    </row>
    <row r="1650" spans="1:8" ht="13.8" thickBot="1">
      <c r="A1650" s="465" t="s">
        <v>6954</v>
      </c>
      <c r="B1650" s="465" t="s">
        <v>2430</v>
      </c>
      <c r="C1650" s="466">
        <v>5</v>
      </c>
      <c r="D1650" s="467" t="s">
        <v>2431</v>
      </c>
      <c r="E1650" s="466" t="s">
        <v>2289</v>
      </c>
      <c r="F1650" s="466" t="s">
        <v>1251</v>
      </c>
      <c r="G1650" s="465"/>
      <c r="H1650" s="465">
        <v>15</v>
      </c>
    </row>
    <row r="1651" spans="1:8" ht="13.8" thickBot="1">
      <c r="A1651" s="465" t="s">
        <v>6955</v>
      </c>
      <c r="B1651" s="465" t="s">
        <v>1735</v>
      </c>
      <c r="C1651" s="466">
        <v>5</v>
      </c>
      <c r="D1651" s="467" t="s">
        <v>614</v>
      </c>
      <c r="E1651" s="466" t="s">
        <v>2289</v>
      </c>
      <c r="F1651" s="466" t="s">
        <v>1226</v>
      </c>
      <c r="G1651" s="465">
        <v>2</v>
      </c>
      <c r="H1651" s="465">
        <v>20</v>
      </c>
    </row>
    <row r="1652" spans="1:8" ht="13.8" thickBot="1">
      <c r="A1652" s="465" t="s">
        <v>6956</v>
      </c>
      <c r="B1652" s="465" t="s">
        <v>2432</v>
      </c>
      <c r="C1652" s="466">
        <v>5</v>
      </c>
      <c r="D1652" s="467" t="s">
        <v>614</v>
      </c>
      <c r="E1652" s="466" t="s">
        <v>2289</v>
      </c>
      <c r="F1652" s="466" t="s">
        <v>1226</v>
      </c>
      <c r="G1652" s="465">
        <v>1</v>
      </c>
      <c r="H1652" s="465">
        <v>20</v>
      </c>
    </row>
    <row r="1653" spans="1:8" ht="13.8" thickBot="1">
      <c r="A1653" s="465" t="s">
        <v>6957</v>
      </c>
      <c r="B1653" s="465" t="s">
        <v>2433</v>
      </c>
      <c r="C1653" s="466">
        <v>5</v>
      </c>
      <c r="D1653" s="467" t="s">
        <v>614</v>
      </c>
      <c r="E1653" s="466" t="s">
        <v>2289</v>
      </c>
      <c r="F1653" s="466" t="s">
        <v>1226</v>
      </c>
      <c r="G1653" s="465"/>
      <c r="H1653" s="465">
        <v>1</v>
      </c>
    </row>
    <row r="1654" spans="1:8" ht="13.8" thickBot="1">
      <c r="A1654" s="467" t="s">
        <v>6958</v>
      </c>
      <c r="B1654" s="465" t="s">
        <v>1737</v>
      </c>
      <c r="C1654" s="466">
        <v>5</v>
      </c>
      <c r="D1654" s="467" t="s">
        <v>2434</v>
      </c>
      <c r="E1654" s="466" t="s">
        <v>2289</v>
      </c>
      <c r="F1654" s="466" t="s">
        <v>1226</v>
      </c>
      <c r="G1654" s="465">
        <v>1</v>
      </c>
      <c r="H1654" s="465">
        <v>22</v>
      </c>
    </row>
    <row r="1655" spans="1:8" ht="13.8" thickBot="1">
      <c r="A1655" s="465" t="s">
        <v>6959</v>
      </c>
      <c r="B1655" s="465" t="s">
        <v>1740</v>
      </c>
      <c r="C1655" s="466">
        <v>5</v>
      </c>
      <c r="D1655" s="467" t="s">
        <v>614</v>
      </c>
      <c r="E1655" s="466" t="s">
        <v>2289</v>
      </c>
      <c r="F1655" s="466" t="s">
        <v>1863</v>
      </c>
      <c r="G1655" s="465">
        <v>2</v>
      </c>
      <c r="H1655" s="465">
        <v>13</v>
      </c>
    </row>
    <row r="1656" spans="1:8" ht="13.8" thickBot="1">
      <c r="A1656" s="465" t="s">
        <v>6960</v>
      </c>
      <c r="B1656" s="465" t="s">
        <v>2435</v>
      </c>
      <c r="C1656" s="466">
        <v>5</v>
      </c>
      <c r="D1656" s="465"/>
      <c r="E1656" s="466" t="s">
        <v>2289</v>
      </c>
      <c r="F1656" s="466" t="s">
        <v>2067</v>
      </c>
      <c r="G1656" s="465"/>
      <c r="H1656" s="465">
        <v>16</v>
      </c>
    </row>
    <row r="1657" spans="1:8" ht="13.8" thickBot="1">
      <c r="A1657" s="465" t="s">
        <v>6961</v>
      </c>
      <c r="B1657" s="465" t="s">
        <v>1726</v>
      </c>
      <c r="C1657" s="466">
        <v>5</v>
      </c>
      <c r="D1657" s="467" t="s">
        <v>614</v>
      </c>
      <c r="E1657" s="466" t="s">
        <v>2289</v>
      </c>
      <c r="F1657" s="466" t="s">
        <v>1224</v>
      </c>
      <c r="G1657" s="465">
        <v>1</v>
      </c>
      <c r="H1657" s="465">
        <v>15</v>
      </c>
    </row>
    <row r="1658" spans="1:8" ht="13.8" thickBot="1">
      <c r="A1658" s="465" t="s">
        <v>6962</v>
      </c>
      <c r="B1658" s="465" t="s">
        <v>2436</v>
      </c>
      <c r="C1658" s="466">
        <v>5</v>
      </c>
      <c r="D1658" s="465"/>
      <c r="E1658" s="466" t="s">
        <v>2289</v>
      </c>
      <c r="F1658" s="466" t="s">
        <v>1224</v>
      </c>
      <c r="G1658" s="465"/>
      <c r="H1658" s="465">
        <v>1</v>
      </c>
    </row>
    <row r="1659" spans="1:8" ht="13.8" thickBot="1">
      <c r="A1659" s="465" t="s">
        <v>1174</v>
      </c>
      <c r="B1659" s="465" t="s">
        <v>2383</v>
      </c>
      <c r="C1659" s="466">
        <v>5</v>
      </c>
      <c r="D1659" s="467" t="s">
        <v>614</v>
      </c>
      <c r="E1659" s="466" t="s">
        <v>2289</v>
      </c>
      <c r="F1659" s="466" t="s">
        <v>1224</v>
      </c>
      <c r="G1659" s="465"/>
      <c r="H1659" s="465">
        <v>1</v>
      </c>
    </row>
    <row r="1660" spans="1:8" ht="13.8" thickBot="1">
      <c r="A1660" s="465" t="s">
        <v>6963</v>
      </c>
      <c r="B1660" s="465" t="s">
        <v>1739</v>
      </c>
      <c r="C1660" s="466">
        <v>5</v>
      </c>
      <c r="D1660" s="465"/>
      <c r="E1660" s="466" t="s">
        <v>2289</v>
      </c>
      <c r="F1660" s="466" t="s">
        <v>1224</v>
      </c>
      <c r="G1660" s="465"/>
      <c r="H1660" s="465">
        <v>20</v>
      </c>
    </row>
    <row r="1661" spans="1:8" ht="13.8" thickBot="1">
      <c r="A1661" s="465" t="s">
        <v>6964</v>
      </c>
      <c r="B1661" s="465" t="s">
        <v>2437</v>
      </c>
      <c r="C1661" s="466">
        <v>5</v>
      </c>
      <c r="D1661" s="467" t="s">
        <v>614</v>
      </c>
      <c r="E1661" s="466" t="s">
        <v>2289</v>
      </c>
      <c r="F1661" s="466" t="s">
        <v>1220</v>
      </c>
      <c r="G1661" s="465"/>
      <c r="H1661" s="465">
        <v>12</v>
      </c>
    </row>
    <row r="1662" spans="1:8" ht="13.8" thickBot="1">
      <c r="A1662" s="467" t="s">
        <v>6965</v>
      </c>
      <c r="B1662" s="465" t="s">
        <v>2438</v>
      </c>
      <c r="C1662" s="466">
        <v>5</v>
      </c>
      <c r="D1662" s="467" t="s">
        <v>614</v>
      </c>
      <c r="E1662" s="466" t="s">
        <v>2289</v>
      </c>
      <c r="F1662" s="466" t="s">
        <v>1220</v>
      </c>
      <c r="G1662" s="465"/>
      <c r="H1662" s="465">
        <v>2</v>
      </c>
    </row>
    <row r="1663" spans="1:8" ht="13.8" thickBot="1">
      <c r="A1663" s="465" t="s">
        <v>6966</v>
      </c>
      <c r="B1663" s="465" t="s">
        <v>2383</v>
      </c>
      <c r="C1663" s="466">
        <v>5</v>
      </c>
      <c r="D1663" s="465"/>
      <c r="E1663" s="466" t="s">
        <v>2289</v>
      </c>
      <c r="F1663" s="466" t="s">
        <v>1220</v>
      </c>
      <c r="G1663" s="465"/>
      <c r="H1663" s="465">
        <v>1</v>
      </c>
    </row>
    <row r="1664" spans="1:8" ht="13.8" thickBot="1">
      <c r="A1664" s="465" t="s">
        <v>6967</v>
      </c>
      <c r="B1664" s="465" t="s">
        <v>1738</v>
      </c>
      <c r="C1664" s="466">
        <v>5</v>
      </c>
      <c r="D1664" s="467" t="s">
        <v>614</v>
      </c>
      <c r="E1664" s="466" t="s">
        <v>2289</v>
      </c>
      <c r="F1664" s="466" t="s">
        <v>1220</v>
      </c>
      <c r="G1664" s="465">
        <v>4</v>
      </c>
      <c r="H1664" s="465">
        <v>22</v>
      </c>
    </row>
    <row r="1665" spans="1:8" ht="13.8" thickBot="1">
      <c r="A1665" s="465" t="s">
        <v>6968</v>
      </c>
      <c r="B1665" s="465" t="s">
        <v>2439</v>
      </c>
      <c r="C1665" s="466">
        <v>5</v>
      </c>
      <c r="D1665" s="465"/>
      <c r="E1665" s="466" t="s">
        <v>2289</v>
      </c>
      <c r="F1665" s="466" t="s">
        <v>1220</v>
      </c>
      <c r="G1665" s="465"/>
      <c r="H1665" s="465">
        <v>3</v>
      </c>
    </row>
    <row r="1666" spans="1:8" ht="13.8" thickBot="1">
      <c r="A1666" s="467" t="s">
        <v>6969</v>
      </c>
      <c r="B1666" s="465" t="s">
        <v>1726</v>
      </c>
      <c r="C1666" s="466">
        <v>5</v>
      </c>
      <c r="D1666" s="465"/>
      <c r="E1666" s="466" t="s">
        <v>2289</v>
      </c>
      <c r="F1666" s="466"/>
      <c r="G1666" s="465"/>
      <c r="H1666" s="465">
        <v>1</v>
      </c>
    </row>
    <row r="1667" spans="1:8" ht="13.8" thickBot="1">
      <c r="A1667" s="467" t="s">
        <v>6970</v>
      </c>
      <c r="B1667" s="465" t="s">
        <v>1726</v>
      </c>
      <c r="C1667" s="466">
        <v>5</v>
      </c>
      <c r="D1667" s="465"/>
      <c r="E1667" s="466" t="s">
        <v>2289</v>
      </c>
      <c r="F1667" s="466"/>
      <c r="G1667" s="465"/>
      <c r="H1667" s="465">
        <v>1</v>
      </c>
    </row>
    <row r="1668" spans="1:8" ht="13.8" thickBot="1">
      <c r="A1668" s="467" t="s">
        <v>6971</v>
      </c>
      <c r="B1668" s="465" t="s">
        <v>1726</v>
      </c>
      <c r="C1668" s="466">
        <v>5</v>
      </c>
      <c r="D1668" s="465"/>
      <c r="E1668" s="466" t="s">
        <v>2289</v>
      </c>
      <c r="F1668" s="466"/>
      <c r="G1668" s="465"/>
      <c r="H1668" s="465">
        <v>4</v>
      </c>
    </row>
    <row r="1669" spans="1:8" ht="13.8" thickBot="1">
      <c r="A1669" s="467" t="s">
        <v>6972</v>
      </c>
      <c r="B1669" s="465" t="s">
        <v>1726</v>
      </c>
      <c r="C1669" s="466">
        <v>5</v>
      </c>
      <c r="D1669" s="465"/>
      <c r="E1669" s="466" t="s">
        <v>2289</v>
      </c>
      <c r="F1669" s="466"/>
      <c r="G1669" s="465"/>
      <c r="H1669" s="465">
        <v>1</v>
      </c>
    </row>
    <row r="1670" spans="1:8" ht="13.8" thickBot="1">
      <c r="A1670" s="465" t="s">
        <v>6973</v>
      </c>
      <c r="B1670" s="465" t="s">
        <v>2435</v>
      </c>
      <c r="C1670" s="466">
        <v>5</v>
      </c>
      <c r="D1670" s="465"/>
      <c r="E1670" s="466" t="s">
        <v>2289</v>
      </c>
      <c r="F1670" s="466"/>
      <c r="G1670" s="465"/>
      <c r="H1670" s="465">
        <v>5</v>
      </c>
    </row>
    <row r="1671" spans="1:8" ht="13.8" thickBot="1">
      <c r="A1671" s="465" t="s">
        <v>6974</v>
      </c>
      <c r="B1671" s="465" t="s">
        <v>2440</v>
      </c>
      <c r="C1671" s="466">
        <v>5</v>
      </c>
      <c r="D1671" s="465"/>
      <c r="E1671" s="466" t="s">
        <v>2289</v>
      </c>
      <c r="F1671" s="466"/>
      <c r="G1671" s="465"/>
      <c r="H1671" s="465">
        <v>3</v>
      </c>
    </row>
    <row r="1672" spans="1:8" ht="13.8" thickBot="1">
      <c r="A1672" s="465" t="s">
        <v>6975</v>
      </c>
      <c r="B1672" s="465" t="s">
        <v>2441</v>
      </c>
      <c r="C1672" s="466">
        <v>5</v>
      </c>
      <c r="D1672" s="467" t="s">
        <v>614</v>
      </c>
      <c r="E1672" s="466" t="s">
        <v>2289</v>
      </c>
      <c r="F1672" s="466"/>
      <c r="G1672" s="465"/>
      <c r="H1672" s="465">
        <v>1</v>
      </c>
    </row>
    <row r="1673" spans="1:8" ht="13.8" thickBot="1">
      <c r="A1673" s="465" t="s">
        <v>6976</v>
      </c>
      <c r="B1673" s="465" t="s">
        <v>2442</v>
      </c>
      <c r="C1673" s="466">
        <v>5</v>
      </c>
      <c r="D1673" s="465"/>
      <c r="E1673" s="466" t="s">
        <v>2289</v>
      </c>
      <c r="F1673" s="466"/>
      <c r="G1673" s="465"/>
      <c r="H1673" s="465">
        <v>2</v>
      </c>
    </row>
    <row r="1674" spans="1:8" ht="13.8" thickBot="1">
      <c r="A1674" s="465" t="s">
        <v>7666</v>
      </c>
      <c r="B1674" s="465" t="s">
        <v>5272</v>
      </c>
      <c r="C1674" s="466">
        <v>5</v>
      </c>
      <c r="D1674" s="465"/>
      <c r="E1674" s="466" t="s">
        <v>5269</v>
      </c>
      <c r="F1674" s="466" t="s">
        <v>1226</v>
      </c>
      <c r="G1674" s="465"/>
      <c r="H1674" s="465">
        <v>4</v>
      </c>
    </row>
    <row r="1675" spans="1:8" ht="13.8" thickBot="1">
      <c r="A1675" s="467" t="s">
        <v>7667</v>
      </c>
      <c r="B1675" s="465" t="s">
        <v>5284</v>
      </c>
      <c r="C1675" s="466">
        <v>5</v>
      </c>
      <c r="D1675" s="465"/>
      <c r="E1675" s="466" t="s">
        <v>5285</v>
      </c>
      <c r="F1675" s="466" t="s">
        <v>1226</v>
      </c>
      <c r="G1675" s="465">
        <v>1</v>
      </c>
      <c r="H1675" s="465">
        <v>1</v>
      </c>
    </row>
    <row r="1676" spans="1:8" ht="13.8" thickBot="1">
      <c r="A1676" s="465" t="s">
        <v>7668</v>
      </c>
      <c r="B1676" s="465" t="s">
        <v>5284</v>
      </c>
      <c r="C1676" s="466">
        <v>5</v>
      </c>
      <c r="D1676" s="465"/>
      <c r="E1676" s="466" t="s">
        <v>5285</v>
      </c>
      <c r="F1676" s="466" t="s">
        <v>1226</v>
      </c>
      <c r="G1676" s="465">
        <v>1</v>
      </c>
      <c r="H1676" s="465">
        <v>1</v>
      </c>
    </row>
    <row r="1677" spans="1:8" ht="13.8" thickBot="1">
      <c r="A1677" s="465" t="s">
        <v>7669</v>
      </c>
      <c r="B1677" s="465" t="s">
        <v>1379</v>
      </c>
      <c r="C1677" s="466">
        <v>5</v>
      </c>
      <c r="D1677" s="465"/>
      <c r="E1677" s="466" t="s">
        <v>5286</v>
      </c>
      <c r="F1677" s="466" t="s">
        <v>1841</v>
      </c>
      <c r="G1677" s="465">
        <v>3</v>
      </c>
      <c r="H1677" s="465">
        <v>11</v>
      </c>
    </row>
    <row r="1678" spans="1:8" ht="13.8" thickBot="1">
      <c r="A1678" s="465" t="s">
        <v>7670</v>
      </c>
      <c r="B1678" s="465" t="s">
        <v>5316</v>
      </c>
      <c r="C1678" s="466">
        <v>5</v>
      </c>
      <c r="D1678" s="465"/>
      <c r="E1678" s="466" t="s">
        <v>5286</v>
      </c>
      <c r="F1678" s="466" t="s">
        <v>1226</v>
      </c>
      <c r="G1678" s="465"/>
      <c r="H1678" s="465">
        <v>7</v>
      </c>
    </row>
    <row r="1679" spans="1:8" ht="13.8" thickBot="1">
      <c r="A1679" s="465" t="s">
        <v>7671</v>
      </c>
      <c r="B1679" s="465" t="s">
        <v>5317</v>
      </c>
      <c r="C1679" s="466">
        <v>5</v>
      </c>
      <c r="D1679" s="465"/>
      <c r="E1679" s="466" t="s">
        <v>5286</v>
      </c>
      <c r="F1679" s="466" t="s">
        <v>2067</v>
      </c>
      <c r="G1679" s="465"/>
      <c r="H1679" s="465">
        <v>8</v>
      </c>
    </row>
    <row r="1680" spans="1:8" ht="13.8" thickBot="1">
      <c r="A1680" s="465" t="s">
        <v>7672</v>
      </c>
      <c r="B1680" s="465" t="s">
        <v>1383</v>
      </c>
      <c r="C1680" s="466">
        <v>5</v>
      </c>
      <c r="D1680" s="467" t="s">
        <v>614</v>
      </c>
      <c r="E1680" s="466" t="s">
        <v>5286</v>
      </c>
      <c r="F1680" s="466" t="s">
        <v>1224</v>
      </c>
      <c r="G1680" s="465"/>
      <c r="H1680" s="465">
        <v>6</v>
      </c>
    </row>
    <row r="1681" spans="1:8" ht="13.8" thickBot="1">
      <c r="A1681" s="465" t="s">
        <v>7673</v>
      </c>
      <c r="B1681" s="465" t="s">
        <v>1381</v>
      </c>
      <c r="C1681" s="466">
        <v>5</v>
      </c>
      <c r="D1681" s="465"/>
      <c r="E1681" s="466" t="s">
        <v>5286</v>
      </c>
      <c r="F1681" s="466" t="s">
        <v>1220</v>
      </c>
      <c r="G1681" s="465">
        <v>2</v>
      </c>
      <c r="H1681" s="465">
        <v>12</v>
      </c>
    </row>
    <row r="1682" spans="1:8" ht="13.8" thickBot="1">
      <c r="A1682" s="465" t="s">
        <v>7674</v>
      </c>
      <c r="B1682" s="465" t="s">
        <v>1381</v>
      </c>
      <c r="C1682" s="466">
        <v>5</v>
      </c>
      <c r="D1682" s="465"/>
      <c r="E1682" s="466" t="s">
        <v>5286</v>
      </c>
      <c r="F1682" s="466"/>
      <c r="G1682" s="465"/>
      <c r="H1682" s="465">
        <v>1</v>
      </c>
    </row>
    <row r="1683" spans="1:8" ht="13.8" thickBot="1">
      <c r="A1683" s="465" t="s">
        <v>7675</v>
      </c>
      <c r="B1683" s="465" t="s">
        <v>1381</v>
      </c>
      <c r="C1683" s="466">
        <v>5</v>
      </c>
      <c r="D1683" s="467" t="s">
        <v>614</v>
      </c>
      <c r="E1683" s="466" t="s">
        <v>5286</v>
      </c>
      <c r="F1683" s="466"/>
      <c r="G1683" s="465"/>
      <c r="H1683" s="465">
        <v>10</v>
      </c>
    </row>
    <row r="1684" spans="1:8" ht="13.8" thickBot="1">
      <c r="A1684" s="465" t="s">
        <v>7676</v>
      </c>
      <c r="B1684" s="465" t="s">
        <v>5322</v>
      </c>
      <c r="C1684" s="466">
        <v>5</v>
      </c>
      <c r="D1684" s="465"/>
      <c r="E1684" s="466" t="s">
        <v>5319</v>
      </c>
      <c r="F1684" s="466"/>
      <c r="G1684" s="465"/>
      <c r="H1684" s="465">
        <v>2</v>
      </c>
    </row>
    <row r="1685" spans="1:8" ht="13.8" thickBot="1">
      <c r="A1685" s="465" t="s">
        <v>6977</v>
      </c>
      <c r="B1685" s="465" t="s">
        <v>2495</v>
      </c>
      <c r="C1685" s="466">
        <v>5</v>
      </c>
      <c r="D1685" s="467" t="s">
        <v>2169</v>
      </c>
      <c r="E1685" s="466" t="s">
        <v>2449</v>
      </c>
      <c r="F1685" s="466" t="s">
        <v>1251</v>
      </c>
      <c r="G1685" s="465"/>
      <c r="H1685" s="465">
        <v>8</v>
      </c>
    </row>
    <row r="1686" spans="1:8" ht="13.8" thickBot="1">
      <c r="A1686" s="465" t="s">
        <v>6978</v>
      </c>
      <c r="B1686" s="465" t="s">
        <v>2448</v>
      </c>
      <c r="C1686" s="466">
        <v>5</v>
      </c>
      <c r="D1686" s="467" t="s">
        <v>614</v>
      </c>
      <c r="E1686" s="466" t="s">
        <v>2449</v>
      </c>
      <c r="F1686" s="466" t="s">
        <v>1226</v>
      </c>
      <c r="G1686" s="465"/>
      <c r="H1686" s="465">
        <v>1</v>
      </c>
    </row>
    <row r="1687" spans="1:8" ht="13.8" thickBot="1">
      <c r="A1687" s="465" t="s">
        <v>6979</v>
      </c>
      <c r="B1687" s="465" t="s">
        <v>2455</v>
      </c>
      <c r="C1687" s="466">
        <v>5</v>
      </c>
      <c r="D1687" s="467" t="s">
        <v>614</v>
      </c>
      <c r="E1687" s="466" t="s">
        <v>2449</v>
      </c>
      <c r="F1687" s="466" t="s">
        <v>1226</v>
      </c>
      <c r="G1687" s="465"/>
      <c r="H1687" s="465">
        <v>3</v>
      </c>
    </row>
    <row r="1688" spans="1:8" ht="13.8" thickBot="1">
      <c r="A1688" s="465" t="s">
        <v>6980</v>
      </c>
      <c r="B1688" s="465" t="s">
        <v>2496</v>
      </c>
      <c r="C1688" s="466">
        <v>5</v>
      </c>
      <c r="D1688" s="467" t="s">
        <v>2497</v>
      </c>
      <c r="E1688" s="466" t="s">
        <v>2449</v>
      </c>
      <c r="F1688" s="466" t="s">
        <v>1226</v>
      </c>
      <c r="G1688" s="465"/>
      <c r="H1688" s="465">
        <v>5</v>
      </c>
    </row>
    <row r="1689" spans="1:8" ht="13.8" thickBot="1">
      <c r="A1689" s="465" t="s">
        <v>6981</v>
      </c>
      <c r="B1689" s="465" t="s">
        <v>2498</v>
      </c>
      <c r="C1689" s="466">
        <v>5</v>
      </c>
      <c r="D1689" s="467" t="s">
        <v>614</v>
      </c>
      <c r="E1689" s="466" t="s">
        <v>2449</v>
      </c>
      <c r="F1689" s="466" t="s">
        <v>1226</v>
      </c>
      <c r="G1689" s="465"/>
      <c r="H1689" s="465">
        <v>5</v>
      </c>
    </row>
    <row r="1690" spans="1:8" ht="13.8" thickBot="1">
      <c r="A1690" s="465" t="s">
        <v>6982</v>
      </c>
      <c r="B1690" s="465" t="s">
        <v>2499</v>
      </c>
      <c r="C1690" s="466">
        <v>5</v>
      </c>
      <c r="D1690" s="467" t="s">
        <v>614</v>
      </c>
      <c r="E1690" s="466" t="s">
        <v>2449</v>
      </c>
      <c r="F1690" s="466" t="s">
        <v>1226</v>
      </c>
      <c r="G1690" s="465"/>
      <c r="H1690" s="465">
        <v>1</v>
      </c>
    </row>
    <row r="1691" spans="1:8" ht="13.8" thickBot="1">
      <c r="A1691" s="465" t="s">
        <v>6983</v>
      </c>
      <c r="B1691" s="465" t="s">
        <v>2500</v>
      </c>
      <c r="C1691" s="466">
        <v>5</v>
      </c>
      <c r="D1691" s="467" t="s">
        <v>2497</v>
      </c>
      <c r="E1691" s="466" t="s">
        <v>2449</v>
      </c>
      <c r="F1691" s="466" t="s">
        <v>1224</v>
      </c>
      <c r="G1691" s="465"/>
      <c r="H1691" s="465">
        <v>9</v>
      </c>
    </row>
    <row r="1692" spans="1:8" ht="13.8" thickBot="1">
      <c r="A1692" s="467" t="s">
        <v>6984</v>
      </c>
      <c r="B1692" s="465" t="s">
        <v>2501</v>
      </c>
      <c r="C1692" s="466">
        <v>5</v>
      </c>
      <c r="D1692" s="465" t="s">
        <v>2486</v>
      </c>
      <c r="E1692" s="466" t="s">
        <v>2449</v>
      </c>
      <c r="F1692" s="466" t="s">
        <v>1224</v>
      </c>
      <c r="G1692" s="465"/>
      <c r="H1692" s="465">
        <v>4</v>
      </c>
    </row>
    <row r="1693" spans="1:8" ht="13.8" thickBot="1">
      <c r="A1693" s="467" t="s">
        <v>6985</v>
      </c>
      <c r="B1693" s="465" t="s">
        <v>2502</v>
      </c>
      <c r="C1693" s="466">
        <v>5</v>
      </c>
      <c r="D1693" s="465" t="s">
        <v>2503</v>
      </c>
      <c r="E1693" s="466" t="s">
        <v>2449</v>
      </c>
      <c r="F1693" s="466" t="s">
        <v>1224</v>
      </c>
      <c r="G1693" s="465"/>
      <c r="H1693" s="465">
        <v>4</v>
      </c>
    </row>
    <row r="1694" spans="1:8" ht="13.8" thickBot="1">
      <c r="A1694" s="467" t="s">
        <v>6986</v>
      </c>
      <c r="B1694" s="465" t="s">
        <v>2504</v>
      </c>
      <c r="C1694" s="466">
        <v>5</v>
      </c>
      <c r="D1694" s="465"/>
      <c r="E1694" s="466" t="s">
        <v>2449</v>
      </c>
      <c r="F1694" s="466" t="s">
        <v>1224</v>
      </c>
      <c r="G1694" s="465"/>
      <c r="H1694" s="465">
        <v>1</v>
      </c>
    </row>
    <row r="1695" spans="1:8" ht="13.8" thickBot="1">
      <c r="A1695" s="467" t="s">
        <v>6987</v>
      </c>
      <c r="B1695" s="465" t="s">
        <v>2505</v>
      </c>
      <c r="C1695" s="466">
        <v>5</v>
      </c>
      <c r="D1695" s="465"/>
      <c r="E1695" s="466" t="s">
        <v>2449</v>
      </c>
      <c r="F1695" s="466" t="s">
        <v>1224</v>
      </c>
      <c r="G1695" s="465"/>
      <c r="H1695" s="465">
        <v>3</v>
      </c>
    </row>
    <row r="1696" spans="1:8" ht="13.8" thickBot="1">
      <c r="A1696" s="467" t="s">
        <v>6988</v>
      </c>
      <c r="B1696" s="465" t="s">
        <v>2506</v>
      </c>
      <c r="C1696" s="466">
        <v>5</v>
      </c>
      <c r="D1696" s="465" t="s">
        <v>2486</v>
      </c>
      <c r="E1696" s="466" t="s">
        <v>2449</v>
      </c>
      <c r="F1696" s="466" t="s">
        <v>1220</v>
      </c>
      <c r="G1696" s="465"/>
      <c r="H1696" s="465">
        <v>2</v>
      </c>
    </row>
    <row r="1697" spans="1:8" ht="13.8" thickBot="1">
      <c r="A1697" s="467" t="s">
        <v>6989</v>
      </c>
      <c r="B1697" s="465" t="s">
        <v>2448</v>
      </c>
      <c r="C1697" s="466">
        <v>5</v>
      </c>
      <c r="D1697" s="465"/>
      <c r="E1697" s="466" t="s">
        <v>2449</v>
      </c>
      <c r="F1697" s="466"/>
      <c r="G1697" s="465"/>
      <c r="H1697" s="465">
        <v>5</v>
      </c>
    </row>
    <row r="1698" spans="1:8" ht="13.8" thickBot="1">
      <c r="A1698" s="467" t="s">
        <v>6990</v>
      </c>
      <c r="B1698" s="465" t="s">
        <v>2506</v>
      </c>
      <c r="C1698" s="466">
        <v>5</v>
      </c>
      <c r="D1698" s="465"/>
      <c r="E1698" s="466" t="s">
        <v>2449</v>
      </c>
      <c r="F1698" s="466"/>
      <c r="G1698" s="465"/>
      <c r="H1698" s="465">
        <v>2</v>
      </c>
    </row>
    <row r="1699" spans="1:8" ht="13.8" thickBot="1">
      <c r="A1699" s="467" t="s">
        <v>6991</v>
      </c>
      <c r="B1699" s="465" t="s">
        <v>2507</v>
      </c>
      <c r="C1699" s="466">
        <v>5</v>
      </c>
      <c r="D1699" s="465"/>
      <c r="E1699" s="466" t="s">
        <v>2449</v>
      </c>
      <c r="F1699" s="466"/>
      <c r="G1699" s="465"/>
      <c r="H1699" s="465">
        <v>3</v>
      </c>
    </row>
    <row r="1700" spans="1:8" ht="13.8" thickBot="1">
      <c r="A1700" s="467" t="s">
        <v>6992</v>
      </c>
      <c r="B1700" s="465" t="s">
        <v>2508</v>
      </c>
      <c r="C1700" s="466">
        <v>5</v>
      </c>
      <c r="D1700" s="467" t="s">
        <v>614</v>
      </c>
      <c r="E1700" s="466" t="s">
        <v>2449</v>
      </c>
      <c r="F1700" s="466"/>
      <c r="G1700" s="465"/>
      <c r="H1700" s="465">
        <v>5</v>
      </c>
    </row>
    <row r="1701" spans="1:8" ht="13.8" thickBot="1">
      <c r="A1701" s="467" t="s">
        <v>6993</v>
      </c>
      <c r="B1701" s="465" t="s">
        <v>2509</v>
      </c>
      <c r="C1701" s="466">
        <v>5</v>
      </c>
      <c r="D1701" s="465"/>
      <c r="E1701" s="466" t="s">
        <v>2449</v>
      </c>
      <c r="F1701" s="466"/>
      <c r="G1701" s="465"/>
      <c r="H1701" s="465">
        <v>6</v>
      </c>
    </row>
    <row r="1702" spans="1:8" ht="13.8" thickBot="1">
      <c r="A1702" s="465" t="s">
        <v>6994</v>
      </c>
      <c r="B1702" s="465" t="s">
        <v>2510</v>
      </c>
      <c r="C1702" s="466">
        <v>5</v>
      </c>
      <c r="D1702" s="467" t="s">
        <v>614</v>
      </c>
      <c r="E1702" s="466" t="s">
        <v>2449</v>
      </c>
      <c r="F1702" s="466"/>
      <c r="G1702" s="465"/>
      <c r="H1702" s="465">
        <v>1</v>
      </c>
    </row>
    <row r="1703" spans="1:8" ht="13.8" thickBot="1">
      <c r="A1703" s="465" t="s">
        <v>6995</v>
      </c>
      <c r="B1703" s="465" t="s">
        <v>2511</v>
      </c>
      <c r="C1703" s="466">
        <v>5</v>
      </c>
      <c r="D1703" s="465"/>
      <c r="E1703" s="466" t="s">
        <v>2449</v>
      </c>
      <c r="F1703" s="466"/>
      <c r="G1703" s="465"/>
      <c r="H1703" s="465">
        <v>3</v>
      </c>
    </row>
    <row r="1704" spans="1:8" ht="13.8" thickBot="1">
      <c r="A1704" s="467" t="s">
        <v>6996</v>
      </c>
      <c r="B1704" s="465" t="s">
        <v>1300</v>
      </c>
      <c r="C1704" s="466">
        <v>5</v>
      </c>
      <c r="D1704" s="465"/>
      <c r="E1704" s="466" t="s">
        <v>2523</v>
      </c>
      <c r="F1704" s="466" t="s">
        <v>1251</v>
      </c>
      <c r="G1704" s="465">
        <v>1</v>
      </c>
      <c r="H1704" s="465">
        <v>4</v>
      </c>
    </row>
    <row r="1705" spans="1:8" ht="13.8" thickBot="1">
      <c r="A1705" s="467" t="s">
        <v>6997</v>
      </c>
      <c r="B1705" s="465" t="s">
        <v>2665</v>
      </c>
      <c r="C1705" s="466">
        <v>5</v>
      </c>
      <c r="D1705" s="467" t="s">
        <v>614</v>
      </c>
      <c r="E1705" s="466" t="s">
        <v>2523</v>
      </c>
      <c r="F1705" s="466" t="s">
        <v>1251</v>
      </c>
      <c r="G1705" s="465">
        <v>2</v>
      </c>
      <c r="H1705" s="465">
        <v>8</v>
      </c>
    </row>
    <row r="1706" spans="1:8" ht="13.8" thickBot="1">
      <c r="A1706" s="465" t="s">
        <v>6998</v>
      </c>
      <c r="B1706" s="465" t="s">
        <v>2619</v>
      </c>
      <c r="C1706" s="466">
        <v>5</v>
      </c>
      <c r="D1706" s="465"/>
      <c r="E1706" s="466" t="s">
        <v>2523</v>
      </c>
      <c r="F1706" s="466" t="s">
        <v>1251</v>
      </c>
      <c r="G1706" s="465"/>
      <c r="H1706" s="465">
        <v>9</v>
      </c>
    </row>
    <row r="1707" spans="1:8" ht="13.8" thickBot="1">
      <c r="A1707" s="465" t="s">
        <v>6999</v>
      </c>
      <c r="B1707" s="465" t="s">
        <v>2559</v>
      </c>
      <c r="C1707" s="466">
        <v>5</v>
      </c>
      <c r="D1707" s="465"/>
      <c r="E1707" s="466" t="s">
        <v>2523</v>
      </c>
      <c r="F1707" s="466" t="s">
        <v>1251</v>
      </c>
      <c r="G1707" s="465">
        <v>1</v>
      </c>
      <c r="H1707" s="465">
        <v>2</v>
      </c>
    </row>
    <row r="1708" spans="1:8" ht="13.8" thickBot="1">
      <c r="A1708" s="467" t="s">
        <v>7000</v>
      </c>
      <c r="B1708" s="465" t="s">
        <v>1300</v>
      </c>
      <c r="C1708" s="466">
        <v>5</v>
      </c>
      <c r="D1708" s="465"/>
      <c r="E1708" s="466" t="s">
        <v>2523</v>
      </c>
      <c r="F1708" s="466" t="s">
        <v>1226</v>
      </c>
      <c r="G1708" s="465"/>
      <c r="H1708" s="465">
        <v>6</v>
      </c>
    </row>
    <row r="1709" spans="1:8" ht="13.8" thickBot="1">
      <c r="A1709" s="467" t="s">
        <v>7001</v>
      </c>
      <c r="B1709" s="465" t="s">
        <v>1300</v>
      </c>
      <c r="C1709" s="466">
        <v>5</v>
      </c>
      <c r="D1709" s="465"/>
      <c r="E1709" s="466" t="s">
        <v>2523</v>
      </c>
      <c r="F1709" s="466" t="s">
        <v>1226</v>
      </c>
      <c r="G1709" s="465"/>
      <c r="H1709" s="465">
        <v>1</v>
      </c>
    </row>
    <row r="1710" spans="1:8" ht="13.8" thickBot="1">
      <c r="A1710" s="467" t="s">
        <v>7002</v>
      </c>
      <c r="B1710" s="465" t="s">
        <v>1300</v>
      </c>
      <c r="C1710" s="466">
        <v>5</v>
      </c>
      <c r="D1710" s="465"/>
      <c r="E1710" s="466" t="s">
        <v>2523</v>
      </c>
      <c r="F1710" s="466" t="s">
        <v>1226</v>
      </c>
      <c r="G1710" s="465"/>
      <c r="H1710" s="465">
        <v>3</v>
      </c>
    </row>
    <row r="1711" spans="1:8" ht="13.8" thickBot="1">
      <c r="A1711" s="465" t="s">
        <v>7003</v>
      </c>
      <c r="B1711" s="465" t="s">
        <v>1300</v>
      </c>
      <c r="C1711" s="466">
        <v>5</v>
      </c>
      <c r="D1711" s="467" t="s">
        <v>614</v>
      </c>
      <c r="E1711" s="466" t="s">
        <v>2523</v>
      </c>
      <c r="F1711" s="466" t="s">
        <v>1226</v>
      </c>
      <c r="G1711" s="465"/>
      <c r="H1711" s="465">
        <v>3</v>
      </c>
    </row>
    <row r="1712" spans="1:8" ht="13.8" thickBot="1">
      <c r="A1712" s="467" t="s">
        <v>7004</v>
      </c>
      <c r="B1712" s="465" t="s">
        <v>1300</v>
      </c>
      <c r="C1712" s="466">
        <v>5</v>
      </c>
      <c r="D1712" s="467" t="s">
        <v>614</v>
      </c>
      <c r="E1712" s="466" t="s">
        <v>2523</v>
      </c>
      <c r="F1712" s="466" t="s">
        <v>1226</v>
      </c>
      <c r="G1712" s="465"/>
      <c r="H1712" s="465">
        <v>1</v>
      </c>
    </row>
    <row r="1713" spans="1:8" ht="13.8" thickBot="1">
      <c r="A1713" s="465" t="s">
        <v>7005</v>
      </c>
      <c r="B1713" s="465" t="s">
        <v>2666</v>
      </c>
      <c r="C1713" s="466">
        <v>5</v>
      </c>
      <c r="D1713" s="465"/>
      <c r="E1713" s="466" t="s">
        <v>2523</v>
      </c>
      <c r="F1713" s="466" t="s">
        <v>1226</v>
      </c>
      <c r="G1713" s="465"/>
      <c r="H1713" s="465">
        <v>2</v>
      </c>
    </row>
    <row r="1714" spans="1:8" ht="13.8" thickBot="1">
      <c r="A1714" s="467" t="s">
        <v>7006</v>
      </c>
      <c r="B1714" s="465" t="s">
        <v>1327</v>
      </c>
      <c r="C1714" s="466">
        <v>5</v>
      </c>
      <c r="D1714" s="467" t="s">
        <v>614</v>
      </c>
      <c r="E1714" s="466" t="s">
        <v>2523</v>
      </c>
      <c r="F1714" s="466" t="s">
        <v>1226</v>
      </c>
      <c r="G1714" s="465"/>
      <c r="H1714" s="465">
        <v>1</v>
      </c>
    </row>
    <row r="1715" spans="1:8" ht="13.8" thickBot="1">
      <c r="A1715" s="467" t="s">
        <v>7007</v>
      </c>
      <c r="B1715" s="465" t="s">
        <v>1311</v>
      </c>
      <c r="C1715" s="466">
        <v>5</v>
      </c>
      <c r="D1715" s="467" t="s">
        <v>614</v>
      </c>
      <c r="E1715" s="466" t="s">
        <v>2523</v>
      </c>
      <c r="F1715" s="466" t="s">
        <v>1226</v>
      </c>
      <c r="G1715" s="465"/>
      <c r="H1715" s="465">
        <v>15</v>
      </c>
    </row>
    <row r="1716" spans="1:8" ht="13.8" thickBot="1">
      <c r="A1716" s="467" t="s">
        <v>7008</v>
      </c>
      <c r="B1716" s="465" t="s">
        <v>1315</v>
      </c>
      <c r="C1716" s="466">
        <v>5</v>
      </c>
      <c r="D1716" s="465"/>
      <c r="E1716" s="466" t="s">
        <v>2523</v>
      </c>
      <c r="F1716" s="466" t="s">
        <v>1226</v>
      </c>
      <c r="G1716" s="465"/>
      <c r="H1716" s="465">
        <v>17</v>
      </c>
    </row>
    <row r="1717" spans="1:8" ht="13.8" thickBot="1">
      <c r="A1717" s="467" t="s">
        <v>7009</v>
      </c>
      <c r="B1717" s="465" t="s">
        <v>1302</v>
      </c>
      <c r="C1717" s="466">
        <v>5</v>
      </c>
      <c r="D1717" s="465"/>
      <c r="E1717" s="466" t="s">
        <v>2523</v>
      </c>
      <c r="F1717" s="466" t="s">
        <v>1226</v>
      </c>
      <c r="G1717" s="465"/>
      <c r="H1717" s="465">
        <v>1</v>
      </c>
    </row>
    <row r="1718" spans="1:8" ht="13.8" thickBot="1">
      <c r="A1718" s="465" t="s">
        <v>7010</v>
      </c>
      <c r="B1718" s="465" t="s">
        <v>1302</v>
      </c>
      <c r="C1718" s="466">
        <v>5</v>
      </c>
      <c r="D1718" s="465"/>
      <c r="E1718" s="466" t="s">
        <v>2523</v>
      </c>
      <c r="F1718" s="466" t="s">
        <v>1226</v>
      </c>
      <c r="G1718" s="465">
        <v>1</v>
      </c>
      <c r="H1718" s="465">
        <v>3</v>
      </c>
    </row>
    <row r="1719" spans="1:8" ht="13.8" thickBot="1">
      <c r="A1719" s="467" t="s">
        <v>7011</v>
      </c>
      <c r="B1719" s="465" t="s">
        <v>1312</v>
      </c>
      <c r="C1719" s="466">
        <v>5</v>
      </c>
      <c r="D1719" s="465"/>
      <c r="E1719" s="466" t="s">
        <v>2523</v>
      </c>
      <c r="F1719" s="466" t="s">
        <v>1226</v>
      </c>
      <c r="G1719" s="465"/>
      <c r="H1719" s="465">
        <v>13</v>
      </c>
    </row>
    <row r="1720" spans="1:8" ht="13.8" thickBot="1">
      <c r="A1720" s="467" t="s">
        <v>7012</v>
      </c>
      <c r="B1720" s="465" t="s">
        <v>2594</v>
      </c>
      <c r="C1720" s="466">
        <v>5</v>
      </c>
      <c r="D1720" s="467" t="s">
        <v>614</v>
      </c>
      <c r="E1720" s="466" t="s">
        <v>2523</v>
      </c>
      <c r="F1720" s="466" t="s">
        <v>1226</v>
      </c>
      <c r="G1720" s="465"/>
      <c r="H1720" s="465">
        <v>1</v>
      </c>
    </row>
    <row r="1721" spans="1:8" ht="13.8" thickBot="1">
      <c r="A1721" s="467" t="s">
        <v>7013</v>
      </c>
      <c r="B1721" s="465" t="s">
        <v>2667</v>
      </c>
      <c r="C1721" s="466">
        <v>5</v>
      </c>
      <c r="D1721" s="467" t="s">
        <v>614</v>
      </c>
      <c r="E1721" s="466" t="s">
        <v>2523</v>
      </c>
      <c r="F1721" s="466" t="s">
        <v>1226</v>
      </c>
      <c r="G1721" s="465"/>
      <c r="H1721" s="465">
        <v>6</v>
      </c>
    </row>
    <row r="1722" spans="1:8" ht="13.8" thickBot="1">
      <c r="A1722" s="467" t="s">
        <v>7014</v>
      </c>
      <c r="B1722" s="465" t="s">
        <v>1313</v>
      </c>
      <c r="C1722" s="466">
        <v>5</v>
      </c>
      <c r="D1722" s="465"/>
      <c r="E1722" s="466" t="s">
        <v>2523</v>
      </c>
      <c r="F1722" s="466" t="s">
        <v>2067</v>
      </c>
      <c r="G1722" s="465"/>
      <c r="H1722" s="465">
        <v>12</v>
      </c>
    </row>
    <row r="1723" spans="1:8" ht="13.8" thickBot="1">
      <c r="A1723" s="467" t="s">
        <v>7015</v>
      </c>
      <c r="B1723" s="465" t="s">
        <v>1300</v>
      </c>
      <c r="C1723" s="466">
        <v>5</v>
      </c>
      <c r="D1723" s="465"/>
      <c r="E1723" s="466" t="s">
        <v>2523</v>
      </c>
      <c r="F1723" s="466" t="s">
        <v>1224</v>
      </c>
      <c r="G1723" s="465"/>
      <c r="H1723" s="465">
        <v>1</v>
      </c>
    </row>
    <row r="1724" spans="1:8" ht="13.8" thickBot="1">
      <c r="A1724" s="467" t="s">
        <v>7016</v>
      </c>
      <c r="B1724" s="465" t="s">
        <v>1300</v>
      </c>
      <c r="C1724" s="466">
        <v>5</v>
      </c>
      <c r="D1724" s="465"/>
      <c r="E1724" s="466" t="s">
        <v>2523</v>
      </c>
      <c r="F1724" s="466" t="s">
        <v>1224</v>
      </c>
      <c r="G1724" s="465"/>
      <c r="H1724" s="465">
        <v>1</v>
      </c>
    </row>
    <row r="1725" spans="1:8" ht="13.8" thickBot="1">
      <c r="A1725" s="467" t="s">
        <v>7017</v>
      </c>
      <c r="B1725" s="465" t="s">
        <v>1314</v>
      </c>
      <c r="C1725" s="466">
        <v>5</v>
      </c>
      <c r="D1725" s="467" t="s">
        <v>614</v>
      </c>
      <c r="E1725" s="466" t="s">
        <v>2523</v>
      </c>
      <c r="F1725" s="466" t="s">
        <v>1224</v>
      </c>
      <c r="G1725" s="465">
        <v>1</v>
      </c>
      <c r="H1725" s="465">
        <v>8</v>
      </c>
    </row>
    <row r="1726" spans="1:8" ht="13.8" thickBot="1">
      <c r="A1726" s="467" t="s">
        <v>7018</v>
      </c>
      <c r="B1726" s="465" t="s">
        <v>1318</v>
      </c>
      <c r="C1726" s="466">
        <v>5</v>
      </c>
      <c r="D1726" s="465"/>
      <c r="E1726" s="466" t="s">
        <v>2523</v>
      </c>
      <c r="F1726" s="466" t="s">
        <v>1224</v>
      </c>
      <c r="G1726" s="465">
        <v>1</v>
      </c>
      <c r="H1726" s="465">
        <v>18</v>
      </c>
    </row>
    <row r="1727" spans="1:8" ht="13.8" thickBot="1">
      <c r="A1727" s="467" t="s">
        <v>7019</v>
      </c>
      <c r="B1727" s="465" t="s">
        <v>2534</v>
      </c>
      <c r="C1727" s="466">
        <v>5</v>
      </c>
      <c r="D1727" s="465"/>
      <c r="E1727" s="466" t="s">
        <v>2523</v>
      </c>
      <c r="F1727" s="466" t="s">
        <v>1224</v>
      </c>
      <c r="G1727" s="465"/>
      <c r="H1727" s="465">
        <v>3</v>
      </c>
    </row>
    <row r="1728" spans="1:8" ht="13.8" thickBot="1">
      <c r="A1728" s="467" t="s">
        <v>7020</v>
      </c>
      <c r="B1728" s="468" t="s">
        <v>1302</v>
      </c>
      <c r="C1728" s="466">
        <v>5</v>
      </c>
      <c r="D1728" s="465"/>
      <c r="E1728" s="466" t="s">
        <v>2523</v>
      </c>
      <c r="F1728" s="466" t="s">
        <v>1224</v>
      </c>
      <c r="G1728" s="465"/>
      <c r="H1728" s="465">
        <v>1</v>
      </c>
    </row>
    <row r="1729" spans="1:8" ht="13.8" thickBot="1">
      <c r="A1729" s="465" t="s">
        <v>7021</v>
      </c>
      <c r="B1729" s="465" t="s">
        <v>1316</v>
      </c>
      <c r="C1729" s="466">
        <v>5</v>
      </c>
      <c r="D1729" s="465"/>
      <c r="E1729" s="466" t="s">
        <v>2523</v>
      </c>
      <c r="F1729" s="466" t="s">
        <v>1224</v>
      </c>
      <c r="G1729" s="465"/>
      <c r="H1729" s="465">
        <v>6</v>
      </c>
    </row>
    <row r="1730" spans="1:8" ht="13.8" thickBot="1">
      <c r="A1730" s="467" t="s">
        <v>7022</v>
      </c>
      <c r="B1730" s="465" t="s">
        <v>2668</v>
      </c>
      <c r="C1730" s="466">
        <v>5</v>
      </c>
      <c r="D1730" s="465"/>
      <c r="E1730" s="466" t="s">
        <v>2523</v>
      </c>
      <c r="F1730" s="466" t="s">
        <v>1224</v>
      </c>
      <c r="G1730" s="465"/>
      <c r="H1730" s="465">
        <v>10</v>
      </c>
    </row>
    <row r="1731" spans="1:8" ht="13.8" thickBot="1">
      <c r="A1731" s="467" t="s">
        <v>7023</v>
      </c>
      <c r="B1731" s="465" t="s">
        <v>1300</v>
      </c>
      <c r="C1731" s="466">
        <v>5</v>
      </c>
      <c r="D1731" s="465"/>
      <c r="E1731" s="466" t="s">
        <v>2523</v>
      </c>
      <c r="F1731" s="466" t="s">
        <v>1220</v>
      </c>
      <c r="G1731" s="465"/>
      <c r="H1731" s="465">
        <v>7</v>
      </c>
    </row>
    <row r="1732" spans="1:8" ht="13.8" thickBot="1">
      <c r="A1732" s="465" t="s">
        <v>1054</v>
      </c>
      <c r="B1732" s="465" t="s">
        <v>2669</v>
      </c>
      <c r="C1732" s="466">
        <v>5</v>
      </c>
      <c r="D1732" s="467" t="s">
        <v>614</v>
      </c>
      <c r="E1732" s="466" t="s">
        <v>2523</v>
      </c>
      <c r="F1732" s="466" t="s">
        <v>1220</v>
      </c>
      <c r="G1732" s="465"/>
      <c r="H1732" s="465">
        <v>1</v>
      </c>
    </row>
    <row r="1733" spans="1:8" ht="13.8" thickBot="1">
      <c r="A1733" s="465" t="s">
        <v>7024</v>
      </c>
      <c r="B1733" s="465" t="s">
        <v>2670</v>
      </c>
      <c r="C1733" s="466">
        <v>5</v>
      </c>
      <c r="D1733" s="465"/>
      <c r="E1733" s="466" t="s">
        <v>2523</v>
      </c>
      <c r="F1733" s="466" t="s">
        <v>1220</v>
      </c>
      <c r="G1733" s="465"/>
      <c r="H1733" s="465">
        <v>1</v>
      </c>
    </row>
    <row r="1734" spans="1:8" ht="13.8" thickBot="1">
      <c r="A1734" s="465" t="s">
        <v>7025</v>
      </c>
      <c r="B1734" s="465" t="s">
        <v>2671</v>
      </c>
      <c r="C1734" s="466">
        <v>5</v>
      </c>
      <c r="D1734" s="465"/>
      <c r="E1734" s="466" t="s">
        <v>2523</v>
      </c>
      <c r="F1734" s="466" t="s">
        <v>1220</v>
      </c>
      <c r="G1734" s="465">
        <v>1</v>
      </c>
      <c r="H1734" s="465">
        <v>2</v>
      </c>
    </row>
    <row r="1735" spans="1:8" ht="13.8" thickBot="1">
      <c r="A1735" s="465" t="s">
        <v>7026</v>
      </c>
      <c r="B1735" s="465" t="s">
        <v>1300</v>
      </c>
      <c r="C1735" s="466">
        <v>5</v>
      </c>
      <c r="D1735" s="465"/>
      <c r="E1735" s="466" t="s">
        <v>2523</v>
      </c>
      <c r="F1735" s="466"/>
      <c r="G1735" s="465"/>
      <c r="H1735" s="465">
        <v>1</v>
      </c>
    </row>
    <row r="1736" spans="1:8" ht="13.8" thickBot="1">
      <c r="A1736" s="465" t="s">
        <v>7027</v>
      </c>
      <c r="B1736" s="465" t="s">
        <v>1300</v>
      </c>
      <c r="C1736" s="466">
        <v>5</v>
      </c>
      <c r="D1736" s="465"/>
      <c r="E1736" s="466" t="s">
        <v>2523</v>
      </c>
      <c r="F1736" s="466"/>
      <c r="G1736" s="465"/>
      <c r="H1736" s="465">
        <v>5</v>
      </c>
    </row>
    <row r="1737" spans="1:8" ht="13.8" thickBot="1">
      <c r="A1737" s="467" t="s">
        <v>7028</v>
      </c>
      <c r="B1737" s="465" t="s">
        <v>1300</v>
      </c>
      <c r="C1737" s="466">
        <v>5</v>
      </c>
      <c r="D1737" s="465"/>
      <c r="E1737" s="466" t="s">
        <v>2523</v>
      </c>
      <c r="F1737" s="466"/>
      <c r="G1737" s="465"/>
      <c r="H1737" s="465">
        <v>12</v>
      </c>
    </row>
    <row r="1738" spans="1:8" ht="13.8" thickBot="1">
      <c r="A1738" s="467" t="s">
        <v>7029</v>
      </c>
      <c r="B1738" s="465" t="s">
        <v>1300</v>
      </c>
      <c r="C1738" s="466">
        <v>5</v>
      </c>
      <c r="D1738" s="465"/>
      <c r="E1738" s="466" t="s">
        <v>2523</v>
      </c>
      <c r="F1738" s="466"/>
      <c r="G1738" s="465"/>
      <c r="H1738" s="465">
        <v>6</v>
      </c>
    </row>
    <row r="1739" spans="1:8" ht="13.8" thickBot="1">
      <c r="A1739" s="465" t="s">
        <v>7030</v>
      </c>
      <c r="B1739" s="465" t="s">
        <v>1300</v>
      </c>
      <c r="C1739" s="466">
        <v>5</v>
      </c>
      <c r="D1739" s="465"/>
      <c r="E1739" s="466" t="s">
        <v>2523</v>
      </c>
      <c r="F1739" s="466"/>
      <c r="G1739" s="465"/>
      <c r="H1739" s="465">
        <v>3</v>
      </c>
    </row>
    <row r="1740" spans="1:8" ht="13.8" thickBot="1">
      <c r="A1740" s="467" t="s">
        <v>7031</v>
      </c>
      <c r="B1740" s="465" t="s">
        <v>1300</v>
      </c>
      <c r="C1740" s="466">
        <v>5</v>
      </c>
      <c r="D1740" s="465"/>
      <c r="E1740" s="466" t="s">
        <v>2523</v>
      </c>
      <c r="F1740" s="466"/>
      <c r="G1740" s="465"/>
      <c r="H1740" s="465">
        <v>2</v>
      </c>
    </row>
    <row r="1741" spans="1:8" ht="13.8" thickBot="1">
      <c r="A1741" s="467" t="s">
        <v>7032</v>
      </c>
      <c r="B1741" s="465" t="s">
        <v>1300</v>
      </c>
      <c r="C1741" s="466">
        <v>5</v>
      </c>
      <c r="D1741" s="465"/>
      <c r="E1741" s="466" t="s">
        <v>2523</v>
      </c>
      <c r="F1741" s="466"/>
      <c r="G1741" s="465"/>
      <c r="H1741" s="465">
        <v>2</v>
      </c>
    </row>
    <row r="1742" spans="1:8" ht="13.8" thickBot="1">
      <c r="A1742" s="467" t="s">
        <v>7033</v>
      </c>
      <c r="B1742" s="465" t="s">
        <v>1300</v>
      </c>
      <c r="C1742" s="466">
        <v>5</v>
      </c>
      <c r="D1742" s="465"/>
      <c r="E1742" s="466" t="s">
        <v>2523</v>
      </c>
      <c r="F1742" s="466"/>
      <c r="G1742" s="465">
        <v>1</v>
      </c>
      <c r="H1742" s="465">
        <v>2</v>
      </c>
    </row>
    <row r="1743" spans="1:8" ht="13.8" thickBot="1">
      <c r="A1743" s="465" t="s">
        <v>7034</v>
      </c>
      <c r="B1743" s="465" t="s">
        <v>1300</v>
      </c>
      <c r="C1743" s="466">
        <v>5</v>
      </c>
      <c r="D1743" s="465"/>
      <c r="E1743" s="466" t="s">
        <v>2523</v>
      </c>
      <c r="F1743" s="466"/>
      <c r="G1743" s="465"/>
      <c r="H1743" s="465">
        <v>2</v>
      </c>
    </row>
    <row r="1744" spans="1:8" ht="13.8" thickBot="1">
      <c r="A1744" s="467" t="s">
        <v>7035</v>
      </c>
      <c r="B1744" s="465" t="s">
        <v>1300</v>
      </c>
      <c r="C1744" s="466">
        <v>5</v>
      </c>
      <c r="D1744" s="465"/>
      <c r="E1744" s="466" t="s">
        <v>2523</v>
      </c>
      <c r="F1744" s="466"/>
      <c r="G1744" s="465"/>
      <c r="H1744" s="465">
        <v>2</v>
      </c>
    </row>
    <row r="1745" spans="1:8" ht="13.8" thickBot="1">
      <c r="A1745" s="465" t="s">
        <v>7036</v>
      </c>
      <c r="B1745" s="465" t="s">
        <v>1300</v>
      </c>
      <c r="C1745" s="466">
        <v>5</v>
      </c>
      <c r="D1745" s="465"/>
      <c r="E1745" s="466" t="s">
        <v>2523</v>
      </c>
      <c r="F1745" s="466"/>
      <c r="G1745" s="465">
        <v>1</v>
      </c>
      <c r="H1745" s="465">
        <v>4</v>
      </c>
    </row>
    <row r="1746" spans="1:8" ht="13.8" thickBot="1">
      <c r="A1746" s="465" t="s">
        <v>7037</v>
      </c>
      <c r="B1746" s="465" t="s">
        <v>1300</v>
      </c>
      <c r="C1746" s="466">
        <v>5</v>
      </c>
      <c r="D1746" s="465"/>
      <c r="E1746" s="466" t="s">
        <v>2523</v>
      </c>
      <c r="F1746" s="466"/>
      <c r="G1746" s="465"/>
      <c r="H1746" s="465">
        <v>5</v>
      </c>
    </row>
    <row r="1747" spans="1:8" ht="13.8" thickBot="1">
      <c r="A1747" s="465" t="s">
        <v>7038</v>
      </c>
      <c r="B1747" s="465" t="s">
        <v>2672</v>
      </c>
      <c r="C1747" s="466">
        <v>5</v>
      </c>
      <c r="D1747" s="465"/>
      <c r="E1747" s="466" t="s">
        <v>2523</v>
      </c>
      <c r="F1747" s="466"/>
      <c r="G1747" s="465">
        <v>1</v>
      </c>
      <c r="H1747" s="465">
        <v>5</v>
      </c>
    </row>
    <row r="1748" spans="1:8" ht="13.8" thickBot="1">
      <c r="A1748" s="465" t="s">
        <v>7039</v>
      </c>
      <c r="B1748" s="465" t="s">
        <v>1304</v>
      </c>
      <c r="C1748" s="466">
        <v>5</v>
      </c>
      <c r="D1748" s="465"/>
      <c r="E1748" s="466" t="s">
        <v>2523</v>
      </c>
      <c r="F1748" s="466"/>
      <c r="G1748" s="465"/>
      <c r="H1748" s="465">
        <v>2</v>
      </c>
    </row>
    <row r="1749" spans="1:8" ht="13.8" thickBot="1">
      <c r="A1749" s="465" t="s">
        <v>895</v>
      </c>
      <c r="B1749" s="465" t="s">
        <v>1304</v>
      </c>
      <c r="C1749" s="466">
        <v>5</v>
      </c>
      <c r="D1749" s="465"/>
      <c r="E1749" s="466" t="s">
        <v>2523</v>
      </c>
      <c r="F1749" s="466"/>
      <c r="G1749" s="465"/>
      <c r="H1749" s="465">
        <v>1</v>
      </c>
    </row>
    <row r="1750" spans="1:8" ht="13.8" thickBot="1">
      <c r="A1750" s="465" t="s">
        <v>7040</v>
      </c>
      <c r="B1750" s="465" t="s">
        <v>2673</v>
      </c>
      <c r="C1750" s="466">
        <v>5</v>
      </c>
      <c r="D1750" s="465"/>
      <c r="E1750" s="466" t="s">
        <v>2523</v>
      </c>
      <c r="F1750" s="466"/>
      <c r="G1750" s="465"/>
      <c r="H1750" s="465">
        <v>1</v>
      </c>
    </row>
    <row r="1751" spans="1:8" ht="13.8" thickBot="1">
      <c r="A1751" s="467" t="s">
        <v>7041</v>
      </c>
      <c r="B1751" s="465" t="s">
        <v>2674</v>
      </c>
      <c r="C1751" s="466">
        <v>5</v>
      </c>
      <c r="D1751" s="465"/>
      <c r="E1751" s="466" t="s">
        <v>2523</v>
      </c>
      <c r="F1751" s="466"/>
      <c r="G1751" s="465"/>
      <c r="H1751" s="465">
        <v>1</v>
      </c>
    </row>
    <row r="1752" spans="1:8" ht="13.8" thickBot="1">
      <c r="A1752" s="465" t="s">
        <v>7042</v>
      </c>
      <c r="B1752" s="465" t="s">
        <v>2675</v>
      </c>
      <c r="C1752" s="466">
        <v>5</v>
      </c>
      <c r="D1752" s="467" t="s">
        <v>614</v>
      </c>
      <c r="E1752" s="466" t="s">
        <v>2523</v>
      </c>
      <c r="F1752" s="466"/>
      <c r="G1752" s="465"/>
      <c r="H1752" s="465">
        <v>2</v>
      </c>
    </row>
    <row r="1753" spans="1:8" ht="13.8" thickBot="1">
      <c r="A1753" s="467" t="s">
        <v>7043</v>
      </c>
      <c r="B1753" s="465" t="s">
        <v>2676</v>
      </c>
      <c r="C1753" s="466">
        <v>5</v>
      </c>
      <c r="D1753" s="465"/>
      <c r="E1753" s="466" t="s">
        <v>2523</v>
      </c>
      <c r="F1753" s="466"/>
      <c r="G1753" s="465"/>
      <c r="H1753" s="465">
        <v>1</v>
      </c>
    </row>
    <row r="1754" spans="1:8" ht="13.8" thickBot="1">
      <c r="A1754" s="467" t="s">
        <v>7044</v>
      </c>
      <c r="B1754" s="465" t="s">
        <v>2677</v>
      </c>
      <c r="C1754" s="466">
        <v>5</v>
      </c>
      <c r="D1754" s="465"/>
      <c r="E1754" s="466" t="s">
        <v>2523</v>
      </c>
      <c r="F1754" s="466"/>
      <c r="G1754" s="465"/>
      <c r="H1754" s="465">
        <v>1</v>
      </c>
    </row>
    <row r="1755" spans="1:8" ht="13.8" thickBot="1">
      <c r="A1755" s="465" t="s">
        <v>7045</v>
      </c>
      <c r="B1755" s="465" t="s">
        <v>2678</v>
      </c>
      <c r="C1755" s="466">
        <v>5</v>
      </c>
      <c r="D1755" s="465"/>
      <c r="E1755" s="466" t="s">
        <v>2523</v>
      </c>
      <c r="F1755" s="466"/>
      <c r="G1755" s="465">
        <v>1</v>
      </c>
      <c r="H1755" s="465">
        <v>6</v>
      </c>
    </row>
    <row r="1756" spans="1:8" ht="13.8" thickBot="1">
      <c r="A1756" s="465" t="s">
        <v>7046</v>
      </c>
      <c r="B1756" s="465" t="s">
        <v>2679</v>
      </c>
      <c r="C1756" s="466">
        <v>5</v>
      </c>
      <c r="D1756" s="465"/>
      <c r="E1756" s="466" t="s">
        <v>2523</v>
      </c>
      <c r="F1756" s="466"/>
      <c r="G1756" s="465"/>
      <c r="H1756" s="465">
        <v>1</v>
      </c>
    </row>
    <row r="1757" spans="1:8" ht="13.8" thickBot="1">
      <c r="A1757" s="465" t="s">
        <v>7047</v>
      </c>
      <c r="B1757" s="465" t="s">
        <v>2680</v>
      </c>
      <c r="C1757" s="466">
        <v>5</v>
      </c>
      <c r="D1757" s="465"/>
      <c r="E1757" s="466" t="s">
        <v>2523</v>
      </c>
      <c r="F1757" s="466"/>
      <c r="G1757" s="465"/>
      <c r="H1757" s="465">
        <v>2</v>
      </c>
    </row>
    <row r="1758" spans="1:8" ht="13.8" thickBot="1">
      <c r="A1758" s="465" t="s">
        <v>7048</v>
      </c>
      <c r="B1758" s="465" t="s">
        <v>2536</v>
      </c>
      <c r="C1758" s="466">
        <v>5</v>
      </c>
      <c r="D1758" s="465"/>
      <c r="E1758" s="466" t="s">
        <v>2523</v>
      </c>
      <c r="F1758" s="466"/>
      <c r="G1758" s="465">
        <v>2</v>
      </c>
      <c r="H1758" s="465">
        <v>3</v>
      </c>
    </row>
    <row r="1759" spans="1:8" ht="13.8" thickBot="1">
      <c r="A1759" s="467" t="s">
        <v>7049</v>
      </c>
      <c r="B1759" s="465" t="s">
        <v>2534</v>
      </c>
      <c r="C1759" s="466">
        <v>5</v>
      </c>
      <c r="D1759" s="465"/>
      <c r="E1759" s="466" t="s">
        <v>2523</v>
      </c>
      <c r="F1759" s="466"/>
      <c r="G1759" s="465"/>
      <c r="H1759" s="465">
        <v>2</v>
      </c>
    </row>
    <row r="1760" spans="1:8" ht="13.8" thickBot="1">
      <c r="A1760" s="465" t="s">
        <v>7050</v>
      </c>
      <c r="B1760" s="465" t="s">
        <v>1317</v>
      </c>
      <c r="C1760" s="466">
        <v>5</v>
      </c>
      <c r="D1760" s="465"/>
      <c r="E1760" s="466" t="s">
        <v>2523</v>
      </c>
      <c r="F1760" s="466"/>
      <c r="G1760" s="465"/>
      <c r="H1760" s="465">
        <v>6</v>
      </c>
    </row>
    <row r="1761" spans="1:8" ht="13.8" thickBot="1">
      <c r="A1761" s="467" t="s">
        <v>7051</v>
      </c>
      <c r="B1761" s="465" t="s">
        <v>2681</v>
      </c>
      <c r="C1761" s="466">
        <v>5</v>
      </c>
      <c r="D1761" s="465"/>
      <c r="E1761" s="466" t="s">
        <v>2523</v>
      </c>
      <c r="F1761" s="466"/>
      <c r="G1761" s="465"/>
      <c r="H1761" s="465">
        <v>1</v>
      </c>
    </row>
    <row r="1762" spans="1:8" ht="13.8" thickBot="1">
      <c r="A1762" s="465" t="s">
        <v>7052</v>
      </c>
      <c r="B1762" s="465" t="s">
        <v>2682</v>
      </c>
      <c r="C1762" s="466">
        <v>5</v>
      </c>
      <c r="D1762" s="467" t="s">
        <v>614</v>
      </c>
      <c r="E1762" s="466" t="s">
        <v>2523</v>
      </c>
      <c r="F1762" s="466"/>
      <c r="G1762" s="465"/>
      <c r="H1762" s="465">
        <v>3</v>
      </c>
    </row>
    <row r="1763" spans="1:8" ht="13.8" thickBot="1">
      <c r="A1763" s="467" t="s">
        <v>7053</v>
      </c>
      <c r="B1763" s="465" t="s">
        <v>1302</v>
      </c>
      <c r="C1763" s="466">
        <v>5</v>
      </c>
      <c r="D1763" s="465"/>
      <c r="E1763" s="466" t="s">
        <v>2523</v>
      </c>
      <c r="F1763" s="466"/>
      <c r="G1763" s="465"/>
      <c r="H1763" s="465">
        <v>2</v>
      </c>
    </row>
    <row r="1764" spans="1:8" ht="13.8" thickBot="1">
      <c r="A1764" s="465" t="s">
        <v>1201</v>
      </c>
      <c r="B1764" s="465" t="s">
        <v>2683</v>
      </c>
      <c r="C1764" s="466">
        <v>5</v>
      </c>
      <c r="D1764" s="465"/>
      <c r="E1764" s="466" t="s">
        <v>2523</v>
      </c>
      <c r="F1764" s="466"/>
      <c r="G1764" s="465"/>
      <c r="H1764" s="465">
        <v>3</v>
      </c>
    </row>
    <row r="1765" spans="1:8" ht="13.8" thickBot="1">
      <c r="A1765" s="465" t="s">
        <v>7054</v>
      </c>
      <c r="B1765" s="465" t="s">
        <v>2684</v>
      </c>
      <c r="C1765" s="466">
        <v>5</v>
      </c>
      <c r="D1765" s="465"/>
      <c r="E1765" s="466" t="s">
        <v>2523</v>
      </c>
      <c r="F1765" s="466"/>
      <c r="G1765" s="465"/>
      <c r="H1765" s="465">
        <v>1</v>
      </c>
    </row>
    <row r="1766" spans="1:8" ht="13.8" thickBot="1">
      <c r="A1766" s="465" t="s">
        <v>777</v>
      </c>
      <c r="B1766" s="465" t="s">
        <v>2685</v>
      </c>
      <c r="C1766" s="466">
        <v>5</v>
      </c>
      <c r="D1766" s="465"/>
      <c r="E1766" s="466" t="s">
        <v>2523</v>
      </c>
      <c r="F1766" s="466"/>
      <c r="G1766" s="465"/>
      <c r="H1766" s="465">
        <v>2</v>
      </c>
    </row>
    <row r="1767" spans="1:8" ht="13.8" thickBot="1">
      <c r="A1767" s="467" t="s">
        <v>7055</v>
      </c>
      <c r="B1767" s="465" t="s">
        <v>2686</v>
      </c>
      <c r="C1767" s="466">
        <v>5</v>
      </c>
      <c r="D1767" s="465"/>
      <c r="E1767" s="466" t="s">
        <v>2523</v>
      </c>
      <c r="F1767" s="466"/>
      <c r="G1767" s="465"/>
      <c r="H1767" s="465">
        <v>2</v>
      </c>
    </row>
    <row r="1768" spans="1:8" ht="13.8" thickBot="1">
      <c r="A1768" s="467" t="s">
        <v>7056</v>
      </c>
      <c r="B1768" s="465" t="s">
        <v>2687</v>
      </c>
      <c r="C1768" s="466">
        <v>5</v>
      </c>
      <c r="D1768" s="467" t="s">
        <v>614</v>
      </c>
      <c r="E1768" s="466" t="s">
        <v>2523</v>
      </c>
      <c r="F1768" s="466"/>
      <c r="G1768" s="465"/>
      <c r="H1768" s="465">
        <v>7</v>
      </c>
    </row>
    <row r="1769" spans="1:8" ht="13.8" thickBot="1">
      <c r="A1769" s="465" t="s">
        <v>7057</v>
      </c>
      <c r="B1769" s="465" t="s">
        <v>2730</v>
      </c>
      <c r="C1769" s="466">
        <v>5</v>
      </c>
      <c r="D1769" s="465"/>
      <c r="E1769" s="466" t="s">
        <v>2717</v>
      </c>
      <c r="F1769" s="466"/>
      <c r="G1769" s="465"/>
      <c r="H1769" s="465">
        <v>5</v>
      </c>
    </row>
    <row r="1770" spans="1:8" ht="13.8" thickBot="1">
      <c r="A1770" s="467" t="s">
        <v>7058</v>
      </c>
      <c r="B1770" s="465" t="s">
        <v>2731</v>
      </c>
      <c r="C1770" s="466">
        <v>5</v>
      </c>
      <c r="D1770" s="467" t="s">
        <v>614</v>
      </c>
      <c r="E1770" s="466" t="s">
        <v>2717</v>
      </c>
      <c r="F1770" s="466"/>
      <c r="G1770" s="465">
        <v>1</v>
      </c>
      <c r="H1770" s="465">
        <v>2</v>
      </c>
    </row>
    <row r="1771" spans="1:8" ht="13.8" thickBot="1">
      <c r="A1771" s="467" t="s">
        <v>7059</v>
      </c>
      <c r="B1771" s="465" t="s">
        <v>2741</v>
      </c>
      <c r="C1771" s="466">
        <v>5</v>
      </c>
      <c r="D1771" s="465"/>
      <c r="E1771" s="466" t="s">
        <v>2733</v>
      </c>
      <c r="F1771" s="466"/>
      <c r="G1771" s="465">
        <v>2</v>
      </c>
      <c r="H1771" s="465">
        <v>6</v>
      </c>
    </row>
    <row r="1772" spans="1:8" ht="13.8" thickBot="1">
      <c r="A1772" s="465" t="s">
        <v>7060</v>
      </c>
      <c r="B1772" s="465" t="s">
        <v>2742</v>
      </c>
      <c r="C1772" s="466">
        <v>5</v>
      </c>
      <c r="D1772" s="465"/>
      <c r="E1772" s="466" t="s">
        <v>2733</v>
      </c>
      <c r="F1772" s="466"/>
      <c r="G1772" s="465"/>
      <c r="H1772" s="465">
        <v>2</v>
      </c>
    </row>
    <row r="1773" spans="1:8" ht="13.8" thickBot="1">
      <c r="A1773" s="467" t="s">
        <v>6845</v>
      </c>
      <c r="B1773" s="465" t="s">
        <v>1959</v>
      </c>
      <c r="C1773" s="466">
        <v>5</v>
      </c>
      <c r="D1773" s="465"/>
      <c r="E1773" s="466" t="s">
        <v>1922</v>
      </c>
      <c r="F1773" s="466" t="s">
        <v>1251</v>
      </c>
      <c r="G1773" s="465"/>
      <c r="H1773" s="465">
        <v>11</v>
      </c>
    </row>
    <row r="1774" spans="1:8" ht="13.8" thickBot="1">
      <c r="A1774" s="467" t="s">
        <v>6846</v>
      </c>
      <c r="B1774" s="465" t="s">
        <v>1960</v>
      </c>
      <c r="C1774" s="466">
        <v>5</v>
      </c>
      <c r="D1774" s="467" t="s">
        <v>614</v>
      </c>
      <c r="E1774" s="466" t="s">
        <v>1922</v>
      </c>
      <c r="F1774" s="466" t="s">
        <v>1251</v>
      </c>
      <c r="G1774" s="465">
        <v>2</v>
      </c>
      <c r="H1774" s="465">
        <v>13</v>
      </c>
    </row>
    <row r="1775" spans="1:8" ht="13.8" thickBot="1">
      <c r="A1775" s="465" t="s">
        <v>6847</v>
      </c>
      <c r="B1775" s="465" t="s">
        <v>1252</v>
      </c>
      <c r="C1775" s="466">
        <v>5</v>
      </c>
      <c r="D1775" s="465"/>
      <c r="E1775" s="466" t="s">
        <v>1922</v>
      </c>
      <c r="F1775" s="466" t="s">
        <v>1226</v>
      </c>
      <c r="G1775" s="465"/>
      <c r="H1775" s="465">
        <v>1</v>
      </c>
    </row>
    <row r="1776" spans="1:8" ht="13.8" thickBot="1">
      <c r="A1776" s="467" t="s">
        <v>6848</v>
      </c>
      <c r="B1776" s="465" t="s">
        <v>1252</v>
      </c>
      <c r="C1776" s="466">
        <v>5</v>
      </c>
      <c r="D1776" s="465"/>
      <c r="E1776" s="466" t="s">
        <v>1922</v>
      </c>
      <c r="F1776" s="466" t="s">
        <v>1226</v>
      </c>
      <c r="G1776" s="465"/>
      <c r="H1776" s="465">
        <v>3</v>
      </c>
    </row>
    <row r="1777" spans="1:8" ht="13.8" thickBot="1">
      <c r="A1777" s="467" t="s">
        <v>6849</v>
      </c>
      <c r="B1777" s="465" t="s">
        <v>1262</v>
      </c>
      <c r="C1777" s="466">
        <v>5</v>
      </c>
      <c r="D1777" s="467" t="s">
        <v>614</v>
      </c>
      <c r="E1777" s="466" t="s">
        <v>1922</v>
      </c>
      <c r="F1777" s="466" t="s">
        <v>1226</v>
      </c>
      <c r="G1777" s="465">
        <v>1</v>
      </c>
      <c r="H1777" s="465">
        <v>6</v>
      </c>
    </row>
    <row r="1778" spans="1:8" ht="13.8" thickBot="1">
      <c r="A1778" s="465" t="s">
        <v>6850</v>
      </c>
      <c r="B1778" s="465" t="s">
        <v>1961</v>
      </c>
      <c r="C1778" s="466">
        <v>5</v>
      </c>
      <c r="D1778" s="465"/>
      <c r="E1778" s="466" t="s">
        <v>1922</v>
      </c>
      <c r="F1778" s="466" t="s">
        <v>1226</v>
      </c>
      <c r="G1778" s="465">
        <v>1</v>
      </c>
      <c r="H1778" s="465">
        <v>13</v>
      </c>
    </row>
    <row r="1779" spans="1:8" ht="13.8" thickBot="1">
      <c r="A1779" s="465" t="s">
        <v>6851</v>
      </c>
      <c r="B1779" s="465" t="s">
        <v>1256</v>
      </c>
      <c r="C1779" s="466">
        <v>5</v>
      </c>
      <c r="D1779" s="465"/>
      <c r="E1779" s="466" t="s">
        <v>1922</v>
      </c>
      <c r="F1779" s="466" t="s">
        <v>1226</v>
      </c>
      <c r="G1779" s="465"/>
      <c r="H1779" s="465">
        <v>1</v>
      </c>
    </row>
    <row r="1780" spans="1:8" ht="13.8" thickBot="1">
      <c r="A1780" s="467" t="s">
        <v>6852</v>
      </c>
      <c r="B1780" s="465" t="s">
        <v>1962</v>
      </c>
      <c r="C1780" s="466">
        <v>5</v>
      </c>
      <c r="D1780" s="465"/>
      <c r="E1780" s="466" t="s">
        <v>1922</v>
      </c>
      <c r="F1780" s="466" t="s">
        <v>1226</v>
      </c>
      <c r="G1780" s="465"/>
      <c r="H1780" s="465">
        <v>1</v>
      </c>
    </row>
    <row r="1781" spans="1:8" ht="13.8" thickBot="1">
      <c r="A1781" s="465" t="s">
        <v>6853</v>
      </c>
      <c r="B1781" s="465" t="s">
        <v>1963</v>
      </c>
      <c r="C1781" s="466">
        <v>5</v>
      </c>
      <c r="D1781" s="465"/>
      <c r="E1781" s="466" t="s">
        <v>1922</v>
      </c>
      <c r="F1781" s="466" t="s">
        <v>1226</v>
      </c>
      <c r="G1781" s="465"/>
      <c r="H1781" s="465">
        <v>5</v>
      </c>
    </row>
    <row r="1782" spans="1:8" ht="13.8" thickBot="1">
      <c r="A1782" s="467" t="s">
        <v>6854</v>
      </c>
      <c r="B1782" s="465" t="s">
        <v>1263</v>
      </c>
      <c r="C1782" s="466">
        <v>5</v>
      </c>
      <c r="D1782" s="467" t="s">
        <v>614</v>
      </c>
      <c r="E1782" s="466" t="s">
        <v>1922</v>
      </c>
      <c r="F1782" s="466" t="s">
        <v>1226</v>
      </c>
      <c r="G1782" s="465">
        <v>3</v>
      </c>
      <c r="H1782" s="465">
        <v>12</v>
      </c>
    </row>
    <row r="1783" spans="1:8" ht="13.8" thickBot="1">
      <c r="A1783" s="465" t="s">
        <v>6855</v>
      </c>
      <c r="B1783" s="465" t="s">
        <v>1264</v>
      </c>
      <c r="C1783" s="466">
        <v>5</v>
      </c>
      <c r="D1783" s="465"/>
      <c r="E1783" s="466" t="s">
        <v>1922</v>
      </c>
      <c r="F1783" s="466" t="s">
        <v>1964</v>
      </c>
      <c r="G1783" s="465">
        <v>1</v>
      </c>
      <c r="H1783" s="465">
        <v>10</v>
      </c>
    </row>
    <row r="1784" spans="1:8" ht="13.8" thickBot="1">
      <c r="A1784" s="465" t="s">
        <v>1121</v>
      </c>
      <c r="B1784" s="465" t="s">
        <v>1257</v>
      </c>
      <c r="C1784" s="466">
        <v>5</v>
      </c>
      <c r="D1784" s="465"/>
      <c r="E1784" s="466" t="s">
        <v>1922</v>
      </c>
      <c r="F1784" s="466" t="s">
        <v>1224</v>
      </c>
      <c r="G1784" s="465"/>
      <c r="H1784" s="465">
        <v>8</v>
      </c>
    </row>
    <row r="1785" spans="1:8" ht="13.8" thickBot="1">
      <c r="A1785" s="465" t="s">
        <v>6856</v>
      </c>
      <c r="B1785" s="465" t="s">
        <v>1965</v>
      </c>
      <c r="C1785" s="466">
        <v>5</v>
      </c>
      <c r="D1785" s="467" t="s">
        <v>614</v>
      </c>
      <c r="E1785" s="466" t="s">
        <v>1922</v>
      </c>
      <c r="F1785" s="466" t="s">
        <v>1224</v>
      </c>
      <c r="G1785" s="465"/>
      <c r="H1785" s="465">
        <v>9</v>
      </c>
    </row>
    <row r="1786" spans="1:8" ht="13.8" thickBot="1">
      <c r="A1786" s="467" t="s">
        <v>6857</v>
      </c>
      <c r="B1786" s="465" t="s">
        <v>1261</v>
      </c>
      <c r="C1786" s="466">
        <v>5</v>
      </c>
      <c r="D1786" s="465"/>
      <c r="E1786" s="466" t="s">
        <v>1922</v>
      </c>
      <c r="F1786" s="466" t="s">
        <v>1224</v>
      </c>
      <c r="G1786" s="465">
        <v>1</v>
      </c>
      <c r="H1786" s="465">
        <v>11</v>
      </c>
    </row>
    <row r="1787" spans="1:8" ht="13.8" thickBot="1">
      <c r="A1787" s="465" t="s">
        <v>6858</v>
      </c>
      <c r="B1787" s="465" t="s">
        <v>1966</v>
      </c>
      <c r="C1787" s="466">
        <v>5</v>
      </c>
      <c r="D1787" s="465"/>
      <c r="E1787" s="466" t="s">
        <v>1922</v>
      </c>
      <c r="F1787" s="466" t="s">
        <v>1220</v>
      </c>
      <c r="G1787" s="465"/>
      <c r="H1787" s="465">
        <v>3</v>
      </c>
    </row>
    <row r="1788" spans="1:8" ht="13.8" thickBot="1">
      <c r="A1788" s="465" t="s">
        <v>6859</v>
      </c>
      <c r="B1788" s="465" t="s">
        <v>1252</v>
      </c>
      <c r="C1788" s="466">
        <v>5</v>
      </c>
      <c r="D1788" s="465"/>
      <c r="E1788" s="466" t="s">
        <v>1922</v>
      </c>
      <c r="F1788" s="466"/>
      <c r="G1788" s="465"/>
      <c r="H1788" s="465">
        <v>1</v>
      </c>
    </row>
    <row r="1789" spans="1:8" ht="13.8" thickBot="1">
      <c r="A1789" s="465" t="s">
        <v>6860</v>
      </c>
      <c r="B1789" s="465" t="s">
        <v>1252</v>
      </c>
      <c r="C1789" s="466">
        <v>5</v>
      </c>
      <c r="D1789" s="465"/>
      <c r="E1789" s="466" t="s">
        <v>1922</v>
      </c>
      <c r="F1789" s="466"/>
      <c r="G1789" s="465"/>
      <c r="H1789" s="465">
        <v>3</v>
      </c>
    </row>
    <row r="1790" spans="1:8" ht="13.8" thickBot="1">
      <c r="A1790" s="465" t="s">
        <v>6861</v>
      </c>
      <c r="B1790" s="465" t="s">
        <v>1252</v>
      </c>
      <c r="C1790" s="466">
        <v>5</v>
      </c>
      <c r="D1790" s="465"/>
      <c r="E1790" s="466" t="s">
        <v>1922</v>
      </c>
      <c r="F1790" s="466"/>
      <c r="G1790" s="465"/>
      <c r="H1790" s="465">
        <v>11</v>
      </c>
    </row>
    <row r="1791" spans="1:8" ht="13.8" thickBot="1">
      <c r="A1791" s="465" t="s">
        <v>6862</v>
      </c>
      <c r="B1791" s="465" t="s">
        <v>1252</v>
      </c>
      <c r="C1791" s="466">
        <v>5</v>
      </c>
      <c r="D1791" s="465"/>
      <c r="E1791" s="466" t="s">
        <v>1922</v>
      </c>
      <c r="F1791" s="466"/>
      <c r="G1791" s="465"/>
      <c r="H1791" s="465">
        <v>5</v>
      </c>
    </row>
    <row r="1792" spans="1:8" ht="13.8" thickBot="1">
      <c r="A1792" s="465" t="s">
        <v>6863</v>
      </c>
      <c r="B1792" s="465" t="s">
        <v>1252</v>
      </c>
      <c r="C1792" s="466">
        <v>5</v>
      </c>
      <c r="D1792" s="465"/>
      <c r="E1792" s="466" t="s">
        <v>1922</v>
      </c>
      <c r="F1792" s="466"/>
      <c r="G1792" s="465"/>
      <c r="H1792" s="465">
        <v>2</v>
      </c>
    </row>
    <row r="1793" spans="1:8" ht="13.8" thickBot="1">
      <c r="A1793" s="465" t="s">
        <v>6864</v>
      </c>
      <c r="B1793" s="465" t="s">
        <v>1252</v>
      </c>
      <c r="C1793" s="466">
        <v>5</v>
      </c>
      <c r="D1793" s="465"/>
      <c r="E1793" s="466" t="s">
        <v>1922</v>
      </c>
      <c r="F1793" s="466"/>
      <c r="G1793" s="465"/>
      <c r="H1793" s="465">
        <v>1</v>
      </c>
    </row>
    <row r="1794" spans="1:8" ht="13.8" thickBot="1">
      <c r="A1794" s="465" t="s">
        <v>6865</v>
      </c>
      <c r="B1794" s="465" t="s">
        <v>1252</v>
      </c>
      <c r="C1794" s="466">
        <v>5</v>
      </c>
      <c r="D1794" s="465"/>
      <c r="E1794" s="466" t="s">
        <v>1922</v>
      </c>
      <c r="F1794" s="466"/>
      <c r="G1794" s="465"/>
      <c r="H1794" s="465">
        <v>1</v>
      </c>
    </row>
    <row r="1795" spans="1:8" ht="13.8" thickBot="1">
      <c r="A1795" s="465" t="s">
        <v>6866</v>
      </c>
      <c r="B1795" s="465" t="s">
        <v>1967</v>
      </c>
      <c r="C1795" s="466">
        <v>5</v>
      </c>
      <c r="D1795" s="465"/>
      <c r="E1795" s="466" t="s">
        <v>1922</v>
      </c>
      <c r="F1795" s="466"/>
      <c r="G1795" s="465"/>
      <c r="H1795" s="465">
        <v>4</v>
      </c>
    </row>
    <row r="1796" spans="1:8" ht="13.8" thickBot="1">
      <c r="A1796" s="465" t="s">
        <v>6867</v>
      </c>
      <c r="B1796" s="465" t="s">
        <v>1257</v>
      </c>
      <c r="C1796" s="466">
        <v>5</v>
      </c>
      <c r="D1796" s="465"/>
      <c r="E1796" s="466" t="s">
        <v>1922</v>
      </c>
      <c r="F1796" s="466"/>
      <c r="G1796" s="465"/>
      <c r="H1796" s="465">
        <v>4</v>
      </c>
    </row>
    <row r="1797" spans="1:8" ht="13.8" thickBot="1">
      <c r="A1797" s="467" t="s">
        <v>6868</v>
      </c>
      <c r="B1797" s="465" t="s">
        <v>1968</v>
      </c>
      <c r="C1797" s="466">
        <v>5</v>
      </c>
      <c r="D1797" s="465"/>
      <c r="E1797" s="466" t="s">
        <v>1922</v>
      </c>
      <c r="F1797" s="466"/>
      <c r="G1797" s="465"/>
      <c r="H1797" s="465">
        <v>3</v>
      </c>
    </row>
    <row r="1798" spans="1:8" ht="13.8" thickBot="1">
      <c r="A1798" s="465" t="s">
        <v>6869</v>
      </c>
      <c r="B1798" s="465" t="s">
        <v>1951</v>
      </c>
      <c r="C1798" s="466">
        <v>5</v>
      </c>
      <c r="D1798" s="465"/>
      <c r="E1798" s="466" t="s">
        <v>1922</v>
      </c>
      <c r="F1798" s="466"/>
      <c r="G1798" s="465"/>
      <c r="H1798" s="465">
        <v>2</v>
      </c>
    </row>
    <row r="1799" spans="1:8" ht="13.8" thickBot="1">
      <c r="A1799" s="465" t="s">
        <v>6870</v>
      </c>
      <c r="B1799" s="465" t="s">
        <v>1969</v>
      </c>
      <c r="C1799" s="466">
        <v>5</v>
      </c>
      <c r="D1799" s="465"/>
      <c r="E1799" s="466" t="s">
        <v>1922</v>
      </c>
      <c r="F1799" s="466"/>
      <c r="G1799" s="465"/>
      <c r="H1799" s="465">
        <v>5</v>
      </c>
    </row>
    <row r="1800" spans="1:8" ht="13.8" thickBot="1">
      <c r="A1800" s="467" t="s">
        <v>6871</v>
      </c>
      <c r="B1800" s="465" t="s">
        <v>1970</v>
      </c>
      <c r="C1800" s="466">
        <v>5</v>
      </c>
      <c r="D1800" s="465"/>
      <c r="E1800" s="466" t="s">
        <v>1922</v>
      </c>
      <c r="F1800" s="466"/>
      <c r="G1800" s="465"/>
      <c r="H1800" s="465">
        <v>5</v>
      </c>
    </row>
    <row r="1801" spans="1:8" ht="13.8" thickBot="1">
      <c r="A1801" s="465" t="s">
        <v>6872</v>
      </c>
      <c r="B1801" s="465" t="s">
        <v>1971</v>
      </c>
      <c r="C1801" s="466">
        <v>5</v>
      </c>
      <c r="D1801" s="465"/>
      <c r="E1801" s="466" t="s">
        <v>1922</v>
      </c>
      <c r="F1801" s="466"/>
      <c r="G1801" s="465"/>
      <c r="H1801" s="465">
        <v>5</v>
      </c>
    </row>
    <row r="1802" spans="1:8" ht="13.8" thickBot="1">
      <c r="A1802" s="467" t="s">
        <v>6873</v>
      </c>
      <c r="B1802" s="465" t="s">
        <v>1972</v>
      </c>
      <c r="C1802" s="466">
        <v>5</v>
      </c>
      <c r="D1802" s="465"/>
      <c r="E1802" s="466" t="s">
        <v>1922</v>
      </c>
      <c r="F1802" s="466"/>
      <c r="G1802" s="465"/>
      <c r="H1802" s="465">
        <v>4</v>
      </c>
    </row>
    <row r="1803" spans="1:8" ht="13.8" thickBot="1">
      <c r="A1803" s="465" t="s">
        <v>776</v>
      </c>
      <c r="B1803" s="465" t="s">
        <v>1373</v>
      </c>
      <c r="C1803" s="466">
        <v>5</v>
      </c>
      <c r="D1803" s="465"/>
      <c r="E1803" s="466" t="s">
        <v>2747</v>
      </c>
      <c r="F1803" s="466" t="s">
        <v>1224</v>
      </c>
      <c r="G1803" s="465"/>
      <c r="H1803" s="465">
        <v>15</v>
      </c>
    </row>
    <row r="1804" spans="1:8" ht="13.8" thickBot="1">
      <c r="A1804" s="467" t="s">
        <v>7061</v>
      </c>
      <c r="B1804" s="465" t="s">
        <v>2759</v>
      </c>
      <c r="C1804" s="466">
        <v>5</v>
      </c>
      <c r="D1804" s="465"/>
      <c r="E1804" s="466" t="s">
        <v>2754</v>
      </c>
      <c r="F1804" s="466"/>
      <c r="G1804" s="465"/>
      <c r="H1804" s="465">
        <v>1</v>
      </c>
    </row>
    <row r="1805" spans="1:8" ht="13.8" thickBot="1">
      <c r="A1805" s="467" t="s">
        <v>7062</v>
      </c>
      <c r="B1805" s="465" t="s">
        <v>2760</v>
      </c>
      <c r="C1805" s="466">
        <v>5</v>
      </c>
      <c r="D1805" s="465"/>
      <c r="E1805" s="466" t="s">
        <v>2754</v>
      </c>
      <c r="F1805" s="466"/>
      <c r="G1805" s="465"/>
      <c r="H1805" s="465">
        <v>1</v>
      </c>
    </row>
    <row r="1806" spans="1:8" ht="13.8" thickBot="1">
      <c r="A1806" s="467" t="s">
        <v>7063</v>
      </c>
      <c r="B1806" s="465" t="s">
        <v>2761</v>
      </c>
      <c r="C1806" s="466">
        <v>5</v>
      </c>
      <c r="D1806" s="465"/>
      <c r="E1806" s="466" t="s">
        <v>2754</v>
      </c>
      <c r="F1806" s="466"/>
      <c r="G1806" s="465"/>
      <c r="H1806" s="465">
        <v>1</v>
      </c>
    </row>
    <row r="1807" spans="1:8" ht="13.8" thickBot="1">
      <c r="A1807" s="465" t="s">
        <v>7064</v>
      </c>
      <c r="B1807" s="465" t="s">
        <v>2773</v>
      </c>
      <c r="C1807" s="466">
        <v>5</v>
      </c>
      <c r="D1807" s="465"/>
      <c r="E1807" s="466" t="s">
        <v>2764</v>
      </c>
      <c r="F1807" s="466" t="s">
        <v>1224</v>
      </c>
      <c r="G1807" s="465"/>
      <c r="H1807" s="465">
        <v>8</v>
      </c>
    </row>
    <row r="1808" spans="1:8" ht="13.8" thickBot="1">
      <c r="A1808" s="465" t="s">
        <v>7065</v>
      </c>
      <c r="B1808" s="465" t="s">
        <v>2774</v>
      </c>
      <c r="C1808" s="466">
        <v>5</v>
      </c>
      <c r="D1808" s="467" t="s">
        <v>614</v>
      </c>
      <c r="E1808" s="466" t="s">
        <v>2764</v>
      </c>
      <c r="F1808" s="466" t="s">
        <v>1220</v>
      </c>
      <c r="G1808" s="465"/>
      <c r="H1808" s="465">
        <v>3</v>
      </c>
    </row>
    <row r="1809" spans="1:8" ht="13.8" thickBot="1">
      <c r="A1809" s="467" t="s">
        <v>7066</v>
      </c>
      <c r="B1809" s="465" t="s">
        <v>2770</v>
      </c>
      <c r="C1809" s="466">
        <v>5</v>
      </c>
      <c r="D1809" s="465"/>
      <c r="E1809" s="466" t="s">
        <v>2764</v>
      </c>
      <c r="F1809" s="466"/>
      <c r="G1809" s="465"/>
      <c r="H1809" s="465">
        <v>1</v>
      </c>
    </row>
    <row r="1810" spans="1:8" ht="13.8" thickBot="1">
      <c r="A1810" s="465" t="s">
        <v>7067</v>
      </c>
      <c r="B1810" s="465" t="s">
        <v>2775</v>
      </c>
      <c r="C1810" s="466">
        <v>5</v>
      </c>
      <c r="D1810" s="465"/>
      <c r="E1810" s="466" t="s">
        <v>2764</v>
      </c>
      <c r="F1810" s="466"/>
      <c r="G1810" s="465"/>
      <c r="H1810" s="465">
        <v>2</v>
      </c>
    </row>
    <row r="1811" spans="1:8" ht="13.8" thickBot="1">
      <c r="A1811" s="465" t="s">
        <v>7068</v>
      </c>
      <c r="B1811" s="465" t="s">
        <v>2776</v>
      </c>
      <c r="C1811" s="466">
        <v>5</v>
      </c>
      <c r="D1811" s="465"/>
      <c r="E1811" s="466" t="s">
        <v>2764</v>
      </c>
      <c r="F1811" s="466"/>
      <c r="G1811" s="465">
        <v>1</v>
      </c>
      <c r="H1811" s="465">
        <v>2</v>
      </c>
    </row>
    <row r="1812" spans="1:8" ht="13.8" thickBot="1">
      <c r="A1812" s="465" t="s">
        <v>7069</v>
      </c>
      <c r="B1812" s="465" t="s">
        <v>1376</v>
      </c>
      <c r="C1812" s="466">
        <v>5</v>
      </c>
      <c r="D1812" s="465"/>
      <c r="E1812" s="466" t="s">
        <v>2779</v>
      </c>
      <c r="F1812" s="466" t="s">
        <v>2319</v>
      </c>
      <c r="G1812" s="465">
        <v>4</v>
      </c>
      <c r="H1812" s="465">
        <v>29</v>
      </c>
    </row>
    <row r="1813" spans="1:8" ht="13.8" thickBot="1">
      <c r="A1813" s="467" t="s">
        <v>7070</v>
      </c>
      <c r="B1813" s="465" t="s">
        <v>1375</v>
      </c>
      <c r="C1813" s="466">
        <v>5</v>
      </c>
      <c r="D1813" s="465"/>
      <c r="E1813" s="466" t="s">
        <v>2779</v>
      </c>
      <c r="F1813" s="466"/>
      <c r="G1813" s="465"/>
      <c r="H1813" s="465">
        <v>4</v>
      </c>
    </row>
    <row r="1814" spans="1:8" ht="13.8" thickBot="1">
      <c r="A1814" s="465" t="s">
        <v>7071</v>
      </c>
      <c r="B1814" s="465" t="s">
        <v>2795</v>
      </c>
      <c r="C1814" s="466">
        <v>5</v>
      </c>
      <c r="D1814" s="465"/>
      <c r="E1814" s="466" t="s">
        <v>2779</v>
      </c>
      <c r="F1814" s="466"/>
      <c r="G1814" s="465"/>
      <c r="H1814" s="465">
        <v>1</v>
      </c>
    </row>
    <row r="1815" spans="1:8" ht="13.8" thickBot="1">
      <c r="A1815" s="467" t="s">
        <v>7072</v>
      </c>
      <c r="B1815" s="465" t="s">
        <v>1331</v>
      </c>
      <c r="C1815" s="466">
        <v>5</v>
      </c>
      <c r="D1815" s="465"/>
      <c r="E1815" s="466" t="s">
        <v>2797</v>
      </c>
      <c r="F1815" s="466" t="s">
        <v>1226</v>
      </c>
      <c r="G1815" s="465"/>
      <c r="H1815" s="465"/>
    </row>
    <row r="1816" spans="1:8" ht="13.8" thickBot="1">
      <c r="A1816" s="465" t="s">
        <v>7073</v>
      </c>
      <c r="B1816" s="465" t="s">
        <v>2826</v>
      </c>
      <c r="C1816" s="466">
        <v>5</v>
      </c>
      <c r="D1816" s="467" t="s">
        <v>614</v>
      </c>
      <c r="E1816" s="466" t="s">
        <v>2797</v>
      </c>
      <c r="F1816" s="466" t="s">
        <v>2067</v>
      </c>
      <c r="G1816" s="465"/>
      <c r="H1816" s="465">
        <v>9</v>
      </c>
    </row>
    <row r="1817" spans="1:8" ht="13.8" thickBot="1">
      <c r="A1817" s="465" t="s">
        <v>7074</v>
      </c>
      <c r="B1817" s="465" t="s">
        <v>1332</v>
      </c>
      <c r="C1817" s="466">
        <v>5</v>
      </c>
      <c r="D1817" s="467" t="s">
        <v>614</v>
      </c>
      <c r="E1817" s="466" t="s">
        <v>2797</v>
      </c>
      <c r="F1817" s="466" t="s">
        <v>1224</v>
      </c>
      <c r="G1817" s="465"/>
      <c r="H1817" s="465">
        <v>7</v>
      </c>
    </row>
    <row r="1818" spans="1:8" ht="13.8" thickBot="1">
      <c r="A1818" s="467" t="s">
        <v>7075</v>
      </c>
      <c r="B1818" s="465" t="s">
        <v>1331</v>
      </c>
      <c r="C1818" s="466">
        <v>5</v>
      </c>
      <c r="D1818" s="465"/>
      <c r="E1818" s="466" t="s">
        <v>2797</v>
      </c>
      <c r="F1818" s="466"/>
      <c r="G1818" s="465"/>
      <c r="H1818" s="465">
        <v>3</v>
      </c>
    </row>
    <row r="1819" spans="1:8" ht="13.8" thickBot="1">
      <c r="A1819" s="467" t="s">
        <v>7076</v>
      </c>
      <c r="B1819" s="465" t="s">
        <v>1331</v>
      </c>
      <c r="C1819" s="466">
        <v>5</v>
      </c>
      <c r="D1819" s="465"/>
      <c r="E1819" s="466" t="s">
        <v>2797</v>
      </c>
      <c r="F1819" s="466"/>
      <c r="G1819" s="465"/>
      <c r="H1819" s="465">
        <v>1</v>
      </c>
    </row>
    <row r="1820" spans="1:8" ht="13.8" thickBot="1">
      <c r="A1820" s="467" t="s">
        <v>7077</v>
      </c>
      <c r="B1820" s="465" t="s">
        <v>1331</v>
      </c>
      <c r="C1820" s="466">
        <v>5</v>
      </c>
      <c r="D1820" s="465"/>
      <c r="E1820" s="466" t="s">
        <v>2797</v>
      </c>
      <c r="F1820" s="466"/>
      <c r="G1820" s="465"/>
      <c r="H1820" s="465">
        <v>1</v>
      </c>
    </row>
    <row r="1821" spans="1:8" ht="13.8" thickBot="1">
      <c r="A1821" s="467" t="s">
        <v>7078</v>
      </c>
      <c r="B1821" s="465" t="s">
        <v>1331</v>
      </c>
      <c r="C1821" s="466">
        <v>5</v>
      </c>
      <c r="D1821" s="465"/>
      <c r="E1821" s="466" t="s">
        <v>2797</v>
      </c>
      <c r="F1821" s="466"/>
      <c r="G1821" s="465"/>
      <c r="H1821" s="465">
        <v>1</v>
      </c>
    </row>
    <row r="1822" spans="1:8" ht="13.8" thickBot="1">
      <c r="A1822" s="465" t="s">
        <v>7079</v>
      </c>
      <c r="B1822" s="465" t="s">
        <v>1331</v>
      </c>
      <c r="C1822" s="466">
        <v>5</v>
      </c>
      <c r="D1822" s="465"/>
      <c r="E1822" s="466" t="s">
        <v>2797</v>
      </c>
      <c r="F1822" s="466"/>
      <c r="G1822" s="465"/>
      <c r="H1822" s="465">
        <v>2</v>
      </c>
    </row>
    <row r="1823" spans="1:8" ht="13.8" thickBot="1">
      <c r="A1823" s="467" t="s">
        <v>7080</v>
      </c>
      <c r="B1823" s="465" t="s">
        <v>1331</v>
      </c>
      <c r="C1823" s="466">
        <v>5</v>
      </c>
      <c r="D1823" s="465"/>
      <c r="E1823" s="466" t="s">
        <v>2797</v>
      </c>
      <c r="F1823" s="466"/>
      <c r="G1823" s="465"/>
      <c r="H1823" s="465">
        <v>1</v>
      </c>
    </row>
    <row r="1824" spans="1:8" ht="13.8" thickBot="1">
      <c r="A1824" s="465" t="s">
        <v>7081</v>
      </c>
      <c r="B1824" s="465" t="s">
        <v>1331</v>
      </c>
      <c r="C1824" s="466">
        <v>5</v>
      </c>
      <c r="D1824" s="465"/>
      <c r="E1824" s="466" t="s">
        <v>2797</v>
      </c>
      <c r="F1824" s="466"/>
      <c r="G1824" s="465">
        <v>1</v>
      </c>
      <c r="H1824" s="465">
        <v>3</v>
      </c>
    </row>
    <row r="1825" spans="1:8" ht="13.8" thickBot="1">
      <c r="A1825" s="465" t="s">
        <v>991</v>
      </c>
      <c r="B1825" s="465" t="s">
        <v>1331</v>
      </c>
      <c r="C1825" s="466">
        <v>5</v>
      </c>
      <c r="D1825" s="465"/>
      <c r="E1825" s="466" t="s">
        <v>2797</v>
      </c>
      <c r="F1825" s="466"/>
      <c r="G1825" s="465"/>
      <c r="H1825" s="465">
        <v>1</v>
      </c>
    </row>
    <row r="1826" spans="1:8" ht="13.8" thickBot="1">
      <c r="A1826" s="465" t="s">
        <v>993</v>
      </c>
      <c r="B1826" s="465" t="s">
        <v>1331</v>
      </c>
      <c r="C1826" s="466">
        <v>5</v>
      </c>
      <c r="D1826" s="465"/>
      <c r="E1826" s="466" t="s">
        <v>2797</v>
      </c>
      <c r="F1826" s="466"/>
      <c r="G1826" s="465"/>
      <c r="H1826" s="465">
        <v>1</v>
      </c>
    </row>
    <row r="1827" spans="1:8" ht="13.8" thickBot="1">
      <c r="A1827" s="467" t="s">
        <v>7082</v>
      </c>
      <c r="B1827" s="465" t="s">
        <v>2827</v>
      </c>
      <c r="C1827" s="466">
        <v>5</v>
      </c>
      <c r="D1827" s="465"/>
      <c r="E1827" s="466" t="s">
        <v>2797</v>
      </c>
      <c r="F1827" s="466"/>
      <c r="G1827" s="465"/>
      <c r="H1827" s="465">
        <v>2</v>
      </c>
    </row>
    <row r="1828" spans="1:8" ht="13.8" thickBot="1">
      <c r="A1828" s="465" t="s">
        <v>7083</v>
      </c>
      <c r="B1828" s="465" t="s">
        <v>2824</v>
      </c>
      <c r="C1828" s="466">
        <v>5</v>
      </c>
      <c r="D1828" s="465"/>
      <c r="E1828" s="466" t="s">
        <v>2797</v>
      </c>
      <c r="F1828" s="466"/>
      <c r="G1828" s="465">
        <v>1</v>
      </c>
      <c r="H1828" s="465">
        <v>3</v>
      </c>
    </row>
    <row r="1829" spans="1:8" ht="13.8" thickBot="1">
      <c r="A1829" s="465" t="s">
        <v>7084</v>
      </c>
      <c r="B1829" s="465" t="s">
        <v>2828</v>
      </c>
      <c r="C1829" s="466">
        <v>5</v>
      </c>
      <c r="D1829" s="467" t="s">
        <v>614</v>
      </c>
      <c r="E1829" s="466" t="s">
        <v>2797</v>
      </c>
      <c r="F1829" s="466"/>
      <c r="G1829" s="465"/>
      <c r="H1829" s="465">
        <v>5</v>
      </c>
    </row>
    <row r="1830" spans="1:8" ht="13.8" thickBot="1">
      <c r="A1830" s="465" t="s">
        <v>7085</v>
      </c>
      <c r="B1830" s="465" t="s">
        <v>1340</v>
      </c>
      <c r="C1830" s="466">
        <v>5</v>
      </c>
      <c r="D1830" s="465"/>
      <c r="E1830" s="466" t="s">
        <v>2841</v>
      </c>
      <c r="F1830" s="466" t="s">
        <v>1865</v>
      </c>
      <c r="G1830" s="465"/>
      <c r="H1830" s="465">
        <v>8</v>
      </c>
    </row>
    <row r="1831" spans="1:8" ht="13.8" thickBot="1">
      <c r="A1831" s="465" t="s">
        <v>992</v>
      </c>
      <c r="B1831" s="465" t="s">
        <v>2875</v>
      </c>
      <c r="C1831" s="466">
        <v>5</v>
      </c>
      <c r="D1831" s="467" t="s">
        <v>614</v>
      </c>
      <c r="E1831" s="466" t="s">
        <v>2841</v>
      </c>
      <c r="F1831" s="466" t="s">
        <v>1226</v>
      </c>
      <c r="G1831" s="465"/>
      <c r="H1831" s="465">
        <v>1</v>
      </c>
    </row>
    <row r="1832" spans="1:8" ht="13.8" thickBot="1">
      <c r="A1832" s="467" t="s">
        <v>7086</v>
      </c>
      <c r="B1832" s="465" t="s">
        <v>1340</v>
      </c>
      <c r="C1832" s="466">
        <v>5</v>
      </c>
      <c r="D1832" s="465"/>
      <c r="E1832" s="466" t="s">
        <v>2841</v>
      </c>
      <c r="F1832" s="466"/>
      <c r="G1832" s="465"/>
      <c r="H1832" s="465">
        <v>3</v>
      </c>
    </row>
    <row r="1833" spans="1:8" ht="13.8" thickBot="1">
      <c r="A1833" s="467" t="s">
        <v>7087</v>
      </c>
      <c r="B1833" s="465" t="s">
        <v>1340</v>
      </c>
      <c r="C1833" s="466">
        <v>5</v>
      </c>
      <c r="D1833" s="465"/>
      <c r="E1833" s="466" t="s">
        <v>2841</v>
      </c>
      <c r="F1833" s="466"/>
      <c r="G1833" s="465"/>
      <c r="H1833" s="465">
        <v>1</v>
      </c>
    </row>
    <row r="1834" spans="1:8" ht="13.8" thickBot="1">
      <c r="A1834" s="467" t="s">
        <v>7088</v>
      </c>
      <c r="B1834" s="465" t="s">
        <v>1340</v>
      </c>
      <c r="C1834" s="466">
        <v>5</v>
      </c>
      <c r="D1834" s="465"/>
      <c r="E1834" s="466" t="s">
        <v>2841</v>
      </c>
      <c r="F1834" s="466"/>
      <c r="G1834" s="465"/>
      <c r="H1834" s="465">
        <v>4</v>
      </c>
    </row>
    <row r="1835" spans="1:8" ht="13.8" thickBot="1">
      <c r="A1835" s="465" t="s">
        <v>7089</v>
      </c>
      <c r="B1835" s="465" t="s">
        <v>1340</v>
      </c>
      <c r="C1835" s="466">
        <v>5</v>
      </c>
      <c r="D1835" s="465"/>
      <c r="E1835" s="466" t="s">
        <v>2841</v>
      </c>
      <c r="F1835" s="466"/>
      <c r="G1835" s="465"/>
      <c r="H1835" s="465">
        <v>5</v>
      </c>
    </row>
    <row r="1836" spans="1:8" ht="13.8" thickBot="1">
      <c r="A1836" s="467" t="s">
        <v>7090</v>
      </c>
      <c r="B1836" s="465" t="s">
        <v>1340</v>
      </c>
      <c r="C1836" s="466">
        <v>5</v>
      </c>
      <c r="D1836" s="465"/>
      <c r="E1836" s="466" t="s">
        <v>2841</v>
      </c>
      <c r="F1836" s="466"/>
      <c r="G1836" s="465">
        <v>1</v>
      </c>
      <c r="H1836" s="465">
        <v>6</v>
      </c>
    </row>
    <row r="1837" spans="1:8" ht="13.8" thickBot="1">
      <c r="A1837" s="465" t="s">
        <v>7091</v>
      </c>
      <c r="B1837" s="465" t="s">
        <v>2876</v>
      </c>
      <c r="C1837" s="466">
        <v>5</v>
      </c>
      <c r="D1837" s="465"/>
      <c r="E1837" s="466" t="s">
        <v>2841</v>
      </c>
      <c r="F1837" s="466"/>
      <c r="G1837" s="465"/>
      <c r="H1837" s="465">
        <v>1</v>
      </c>
    </row>
    <row r="1838" spans="1:8" ht="13.8" thickBot="1">
      <c r="A1838" s="465" t="s">
        <v>7092</v>
      </c>
      <c r="B1838" s="465" t="s">
        <v>2840</v>
      </c>
      <c r="C1838" s="466">
        <v>5</v>
      </c>
      <c r="D1838" s="465"/>
      <c r="E1838" s="466" t="s">
        <v>2841</v>
      </c>
      <c r="F1838" s="466"/>
      <c r="G1838" s="465"/>
      <c r="H1838" s="465">
        <v>3</v>
      </c>
    </row>
    <row r="1839" spans="1:8" ht="13.8" thickBot="1">
      <c r="A1839" s="467" t="s">
        <v>7093</v>
      </c>
      <c r="B1839" s="465" t="s">
        <v>2862</v>
      </c>
      <c r="C1839" s="466">
        <v>5</v>
      </c>
      <c r="D1839" s="465"/>
      <c r="E1839" s="466" t="s">
        <v>2841</v>
      </c>
      <c r="F1839" s="466"/>
      <c r="G1839" s="465"/>
      <c r="H1839" s="465">
        <v>1</v>
      </c>
    </row>
    <row r="1840" spans="1:8" ht="13.8" thickBot="1">
      <c r="A1840" s="467" t="s">
        <v>7094</v>
      </c>
      <c r="B1840" s="465" t="s">
        <v>1349</v>
      </c>
      <c r="C1840" s="466">
        <v>5</v>
      </c>
      <c r="D1840" s="465"/>
      <c r="E1840" s="466" t="s">
        <v>2884</v>
      </c>
      <c r="F1840" s="466" t="s">
        <v>1220</v>
      </c>
      <c r="G1840" s="465">
        <v>1</v>
      </c>
      <c r="H1840" s="465">
        <v>3</v>
      </c>
    </row>
    <row r="1841" spans="1:8" ht="13.8" thickBot="1">
      <c r="A1841" s="467" t="s">
        <v>7095</v>
      </c>
      <c r="B1841" s="465" t="s">
        <v>1349</v>
      </c>
      <c r="C1841" s="466">
        <v>5</v>
      </c>
      <c r="D1841" s="465"/>
      <c r="E1841" s="466" t="s">
        <v>2884</v>
      </c>
      <c r="F1841" s="466"/>
      <c r="G1841" s="465"/>
      <c r="H1841" s="465">
        <v>2</v>
      </c>
    </row>
    <row r="1842" spans="1:8" ht="13.8" thickBot="1">
      <c r="A1842" s="465" t="s">
        <v>7096</v>
      </c>
      <c r="B1842" s="465" t="s">
        <v>1349</v>
      </c>
      <c r="C1842" s="466">
        <v>5</v>
      </c>
      <c r="D1842" s="465"/>
      <c r="E1842" s="466" t="s">
        <v>2884</v>
      </c>
      <c r="F1842" s="466"/>
      <c r="G1842" s="465"/>
      <c r="H1842" s="465">
        <v>2</v>
      </c>
    </row>
    <row r="1843" spans="1:8" ht="13.8" thickBot="1">
      <c r="A1843" s="467" t="s">
        <v>7097</v>
      </c>
      <c r="B1843" s="465" t="s">
        <v>1349</v>
      </c>
      <c r="C1843" s="466">
        <v>5</v>
      </c>
      <c r="D1843" s="465"/>
      <c r="E1843" s="466" t="s">
        <v>2884</v>
      </c>
      <c r="F1843" s="466"/>
      <c r="G1843" s="465"/>
      <c r="H1843" s="465">
        <v>3</v>
      </c>
    </row>
    <row r="1844" spans="1:8" ht="13.8" thickBot="1">
      <c r="A1844" s="467" t="s">
        <v>7098</v>
      </c>
      <c r="B1844" s="465" t="s">
        <v>2891</v>
      </c>
      <c r="C1844" s="466">
        <v>5</v>
      </c>
      <c r="D1844" s="465"/>
      <c r="E1844" s="466" t="s">
        <v>2884</v>
      </c>
      <c r="F1844" s="466"/>
      <c r="G1844" s="465"/>
      <c r="H1844" s="465">
        <v>5</v>
      </c>
    </row>
    <row r="1845" spans="1:8" ht="13.8" thickBot="1">
      <c r="A1845" s="465" t="s">
        <v>7099</v>
      </c>
      <c r="B1845" s="465" t="s">
        <v>2892</v>
      </c>
      <c r="C1845" s="466">
        <v>5</v>
      </c>
      <c r="D1845" s="465"/>
      <c r="E1845" s="466" t="s">
        <v>2884</v>
      </c>
      <c r="F1845" s="466"/>
      <c r="G1845" s="465"/>
      <c r="H1845" s="465">
        <v>4</v>
      </c>
    </row>
    <row r="1846" spans="1:8" ht="13.8" thickBot="1">
      <c r="A1846" s="465" t="s">
        <v>7100</v>
      </c>
      <c r="B1846" s="465" t="s">
        <v>2915</v>
      </c>
      <c r="C1846" s="466">
        <v>5</v>
      </c>
      <c r="D1846" s="467" t="s">
        <v>614</v>
      </c>
      <c r="E1846" s="466" t="s">
        <v>2899</v>
      </c>
      <c r="F1846" s="466" t="s">
        <v>1865</v>
      </c>
      <c r="G1846" s="465"/>
      <c r="H1846" s="465">
        <v>5</v>
      </c>
    </row>
    <row r="1847" spans="1:8" ht="13.8" thickBot="1">
      <c r="A1847" s="465" t="s">
        <v>7101</v>
      </c>
      <c r="B1847" s="465" t="s">
        <v>2903</v>
      </c>
      <c r="C1847" s="466">
        <v>5</v>
      </c>
      <c r="D1847" s="465"/>
      <c r="E1847" s="466" t="s">
        <v>2899</v>
      </c>
      <c r="F1847" s="466" t="s">
        <v>1865</v>
      </c>
      <c r="G1847" s="465">
        <v>1</v>
      </c>
      <c r="H1847" s="465">
        <v>6</v>
      </c>
    </row>
    <row r="1848" spans="1:8" ht="13.8" thickBot="1">
      <c r="A1848" s="465" t="s">
        <v>7102</v>
      </c>
      <c r="B1848" s="465" t="s">
        <v>1356</v>
      </c>
      <c r="C1848" s="466">
        <v>5</v>
      </c>
      <c r="D1848" s="465"/>
      <c r="E1848" s="466" t="s">
        <v>2899</v>
      </c>
      <c r="F1848" s="466" t="s">
        <v>1226</v>
      </c>
      <c r="G1848" s="465"/>
      <c r="H1848" s="465"/>
    </row>
    <row r="1849" spans="1:8" ht="13.8" thickBot="1">
      <c r="A1849" s="467" t="s">
        <v>7103</v>
      </c>
      <c r="B1849" s="465" t="s">
        <v>1360</v>
      </c>
      <c r="C1849" s="466">
        <v>5</v>
      </c>
      <c r="D1849" s="467" t="s">
        <v>614</v>
      </c>
      <c r="E1849" s="466" t="s">
        <v>2899</v>
      </c>
      <c r="F1849" s="466" t="s">
        <v>1226</v>
      </c>
      <c r="G1849" s="465"/>
      <c r="H1849" s="465">
        <v>12</v>
      </c>
    </row>
    <row r="1850" spans="1:8" ht="13.8" thickBot="1">
      <c r="A1850" s="465" t="s">
        <v>7104</v>
      </c>
      <c r="B1850" s="465" t="s">
        <v>1361</v>
      </c>
      <c r="C1850" s="466">
        <v>5</v>
      </c>
      <c r="D1850" s="467" t="s">
        <v>614</v>
      </c>
      <c r="E1850" s="466" t="s">
        <v>2899</v>
      </c>
      <c r="F1850" s="466" t="s">
        <v>1224</v>
      </c>
      <c r="G1850" s="465">
        <v>1</v>
      </c>
      <c r="H1850" s="465">
        <v>5</v>
      </c>
    </row>
    <row r="1851" spans="1:8" ht="13.8" thickBot="1">
      <c r="A1851" s="467" t="s">
        <v>7105</v>
      </c>
      <c r="B1851" s="465" t="s">
        <v>2916</v>
      </c>
      <c r="C1851" s="466">
        <v>5</v>
      </c>
      <c r="D1851" s="467" t="s">
        <v>614</v>
      </c>
      <c r="E1851" s="466" t="s">
        <v>2899</v>
      </c>
      <c r="F1851" s="466" t="s">
        <v>1224</v>
      </c>
      <c r="G1851" s="465">
        <v>1</v>
      </c>
      <c r="H1851" s="465">
        <v>5</v>
      </c>
    </row>
    <row r="1852" spans="1:8" ht="13.8" thickBot="1">
      <c r="A1852" s="465" t="s">
        <v>7106</v>
      </c>
      <c r="B1852" s="465" t="s">
        <v>2917</v>
      </c>
      <c r="C1852" s="466">
        <v>5</v>
      </c>
      <c r="D1852" s="467" t="s">
        <v>614</v>
      </c>
      <c r="E1852" s="466" t="s">
        <v>2899</v>
      </c>
      <c r="F1852" s="466" t="s">
        <v>1224</v>
      </c>
      <c r="G1852" s="465">
        <v>2</v>
      </c>
      <c r="H1852" s="465">
        <v>10</v>
      </c>
    </row>
    <row r="1853" spans="1:8" ht="13.8" thickBot="1">
      <c r="A1853" s="467" t="s">
        <v>7107</v>
      </c>
      <c r="B1853" s="465" t="s">
        <v>2918</v>
      </c>
      <c r="C1853" s="466">
        <v>5</v>
      </c>
      <c r="D1853" s="467" t="s">
        <v>614</v>
      </c>
      <c r="E1853" s="466" t="s">
        <v>2899</v>
      </c>
      <c r="F1853" s="466" t="s">
        <v>1220</v>
      </c>
      <c r="G1853" s="465">
        <v>1</v>
      </c>
      <c r="H1853" s="465">
        <v>9</v>
      </c>
    </row>
    <row r="1854" spans="1:8" ht="13.8" thickBot="1">
      <c r="A1854" s="467" t="s">
        <v>7108</v>
      </c>
      <c r="B1854" s="465" t="s">
        <v>1356</v>
      </c>
      <c r="C1854" s="466">
        <v>5</v>
      </c>
      <c r="D1854" s="465"/>
      <c r="E1854" s="466" t="s">
        <v>2899</v>
      </c>
      <c r="F1854" s="466"/>
      <c r="G1854" s="465"/>
      <c r="H1854" s="465">
        <v>2</v>
      </c>
    </row>
    <row r="1855" spans="1:8" ht="13.8" thickBot="1">
      <c r="A1855" s="465" t="s">
        <v>7109</v>
      </c>
      <c r="B1855" s="465" t="s">
        <v>1356</v>
      </c>
      <c r="C1855" s="466">
        <v>5</v>
      </c>
      <c r="D1855" s="465"/>
      <c r="E1855" s="466" t="s">
        <v>2899</v>
      </c>
      <c r="F1855" s="466"/>
      <c r="G1855" s="465"/>
      <c r="H1855" s="465">
        <v>1</v>
      </c>
    </row>
    <row r="1856" spans="1:8" ht="13.8" thickBot="1">
      <c r="A1856" s="465" t="s">
        <v>6874</v>
      </c>
      <c r="B1856" s="465" t="s">
        <v>2014</v>
      </c>
      <c r="C1856" s="466">
        <v>5</v>
      </c>
      <c r="D1856" s="467" t="s">
        <v>614</v>
      </c>
      <c r="E1856" s="466" t="s">
        <v>1997</v>
      </c>
      <c r="F1856" s="466" t="s">
        <v>2015</v>
      </c>
      <c r="G1856" s="465"/>
      <c r="H1856" s="465">
        <v>4</v>
      </c>
    </row>
    <row r="1857" spans="1:8" ht="13.8" thickBot="1">
      <c r="A1857" s="465" t="s">
        <v>6875</v>
      </c>
      <c r="B1857" s="465" t="s">
        <v>1752</v>
      </c>
      <c r="C1857" s="466">
        <v>5</v>
      </c>
      <c r="D1857" s="465"/>
      <c r="E1857" s="466" t="s">
        <v>1997</v>
      </c>
      <c r="F1857" s="466"/>
      <c r="G1857" s="465"/>
      <c r="H1857" s="465"/>
    </row>
    <row r="1858" spans="1:8" ht="13.8" thickBot="1">
      <c r="A1858" s="465" t="s">
        <v>6876</v>
      </c>
      <c r="B1858" s="465" t="s">
        <v>1752</v>
      </c>
      <c r="C1858" s="466">
        <v>5</v>
      </c>
      <c r="D1858" s="465"/>
      <c r="E1858" s="466" t="s">
        <v>1997</v>
      </c>
      <c r="F1858" s="466"/>
      <c r="G1858" s="465">
        <v>1</v>
      </c>
      <c r="H1858" s="465">
        <v>1</v>
      </c>
    </row>
    <row r="1859" spans="1:8" ht="13.8" thickBot="1">
      <c r="A1859" s="465" t="s">
        <v>6877</v>
      </c>
      <c r="B1859" s="465" t="s">
        <v>2016</v>
      </c>
      <c r="C1859" s="466">
        <v>5</v>
      </c>
      <c r="D1859" s="465"/>
      <c r="E1859" s="466" t="s">
        <v>1997</v>
      </c>
      <c r="F1859" s="466"/>
      <c r="G1859" s="465">
        <v>2</v>
      </c>
      <c r="H1859" s="465">
        <v>4</v>
      </c>
    </row>
    <row r="1860" spans="1:8" ht="13.8" thickBot="1">
      <c r="A1860" s="467" t="s">
        <v>6878</v>
      </c>
      <c r="B1860" s="465" t="s">
        <v>2017</v>
      </c>
      <c r="C1860" s="466">
        <v>5</v>
      </c>
      <c r="D1860" s="465"/>
      <c r="E1860" s="466" t="s">
        <v>1997</v>
      </c>
      <c r="F1860" s="466"/>
      <c r="G1860" s="465"/>
      <c r="H1860" s="465">
        <v>1</v>
      </c>
    </row>
    <row r="1861" spans="1:8" ht="13.8" thickBot="1">
      <c r="A1861" s="467" t="s">
        <v>7110</v>
      </c>
      <c r="B1861" s="465" t="s">
        <v>2935</v>
      </c>
      <c r="C1861" s="466">
        <v>5</v>
      </c>
      <c r="D1861" s="467" t="s">
        <v>614</v>
      </c>
      <c r="E1861" s="466" t="s">
        <v>2922</v>
      </c>
      <c r="F1861" s="466" t="s">
        <v>1910</v>
      </c>
      <c r="G1861" s="465"/>
      <c r="H1861" s="465">
        <v>4</v>
      </c>
    </row>
    <row r="1862" spans="1:8" ht="13.8" thickBot="1">
      <c r="A1862" s="467" t="s">
        <v>7111</v>
      </c>
      <c r="B1862" s="465" t="s">
        <v>2936</v>
      </c>
      <c r="C1862" s="466">
        <v>5</v>
      </c>
      <c r="D1862" s="467" t="s">
        <v>614</v>
      </c>
      <c r="E1862" s="466" t="s">
        <v>2922</v>
      </c>
      <c r="F1862" s="466" t="s">
        <v>2067</v>
      </c>
      <c r="G1862" s="465"/>
      <c r="H1862" s="465">
        <v>9</v>
      </c>
    </row>
    <row r="1863" spans="1:8" ht="13.8" thickBot="1">
      <c r="A1863" s="467" t="s">
        <v>7112</v>
      </c>
      <c r="B1863" s="465" t="s">
        <v>2937</v>
      </c>
      <c r="C1863" s="466">
        <v>5</v>
      </c>
      <c r="D1863" s="465"/>
      <c r="E1863" s="466" t="s">
        <v>2922</v>
      </c>
      <c r="F1863" s="466" t="s">
        <v>1224</v>
      </c>
      <c r="G1863" s="465"/>
      <c r="H1863" s="465">
        <v>4</v>
      </c>
    </row>
    <row r="1864" spans="1:8" ht="13.8" thickBot="1">
      <c r="A1864" s="467" t="s">
        <v>7113</v>
      </c>
      <c r="B1864" s="465" t="s">
        <v>2938</v>
      </c>
      <c r="C1864" s="466">
        <v>5</v>
      </c>
      <c r="D1864" s="467" t="s">
        <v>614</v>
      </c>
      <c r="E1864" s="466" t="s">
        <v>2922</v>
      </c>
      <c r="F1864" s="466" t="s">
        <v>1224</v>
      </c>
      <c r="G1864" s="465"/>
      <c r="H1864" s="465">
        <v>3</v>
      </c>
    </row>
    <row r="1865" spans="1:8" ht="13.8" thickBot="1">
      <c r="A1865" s="467" t="s">
        <v>7114</v>
      </c>
      <c r="B1865" s="465" t="s">
        <v>2921</v>
      </c>
      <c r="C1865" s="466">
        <v>5</v>
      </c>
      <c r="D1865" s="465"/>
      <c r="E1865" s="466" t="s">
        <v>2922</v>
      </c>
      <c r="F1865" s="466"/>
      <c r="G1865" s="465"/>
      <c r="H1865" s="465">
        <v>1</v>
      </c>
    </row>
    <row r="1866" spans="1:8" ht="13.8" thickBot="1">
      <c r="A1866" s="467" t="s">
        <v>7115</v>
      </c>
      <c r="B1866" s="465" t="s">
        <v>2921</v>
      </c>
      <c r="C1866" s="466">
        <v>5</v>
      </c>
      <c r="D1866" s="467" t="s">
        <v>614</v>
      </c>
      <c r="E1866" s="466" t="s">
        <v>2922</v>
      </c>
      <c r="F1866" s="466"/>
      <c r="G1866" s="465"/>
      <c r="H1866" s="465">
        <v>4</v>
      </c>
    </row>
    <row r="1867" spans="1:8" ht="13.8" thickBot="1">
      <c r="A1867" s="467" t="s">
        <v>7116</v>
      </c>
      <c r="B1867" s="465" t="s">
        <v>2939</v>
      </c>
      <c r="C1867" s="466">
        <v>5</v>
      </c>
      <c r="D1867" s="467" t="s">
        <v>614</v>
      </c>
      <c r="E1867" s="466" t="s">
        <v>2922</v>
      </c>
      <c r="F1867" s="466"/>
      <c r="G1867" s="465"/>
      <c r="H1867" s="465">
        <v>2</v>
      </c>
    </row>
    <row r="1868" spans="1:8" ht="13.8" thickBot="1">
      <c r="A1868" s="465" t="s">
        <v>7117</v>
      </c>
      <c r="B1868" s="465" t="s">
        <v>2940</v>
      </c>
      <c r="C1868" s="466">
        <v>5</v>
      </c>
      <c r="D1868" s="465"/>
      <c r="E1868" s="466" t="s">
        <v>2922</v>
      </c>
      <c r="F1868" s="466"/>
      <c r="G1868" s="465"/>
      <c r="H1868" s="465">
        <v>7</v>
      </c>
    </row>
    <row r="1869" spans="1:8" ht="13.8" thickBot="1">
      <c r="A1869" s="465" t="s">
        <v>7118</v>
      </c>
      <c r="B1869" s="465" t="s">
        <v>2952</v>
      </c>
      <c r="C1869" s="466">
        <v>5</v>
      </c>
      <c r="D1869" s="467" t="s">
        <v>614</v>
      </c>
      <c r="E1869" s="466" t="s">
        <v>2943</v>
      </c>
      <c r="F1869" s="466" t="s">
        <v>1226</v>
      </c>
      <c r="G1869" s="465"/>
      <c r="H1869" s="465">
        <v>8</v>
      </c>
    </row>
    <row r="1870" spans="1:8" ht="13.8" thickBot="1">
      <c r="A1870" s="467" t="s">
        <v>7119</v>
      </c>
      <c r="B1870" s="465" t="s">
        <v>1366</v>
      </c>
      <c r="C1870" s="466">
        <v>5</v>
      </c>
      <c r="D1870" s="465"/>
      <c r="E1870" s="466" t="s">
        <v>2943</v>
      </c>
      <c r="F1870" s="466" t="s">
        <v>1224</v>
      </c>
      <c r="G1870" s="465">
        <v>1</v>
      </c>
      <c r="H1870" s="465">
        <v>8</v>
      </c>
    </row>
    <row r="1871" spans="1:8" ht="13.8" thickBot="1">
      <c r="A1871" s="465" t="s">
        <v>7120</v>
      </c>
      <c r="B1871" s="465" t="s">
        <v>1365</v>
      </c>
      <c r="C1871" s="466">
        <v>5</v>
      </c>
      <c r="D1871" s="467" t="s">
        <v>614</v>
      </c>
      <c r="E1871" s="466" t="s">
        <v>2943</v>
      </c>
      <c r="F1871" s="466"/>
      <c r="G1871" s="465"/>
      <c r="H1871" s="465">
        <v>1</v>
      </c>
    </row>
    <row r="1872" spans="1:8" ht="13.8" thickBot="1">
      <c r="A1872" s="465" t="s">
        <v>7121</v>
      </c>
      <c r="B1872" s="465" t="s">
        <v>2953</v>
      </c>
      <c r="C1872" s="466">
        <v>5</v>
      </c>
      <c r="D1872" s="465"/>
      <c r="E1872" s="466" t="s">
        <v>2943</v>
      </c>
      <c r="F1872" s="466"/>
      <c r="G1872" s="465"/>
      <c r="H1872" s="465">
        <v>1</v>
      </c>
    </row>
    <row r="1873" spans="1:8" ht="13.8" thickBot="1">
      <c r="A1873" s="465" t="s">
        <v>7122</v>
      </c>
      <c r="B1873" s="465" t="s">
        <v>2954</v>
      </c>
      <c r="C1873" s="466">
        <v>5</v>
      </c>
      <c r="D1873" s="467" t="s">
        <v>614</v>
      </c>
      <c r="E1873" s="466" t="s">
        <v>2943</v>
      </c>
      <c r="F1873" s="466"/>
      <c r="G1873" s="465"/>
      <c r="H1873" s="465">
        <v>2</v>
      </c>
    </row>
    <row r="1874" spans="1:8" ht="13.8" thickBot="1">
      <c r="A1874" s="467" t="s">
        <v>7123</v>
      </c>
      <c r="B1874" s="465" t="s">
        <v>2955</v>
      </c>
      <c r="C1874" s="466">
        <v>5</v>
      </c>
      <c r="D1874" s="467" t="s">
        <v>614</v>
      </c>
      <c r="E1874" s="466" t="s">
        <v>2943</v>
      </c>
      <c r="F1874" s="466"/>
      <c r="G1874" s="465"/>
      <c r="H1874" s="465">
        <v>1</v>
      </c>
    </row>
    <row r="1875" spans="1:8" ht="13.8" thickBot="1">
      <c r="A1875" s="467" t="s">
        <v>7124</v>
      </c>
      <c r="B1875" s="465" t="s">
        <v>1552</v>
      </c>
      <c r="C1875" s="466">
        <v>5</v>
      </c>
      <c r="D1875" s="465"/>
      <c r="E1875" s="466" t="s">
        <v>2957</v>
      </c>
      <c r="F1875" s="466" t="s">
        <v>1880</v>
      </c>
      <c r="G1875" s="465">
        <v>1</v>
      </c>
      <c r="H1875" s="465">
        <v>2</v>
      </c>
    </row>
    <row r="1876" spans="1:8" ht="13.8" thickBot="1">
      <c r="A1876" s="465" t="s">
        <v>922</v>
      </c>
      <c r="B1876" s="465" t="s">
        <v>2971</v>
      </c>
      <c r="C1876" s="466">
        <v>5</v>
      </c>
      <c r="D1876" s="465"/>
      <c r="E1876" s="466" t="s">
        <v>2957</v>
      </c>
      <c r="F1876" s="466" t="s">
        <v>1880</v>
      </c>
      <c r="G1876" s="465"/>
      <c r="H1876" s="465">
        <v>8</v>
      </c>
    </row>
    <row r="1877" spans="1:8" ht="13.8" thickBot="1">
      <c r="A1877" s="465" t="s">
        <v>7125</v>
      </c>
      <c r="B1877" s="465" t="s">
        <v>1552</v>
      </c>
      <c r="C1877" s="466">
        <v>5</v>
      </c>
      <c r="D1877" s="465"/>
      <c r="E1877" s="466" t="s">
        <v>2957</v>
      </c>
      <c r="F1877" s="466" t="s">
        <v>1865</v>
      </c>
      <c r="G1877" s="465"/>
      <c r="H1877" s="465">
        <v>3</v>
      </c>
    </row>
    <row r="1878" spans="1:8" ht="13.8" thickBot="1">
      <c r="A1878" s="465" t="s">
        <v>7126</v>
      </c>
      <c r="B1878" s="465" t="s">
        <v>1552</v>
      </c>
      <c r="C1878" s="466">
        <v>5</v>
      </c>
      <c r="D1878" s="465"/>
      <c r="E1878" s="466" t="s">
        <v>2957</v>
      </c>
      <c r="F1878" s="466" t="s">
        <v>1865</v>
      </c>
      <c r="G1878" s="465">
        <v>1</v>
      </c>
      <c r="H1878" s="465">
        <v>2</v>
      </c>
    </row>
    <row r="1879" spans="1:8" ht="13.8" thickBot="1">
      <c r="A1879" s="467" t="s">
        <v>7127</v>
      </c>
      <c r="B1879" s="465" t="s">
        <v>2960</v>
      </c>
      <c r="C1879" s="466">
        <v>5</v>
      </c>
      <c r="D1879" s="467" t="s">
        <v>614</v>
      </c>
      <c r="E1879" s="466" t="s">
        <v>2957</v>
      </c>
      <c r="F1879" s="466" t="s">
        <v>1865</v>
      </c>
      <c r="G1879" s="465"/>
      <c r="H1879" s="465">
        <v>2</v>
      </c>
    </row>
    <row r="1880" spans="1:8" ht="13.8" thickBot="1">
      <c r="A1880" s="465" t="s">
        <v>7128</v>
      </c>
      <c r="B1880" s="465" t="s">
        <v>3034</v>
      </c>
      <c r="C1880" s="466">
        <v>5</v>
      </c>
      <c r="D1880" s="465"/>
      <c r="E1880" s="466" t="s">
        <v>2957</v>
      </c>
      <c r="F1880" s="466" t="s">
        <v>1910</v>
      </c>
      <c r="G1880" s="465"/>
      <c r="H1880" s="465">
        <v>3</v>
      </c>
    </row>
    <row r="1881" spans="1:8" ht="13.8" thickBot="1">
      <c r="A1881" s="467" t="s">
        <v>7129</v>
      </c>
      <c r="B1881" s="465" t="s">
        <v>3035</v>
      </c>
      <c r="C1881" s="466">
        <v>5</v>
      </c>
      <c r="D1881" s="465"/>
      <c r="E1881" s="466" t="s">
        <v>2957</v>
      </c>
      <c r="F1881" s="466" t="s">
        <v>1229</v>
      </c>
      <c r="G1881" s="465">
        <v>1</v>
      </c>
      <c r="H1881" s="465">
        <v>3</v>
      </c>
    </row>
    <row r="1882" spans="1:8" ht="13.8" thickBot="1">
      <c r="A1882" s="467" t="s">
        <v>7130</v>
      </c>
      <c r="B1882" s="465" t="s">
        <v>2968</v>
      </c>
      <c r="C1882" s="466">
        <v>5</v>
      </c>
      <c r="D1882" s="467" t="s">
        <v>614</v>
      </c>
      <c r="E1882" s="466" t="s">
        <v>2957</v>
      </c>
      <c r="F1882" s="466" t="s">
        <v>1251</v>
      </c>
      <c r="G1882" s="465">
        <v>1</v>
      </c>
      <c r="H1882" s="465">
        <v>2</v>
      </c>
    </row>
    <row r="1883" spans="1:8" ht="13.8" thickBot="1">
      <c r="A1883" s="467" t="s">
        <v>7131</v>
      </c>
      <c r="B1883" s="465" t="s">
        <v>1581</v>
      </c>
      <c r="C1883" s="466">
        <v>5</v>
      </c>
      <c r="D1883" s="465"/>
      <c r="E1883" s="466" t="s">
        <v>2957</v>
      </c>
      <c r="F1883" s="466" t="s">
        <v>1841</v>
      </c>
      <c r="G1883" s="465">
        <v>1</v>
      </c>
      <c r="H1883" s="465">
        <v>12</v>
      </c>
    </row>
    <row r="1884" spans="1:8" ht="13.8" thickBot="1">
      <c r="A1884" s="465" t="s">
        <v>7132</v>
      </c>
      <c r="B1884" s="465" t="s">
        <v>1563</v>
      </c>
      <c r="C1884" s="466">
        <v>5</v>
      </c>
      <c r="D1884" s="465"/>
      <c r="E1884" s="466" t="s">
        <v>2957</v>
      </c>
      <c r="F1884" s="466" t="s">
        <v>1226</v>
      </c>
      <c r="G1884" s="465">
        <v>1</v>
      </c>
      <c r="H1884" s="465">
        <v>6</v>
      </c>
    </row>
    <row r="1885" spans="1:8" ht="13.8" thickBot="1">
      <c r="A1885" s="467" t="s">
        <v>7133</v>
      </c>
      <c r="B1885" s="465" t="s">
        <v>3036</v>
      </c>
      <c r="C1885" s="466">
        <v>5</v>
      </c>
      <c r="D1885" s="467" t="s">
        <v>614</v>
      </c>
      <c r="E1885" s="466" t="s">
        <v>2957</v>
      </c>
      <c r="F1885" s="466" t="s">
        <v>1226</v>
      </c>
      <c r="G1885" s="465"/>
      <c r="H1885" s="465">
        <v>8</v>
      </c>
    </row>
    <row r="1886" spans="1:8" ht="13.8" thickBot="1">
      <c r="A1886" s="467" t="s">
        <v>7134</v>
      </c>
      <c r="B1886" s="465" t="s">
        <v>3037</v>
      </c>
      <c r="C1886" s="466">
        <v>5</v>
      </c>
      <c r="D1886" s="465"/>
      <c r="E1886" s="466" t="s">
        <v>2957</v>
      </c>
      <c r="F1886" s="466" t="s">
        <v>1226</v>
      </c>
      <c r="G1886" s="465"/>
      <c r="H1886" s="465">
        <v>2</v>
      </c>
    </row>
    <row r="1887" spans="1:8" ht="13.8" thickBot="1">
      <c r="A1887" s="467" t="s">
        <v>7135</v>
      </c>
      <c r="B1887" s="465" t="s">
        <v>1573</v>
      </c>
      <c r="C1887" s="466">
        <v>5</v>
      </c>
      <c r="D1887" s="465"/>
      <c r="E1887" s="466" t="s">
        <v>2957</v>
      </c>
      <c r="F1887" s="466" t="s">
        <v>1226</v>
      </c>
      <c r="G1887" s="465">
        <v>2</v>
      </c>
      <c r="H1887" s="465">
        <v>17</v>
      </c>
    </row>
    <row r="1888" spans="1:8" ht="13.8" thickBot="1">
      <c r="A1888" s="465" t="s">
        <v>7136</v>
      </c>
      <c r="B1888" s="465" t="s">
        <v>1554</v>
      </c>
      <c r="C1888" s="466">
        <v>5</v>
      </c>
      <c r="D1888" s="465"/>
      <c r="E1888" s="466" t="s">
        <v>2957</v>
      </c>
      <c r="F1888" s="466" t="s">
        <v>1226</v>
      </c>
      <c r="G1888" s="465"/>
      <c r="H1888" s="465">
        <v>2</v>
      </c>
    </row>
    <row r="1889" spans="1:8" ht="13.8" thickBot="1">
      <c r="A1889" s="467" t="s">
        <v>7137</v>
      </c>
      <c r="B1889" s="465" t="s">
        <v>3038</v>
      </c>
      <c r="C1889" s="466">
        <v>5</v>
      </c>
      <c r="D1889" s="465"/>
      <c r="E1889" s="466" t="s">
        <v>2957</v>
      </c>
      <c r="F1889" s="466" t="s">
        <v>1226</v>
      </c>
      <c r="G1889" s="465"/>
      <c r="H1889" s="465">
        <v>3</v>
      </c>
    </row>
    <row r="1890" spans="1:8" ht="13.8" thickBot="1">
      <c r="A1890" s="467" t="s">
        <v>7138</v>
      </c>
      <c r="B1890" s="465" t="s">
        <v>1563</v>
      </c>
      <c r="C1890" s="466">
        <v>5</v>
      </c>
      <c r="D1890" s="465"/>
      <c r="E1890" s="466" t="s">
        <v>2957</v>
      </c>
      <c r="F1890" s="466" t="s">
        <v>1863</v>
      </c>
      <c r="G1890" s="465"/>
      <c r="H1890" s="465">
        <v>17</v>
      </c>
    </row>
    <row r="1891" spans="1:8" ht="13.8" thickBot="1">
      <c r="A1891" s="467" t="s">
        <v>7139</v>
      </c>
      <c r="B1891" s="465" t="s">
        <v>1552</v>
      </c>
      <c r="C1891" s="466">
        <v>5</v>
      </c>
      <c r="D1891" s="467" t="s">
        <v>614</v>
      </c>
      <c r="E1891" s="466" t="s">
        <v>2957</v>
      </c>
      <c r="F1891" s="466" t="s">
        <v>1224</v>
      </c>
      <c r="G1891" s="465"/>
      <c r="H1891" s="465">
        <v>3</v>
      </c>
    </row>
    <row r="1892" spans="1:8" ht="13.8" thickBot="1">
      <c r="A1892" s="465" t="s">
        <v>7140</v>
      </c>
      <c r="B1892" s="465" t="s">
        <v>1552</v>
      </c>
      <c r="C1892" s="466">
        <v>5</v>
      </c>
      <c r="D1892" s="465"/>
      <c r="E1892" s="466" t="s">
        <v>2957</v>
      </c>
      <c r="F1892" s="466" t="s">
        <v>1224</v>
      </c>
      <c r="G1892" s="465"/>
      <c r="H1892" s="465">
        <v>1</v>
      </c>
    </row>
    <row r="1893" spans="1:8" ht="13.8" thickBot="1">
      <c r="A1893" s="467" t="s">
        <v>7141</v>
      </c>
      <c r="B1893" s="465" t="s">
        <v>1552</v>
      </c>
      <c r="C1893" s="466">
        <v>5</v>
      </c>
      <c r="D1893" s="465"/>
      <c r="E1893" s="466" t="s">
        <v>2957</v>
      </c>
      <c r="F1893" s="466" t="s">
        <v>1224</v>
      </c>
      <c r="G1893" s="465"/>
      <c r="H1893" s="465">
        <v>4</v>
      </c>
    </row>
    <row r="1894" spans="1:8" ht="13.8" thickBot="1">
      <c r="A1894" s="465" t="s">
        <v>7142</v>
      </c>
      <c r="B1894" s="465" t="s">
        <v>1580</v>
      </c>
      <c r="C1894" s="466">
        <v>5</v>
      </c>
      <c r="D1894" s="465"/>
      <c r="E1894" s="466" t="s">
        <v>2957</v>
      </c>
      <c r="F1894" s="466" t="s">
        <v>1224</v>
      </c>
      <c r="G1894" s="465">
        <v>1</v>
      </c>
      <c r="H1894" s="465">
        <v>5</v>
      </c>
    </row>
    <row r="1895" spans="1:8" ht="13.8" thickBot="1">
      <c r="A1895" s="465" t="s">
        <v>7143</v>
      </c>
      <c r="B1895" s="465" t="s">
        <v>3039</v>
      </c>
      <c r="C1895" s="466">
        <v>5</v>
      </c>
      <c r="D1895" s="467" t="s">
        <v>614</v>
      </c>
      <c r="E1895" s="466" t="s">
        <v>2957</v>
      </c>
      <c r="F1895" s="466" t="s">
        <v>1224</v>
      </c>
      <c r="G1895" s="465"/>
      <c r="H1895" s="465">
        <v>8</v>
      </c>
    </row>
    <row r="1896" spans="1:8" ht="13.8" thickBot="1">
      <c r="A1896" s="465" t="s">
        <v>7144</v>
      </c>
      <c r="B1896" s="465" t="s">
        <v>3040</v>
      </c>
      <c r="C1896" s="466">
        <v>5</v>
      </c>
      <c r="D1896" s="465"/>
      <c r="E1896" s="466" t="s">
        <v>2957</v>
      </c>
      <c r="F1896" s="466" t="s">
        <v>1224</v>
      </c>
      <c r="G1896" s="465"/>
      <c r="H1896" s="465">
        <v>6</v>
      </c>
    </row>
    <row r="1897" spans="1:8" ht="13.8" thickBot="1">
      <c r="A1897" s="467" t="s">
        <v>7145</v>
      </c>
      <c r="B1897" s="465" t="s">
        <v>1586</v>
      </c>
      <c r="C1897" s="466">
        <v>5</v>
      </c>
      <c r="D1897" s="467" t="s">
        <v>614</v>
      </c>
      <c r="E1897" s="466" t="s">
        <v>2957</v>
      </c>
      <c r="F1897" s="466" t="s">
        <v>1224</v>
      </c>
      <c r="G1897" s="465"/>
      <c r="H1897" s="465">
        <v>4</v>
      </c>
    </row>
    <row r="1898" spans="1:8" ht="13.8" thickBot="1">
      <c r="A1898" s="467" t="s">
        <v>7146</v>
      </c>
      <c r="B1898" s="465" t="s">
        <v>1574</v>
      </c>
      <c r="C1898" s="466">
        <v>5</v>
      </c>
      <c r="D1898" s="467" t="s">
        <v>614</v>
      </c>
      <c r="E1898" s="466" t="s">
        <v>2957</v>
      </c>
      <c r="F1898" s="466" t="s">
        <v>1224</v>
      </c>
      <c r="G1898" s="465">
        <v>1</v>
      </c>
      <c r="H1898" s="465">
        <v>9</v>
      </c>
    </row>
    <row r="1899" spans="1:8" ht="13.8" thickBot="1">
      <c r="A1899" s="467" t="s">
        <v>7147</v>
      </c>
      <c r="B1899" s="465" t="s">
        <v>1575</v>
      </c>
      <c r="C1899" s="466">
        <v>5</v>
      </c>
      <c r="D1899" s="465"/>
      <c r="E1899" s="466" t="s">
        <v>2957</v>
      </c>
      <c r="F1899" s="466" t="s">
        <v>1224</v>
      </c>
      <c r="G1899" s="465">
        <v>1</v>
      </c>
      <c r="H1899" s="465">
        <v>14</v>
      </c>
    </row>
    <row r="1900" spans="1:8" ht="13.8" thickBot="1">
      <c r="A1900" s="467" t="s">
        <v>7148</v>
      </c>
      <c r="B1900" s="465" t="s">
        <v>1576</v>
      </c>
      <c r="C1900" s="466">
        <v>5</v>
      </c>
      <c r="D1900" s="465" t="s">
        <v>3041</v>
      </c>
      <c r="E1900" s="466" t="s">
        <v>2957</v>
      </c>
      <c r="F1900" s="466" t="s">
        <v>1224</v>
      </c>
      <c r="G1900" s="465"/>
      <c r="H1900" s="465">
        <v>4</v>
      </c>
    </row>
    <row r="1901" spans="1:8" ht="13.8" thickBot="1">
      <c r="A1901" s="467" t="s">
        <v>7149</v>
      </c>
      <c r="B1901" s="468" t="s">
        <v>1555</v>
      </c>
      <c r="C1901" s="466">
        <v>5</v>
      </c>
      <c r="D1901" s="465"/>
      <c r="E1901" s="466" t="s">
        <v>2957</v>
      </c>
      <c r="F1901" s="466" t="s">
        <v>1224</v>
      </c>
      <c r="G1901" s="465"/>
      <c r="H1901" s="465">
        <v>8</v>
      </c>
    </row>
    <row r="1902" spans="1:8" ht="13.8" thickBot="1">
      <c r="A1902" s="467" t="s">
        <v>7150</v>
      </c>
      <c r="B1902" s="465" t="s">
        <v>3042</v>
      </c>
      <c r="C1902" s="466">
        <v>5</v>
      </c>
      <c r="D1902" s="467" t="s">
        <v>3043</v>
      </c>
      <c r="E1902" s="466" t="s">
        <v>2957</v>
      </c>
      <c r="F1902" s="466" t="s">
        <v>1224</v>
      </c>
      <c r="G1902" s="465"/>
      <c r="H1902" s="465">
        <v>6</v>
      </c>
    </row>
    <row r="1903" spans="1:8" ht="13.8" thickBot="1">
      <c r="A1903" s="467" t="s">
        <v>7151</v>
      </c>
      <c r="B1903" s="465" t="s">
        <v>3044</v>
      </c>
      <c r="C1903" s="466">
        <v>5</v>
      </c>
      <c r="D1903" s="465"/>
      <c r="E1903" s="466" t="s">
        <v>2957</v>
      </c>
      <c r="F1903" s="466" t="s">
        <v>1224</v>
      </c>
      <c r="G1903" s="465">
        <v>1</v>
      </c>
      <c r="H1903" s="465">
        <v>5</v>
      </c>
    </row>
    <row r="1904" spans="1:8" ht="13.8" thickBot="1">
      <c r="A1904" s="465" t="s">
        <v>7152</v>
      </c>
      <c r="B1904" s="465" t="s">
        <v>1578</v>
      </c>
      <c r="C1904" s="466">
        <v>5</v>
      </c>
      <c r="D1904" s="465"/>
      <c r="E1904" s="466" t="s">
        <v>2957</v>
      </c>
      <c r="F1904" s="466" t="s">
        <v>1224</v>
      </c>
      <c r="G1904" s="465">
        <v>2</v>
      </c>
      <c r="H1904" s="465">
        <v>6</v>
      </c>
    </row>
    <row r="1905" spans="1:8" ht="13.8" thickBot="1">
      <c r="A1905" s="465" t="s">
        <v>7153</v>
      </c>
      <c r="B1905" s="465" t="s">
        <v>3045</v>
      </c>
      <c r="C1905" s="466">
        <v>5</v>
      </c>
      <c r="D1905" s="465"/>
      <c r="E1905" s="466" t="s">
        <v>2957</v>
      </c>
      <c r="F1905" s="466" t="s">
        <v>1224</v>
      </c>
      <c r="G1905" s="465"/>
      <c r="H1905" s="465">
        <v>4</v>
      </c>
    </row>
    <row r="1906" spans="1:8" ht="13.8" thickBot="1">
      <c r="A1906" s="467" t="s">
        <v>7154</v>
      </c>
      <c r="B1906" s="465" t="s">
        <v>1579</v>
      </c>
      <c r="C1906" s="466">
        <v>5</v>
      </c>
      <c r="D1906" s="467" t="s">
        <v>3046</v>
      </c>
      <c r="E1906" s="466" t="s">
        <v>2957</v>
      </c>
      <c r="F1906" s="466" t="s">
        <v>1224</v>
      </c>
      <c r="G1906" s="465">
        <v>1</v>
      </c>
      <c r="H1906" s="465">
        <v>13</v>
      </c>
    </row>
    <row r="1907" spans="1:8" ht="13.8" thickBot="1">
      <c r="A1907" s="467" t="s">
        <v>7155</v>
      </c>
      <c r="B1907" s="465" t="s">
        <v>1563</v>
      </c>
      <c r="C1907" s="466">
        <v>5</v>
      </c>
      <c r="D1907" s="465"/>
      <c r="E1907" s="466" t="s">
        <v>2957</v>
      </c>
      <c r="F1907" s="466" t="s">
        <v>1936</v>
      </c>
      <c r="G1907" s="465"/>
      <c r="H1907" s="465">
        <v>13</v>
      </c>
    </row>
    <row r="1908" spans="1:8" ht="13.8" thickBot="1">
      <c r="A1908" s="467" t="s">
        <v>7156</v>
      </c>
      <c r="B1908" s="465" t="s">
        <v>1589</v>
      </c>
      <c r="C1908" s="466">
        <v>5</v>
      </c>
      <c r="D1908" s="465"/>
      <c r="E1908" s="466" t="s">
        <v>2957</v>
      </c>
      <c r="F1908" s="466" t="s">
        <v>1975</v>
      </c>
      <c r="G1908" s="465">
        <v>1</v>
      </c>
      <c r="H1908" s="465">
        <v>14</v>
      </c>
    </row>
    <row r="1909" spans="1:8" ht="13.8" thickBot="1">
      <c r="A1909" s="467" t="s">
        <v>7157</v>
      </c>
      <c r="B1909" s="465" t="s">
        <v>3047</v>
      </c>
      <c r="C1909" s="466">
        <v>5</v>
      </c>
      <c r="D1909" s="467" t="s">
        <v>614</v>
      </c>
      <c r="E1909" s="466" t="s">
        <v>2957</v>
      </c>
      <c r="F1909" s="466" t="s">
        <v>1220</v>
      </c>
      <c r="G1909" s="465">
        <v>1</v>
      </c>
      <c r="H1909" s="465">
        <v>3</v>
      </c>
    </row>
    <row r="1910" spans="1:8" ht="13.8" thickBot="1">
      <c r="A1910" s="465" t="s">
        <v>7158</v>
      </c>
      <c r="B1910" s="465" t="s">
        <v>3048</v>
      </c>
      <c r="C1910" s="466">
        <v>5</v>
      </c>
      <c r="D1910" s="465"/>
      <c r="E1910" s="466" t="s">
        <v>2957</v>
      </c>
      <c r="F1910" s="466" t="s">
        <v>1220</v>
      </c>
      <c r="G1910" s="465"/>
      <c r="H1910" s="465">
        <v>6</v>
      </c>
    </row>
    <row r="1911" spans="1:8" ht="13.8" thickBot="1">
      <c r="A1911" s="467" t="s">
        <v>7159</v>
      </c>
      <c r="B1911" s="465" t="s">
        <v>3049</v>
      </c>
      <c r="C1911" s="466">
        <v>5</v>
      </c>
      <c r="D1911" s="465"/>
      <c r="E1911" s="466" t="s">
        <v>2957</v>
      </c>
      <c r="F1911" s="466" t="s">
        <v>1220</v>
      </c>
      <c r="G1911" s="465"/>
      <c r="H1911" s="465">
        <v>13</v>
      </c>
    </row>
    <row r="1912" spans="1:8" ht="13.8" thickBot="1">
      <c r="A1912" s="465" t="s">
        <v>7160</v>
      </c>
      <c r="B1912" s="465" t="s">
        <v>1552</v>
      </c>
      <c r="C1912" s="466">
        <v>5</v>
      </c>
      <c r="D1912" s="467" t="s">
        <v>614</v>
      </c>
      <c r="E1912" s="466" t="s">
        <v>2957</v>
      </c>
      <c r="F1912" s="466"/>
      <c r="G1912" s="465"/>
      <c r="H1912" s="465">
        <v>2</v>
      </c>
    </row>
    <row r="1913" spans="1:8" ht="13.8" thickBot="1">
      <c r="A1913" s="465" t="s">
        <v>7161</v>
      </c>
      <c r="B1913" s="465" t="s">
        <v>1552</v>
      </c>
      <c r="C1913" s="466">
        <v>5</v>
      </c>
      <c r="D1913" s="467" t="s">
        <v>614</v>
      </c>
      <c r="E1913" s="466" t="s">
        <v>2957</v>
      </c>
      <c r="F1913" s="466"/>
      <c r="G1913" s="465"/>
      <c r="H1913" s="465">
        <v>4</v>
      </c>
    </row>
    <row r="1914" spans="1:8" ht="13.8" thickBot="1">
      <c r="A1914" s="467" t="s">
        <v>7162</v>
      </c>
      <c r="B1914" s="465" t="s">
        <v>1552</v>
      </c>
      <c r="C1914" s="466">
        <v>5</v>
      </c>
      <c r="D1914" s="467" t="s">
        <v>614</v>
      </c>
      <c r="E1914" s="466" t="s">
        <v>2957</v>
      </c>
      <c r="F1914" s="466"/>
      <c r="G1914" s="465"/>
      <c r="H1914" s="465">
        <v>2</v>
      </c>
    </row>
    <row r="1915" spans="1:8" ht="13.8" thickBot="1">
      <c r="A1915" s="465" t="s">
        <v>7163</v>
      </c>
      <c r="B1915" s="465" t="s">
        <v>1552</v>
      </c>
      <c r="C1915" s="466">
        <v>5</v>
      </c>
      <c r="D1915" s="465"/>
      <c r="E1915" s="466" t="s">
        <v>2957</v>
      </c>
      <c r="F1915" s="466"/>
      <c r="G1915" s="465"/>
      <c r="H1915" s="465">
        <v>2</v>
      </c>
    </row>
    <row r="1916" spans="1:8" ht="13.8" thickBot="1">
      <c r="A1916" s="465" t="s">
        <v>7164</v>
      </c>
      <c r="B1916" s="465" t="s">
        <v>1552</v>
      </c>
      <c r="C1916" s="466">
        <v>5</v>
      </c>
      <c r="D1916" s="465"/>
      <c r="E1916" s="466" t="s">
        <v>2957</v>
      </c>
      <c r="F1916" s="466"/>
      <c r="G1916" s="465"/>
      <c r="H1916" s="465">
        <v>2</v>
      </c>
    </row>
    <row r="1917" spans="1:8" ht="13.8" thickBot="1">
      <c r="A1917" s="465" t="s">
        <v>7165</v>
      </c>
      <c r="B1917" s="465" t="s">
        <v>1552</v>
      </c>
      <c r="C1917" s="466">
        <v>5</v>
      </c>
      <c r="D1917" s="465"/>
      <c r="E1917" s="466" t="s">
        <v>2957</v>
      </c>
      <c r="F1917" s="466"/>
      <c r="G1917" s="465"/>
      <c r="H1917" s="465">
        <v>9</v>
      </c>
    </row>
    <row r="1918" spans="1:8" ht="13.8" thickBot="1">
      <c r="A1918" s="465" t="s">
        <v>7166</v>
      </c>
      <c r="B1918" s="465" t="s">
        <v>1552</v>
      </c>
      <c r="C1918" s="466">
        <v>5</v>
      </c>
      <c r="D1918" s="465"/>
      <c r="E1918" s="466" t="s">
        <v>2957</v>
      </c>
      <c r="F1918" s="466"/>
      <c r="G1918" s="465"/>
      <c r="H1918" s="465">
        <v>1</v>
      </c>
    </row>
    <row r="1919" spans="1:8" ht="13.8" thickBot="1">
      <c r="A1919" s="465" t="s">
        <v>7167</v>
      </c>
      <c r="B1919" s="465" t="s">
        <v>1552</v>
      </c>
      <c r="C1919" s="466">
        <v>5</v>
      </c>
      <c r="D1919" s="465"/>
      <c r="E1919" s="466" t="s">
        <v>2957</v>
      </c>
      <c r="F1919" s="466"/>
      <c r="G1919" s="465"/>
      <c r="H1919" s="465">
        <v>5</v>
      </c>
    </row>
    <row r="1920" spans="1:8" ht="13.8" thickBot="1">
      <c r="A1920" s="465" t="s">
        <v>7168</v>
      </c>
      <c r="B1920" s="465" t="s">
        <v>1552</v>
      </c>
      <c r="C1920" s="466">
        <v>5</v>
      </c>
      <c r="D1920" s="465"/>
      <c r="E1920" s="466" t="s">
        <v>2957</v>
      </c>
      <c r="F1920" s="466"/>
      <c r="G1920" s="465"/>
      <c r="H1920" s="465">
        <v>1</v>
      </c>
    </row>
    <row r="1921" spans="1:8" ht="13.8" thickBot="1">
      <c r="A1921" s="467" t="s">
        <v>7169</v>
      </c>
      <c r="B1921" s="465" t="s">
        <v>1552</v>
      </c>
      <c r="C1921" s="466">
        <v>5</v>
      </c>
      <c r="D1921" s="465"/>
      <c r="E1921" s="466" t="s">
        <v>2957</v>
      </c>
      <c r="F1921" s="466"/>
      <c r="G1921" s="465">
        <v>1</v>
      </c>
      <c r="H1921" s="465">
        <v>2</v>
      </c>
    </row>
    <row r="1922" spans="1:8" ht="13.8" thickBot="1">
      <c r="A1922" s="467" t="s">
        <v>7170</v>
      </c>
      <c r="B1922" s="465" t="s">
        <v>1552</v>
      </c>
      <c r="C1922" s="466">
        <v>5</v>
      </c>
      <c r="D1922" s="465"/>
      <c r="E1922" s="466" t="s">
        <v>2957</v>
      </c>
      <c r="F1922" s="466"/>
      <c r="G1922" s="465"/>
      <c r="H1922" s="465">
        <v>1</v>
      </c>
    </row>
    <row r="1923" spans="1:8" ht="13.8" thickBot="1">
      <c r="A1923" s="467" t="s">
        <v>7171</v>
      </c>
      <c r="B1923" s="465" t="s">
        <v>1552</v>
      </c>
      <c r="C1923" s="466">
        <v>5</v>
      </c>
      <c r="D1923" s="467" t="s">
        <v>614</v>
      </c>
      <c r="E1923" s="466" t="s">
        <v>2957</v>
      </c>
      <c r="F1923" s="466"/>
      <c r="G1923" s="465"/>
      <c r="H1923" s="465">
        <v>2</v>
      </c>
    </row>
    <row r="1924" spans="1:8" ht="13.8" thickBot="1">
      <c r="A1924" s="465" t="s">
        <v>7172</v>
      </c>
      <c r="B1924" s="465" t="s">
        <v>2960</v>
      </c>
      <c r="C1924" s="466">
        <v>5</v>
      </c>
      <c r="D1924" s="465"/>
      <c r="E1924" s="466" t="s">
        <v>2957</v>
      </c>
      <c r="F1924" s="466"/>
      <c r="G1924" s="465"/>
      <c r="H1924" s="465">
        <v>2</v>
      </c>
    </row>
    <row r="1925" spans="1:8" ht="13.8" thickBot="1">
      <c r="A1925" s="467" t="s">
        <v>7173</v>
      </c>
      <c r="B1925" s="465" t="s">
        <v>2960</v>
      </c>
      <c r="C1925" s="466">
        <v>5</v>
      </c>
      <c r="D1925" s="465"/>
      <c r="E1925" s="466" t="s">
        <v>2957</v>
      </c>
      <c r="F1925" s="466"/>
      <c r="G1925" s="465"/>
      <c r="H1925" s="465">
        <v>4</v>
      </c>
    </row>
    <row r="1926" spans="1:8" ht="13.8" thickBot="1">
      <c r="A1926" s="465" t="s">
        <v>7174</v>
      </c>
      <c r="B1926" s="465" t="s">
        <v>2968</v>
      </c>
      <c r="C1926" s="466">
        <v>5</v>
      </c>
      <c r="D1926" s="465"/>
      <c r="E1926" s="466" t="s">
        <v>2957</v>
      </c>
      <c r="F1926" s="466"/>
      <c r="G1926" s="465"/>
      <c r="H1926" s="465">
        <v>2</v>
      </c>
    </row>
    <row r="1927" spans="1:8" ht="13.8" thickBot="1">
      <c r="A1927" s="465" t="s">
        <v>7175</v>
      </c>
      <c r="B1927" s="465" t="s">
        <v>2968</v>
      </c>
      <c r="C1927" s="466">
        <v>5</v>
      </c>
      <c r="D1927" s="465"/>
      <c r="E1927" s="466" t="s">
        <v>2957</v>
      </c>
      <c r="F1927" s="466"/>
      <c r="G1927" s="465"/>
      <c r="H1927" s="465">
        <v>3</v>
      </c>
    </row>
    <row r="1928" spans="1:8" ht="13.8" thickBot="1">
      <c r="A1928" s="465" t="s">
        <v>7176</v>
      </c>
      <c r="B1928" s="465" t="s">
        <v>1576</v>
      </c>
      <c r="C1928" s="466">
        <v>5</v>
      </c>
      <c r="D1928" s="465"/>
      <c r="E1928" s="466" t="s">
        <v>2957</v>
      </c>
      <c r="F1928" s="466"/>
      <c r="G1928" s="465"/>
      <c r="H1928" s="465">
        <v>1</v>
      </c>
    </row>
    <row r="1929" spans="1:8" ht="13.8" thickBot="1">
      <c r="A1929" s="465" t="s">
        <v>7177</v>
      </c>
      <c r="B1929" s="465" t="s">
        <v>1555</v>
      </c>
      <c r="C1929" s="466">
        <v>5</v>
      </c>
      <c r="D1929" s="465"/>
      <c r="E1929" s="466" t="s">
        <v>2957</v>
      </c>
      <c r="F1929" s="466"/>
      <c r="G1929" s="465"/>
      <c r="H1929" s="465">
        <v>4</v>
      </c>
    </row>
    <row r="1930" spans="1:8" ht="13.8" thickBot="1">
      <c r="A1930" s="467" t="s">
        <v>7178</v>
      </c>
      <c r="B1930" s="465" t="s">
        <v>1555</v>
      </c>
      <c r="C1930" s="466">
        <v>5</v>
      </c>
      <c r="D1930" s="465"/>
      <c r="E1930" s="466" t="s">
        <v>2957</v>
      </c>
      <c r="F1930" s="466"/>
      <c r="G1930" s="465"/>
      <c r="H1930" s="465">
        <v>7</v>
      </c>
    </row>
    <row r="1931" spans="1:8" ht="13.8" thickBot="1">
      <c r="A1931" s="465" t="s">
        <v>7179</v>
      </c>
      <c r="B1931" s="465" t="s">
        <v>1562</v>
      </c>
      <c r="C1931" s="466">
        <v>5</v>
      </c>
      <c r="D1931" s="465"/>
      <c r="E1931" s="466" t="s">
        <v>2957</v>
      </c>
      <c r="F1931" s="466"/>
      <c r="G1931" s="465"/>
      <c r="H1931" s="465">
        <v>11</v>
      </c>
    </row>
    <row r="1932" spans="1:8" ht="13.8" thickBot="1">
      <c r="A1932" s="465" t="s">
        <v>1056</v>
      </c>
      <c r="B1932" s="465" t="s">
        <v>1562</v>
      </c>
      <c r="C1932" s="466">
        <v>5</v>
      </c>
      <c r="D1932" s="465"/>
      <c r="E1932" s="466" t="s">
        <v>2957</v>
      </c>
      <c r="F1932" s="466"/>
      <c r="G1932" s="465">
        <v>1</v>
      </c>
      <c r="H1932" s="465">
        <v>12</v>
      </c>
    </row>
    <row r="1933" spans="1:8" ht="13.8" thickBot="1">
      <c r="A1933" s="465" t="s">
        <v>1202</v>
      </c>
      <c r="B1933" s="465" t="s">
        <v>1562</v>
      </c>
      <c r="C1933" s="466">
        <v>5</v>
      </c>
      <c r="D1933" s="465"/>
      <c r="E1933" s="466" t="s">
        <v>2957</v>
      </c>
      <c r="F1933" s="466"/>
      <c r="G1933" s="465"/>
      <c r="H1933" s="465">
        <v>2</v>
      </c>
    </row>
    <row r="1934" spans="1:8" ht="13.8" thickBot="1">
      <c r="A1934" s="467" t="s">
        <v>7180</v>
      </c>
      <c r="B1934" s="465" t="s">
        <v>1562</v>
      </c>
      <c r="C1934" s="466">
        <v>5</v>
      </c>
      <c r="D1934" s="467" t="s">
        <v>3050</v>
      </c>
      <c r="E1934" s="466" t="s">
        <v>2957</v>
      </c>
      <c r="F1934" s="466"/>
      <c r="G1934" s="465"/>
      <c r="H1934" s="465">
        <v>2</v>
      </c>
    </row>
    <row r="1935" spans="1:8" ht="13.8" thickBot="1">
      <c r="A1935" s="465" t="s">
        <v>7181</v>
      </c>
      <c r="B1935" s="465" t="s">
        <v>3051</v>
      </c>
      <c r="C1935" s="466">
        <v>5</v>
      </c>
      <c r="D1935" s="465"/>
      <c r="E1935" s="466" t="s">
        <v>2957</v>
      </c>
      <c r="F1935" s="466"/>
      <c r="G1935" s="465">
        <v>1</v>
      </c>
      <c r="H1935" s="465">
        <v>4</v>
      </c>
    </row>
    <row r="1936" spans="1:8" ht="13.8" thickBot="1">
      <c r="A1936" s="467" t="s">
        <v>7182</v>
      </c>
      <c r="B1936" s="465" t="s">
        <v>3013</v>
      </c>
      <c r="C1936" s="466">
        <v>5</v>
      </c>
      <c r="D1936" s="465"/>
      <c r="E1936" s="466" t="s">
        <v>2957</v>
      </c>
      <c r="F1936" s="466"/>
      <c r="G1936" s="465">
        <v>1</v>
      </c>
      <c r="H1936" s="465">
        <v>12</v>
      </c>
    </row>
    <row r="1937" spans="1:8" ht="13.8" thickBot="1">
      <c r="A1937" s="465" t="s">
        <v>612</v>
      </c>
      <c r="B1937" s="465" t="s">
        <v>3052</v>
      </c>
      <c r="C1937" s="466">
        <v>5</v>
      </c>
      <c r="D1937" s="465"/>
      <c r="E1937" s="466" t="s">
        <v>2957</v>
      </c>
      <c r="F1937" s="466"/>
      <c r="G1937" s="465"/>
      <c r="H1937" s="465">
        <v>2</v>
      </c>
    </row>
    <row r="1938" spans="1:8" ht="13.8" thickBot="1">
      <c r="A1938" s="465" t="s">
        <v>1083</v>
      </c>
      <c r="B1938" s="465" t="s">
        <v>3053</v>
      </c>
      <c r="C1938" s="466">
        <v>5</v>
      </c>
      <c r="D1938" s="465"/>
      <c r="E1938" s="466" t="s">
        <v>2957</v>
      </c>
      <c r="F1938" s="466"/>
      <c r="G1938" s="465"/>
      <c r="H1938" s="465">
        <v>3</v>
      </c>
    </row>
    <row r="1939" spans="1:8" ht="13.8" thickBot="1">
      <c r="A1939" s="465" t="s">
        <v>7183</v>
      </c>
      <c r="B1939" s="465" t="s">
        <v>3054</v>
      </c>
      <c r="C1939" s="466">
        <v>5</v>
      </c>
      <c r="D1939" s="465"/>
      <c r="E1939" s="466" t="s">
        <v>2957</v>
      </c>
      <c r="F1939" s="466"/>
      <c r="G1939" s="465"/>
      <c r="H1939" s="465">
        <v>4</v>
      </c>
    </row>
    <row r="1940" spans="1:8" ht="13.8" thickBot="1">
      <c r="A1940" s="465" t="s">
        <v>890</v>
      </c>
      <c r="B1940" s="465" t="s">
        <v>1554</v>
      </c>
      <c r="C1940" s="466">
        <v>5</v>
      </c>
      <c r="D1940" s="465"/>
      <c r="E1940" s="466" t="s">
        <v>2957</v>
      </c>
      <c r="F1940" s="466"/>
      <c r="G1940" s="465"/>
      <c r="H1940" s="465">
        <v>1</v>
      </c>
    </row>
    <row r="1941" spans="1:8" ht="13.8" thickBot="1">
      <c r="A1941" s="465" t="s">
        <v>7184</v>
      </c>
      <c r="B1941" s="465" t="s">
        <v>1554</v>
      </c>
      <c r="C1941" s="466">
        <v>5</v>
      </c>
      <c r="D1941" s="465"/>
      <c r="E1941" s="466" t="s">
        <v>2957</v>
      </c>
      <c r="F1941" s="466"/>
      <c r="G1941" s="465"/>
      <c r="H1941" s="465">
        <v>11</v>
      </c>
    </row>
    <row r="1942" spans="1:8" ht="13.8" thickBot="1">
      <c r="A1942" s="465" t="s">
        <v>7185</v>
      </c>
      <c r="B1942" s="465" t="s">
        <v>1554</v>
      </c>
      <c r="C1942" s="466">
        <v>5</v>
      </c>
      <c r="D1942" s="465"/>
      <c r="E1942" s="466" t="s">
        <v>2957</v>
      </c>
      <c r="F1942" s="466"/>
      <c r="G1942" s="465"/>
      <c r="H1942" s="465">
        <v>2</v>
      </c>
    </row>
    <row r="1943" spans="1:8" ht="13.8" thickBot="1">
      <c r="A1943" s="465" t="s">
        <v>7186</v>
      </c>
      <c r="B1943" s="465" t="s">
        <v>1554</v>
      </c>
      <c r="C1943" s="466">
        <v>5</v>
      </c>
      <c r="D1943" s="465"/>
      <c r="E1943" s="466" t="s">
        <v>2957</v>
      </c>
      <c r="F1943" s="466"/>
      <c r="G1943" s="465">
        <v>1</v>
      </c>
      <c r="H1943" s="465">
        <v>5</v>
      </c>
    </row>
    <row r="1944" spans="1:8" ht="13.8" thickBot="1">
      <c r="A1944" s="465" t="s">
        <v>7187</v>
      </c>
      <c r="B1944" s="465" t="s">
        <v>1554</v>
      </c>
      <c r="C1944" s="466">
        <v>5</v>
      </c>
      <c r="D1944" s="465"/>
      <c r="E1944" s="466" t="s">
        <v>2957</v>
      </c>
      <c r="F1944" s="466"/>
      <c r="G1944" s="465"/>
      <c r="H1944" s="465">
        <v>1</v>
      </c>
    </row>
    <row r="1945" spans="1:8" ht="13.8" thickBot="1">
      <c r="A1945" s="465" t="s">
        <v>7188</v>
      </c>
      <c r="B1945" s="465" t="s">
        <v>1554</v>
      </c>
      <c r="C1945" s="466">
        <v>5</v>
      </c>
      <c r="D1945" s="465"/>
      <c r="E1945" s="466" t="s">
        <v>2957</v>
      </c>
      <c r="F1945" s="466"/>
      <c r="G1945" s="465"/>
      <c r="H1945" s="465">
        <v>1</v>
      </c>
    </row>
    <row r="1946" spans="1:8" ht="13.8" thickBot="1">
      <c r="A1946" s="467" t="s">
        <v>7189</v>
      </c>
      <c r="B1946" s="465" t="s">
        <v>3055</v>
      </c>
      <c r="C1946" s="466">
        <v>5</v>
      </c>
      <c r="D1946" s="465"/>
      <c r="E1946" s="466" t="s">
        <v>2957</v>
      </c>
      <c r="F1946" s="466"/>
      <c r="G1946" s="465"/>
      <c r="H1946" s="465">
        <v>4</v>
      </c>
    </row>
    <row r="1947" spans="1:8" ht="13.8" thickBot="1">
      <c r="A1947" s="465" t="s">
        <v>611</v>
      </c>
      <c r="B1947" s="465" t="s">
        <v>3056</v>
      </c>
      <c r="C1947" s="466">
        <v>5</v>
      </c>
      <c r="D1947" s="465"/>
      <c r="E1947" s="466" t="s">
        <v>2957</v>
      </c>
      <c r="F1947" s="466"/>
      <c r="G1947" s="465"/>
      <c r="H1947" s="465">
        <v>2</v>
      </c>
    </row>
    <row r="1948" spans="1:8" ht="13.8" thickBot="1">
      <c r="A1948" s="465" t="s">
        <v>7190</v>
      </c>
      <c r="B1948" s="465" t="s">
        <v>3057</v>
      </c>
      <c r="C1948" s="466">
        <v>5</v>
      </c>
      <c r="D1948" s="465"/>
      <c r="E1948" s="466" t="s">
        <v>2957</v>
      </c>
      <c r="F1948" s="466"/>
      <c r="G1948" s="465"/>
      <c r="H1948" s="465">
        <v>4</v>
      </c>
    </row>
    <row r="1949" spans="1:8" ht="13.8" thickBot="1">
      <c r="A1949" s="465" t="s">
        <v>7191</v>
      </c>
      <c r="B1949" s="465" t="s">
        <v>3058</v>
      </c>
      <c r="C1949" s="466">
        <v>5</v>
      </c>
      <c r="D1949" s="465"/>
      <c r="E1949" s="466" t="s">
        <v>2957</v>
      </c>
      <c r="F1949" s="466"/>
      <c r="G1949" s="465"/>
      <c r="H1949" s="465">
        <v>5</v>
      </c>
    </row>
    <row r="1950" spans="1:8" ht="13.8" thickBot="1">
      <c r="A1950" s="465" t="s">
        <v>7192</v>
      </c>
      <c r="B1950" s="465" t="s">
        <v>3103</v>
      </c>
      <c r="C1950" s="466">
        <v>5</v>
      </c>
      <c r="D1950" s="467" t="s">
        <v>614</v>
      </c>
      <c r="E1950" s="466" t="s">
        <v>3085</v>
      </c>
      <c r="F1950" s="466" t="s">
        <v>1865</v>
      </c>
      <c r="G1950" s="465"/>
      <c r="H1950" s="465">
        <v>6</v>
      </c>
    </row>
    <row r="1951" spans="1:8" ht="13.8" thickBot="1">
      <c r="A1951" s="467" t="s">
        <v>7193</v>
      </c>
      <c r="B1951" s="465" t="s">
        <v>3089</v>
      </c>
      <c r="C1951" s="466">
        <v>5</v>
      </c>
      <c r="D1951" s="465"/>
      <c r="E1951" s="466" t="s">
        <v>3085</v>
      </c>
      <c r="F1951" s="466" t="s">
        <v>1226</v>
      </c>
      <c r="G1951" s="465"/>
      <c r="H1951" s="465">
        <v>3</v>
      </c>
    </row>
    <row r="1952" spans="1:8" ht="13.8" thickBot="1">
      <c r="A1952" s="465" t="s">
        <v>7194</v>
      </c>
      <c r="B1952" s="465" t="s">
        <v>3089</v>
      </c>
      <c r="C1952" s="466">
        <v>5</v>
      </c>
      <c r="D1952" s="465"/>
      <c r="E1952" s="466" t="s">
        <v>3085</v>
      </c>
      <c r="F1952" s="466" t="s">
        <v>1226</v>
      </c>
      <c r="G1952" s="465"/>
      <c r="H1952" s="465">
        <v>1</v>
      </c>
    </row>
    <row r="1953" spans="1:8" ht="13.8" thickBot="1">
      <c r="A1953" s="467" t="s">
        <v>7195</v>
      </c>
      <c r="B1953" s="465" t="s">
        <v>3104</v>
      </c>
      <c r="C1953" s="466">
        <v>5</v>
      </c>
      <c r="D1953" s="465"/>
      <c r="E1953" s="466" t="s">
        <v>3085</v>
      </c>
      <c r="F1953" s="466" t="s">
        <v>1226</v>
      </c>
      <c r="G1953" s="465"/>
      <c r="H1953" s="465">
        <v>7</v>
      </c>
    </row>
    <row r="1954" spans="1:8" ht="13.8" thickBot="1">
      <c r="A1954" s="467" t="s">
        <v>7196</v>
      </c>
      <c r="B1954" s="465" t="s">
        <v>3105</v>
      </c>
      <c r="C1954" s="466">
        <v>5</v>
      </c>
      <c r="D1954" s="467" t="s">
        <v>614</v>
      </c>
      <c r="E1954" s="466" t="s">
        <v>3085</v>
      </c>
      <c r="F1954" s="466" t="s">
        <v>1220</v>
      </c>
      <c r="G1954" s="465"/>
      <c r="H1954" s="465">
        <v>3</v>
      </c>
    </row>
    <row r="1955" spans="1:8" ht="13.8" thickBot="1">
      <c r="A1955" s="467" t="s">
        <v>7197</v>
      </c>
      <c r="B1955" s="465" t="s">
        <v>3089</v>
      </c>
      <c r="C1955" s="466">
        <v>5</v>
      </c>
      <c r="D1955" s="465"/>
      <c r="E1955" s="466" t="s">
        <v>3085</v>
      </c>
      <c r="F1955" s="466"/>
      <c r="G1955" s="465"/>
      <c r="H1955" s="465">
        <v>2</v>
      </c>
    </row>
    <row r="1956" spans="1:8" ht="13.8" thickBot="1">
      <c r="A1956" s="467" t="s">
        <v>7198</v>
      </c>
      <c r="B1956" s="465" t="s">
        <v>1385</v>
      </c>
      <c r="C1956" s="466">
        <v>5</v>
      </c>
      <c r="D1956" s="465"/>
      <c r="E1956" s="466" t="s">
        <v>3085</v>
      </c>
      <c r="F1956" s="466"/>
      <c r="G1956" s="465"/>
      <c r="H1956" s="465">
        <v>1</v>
      </c>
    </row>
    <row r="1957" spans="1:8" ht="13.8" thickBot="1">
      <c r="A1957" s="465" t="s">
        <v>7199</v>
      </c>
      <c r="B1957" s="465" t="s">
        <v>3150</v>
      </c>
      <c r="C1957" s="466">
        <v>5</v>
      </c>
      <c r="D1957" s="465"/>
      <c r="E1957" s="466" t="s">
        <v>3130</v>
      </c>
      <c r="F1957" s="466" t="s">
        <v>1229</v>
      </c>
      <c r="G1957" s="465"/>
      <c r="H1957" s="465">
        <v>4</v>
      </c>
    </row>
    <row r="1958" spans="1:8" ht="13.8" thickBot="1">
      <c r="A1958" s="467" t="s">
        <v>7200</v>
      </c>
      <c r="B1958" s="465" t="s">
        <v>3151</v>
      </c>
      <c r="C1958" s="466">
        <v>5</v>
      </c>
      <c r="D1958" s="465"/>
      <c r="E1958" s="466" t="s">
        <v>3130</v>
      </c>
      <c r="F1958" s="466" t="s">
        <v>1220</v>
      </c>
      <c r="G1958" s="465"/>
      <c r="H1958" s="465">
        <v>2</v>
      </c>
    </row>
    <row r="1959" spans="1:8" ht="13.8" thickBot="1">
      <c r="A1959" s="467" t="s">
        <v>7201</v>
      </c>
      <c r="B1959" s="465" t="s">
        <v>1399</v>
      </c>
      <c r="C1959" s="466">
        <v>5</v>
      </c>
      <c r="D1959" s="467" t="s">
        <v>614</v>
      </c>
      <c r="E1959" s="466" t="s">
        <v>3161</v>
      </c>
      <c r="F1959" s="466" t="s">
        <v>1880</v>
      </c>
      <c r="G1959" s="465">
        <v>2</v>
      </c>
      <c r="H1959" s="465">
        <v>7</v>
      </c>
    </row>
    <row r="1960" spans="1:8" ht="13.8" thickBot="1">
      <c r="A1960" s="467" t="s">
        <v>7202</v>
      </c>
      <c r="B1960" s="465" t="s">
        <v>1399</v>
      </c>
      <c r="C1960" s="466">
        <v>5</v>
      </c>
      <c r="D1960" s="467" t="s">
        <v>614</v>
      </c>
      <c r="E1960" s="466" t="s">
        <v>3161</v>
      </c>
      <c r="F1960" s="466" t="s">
        <v>1865</v>
      </c>
      <c r="G1960" s="465"/>
      <c r="H1960" s="465">
        <v>3</v>
      </c>
    </row>
    <row r="1961" spans="1:8" ht="13.8" thickBot="1">
      <c r="A1961" s="465" t="s">
        <v>7203</v>
      </c>
      <c r="B1961" s="465" t="s">
        <v>1404</v>
      </c>
      <c r="C1961" s="466">
        <v>5</v>
      </c>
      <c r="D1961" s="467" t="s">
        <v>614</v>
      </c>
      <c r="E1961" s="466" t="s">
        <v>3161</v>
      </c>
      <c r="F1961" s="466" t="s">
        <v>1865</v>
      </c>
      <c r="G1961" s="465">
        <v>2</v>
      </c>
      <c r="H1961" s="465">
        <v>5</v>
      </c>
    </row>
    <row r="1962" spans="1:8" ht="13.8" thickBot="1">
      <c r="A1962" s="467" t="s">
        <v>7204</v>
      </c>
      <c r="B1962" s="465" t="s">
        <v>3237</v>
      </c>
      <c r="C1962" s="466">
        <v>5</v>
      </c>
      <c r="D1962" s="467" t="s">
        <v>614</v>
      </c>
      <c r="E1962" s="466" t="s">
        <v>3161</v>
      </c>
      <c r="F1962" s="466" t="s">
        <v>1865</v>
      </c>
      <c r="G1962" s="465"/>
      <c r="H1962" s="465">
        <v>4</v>
      </c>
    </row>
    <row r="1963" spans="1:8" ht="13.8" thickBot="1">
      <c r="A1963" s="467" t="s">
        <v>7205</v>
      </c>
      <c r="B1963" s="465" t="s">
        <v>1390</v>
      </c>
      <c r="C1963" s="466">
        <v>5</v>
      </c>
      <c r="D1963" s="465"/>
      <c r="E1963" s="466" t="s">
        <v>3161</v>
      </c>
      <c r="F1963" s="466" t="s">
        <v>1226</v>
      </c>
      <c r="G1963" s="465">
        <v>1</v>
      </c>
      <c r="H1963" s="465">
        <v>14</v>
      </c>
    </row>
    <row r="1964" spans="1:8" ht="13.8" thickBot="1">
      <c r="A1964" s="467" t="s">
        <v>7206</v>
      </c>
      <c r="B1964" s="465" t="s">
        <v>1390</v>
      </c>
      <c r="C1964" s="466">
        <v>5</v>
      </c>
      <c r="D1964" s="467" t="s">
        <v>614</v>
      </c>
      <c r="E1964" s="466" t="s">
        <v>3161</v>
      </c>
      <c r="F1964" s="466" t="s">
        <v>1226</v>
      </c>
      <c r="G1964" s="465"/>
      <c r="H1964" s="465">
        <v>1</v>
      </c>
    </row>
    <row r="1965" spans="1:8" ht="13.8" thickBot="1">
      <c r="A1965" s="467" t="s">
        <v>7207</v>
      </c>
      <c r="B1965" s="465" t="s">
        <v>1407</v>
      </c>
      <c r="C1965" s="466">
        <v>5</v>
      </c>
      <c r="D1965" s="465"/>
      <c r="E1965" s="466" t="s">
        <v>3161</v>
      </c>
      <c r="F1965" s="466" t="s">
        <v>1226</v>
      </c>
      <c r="G1965" s="465"/>
      <c r="H1965" s="465">
        <v>14</v>
      </c>
    </row>
    <row r="1966" spans="1:8" ht="13.8" thickBot="1">
      <c r="A1966" s="467" t="s">
        <v>7208</v>
      </c>
      <c r="B1966" s="465" t="s">
        <v>1411</v>
      </c>
      <c r="C1966" s="466">
        <v>5</v>
      </c>
      <c r="D1966" s="467" t="s">
        <v>614</v>
      </c>
      <c r="E1966" s="466" t="s">
        <v>3161</v>
      </c>
      <c r="F1966" s="466" t="s">
        <v>1226</v>
      </c>
      <c r="G1966" s="465">
        <v>1</v>
      </c>
      <c r="H1966" s="465">
        <v>8</v>
      </c>
    </row>
    <row r="1967" spans="1:8" ht="13.8" thickBot="1">
      <c r="A1967" s="467" t="s">
        <v>7209</v>
      </c>
      <c r="B1967" s="465" t="s">
        <v>3238</v>
      </c>
      <c r="C1967" s="466">
        <v>5</v>
      </c>
      <c r="D1967" s="465"/>
      <c r="E1967" s="466" t="s">
        <v>3161</v>
      </c>
      <c r="F1967" s="466" t="s">
        <v>1224</v>
      </c>
      <c r="G1967" s="465">
        <v>2</v>
      </c>
      <c r="H1967" s="465">
        <v>4</v>
      </c>
    </row>
    <row r="1968" spans="1:8" ht="13.8" thickBot="1">
      <c r="A1968" s="467" t="s">
        <v>7210</v>
      </c>
      <c r="B1968" s="465" t="s">
        <v>1408</v>
      </c>
      <c r="C1968" s="466">
        <v>5</v>
      </c>
      <c r="D1968" s="465"/>
      <c r="E1968" s="466" t="s">
        <v>3161</v>
      </c>
      <c r="F1968" s="466" t="s">
        <v>1224</v>
      </c>
      <c r="G1968" s="465"/>
      <c r="H1968" s="465">
        <v>3</v>
      </c>
    </row>
    <row r="1969" spans="1:8" ht="13.8" thickBot="1">
      <c r="A1969" s="467" t="s">
        <v>7211</v>
      </c>
      <c r="B1969" s="465" t="s">
        <v>3239</v>
      </c>
      <c r="C1969" s="466">
        <v>5</v>
      </c>
      <c r="D1969" s="467" t="s">
        <v>614</v>
      </c>
      <c r="E1969" s="466" t="s">
        <v>3161</v>
      </c>
      <c r="F1969" s="466" t="s">
        <v>1224</v>
      </c>
      <c r="G1969" s="465"/>
      <c r="H1969" s="465">
        <v>4</v>
      </c>
    </row>
    <row r="1970" spans="1:8" ht="13.8" thickBot="1">
      <c r="A1970" s="467" t="s">
        <v>7212</v>
      </c>
      <c r="B1970" s="465" t="s">
        <v>3240</v>
      </c>
      <c r="C1970" s="466">
        <v>5</v>
      </c>
      <c r="D1970" s="467" t="s">
        <v>614</v>
      </c>
      <c r="E1970" s="466" t="s">
        <v>3161</v>
      </c>
      <c r="F1970" s="466" t="s">
        <v>1224</v>
      </c>
      <c r="G1970" s="465">
        <v>1</v>
      </c>
      <c r="H1970" s="465">
        <v>8</v>
      </c>
    </row>
    <row r="1971" spans="1:8" ht="13.8" thickBot="1">
      <c r="A1971" s="467" t="s">
        <v>7213</v>
      </c>
      <c r="B1971" s="465" t="s">
        <v>3241</v>
      </c>
      <c r="C1971" s="466">
        <v>5</v>
      </c>
      <c r="D1971" s="465"/>
      <c r="E1971" s="466" t="s">
        <v>3161</v>
      </c>
      <c r="F1971" s="466" t="s">
        <v>1224</v>
      </c>
      <c r="G1971" s="465"/>
      <c r="H1971" s="465">
        <v>5</v>
      </c>
    </row>
    <row r="1972" spans="1:8" ht="13.8" thickBot="1">
      <c r="A1972" s="467" t="s">
        <v>7214</v>
      </c>
      <c r="B1972" s="465" t="s">
        <v>3242</v>
      </c>
      <c r="C1972" s="466">
        <v>5</v>
      </c>
      <c r="D1972" s="467" t="s">
        <v>614</v>
      </c>
      <c r="E1972" s="466" t="s">
        <v>3161</v>
      </c>
      <c r="F1972" s="466" t="s">
        <v>1220</v>
      </c>
      <c r="G1972" s="465"/>
      <c r="H1972" s="465"/>
    </row>
    <row r="1973" spans="1:8" ht="13.8" thickBot="1">
      <c r="A1973" s="467" t="s">
        <v>7215</v>
      </c>
      <c r="B1973" s="465" t="s">
        <v>3243</v>
      </c>
      <c r="C1973" s="466">
        <v>5</v>
      </c>
      <c r="D1973" s="467" t="s">
        <v>614</v>
      </c>
      <c r="E1973" s="466" t="s">
        <v>3161</v>
      </c>
      <c r="F1973" s="466" t="s">
        <v>1220</v>
      </c>
      <c r="G1973" s="465"/>
      <c r="H1973" s="465">
        <v>6</v>
      </c>
    </row>
    <row r="1974" spans="1:8" ht="13.8" thickBot="1">
      <c r="A1974" s="467" t="s">
        <v>7216</v>
      </c>
      <c r="B1974" s="465" t="s">
        <v>1390</v>
      </c>
      <c r="C1974" s="466">
        <v>5</v>
      </c>
      <c r="D1974" s="465"/>
      <c r="E1974" s="466" t="s">
        <v>3161</v>
      </c>
      <c r="F1974" s="466"/>
      <c r="G1974" s="465">
        <v>1</v>
      </c>
      <c r="H1974" s="465">
        <v>3</v>
      </c>
    </row>
    <row r="1975" spans="1:8" ht="13.8" thickBot="1">
      <c r="A1975" s="467" t="s">
        <v>7217</v>
      </c>
      <c r="B1975" s="465" t="s">
        <v>1390</v>
      </c>
      <c r="C1975" s="466">
        <v>5</v>
      </c>
      <c r="D1975" s="467" t="s">
        <v>614</v>
      </c>
      <c r="E1975" s="466" t="s">
        <v>3161</v>
      </c>
      <c r="F1975" s="466"/>
      <c r="G1975" s="465">
        <v>1</v>
      </c>
      <c r="H1975" s="465">
        <v>3</v>
      </c>
    </row>
    <row r="1976" spans="1:8" ht="13.8" thickBot="1">
      <c r="A1976" s="465" t="s">
        <v>7218</v>
      </c>
      <c r="B1976" s="465" t="s">
        <v>1399</v>
      </c>
      <c r="C1976" s="466">
        <v>5</v>
      </c>
      <c r="D1976" s="467" t="s">
        <v>614</v>
      </c>
      <c r="E1976" s="466" t="s">
        <v>3161</v>
      </c>
      <c r="F1976" s="466"/>
      <c r="G1976" s="465"/>
      <c r="H1976" s="465">
        <v>2</v>
      </c>
    </row>
    <row r="1977" spans="1:8" ht="13.8" thickBot="1">
      <c r="A1977" s="467" t="s">
        <v>7219</v>
      </c>
      <c r="B1977" s="465" t="s">
        <v>3244</v>
      </c>
      <c r="C1977" s="466">
        <v>5</v>
      </c>
      <c r="D1977" s="467" t="s">
        <v>614</v>
      </c>
      <c r="E1977" s="466" t="s">
        <v>3161</v>
      </c>
      <c r="F1977" s="466"/>
      <c r="G1977" s="465"/>
      <c r="H1977" s="465">
        <v>4</v>
      </c>
    </row>
    <row r="1978" spans="1:8" ht="13.8" thickBot="1">
      <c r="A1978" s="467" t="s">
        <v>7220</v>
      </c>
      <c r="B1978" s="468" t="s">
        <v>3245</v>
      </c>
      <c r="C1978" s="466">
        <v>5</v>
      </c>
      <c r="D1978" s="465"/>
      <c r="E1978" s="466" t="s">
        <v>3161</v>
      </c>
      <c r="F1978" s="466"/>
      <c r="G1978" s="465"/>
      <c r="H1978" s="465">
        <v>3</v>
      </c>
    </row>
    <row r="1979" spans="1:8" ht="13.8" thickBot="1">
      <c r="A1979" s="465" t="s">
        <v>7221</v>
      </c>
      <c r="B1979" s="465" t="s">
        <v>3172</v>
      </c>
      <c r="C1979" s="466">
        <v>5</v>
      </c>
      <c r="D1979" s="465"/>
      <c r="E1979" s="466" t="s">
        <v>3161</v>
      </c>
      <c r="F1979" s="466"/>
      <c r="G1979" s="465"/>
      <c r="H1979" s="465">
        <v>2</v>
      </c>
    </row>
    <row r="1980" spans="1:8" ht="13.8" thickBot="1">
      <c r="A1980" s="465" t="s">
        <v>7222</v>
      </c>
      <c r="B1980" s="465" t="s">
        <v>3246</v>
      </c>
      <c r="C1980" s="466">
        <v>5</v>
      </c>
      <c r="D1980" s="465"/>
      <c r="E1980" s="466" t="s">
        <v>3161</v>
      </c>
      <c r="F1980" s="466"/>
      <c r="G1980" s="465"/>
      <c r="H1980" s="465"/>
    </row>
    <row r="1981" spans="1:8" ht="13.8" thickBot="1">
      <c r="A1981" s="467" t="s">
        <v>7223</v>
      </c>
      <c r="B1981" s="465" t="s">
        <v>3247</v>
      </c>
      <c r="C1981" s="466">
        <v>5</v>
      </c>
      <c r="D1981" s="465"/>
      <c r="E1981" s="466" t="s">
        <v>3161</v>
      </c>
      <c r="F1981" s="466"/>
      <c r="G1981" s="465"/>
      <c r="H1981" s="465">
        <v>3</v>
      </c>
    </row>
    <row r="1982" spans="1:8" ht="13.8" thickBot="1">
      <c r="A1982" s="467" t="s">
        <v>7224</v>
      </c>
      <c r="B1982" s="465" t="s">
        <v>3248</v>
      </c>
      <c r="C1982" s="466">
        <v>5</v>
      </c>
      <c r="D1982" s="467" t="s">
        <v>614</v>
      </c>
      <c r="E1982" s="466" t="s">
        <v>3161</v>
      </c>
      <c r="F1982" s="466"/>
      <c r="G1982" s="465"/>
      <c r="H1982" s="465">
        <v>5</v>
      </c>
    </row>
    <row r="1983" spans="1:8" ht="13.8" thickBot="1">
      <c r="A1983" s="467" t="s">
        <v>7225</v>
      </c>
      <c r="B1983" s="465" t="s">
        <v>3249</v>
      </c>
      <c r="C1983" s="466">
        <v>5</v>
      </c>
      <c r="D1983" s="465"/>
      <c r="E1983" s="466" t="s">
        <v>3161</v>
      </c>
      <c r="F1983" s="466"/>
      <c r="G1983" s="465">
        <v>1</v>
      </c>
      <c r="H1983" s="465">
        <v>6</v>
      </c>
    </row>
    <row r="1984" spans="1:8" ht="13.8" thickBot="1">
      <c r="A1984" s="467" t="s">
        <v>7226</v>
      </c>
      <c r="B1984" s="465" t="s">
        <v>1421</v>
      </c>
      <c r="C1984" s="466">
        <v>5</v>
      </c>
      <c r="D1984" s="467" t="s">
        <v>614</v>
      </c>
      <c r="E1984" s="466" t="s">
        <v>3285</v>
      </c>
      <c r="F1984" s="466" t="s">
        <v>3306</v>
      </c>
      <c r="G1984" s="465">
        <v>2</v>
      </c>
      <c r="H1984" s="465">
        <v>21</v>
      </c>
    </row>
    <row r="1985" spans="1:8" ht="13.8" thickBot="1">
      <c r="A1985" s="467" t="s">
        <v>7227</v>
      </c>
      <c r="B1985" s="465" t="s">
        <v>1419</v>
      </c>
      <c r="C1985" s="466">
        <v>5</v>
      </c>
      <c r="D1985" s="467" t="s">
        <v>614</v>
      </c>
      <c r="E1985" s="466" t="s">
        <v>3285</v>
      </c>
      <c r="F1985" s="466" t="s">
        <v>1226</v>
      </c>
      <c r="G1985" s="465"/>
      <c r="H1985" s="465">
        <v>1</v>
      </c>
    </row>
    <row r="1986" spans="1:8" ht="13.8" thickBot="1">
      <c r="A1986" s="467" t="s">
        <v>7228</v>
      </c>
      <c r="B1986" s="465" t="s">
        <v>1422</v>
      </c>
      <c r="C1986" s="466">
        <v>5</v>
      </c>
      <c r="D1986" s="465"/>
      <c r="E1986" s="466" t="s">
        <v>3285</v>
      </c>
      <c r="F1986" s="466" t="s">
        <v>1226</v>
      </c>
      <c r="G1986" s="465"/>
      <c r="H1986" s="465">
        <v>18</v>
      </c>
    </row>
    <row r="1987" spans="1:8" ht="13.8" thickBot="1">
      <c r="A1987" s="467" t="s">
        <v>7229</v>
      </c>
      <c r="B1987" s="465" t="s">
        <v>3307</v>
      </c>
      <c r="C1987" s="466">
        <v>5</v>
      </c>
      <c r="D1987" s="467" t="s">
        <v>3308</v>
      </c>
      <c r="E1987" s="466" t="s">
        <v>3285</v>
      </c>
      <c r="F1987" s="466" t="s">
        <v>1224</v>
      </c>
      <c r="G1987" s="465">
        <v>3</v>
      </c>
      <c r="H1987" s="465">
        <v>12</v>
      </c>
    </row>
    <row r="1988" spans="1:8" ht="13.8" thickBot="1">
      <c r="A1988" s="467" t="s">
        <v>7230</v>
      </c>
      <c r="B1988" s="465" t="s">
        <v>1419</v>
      </c>
      <c r="C1988" s="466">
        <v>5</v>
      </c>
      <c r="D1988" s="467" t="s">
        <v>614</v>
      </c>
      <c r="E1988" s="466" t="s">
        <v>3285</v>
      </c>
      <c r="F1988" s="466" t="s">
        <v>1220</v>
      </c>
      <c r="G1988" s="465"/>
      <c r="H1988" s="465">
        <v>1</v>
      </c>
    </row>
    <row r="1989" spans="1:8" ht="13.8" thickBot="1">
      <c r="A1989" s="465" t="s">
        <v>7231</v>
      </c>
      <c r="B1989" s="465" t="s">
        <v>3309</v>
      </c>
      <c r="C1989" s="466">
        <v>5</v>
      </c>
      <c r="D1989" s="465"/>
      <c r="E1989" s="466" t="s">
        <v>3285</v>
      </c>
      <c r="F1989" s="466"/>
      <c r="G1989" s="465"/>
      <c r="H1989" s="465">
        <v>4</v>
      </c>
    </row>
    <row r="1990" spans="1:8" ht="13.8" thickBot="1">
      <c r="A1990" s="465" t="s">
        <v>7232</v>
      </c>
      <c r="B1990" s="465" t="s">
        <v>3310</v>
      </c>
      <c r="C1990" s="466">
        <v>5</v>
      </c>
      <c r="D1990" s="465"/>
      <c r="E1990" s="466" t="s">
        <v>3285</v>
      </c>
      <c r="F1990" s="466"/>
      <c r="G1990" s="465"/>
      <c r="H1990" s="465">
        <v>6</v>
      </c>
    </row>
    <row r="1991" spans="1:8" ht="13.8" thickBot="1">
      <c r="A1991" s="467" t="s">
        <v>7233</v>
      </c>
      <c r="B1991" s="465" t="s">
        <v>3337</v>
      </c>
      <c r="C1991" s="466">
        <v>5</v>
      </c>
      <c r="D1991" s="465"/>
      <c r="E1991" s="466" t="s">
        <v>3315</v>
      </c>
      <c r="F1991" s="466" t="s">
        <v>1865</v>
      </c>
      <c r="G1991" s="465">
        <v>1</v>
      </c>
      <c r="H1991" s="465">
        <v>7</v>
      </c>
    </row>
    <row r="1992" spans="1:8" ht="13.8" thickBot="1">
      <c r="A1992" s="467" t="s">
        <v>7234</v>
      </c>
      <c r="B1992" s="465" t="s">
        <v>1433</v>
      </c>
      <c r="C1992" s="466">
        <v>5</v>
      </c>
      <c r="D1992" s="467" t="s">
        <v>614</v>
      </c>
      <c r="E1992" s="466" t="s">
        <v>3315</v>
      </c>
      <c r="F1992" s="466" t="s">
        <v>1226</v>
      </c>
      <c r="G1992" s="465"/>
      <c r="H1992" s="465">
        <v>1</v>
      </c>
    </row>
    <row r="1993" spans="1:8" ht="13.8" thickBot="1">
      <c r="A1993" s="465" t="s">
        <v>7235</v>
      </c>
      <c r="B1993" s="465" t="s">
        <v>3338</v>
      </c>
      <c r="C1993" s="466">
        <v>5</v>
      </c>
      <c r="D1993" s="465"/>
      <c r="E1993" s="466" t="s">
        <v>3315</v>
      </c>
      <c r="F1993" s="466" t="s">
        <v>1226</v>
      </c>
      <c r="G1993" s="465"/>
      <c r="H1993" s="465">
        <v>5</v>
      </c>
    </row>
    <row r="1994" spans="1:8" ht="13.8" thickBot="1">
      <c r="A1994" s="465" t="s">
        <v>6879</v>
      </c>
      <c r="B1994" s="465" t="s">
        <v>1291</v>
      </c>
      <c r="C1994" s="466">
        <v>5</v>
      </c>
      <c r="D1994" s="467" t="s">
        <v>2071</v>
      </c>
      <c r="E1994" s="466" t="s">
        <v>2032</v>
      </c>
      <c r="F1994" s="466" t="s">
        <v>1251</v>
      </c>
      <c r="G1994" s="465"/>
      <c r="H1994" s="465">
        <v>28</v>
      </c>
    </row>
    <row r="1995" spans="1:8" ht="13.8" thickBot="1">
      <c r="A1995" s="467" t="s">
        <v>6880</v>
      </c>
      <c r="B1995" s="468" t="s">
        <v>2044</v>
      </c>
      <c r="C1995" s="466">
        <v>5</v>
      </c>
      <c r="D1995" s="465"/>
      <c r="E1995" s="466" t="s">
        <v>2032</v>
      </c>
      <c r="F1995" s="466" t="s">
        <v>1226</v>
      </c>
      <c r="G1995" s="465"/>
      <c r="H1995" s="465">
        <v>3</v>
      </c>
    </row>
    <row r="1996" spans="1:8" ht="13.8" thickBot="1">
      <c r="A1996" s="467" t="s">
        <v>6881</v>
      </c>
      <c r="B1996" s="465" t="s">
        <v>2072</v>
      </c>
      <c r="C1996" s="466">
        <v>5</v>
      </c>
      <c r="D1996" s="465"/>
      <c r="E1996" s="466" t="s">
        <v>2032</v>
      </c>
      <c r="F1996" s="466" t="s">
        <v>1226</v>
      </c>
      <c r="G1996" s="465"/>
      <c r="H1996" s="465">
        <v>1</v>
      </c>
    </row>
    <row r="1997" spans="1:8" ht="13.8" thickBot="1">
      <c r="A1997" s="465" t="s">
        <v>6882</v>
      </c>
      <c r="B1997" s="465" t="s">
        <v>2073</v>
      </c>
      <c r="C1997" s="466">
        <v>5</v>
      </c>
      <c r="D1997" s="467" t="s">
        <v>2074</v>
      </c>
      <c r="E1997" s="466" t="s">
        <v>2032</v>
      </c>
      <c r="F1997" s="466" t="s">
        <v>1226</v>
      </c>
      <c r="G1997" s="465"/>
      <c r="H1997" s="465">
        <v>5</v>
      </c>
    </row>
    <row r="1998" spans="1:8" ht="13.8" thickBot="1">
      <c r="A1998" s="465" t="s">
        <v>6883</v>
      </c>
      <c r="B1998" s="465" t="s">
        <v>2075</v>
      </c>
      <c r="C1998" s="466">
        <v>5</v>
      </c>
      <c r="D1998" s="467" t="s">
        <v>614</v>
      </c>
      <c r="E1998" s="466" t="s">
        <v>2032</v>
      </c>
      <c r="F1998" s="466" t="s">
        <v>1226</v>
      </c>
      <c r="G1998" s="465">
        <v>3</v>
      </c>
      <c r="H1998" s="465">
        <v>9</v>
      </c>
    </row>
    <row r="1999" spans="1:8" ht="13.8" thickBot="1">
      <c r="A1999" s="465" t="s">
        <v>6884</v>
      </c>
      <c r="B1999" s="465" t="s">
        <v>1284</v>
      </c>
      <c r="C1999" s="466">
        <v>5</v>
      </c>
      <c r="D1999" s="465"/>
      <c r="E1999" s="466" t="s">
        <v>2032</v>
      </c>
      <c r="F1999" s="466" t="s">
        <v>1226</v>
      </c>
      <c r="G1999" s="465"/>
      <c r="H1999" s="465">
        <v>1</v>
      </c>
    </row>
    <row r="2000" spans="1:8" ht="13.8" thickBot="1">
      <c r="A2000" s="465" t="s">
        <v>6885</v>
      </c>
      <c r="B2000" s="465" t="s">
        <v>1292</v>
      </c>
      <c r="C2000" s="466">
        <v>5</v>
      </c>
      <c r="D2000" s="467" t="s">
        <v>2076</v>
      </c>
      <c r="E2000" s="466" t="s">
        <v>2032</v>
      </c>
      <c r="F2000" s="466" t="s">
        <v>1863</v>
      </c>
      <c r="G2000" s="465">
        <v>1</v>
      </c>
      <c r="H2000" s="465">
        <v>26</v>
      </c>
    </row>
    <row r="2001" spans="1:8" ht="13.8" thickBot="1">
      <c r="A2001" s="465" t="s">
        <v>6886</v>
      </c>
      <c r="B2001" s="465" t="s">
        <v>1293</v>
      </c>
      <c r="C2001" s="466">
        <v>5</v>
      </c>
      <c r="D2001" s="467" t="s">
        <v>614</v>
      </c>
      <c r="E2001" s="466" t="s">
        <v>2032</v>
      </c>
      <c r="F2001" s="466" t="s">
        <v>1224</v>
      </c>
      <c r="G2001" s="465">
        <v>4</v>
      </c>
      <c r="H2001" s="465">
        <v>15</v>
      </c>
    </row>
    <row r="2002" spans="1:8" ht="13.8" thickBot="1">
      <c r="A2002" s="467" t="s">
        <v>6887</v>
      </c>
      <c r="B2002" s="465" t="s">
        <v>2077</v>
      </c>
      <c r="C2002" s="466">
        <v>5</v>
      </c>
      <c r="D2002" s="465"/>
      <c r="E2002" s="466" t="s">
        <v>2032</v>
      </c>
      <c r="F2002" s="466" t="s">
        <v>1220</v>
      </c>
      <c r="G2002" s="465"/>
      <c r="H2002" s="465">
        <v>2</v>
      </c>
    </row>
    <row r="2003" spans="1:8" ht="13.8" thickBot="1">
      <c r="A2003" s="467" t="s">
        <v>6888</v>
      </c>
      <c r="B2003" s="465" t="s">
        <v>2044</v>
      </c>
      <c r="C2003" s="466">
        <v>5</v>
      </c>
      <c r="D2003" s="465"/>
      <c r="E2003" s="466" t="s">
        <v>2032</v>
      </c>
      <c r="F2003" s="466"/>
      <c r="G2003" s="465"/>
      <c r="H2003" s="465">
        <v>3</v>
      </c>
    </row>
    <row r="2004" spans="1:8" ht="13.8" thickBot="1">
      <c r="A2004" s="467" t="s">
        <v>6889</v>
      </c>
      <c r="B2004" s="465" t="s">
        <v>2078</v>
      </c>
      <c r="C2004" s="466">
        <v>5</v>
      </c>
      <c r="D2004" s="465"/>
      <c r="E2004" s="466" t="s">
        <v>2032</v>
      </c>
      <c r="F2004" s="466"/>
      <c r="G2004" s="465"/>
      <c r="H2004" s="465">
        <v>2</v>
      </c>
    </row>
    <row r="2005" spans="1:8" ht="13.8" thickBot="1">
      <c r="A2005" s="467" t="s">
        <v>6890</v>
      </c>
      <c r="B2005" s="465" t="s">
        <v>2079</v>
      </c>
      <c r="C2005" s="466">
        <v>5</v>
      </c>
      <c r="D2005" s="467" t="s">
        <v>614</v>
      </c>
      <c r="E2005" s="466" t="s">
        <v>2032</v>
      </c>
      <c r="F2005" s="466"/>
      <c r="G2005" s="465"/>
      <c r="H2005" s="465">
        <v>5</v>
      </c>
    </row>
    <row r="2006" spans="1:8" ht="13.8" thickBot="1">
      <c r="A2006" s="467" t="s">
        <v>6891</v>
      </c>
      <c r="B2006" s="465" t="s">
        <v>2080</v>
      </c>
      <c r="C2006" s="466">
        <v>5</v>
      </c>
      <c r="D2006" s="465"/>
      <c r="E2006" s="466" t="s">
        <v>2032</v>
      </c>
      <c r="F2006" s="466"/>
      <c r="G2006" s="465"/>
      <c r="H2006" s="465">
        <v>2</v>
      </c>
    </row>
    <row r="2007" spans="1:8" ht="13.8" thickBot="1">
      <c r="A2007" s="467" t="s">
        <v>6892</v>
      </c>
      <c r="B2007" s="465" t="s">
        <v>1284</v>
      </c>
      <c r="C2007" s="466">
        <v>5</v>
      </c>
      <c r="D2007" s="465"/>
      <c r="E2007" s="466" t="s">
        <v>2032</v>
      </c>
      <c r="F2007" s="466"/>
      <c r="G2007" s="465"/>
      <c r="H2007" s="465">
        <v>1</v>
      </c>
    </row>
    <row r="2008" spans="1:8" ht="13.8" thickBot="1">
      <c r="A2008" s="467" t="s">
        <v>7236</v>
      </c>
      <c r="B2008" s="465" t="s">
        <v>3392</v>
      </c>
      <c r="C2008" s="466">
        <v>5</v>
      </c>
      <c r="D2008" s="465"/>
      <c r="E2008" s="466" t="s">
        <v>3351</v>
      </c>
      <c r="F2008" s="466" t="s">
        <v>1224</v>
      </c>
      <c r="G2008" s="465">
        <v>1</v>
      </c>
      <c r="H2008" s="465">
        <v>8</v>
      </c>
    </row>
    <row r="2009" spans="1:8" ht="13.8" thickBot="1">
      <c r="A2009" s="467" t="s">
        <v>7237</v>
      </c>
      <c r="B2009" s="465" t="s">
        <v>1445</v>
      </c>
      <c r="C2009" s="466">
        <v>5</v>
      </c>
      <c r="D2009" s="467" t="s">
        <v>614</v>
      </c>
      <c r="E2009" s="466" t="s">
        <v>3351</v>
      </c>
      <c r="F2009" s="466" t="s">
        <v>1224</v>
      </c>
      <c r="G2009" s="465"/>
      <c r="H2009" s="465">
        <v>13</v>
      </c>
    </row>
    <row r="2010" spans="1:8" ht="13.8" thickBot="1">
      <c r="A2010" s="465" t="s">
        <v>7238</v>
      </c>
      <c r="B2010" s="465" t="s">
        <v>3393</v>
      </c>
      <c r="C2010" s="466">
        <v>5</v>
      </c>
      <c r="D2010" s="465"/>
      <c r="E2010" s="466" t="s">
        <v>3351</v>
      </c>
      <c r="F2010" s="466"/>
      <c r="G2010" s="465">
        <v>1</v>
      </c>
      <c r="H2010" s="465">
        <v>1</v>
      </c>
    </row>
    <row r="2011" spans="1:8" ht="13.8" thickBot="1">
      <c r="A2011" s="465" t="s">
        <v>7239</v>
      </c>
      <c r="B2011" s="465" t="s">
        <v>3421</v>
      </c>
      <c r="C2011" s="466">
        <v>5</v>
      </c>
      <c r="D2011" s="467" t="s">
        <v>614</v>
      </c>
      <c r="E2011" s="466" t="s">
        <v>3414</v>
      </c>
      <c r="F2011" s="466" t="s">
        <v>1220</v>
      </c>
      <c r="G2011" s="465">
        <v>1</v>
      </c>
      <c r="H2011" s="465">
        <v>2</v>
      </c>
    </row>
    <row r="2012" spans="1:8" ht="13.8" thickBot="1">
      <c r="A2012" s="465" t="s">
        <v>7240</v>
      </c>
      <c r="B2012" s="465" t="s">
        <v>3421</v>
      </c>
      <c r="C2012" s="466">
        <v>5</v>
      </c>
      <c r="D2012" s="467" t="s">
        <v>614</v>
      </c>
      <c r="E2012" s="466" t="s">
        <v>3414</v>
      </c>
      <c r="F2012" s="466" t="s">
        <v>1220</v>
      </c>
      <c r="G2012" s="465"/>
      <c r="H2012" s="465">
        <v>2</v>
      </c>
    </row>
    <row r="2013" spans="1:8" ht="13.8" thickBot="1">
      <c r="A2013" s="467" t="s">
        <v>7241</v>
      </c>
      <c r="B2013" s="465" t="s">
        <v>3438</v>
      </c>
      <c r="C2013" s="466">
        <v>5</v>
      </c>
      <c r="D2013" s="467" t="s">
        <v>614</v>
      </c>
      <c r="E2013" s="466" t="s">
        <v>3414</v>
      </c>
      <c r="F2013" s="466"/>
      <c r="G2013" s="465"/>
      <c r="H2013" s="465">
        <v>5</v>
      </c>
    </row>
    <row r="2014" spans="1:8" ht="13.8" thickBot="1">
      <c r="A2014" s="467" t="s">
        <v>7242</v>
      </c>
      <c r="B2014" s="465" t="s">
        <v>3439</v>
      </c>
      <c r="C2014" s="466">
        <v>5</v>
      </c>
      <c r="D2014" s="465"/>
      <c r="E2014" s="466" t="s">
        <v>3414</v>
      </c>
      <c r="F2014" s="466"/>
      <c r="G2014" s="465"/>
      <c r="H2014" s="465">
        <v>1</v>
      </c>
    </row>
    <row r="2015" spans="1:8" ht="13.8" thickBot="1">
      <c r="A2015" s="465" t="s">
        <v>7243</v>
      </c>
      <c r="B2015" s="465" t="s">
        <v>3440</v>
      </c>
      <c r="C2015" s="466">
        <v>5</v>
      </c>
      <c r="D2015" s="465"/>
      <c r="E2015" s="466" t="s">
        <v>3414</v>
      </c>
      <c r="F2015" s="466"/>
      <c r="G2015" s="465"/>
      <c r="H2015" s="465">
        <v>3</v>
      </c>
    </row>
    <row r="2016" spans="1:8" ht="13.8" thickBot="1">
      <c r="A2016" s="467" t="s">
        <v>7244</v>
      </c>
      <c r="B2016" s="465" t="s">
        <v>3441</v>
      </c>
      <c r="C2016" s="466">
        <v>5</v>
      </c>
      <c r="D2016" s="467" t="s">
        <v>614</v>
      </c>
      <c r="E2016" s="466" t="s">
        <v>3414</v>
      </c>
      <c r="F2016" s="466"/>
      <c r="G2016" s="465"/>
      <c r="H2016" s="465">
        <v>3</v>
      </c>
    </row>
    <row r="2017" spans="1:8" ht="13.8" thickBot="1">
      <c r="A2017" s="467" t="s">
        <v>7245</v>
      </c>
      <c r="B2017" s="465" t="s">
        <v>3442</v>
      </c>
      <c r="C2017" s="466">
        <v>5</v>
      </c>
      <c r="D2017" s="465"/>
      <c r="E2017" s="466" t="s">
        <v>3414</v>
      </c>
      <c r="F2017" s="466"/>
      <c r="G2017" s="465"/>
      <c r="H2017" s="465">
        <v>1</v>
      </c>
    </row>
    <row r="2018" spans="1:8" ht="13.8" thickBot="1">
      <c r="A2018" s="467" t="s">
        <v>7246</v>
      </c>
      <c r="B2018" s="465" t="s">
        <v>3443</v>
      </c>
      <c r="C2018" s="466">
        <v>5</v>
      </c>
      <c r="D2018" s="465"/>
      <c r="E2018" s="466" t="s">
        <v>3414</v>
      </c>
      <c r="F2018" s="466"/>
      <c r="G2018" s="465">
        <v>2</v>
      </c>
      <c r="H2018" s="465">
        <v>7</v>
      </c>
    </row>
    <row r="2019" spans="1:8" ht="13.8" thickBot="1">
      <c r="A2019" s="467" t="s">
        <v>7247</v>
      </c>
      <c r="B2019" s="465" t="s">
        <v>3444</v>
      </c>
      <c r="C2019" s="466">
        <v>5</v>
      </c>
      <c r="D2019" s="465"/>
      <c r="E2019" s="466" t="s">
        <v>3414</v>
      </c>
      <c r="F2019" s="466"/>
      <c r="G2019" s="465"/>
      <c r="H2019" s="465"/>
    </row>
    <row r="2020" spans="1:8" ht="13.8" thickBot="1">
      <c r="A2020" s="467" t="s">
        <v>7248</v>
      </c>
      <c r="B2020" s="465" t="s">
        <v>3445</v>
      </c>
      <c r="C2020" s="466">
        <v>5</v>
      </c>
      <c r="D2020" s="465"/>
      <c r="E2020" s="466" t="s">
        <v>3414</v>
      </c>
      <c r="F2020" s="466"/>
      <c r="G2020" s="465"/>
      <c r="H2020" s="465">
        <v>1</v>
      </c>
    </row>
    <row r="2021" spans="1:8" ht="13.8" thickBot="1">
      <c r="A2021" s="467" t="s">
        <v>7249</v>
      </c>
      <c r="B2021" s="465" t="s">
        <v>1448</v>
      </c>
      <c r="C2021" s="466">
        <v>5</v>
      </c>
      <c r="D2021" s="467" t="s">
        <v>614</v>
      </c>
      <c r="E2021" s="466" t="s">
        <v>3448</v>
      </c>
      <c r="F2021" s="466" t="s">
        <v>1226</v>
      </c>
      <c r="G2021" s="465"/>
      <c r="H2021" s="465">
        <v>8</v>
      </c>
    </row>
    <row r="2022" spans="1:8" ht="13.8" thickBot="1">
      <c r="A2022" s="465" t="s">
        <v>7250</v>
      </c>
      <c r="B2022" s="465" t="s">
        <v>3478</v>
      </c>
      <c r="C2022" s="466">
        <v>5</v>
      </c>
      <c r="D2022" s="465"/>
      <c r="E2022" s="466" t="s">
        <v>3452</v>
      </c>
      <c r="F2022" s="466" t="s">
        <v>1880</v>
      </c>
      <c r="G2022" s="465">
        <v>2</v>
      </c>
      <c r="H2022" s="465">
        <v>5</v>
      </c>
    </row>
    <row r="2023" spans="1:8" ht="13.8" thickBot="1">
      <c r="A2023" s="465" t="s">
        <v>7251</v>
      </c>
      <c r="B2023" s="465" t="s">
        <v>3486</v>
      </c>
      <c r="C2023" s="466">
        <v>5</v>
      </c>
      <c r="D2023" s="467" t="s">
        <v>614</v>
      </c>
      <c r="E2023" s="466" t="s">
        <v>3452</v>
      </c>
      <c r="F2023" s="466" t="s">
        <v>1224</v>
      </c>
      <c r="G2023" s="465">
        <v>2</v>
      </c>
      <c r="H2023" s="465">
        <v>6</v>
      </c>
    </row>
    <row r="2024" spans="1:8" ht="13.8" thickBot="1">
      <c r="A2024" s="467" t="s">
        <v>7252</v>
      </c>
      <c r="B2024" s="465" t="s">
        <v>3510</v>
      </c>
      <c r="C2024" s="466">
        <v>5</v>
      </c>
      <c r="D2024" s="465"/>
      <c r="E2024" s="466" t="s">
        <v>3496</v>
      </c>
      <c r="F2024" s="466" t="s">
        <v>1226</v>
      </c>
      <c r="G2024" s="465">
        <v>2</v>
      </c>
      <c r="H2024" s="465">
        <v>7</v>
      </c>
    </row>
    <row r="2025" spans="1:8" ht="13.8" thickBot="1">
      <c r="A2025" s="467" t="s">
        <v>7253</v>
      </c>
      <c r="B2025" s="465" t="s">
        <v>3511</v>
      </c>
      <c r="C2025" s="466">
        <v>5</v>
      </c>
      <c r="D2025" s="465"/>
      <c r="E2025" s="466" t="s">
        <v>3496</v>
      </c>
      <c r="F2025" s="466" t="s">
        <v>1220</v>
      </c>
      <c r="G2025" s="465"/>
      <c r="H2025" s="465">
        <v>6</v>
      </c>
    </row>
    <row r="2026" spans="1:8" ht="13.8" thickBot="1">
      <c r="A2026" s="465" t="s">
        <v>7254</v>
      </c>
      <c r="B2026" s="465" t="s">
        <v>3616</v>
      </c>
      <c r="C2026" s="466">
        <v>5</v>
      </c>
      <c r="D2026" s="465"/>
      <c r="E2026" s="466" t="s">
        <v>3517</v>
      </c>
      <c r="F2026" s="466" t="s">
        <v>1880</v>
      </c>
      <c r="G2026" s="465"/>
      <c r="H2026" s="465">
        <v>2</v>
      </c>
    </row>
    <row r="2027" spans="1:8" ht="13.8" thickBot="1">
      <c r="A2027" s="465" t="s">
        <v>7255</v>
      </c>
      <c r="B2027" s="465" t="s">
        <v>3617</v>
      </c>
      <c r="C2027" s="466">
        <v>5</v>
      </c>
      <c r="D2027" s="467" t="s">
        <v>614</v>
      </c>
      <c r="E2027" s="466" t="s">
        <v>3517</v>
      </c>
      <c r="F2027" s="466" t="s">
        <v>1226</v>
      </c>
      <c r="G2027" s="465"/>
      <c r="H2027" s="465">
        <v>1</v>
      </c>
    </row>
    <row r="2028" spans="1:8" ht="13.8" thickBot="1">
      <c r="A2028" s="465" t="s">
        <v>7256</v>
      </c>
      <c r="B2028" s="465" t="s">
        <v>3618</v>
      </c>
      <c r="C2028" s="466">
        <v>5</v>
      </c>
      <c r="D2028" s="465"/>
      <c r="E2028" s="466" t="s">
        <v>3517</v>
      </c>
      <c r="F2028" s="466" t="s">
        <v>1226</v>
      </c>
      <c r="G2028" s="465">
        <v>2</v>
      </c>
      <c r="H2028" s="465">
        <v>12</v>
      </c>
    </row>
    <row r="2029" spans="1:8" ht="13.8" thickBot="1">
      <c r="A2029" s="467" t="s">
        <v>7257</v>
      </c>
      <c r="B2029" s="465" t="s">
        <v>3619</v>
      </c>
      <c r="C2029" s="466">
        <v>5</v>
      </c>
      <c r="D2029" s="465"/>
      <c r="E2029" s="466" t="s">
        <v>3517</v>
      </c>
      <c r="F2029" s="466" t="s">
        <v>1226</v>
      </c>
      <c r="G2029" s="465"/>
      <c r="H2029" s="465">
        <v>2</v>
      </c>
    </row>
    <row r="2030" spans="1:8" ht="13.8" thickBot="1">
      <c r="A2030" s="467" t="s">
        <v>7258</v>
      </c>
      <c r="B2030" s="465" t="s">
        <v>1456</v>
      </c>
      <c r="C2030" s="466">
        <v>5</v>
      </c>
      <c r="D2030" s="465"/>
      <c r="E2030" s="466" t="s">
        <v>3517</v>
      </c>
      <c r="F2030" s="466" t="s">
        <v>1226</v>
      </c>
      <c r="G2030" s="465">
        <v>1</v>
      </c>
      <c r="H2030" s="465">
        <v>10</v>
      </c>
    </row>
    <row r="2031" spans="1:8" ht="13.8" thickBot="1">
      <c r="A2031" s="467" t="s">
        <v>7259</v>
      </c>
      <c r="B2031" s="465" t="s">
        <v>1464</v>
      </c>
      <c r="C2031" s="466">
        <v>5</v>
      </c>
      <c r="D2031" s="467" t="s">
        <v>614</v>
      </c>
      <c r="E2031" s="466" t="s">
        <v>3517</v>
      </c>
      <c r="F2031" s="466" t="s">
        <v>1226</v>
      </c>
      <c r="G2031" s="465"/>
      <c r="H2031" s="465">
        <v>8</v>
      </c>
    </row>
    <row r="2032" spans="1:8" ht="13.8" thickBot="1">
      <c r="A2032" s="465" t="s">
        <v>7260</v>
      </c>
      <c r="B2032" s="465" t="s">
        <v>3620</v>
      </c>
      <c r="C2032" s="466">
        <v>5</v>
      </c>
      <c r="D2032" s="467" t="s">
        <v>614</v>
      </c>
      <c r="E2032" s="466" t="s">
        <v>3517</v>
      </c>
      <c r="F2032" s="466" t="s">
        <v>1224</v>
      </c>
      <c r="G2032" s="465"/>
      <c r="H2032" s="465">
        <v>2</v>
      </c>
    </row>
    <row r="2033" spans="1:8" ht="13.8" thickBot="1">
      <c r="A2033" s="467" t="s">
        <v>7261</v>
      </c>
      <c r="B2033" s="468" t="s">
        <v>3621</v>
      </c>
      <c r="C2033" s="466">
        <v>5</v>
      </c>
      <c r="D2033" s="465"/>
      <c r="E2033" s="466" t="s">
        <v>3517</v>
      </c>
      <c r="F2033" s="466" t="s">
        <v>1224</v>
      </c>
      <c r="G2033" s="465"/>
      <c r="H2033" s="465">
        <v>1</v>
      </c>
    </row>
    <row r="2034" spans="1:8" ht="13.8" thickBot="1">
      <c r="A2034" s="467" t="s">
        <v>7262</v>
      </c>
      <c r="B2034" s="465" t="s">
        <v>3622</v>
      </c>
      <c r="C2034" s="466">
        <v>5</v>
      </c>
      <c r="D2034" s="465"/>
      <c r="E2034" s="466" t="s">
        <v>3517</v>
      </c>
      <c r="F2034" s="466" t="s">
        <v>1224</v>
      </c>
      <c r="G2034" s="465"/>
      <c r="H2034" s="465">
        <v>8</v>
      </c>
    </row>
    <row r="2035" spans="1:8" ht="13.8" thickBot="1">
      <c r="A2035" s="467" t="s">
        <v>7263</v>
      </c>
      <c r="B2035" s="465" t="s">
        <v>1453</v>
      </c>
      <c r="C2035" s="466">
        <v>5</v>
      </c>
      <c r="D2035" s="465"/>
      <c r="E2035" s="466" t="s">
        <v>3517</v>
      </c>
      <c r="F2035" s="466" t="s">
        <v>1224</v>
      </c>
      <c r="G2035" s="465"/>
      <c r="H2035" s="465">
        <v>1</v>
      </c>
    </row>
    <row r="2036" spans="1:8" ht="13.8" thickBot="1">
      <c r="A2036" s="467" t="s">
        <v>7264</v>
      </c>
      <c r="B2036" s="468" t="s">
        <v>3623</v>
      </c>
      <c r="C2036" s="466">
        <v>5</v>
      </c>
      <c r="D2036" s="465"/>
      <c r="E2036" s="466" t="s">
        <v>3517</v>
      </c>
      <c r="F2036" s="466" t="s">
        <v>1224</v>
      </c>
      <c r="G2036" s="465"/>
      <c r="H2036" s="465">
        <v>2</v>
      </c>
    </row>
    <row r="2037" spans="1:8" ht="13.8" thickBot="1">
      <c r="A2037" s="465" t="s">
        <v>7265</v>
      </c>
      <c r="B2037" s="465" t="s">
        <v>3624</v>
      </c>
      <c r="C2037" s="466">
        <v>5</v>
      </c>
      <c r="D2037" s="465"/>
      <c r="E2037" s="466" t="s">
        <v>3517</v>
      </c>
      <c r="F2037" s="466" t="s">
        <v>2015</v>
      </c>
      <c r="G2037" s="465"/>
      <c r="H2037" s="465">
        <v>7</v>
      </c>
    </row>
    <row r="2038" spans="1:8" ht="13.8" thickBot="1">
      <c r="A2038" s="465" t="s">
        <v>7266</v>
      </c>
      <c r="B2038" s="465" t="s">
        <v>1458</v>
      </c>
      <c r="C2038" s="466">
        <v>5</v>
      </c>
      <c r="D2038" s="465"/>
      <c r="E2038" s="466" t="s">
        <v>3517</v>
      </c>
      <c r="F2038" s="466"/>
      <c r="G2038" s="465">
        <v>1</v>
      </c>
      <c r="H2038" s="465">
        <v>9</v>
      </c>
    </row>
    <row r="2039" spans="1:8" ht="13.8" thickBot="1">
      <c r="A2039" s="465" t="s">
        <v>7267</v>
      </c>
      <c r="B2039" s="465" t="s">
        <v>3565</v>
      </c>
      <c r="C2039" s="466">
        <v>5</v>
      </c>
      <c r="D2039" s="465"/>
      <c r="E2039" s="466" t="s">
        <v>3517</v>
      </c>
      <c r="F2039" s="466"/>
      <c r="G2039" s="465"/>
      <c r="H2039" s="465">
        <v>1</v>
      </c>
    </row>
    <row r="2040" spans="1:8" ht="13.8" thickBot="1">
      <c r="A2040" s="465" t="s">
        <v>7268</v>
      </c>
      <c r="B2040" s="465" t="s">
        <v>3625</v>
      </c>
      <c r="C2040" s="466">
        <v>5</v>
      </c>
      <c r="D2040" s="465"/>
      <c r="E2040" s="466" t="s">
        <v>3517</v>
      </c>
      <c r="F2040" s="466"/>
      <c r="G2040" s="465"/>
      <c r="H2040" s="465">
        <v>2</v>
      </c>
    </row>
    <row r="2041" spans="1:8" ht="13.8" thickBot="1">
      <c r="A2041" s="467" t="s">
        <v>7269</v>
      </c>
      <c r="B2041" s="465" t="s">
        <v>3621</v>
      </c>
      <c r="C2041" s="466">
        <v>5</v>
      </c>
      <c r="D2041" s="465"/>
      <c r="E2041" s="466" t="s">
        <v>3517</v>
      </c>
      <c r="F2041" s="466"/>
      <c r="G2041" s="465"/>
      <c r="H2041" s="465">
        <v>2</v>
      </c>
    </row>
    <row r="2042" spans="1:8" ht="13.8" thickBot="1">
      <c r="A2042" s="467" t="s">
        <v>7270</v>
      </c>
      <c r="B2042" s="465" t="s">
        <v>1459</v>
      </c>
      <c r="C2042" s="466">
        <v>5</v>
      </c>
      <c r="D2042" s="465"/>
      <c r="E2042" s="466" t="s">
        <v>3517</v>
      </c>
      <c r="F2042" s="466"/>
      <c r="G2042" s="465"/>
      <c r="H2042" s="465">
        <v>11</v>
      </c>
    </row>
    <row r="2043" spans="1:8" ht="13.8" thickBot="1">
      <c r="A2043" s="467" t="s">
        <v>7271</v>
      </c>
      <c r="B2043" s="465" t="s">
        <v>3626</v>
      </c>
      <c r="C2043" s="466">
        <v>5</v>
      </c>
      <c r="D2043" s="465"/>
      <c r="E2043" s="466" t="s">
        <v>3517</v>
      </c>
      <c r="F2043" s="466"/>
      <c r="G2043" s="465"/>
      <c r="H2043" s="465">
        <v>3</v>
      </c>
    </row>
    <row r="2044" spans="1:8" ht="13.8" thickBot="1">
      <c r="A2044" s="467" t="s">
        <v>7272</v>
      </c>
      <c r="B2044" s="465" t="s">
        <v>3534</v>
      </c>
      <c r="C2044" s="466">
        <v>5</v>
      </c>
      <c r="D2044" s="465"/>
      <c r="E2044" s="466" t="s">
        <v>3517</v>
      </c>
      <c r="F2044" s="466"/>
      <c r="G2044" s="465"/>
      <c r="H2044" s="465">
        <v>1</v>
      </c>
    </row>
    <row r="2045" spans="1:8" ht="13.8" thickBot="1">
      <c r="A2045" s="467" t="s">
        <v>7273</v>
      </c>
      <c r="B2045" s="465" t="s">
        <v>3627</v>
      </c>
      <c r="C2045" s="466">
        <v>5</v>
      </c>
      <c r="D2045" s="465"/>
      <c r="E2045" s="466" t="s">
        <v>3517</v>
      </c>
      <c r="F2045" s="466"/>
      <c r="G2045" s="465">
        <v>1</v>
      </c>
      <c r="H2045" s="465">
        <v>4</v>
      </c>
    </row>
    <row r="2046" spans="1:8" ht="13.8" thickBot="1">
      <c r="A2046" s="465" t="s">
        <v>7274</v>
      </c>
      <c r="B2046" s="465" t="s">
        <v>3616</v>
      </c>
      <c r="C2046" s="466">
        <v>5</v>
      </c>
      <c r="D2046" s="465"/>
      <c r="E2046" s="466" t="s">
        <v>3517</v>
      </c>
      <c r="F2046" s="466"/>
      <c r="G2046" s="465"/>
      <c r="H2046" s="465"/>
    </row>
    <row r="2047" spans="1:8" ht="13.8" thickBot="1">
      <c r="A2047" s="465" t="s">
        <v>7275</v>
      </c>
      <c r="B2047" s="465" t="s">
        <v>3628</v>
      </c>
      <c r="C2047" s="466">
        <v>5</v>
      </c>
      <c r="D2047" s="465"/>
      <c r="E2047" s="466" t="s">
        <v>3517</v>
      </c>
      <c r="F2047" s="466"/>
      <c r="G2047" s="465"/>
      <c r="H2047" s="465"/>
    </row>
    <row r="2048" spans="1:8" ht="13.8" thickBot="1">
      <c r="A2048" s="465" t="s">
        <v>7276</v>
      </c>
      <c r="B2048" s="465" t="s">
        <v>3695</v>
      </c>
      <c r="C2048" s="466">
        <v>5</v>
      </c>
      <c r="D2048" s="467" t="s">
        <v>2158</v>
      </c>
      <c r="E2048" s="466" t="s">
        <v>3652</v>
      </c>
      <c r="F2048" s="466" t="s">
        <v>1251</v>
      </c>
      <c r="G2048" s="465"/>
      <c r="H2048" s="465">
        <v>12</v>
      </c>
    </row>
    <row r="2049" spans="1:8" ht="13.8" thickBot="1">
      <c r="A2049" s="467" t="s">
        <v>7277</v>
      </c>
      <c r="B2049" s="465" t="s">
        <v>1466</v>
      </c>
      <c r="C2049" s="466">
        <v>5</v>
      </c>
      <c r="D2049" s="465"/>
      <c r="E2049" s="466" t="s">
        <v>3652</v>
      </c>
      <c r="F2049" s="466" t="s">
        <v>1226</v>
      </c>
      <c r="G2049" s="465"/>
      <c r="H2049" s="465"/>
    </row>
    <row r="2050" spans="1:8" ht="13.8" thickBot="1">
      <c r="A2050" s="467" t="s">
        <v>7278</v>
      </c>
      <c r="B2050" s="465" t="s">
        <v>3696</v>
      </c>
      <c r="C2050" s="466">
        <v>5</v>
      </c>
      <c r="D2050" s="465"/>
      <c r="E2050" s="466" t="s">
        <v>3652</v>
      </c>
      <c r="F2050" s="466" t="s">
        <v>1226</v>
      </c>
      <c r="G2050" s="465"/>
      <c r="H2050" s="465">
        <v>1</v>
      </c>
    </row>
    <row r="2051" spans="1:8" ht="13.8" thickBot="1">
      <c r="A2051" s="465" t="s">
        <v>7279</v>
      </c>
      <c r="B2051" s="465" t="s">
        <v>1471</v>
      </c>
      <c r="C2051" s="466">
        <v>5</v>
      </c>
      <c r="D2051" s="465"/>
      <c r="E2051" s="466" t="s">
        <v>3652</v>
      </c>
      <c r="F2051" s="466" t="s">
        <v>1226</v>
      </c>
      <c r="G2051" s="465"/>
      <c r="H2051" s="465">
        <v>1</v>
      </c>
    </row>
    <row r="2052" spans="1:8" ht="13.8" thickBot="1">
      <c r="A2052" s="465" t="s">
        <v>7280</v>
      </c>
      <c r="B2052" s="465" t="s">
        <v>3697</v>
      </c>
      <c r="C2052" s="466">
        <v>5</v>
      </c>
      <c r="D2052" s="465"/>
      <c r="E2052" s="466" t="s">
        <v>3652</v>
      </c>
      <c r="F2052" s="466" t="s">
        <v>1226</v>
      </c>
      <c r="G2052" s="465"/>
      <c r="H2052" s="465"/>
    </row>
    <row r="2053" spans="1:8" ht="13.8" thickBot="1">
      <c r="A2053" s="467" t="s">
        <v>7281</v>
      </c>
      <c r="B2053" s="465" t="s">
        <v>1468</v>
      </c>
      <c r="C2053" s="466">
        <v>5</v>
      </c>
      <c r="D2053" s="465"/>
      <c r="E2053" s="466" t="s">
        <v>3652</v>
      </c>
      <c r="F2053" s="466" t="s">
        <v>1226</v>
      </c>
      <c r="G2053" s="465"/>
      <c r="H2053" s="465">
        <v>6</v>
      </c>
    </row>
    <row r="2054" spans="1:8" ht="13.8" thickBot="1">
      <c r="A2054" s="465" t="s">
        <v>7282</v>
      </c>
      <c r="B2054" s="465" t="s">
        <v>3698</v>
      </c>
      <c r="C2054" s="466">
        <v>5</v>
      </c>
      <c r="D2054" s="465"/>
      <c r="E2054" s="466" t="s">
        <v>3652</v>
      </c>
      <c r="F2054" s="466" t="s">
        <v>1226</v>
      </c>
      <c r="G2054" s="465"/>
      <c r="H2054" s="465">
        <v>12</v>
      </c>
    </row>
    <row r="2055" spans="1:8" ht="13.8" thickBot="1">
      <c r="A2055" s="467" t="s">
        <v>7283</v>
      </c>
      <c r="B2055" s="465" t="s">
        <v>3699</v>
      </c>
      <c r="C2055" s="466">
        <v>5</v>
      </c>
      <c r="D2055" s="467" t="s">
        <v>614</v>
      </c>
      <c r="E2055" s="466" t="s">
        <v>3652</v>
      </c>
      <c r="F2055" s="466" t="s">
        <v>1226</v>
      </c>
      <c r="G2055" s="465">
        <v>1</v>
      </c>
      <c r="H2055" s="465">
        <v>1</v>
      </c>
    </row>
    <row r="2056" spans="1:8" ht="13.8" thickBot="1">
      <c r="A2056" s="467" t="s">
        <v>7284</v>
      </c>
      <c r="B2056" s="465" t="s">
        <v>3700</v>
      </c>
      <c r="C2056" s="466">
        <v>5</v>
      </c>
      <c r="D2056" s="465"/>
      <c r="E2056" s="466" t="s">
        <v>3652</v>
      </c>
      <c r="F2056" s="466" t="s">
        <v>1224</v>
      </c>
      <c r="G2056" s="465">
        <v>1</v>
      </c>
      <c r="H2056" s="465">
        <v>5</v>
      </c>
    </row>
    <row r="2057" spans="1:8" ht="13.8" thickBot="1">
      <c r="A2057" s="467" t="s">
        <v>7285</v>
      </c>
      <c r="B2057" s="465" t="s">
        <v>1472</v>
      </c>
      <c r="C2057" s="466">
        <v>5</v>
      </c>
      <c r="D2057" s="465"/>
      <c r="E2057" s="466" t="s">
        <v>3652</v>
      </c>
      <c r="F2057" s="466" t="s">
        <v>1224</v>
      </c>
      <c r="G2057" s="465"/>
      <c r="H2057" s="465">
        <v>6</v>
      </c>
    </row>
    <row r="2058" spans="1:8" ht="13.8" thickBot="1">
      <c r="A2058" s="467" t="s">
        <v>7286</v>
      </c>
      <c r="B2058" s="465" t="s">
        <v>3701</v>
      </c>
      <c r="C2058" s="466">
        <v>5</v>
      </c>
      <c r="D2058" s="465"/>
      <c r="E2058" s="466" t="s">
        <v>3652</v>
      </c>
      <c r="F2058" s="466" t="s">
        <v>1224</v>
      </c>
      <c r="G2058" s="465"/>
      <c r="H2058" s="465">
        <v>4</v>
      </c>
    </row>
    <row r="2059" spans="1:8" ht="13.8" thickBot="1">
      <c r="A2059" s="467" t="s">
        <v>7287</v>
      </c>
      <c r="B2059" s="465" t="s">
        <v>1466</v>
      </c>
      <c r="C2059" s="466">
        <v>5</v>
      </c>
      <c r="D2059" s="465"/>
      <c r="E2059" s="466" t="s">
        <v>3652</v>
      </c>
      <c r="F2059" s="466" t="s">
        <v>1220</v>
      </c>
      <c r="G2059" s="465"/>
      <c r="H2059" s="465">
        <v>1</v>
      </c>
    </row>
    <row r="2060" spans="1:8" ht="13.8" thickBot="1">
      <c r="A2060" s="467" t="s">
        <v>7288</v>
      </c>
      <c r="B2060" s="465" t="s">
        <v>3702</v>
      </c>
      <c r="C2060" s="466">
        <v>5</v>
      </c>
      <c r="D2060" s="465"/>
      <c r="E2060" s="466" t="s">
        <v>3652</v>
      </c>
      <c r="F2060" s="466" t="s">
        <v>1220</v>
      </c>
      <c r="G2060" s="465"/>
      <c r="H2060" s="465">
        <v>1</v>
      </c>
    </row>
    <row r="2061" spans="1:8" ht="13.8" thickBot="1">
      <c r="A2061" s="465" t="s">
        <v>1145</v>
      </c>
      <c r="B2061" s="465" t="s">
        <v>3703</v>
      </c>
      <c r="C2061" s="466">
        <v>5</v>
      </c>
      <c r="D2061" s="465"/>
      <c r="E2061" s="466" t="s">
        <v>3652</v>
      </c>
      <c r="F2061" s="466" t="s">
        <v>1220</v>
      </c>
      <c r="G2061" s="465"/>
      <c r="H2061" s="465">
        <v>4</v>
      </c>
    </row>
    <row r="2062" spans="1:8" ht="13.8" thickBot="1">
      <c r="A2062" s="467" t="s">
        <v>7289</v>
      </c>
      <c r="B2062" s="465" t="s">
        <v>1466</v>
      </c>
      <c r="C2062" s="466">
        <v>5</v>
      </c>
      <c r="D2062" s="465"/>
      <c r="E2062" s="466" t="s">
        <v>3652</v>
      </c>
      <c r="F2062" s="466"/>
      <c r="G2062" s="465"/>
      <c r="H2062" s="465">
        <v>1</v>
      </c>
    </row>
    <row r="2063" spans="1:8" ht="13.8" thickBot="1">
      <c r="A2063" s="467" t="s">
        <v>7290</v>
      </c>
      <c r="B2063" s="465" t="s">
        <v>1466</v>
      </c>
      <c r="C2063" s="466">
        <v>5</v>
      </c>
      <c r="D2063" s="465"/>
      <c r="E2063" s="466" t="s">
        <v>3652</v>
      </c>
      <c r="F2063" s="466"/>
      <c r="G2063" s="465"/>
      <c r="H2063" s="465">
        <v>3</v>
      </c>
    </row>
    <row r="2064" spans="1:8" ht="13.8" thickBot="1">
      <c r="A2064" s="467" t="s">
        <v>7291</v>
      </c>
      <c r="B2064" s="465" t="s">
        <v>1466</v>
      </c>
      <c r="C2064" s="466">
        <v>5</v>
      </c>
      <c r="D2064" s="465"/>
      <c r="E2064" s="466" t="s">
        <v>3652</v>
      </c>
      <c r="F2064" s="466"/>
      <c r="G2064" s="465"/>
      <c r="H2064" s="465">
        <v>2</v>
      </c>
    </row>
    <row r="2065" spans="1:8" ht="13.8" thickBot="1">
      <c r="A2065" s="467" t="s">
        <v>7292</v>
      </c>
      <c r="B2065" s="465" t="s">
        <v>1466</v>
      </c>
      <c r="C2065" s="466">
        <v>5</v>
      </c>
      <c r="D2065" s="465"/>
      <c r="E2065" s="466" t="s">
        <v>3652</v>
      </c>
      <c r="F2065" s="466"/>
      <c r="G2065" s="465"/>
      <c r="H2065" s="465"/>
    </row>
    <row r="2066" spans="1:8" ht="13.8" thickBot="1">
      <c r="A2066" s="467" t="s">
        <v>7293</v>
      </c>
      <c r="B2066" s="465" t="s">
        <v>1466</v>
      </c>
      <c r="C2066" s="466">
        <v>5</v>
      </c>
      <c r="D2066" s="465"/>
      <c r="E2066" s="466" t="s">
        <v>3652</v>
      </c>
      <c r="F2066" s="466"/>
      <c r="G2066" s="465"/>
      <c r="H2066" s="465">
        <v>2</v>
      </c>
    </row>
    <row r="2067" spans="1:8" ht="13.8" thickBot="1">
      <c r="A2067" s="467" t="s">
        <v>7294</v>
      </c>
      <c r="B2067" s="465" t="s">
        <v>1466</v>
      </c>
      <c r="C2067" s="466">
        <v>5</v>
      </c>
      <c r="D2067" s="465"/>
      <c r="E2067" s="466" t="s">
        <v>3652</v>
      </c>
      <c r="F2067" s="466"/>
      <c r="G2067" s="465"/>
      <c r="H2067" s="465">
        <v>1</v>
      </c>
    </row>
    <row r="2068" spans="1:8" ht="13.8" thickBot="1">
      <c r="A2068" s="467" t="s">
        <v>7295</v>
      </c>
      <c r="B2068" s="465" t="s">
        <v>3704</v>
      </c>
      <c r="C2068" s="466">
        <v>5</v>
      </c>
      <c r="D2068" s="467" t="s">
        <v>614</v>
      </c>
      <c r="E2068" s="466" t="s">
        <v>3652</v>
      </c>
      <c r="F2068" s="466"/>
      <c r="G2068" s="465"/>
      <c r="H2068" s="465">
        <v>6</v>
      </c>
    </row>
    <row r="2069" spans="1:8" ht="13.8" thickBot="1">
      <c r="A2069" s="467" t="s">
        <v>7296</v>
      </c>
      <c r="B2069" s="465" t="s">
        <v>3705</v>
      </c>
      <c r="C2069" s="466">
        <v>5</v>
      </c>
      <c r="D2069" s="465"/>
      <c r="E2069" s="466" t="s">
        <v>3652</v>
      </c>
      <c r="F2069" s="466"/>
      <c r="G2069" s="465"/>
      <c r="H2069" s="465">
        <v>1</v>
      </c>
    </row>
    <row r="2070" spans="1:8" ht="13.8" thickBot="1">
      <c r="A2070" s="467" t="s">
        <v>7297</v>
      </c>
      <c r="B2070" s="465" t="s">
        <v>3706</v>
      </c>
      <c r="C2070" s="466">
        <v>5</v>
      </c>
      <c r="D2070" s="465"/>
      <c r="E2070" s="466" t="s">
        <v>3652</v>
      </c>
      <c r="F2070" s="466"/>
      <c r="G2070" s="465"/>
      <c r="H2070" s="465">
        <v>3</v>
      </c>
    </row>
    <row r="2071" spans="1:8" ht="13.8" thickBot="1">
      <c r="A2071" s="467" t="s">
        <v>7298</v>
      </c>
      <c r="B2071" s="465" t="s">
        <v>3707</v>
      </c>
      <c r="C2071" s="466">
        <v>5</v>
      </c>
      <c r="D2071" s="465"/>
      <c r="E2071" s="466" t="s">
        <v>3652</v>
      </c>
      <c r="F2071" s="466"/>
      <c r="G2071" s="465"/>
      <c r="H2071" s="465">
        <v>1</v>
      </c>
    </row>
    <row r="2072" spans="1:8" ht="13.8" thickBot="1">
      <c r="A2072" s="467" t="s">
        <v>7299</v>
      </c>
      <c r="B2072" s="465" t="s">
        <v>3708</v>
      </c>
      <c r="C2072" s="466">
        <v>5</v>
      </c>
      <c r="D2072" s="465"/>
      <c r="E2072" s="466" t="s">
        <v>3652</v>
      </c>
      <c r="F2072" s="466"/>
      <c r="G2072" s="465"/>
      <c r="H2072" s="465">
        <v>2</v>
      </c>
    </row>
    <row r="2073" spans="1:8" ht="13.8" thickBot="1">
      <c r="A2073" s="467" t="s">
        <v>7300</v>
      </c>
      <c r="B2073" s="465" t="s">
        <v>3709</v>
      </c>
      <c r="C2073" s="466">
        <v>5</v>
      </c>
      <c r="D2073" s="465"/>
      <c r="E2073" s="466" t="s">
        <v>3652</v>
      </c>
      <c r="F2073" s="466"/>
      <c r="G2073" s="465"/>
      <c r="H2073" s="465">
        <v>1</v>
      </c>
    </row>
    <row r="2074" spans="1:8" ht="13.8" thickBot="1">
      <c r="A2074" s="467" t="s">
        <v>7301</v>
      </c>
      <c r="B2074" s="465" t="s">
        <v>3710</v>
      </c>
      <c r="C2074" s="466">
        <v>5</v>
      </c>
      <c r="D2074" s="465"/>
      <c r="E2074" s="466" t="s">
        <v>3652</v>
      </c>
      <c r="F2074" s="466"/>
      <c r="G2074" s="465"/>
      <c r="H2074" s="465">
        <v>4</v>
      </c>
    </row>
    <row r="2075" spans="1:8" ht="13.8" thickBot="1">
      <c r="A2075" s="467" t="s">
        <v>7302</v>
      </c>
      <c r="B2075" s="465" t="s">
        <v>1473</v>
      </c>
      <c r="C2075" s="466">
        <v>5</v>
      </c>
      <c r="D2075" s="467" t="s">
        <v>614</v>
      </c>
      <c r="E2075" s="466" t="s">
        <v>3652</v>
      </c>
      <c r="F2075" s="466"/>
      <c r="G2075" s="465">
        <v>1</v>
      </c>
      <c r="H2075" s="465">
        <v>11</v>
      </c>
    </row>
    <row r="2076" spans="1:8" ht="13.8" thickBot="1">
      <c r="A2076" s="467" t="s">
        <v>7303</v>
      </c>
      <c r="B2076" s="465" t="s">
        <v>3725</v>
      </c>
      <c r="C2076" s="466">
        <v>5</v>
      </c>
      <c r="D2076" s="465"/>
      <c r="E2076" s="466" t="s">
        <v>3724</v>
      </c>
      <c r="F2076" s="466"/>
      <c r="G2076" s="465"/>
      <c r="H2076" s="465"/>
    </row>
    <row r="2077" spans="1:8" ht="13.8" thickBot="1">
      <c r="A2077" s="467" t="s">
        <v>6893</v>
      </c>
      <c r="B2077" s="465" t="s">
        <v>2102</v>
      </c>
      <c r="C2077" s="466">
        <v>5</v>
      </c>
      <c r="D2077" s="467" t="s">
        <v>614</v>
      </c>
      <c r="E2077" s="466" t="s">
        <v>2087</v>
      </c>
      <c r="F2077" s="466" t="s">
        <v>2103</v>
      </c>
      <c r="G2077" s="465"/>
      <c r="H2077" s="465">
        <v>1</v>
      </c>
    </row>
    <row r="2078" spans="1:8" ht="13.8" thickBot="1">
      <c r="A2078" s="467" t="s">
        <v>6890</v>
      </c>
      <c r="B2078" s="465" t="s">
        <v>2098</v>
      </c>
      <c r="C2078" s="466">
        <v>5</v>
      </c>
      <c r="D2078" s="465"/>
      <c r="E2078" s="466" t="s">
        <v>2087</v>
      </c>
      <c r="F2078" s="466" t="s">
        <v>1865</v>
      </c>
      <c r="G2078" s="465">
        <v>1</v>
      </c>
      <c r="H2078" s="465">
        <v>6</v>
      </c>
    </row>
    <row r="2079" spans="1:8" ht="13.8" thickBot="1">
      <c r="A2079" s="465" t="s">
        <v>6894</v>
      </c>
      <c r="B2079" s="465" t="s">
        <v>1248</v>
      </c>
      <c r="C2079" s="466">
        <v>5</v>
      </c>
      <c r="D2079" s="465"/>
      <c r="E2079" s="466" t="s">
        <v>2087</v>
      </c>
      <c r="F2079" s="466" t="s">
        <v>1226</v>
      </c>
      <c r="G2079" s="465">
        <v>3</v>
      </c>
      <c r="H2079" s="465">
        <v>15</v>
      </c>
    </row>
    <row r="2080" spans="1:8" ht="13.8" thickBot="1">
      <c r="A2080" s="467" t="s">
        <v>6895</v>
      </c>
      <c r="B2080" s="465" t="s">
        <v>1246</v>
      </c>
      <c r="C2080" s="466">
        <v>5</v>
      </c>
      <c r="D2080" s="465"/>
      <c r="E2080" s="466" t="s">
        <v>2087</v>
      </c>
      <c r="F2080" s="466"/>
      <c r="G2080" s="465"/>
      <c r="H2080" s="465">
        <v>1</v>
      </c>
    </row>
    <row r="2081" spans="1:8" ht="13.8" thickBot="1">
      <c r="A2081" s="467" t="s">
        <v>6896</v>
      </c>
      <c r="B2081" s="465" t="s">
        <v>2104</v>
      </c>
      <c r="C2081" s="466">
        <v>5</v>
      </c>
      <c r="D2081" s="465"/>
      <c r="E2081" s="466" t="s">
        <v>2087</v>
      </c>
      <c r="F2081" s="466"/>
      <c r="G2081" s="465"/>
      <c r="H2081" s="465">
        <v>5</v>
      </c>
    </row>
    <row r="2082" spans="1:8" ht="13.8" thickBot="1">
      <c r="A2082" s="467" t="s">
        <v>6897</v>
      </c>
      <c r="B2082" s="465" t="s">
        <v>2105</v>
      </c>
      <c r="C2082" s="466">
        <v>5</v>
      </c>
      <c r="D2082" s="465"/>
      <c r="E2082" s="466" t="s">
        <v>2087</v>
      </c>
      <c r="F2082" s="466"/>
      <c r="G2082" s="465"/>
      <c r="H2082" s="465">
        <v>2</v>
      </c>
    </row>
    <row r="2083" spans="1:8" ht="13.8" thickBot="1">
      <c r="A2083" s="467" t="s">
        <v>6898</v>
      </c>
      <c r="B2083" s="465" t="s">
        <v>2106</v>
      </c>
      <c r="C2083" s="466">
        <v>5</v>
      </c>
      <c r="D2083" s="465"/>
      <c r="E2083" s="466" t="s">
        <v>2087</v>
      </c>
      <c r="F2083" s="466"/>
      <c r="G2083" s="465"/>
      <c r="H2083" s="465">
        <v>1</v>
      </c>
    </row>
    <row r="2084" spans="1:8" ht="13.8" thickBot="1">
      <c r="A2084" s="467" t="s">
        <v>7304</v>
      </c>
      <c r="B2084" s="465" t="s">
        <v>3787</v>
      </c>
      <c r="C2084" s="466">
        <v>5</v>
      </c>
      <c r="D2084" s="467" t="s">
        <v>614</v>
      </c>
      <c r="E2084" s="466" t="s">
        <v>3734</v>
      </c>
      <c r="F2084" s="466" t="s">
        <v>1226</v>
      </c>
      <c r="G2084" s="465">
        <v>1</v>
      </c>
      <c r="H2084" s="465">
        <v>2</v>
      </c>
    </row>
    <row r="2085" spans="1:8" ht="13.8" thickBot="1">
      <c r="A2085" s="467" t="s">
        <v>7305</v>
      </c>
      <c r="B2085" s="465" t="s">
        <v>3788</v>
      </c>
      <c r="C2085" s="466">
        <v>5</v>
      </c>
      <c r="D2085" s="465"/>
      <c r="E2085" s="466" t="s">
        <v>3734</v>
      </c>
      <c r="F2085" s="466" t="s">
        <v>1226</v>
      </c>
      <c r="G2085" s="465"/>
      <c r="H2085" s="465">
        <v>8</v>
      </c>
    </row>
    <row r="2086" spans="1:8" ht="13.8" thickBot="1">
      <c r="A2086" s="467" t="s">
        <v>7306</v>
      </c>
      <c r="B2086" s="465" t="s">
        <v>1483</v>
      </c>
      <c r="C2086" s="466">
        <v>5</v>
      </c>
      <c r="D2086" s="465"/>
      <c r="E2086" s="466" t="s">
        <v>3734</v>
      </c>
      <c r="F2086" s="466" t="s">
        <v>1226</v>
      </c>
      <c r="G2086" s="465">
        <v>2</v>
      </c>
      <c r="H2086" s="465">
        <v>11</v>
      </c>
    </row>
    <row r="2087" spans="1:8" ht="13.8" thickBot="1">
      <c r="A2087" s="467" t="s">
        <v>7307</v>
      </c>
      <c r="B2087" s="465" t="s">
        <v>1486</v>
      </c>
      <c r="C2087" s="466">
        <v>5</v>
      </c>
      <c r="D2087" s="465" t="s">
        <v>1096</v>
      </c>
      <c r="E2087" s="466" t="s">
        <v>3734</v>
      </c>
      <c r="F2087" s="466" t="s">
        <v>1226</v>
      </c>
      <c r="G2087" s="465"/>
      <c r="H2087" s="465">
        <v>6</v>
      </c>
    </row>
    <row r="2088" spans="1:8" ht="13.8" thickBot="1">
      <c r="A2088" s="467" t="s">
        <v>7308</v>
      </c>
      <c r="B2088" s="465" t="s">
        <v>3789</v>
      </c>
      <c r="C2088" s="466">
        <v>5</v>
      </c>
      <c r="D2088" s="465"/>
      <c r="E2088" s="466" t="s">
        <v>3734</v>
      </c>
      <c r="F2088" s="466" t="s">
        <v>1226</v>
      </c>
      <c r="G2088" s="465"/>
      <c r="H2088" s="465">
        <v>14</v>
      </c>
    </row>
    <row r="2089" spans="1:8" ht="13.8" thickBot="1">
      <c r="A2089" s="467" t="s">
        <v>7309</v>
      </c>
      <c r="B2089" s="465" t="s">
        <v>1480</v>
      </c>
      <c r="C2089" s="466">
        <v>5</v>
      </c>
      <c r="D2089" s="465"/>
      <c r="E2089" s="466" t="s">
        <v>3734</v>
      </c>
      <c r="F2089" s="466" t="s">
        <v>1224</v>
      </c>
      <c r="G2089" s="465"/>
      <c r="H2089" s="465">
        <v>2</v>
      </c>
    </row>
    <row r="2090" spans="1:8" ht="13.8" thickBot="1">
      <c r="A2090" s="467" t="s">
        <v>7310</v>
      </c>
      <c r="B2090" s="465" t="s">
        <v>1484</v>
      </c>
      <c r="C2090" s="466">
        <v>5</v>
      </c>
      <c r="D2090" s="465" t="s">
        <v>614</v>
      </c>
      <c r="E2090" s="466" t="s">
        <v>3734</v>
      </c>
      <c r="F2090" s="466" t="s">
        <v>1224</v>
      </c>
      <c r="G2090" s="465">
        <v>1</v>
      </c>
      <c r="H2090" s="465">
        <v>2</v>
      </c>
    </row>
    <row r="2091" spans="1:8" ht="13.8" thickBot="1">
      <c r="A2091" s="465" t="s">
        <v>7311</v>
      </c>
      <c r="B2091" s="465" t="s">
        <v>3790</v>
      </c>
      <c r="C2091" s="466">
        <v>5</v>
      </c>
      <c r="D2091" s="465"/>
      <c r="E2091" s="466" t="s">
        <v>3734</v>
      </c>
      <c r="F2091" s="466" t="s">
        <v>1224</v>
      </c>
      <c r="G2091" s="465"/>
      <c r="H2091" s="465">
        <v>7</v>
      </c>
    </row>
    <row r="2092" spans="1:8" ht="13.8" thickBot="1">
      <c r="A2092" s="467" t="s">
        <v>7312</v>
      </c>
      <c r="B2092" s="465" t="s">
        <v>1480</v>
      </c>
      <c r="C2092" s="466">
        <v>5</v>
      </c>
      <c r="D2092" s="465"/>
      <c r="E2092" s="466" t="s">
        <v>3734</v>
      </c>
      <c r="F2092" s="466"/>
      <c r="G2092" s="465"/>
      <c r="H2092" s="465">
        <v>2</v>
      </c>
    </row>
    <row r="2093" spans="1:8" ht="13.8" thickBot="1">
      <c r="A2093" s="467" t="s">
        <v>7313</v>
      </c>
      <c r="B2093" s="465" t="s">
        <v>1480</v>
      </c>
      <c r="C2093" s="466">
        <v>5</v>
      </c>
      <c r="D2093" s="465"/>
      <c r="E2093" s="466" t="s">
        <v>3734</v>
      </c>
      <c r="F2093" s="466"/>
      <c r="G2093" s="465"/>
      <c r="H2093" s="465">
        <v>5</v>
      </c>
    </row>
    <row r="2094" spans="1:8" ht="13.8" thickBot="1">
      <c r="A2094" s="465" t="s">
        <v>7314</v>
      </c>
      <c r="B2094" s="465" t="s">
        <v>1480</v>
      </c>
      <c r="C2094" s="466">
        <v>5</v>
      </c>
      <c r="D2094" s="465"/>
      <c r="E2094" s="466" t="s">
        <v>3734</v>
      </c>
      <c r="F2094" s="466"/>
      <c r="G2094" s="465">
        <v>1</v>
      </c>
      <c r="H2094" s="465">
        <v>6</v>
      </c>
    </row>
    <row r="2095" spans="1:8" ht="13.8" thickBot="1">
      <c r="A2095" s="467" t="s">
        <v>7315</v>
      </c>
      <c r="B2095" s="465" t="s">
        <v>3791</v>
      </c>
      <c r="C2095" s="466">
        <v>5</v>
      </c>
      <c r="D2095" s="465"/>
      <c r="E2095" s="466" t="s">
        <v>3734</v>
      </c>
      <c r="F2095" s="466"/>
      <c r="G2095" s="465"/>
      <c r="H2095" s="465">
        <v>2</v>
      </c>
    </row>
    <row r="2096" spans="1:8" ht="13.8" thickBot="1">
      <c r="A2096" s="467" t="s">
        <v>7316</v>
      </c>
      <c r="B2096" s="465" t="s">
        <v>1485</v>
      </c>
      <c r="C2096" s="466">
        <v>5</v>
      </c>
      <c r="D2096" s="465"/>
      <c r="E2096" s="466" t="s">
        <v>3734</v>
      </c>
      <c r="F2096" s="466"/>
      <c r="G2096" s="465"/>
      <c r="H2096" s="465">
        <v>11</v>
      </c>
    </row>
    <row r="2097" spans="1:8" ht="13.8" thickBot="1">
      <c r="A2097" s="465" t="s">
        <v>7317</v>
      </c>
      <c r="B2097" s="465" t="s">
        <v>3792</v>
      </c>
      <c r="C2097" s="466">
        <v>5</v>
      </c>
      <c r="D2097" s="467" t="s">
        <v>614</v>
      </c>
      <c r="E2097" s="466" t="s">
        <v>3734</v>
      </c>
      <c r="F2097" s="466"/>
      <c r="G2097" s="465"/>
      <c r="H2097" s="465">
        <v>2</v>
      </c>
    </row>
    <row r="2098" spans="1:8" ht="13.8" thickBot="1">
      <c r="A2098" s="467" t="s">
        <v>7318</v>
      </c>
      <c r="B2098" s="465" t="s">
        <v>3793</v>
      </c>
      <c r="C2098" s="466">
        <v>5</v>
      </c>
      <c r="D2098" s="465"/>
      <c r="E2098" s="466" t="s">
        <v>3734</v>
      </c>
      <c r="F2098" s="466"/>
      <c r="G2098" s="465"/>
      <c r="H2098" s="465">
        <v>11</v>
      </c>
    </row>
    <row r="2099" spans="1:8" ht="13.8" thickBot="1">
      <c r="A2099" s="467" t="s">
        <v>7319</v>
      </c>
      <c r="B2099" s="465" t="s">
        <v>3794</v>
      </c>
      <c r="C2099" s="466">
        <v>5</v>
      </c>
      <c r="D2099" s="465"/>
      <c r="E2099" s="466" t="s">
        <v>3734</v>
      </c>
      <c r="F2099" s="466"/>
      <c r="G2099" s="465"/>
      <c r="H2099" s="465">
        <v>2</v>
      </c>
    </row>
    <row r="2100" spans="1:8" ht="13.8" thickBot="1">
      <c r="A2100" s="467" t="s">
        <v>7320</v>
      </c>
      <c r="B2100" s="465" t="s">
        <v>1502</v>
      </c>
      <c r="C2100" s="466">
        <v>5</v>
      </c>
      <c r="D2100" s="467" t="s">
        <v>614</v>
      </c>
      <c r="E2100" s="466" t="s">
        <v>3807</v>
      </c>
      <c r="F2100" s="466" t="s">
        <v>1226</v>
      </c>
      <c r="G2100" s="465">
        <v>1</v>
      </c>
      <c r="H2100" s="465">
        <v>6</v>
      </c>
    </row>
    <row r="2101" spans="1:8" ht="13.8" thickBot="1">
      <c r="A2101" s="465" t="s">
        <v>7321</v>
      </c>
      <c r="B2101" s="465" t="s">
        <v>1502</v>
      </c>
      <c r="C2101" s="466">
        <v>5</v>
      </c>
      <c r="D2101" s="465"/>
      <c r="E2101" s="466" t="s">
        <v>3807</v>
      </c>
      <c r="F2101" s="466" t="s">
        <v>1224</v>
      </c>
      <c r="G2101" s="465"/>
      <c r="H2101" s="465">
        <v>9</v>
      </c>
    </row>
    <row r="2102" spans="1:8" ht="13.8" thickBot="1">
      <c r="A2102" s="467" t="s">
        <v>7322</v>
      </c>
      <c r="B2102" s="465" t="s">
        <v>1502</v>
      </c>
      <c r="C2102" s="466">
        <v>5</v>
      </c>
      <c r="D2102" s="467" t="s">
        <v>614</v>
      </c>
      <c r="E2102" s="466" t="s">
        <v>3807</v>
      </c>
      <c r="F2102" s="466" t="s">
        <v>1224</v>
      </c>
      <c r="G2102" s="465"/>
      <c r="H2102" s="465">
        <v>7</v>
      </c>
    </row>
    <row r="2103" spans="1:8" ht="13.8" thickBot="1">
      <c r="A2103" s="467" t="s">
        <v>7323</v>
      </c>
      <c r="B2103" s="465" t="s">
        <v>1502</v>
      </c>
      <c r="C2103" s="466">
        <v>5</v>
      </c>
      <c r="D2103" s="465"/>
      <c r="E2103" s="466" t="s">
        <v>3807</v>
      </c>
      <c r="F2103" s="466"/>
      <c r="G2103" s="465"/>
      <c r="H2103" s="465">
        <v>3</v>
      </c>
    </row>
    <row r="2104" spans="1:8" ht="13.8" thickBot="1">
      <c r="A2104" s="467" t="s">
        <v>7324</v>
      </c>
      <c r="B2104" s="476" t="s">
        <v>1502</v>
      </c>
      <c r="C2104" s="466">
        <v>5</v>
      </c>
      <c r="D2104" s="465"/>
      <c r="E2104" s="466" t="s">
        <v>3807</v>
      </c>
      <c r="F2104" s="466"/>
      <c r="G2104" s="465"/>
      <c r="H2104" s="465">
        <v>6</v>
      </c>
    </row>
    <row r="2105" spans="1:8" ht="13.8" thickBot="1">
      <c r="A2105" s="467" t="s">
        <v>7325</v>
      </c>
      <c r="B2105" s="465" t="s">
        <v>1502</v>
      </c>
      <c r="C2105" s="466">
        <v>5</v>
      </c>
      <c r="D2105" s="467" t="s">
        <v>614</v>
      </c>
      <c r="E2105" s="466" t="s">
        <v>3807</v>
      </c>
      <c r="F2105" s="466"/>
      <c r="G2105" s="465"/>
      <c r="H2105" s="465">
        <v>1</v>
      </c>
    </row>
    <row r="2106" spans="1:8" ht="13.8" thickBot="1">
      <c r="A2106" s="467" t="s">
        <v>7326</v>
      </c>
      <c r="B2106" s="465" t="s">
        <v>1502</v>
      </c>
      <c r="C2106" s="466">
        <v>5</v>
      </c>
      <c r="D2106" s="465"/>
      <c r="E2106" s="466" t="s">
        <v>3807</v>
      </c>
      <c r="F2106" s="466"/>
      <c r="G2106" s="465"/>
      <c r="H2106" s="465">
        <v>1</v>
      </c>
    </row>
    <row r="2107" spans="1:8" ht="13.8" thickBot="1">
      <c r="A2107" s="467" t="s">
        <v>7327</v>
      </c>
      <c r="B2107" s="465" t="s">
        <v>1502</v>
      </c>
      <c r="C2107" s="466">
        <v>5</v>
      </c>
      <c r="D2107" s="465"/>
      <c r="E2107" s="466" t="s">
        <v>3807</v>
      </c>
      <c r="F2107" s="466"/>
      <c r="G2107" s="465"/>
      <c r="H2107" s="465">
        <v>2</v>
      </c>
    </row>
    <row r="2108" spans="1:8" ht="13.8" thickBot="1">
      <c r="A2108" s="467" t="s">
        <v>7328</v>
      </c>
      <c r="B2108" s="465" t="s">
        <v>1503</v>
      </c>
      <c r="C2108" s="466">
        <v>5</v>
      </c>
      <c r="D2108" s="465"/>
      <c r="E2108" s="466" t="s">
        <v>3807</v>
      </c>
      <c r="F2108" s="466"/>
      <c r="G2108" s="465"/>
      <c r="H2108" s="465">
        <v>1</v>
      </c>
    </row>
    <row r="2109" spans="1:8" ht="13.8" thickBot="1">
      <c r="A2109" s="467" t="s">
        <v>7329</v>
      </c>
      <c r="B2109" s="465" t="s">
        <v>3839</v>
      </c>
      <c r="C2109" s="466">
        <v>5</v>
      </c>
      <c r="D2109" s="467" t="s">
        <v>3840</v>
      </c>
      <c r="E2109" s="466" t="s">
        <v>3807</v>
      </c>
      <c r="F2109" s="466"/>
      <c r="G2109" s="465"/>
      <c r="H2109" s="465">
        <v>3</v>
      </c>
    </row>
    <row r="2110" spans="1:8" ht="13.8" thickBot="1">
      <c r="A2110" s="467" t="s">
        <v>7330</v>
      </c>
      <c r="B2110" s="465" t="s">
        <v>3820</v>
      </c>
      <c r="C2110" s="466">
        <v>5</v>
      </c>
      <c r="D2110" s="467" t="s">
        <v>614</v>
      </c>
      <c r="E2110" s="466" t="s">
        <v>3807</v>
      </c>
      <c r="F2110" s="466"/>
      <c r="G2110" s="465"/>
      <c r="H2110" s="465">
        <v>1</v>
      </c>
    </row>
    <row r="2111" spans="1:8" ht="13.8" thickBot="1">
      <c r="A2111" s="467" t="s">
        <v>7331</v>
      </c>
      <c r="B2111" s="465" t="s">
        <v>3841</v>
      </c>
      <c r="C2111" s="466">
        <v>5</v>
      </c>
      <c r="D2111" s="465"/>
      <c r="E2111" s="466" t="s">
        <v>3807</v>
      </c>
      <c r="F2111" s="466"/>
      <c r="G2111" s="465"/>
      <c r="H2111" s="465">
        <v>6</v>
      </c>
    </row>
    <row r="2112" spans="1:8" ht="13.8" thickBot="1">
      <c r="A2112" s="467" t="s">
        <v>7332</v>
      </c>
      <c r="B2112" s="465" t="s">
        <v>3842</v>
      </c>
      <c r="C2112" s="466">
        <v>5</v>
      </c>
      <c r="D2112" s="465"/>
      <c r="E2112" s="466" t="s">
        <v>3807</v>
      </c>
      <c r="F2112" s="466"/>
      <c r="G2112" s="465"/>
      <c r="H2112" s="465">
        <v>5</v>
      </c>
    </row>
    <row r="2113" spans="1:8" ht="13.8" thickBot="1">
      <c r="A2113" s="467" t="s">
        <v>7333</v>
      </c>
      <c r="B2113" s="465" t="s">
        <v>3843</v>
      </c>
      <c r="C2113" s="466">
        <v>5</v>
      </c>
      <c r="D2113" s="465"/>
      <c r="E2113" s="466" t="s">
        <v>3807</v>
      </c>
      <c r="F2113" s="466"/>
      <c r="G2113" s="465"/>
      <c r="H2113" s="465">
        <v>4</v>
      </c>
    </row>
    <row r="2114" spans="1:8" ht="13.8" thickBot="1">
      <c r="A2114" s="467" t="s">
        <v>7334</v>
      </c>
      <c r="B2114" s="465" t="s">
        <v>3871</v>
      </c>
      <c r="C2114" s="466">
        <v>5</v>
      </c>
      <c r="D2114" s="467" t="s">
        <v>614</v>
      </c>
      <c r="E2114" s="466" t="s">
        <v>3856</v>
      </c>
      <c r="F2114" s="466" t="s">
        <v>1865</v>
      </c>
      <c r="G2114" s="465"/>
      <c r="H2114" s="465">
        <v>9</v>
      </c>
    </row>
    <row r="2115" spans="1:8" ht="13.8" thickBot="1">
      <c r="A2115" s="467" t="s">
        <v>7335</v>
      </c>
      <c r="B2115" s="465" t="s">
        <v>1509</v>
      </c>
      <c r="C2115" s="466">
        <v>5</v>
      </c>
      <c r="D2115" s="465"/>
      <c r="E2115" s="466" t="s">
        <v>3856</v>
      </c>
      <c r="F2115" s="466" t="s">
        <v>1226</v>
      </c>
      <c r="G2115" s="465">
        <v>2</v>
      </c>
      <c r="H2115" s="465">
        <v>9</v>
      </c>
    </row>
    <row r="2116" spans="1:8" ht="13.8" thickBot="1">
      <c r="A2116" s="467" t="s">
        <v>7336</v>
      </c>
      <c r="B2116" s="465" t="s">
        <v>3891</v>
      </c>
      <c r="C2116" s="466">
        <v>5</v>
      </c>
      <c r="D2116" s="465"/>
      <c r="E2116" s="466" t="s">
        <v>3856</v>
      </c>
      <c r="F2116" s="466" t="s">
        <v>1226</v>
      </c>
      <c r="G2116" s="465"/>
      <c r="H2116" s="465">
        <v>5</v>
      </c>
    </row>
    <row r="2117" spans="1:8" ht="13.8" thickBot="1">
      <c r="A2117" s="467" t="s">
        <v>7337</v>
      </c>
      <c r="B2117" s="465" t="s">
        <v>1507</v>
      </c>
      <c r="C2117" s="466">
        <v>5</v>
      </c>
      <c r="D2117" s="465"/>
      <c r="E2117" s="466" t="s">
        <v>3856</v>
      </c>
      <c r="F2117" s="466" t="s">
        <v>1224</v>
      </c>
      <c r="G2117" s="465"/>
      <c r="H2117" s="465">
        <v>3</v>
      </c>
    </row>
    <row r="2118" spans="1:8" ht="13.8" thickBot="1">
      <c r="A2118" s="467" t="s">
        <v>7338</v>
      </c>
      <c r="B2118" s="465" t="s">
        <v>3892</v>
      </c>
      <c r="C2118" s="466">
        <v>5</v>
      </c>
      <c r="D2118" s="465"/>
      <c r="E2118" s="466" t="s">
        <v>3856</v>
      </c>
      <c r="F2118" s="466" t="s">
        <v>1224</v>
      </c>
      <c r="G2118" s="465"/>
      <c r="H2118" s="465">
        <v>1</v>
      </c>
    </row>
    <row r="2119" spans="1:8" ht="13.8" thickBot="1">
      <c r="A2119" s="465" t="s">
        <v>897</v>
      </c>
      <c r="B2119" s="465" t="s">
        <v>1507</v>
      </c>
      <c r="C2119" s="466">
        <v>5</v>
      </c>
      <c r="D2119" s="465"/>
      <c r="E2119" s="466" t="s">
        <v>3856</v>
      </c>
      <c r="F2119" s="466"/>
      <c r="G2119" s="465"/>
      <c r="H2119" s="465">
        <v>1</v>
      </c>
    </row>
    <row r="2120" spans="1:8" ht="13.8" thickBot="1">
      <c r="A2120" s="467" t="s">
        <v>7339</v>
      </c>
      <c r="B2120" s="465" t="s">
        <v>1507</v>
      </c>
      <c r="C2120" s="466">
        <v>5</v>
      </c>
      <c r="D2120" s="467" t="s">
        <v>614</v>
      </c>
      <c r="E2120" s="466" t="s">
        <v>3856</v>
      </c>
      <c r="F2120" s="466"/>
      <c r="G2120" s="465"/>
      <c r="H2120" s="465">
        <v>2</v>
      </c>
    </row>
    <row r="2121" spans="1:8" ht="13.8" thickBot="1">
      <c r="A2121" s="465" t="s">
        <v>911</v>
      </c>
      <c r="B2121" s="465" t="s">
        <v>1507</v>
      </c>
      <c r="C2121" s="466">
        <v>5</v>
      </c>
      <c r="D2121" s="465"/>
      <c r="E2121" s="466" t="s">
        <v>3856</v>
      </c>
      <c r="F2121" s="466"/>
      <c r="G2121" s="465">
        <v>1</v>
      </c>
      <c r="H2121" s="465">
        <v>2</v>
      </c>
    </row>
    <row r="2122" spans="1:8" ht="13.8" thickBot="1">
      <c r="A2122" s="465" t="s">
        <v>7340</v>
      </c>
      <c r="B2122" s="465" t="s">
        <v>3893</v>
      </c>
      <c r="C2122" s="466">
        <v>5</v>
      </c>
      <c r="D2122" s="467" t="s">
        <v>2512</v>
      </c>
      <c r="E2122" s="466" t="s">
        <v>3856</v>
      </c>
      <c r="F2122" s="466"/>
      <c r="G2122" s="465"/>
      <c r="H2122" s="465">
        <v>1</v>
      </c>
    </row>
    <row r="2123" spans="1:8" ht="13.8" thickBot="1">
      <c r="A2123" s="465" t="s">
        <v>898</v>
      </c>
      <c r="B2123" s="465" t="s">
        <v>3894</v>
      </c>
      <c r="C2123" s="466">
        <v>5</v>
      </c>
      <c r="D2123" s="467" t="s">
        <v>614</v>
      </c>
      <c r="E2123" s="466" t="s">
        <v>3856</v>
      </c>
      <c r="F2123" s="466"/>
      <c r="G2123" s="465"/>
      <c r="H2123" s="465">
        <v>4</v>
      </c>
    </row>
    <row r="2124" spans="1:8" ht="13.8" thickBot="1">
      <c r="A2124" s="467" t="s">
        <v>7341</v>
      </c>
      <c r="B2124" s="465" t="s">
        <v>3925</v>
      </c>
      <c r="C2124" s="466">
        <v>5</v>
      </c>
      <c r="D2124" s="467" t="s">
        <v>2005</v>
      </c>
      <c r="E2124" s="466" t="s">
        <v>3903</v>
      </c>
      <c r="F2124" s="466" t="s">
        <v>1224</v>
      </c>
      <c r="G2124" s="465"/>
      <c r="H2124" s="465">
        <v>4</v>
      </c>
    </row>
    <row r="2125" spans="1:8" ht="13.8" thickBot="1">
      <c r="A2125" s="467" t="s">
        <v>7342</v>
      </c>
      <c r="B2125" s="465" t="s">
        <v>3908</v>
      </c>
      <c r="C2125" s="466">
        <v>5</v>
      </c>
      <c r="D2125" s="465"/>
      <c r="E2125" s="466" t="s">
        <v>3903</v>
      </c>
      <c r="F2125" s="466"/>
      <c r="G2125" s="465">
        <v>1</v>
      </c>
      <c r="H2125" s="465">
        <v>3</v>
      </c>
    </row>
    <row r="2126" spans="1:8" ht="13.8" thickBot="1">
      <c r="A2126" s="465" t="s">
        <v>7343</v>
      </c>
      <c r="B2126" s="465" t="s">
        <v>3908</v>
      </c>
      <c r="C2126" s="466">
        <v>5</v>
      </c>
      <c r="D2126" s="465"/>
      <c r="E2126" s="466" t="s">
        <v>3903</v>
      </c>
      <c r="F2126" s="466"/>
      <c r="G2126" s="465"/>
      <c r="H2126" s="465">
        <v>2</v>
      </c>
    </row>
    <row r="2127" spans="1:8" ht="13.8" thickBot="1">
      <c r="A2127" s="465" t="s">
        <v>1021</v>
      </c>
      <c r="B2127" s="465" t="s">
        <v>3926</v>
      </c>
      <c r="C2127" s="466">
        <v>5</v>
      </c>
      <c r="D2127" s="465"/>
      <c r="E2127" s="466" t="s">
        <v>3903</v>
      </c>
      <c r="F2127" s="466"/>
      <c r="G2127" s="465"/>
      <c r="H2127" s="465">
        <v>3</v>
      </c>
    </row>
    <row r="2128" spans="1:8" ht="13.8" thickBot="1">
      <c r="A2128" s="465" t="s">
        <v>7344</v>
      </c>
      <c r="B2128" s="465" t="s">
        <v>3940</v>
      </c>
      <c r="C2128" s="466">
        <v>5</v>
      </c>
      <c r="D2128" s="465"/>
      <c r="E2128" s="466" t="s">
        <v>3932</v>
      </c>
      <c r="F2128" s="466" t="s">
        <v>1251</v>
      </c>
      <c r="G2128" s="465"/>
      <c r="H2128" s="465">
        <v>24</v>
      </c>
    </row>
    <row r="2129" spans="1:8" ht="13.8" thickBot="1">
      <c r="A2129" s="467" t="s">
        <v>7345</v>
      </c>
      <c r="B2129" s="465" t="s">
        <v>1515</v>
      </c>
      <c r="C2129" s="466">
        <v>5</v>
      </c>
      <c r="D2129" s="465"/>
      <c r="E2129" s="466" t="s">
        <v>3932</v>
      </c>
      <c r="F2129" s="466" t="s">
        <v>1226</v>
      </c>
      <c r="G2129" s="465">
        <v>1</v>
      </c>
      <c r="H2129" s="465">
        <v>2</v>
      </c>
    </row>
    <row r="2130" spans="1:8" ht="13.8" thickBot="1">
      <c r="A2130" s="467" t="s">
        <v>7346</v>
      </c>
      <c r="B2130" s="465" t="s">
        <v>1515</v>
      </c>
      <c r="C2130" s="466">
        <v>5</v>
      </c>
      <c r="D2130" s="467" t="s">
        <v>614</v>
      </c>
      <c r="E2130" s="466" t="s">
        <v>3932</v>
      </c>
      <c r="F2130" s="466" t="s">
        <v>1226</v>
      </c>
      <c r="G2130" s="465">
        <v>5</v>
      </c>
      <c r="H2130" s="465">
        <v>18</v>
      </c>
    </row>
    <row r="2131" spans="1:8" ht="13.8" thickBot="1">
      <c r="A2131" s="467" t="s">
        <v>7347</v>
      </c>
      <c r="B2131" s="465" t="s">
        <v>1515</v>
      </c>
      <c r="C2131" s="466">
        <v>5</v>
      </c>
      <c r="D2131" s="465"/>
      <c r="E2131" s="466" t="s">
        <v>3932</v>
      </c>
      <c r="F2131" s="466" t="s">
        <v>1226</v>
      </c>
      <c r="G2131" s="465"/>
      <c r="H2131" s="465">
        <v>6</v>
      </c>
    </row>
    <row r="2132" spans="1:8" ht="13.8" thickBot="1">
      <c r="A2132" s="467" t="s">
        <v>7348</v>
      </c>
      <c r="B2132" s="465" t="s">
        <v>3941</v>
      </c>
      <c r="C2132" s="466">
        <v>5</v>
      </c>
      <c r="D2132" s="465"/>
      <c r="E2132" s="466" t="s">
        <v>3932</v>
      </c>
      <c r="F2132" s="466" t="s">
        <v>1226</v>
      </c>
      <c r="G2132" s="465"/>
      <c r="H2132" s="465">
        <v>1</v>
      </c>
    </row>
    <row r="2133" spans="1:8" ht="13.8" thickBot="1">
      <c r="A2133" s="467" t="s">
        <v>7349</v>
      </c>
      <c r="B2133" s="465" t="s">
        <v>1516</v>
      </c>
      <c r="C2133" s="466">
        <v>5</v>
      </c>
      <c r="D2133" s="465"/>
      <c r="E2133" s="466" t="s">
        <v>3932</v>
      </c>
      <c r="F2133" s="466" t="s">
        <v>1224</v>
      </c>
      <c r="G2133" s="465">
        <v>1</v>
      </c>
      <c r="H2133" s="465">
        <v>7</v>
      </c>
    </row>
    <row r="2134" spans="1:8" ht="13.8" thickBot="1">
      <c r="A2134" s="467" t="s">
        <v>7350</v>
      </c>
      <c r="B2134" s="465" t="s">
        <v>1515</v>
      </c>
      <c r="C2134" s="466">
        <v>5</v>
      </c>
      <c r="D2134" s="465"/>
      <c r="E2134" s="466" t="s">
        <v>3932</v>
      </c>
      <c r="F2134" s="466"/>
      <c r="G2134" s="465"/>
      <c r="H2134" s="465">
        <v>4</v>
      </c>
    </row>
    <row r="2135" spans="1:8" ht="13.8" thickBot="1">
      <c r="A2135" s="467" t="s">
        <v>7351</v>
      </c>
      <c r="B2135" s="465" t="s">
        <v>1515</v>
      </c>
      <c r="C2135" s="466">
        <v>5</v>
      </c>
      <c r="D2135" s="465"/>
      <c r="E2135" s="466" t="s">
        <v>3932</v>
      </c>
      <c r="F2135" s="466"/>
      <c r="G2135" s="465"/>
      <c r="H2135" s="465"/>
    </row>
    <row r="2136" spans="1:8" ht="13.8" thickBot="1">
      <c r="A2136" s="467" t="s">
        <v>7352</v>
      </c>
      <c r="B2136" s="465" t="s">
        <v>1515</v>
      </c>
      <c r="C2136" s="466">
        <v>5</v>
      </c>
      <c r="D2136" s="467" t="s">
        <v>614</v>
      </c>
      <c r="E2136" s="466" t="s">
        <v>3932</v>
      </c>
      <c r="F2136" s="466"/>
      <c r="G2136" s="465"/>
      <c r="H2136" s="465">
        <v>2</v>
      </c>
    </row>
    <row r="2137" spans="1:8" ht="13.8" thickBot="1">
      <c r="A2137" s="467" t="s">
        <v>7353</v>
      </c>
      <c r="B2137" s="465" t="s">
        <v>3942</v>
      </c>
      <c r="C2137" s="466">
        <v>5</v>
      </c>
      <c r="D2137" s="465"/>
      <c r="E2137" s="466" t="s">
        <v>3932</v>
      </c>
      <c r="F2137" s="466"/>
      <c r="G2137" s="465"/>
      <c r="H2137" s="465">
        <v>1</v>
      </c>
    </row>
    <row r="2138" spans="1:8" ht="13.8" thickBot="1">
      <c r="A2138" s="467" t="s">
        <v>7354</v>
      </c>
      <c r="B2138" s="465" t="s">
        <v>3943</v>
      </c>
      <c r="C2138" s="466">
        <v>5</v>
      </c>
      <c r="D2138" s="465"/>
      <c r="E2138" s="466" t="s">
        <v>3932</v>
      </c>
      <c r="F2138" s="466"/>
      <c r="G2138" s="465"/>
      <c r="H2138" s="465">
        <v>1</v>
      </c>
    </row>
    <row r="2139" spans="1:8" ht="13.8" thickBot="1">
      <c r="A2139" s="467" t="s">
        <v>7355</v>
      </c>
      <c r="B2139" s="465" t="s">
        <v>3944</v>
      </c>
      <c r="C2139" s="466">
        <v>5</v>
      </c>
      <c r="D2139" s="465"/>
      <c r="E2139" s="466" t="s">
        <v>3932</v>
      </c>
      <c r="F2139" s="466"/>
      <c r="G2139" s="465"/>
      <c r="H2139" s="465">
        <v>2</v>
      </c>
    </row>
    <row r="2140" spans="1:8" ht="13.8" thickBot="1">
      <c r="A2140" s="465" t="s">
        <v>7356</v>
      </c>
      <c r="B2140" s="465" t="s">
        <v>3945</v>
      </c>
      <c r="C2140" s="466">
        <v>5</v>
      </c>
      <c r="D2140" s="465"/>
      <c r="E2140" s="466" t="s">
        <v>3932</v>
      </c>
      <c r="F2140" s="466"/>
      <c r="G2140" s="465">
        <v>1</v>
      </c>
      <c r="H2140" s="465">
        <v>1</v>
      </c>
    </row>
    <row r="2141" spans="1:8" ht="13.8" thickBot="1">
      <c r="A2141" s="465" t="s">
        <v>7357</v>
      </c>
      <c r="B2141" s="465" t="s">
        <v>1519</v>
      </c>
      <c r="C2141" s="466">
        <v>5</v>
      </c>
      <c r="D2141" s="467" t="s">
        <v>614</v>
      </c>
      <c r="E2141" s="466" t="s">
        <v>3957</v>
      </c>
      <c r="F2141" s="466" t="s">
        <v>1251</v>
      </c>
      <c r="G2141" s="465"/>
      <c r="H2141" s="465">
        <v>3</v>
      </c>
    </row>
    <row r="2142" spans="1:8" ht="13.8" thickBot="1">
      <c r="A2142" s="465" t="s">
        <v>7358</v>
      </c>
      <c r="B2142" s="465" t="s">
        <v>1520</v>
      </c>
      <c r="C2142" s="466">
        <v>5</v>
      </c>
      <c r="D2142" s="467" t="s">
        <v>614</v>
      </c>
      <c r="E2142" s="466" t="s">
        <v>3957</v>
      </c>
      <c r="F2142" s="466" t="s">
        <v>1224</v>
      </c>
      <c r="G2142" s="465"/>
      <c r="H2142" s="465">
        <v>11</v>
      </c>
    </row>
    <row r="2143" spans="1:8" ht="13.8" thickBot="1">
      <c r="A2143" s="467" t="s">
        <v>7359</v>
      </c>
      <c r="B2143" s="465" t="s">
        <v>1519</v>
      </c>
      <c r="C2143" s="466">
        <v>5</v>
      </c>
      <c r="D2143" s="465"/>
      <c r="E2143" s="466" t="s">
        <v>3957</v>
      </c>
      <c r="F2143" s="466" t="s">
        <v>1220</v>
      </c>
      <c r="G2143" s="465"/>
      <c r="H2143" s="465">
        <v>2</v>
      </c>
    </row>
    <row r="2144" spans="1:8" ht="13.8" thickBot="1">
      <c r="A2144" s="467" t="s">
        <v>7360</v>
      </c>
      <c r="B2144" s="465" t="s">
        <v>1519</v>
      </c>
      <c r="C2144" s="466">
        <v>5</v>
      </c>
      <c r="D2144" s="465"/>
      <c r="E2144" s="466" t="s">
        <v>3957</v>
      </c>
      <c r="F2144" s="466"/>
      <c r="G2144" s="465"/>
      <c r="H2144" s="465">
        <v>2</v>
      </c>
    </row>
    <row r="2145" spans="1:8" ht="13.8" thickBot="1">
      <c r="A2145" s="467" t="s">
        <v>7361</v>
      </c>
      <c r="B2145" s="465" t="s">
        <v>1519</v>
      </c>
      <c r="C2145" s="466">
        <v>5</v>
      </c>
      <c r="D2145" s="465"/>
      <c r="E2145" s="466" t="s">
        <v>3957</v>
      </c>
      <c r="F2145" s="466"/>
      <c r="G2145" s="465"/>
      <c r="H2145" s="465">
        <v>1</v>
      </c>
    </row>
    <row r="2146" spans="1:8" ht="13.8" thickBot="1">
      <c r="A2146" s="467" t="s">
        <v>7362</v>
      </c>
      <c r="B2146" s="465" t="s">
        <v>1519</v>
      </c>
      <c r="C2146" s="466">
        <v>5</v>
      </c>
      <c r="D2146" s="467" t="s">
        <v>614</v>
      </c>
      <c r="E2146" s="466" t="s">
        <v>3957</v>
      </c>
      <c r="F2146" s="466"/>
      <c r="G2146" s="465"/>
      <c r="H2146" s="465">
        <v>4</v>
      </c>
    </row>
    <row r="2147" spans="1:8" ht="13.8" thickBot="1">
      <c r="A2147" s="465" t="s">
        <v>7363</v>
      </c>
      <c r="B2147" s="465" t="s">
        <v>3988</v>
      </c>
      <c r="C2147" s="466">
        <v>5</v>
      </c>
      <c r="D2147" s="465"/>
      <c r="E2147" s="466" t="s">
        <v>3957</v>
      </c>
      <c r="F2147" s="466"/>
      <c r="G2147" s="465"/>
      <c r="H2147" s="465">
        <v>1</v>
      </c>
    </row>
    <row r="2148" spans="1:8" ht="13.8" thickBot="1">
      <c r="A2148" s="467" t="s">
        <v>7364</v>
      </c>
      <c r="B2148" s="465" t="s">
        <v>3989</v>
      </c>
      <c r="C2148" s="466">
        <v>5</v>
      </c>
      <c r="D2148" s="467" t="s">
        <v>614</v>
      </c>
      <c r="E2148" s="466" t="s">
        <v>3957</v>
      </c>
      <c r="F2148" s="466"/>
      <c r="G2148" s="465"/>
      <c r="H2148" s="465">
        <v>3</v>
      </c>
    </row>
    <row r="2149" spans="1:8" ht="13.8" thickBot="1">
      <c r="A2149" s="467" t="s">
        <v>7365</v>
      </c>
      <c r="B2149" s="465" t="s">
        <v>3990</v>
      </c>
      <c r="C2149" s="466">
        <v>5</v>
      </c>
      <c r="D2149" s="465"/>
      <c r="E2149" s="466" t="s">
        <v>3957</v>
      </c>
      <c r="F2149" s="466"/>
      <c r="G2149" s="465"/>
      <c r="H2149" s="465">
        <v>1</v>
      </c>
    </row>
    <row r="2150" spans="1:8" ht="13.8" thickBot="1">
      <c r="A2150" s="467" t="s">
        <v>7366</v>
      </c>
      <c r="B2150" s="465" t="s">
        <v>4031</v>
      </c>
      <c r="C2150" s="466">
        <v>5</v>
      </c>
      <c r="D2150" s="467" t="s">
        <v>4032</v>
      </c>
      <c r="E2150" s="466" t="s">
        <v>3996</v>
      </c>
      <c r="F2150" s="466" t="s">
        <v>1251</v>
      </c>
      <c r="G2150" s="465"/>
      <c r="H2150" s="465">
        <v>9</v>
      </c>
    </row>
    <row r="2151" spans="1:8" ht="13.8" thickBot="1">
      <c r="A2151" s="467" t="s">
        <v>7367</v>
      </c>
      <c r="B2151" s="465" t="s">
        <v>1525</v>
      </c>
      <c r="C2151" s="466">
        <v>5</v>
      </c>
      <c r="D2151" s="467" t="s">
        <v>614</v>
      </c>
      <c r="E2151" s="466" t="s">
        <v>3996</v>
      </c>
      <c r="F2151" s="466" t="s">
        <v>1226</v>
      </c>
      <c r="G2151" s="465"/>
      <c r="H2151" s="465">
        <v>4</v>
      </c>
    </row>
    <row r="2152" spans="1:8" ht="13.8" thickBot="1">
      <c r="A2152" s="465" t="s">
        <v>7368</v>
      </c>
      <c r="B2152" s="465" t="s">
        <v>4033</v>
      </c>
      <c r="C2152" s="466">
        <v>5</v>
      </c>
      <c r="D2152" s="467" t="s">
        <v>614</v>
      </c>
      <c r="E2152" s="466" t="s">
        <v>3996</v>
      </c>
      <c r="F2152" s="466" t="s">
        <v>1224</v>
      </c>
      <c r="G2152" s="465"/>
      <c r="H2152" s="465">
        <v>8</v>
      </c>
    </row>
    <row r="2153" spans="1:8" ht="13.8" thickBot="1">
      <c r="A2153" s="465" t="s">
        <v>7369</v>
      </c>
      <c r="B2153" s="465" t="s">
        <v>1525</v>
      </c>
      <c r="C2153" s="466">
        <v>5</v>
      </c>
      <c r="D2153" s="465"/>
      <c r="E2153" s="466" t="s">
        <v>3996</v>
      </c>
      <c r="F2153" s="466"/>
      <c r="G2153" s="465"/>
      <c r="H2153" s="465">
        <v>1</v>
      </c>
    </row>
    <row r="2154" spans="1:8" ht="13.8" thickBot="1">
      <c r="A2154" s="465" t="s">
        <v>7370</v>
      </c>
      <c r="B2154" s="465" t="s">
        <v>1525</v>
      </c>
      <c r="C2154" s="466">
        <v>5</v>
      </c>
      <c r="D2154" s="467" t="s">
        <v>614</v>
      </c>
      <c r="E2154" s="466" t="s">
        <v>3996</v>
      </c>
      <c r="F2154" s="466"/>
      <c r="G2154" s="465"/>
      <c r="H2154" s="465">
        <v>9</v>
      </c>
    </row>
    <row r="2155" spans="1:8" ht="13.8" thickBot="1">
      <c r="A2155" s="467" t="s">
        <v>7371</v>
      </c>
      <c r="B2155" s="465" t="s">
        <v>4034</v>
      </c>
      <c r="C2155" s="466">
        <v>5</v>
      </c>
      <c r="D2155" s="467" t="s">
        <v>4035</v>
      </c>
      <c r="E2155" s="466" t="s">
        <v>3996</v>
      </c>
      <c r="F2155" s="466"/>
      <c r="G2155" s="465"/>
      <c r="H2155" s="465">
        <v>4</v>
      </c>
    </row>
    <row r="2156" spans="1:8" ht="13.8" thickBot="1">
      <c r="A2156" s="465" t="s">
        <v>7372</v>
      </c>
      <c r="B2156" s="465" t="s">
        <v>4036</v>
      </c>
      <c r="C2156" s="466">
        <v>5</v>
      </c>
      <c r="D2156" s="465"/>
      <c r="E2156" s="466" t="s">
        <v>3996</v>
      </c>
      <c r="F2156" s="466"/>
      <c r="G2156" s="465"/>
      <c r="H2156" s="465">
        <v>1</v>
      </c>
    </row>
    <row r="2157" spans="1:8" ht="13.8" thickBot="1">
      <c r="A2157" s="465" t="s">
        <v>7373</v>
      </c>
      <c r="B2157" s="465" t="s">
        <v>4052</v>
      </c>
      <c r="C2157" s="466">
        <v>5</v>
      </c>
      <c r="D2157" s="465"/>
      <c r="E2157" s="466" t="s">
        <v>4046</v>
      </c>
      <c r="F2157" s="466"/>
      <c r="G2157" s="465"/>
      <c r="H2157" s="465">
        <v>2</v>
      </c>
    </row>
    <row r="2158" spans="1:8" ht="13.8" thickBot="1">
      <c r="A2158" s="467" t="s">
        <v>7374</v>
      </c>
      <c r="B2158" s="465" t="s">
        <v>4062</v>
      </c>
      <c r="C2158" s="466">
        <v>5</v>
      </c>
      <c r="D2158" s="465"/>
      <c r="E2158" s="466" t="s">
        <v>4046</v>
      </c>
      <c r="F2158" s="466"/>
      <c r="G2158" s="465"/>
      <c r="H2158" s="465">
        <v>2</v>
      </c>
    </row>
    <row r="2159" spans="1:8" ht="13.8" thickBot="1">
      <c r="A2159" s="467" t="s">
        <v>7375</v>
      </c>
      <c r="B2159" s="465" t="s">
        <v>4063</v>
      </c>
      <c r="C2159" s="466">
        <v>5</v>
      </c>
      <c r="D2159" s="467" t="s">
        <v>614</v>
      </c>
      <c r="E2159" s="466" t="s">
        <v>4046</v>
      </c>
      <c r="F2159" s="466"/>
      <c r="G2159" s="465"/>
      <c r="H2159" s="465">
        <v>1</v>
      </c>
    </row>
    <row r="2160" spans="1:8" ht="13.8" thickBot="1">
      <c r="A2160" s="465" t="s">
        <v>1129</v>
      </c>
      <c r="B2160" s="465" t="s">
        <v>2119</v>
      </c>
      <c r="C2160" s="466">
        <v>5</v>
      </c>
      <c r="D2160" s="465"/>
      <c r="E2160" s="466" t="s">
        <v>2114</v>
      </c>
      <c r="F2160" s="466"/>
      <c r="G2160" s="465"/>
      <c r="H2160" s="465"/>
    </row>
    <row r="2161" spans="1:8" ht="13.8" thickBot="1">
      <c r="A2161" s="467" t="s">
        <v>6899</v>
      </c>
      <c r="B2161" s="465" t="s">
        <v>2120</v>
      </c>
      <c r="C2161" s="466">
        <v>5</v>
      </c>
      <c r="D2161" s="467" t="s">
        <v>614</v>
      </c>
      <c r="E2161" s="466" t="s">
        <v>2114</v>
      </c>
      <c r="F2161" s="466"/>
      <c r="G2161" s="465"/>
      <c r="H2161" s="465">
        <v>3</v>
      </c>
    </row>
    <row r="2162" spans="1:8" ht="13.8" thickBot="1">
      <c r="A2162" s="467" t="s">
        <v>7376</v>
      </c>
      <c r="B2162" s="465" t="s">
        <v>1537</v>
      </c>
      <c r="C2162" s="466">
        <v>5</v>
      </c>
      <c r="D2162" s="467" t="s">
        <v>614</v>
      </c>
      <c r="E2162" s="466" t="s">
        <v>4067</v>
      </c>
      <c r="F2162" s="466" t="s">
        <v>1226</v>
      </c>
      <c r="G2162" s="465"/>
      <c r="H2162" s="465">
        <v>1</v>
      </c>
    </row>
    <row r="2163" spans="1:8" ht="13.8" thickBot="1">
      <c r="A2163" s="465" t="s">
        <v>7377</v>
      </c>
      <c r="B2163" s="465" t="s">
        <v>1537</v>
      </c>
      <c r="C2163" s="466">
        <v>5</v>
      </c>
      <c r="D2163" s="465"/>
      <c r="E2163" s="466" t="s">
        <v>4067</v>
      </c>
      <c r="F2163" s="466" t="s">
        <v>1226</v>
      </c>
      <c r="G2163" s="465"/>
      <c r="H2163" s="465">
        <v>10</v>
      </c>
    </row>
    <row r="2164" spans="1:8" ht="13.8" thickBot="1">
      <c r="A2164" s="465" t="s">
        <v>7378</v>
      </c>
      <c r="B2164" s="465" t="s">
        <v>1537</v>
      </c>
      <c r="C2164" s="466">
        <v>5</v>
      </c>
      <c r="D2164" s="465"/>
      <c r="E2164" s="466" t="s">
        <v>4067</v>
      </c>
      <c r="F2164" s="466" t="s">
        <v>1226</v>
      </c>
      <c r="G2164" s="465"/>
      <c r="H2164" s="465">
        <v>10</v>
      </c>
    </row>
    <row r="2165" spans="1:8" ht="13.8" thickBot="1">
      <c r="A2165" s="465" t="s">
        <v>7379</v>
      </c>
      <c r="B2165" s="465" t="s">
        <v>1540</v>
      </c>
      <c r="C2165" s="466">
        <v>5</v>
      </c>
      <c r="D2165" s="465"/>
      <c r="E2165" s="466" t="s">
        <v>4067</v>
      </c>
      <c r="F2165" s="466" t="s">
        <v>1226</v>
      </c>
      <c r="G2165" s="465">
        <v>1</v>
      </c>
      <c r="H2165" s="465">
        <v>15</v>
      </c>
    </row>
    <row r="2166" spans="1:8" ht="13.8" thickBot="1">
      <c r="A2166" s="465" t="s">
        <v>7380</v>
      </c>
      <c r="B2166" s="465" t="s">
        <v>4093</v>
      </c>
      <c r="C2166" s="466">
        <v>5</v>
      </c>
      <c r="D2166" s="465"/>
      <c r="E2166" s="466" t="s">
        <v>4067</v>
      </c>
      <c r="F2166" s="466" t="s">
        <v>1224</v>
      </c>
      <c r="G2166" s="465"/>
      <c r="H2166" s="465">
        <v>9</v>
      </c>
    </row>
    <row r="2167" spans="1:8" ht="13.8" thickBot="1">
      <c r="A2167" s="467" t="s">
        <v>7381</v>
      </c>
      <c r="B2167" s="465" t="s">
        <v>4094</v>
      </c>
      <c r="C2167" s="466">
        <v>5</v>
      </c>
      <c r="D2167" s="465"/>
      <c r="E2167" s="466" t="s">
        <v>4067</v>
      </c>
      <c r="F2167" s="466" t="s">
        <v>1224</v>
      </c>
      <c r="G2167" s="465"/>
      <c r="H2167" s="465">
        <v>13</v>
      </c>
    </row>
    <row r="2168" spans="1:8" ht="13.8" thickBot="1">
      <c r="A2168" s="467" t="s">
        <v>7382</v>
      </c>
      <c r="B2168" s="465" t="s">
        <v>1541</v>
      </c>
      <c r="C2168" s="466">
        <v>5</v>
      </c>
      <c r="D2168" s="467" t="s">
        <v>614</v>
      </c>
      <c r="E2168" s="466" t="s">
        <v>4067</v>
      </c>
      <c r="F2168" s="466" t="s">
        <v>1224</v>
      </c>
      <c r="G2168" s="465"/>
      <c r="H2168" s="465">
        <v>13</v>
      </c>
    </row>
    <row r="2169" spans="1:8" ht="13.8" thickBot="1">
      <c r="A2169" s="467" t="s">
        <v>7383</v>
      </c>
      <c r="B2169" s="465" t="s">
        <v>4095</v>
      </c>
      <c r="C2169" s="466">
        <v>5</v>
      </c>
      <c r="D2169" s="465"/>
      <c r="E2169" s="466" t="s">
        <v>4067</v>
      </c>
      <c r="F2169" s="466" t="s">
        <v>1224</v>
      </c>
      <c r="G2169" s="465"/>
      <c r="H2169" s="465">
        <v>9</v>
      </c>
    </row>
    <row r="2170" spans="1:8" ht="13.8" thickBot="1">
      <c r="A2170" s="465" t="s">
        <v>7384</v>
      </c>
      <c r="B2170" s="465" t="s">
        <v>1537</v>
      </c>
      <c r="C2170" s="466">
        <v>5</v>
      </c>
      <c r="D2170" s="467" t="s">
        <v>614</v>
      </c>
      <c r="E2170" s="466" t="s">
        <v>4067</v>
      </c>
      <c r="F2170" s="466" t="s">
        <v>1220</v>
      </c>
      <c r="G2170" s="465"/>
      <c r="H2170" s="465">
        <v>5</v>
      </c>
    </row>
    <row r="2171" spans="1:8" ht="13.8" thickBot="1">
      <c r="A2171" s="467" t="s">
        <v>7385</v>
      </c>
      <c r="B2171" s="465" t="s">
        <v>1537</v>
      </c>
      <c r="C2171" s="466">
        <v>5</v>
      </c>
      <c r="D2171" s="467" t="s">
        <v>614</v>
      </c>
      <c r="E2171" s="466" t="s">
        <v>4067</v>
      </c>
      <c r="F2171" s="466"/>
      <c r="G2171" s="465"/>
      <c r="H2171" s="465">
        <v>2</v>
      </c>
    </row>
    <row r="2172" spans="1:8" ht="13.8" thickBot="1">
      <c r="A2172" s="465" t="s">
        <v>630</v>
      </c>
      <c r="B2172" s="465" t="s">
        <v>1537</v>
      </c>
      <c r="C2172" s="466">
        <v>5</v>
      </c>
      <c r="D2172" s="465"/>
      <c r="E2172" s="466" t="s">
        <v>4067</v>
      </c>
      <c r="F2172" s="466"/>
      <c r="G2172" s="465"/>
      <c r="H2172" s="465">
        <v>2</v>
      </c>
    </row>
    <row r="2173" spans="1:8" ht="13.8" thickBot="1">
      <c r="A2173" s="465" t="s">
        <v>7386</v>
      </c>
      <c r="B2173" s="465" t="s">
        <v>4096</v>
      </c>
      <c r="C2173" s="466">
        <v>5</v>
      </c>
      <c r="D2173" s="465"/>
      <c r="E2173" s="466" t="s">
        <v>4067</v>
      </c>
      <c r="F2173" s="466"/>
      <c r="G2173" s="465">
        <v>1</v>
      </c>
      <c r="H2173" s="465">
        <v>9</v>
      </c>
    </row>
    <row r="2174" spans="1:8" ht="13.8" thickBot="1">
      <c r="A2174" s="467" t="s">
        <v>7387</v>
      </c>
      <c r="B2174" s="465" t="s">
        <v>4094</v>
      </c>
      <c r="C2174" s="466">
        <v>5</v>
      </c>
      <c r="D2174" s="465"/>
      <c r="E2174" s="466" t="s">
        <v>4067</v>
      </c>
      <c r="F2174" s="466"/>
      <c r="G2174" s="465"/>
      <c r="H2174" s="465">
        <v>5</v>
      </c>
    </row>
    <row r="2175" spans="1:8" ht="13.8" thickBot="1">
      <c r="A2175" s="467" t="s">
        <v>7388</v>
      </c>
      <c r="B2175" s="465" t="s">
        <v>4109</v>
      </c>
      <c r="C2175" s="466">
        <v>5</v>
      </c>
      <c r="D2175" s="467" t="s">
        <v>614</v>
      </c>
      <c r="E2175" s="466" t="s">
        <v>4102</v>
      </c>
      <c r="F2175" s="466" t="s">
        <v>1226</v>
      </c>
      <c r="G2175" s="465">
        <v>1</v>
      </c>
      <c r="H2175" s="465">
        <v>9</v>
      </c>
    </row>
    <row r="2176" spans="1:8" ht="13.8" thickBot="1">
      <c r="A2176" s="467" t="s">
        <v>7389</v>
      </c>
      <c r="B2176" s="465" t="s">
        <v>4110</v>
      </c>
      <c r="C2176" s="466">
        <v>5</v>
      </c>
      <c r="D2176" s="465" t="s">
        <v>151</v>
      </c>
      <c r="E2176" s="466" t="s">
        <v>4102</v>
      </c>
      <c r="F2176" s="466" t="s">
        <v>1226</v>
      </c>
      <c r="G2176" s="465"/>
      <c r="H2176" s="465">
        <v>1</v>
      </c>
    </row>
    <row r="2177" spans="1:8" ht="13.8" thickBot="1">
      <c r="A2177" s="465" t="s">
        <v>932</v>
      </c>
      <c r="B2177" s="465" t="s">
        <v>4111</v>
      </c>
      <c r="C2177" s="466">
        <v>5</v>
      </c>
      <c r="D2177" s="465"/>
      <c r="E2177" s="466" t="s">
        <v>4102</v>
      </c>
      <c r="F2177" s="466" t="s">
        <v>1226</v>
      </c>
      <c r="G2177" s="465"/>
      <c r="H2177" s="465">
        <v>13</v>
      </c>
    </row>
    <row r="2178" spans="1:8" ht="13.8" thickBot="1">
      <c r="A2178" s="465" t="s">
        <v>7390</v>
      </c>
      <c r="B2178" s="465" t="s">
        <v>4112</v>
      </c>
      <c r="C2178" s="466">
        <v>5</v>
      </c>
      <c r="D2178" s="465"/>
      <c r="E2178" s="466" t="s">
        <v>4102</v>
      </c>
      <c r="F2178" s="466" t="s">
        <v>1224</v>
      </c>
      <c r="G2178" s="465"/>
      <c r="H2178" s="465">
        <v>11</v>
      </c>
    </row>
    <row r="2179" spans="1:8" ht="13.8" thickBot="1">
      <c r="A2179" s="467" t="s">
        <v>7391</v>
      </c>
      <c r="B2179" s="465" t="s">
        <v>4113</v>
      </c>
      <c r="C2179" s="466">
        <v>5</v>
      </c>
      <c r="D2179" s="465"/>
      <c r="E2179" s="466" t="s">
        <v>4102</v>
      </c>
      <c r="F2179" s="466"/>
      <c r="G2179" s="465"/>
      <c r="H2179" s="465">
        <v>1</v>
      </c>
    </row>
    <row r="2180" spans="1:8" ht="13.8" thickBot="1">
      <c r="A2180" s="467" t="s">
        <v>7392</v>
      </c>
      <c r="B2180" s="465" t="s">
        <v>4125</v>
      </c>
      <c r="C2180" s="466">
        <v>5</v>
      </c>
      <c r="D2180" s="467" t="s">
        <v>614</v>
      </c>
      <c r="E2180" s="466" t="s">
        <v>4121</v>
      </c>
      <c r="F2180" s="466"/>
      <c r="G2180" s="465">
        <v>1</v>
      </c>
      <c r="H2180" s="465">
        <v>4</v>
      </c>
    </row>
    <row r="2181" spans="1:8" ht="13.8" thickBot="1">
      <c r="A2181" s="467" t="s">
        <v>7393</v>
      </c>
      <c r="B2181" s="465" t="s">
        <v>4130</v>
      </c>
      <c r="C2181" s="466">
        <v>5</v>
      </c>
      <c r="D2181" s="465"/>
      <c r="E2181" s="466" t="s">
        <v>4121</v>
      </c>
      <c r="F2181" s="466"/>
      <c r="G2181" s="465"/>
      <c r="H2181" s="465">
        <v>6</v>
      </c>
    </row>
    <row r="2182" spans="1:8" ht="13.8" thickBot="1">
      <c r="A2182" s="467" t="s">
        <v>7394</v>
      </c>
      <c r="B2182" s="465" t="s">
        <v>4156</v>
      </c>
      <c r="C2182" s="466">
        <v>5</v>
      </c>
      <c r="D2182" s="465"/>
      <c r="E2182" s="466" t="s">
        <v>4140</v>
      </c>
      <c r="F2182" s="466" t="s">
        <v>1226</v>
      </c>
      <c r="G2182" s="465"/>
      <c r="H2182" s="465">
        <v>7</v>
      </c>
    </row>
    <row r="2183" spans="1:8" ht="13.8" thickBot="1">
      <c r="A2183" s="467" t="s">
        <v>7395</v>
      </c>
      <c r="B2183" s="465" t="s">
        <v>4157</v>
      </c>
      <c r="C2183" s="466">
        <v>5</v>
      </c>
      <c r="D2183" s="467" t="s">
        <v>614</v>
      </c>
      <c r="E2183" s="466" t="s">
        <v>4140</v>
      </c>
      <c r="F2183" s="466" t="s">
        <v>1226</v>
      </c>
      <c r="G2183" s="465">
        <v>1</v>
      </c>
      <c r="H2183" s="465">
        <v>5</v>
      </c>
    </row>
    <row r="2184" spans="1:8" ht="13.8" thickBot="1">
      <c r="A2184" s="467" t="s">
        <v>7396</v>
      </c>
      <c r="B2184" s="465" t="s">
        <v>4158</v>
      </c>
      <c r="C2184" s="466">
        <v>5</v>
      </c>
      <c r="D2184" s="467" t="s">
        <v>614</v>
      </c>
      <c r="E2184" s="466" t="s">
        <v>4140</v>
      </c>
      <c r="F2184" s="466" t="s">
        <v>1224</v>
      </c>
      <c r="G2184" s="465"/>
      <c r="H2184" s="465">
        <v>2</v>
      </c>
    </row>
    <row r="2185" spans="1:8" ht="13.8" thickBot="1">
      <c r="A2185" s="467" t="s">
        <v>7397</v>
      </c>
      <c r="B2185" s="465" t="s">
        <v>4192</v>
      </c>
      <c r="C2185" s="466">
        <v>5</v>
      </c>
      <c r="D2185" s="467" t="s">
        <v>4193</v>
      </c>
      <c r="E2185" s="466" t="s">
        <v>4160</v>
      </c>
      <c r="F2185" s="466" t="s">
        <v>1251</v>
      </c>
      <c r="G2185" s="465"/>
      <c r="H2185" s="465">
        <v>7</v>
      </c>
    </row>
    <row r="2186" spans="1:8" ht="13.8" thickBot="1">
      <c r="A2186" s="467" t="s">
        <v>7398</v>
      </c>
      <c r="B2186" s="465" t="s">
        <v>4185</v>
      </c>
      <c r="C2186" s="466">
        <v>5</v>
      </c>
      <c r="D2186" s="467" t="s">
        <v>614</v>
      </c>
      <c r="E2186" s="466" t="s">
        <v>4160</v>
      </c>
      <c r="F2186" s="466" t="s">
        <v>1226</v>
      </c>
      <c r="G2186" s="465">
        <v>1</v>
      </c>
      <c r="H2186" s="465">
        <v>3</v>
      </c>
    </row>
    <row r="2187" spans="1:8" ht="13.8" thickBot="1">
      <c r="A2187" s="467" t="s">
        <v>7399</v>
      </c>
      <c r="B2187" s="465" t="s">
        <v>4194</v>
      </c>
      <c r="C2187" s="466">
        <v>5</v>
      </c>
      <c r="D2187" s="467" t="s">
        <v>614</v>
      </c>
      <c r="E2187" s="466" t="s">
        <v>4160</v>
      </c>
      <c r="F2187" s="466" t="s">
        <v>1226</v>
      </c>
      <c r="G2187" s="465"/>
      <c r="H2187" s="465">
        <v>13</v>
      </c>
    </row>
    <row r="2188" spans="1:8" ht="13.8" thickBot="1">
      <c r="A2188" s="467" t="s">
        <v>7400</v>
      </c>
      <c r="B2188" s="465" t="s">
        <v>4195</v>
      </c>
      <c r="C2188" s="466">
        <v>5</v>
      </c>
      <c r="D2188" s="465"/>
      <c r="E2188" s="466" t="s">
        <v>4160</v>
      </c>
      <c r="F2188" s="466" t="s">
        <v>1226</v>
      </c>
      <c r="G2188" s="465"/>
      <c r="H2188" s="465">
        <v>3</v>
      </c>
    </row>
    <row r="2189" spans="1:8" ht="13.8" thickBot="1">
      <c r="A2189" s="467" t="s">
        <v>7401</v>
      </c>
      <c r="B2189" s="465" t="s">
        <v>4196</v>
      </c>
      <c r="C2189" s="466">
        <v>5</v>
      </c>
      <c r="D2189" s="465"/>
      <c r="E2189" s="466" t="s">
        <v>4160</v>
      </c>
      <c r="F2189" s="466" t="s">
        <v>1226</v>
      </c>
      <c r="G2189" s="465">
        <v>2</v>
      </c>
      <c r="H2189" s="465">
        <v>12</v>
      </c>
    </row>
    <row r="2190" spans="1:8" ht="13.8" thickBot="1">
      <c r="A2190" s="467" t="s">
        <v>7402</v>
      </c>
      <c r="B2190" s="465" t="s">
        <v>4197</v>
      </c>
      <c r="C2190" s="466">
        <v>5</v>
      </c>
      <c r="D2190" s="467" t="s">
        <v>614</v>
      </c>
      <c r="E2190" s="466" t="s">
        <v>4160</v>
      </c>
      <c r="F2190" s="466" t="s">
        <v>1224</v>
      </c>
      <c r="G2190" s="465"/>
      <c r="H2190" s="465">
        <v>1</v>
      </c>
    </row>
    <row r="2191" spans="1:8" ht="13.8" thickBot="1">
      <c r="A2191" s="465" t="s">
        <v>7403</v>
      </c>
      <c r="B2191" s="465" t="s">
        <v>4202</v>
      </c>
      <c r="C2191" s="466">
        <v>5</v>
      </c>
      <c r="D2191" s="465"/>
      <c r="E2191" s="466" t="s">
        <v>4201</v>
      </c>
      <c r="F2191" s="466"/>
      <c r="G2191" s="465"/>
      <c r="H2191" s="465">
        <v>1</v>
      </c>
    </row>
    <row r="2192" spans="1:8" ht="13.8" thickBot="1">
      <c r="A2192" s="465" t="s">
        <v>7404</v>
      </c>
      <c r="B2192" s="465" t="s">
        <v>1607</v>
      </c>
      <c r="C2192" s="466">
        <v>5</v>
      </c>
      <c r="D2192" s="465"/>
      <c r="E2192" s="466" t="s">
        <v>4214</v>
      </c>
      <c r="F2192" s="466" t="s">
        <v>1865</v>
      </c>
      <c r="G2192" s="465"/>
      <c r="H2192" s="465">
        <v>5</v>
      </c>
    </row>
    <row r="2193" spans="1:8" ht="13.8" thickBot="1">
      <c r="A2193" s="467" t="s">
        <v>7405</v>
      </c>
      <c r="B2193" s="465" t="s">
        <v>1607</v>
      </c>
      <c r="C2193" s="466">
        <v>5</v>
      </c>
      <c r="D2193" s="465"/>
      <c r="E2193" s="466" t="s">
        <v>4214</v>
      </c>
      <c r="F2193" s="466" t="s">
        <v>1865</v>
      </c>
      <c r="G2193" s="465"/>
      <c r="H2193" s="465">
        <v>4</v>
      </c>
    </row>
    <row r="2194" spans="1:8" ht="13.8" thickBot="1">
      <c r="A2194" s="467" t="s">
        <v>7406</v>
      </c>
      <c r="B2194" s="465" t="s">
        <v>4292</v>
      </c>
      <c r="C2194" s="466">
        <v>5</v>
      </c>
      <c r="D2194" s="467" t="s">
        <v>614</v>
      </c>
      <c r="E2194" s="466" t="s">
        <v>4214</v>
      </c>
      <c r="F2194" s="466" t="s">
        <v>1865</v>
      </c>
      <c r="G2194" s="465">
        <v>1</v>
      </c>
      <c r="H2194" s="465">
        <v>5</v>
      </c>
    </row>
    <row r="2195" spans="1:8" ht="13.8" thickBot="1">
      <c r="A2195" s="465" t="s">
        <v>7407</v>
      </c>
      <c r="B2195" s="465" t="s">
        <v>1625</v>
      </c>
      <c r="C2195" s="466">
        <v>5</v>
      </c>
      <c r="D2195" s="467" t="s">
        <v>4293</v>
      </c>
      <c r="E2195" s="466" t="s">
        <v>4214</v>
      </c>
      <c r="F2195" s="466" t="s">
        <v>1251</v>
      </c>
      <c r="G2195" s="465"/>
      <c r="H2195" s="465">
        <v>5</v>
      </c>
    </row>
    <row r="2196" spans="1:8" ht="13.8" thickBot="1">
      <c r="A2196" s="467" t="s">
        <v>7408</v>
      </c>
      <c r="B2196" s="465" t="s">
        <v>1607</v>
      </c>
      <c r="C2196" s="466">
        <v>5</v>
      </c>
      <c r="D2196" s="465"/>
      <c r="E2196" s="466" t="s">
        <v>4214</v>
      </c>
      <c r="F2196" s="466" t="s">
        <v>1226</v>
      </c>
      <c r="G2196" s="465"/>
      <c r="H2196" s="465">
        <v>2</v>
      </c>
    </row>
    <row r="2197" spans="1:8" ht="13.8" thickBot="1">
      <c r="A2197" s="467" t="s">
        <v>7409</v>
      </c>
      <c r="B2197" s="465" t="s">
        <v>1607</v>
      </c>
      <c r="C2197" s="466">
        <v>5</v>
      </c>
      <c r="D2197" s="465"/>
      <c r="E2197" s="466" t="s">
        <v>4214</v>
      </c>
      <c r="F2197" s="466" t="s">
        <v>1226</v>
      </c>
      <c r="G2197" s="465"/>
      <c r="H2197" s="465"/>
    </row>
    <row r="2198" spans="1:8" ht="13.8" thickBot="1">
      <c r="A2198" s="467" t="s">
        <v>7410</v>
      </c>
      <c r="B2198" s="465" t="s">
        <v>1607</v>
      </c>
      <c r="C2198" s="466">
        <v>5</v>
      </c>
      <c r="D2198" s="465"/>
      <c r="E2198" s="466" t="s">
        <v>4214</v>
      </c>
      <c r="F2198" s="466" t="s">
        <v>1226</v>
      </c>
      <c r="G2198" s="465"/>
      <c r="H2198" s="465">
        <v>1</v>
      </c>
    </row>
    <row r="2199" spans="1:8" ht="13.8" thickBot="1">
      <c r="A2199" s="467" t="s">
        <v>7411</v>
      </c>
      <c r="B2199" s="465" t="s">
        <v>1607</v>
      </c>
      <c r="C2199" s="466">
        <v>5</v>
      </c>
      <c r="D2199" s="465"/>
      <c r="E2199" s="466" t="s">
        <v>4214</v>
      </c>
      <c r="F2199" s="466" t="s">
        <v>1226</v>
      </c>
      <c r="G2199" s="465"/>
      <c r="H2199" s="465">
        <v>2</v>
      </c>
    </row>
    <row r="2200" spans="1:8" ht="13.8" thickBot="1">
      <c r="A2200" s="467" t="s">
        <v>7412</v>
      </c>
      <c r="B2200" s="465" t="s">
        <v>1607</v>
      </c>
      <c r="C2200" s="466">
        <v>5</v>
      </c>
      <c r="D2200" s="465"/>
      <c r="E2200" s="466" t="s">
        <v>4214</v>
      </c>
      <c r="F2200" s="466" t="s">
        <v>1226</v>
      </c>
      <c r="G2200" s="465"/>
      <c r="H2200" s="465">
        <v>3</v>
      </c>
    </row>
    <row r="2201" spans="1:8" ht="13.8" thickBot="1">
      <c r="A2201" s="465" t="s">
        <v>7413</v>
      </c>
      <c r="B2201" s="465" t="s">
        <v>4294</v>
      </c>
      <c r="C2201" s="466">
        <v>5</v>
      </c>
      <c r="D2201" s="465" t="s">
        <v>2377</v>
      </c>
      <c r="E2201" s="466" t="s">
        <v>4214</v>
      </c>
      <c r="F2201" s="466" t="s">
        <v>1226</v>
      </c>
      <c r="G2201" s="465"/>
      <c r="H2201" s="465">
        <v>3</v>
      </c>
    </row>
    <row r="2202" spans="1:8" ht="13.8" thickBot="1">
      <c r="A2202" s="465" t="s">
        <v>7414</v>
      </c>
      <c r="B2202" s="465" t="s">
        <v>4216</v>
      </c>
      <c r="C2202" s="466">
        <v>5</v>
      </c>
      <c r="D2202" s="465"/>
      <c r="E2202" s="466" t="s">
        <v>4214</v>
      </c>
      <c r="F2202" s="466" t="s">
        <v>1226</v>
      </c>
      <c r="G2202" s="465">
        <v>1</v>
      </c>
      <c r="H2202" s="465">
        <v>4</v>
      </c>
    </row>
    <row r="2203" spans="1:8" ht="13.8" thickBot="1">
      <c r="A2203" s="467" t="s">
        <v>7415</v>
      </c>
      <c r="B2203" s="465" t="s">
        <v>4295</v>
      </c>
      <c r="C2203" s="466">
        <v>5</v>
      </c>
      <c r="D2203" s="465"/>
      <c r="E2203" s="466" t="s">
        <v>4214</v>
      </c>
      <c r="F2203" s="466" t="s">
        <v>1226</v>
      </c>
      <c r="G2203" s="465"/>
      <c r="H2203" s="465">
        <v>15</v>
      </c>
    </row>
    <row r="2204" spans="1:8" ht="13.8" thickBot="1">
      <c r="A2204" s="467" t="s">
        <v>7416</v>
      </c>
      <c r="B2204" s="465" t="s">
        <v>4296</v>
      </c>
      <c r="C2204" s="466">
        <v>5</v>
      </c>
      <c r="D2204" s="467" t="s">
        <v>4297</v>
      </c>
      <c r="E2204" s="466" t="s">
        <v>4214</v>
      </c>
      <c r="F2204" s="466" t="s">
        <v>1226</v>
      </c>
      <c r="G2204" s="465"/>
      <c r="H2204" s="465">
        <v>8</v>
      </c>
    </row>
    <row r="2205" spans="1:8" ht="13.8" thickBot="1">
      <c r="A2205" s="467" t="s">
        <v>7417</v>
      </c>
      <c r="B2205" s="465" t="s">
        <v>4298</v>
      </c>
      <c r="C2205" s="466">
        <v>5</v>
      </c>
      <c r="D2205" s="465"/>
      <c r="E2205" s="466" t="s">
        <v>4214</v>
      </c>
      <c r="F2205" s="466" t="s">
        <v>1226</v>
      </c>
      <c r="G2205" s="465">
        <v>1</v>
      </c>
      <c r="H2205" s="465">
        <v>3</v>
      </c>
    </row>
    <row r="2206" spans="1:8" ht="13.8" thickBot="1">
      <c r="A2206" s="465" t="s">
        <v>7418</v>
      </c>
      <c r="B2206" s="468" t="s">
        <v>4299</v>
      </c>
      <c r="C2206" s="466">
        <v>5</v>
      </c>
      <c r="D2206" s="465"/>
      <c r="E2206" s="466" t="s">
        <v>4214</v>
      </c>
      <c r="F2206" s="466" t="s">
        <v>1226</v>
      </c>
      <c r="G2206" s="465"/>
      <c r="H2206" s="465">
        <v>1</v>
      </c>
    </row>
    <row r="2207" spans="1:8" ht="13.8" thickBot="1">
      <c r="A2207" s="465" t="s">
        <v>7419</v>
      </c>
      <c r="B2207" s="465" t="s">
        <v>1617</v>
      </c>
      <c r="C2207" s="466">
        <v>5</v>
      </c>
      <c r="D2207" s="465"/>
      <c r="E2207" s="466" t="s">
        <v>4214</v>
      </c>
      <c r="F2207" s="466" t="s">
        <v>1226</v>
      </c>
      <c r="G2207" s="465"/>
      <c r="H2207" s="465">
        <v>2</v>
      </c>
    </row>
    <row r="2208" spans="1:8" ht="13.8" thickBot="1">
      <c r="A2208" s="467" t="s">
        <v>7420</v>
      </c>
      <c r="B2208" s="465" t="s">
        <v>1617</v>
      </c>
      <c r="C2208" s="466">
        <v>5</v>
      </c>
      <c r="D2208" s="465"/>
      <c r="E2208" s="466" t="s">
        <v>4214</v>
      </c>
      <c r="F2208" s="466" t="s">
        <v>1226</v>
      </c>
      <c r="G2208" s="465"/>
      <c r="H2208" s="465">
        <v>1</v>
      </c>
    </row>
    <row r="2209" spans="1:8" ht="13.8" thickBot="1">
      <c r="A2209" s="467" t="s">
        <v>7421</v>
      </c>
      <c r="B2209" s="465" t="s">
        <v>1634</v>
      </c>
      <c r="C2209" s="466">
        <v>5</v>
      </c>
      <c r="D2209" s="465"/>
      <c r="E2209" s="466" t="s">
        <v>4214</v>
      </c>
      <c r="F2209" s="466" t="s">
        <v>1226</v>
      </c>
      <c r="G2209" s="465"/>
      <c r="H2209" s="465">
        <v>6</v>
      </c>
    </row>
    <row r="2210" spans="1:8" ht="13.8" thickBot="1">
      <c r="A2210" s="467" t="s">
        <v>7422</v>
      </c>
      <c r="B2210" s="465" t="s">
        <v>1607</v>
      </c>
      <c r="C2210" s="466">
        <v>5</v>
      </c>
      <c r="D2210" s="465"/>
      <c r="E2210" s="466" t="s">
        <v>4214</v>
      </c>
      <c r="F2210" s="466" t="s">
        <v>1224</v>
      </c>
      <c r="G2210" s="465"/>
      <c r="H2210" s="465">
        <v>4</v>
      </c>
    </row>
    <row r="2211" spans="1:8" ht="13.8" thickBot="1">
      <c r="A2211" s="465" t="s">
        <v>7423</v>
      </c>
      <c r="B2211" s="465" t="s">
        <v>1607</v>
      </c>
      <c r="C2211" s="466">
        <v>5</v>
      </c>
      <c r="D2211" s="465"/>
      <c r="E2211" s="466" t="s">
        <v>4214</v>
      </c>
      <c r="F2211" s="466" t="s">
        <v>1224</v>
      </c>
      <c r="G2211" s="465">
        <v>1</v>
      </c>
      <c r="H2211" s="465">
        <v>5</v>
      </c>
    </row>
    <row r="2212" spans="1:8" ht="13.8" thickBot="1">
      <c r="A2212" s="467" t="s">
        <v>7424</v>
      </c>
      <c r="B2212" s="465" t="s">
        <v>4300</v>
      </c>
      <c r="C2212" s="466">
        <v>5</v>
      </c>
      <c r="D2212" s="467" t="s">
        <v>614</v>
      </c>
      <c r="E2212" s="466" t="s">
        <v>4214</v>
      </c>
      <c r="F2212" s="466" t="s">
        <v>1224</v>
      </c>
      <c r="G2212" s="465">
        <v>1</v>
      </c>
      <c r="H2212" s="465">
        <v>6</v>
      </c>
    </row>
    <row r="2213" spans="1:8" ht="13.8" thickBot="1">
      <c r="A2213" s="467" t="s">
        <v>7425</v>
      </c>
      <c r="B2213" s="465" t="s">
        <v>4301</v>
      </c>
      <c r="C2213" s="466">
        <v>5</v>
      </c>
      <c r="D2213" s="465"/>
      <c r="E2213" s="466" t="s">
        <v>4214</v>
      </c>
      <c r="F2213" s="466" t="s">
        <v>1224</v>
      </c>
      <c r="G2213" s="465"/>
      <c r="H2213" s="465">
        <v>4</v>
      </c>
    </row>
    <row r="2214" spans="1:8" ht="13.8" thickBot="1">
      <c r="A2214" s="467" t="s">
        <v>7426</v>
      </c>
      <c r="B2214" s="465" t="s">
        <v>1627</v>
      </c>
      <c r="C2214" s="466">
        <v>5</v>
      </c>
      <c r="D2214" s="465"/>
      <c r="E2214" s="466" t="s">
        <v>4214</v>
      </c>
      <c r="F2214" s="466" t="s">
        <v>1224</v>
      </c>
      <c r="G2214" s="465"/>
      <c r="H2214" s="465">
        <v>3</v>
      </c>
    </row>
    <row r="2215" spans="1:8" ht="13.8" thickBot="1">
      <c r="A2215" s="467" t="s">
        <v>7427</v>
      </c>
      <c r="B2215" s="465" t="s">
        <v>4302</v>
      </c>
      <c r="C2215" s="466">
        <v>5</v>
      </c>
      <c r="D2215" s="467" t="s">
        <v>614</v>
      </c>
      <c r="E2215" s="466" t="s">
        <v>4214</v>
      </c>
      <c r="F2215" s="466" t="s">
        <v>1224</v>
      </c>
      <c r="G2215" s="465"/>
      <c r="H2215" s="465">
        <v>1</v>
      </c>
    </row>
    <row r="2216" spans="1:8" ht="13.8" thickBot="1">
      <c r="A2216" s="467" t="s">
        <v>7428</v>
      </c>
      <c r="B2216" s="465" t="s">
        <v>1632</v>
      </c>
      <c r="C2216" s="466">
        <v>5</v>
      </c>
      <c r="D2216" s="465"/>
      <c r="E2216" s="466" t="s">
        <v>4214</v>
      </c>
      <c r="F2216" s="466" t="s">
        <v>1224</v>
      </c>
      <c r="G2216" s="465">
        <v>1</v>
      </c>
      <c r="H2216" s="465">
        <v>5</v>
      </c>
    </row>
    <row r="2217" spans="1:8" ht="13.8" thickBot="1">
      <c r="A2217" s="467" t="s">
        <v>7429</v>
      </c>
      <c r="B2217" s="465" t="s">
        <v>1617</v>
      </c>
      <c r="C2217" s="466">
        <v>5</v>
      </c>
      <c r="D2217" s="465"/>
      <c r="E2217" s="466" t="s">
        <v>4214</v>
      </c>
      <c r="F2217" s="466" t="s">
        <v>1224</v>
      </c>
      <c r="G2217" s="465"/>
      <c r="H2217" s="465">
        <v>4</v>
      </c>
    </row>
    <row r="2218" spans="1:8" ht="13.8" thickBot="1">
      <c r="A2218" s="467" t="s">
        <v>7430</v>
      </c>
      <c r="B2218" s="465" t="s">
        <v>4303</v>
      </c>
      <c r="C2218" s="466">
        <v>5</v>
      </c>
      <c r="D2218" s="467" t="s">
        <v>4297</v>
      </c>
      <c r="E2218" s="466" t="s">
        <v>4214</v>
      </c>
      <c r="F2218" s="466" t="s">
        <v>1224</v>
      </c>
      <c r="G2218" s="465"/>
      <c r="H2218" s="465">
        <v>5</v>
      </c>
    </row>
    <row r="2219" spans="1:8" ht="13.8" thickBot="1">
      <c r="A2219" s="465" t="s">
        <v>1001</v>
      </c>
      <c r="B2219" s="465" t="s">
        <v>1630</v>
      </c>
      <c r="C2219" s="466">
        <v>5</v>
      </c>
      <c r="D2219" s="465"/>
      <c r="E2219" s="466" t="s">
        <v>4214</v>
      </c>
      <c r="F2219" s="466" t="s">
        <v>1220</v>
      </c>
      <c r="G2219" s="465"/>
      <c r="H2219" s="465">
        <v>3</v>
      </c>
    </row>
    <row r="2220" spans="1:8" ht="13.8" thickBot="1">
      <c r="A2220" s="467" t="s">
        <v>7431</v>
      </c>
      <c r="B2220" s="465" t="s">
        <v>1631</v>
      </c>
      <c r="C2220" s="466">
        <v>5</v>
      </c>
      <c r="D2220" s="465"/>
      <c r="E2220" s="466" t="s">
        <v>4214</v>
      </c>
      <c r="F2220" s="466" t="s">
        <v>1220</v>
      </c>
      <c r="G2220" s="465"/>
      <c r="H2220" s="465">
        <v>5</v>
      </c>
    </row>
    <row r="2221" spans="1:8" ht="13.8" thickBot="1">
      <c r="A2221" s="467" t="s">
        <v>7432</v>
      </c>
      <c r="B2221" s="465" t="s">
        <v>1607</v>
      </c>
      <c r="C2221" s="466">
        <v>5</v>
      </c>
      <c r="D2221" s="465"/>
      <c r="E2221" s="466" t="s">
        <v>4214</v>
      </c>
      <c r="F2221" s="466"/>
      <c r="G2221" s="465"/>
      <c r="H2221" s="465">
        <v>1</v>
      </c>
    </row>
    <row r="2222" spans="1:8" ht="13.8" thickBot="1">
      <c r="A2222" s="467" t="s">
        <v>7433</v>
      </c>
      <c r="B2222" s="465" t="s">
        <v>1607</v>
      </c>
      <c r="C2222" s="466">
        <v>5</v>
      </c>
      <c r="D2222" s="465"/>
      <c r="E2222" s="466" t="s">
        <v>4214</v>
      </c>
      <c r="F2222" s="466"/>
      <c r="G2222" s="465"/>
      <c r="H2222" s="465">
        <v>1</v>
      </c>
    </row>
    <row r="2223" spans="1:8" ht="13.8" thickBot="1">
      <c r="A2223" s="467" t="s">
        <v>7434</v>
      </c>
      <c r="B2223" s="465" t="s">
        <v>1607</v>
      </c>
      <c r="C2223" s="466">
        <v>5</v>
      </c>
      <c r="D2223" s="465"/>
      <c r="E2223" s="466" t="s">
        <v>4214</v>
      </c>
      <c r="F2223" s="466"/>
      <c r="G2223" s="465"/>
      <c r="H2223" s="465">
        <v>3</v>
      </c>
    </row>
    <row r="2224" spans="1:8" ht="13.8" thickBot="1">
      <c r="A2224" s="467" t="s">
        <v>7435</v>
      </c>
      <c r="B2224" s="465" t="s">
        <v>1607</v>
      </c>
      <c r="C2224" s="466">
        <v>5</v>
      </c>
      <c r="D2224" s="465"/>
      <c r="E2224" s="466" t="s">
        <v>4214</v>
      </c>
      <c r="F2224" s="466"/>
      <c r="G2224" s="465"/>
      <c r="H2224" s="465">
        <v>3</v>
      </c>
    </row>
    <row r="2225" spans="1:8" ht="13.8" thickBot="1">
      <c r="A2225" s="467" t="s">
        <v>7436</v>
      </c>
      <c r="B2225" s="465" t="s">
        <v>1607</v>
      </c>
      <c r="C2225" s="466">
        <v>5</v>
      </c>
      <c r="D2225" s="465"/>
      <c r="E2225" s="466" t="s">
        <v>4214</v>
      </c>
      <c r="F2225" s="466"/>
      <c r="G2225" s="465"/>
      <c r="H2225" s="465">
        <v>1</v>
      </c>
    </row>
    <row r="2226" spans="1:8" ht="13.8" thickBot="1">
      <c r="A2226" s="467" t="s">
        <v>7437</v>
      </c>
      <c r="B2226" s="465" t="s">
        <v>1607</v>
      </c>
      <c r="C2226" s="466">
        <v>5</v>
      </c>
      <c r="D2226" s="465"/>
      <c r="E2226" s="466" t="s">
        <v>4214</v>
      </c>
      <c r="F2226" s="466"/>
      <c r="G2226" s="465"/>
      <c r="H2226" s="465">
        <v>3</v>
      </c>
    </row>
    <row r="2227" spans="1:8" ht="13.8" thickBot="1">
      <c r="A2227" s="467" t="s">
        <v>7438</v>
      </c>
      <c r="B2227" s="465" t="s">
        <v>1607</v>
      </c>
      <c r="C2227" s="466">
        <v>5</v>
      </c>
      <c r="D2227" s="465"/>
      <c r="E2227" s="466" t="s">
        <v>4214</v>
      </c>
      <c r="F2227" s="466"/>
      <c r="G2227" s="465"/>
      <c r="H2227" s="465">
        <v>2</v>
      </c>
    </row>
    <row r="2228" spans="1:8" ht="13.8" thickBot="1">
      <c r="A2228" s="467" t="s">
        <v>7439</v>
      </c>
      <c r="B2228" s="465" t="s">
        <v>1607</v>
      </c>
      <c r="C2228" s="466">
        <v>5</v>
      </c>
      <c r="D2228" s="465"/>
      <c r="E2228" s="466" t="s">
        <v>4214</v>
      </c>
      <c r="F2228" s="466"/>
      <c r="G2228" s="465"/>
      <c r="H2228" s="465">
        <v>1</v>
      </c>
    </row>
    <row r="2229" spans="1:8" ht="13.8" thickBot="1">
      <c r="A2229" s="467" t="s">
        <v>7440</v>
      </c>
      <c r="B2229" s="465" t="s">
        <v>1607</v>
      </c>
      <c r="C2229" s="466">
        <v>5</v>
      </c>
      <c r="D2229" s="465"/>
      <c r="E2229" s="466" t="s">
        <v>4214</v>
      </c>
      <c r="F2229" s="466"/>
      <c r="G2229" s="465"/>
      <c r="H2229" s="465">
        <v>1</v>
      </c>
    </row>
    <row r="2230" spans="1:8" ht="13.8" thickBot="1">
      <c r="A2230" s="467" t="s">
        <v>7441</v>
      </c>
      <c r="B2230" s="465" t="s">
        <v>1607</v>
      </c>
      <c r="C2230" s="466">
        <v>5</v>
      </c>
      <c r="D2230" s="465"/>
      <c r="E2230" s="466" t="s">
        <v>4214</v>
      </c>
      <c r="F2230" s="466"/>
      <c r="G2230" s="465">
        <v>1</v>
      </c>
      <c r="H2230" s="465">
        <v>3</v>
      </c>
    </row>
    <row r="2231" spans="1:8" ht="13.8" thickBot="1">
      <c r="A2231" s="467" t="s">
        <v>7442</v>
      </c>
      <c r="B2231" s="465" t="s">
        <v>1607</v>
      </c>
      <c r="C2231" s="466">
        <v>5</v>
      </c>
      <c r="D2231" s="465"/>
      <c r="E2231" s="466" t="s">
        <v>4214</v>
      </c>
      <c r="F2231" s="466"/>
      <c r="G2231" s="465"/>
      <c r="H2231" s="465">
        <v>2</v>
      </c>
    </row>
    <row r="2232" spans="1:8" ht="13.8" thickBot="1">
      <c r="A2232" s="467" t="s">
        <v>7443</v>
      </c>
      <c r="B2232" s="465" t="s">
        <v>1607</v>
      </c>
      <c r="C2232" s="466">
        <v>5</v>
      </c>
      <c r="D2232" s="465"/>
      <c r="E2232" s="466" t="s">
        <v>4214</v>
      </c>
      <c r="F2232" s="466"/>
      <c r="G2232" s="465"/>
      <c r="H2232" s="465">
        <v>1</v>
      </c>
    </row>
    <row r="2233" spans="1:8" ht="13.8" thickBot="1">
      <c r="A2233" s="465" t="s">
        <v>7444</v>
      </c>
      <c r="B2233" s="465" t="s">
        <v>1607</v>
      </c>
      <c r="C2233" s="466">
        <v>5</v>
      </c>
      <c r="D2233" s="467" t="s">
        <v>614</v>
      </c>
      <c r="E2233" s="466" t="s">
        <v>4214</v>
      </c>
      <c r="F2233" s="466"/>
      <c r="G2233" s="465">
        <v>1</v>
      </c>
      <c r="H2233" s="465">
        <v>7</v>
      </c>
    </row>
    <row r="2234" spans="1:8" ht="13.8" thickBot="1">
      <c r="A2234" s="465" t="s">
        <v>7445</v>
      </c>
      <c r="B2234" s="465" t="s">
        <v>4304</v>
      </c>
      <c r="C2234" s="466">
        <v>5</v>
      </c>
      <c r="D2234" s="467" t="s">
        <v>614</v>
      </c>
      <c r="E2234" s="466" t="s">
        <v>4214</v>
      </c>
      <c r="F2234" s="466"/>
      <c r="G2234" s="465"/>
      <c r="H2234" s="465">
        <v>2</v>
      </c>
    </row>
    <row r="2235" spans="1:8" ht="13.8" thickBot="1">
      <c r="A2235" s="465" t="s">
        <v>7446</v>
      </c>
      <c r="B2235" s="465" t="s">
        <v>4305</v>
      </c>
      <c r="C2235" s="466">
        <v>5</v>
      </c>
      <c r="D2235" s="465"/>
      <c r="E2235" s="466" t="s">
        <v>4214</v>
      </c>
      <c r="F2235" s="466"/>
      <c r="G2235" s="465"/>
      <c r="H2235" s="465">
        <v>5</v>
      </c>
    </row>
    <row r="2236" spans="1:8" ht="13.8" thickBot="1">
      <c r="A2236" s="467" t="s">
        <v>7447</v>
      </c>
      <c r="B2236" s="465" t="s">
        <v>4306</v>
      </c>
      <c r="C2236" s="466">
        <v>5</v>
      </c>
      <c r="D2236" s="465"/>
      <c r="E2236" s="466" t="s">
        <v>4214</v>
      </c>
      <c r="F2236" s="466"/>
      <c r="G2236" s="465"/>
      <c r="H2236" s="465">
        <v>1</v>
      </c>
    </row>
    <row r="2237" spans="1:8" ht="13.8" thickBot="1">
      <c r="A2237" s="465" t="s">
        <v>7448</v>
      </c>
      <c r="B2237" s="465" t="s">
        <v>4307</v>
      </c>
      <c r="C2237" s="466">
        <v>5</v>
      </c>
      <c r="D2237" s="465"/>
      <c r="E2237" s="466" t="s">
        <v>4214</v>
      </c>
      <c r="F2237" s="466"/>
      <c r="G2237" s="465"/>
      <c r="H2237" s="465">
        <v>2</v>
      </c>
    </row>
    <row r="2238" spans="1:8" ht="13.8" thickBot="1">
      <c r="A2238" s="467" t="s">
        <v>7449</v>
      </c>
      <c r="B2238" s="465" t="s">
        <v>4308</v>
      </c>
      <c r="C2238" s="466">
        <v>5</v>
      </c>
      <c r="D2238" s="467" t="s">
        <v>614</v>
      </c>
      <c r="E2238" s="466" t="s">
        <v>4214</v>
      </c>
      <c r="F2238" s="466"/>
      <c r="G2238" s="465"/>
      <c r="H2238" s="465">
        <v>1</v>
      </c>
    </row>
    <row r="2239" spans="1:8" ht="13.8" thickBot="1">
      <c r="A2239" s="467" t="s">
        <v>7450</v>
      </c>
      <c r="B2239" s="465" t="s">
        <v>1612</v>
      </c>
      <c r="C2239" s="466">
        <v>5</v>
      </c>
      <c r="D2239" s="467" t="s">
        <v>614</v>
      </c>
      <c r="E2239" s="466" t="s">
        <v>4214</v>
      </c>
      <c r="F2239" s="466"/>
      <c r="G2239" s="465"/>
      <c r="H2239" s="465">
        <v>1</v>
      </c>
    </row>
    <row r="2240" spans="1:8" ht="13.8" thickBot="1">
      <c r="A2240" s="467" t="s">
        <v>7451</v>
      </c>
      <c r="B2240" s="465" t="s">
        <v>1617</v>
      </c>
      <c r="C2240" s="466">
        <v>5</v>
      </c>
      <c r="D2240" s="465"/>
      <c r="E2240" s="466" t="s">
        <v>4214</v>
      </c>
      <c r="F2240" s="466"/>
      <c r="G2240" s="465"/>
      <c r="H2240" s="465">
        <v>8</v>
      </c>
    </row>
    <row r="2241" spans="1:8" ht="13.8" thickBot="1">
      <c r="A2241" s="465" t="s">
        <v>7452</v>
      </c>
      <c r="B2241" s="465" t="s">
        <v>1617</v>
      </c>
      <c r="C2241" s="466">
        <v>5</v>
      </c>
      <c r="D2241" s="465"/>
      <c r="E2241" s="466" t="s">
        <v>4214</v>
      </c>
      <c r="F2241" s="466"/>
      <c r="G2241" s="465"/>
      <c r="H2241" s="465">
        <v>1</v>
      </c>
    </row>
    <row r="2242" spans="1:8" ht="13.8" thickBot="1">
      <c r="A2242" s="467" t="s">
        <v>7453</v>
      </c>
      <c r="B2242" s="465" t="s">
        <v>1617</v>
      </c>
      <c r="C2242" s="466">
        <v>5</v>
      </c>
      <c r="D2242" s="465"/>
      <c r="E2242" s="466" t="s">
        <v>4214</v>
      </c>
      <c r="F2242" s="466"/>
      <c r="G2242" s="465"/>
      <c r="H2242" s="465">
        <v>1</v>
      </c>
    </row>
    <row r="2243" spans="1:8" ht="13.8" thickBot="1">
      <c r="A2243" s="467" t="s">
        <v>7454</v>
      </c>
      <c r="B2243" s="465" t="s">
        <v>4309</v>
      </c>
      <c r="C2243" s="466">
        <v>5</v>
      </c>
      <c r="D2243" s="467" t="s">
        <v>614</v>
      </c>
      <c r="E2243" s="466" t="s">
        <v>4214</v>
      </c>
      <c r="F2243" s="466"/>
      <c r="G2243" s="465"/>
      <c r="H2243" s="465">
        <v>1</v>
      </c>
    </row>
    <row r="2244" spans="1:8" ht="13.8" thickBot="1">
      <c r="A2244" s="467" t="s">
        <v>7455</v>
      </c>
      <c r="B2244" s="465" t="s">
        <v>4310</v>
      </c>
      <c r="C2244" s="466">
        <v>5</v>
      </c>
      <c r="D2244" s="465"/>
      <c r="E2244" s="466" t="s">
        <v>4214</v>
      </c>
      <c r="F2244" s="466"/>
      <c r="G2244" s="465">
        <v>1</v>
      </c>
      <c r="H2244" s="465">
        <v>2</v>
      </c>
    </row>
    <row r="2245" spans="1:8" ht="13.8" thickBot="1">
      <c r="A2245" s="465" t="s">
        <v>7456</v>
      </c>
      <c r="B2245" s="465" t="s">
        <v>1620</v>
      </c>
      <c r="C2245" s="466">
        <v>5</v>
      </c>
      <c r="D2245" s="467" t="s">
        <v>614</v>
      </c>
      <c r="E2245" s="466" t="s">
        <v>4214</v>
      </c>
      <c r="F2245" s="466"/>
      <c r="G2245" s="465"/>
      <c r="H2245" s="465">
        <v>1</v>
      </c>
    </row>
    <row r="2246" spans="1:8" ht="13.8" thickBot="1">
      <c r="A2246" s="465" t="s">
        <v>7457</v>
      </c>
      <c r="B2246" s="465" t="s">
        <v>4311</v>
      </c>
      <c r="C2246" s="466">
        <v>5</v>
      </c>
      <c r="D2246" s="465"/>
      <c r="E2246" s="466" t="s">
        <v>4214</v>
      </c>
      <c r="F2246" s="466"/>
      <c r="G2246" s="465">
        <v>1</v>
      </c>
      <c r="H2246" s="465">
        <v>5</v>
      </c>
    </row>
    <row r="2247" spans="1:8" ht="13.8" thickBot="1">
      <c r="A2247" s="465" t="s">
        <v>7458</v>
      </c>
      <c r="B2247" s="465" t="s">
        <v>4312</v>
      </c>
      <c r="C2247" s="466">
        <v>5</v>
      </c>
      <c r="D2247" s="465"/>
      <c r="E2247" s="466" t="s">
        <v>4214</v>
      </c>
      <c r="F2247" s="466"/>
      <c r="G2247" s="465"/>
      <c r="H2247" s="465">
        <v>6</v>
      </c>
    </row>
    <row r="2248" spans="1:8" ht="13.8" thickBot="1">
      <c r="A2248" s="467" t="s">
        <v>7459</v>
      </c>
      <c r="B2248" s="465" t="s">
        <v>4313</v>
      </c>
      <c r="C2248" s="466">
        <v>5</v>
      </c>
      <c r="D2248" s="465"/>
      <c r="E2248" s="466" t="s">
        <v>4214</v>
      </c>
      <c r="F2248" s="466"/>
      <c r="G2248" s="465"/>
      <c r="H2248" s="465">
        <v>1</v>
      </c>
    </row>
    <row r="2249" spans="1:8" ht="13.8" thickBot="1">
      <c r="A2249" s="467" t="s">
        <v>7460</v>
      </c>
      <c r="B2249" s="465" t="s">
        <v>4220</v>
      </c>
      <c r="C2249" s="466">
        <v>5</v>
      </c>
      <c r="D2249" s="465"/>
      <c r="E2249" s="466" t="s">
        <v>4214</v>
      </c>
      <c r="F2249" s="466"/>
      <c r="G2249" s="465"/>
      <c r="H2249" s="465">
        <v>1</v>
      </c>
    </row>
    <row r="2250" spans="1:8" ht="13.8" thickBot="1">
      <c r="A2250" s="467" t="s">
        <v>7461</v>
      </c>
      <c r="B2250" s="465" t="s">
        <v>1633</v>
      </c>
      <c r="C2250" s="466">
        <v>5</v>
      </c>
      <c r="D2250" s="465"/>
      <c r="E2250" s="466" t="s">
        <v>4214</v>
      </c>
      <c r="F2250" s="466"/>
      <c r="G2250" s="465">
        <v>1</v>
      </c>
      <c r="H2250" s="465">
        <v>6</v>
      </c>
    </row>
    <row r="2251" spans="1:8" ht="13.8" thickBot="1">
      <c r="A2251" s="465" t="s">
        <v>6900</v>
      </c>
      <c r="B2251" s="465" t="s">
        <v>2141</v>
      </c>
      <c r="C2251" s="466">
        <v>5</v>
      </c>
      <c r="D2251" s="465"/>
      <c r="E2251" s="466" t="s">
        <v>2123</v>
      </c>
      <c r="F2251" s="466" t="s">
        <v>1880</v>
      </c>
      <c r="G2251" s="465"/>
      <c r="H2251" s="465">
        <v>3</v>
      </c>
    </row>
    <row r="2252" spans="1:8" ht="13.8" thickBot="1">
      <c r="A2252" s="467" t="s">
        <v>6901</v>
      </c>
      <c r="B2252" s="465" t="s">
        <v>2142</v>
      </c>
      <c r="C2252" s="466">
        <v>5</v>
      </c>
      <c r="D2252" s="465"/>
      <c r="E2252" s="466" t="s">
        <v>2123</v>
      </c>
      <c r="F2252" s="466"/>
      <c r="G2252" s="465">
        <v>2</v>
      </c>
      <c r="H2252" s="465">
        <v>3</v>
      </c>
    </row>
    <row r="2253" spans="1:8" ht="13.8" thickBot="1">
      <c r="A2253" s="467" t="s">
        <v>6902</v>
      </c>
      <c r="B2253" s="465" t="s">
        <v>2143</v>
      </c>
      <c r="C2253" s="466">
        <v>5</v>
      </c>
      <c r="D2253" s="465"/>
      <c r="E2253" s="466" t="s">
        <v>2123</v>
      </c>
      <c r="F2253" s="466"/>
      <c r="G2253" s="465"/>
      <c r="H2253" s="465">
        <v>2</v>
      </c>
    </row>
    <row r="2254" spans="1:8" ht="13.8" thickBot="1">
      <c r="A2254" s="465" t="s">
        <v>6903</v>
      </c>
      <c r="B2254" s="465" t="s">
        <v>2144</v>
      </c>
      <c r="C2254" s="466">
        <v>5</v>
      </c>
      <c r="D2254" s="465"/>
      <c r="E2254" s="466" t="s">
        <v>2123</v>
      </c>
      <c r="F2254" s="466"/>
      <c r="G2254" s="465"/>
      <c r="H2254" s="465">
        <v>1</v>
      </c>
    </row>
    <row r="2255" spans="1:8" ht="13.8" thickBot="1">
      <c r="A2255" s="465" t="s">
        <v>7462</v>
      </c>
      <c r="B2255" s="465" t="s">
        <v>4338</v>
      </c>
      <c r="C2255" s="466">
        <v>5</v>
      </c>
      <c r="D2255" s="465"/>
      <c r="E2255" s="466" t="s">
        <v>4339</v>
      </c>
      <c r="F2255" s="466" t="s">
        <v>1865</v>
      </c>
      <c r="G2255" s="465"/>
      <c r="H2255" s="465">
        <v>4</v>
      </c>
    </row>
    <row r="2256" spans="1:8" ht="13.8" thickBot="1">
      <c r="A2256" s="465" t="s">
        <v>7463</v>
      </c>
      <c r="B2256" s="465" t="s">
        <v>4340</v>
      </c>
      <c r="C2256" s="466">
        <v>5</v>
      </c>
      <c r="D2256" s="465"/>
      <c r="E2256" s="466" t="s">
        <v>4339</v>
      </c>
      <c r="F2256" s="466" t="s">
        <v>2067</v>
      </c>
      <c r="G2256" s="465">
        <v>1</v>
      </c>
      <c r="H2256" s="465">
        <v>10</v>
      </c>
    </row>
    <row r="2257" spans="1:8" ht="13.8" thickBot="1">
      <c r="A2257" s="467" t="s">
        <v>7464</v>
      </c>
      <c r="B2257" s="465" t="s">
        <v>4341</v>
      </c>
      <c r="C2257" s="466">
        <v>5</v>
      </c>
      <c r="D2257" s="467" t="s">
        <v>614</v>
      </c>
      <c r="E2257" s="466" t="s">
        <v>4339</v>
      </c>
      <c r="F2257" s="466" t="s">
        <v>1220</v>
      </c>
      <c r="G2257" s="465">
        <v>1</v>
      </c>
      <c r="H2257" s="465">
        <v>5</v>
      </c>
    </row>
    <row r="2258" spans="1:8" ht="13.8" thickBot="1">
      <c r="A2258" s="467" t="s">
        <v>7465</v>
      </c>
      <c r="B2258" s="465" t="s">
        <v>4342</v>
      </c>
      <c r="C2258" s="466">
        <v>5</v>
      </c>
      <c r="D2258" s="467" t="s">
        <v>614</v>
      </c>
      <c r="E2258" s="466" t="s">
        <v>4339</v>
      </c>
      <c r="F2258" s="466" t="s">
        <v>1220</v>
      </c>
      <c r="G2258" s="465"/>
      <c r="H2258" s="465">
        <v>2</v>
      </c>
    </row>
    <row r="2259" spans="1:8" ht="13.8" thickBot="1">
      <c r="A2259" s="467" t="s">
        <v>7466</v>
      </c>
      <c r="B2259" s="465" t="s">
        <v>4346</v>
      </c>
      <c r="C2259" s="466">
        <v>5</v>
      </c>
      <c r="D2259" s="467" t="s">
        <v>614</v>
      </c>
      <c r="E2259" s="466" t="s">
        <v>4347</v>
      </c>
      <c r="F2259" s="466" t="s">
        <v>1224</v>
      </c>
      <c r="G2259" s="465">
        <v>1</v>
      </c>
      <c r="H2259" s="465">
        <v>2</v>
      </c>
    </row>
    <row r="2260" spans="1:8" ht="13.8" thickBot="1">
      <c r="A2260" s="467" t="s">
        <v>7467</v>
      </c>
      <c r="B2260" s="465" t="s">
        <v>4351</v>
      </c>
      <c r="C2260" s="466">
        <v>5</v>
      </c>
      <c r="D2260" s="467" t="s">
        <v>614</v>
      </c>
      <c r="E2260" s="466" t="s">
        <v>4347</v>
      </c>
      <c r="F2260" s="466" t="s">
        <v>1220</v>
      </c>
      <c r="G2260" s="465"/>
      <c r="H2260" s="465">
        <v>3</v>
      </c>
    </row>
    <row r="2261" spans="1:8" ht="13.8" thickBot="1">
      <c r="A2261" s="467" t="s">
        <v>7468</v>
      </c>
      <c r="B2261" s="465" t="s">
        <v>1654</v>
      </c>
      <c r="C2261" s="466">
        <v>5</v>
      </c>
      <c r="D2261" s="467" t="s">
        <v>614</v>
      </c>
      <c r="E2261" s="466" t="s">
        <v>4354</v>
      </c>
      <c r="F2261" s="466" t="s">
        <v>1224</v>
      </c>
      <c r="G2261" s="465">
        <v>1</v>
      </c>
      <c r="H2261" s="465">
        <v>3</v>
      </c>
    </row>
    <row r="2262" spans="1:8" ht="13.8" thickBot="1">
      <c r="A2262" s="467" t="s">
        <v>7469</v>
      </c>
      <c r="B2262" s="465" t="s">
        <v>4357</v>
      </c>
      <c r="C2262" s="466">
        <v>5</v>
      </c>
      <c r="D2262" s="465"/>
      <c r="E2262" s="466" t="s">
        <v>4354</v>
      </c>
      <c r="F2262" s="466" t="s">
        <v>1936</v>
      </c>
      <c r="G2262" s="465">
        <v>2</v>
      </c>
      <c r="H2262" s="465">
        <v>14</v>
      </c>
    </row>
    <row r="2263" spans="1:8" ht="13.8" thickBot="1">
      <c r="A2263" s="467" t="s">
        <v>7470</v>
      </c>
      <c r="B2263" s="465" t="s">
        <v>1654</v>
      </c>
      <c r="C2263" s="466">
        <v>5</v>
      </c>
      <c r="D2263" s="465"/>
      <c r="E2263" s="466" t="s">
        <v>4354</v>
      </c>
      <c r="F2263" s="466"/>
      <c r="G2263" s="465"/>
      <c r="H2263" s="465">
        <v>1</v>
      </c>
    </row>
    <row r="2264" spans="1:8" ht="13.8" thickBot="1">
      <c r="A2264" s="467" t="s">
        <v>7471</v>
      </c>
      <c r="B2264" s="465" t="s">
        <v>1654</v>
      </c>
      <c r="C2264" s="466">
        <v>5</v>
      </c>
      <c r="D2264" s="465"/>
      <c r="E2264" s="466" t="s">
        <v>4354</v>
      </c>
      <c r="F2264" s="466"/>
      <c r="G2264" s="465"/>
      <c r="H2264" s="465">
        <v>1</v>
      </c>
    </row>
    <row r="2265" spans="1:8" ht="13.8" thickBot="1">
      <c r="A2265" s="467" t="s">
        <v>7472</v>
      </c>
      <c r="B2265" s="465" t="s">
        <v>4358</v>
      </c>
      <c r="C2265" s="466">
        <v>5</v>
      </c>
      <c r="D2265" s="465"/>
      <c r="E2265" s="466" t="s">
        <v>4354</v>
      </c>
      <c r="F2265" s="466"/>
      <c r="G2265" s="465"/>
      <c r="H2265" s="465">
        <v>2</v>
      </c>
    </row>
    <row r="2266" spans="1:8" ht="13.8" thickBot="1">
      <c r="A2266" s="467" t="s">
        <v>7473</v>
      </c>
      <c r="B2266" s="465" t="s">
        <v>1656</v>
      </c>
      <c r="C2266" s="466">
        <v>5</v>
      </c>
      <c r="D2266" s="465"/>
      <c r="E2266" s="466" t="s">
        <v>4364</v>
      </c>
      <c r="F2266" s="466" t="s">
        <v>1226</v>
      </c>
      <c r="G2266" s="465"/>
      <c r="H2266" s="465">
        <v>4</v>
      </c>
    </row>
    <row r="2267" spans="1:8" ht="13.8" thickBot="1">
      <c r="A2267" s="465" t="s">
        <v>7474</v>
      </c>
      <c r="B2267" s="465" t="s">
        <v>4380</v>
      </c>
      <c r="C2267" s="466">
        <v>5</v>
      </c>
      <c r="D2267" s="465"/>
      <c r="E2267" s="466" t="s">
        <v>4364</v>
      </c>
      <c r="F2267" s="466" t="s">
        <v>1226</v>
      </c>
      <c r="G2267" s="465"/>
      <c r="H2267" s="465">
        <v>5</v>
      </c>
    </row>
    <row r="2268" spans="1:8" ht="13.8" thickBot="1">
      <c r="A2268" s="465" t="s">
        <v>7475</v>
      </c>
      <c r="B2268" s="465" t="s">
        <v>1658</v>
      </c>
      <c r="C2268" s="466">
        <v>5</v>
      </c>
      <c r="D2268" s="465"/>
      <c r="E2268" s="466" t="s">
        <v>4364</v>
      </c>
      <c r="F2268" s="466" t="s">
        <v>1220</v>
      </c>
      <c r="G2268" s="465"/>
      <c r="H2268" s="465">
        <v>3</v>
      </c>
    </row>
    <row r="2269" spans="1:8" ht="13.8" thickBot="1">
      <c r="A2269" s="465" t="s">
        <v>7476</v>
      </c>
      <c r="B2269" s="465" t="s">
        <v>4381</v>
      </c>
      <c r="C2269" s="466">
        <v>5</v>
      </c>
      <c r="D2269" s="465"/>
      <c r="E2269" s="466" t="s">
        <v>4364</v>
      </c>
      <c r="F2269" s="466"/>
      <c r="G2269" s="465"/>
      <c r="H2269" s="465">
        <v>2</v>
      </c>
    </row>
    <row r="2270" spans="1:8" ht="13.8" thickBot="1">
      <c r="A2270" s="465" t="s">
        <v>7477</v>
      </c>
      <c r="B2270" s="465" t="s">
        <v>1658</v>
      </c>
      <c r="C2270" s="466">
        <v>5</v>
      </c>
      <c r="D2270" s="465"/>
      <c r="E2270" s="466" t="s">
        <v>4364</v>
      </c>
      <c r="F2270" s="466"/>
      <c r="G2270" s="465"/>
      <c r="H2270" s="465">
        <v>8</v>
      </c>
    </row>
    <row r="2271" spans="1:8" ht="13.8" thickBot="1">
      <c r="A2271" s="467" t="s">
        <v>7478</v>
      </c>
      <c r="B2271" s="465" t="s">
        <v>4382</v>
      </c>
      <c r="C2271" s="466">
        <v>5</v>
      </c>
      <c r="D2271" s="465"/>
      <c r="E2271" s="466" t="s">
        <v>4364</v>
      </c>
      <c r="F2271" s="466"/>
      <c r="G2271" s="465"/>
      <c r="H2271" s="465">
        <v>2</v>
      </c>
    </row>
    <row r="2272" spans="1:8" ht="13.8" thickBot="1">
      <c r="A2272" s="467" t="s">
        <v>7479</v>
      </c>
      <c r="B2272" s="465" t="s">
        <v>4383</v>
      </c>
      <c r="C2272" s="466">
        <v>5</v>
      </c>
      <c r="D2272" s="467" t="s">
        <v>614</v>
      </c>
      <c r="E2272" s="466" t="s">
        <v>4364</v>
      </c>
      <c r="F2272" s="466"/>
      <c r="G2272" s="465">
        <v>1</v>
      </c>
      <c r="H2272" s="465">
        <v>2</v>
      </c>
    </row>
    <row r="2273" spans="1:8" ht="13.8" thickBot="1">
      <c r="A2273" s="467" t="s">
        <v>7480</v>
      </c>
      <c r="B2273" s="465" t="s">
        <v>4384</v>
      </c>
      <c r="C2273" s="466">
        <v>5</v>
      </c>
      <c r="D2273" s="465"/>
      <c r="E2273" s="466" t="s">
        <v>4364</v>
      </c>
      <c r="F2273" s="466"/>
      <c r="G2273" s="465"/>
      <c r="H2273" s="465">
        <v>2</v>
      </c>
    </row>
    <row r="2274" spans="1:8" ht="13.8" thickBot="1">
      <c r="A2274" s="467" t="s">
        <v>7481</v>
      </c>
      <c r="B2274" s="465" t="s">
        <v>1676</v>
      </c>
      <c r="C2274" s="466">
        <v>5</v>
      </c>
      <c r="D2274" s="465"/>
      <c r="E2274" s="466" t="s">
        <v>4391</v>
      </c>
      <c r="F2274" s="466" t="s">
        <v>1226</v>
      </c>
      <c r="G2274" s="465">
        <v>1</v>
      </c>
      <c r="H2274" s="465">
        <v>10</v>
      </c>
    </row>
    <row r="2275" spans="1:8" ht="13.8" thickBot="1">
      <c r="A2275" s="467" t="s">
        <v>7482</v>
      </c>
      <c r="B2275" s="465" t="s">
        <v>1639</v>
      </c>
      <c r="C2275" s="466">
        <v>5</v>
      </c>
      <c r="D2275" s="465"/>
      <c r="E2275" s="466" t="s">
        <v>4391</v>
      </c>
      <c r="F2275" s="466"/>
      <c r="G2275" s="465"/>
      <c r="H2275" s="465">
        <v>9</v>
      </c>
    </row>
    <row r="2276" spans="1:8" ht="13.8" thickBot="1">
      <c r="A2276" s="467" t="s">
        <v>7483</v>
      </c>
      <c r="B2276" s="465" t="s">
        <v>4397</v>
      </c>
      <c r="C2276" s="466">
        <v>5</v>
      </c>
      <c r="D2276" s="465"/>
      <c r="E2276" s="466" t="s">
        <v>4395</v>
      </c>
      <c r="F2276" s="466" t="s">
        <v>1220</v>
      </c>
      <c r="G2276" s="465"/>
      <c r="H2276" s="465">
        <v>1</v>
      </c>
    </row>
    <row r="2277" spans="1:8" ht="13.8" thickBot="1">
      <c r="A2277" s="465" t="s">
        <v>7484</v>
      </c>
      <c r="B2277" s="465" t="s">
        <v>4398</v>
      </c>
      <c r="C2277" s="466">
        <v>5</v>
      </c>
      <c r="D2277" s="465"/>
      <c r="E2277" s="466" t="s">
        <v>4395</v>
      </c>
      <c r="F2277" s="466"/>
      <c r="G2277" s="465"/>
      <c r="H2277" s="465">
        <v>3</v>
      </c>
    </row>
    <row r="2278" spans="1:8" ht="13.8" thickBot="1">
      <c r="A2278" s="467" t="s">
        <v>7485</v>
      </c>
      <c r="B2278" s="465" t="s">
        <v>4413</v>
      </c>
      <c r="C2278" s="466">
        <v>5</v>
      </c>
      <c r="D2278" s="467" t="s">
        <v>614</v>
      </c>
      <c r="E2278" s="466" t="s">
        <v>4403</v>
      </c>
      <c r="F2278" s="466" t="s">
        <v>1251</v>
      </c>
      <c r="G2278" s="465"/>
      <c r="H2278" s="465">
        <v>5</v>
      </c>
    </row>
    <row r="2279" spans="1:8" ht="13.8" thickBot="1">
      <c r="A2279" s="465" t="s">
        <v>7486</v>
      </c>
      <c r="B2279" s="465" t="s">
        <v>4414</v>
      </c>
      <c r="C2279" s="466">
        <v>5</v>
      </c>
      <c r="D2279" s="467" t="s">
        <v>4415</v>
      </c>
      <c r="E2279" s="466" t="s">
        <v>4403</v>
      </c>
      <c r="F2279" s="466" t="s">
        <v>2417</v>
      </c>
      <c r="G2279" s="465"/>
      <c r="H2279" s="465">
        <v>20</v>
      </c>
    </row>
    <row r="2280" spans="1:8" ht="13.8" thickBot="1">
      <c r="A2280" s="465" t="s">
        <v>7487</v>
      </c>
      <c r="B2280" s="465" t="s">
        <v>4416</v>
      </c>
      <c r="C2280" s="466">
        <v>5</v>
      </c>
      <c r="D2280" s="467" t="s">
        <v>614</v>
      </c>
      <c r="E2280" s="466" t="s">
        <v>4403</v>
      </c>
      <c r="F2280" s="466" t="s">
        <v>1841</v>
      </c>
      <c r="G2280" s="465"/>
      <c r="H2280" s="465">
        <v>7</v>
      </c>
    </row>
    <row r="2281" spans="1:8" ht="13.8" thickBot="1">
      <c r="A2281" s="467" t="s">
        <v>7488</v>
      </c>
      <c r="B2281" s="465" t="s">
        <v>4417</v>
      </c>
      <c r="C2281" s="466">
        <v>5</v>
      </c>
      <c r="D2281" s="465"/>
      <c r="E2281" s="466" t="s">
        <v>4403</v>
      </c>
      <c r="F2281" s="466" t="s">
        <v>1226</v>
      </c>
      <c r="G2281" s="465"/>
      <c r="H2281" s="465">
        <v>3</v>
      </c>
    </row>
    <row r="2282" spans="1:8" ht="13.8" thickBot="1">
      <c r="A2282" s="467" t="s">
        <v>7489</v>
      </c>
      <c r="B2282" s="465" t="s">
        <v>1717</v>
      </c>
      <c r="C2282" s="466">
        <v>5</v>
      </c>
      <c r="D2282" s="465"/>
      <c r="E2282" s="466" t="s">
        <v>4403</v>
      </c>
      <c r="F2282" s="466" t="s">
        <v>1220</v>
      </c>
      <c r="G2282" s="465"/>
      <c r="H2282" s="465">
        <v>7</v>
      </c>
    </row>
    <row r="2283" spans="1:8" ht="13.8" thickBot="1">
      <c r="A2283" s="467" t="s">
        <v>7490</v>
      </c>
      <c r="B2283" s="465" t="s">
        <v>4418</v>
      </c>
      <c r="C2283" s="466">
        <v>5</v>
      </c>
      <c r="D2283" s="465"/>
      <c r="E2283" s="466" t="s">
        <v>4403</v>
      </c>
      <c r="F2283" s="466"/>
      <c r="G2283" s="465"/>
      <c r="H2283" s="465">
        <v>2</v>
      </c>
    </row>
    <row r="2284" spans="1:8" ht="13.8" thickBot="1">
      <c r="A2284" s="467" t="s">
        <v>7491</v>
      </c>
      <c r="B2284" s="465" t="s">
        <v>4419</v>
      </c>
      <c r="C2284" s="466">
        <v>5</v>
      </c>
      <c r="D2284" s="465"/>
      <c r="E2284" s="466" t="s">
        <v>4403</v>
      </c>
      <c r="F2284" s="466"/>
      <c r="G2284" s="465">
        <v>1</v>
      </c>
      <c r="H2284" s="465">
        <v>1</v>
      </c>
    </row>
    <row r="2285" spans="1:8" ht="13.8" thickBot="1">
      <c r="A2285" s="465" t="s">
        <v>7492</v>
      </c>
      <c r="B2285" s="465" t="s">
        <v>4420</v>
      </c>
      <c r="C2285" s="466">
        <v>5</v>
      </c>
      <c r="D2285" s="465"/>
      <c r="E2285" s="466" t="s">
        <v>4403</v>
      </c>
      <c r="F2285" s="466"/>
      <c r="G2285" s="465"/>
      <c r="H2285" s="465">
        <v>1</v>
      </c>
    </row>
    <row r="2286" spans="1:8" ht="13.8" thickBot="1">
      <c r="A2286" s="465" t="s">
        <v>7493</v>
      </c>
      <c r="B2286" s="465" t="s">
        <v>4432</v>
      </c>
      <c r="C2286" s="466">
        <v>5</v>
      </c>
      <c r="D2286" s="465"/>
      <c r="E2286" s="466" t="s">
        <v>4433</v>
      </c>
      <c r="F2286" s="466"/>
      <c r="G2286" s="465">
        <v>1</v>
      </c>
      <c r="H2286" s="465">
        <v>2</v>
      </c>
    </row>
    <row r="2287" spans="1:8" ht="13.8" thickBot="1">
      <c r="A2287" s="467" t="s">
        <v>7494</v>
      </c>
      <c r="B2287" s="465" t="s">
        <v>4434</v>
      </c>
      <c r="C2287" s="466">
        <v>5</v>
      </c>
      <c r="D2287" s="467" t="s">
        <v>614</v>
      </c>
      <c r="E2287" s="466" t="s">
        <v>4433</v>
      </c>
      <c r="F2287" s="466"/>
      <c r="G2287" s="465">
        <v>1</v>
      </c>
      <c r="H2287" s="465">
        <v>3</v>
      </c>
    </row>
    <row r="2288" spans="1:8" ht="13.8" thickBot="1">
      <c r="A2288" s="465" t="s">
        <v>7495</v>
      </c>
      <c r="B2288" s="465" t="s">
        <v>4471</v>
      </c>
      <c r="C2288" s="466">
        <v>5</v>
      </c>
      <c r="D2288" s="465"/>
      <c r="E2288" s="466" t="s">
        <v>4438</v>
      </c>
      <c r="F2288" s="466" t="s">
        <v>1251</v>
      </c>
      <c r="G2288" s="465">
        <v>1</v>
      </c>
      <c r="H2288" s="465">
        <v>6</v>
      </c>
    </row>
    <row r="2289" spans="1:8" ht="13.8" thickBot="1">
      <c r="A2289" s="467" t="s">
        <v>7496</v>
      </c>
      <c r="B2289" s="465" t="s">
        <v>1643</v>
      </c>
      <c r="C2289" s="466">
        <v>5</v>
      </c>
      <c r="D2289" s="465"/>
      <c r="E2289" s="466" t="s">
        <v>4438</v>
      </c>
      <c r="F2289" s="466" t="s">
        <v>1841</v>
      </c>
      <c r="G2289" s="465">
        <v>1</v>
      </c>
      <c r="H2289" s="465">
        <v>8</v>
      </c>
    </row>
    <row r="2290" spans="1:8" ht="13.8" thickBot="1">
      <c r="A2290" s="467" t="s">
        <v>7497</v>
      </c>
      <c r="B2290" s="465" t="s">
        <v>1638</v>
      </c>
      <c r="C2290" s="466">
        <v>5</v>
      </c>
      <c r="D2290" s="465"/>
      <c r="E2290" s="466" t="s">
        <v>4438</v>
      </c>
      <c r="F2290" s="466" t="s">
        <v>1226</v>
      </c>
      <c r="G2290" s="465"/>
      <c r="H2290" s="465">
        <v>1</v>
      </c>
    </row>
    <row r="2291" spans="1:8" ht="13.8" thickBot="1">
      <c r="A2291" s="465" t="s">
        <v>7498</v>
      </c>
      <c r="B2291" s="465" t="s">
        <v>4472</v>
      </c>
      <c r="C2291" s="466">
        <v>5</v>
      </c>
      <c r="D2291" s="465"/>
      <c r="E2291" s="466" t="s">
        <v>4438</v>
      </c>
      <c r="F2291" s="466" t="s">
        <v>1226</v>
      </c>
      <c r="G2291" s="465"/>
      <c r="H2291" s="465">
        <v>6</v>
      </c>
    </row>
    <row r="2292" spans="1:8" ht="13.8" thickBot="1">
      <c r="A2292" s="467" t="s">
        <v>7499</v>
      </c>
      <c r="B2292" s="465" t="s">
        <v>1641</v>
      </c>
      <c r="C2292" s="466">
        <v>5</v>
      </c>
      <c r="D2292" s="465"/>
      <c r="E2292" s="466" t="s">
        <v>4438</v>
      </c>
      <c r="F2292" s="466" t="s">
        <v>1226</v>
      </c>
      <c r="G2292" s="465"/>
      <c r="H2292" s="465">
        <v>14</v>
      </c>
    </row>
    <row r="2293" spans="1:8" ht="13.8" thickBot="1">
      <c r="A2293" s="467" t="s">
        <v>7500</v>
      </c>
      <c r="B2293" s="465" t="s">
        <v>1644</v>
      </c>
      <c r="C2293" s="466">
        <v>5</v>
      </c>
      <c r="D2293" s="465"/>
      <c r="E2293" s="466" t="s">
        <v>4438</v>
      </c>
      <c r="F2293" s="466" t="s">
        <v>1226</v>
      </c>
      <c r="G2293" s="465"/>
      <c r="H2293" s="465">
        <v>7</v>
      </c>
    </row>
    <row r="2294" spans="1:8" ht="13.8" thickBot="1">
      <c r="A2294" s="467" t="s">
        <v>7501</v>
      </c>
      <c r="B2294" s="465" t="s">
        <v>1638</v>
      </c>
      <c r="C2294" s="466">
        <v>5</v>
      </c>
      <c r="D2294" s="465"/>
      <c r="E2294" s="466" t="s">
        <v>4438</v>
      </c>
      <c r="F2294" s="466" t="s">
        <v>1224</v>
      </c>
      <c r="G2294" s="465"/>
      <c r="H2294" s="465">
        <v>1</v>
      </c>
    </row>
    <row r="2295" spans="1:8" ht="13.8" thickBot="1">
      <c r="A2295" s="467" t="s">
        <v>7502</v>
      </c>
      <c r="B2295" s="465" t="s">
        <v>1638</v>
      </c>
      <c r="C2295" s="466">
        <v>5</v>
      </c>
      <c r="D2295" s="465"/>
      <c r="E2295" s="466" t="s">
        <v>4438</v>
      </c>
      <c r="F2295" s="466" t="s">
        <v>1224</v>
      </c>
      <c r="G2295" s="465"/>
      <c r="H2295" s="465">
        <v>5</v>
      </c>
    </row>
    <row r="2296" spans="1:8" ht="13.8" thickBot="1">
      <c r="A2296" s="467" t="s">
        <v>7503</v>
      </c>
      <c r="B2296" s="465" t="s">
        <v>4473</v>
      </c>
      <c r="C2296" s="466">
        <v>5</v>
      </c>
      <c r="D2296" s="465"/>
      <c r="E2296" s="466" t="s">
        <v>4438</v>
      </c>
      <c r="F2296" s="466" t="s">
        <v>1224</v>
      </c>
      <c r="G2296" s="465"/>
      <c r="H2296" s="465">
        <v>3</v>
      </c>
    </row>
    <row r="2297" spans="1:8" ht="13.8" thickBot="1">
      <c r="A2297" s="467" t="s">
        <v>7504</v>
      </c>
      <c r="B2297" s="465" t="s">
        <v>4474</v>
      </c>
      <c r="C2297" s="466">
        <v>5</v>
      </c>
      <c r="D2297" s="467" t="s">
        <v>614</v>
      </c>
      <c r="E2297" s="466" t="s">
        <v>4438</v>
      </c>
      <c r="F2297" s="466" t="s">
        <v>1224</v>
      </c>
      <c r="G2297" s="465">
        <v>1</v>
      </c>
      <c r="H2297" s="465">
        <v>6</v>
      </c>
    </row>
    <row r="2298" spans="1:8" ht="13.8" thickBot="1">
      <c r="A2298" s="467" t="s">
        <v>7505</v>
      </c>
      <c r="B2298" s="465" t="s">
        <v>1638</v>
      </c>
      <c r="C2298" s="466">
        <v>5</v>
      </c>
      <c r="D2298" s="465"/>
      <c r="E2298" s="466" t="s">
        <v>4438</v>
      </c>
      <c r="F2298" s="466"/>
      <c r="G2298" s="465"/>
      <c r="H2298" s="465">
        <v>2</v>
      </c>
    </row>
    <row r="2299" spans="1:8" ht="13.8" thickBot="1">
      <c r="A2299" s="467" t="s">
        <v>7506</v>
      </c>
      <c r="B2299" s="465" t="s">
        <v>1638</v>
      </c>
      <c r="C2299" s="466">
        <v>5</v>
      </c>
      <c r="D2299" s="465"/>
      <c r="E2299" s="466" t="s">
        <v>4438</v>
      </c>
      <c r="F2299" s="466"/>
      <c r="G2299" s="465"/>
      <c r="H2299" s="465">
        <v>1</v>
      </c>
    </row>
    <row r="2300" spans="1:8" ht="13.8" thickBot="1">
      <c r="A2300" s="467" t="s">
        <v>7507</v>
      </c>
      <c r="B2300" s="465" t="s">
        <v>4475</v>
      </c>
      <c r="C2300" s="466">
        <v>5</v>
      </c>
      <c r="D2300" s="465"/>
      <c r="E2300" s="466" t="s">
        <v>4438</v>
      </c>
      <c r="F2300" s="466"/>
      <c r="G2300" s="465"/>
      <c r="H2300" s="465">
        <v>2</v>
      </c>
    </row>
    <row r="2301" spans="1:8" ht="13.8" thickBot="1">
      <c r="A2301" s="465" t="s">
        <v>7508</v>
      </c>
      <c r="B2301" s="465" t="s">
        <v>1640</v>
      </c>
      <c r="C2301" s="466">
        <v>5</v>
      </c>
      <c r="D2301" s="465"/>
      <c r="E2301" s="466" t="s">
        <v>4438</v>
      </c>
      <c r="F2301" s="466"/>
      <c r="G2301" s="465"/>
      <c r="H2301" s="465">
        <v>2</v>
      </c>
    </row>
    <row r="2302" spans="1:8" ht="13.8" thickBot="1">
      <c r="A2302" s="467" t="s">
        <v>7509</v>
      </c>
      <c r="B2302" s="465" t="s">
        <v>4443</v>
      </c>
      <c r="C2302" s="466">
        <v>5</v>
      </c>
      <c r="D2302" s="465"/>
      <c r="E2302" s="466" t="s">
        <v>4438</v>
      </c>
      <c r="F2302" s="466"/>
      <c r="G2302" s="465"/>
      <c r="H2302" s="465">
        <v>4</v>
      </c>
    </row>
    <row r="2303" spans="1:8" ht="13.8" thickBot="1">
      <c r="A2303" s="467" t="s">
        <v>7510</v>
      </c>
      <c r="B2303" s="465" t="s">
        <v>4476</v>
      </c>
      <c r="C2303" s="466">
        <v>5</v>
      </c>
      <c r="D2303" s="465"/>
      <c r="E2303" s="466" t="s">
        <v>4438</v>
      </c>
      <c r="F2303" s="466"/>
      <c r="G2303" s="465"/>
      <c r="H2303" s="465">
        <v>1</v>
      </c>
    </row>
    <row r="2304" spans="1:8" ht="13.8" thickBot="1">
      <c r="A2304" s="467" t="s">
        <v>7511</v>
      </c>
      <c r="B2304" s="465" t="s">
        <v>4477</v>
      </c>
      <c r="C2304" s="466">
        <v>5</v>
      </c>
      <c r="D2304" s="467" t="s">
        <v>614</v>
      </c>
      <c r="E2304" s="466" t="s">
        <v>4438</v>
      </c>
      <c r="F2304" s="466"/>
      <c r="G2304" s="465"/>
      <c r="H2304" s="465">
        <v>2</v>
      </c>
    </row>
    <row r="2305" spans="1:8" ht="13.8" thickBot="1">
      <c r="A2305" s="465" t="s">
        <v>7512</v>
      </c>
      <c r="B2305" s="465" t="s">
        <v>4478</v>
      </c>
      <c r="C2305" s="466">
        <v>5</v>
      </c>
      <c r="D2305" s="465"/>
      <c r="E2305" s="466" t="s">
        <v>4438</v>
      </c>
      <c r="F2305" s="466"/>
      <c r="G2305" s="465"/>
      <c r="H2305" s="465">
        <v>1</v>
      </c>
    </row>
    <row r="2306" spans="1:8" ht="13.8" thickBot="1">
      <c r="A2306" s="467" t="s">
        <v>7513</v>
      </c>
      <c r="B2306" s="465" t="s">
        <v>4479</v>
      </c>
      <c r="C2306" s="466">
        <v>5</v>
      </c>
      <c r="D2306" s="465"/>
      <c r="E2306" s="466" t="s">
        <v>4438</v>
      </c>
      <c r="F2306" s="466"/>
      <c r="G2306" s="465"/>
      <c r="H2306" s="465">
        <v>1</v>
      </c>
    </row>
    <row r="2307" spans="1:8" ht="13.8" thickBot="1">
      <c r="A2307" s="467" t="s">
        <v>7514</v>
      </c>
      <c r="B2307" s="465" t="s">
        <v>4504</v>
      </c>
      <c r="C2307" s="466">
        <v>5</v>
      </c>
      <c r="D2307" s="465"/>
      <c r="E2307" s="466" t="s">
        <v>4491</v>
      </c>
      <c r="F2307" s="466" t="s">
        <v>2067</v>
      </c>
      <c r="G2307" s="465">
        <v>1</v>
      </c>
      <c r="H2307" s="465">
        <v>5</v>
      </c>
    </row>
    <row r="2308" spans="1:8" ht="13.8" thickBot="1">
      <c r="A2308" s="465" t="s">
        <v>7515</v>
      </c>
      <c r="B2308" s="465" t="s">
        <v>4492</v>
      </c>
      <c r="C2308" s="466">
        <v>5</v>
      </c>
      <c r="D2308" s="465"/>
      <c r="E2308" s="466" t="s">
        <v>4491</v>
      </c>
      <c r="F2308" s="466" t="s">
        <v>1224</v>
      </c>
      <c r="G2308" s="465"/>
      <c r="H2308" s="465">
        <v>8</v>
      </c>
    </row>
    <row r="2309" spans="1:8" ht="13.8" thickBot="1">
      <c r="A2309" s="465" t="s">
        <v>7516</v>
      </c>
      <c r="B2309" s="465" t="s">
        <v>4505</v>
      </c>
      <c r="C2309" s="466">
        <v>5</v>
      </c>
      <c r="D2309" s="465" t="s">
        <v>4506</v>
      </c>
      <c r="E2309" s="466" t="s">
        <v>4491</v>
      </c>
      <c r="F2309" s="466"/>
      <c r="G2309" s="465"/>
      <c r="H2309" s="465">
        <v>2</v>
      </c>
    </row>
    <row r="2310" spans="1:8" ht="13.8" thickBot="1">
      <c r="A2310" s="465" t="s">
        <v>7517</v>
      </c>
      <c r="B2310" s="465" t="s">
        <v>1647</v>
      </c>
      <c r="C2310" s="466">
        <v>5</v>
      </c>
      <c r="D2310" s="467" t="s">
        <v>614</v>
      </c>
      <c r="E2310" s="466" t="s">
        <v>4509</v>
      </c>
      <c r="F2310" s="466" t="s">
        <v>1226</v>
      </c>
      <c r="G2310" s="465"/>
      <c r="H2310" s="465">
        <v>6</v>
      </c>
    </row>
    <row r="2311" spans="1:8" ht="13.8" thickBot="1">
      <c r="A2311" s="467" t="s">
        <v>7518</v>
      </c>
      <c r="B2311" s="465" t="s">
        <v>1647</v>
      </c>
      <c r="C2311" s="466">
        <v>5</v>
      </c>
      <c r="D2311" s="465"/>
      <c r="E2311" s="466" t="s">
        <v>4509</v>
      </c>
      <c r="F2311" s="466" t="s">
        <v>1226</v>
      </c>
      <c r="G2311" s="465"/>
      <c r="H2311" s="465">
        <v>12</v>
      </c>
    </row>
    <row r="2312" spans="1:8" ht="13.8" thickBot="1">
      <c r="A2312" s="467" t="s">
        <v>7519</v>
      </c>
      <c r="B2312" s="465" t="s">
        <v>4523</v>
      </c>
      <c r="C2312" s="466">
        <v>5</v>
      </c>
      <c r="D2312" s="465"/>
      <c r="E2312" s="466" t="s">
        <v>4509</v>
      </c>
      <c r="F2312" s="466" t="s">
        <v>1226</v>
      </c>
      <c r="G2312" s="465"/>
      <c r="H2312" s="465">
        <v>1</v>
      </c>
    </row>
    <row r="2313" spans="1:8" ht="13.8" thickBot="1">
      <c r="A2313" s="467" t="s">
        <v>7520</v>
      </c>
      <c r="B2313" s="465" t="s">
        <v>1650</v>
      </c>
      <c r="C2313" s="466">
        <v>5</v>
      </c>
      <c r="D2313" s="465"/>
      <c r="E2313" s="466" t="s">
        <v>4509</v>
      </c>
      <c r="F2313" s="466"/>
      <c r="G2313" s="465"/>
      <c r="H2313" s="465">
        <v>1</v>
      </c>
    </row>
    <row r="2314" spans="1:8" ht="13.8" thickBot="1">
      <c r="A2314" s="465" t="s">
        <v>7521</v>
      </c>
      <c r="B2314" s="465" t="s">
        <v>1651</v>
      </c>
      <c r="C2314" s="466">
        <v>5</v>
      </c>
      <c r="D2314" s="465"/>
      <c r="E2314" s="466" t="s">
        <v>4509</v>
      </c>
      <c r="F2314" s="466"/>
      <c r="G2314" s="465"/>
      <c r="H2314" s="465">
        <v>4</v>
      </c>
    </row>
    <row r="2315" spans="1:8" ht="13.8" thickBot="1">
      <c r="A2315" s="465" t="s">
        <v>7522</v>
      </c>
      <c r="B2315" s="465" t="s">
        <v>4524</v>
      </c>
      <c r="C2315" s="466">
        <v>5</v>
      </c>
      <c r="D2315" s="467" t="s">
        <v>614</v>
      </c>
      <c r="E2315" s="466" t="s">
        <v>4509</v>
      </c>
      <c r="F2315" s="466"/>
      <c r="G2315" s="465"/>
      <c r="H2315" s="465">
        <v>2</v>
      </c>
    </row>
    <row r="2316" spans="1:8" ht="13.8" thickBot="1">
      <c r="A2316" s="467" t="s">
        <v>7523</v>
      </c>
      <c r="B2316" s="465" t="s">
        <v>4525</v>
      </c>
      <c r="C2316" s="466">
        <v>5</v>
      </c>
      <c r="D2316" s="465"/>
      <c r="E2316" s="466" t="s">
        <v>4509</v>
      </c>
      <c r="F2316" s="466"/>
      <c r="G2316" s="465"/>
      <c r="H2316" s="465">
        <v>2</v>
      </c>
    </row>
    <row r="2317" spans="1:8" ht="13.8" thickBot="1">
      <c r="A2317" s="467" t="s">
        <v>7524</v>
      </c>
      <c r="B2317" s="465" t="s">
        <v>4508</v>
      </c>
      <c r="C2317" s="466">
        <v>5</v>
      </c>
      <c r="D2317" s="467" t="s">
        <v>4193</v>
      </c>
      <c r="E2317" s="466" t="s">
        <v>4509</v>
      </c>
      <c r="F2317" s="466"/>
      <c r="G2317" s="465"/>
      <c r="H2317" s="465">
        <v>1</v>
      </c>
    </row>
    <row r="2318" spans="1:8" ht="13.8" thickBot="1">
      <c r="A2318" s="467" t="s">
        <v>7525</v>
      </c>
      <c r="B2318" s="465" t="s">
        <v>4555</v>
      </c>
      <c r="C2318" s="466">
        <v>5</v>
      </c>
      <c r="D2318" s="465"/>
      <c r="E2318" s="466" t="s">
        <v>4536</v>
      </c>
      <c r="F2318" s="466"/>
      <c r="G2318" s="465">
        <v>1</v>
      </c>
      <c r="H2318" s="465">
        <v>5</v>
      </c>
    </row>
    <row r="2319" spans="1:8" ht="13.8" thickBot="1">
      <c r="A2319" s="467" t="s">
        <v>7526</v>
      </c>
      <c r="B2319" s="465" t="s">
        <v>4574</v>
      </c>
      <c r="C2319" s="466">
        <v>5</v>
      </c>
      <c r="D2319" s="465"/>
      <c r="E2319" s="466" t="s">
        <v>4557</v>
      </c>
      <c r="F2319" s="466" t="s">
        <v>1226</v>
      </c>
      <c r="G2319" s="465"/>
      <c r="H2319" s="465">
        <v>2</v>
      </c>
    </row>
    <row r="2320" spans="1:8" ht="13.8" thickBot="1">
      <c r="A2320" s="467" t="s">
        <v>7527</v>
      </c>
      <c r="B2320" s="465" t="s">
        <v>4575</v>
      </c>
      <c r="C2320" s="466">
        <v>5</v>
      </c>
      <c r="D2320" s="465"/>
      <c r="E2320" s="466" t="s">
        <v>4557</v>
      </c>
      <c r="F2320" s="466"/>
      <c r="G2320" s="465">
        <v>1</v>
      </c>
      <c r="H2320" s="465">
        <v>3</v>
      </c>
    </row>
    <row r="2321" spans="1:8" ht="13.8" thickBot="1">
      <c r="A2321" s="467" t="s">
        <v>7528</v>
      </c>
      <c r="B2321" s="465" t="s">
        <v>4576</v>
      </c>
      <c r="C2321" s="466">
        <v>5</v>
      </c>
      <c r="D2321" s="465"/>
      <c r="E2321" s="466" t="s">
        <v>4557</v>
      </c>
      <c r="F2321" s="466"/>
      <c r="G2321" s="465"/>
      <c r="H2321" s="465">
        <v>1</v>
      </c>
    </row>
    <row r="2322" spans="1:8" ht="13.8" thickBot="1">
      <c r="A2322" s="467" t="s">
        <v>7529</v>
      </c>
      <c r="B2322" s="465" t="s">
        <v>4577</v>
      </c>
      <c r="C2322" s="466">
        <v>5</v>
      </c>
      <c r="D2322" s="467" t="s">
        <v>614</v>
      </c>
      <c r="E2322" s="466" t="s">
        <v>4557</v>
      </c>
      <c r="F2322" s="466"/>
      <c r="G2322" s="465">
        <v>1</v>
      </c>
      <c r="H2322" s="465">
        <v>8</v>
      </c>
    </row>
    <row r="2323" spans="1:8" ht="13.8" thickBot="1">
      <c r="A2323" s="467" t="s">
        <v>7530</v>
      </c>
      <c r="B2323" s="465" t="s">
        <v>4617</v>
      </c>
      <c r="C2323" s="466">
        <v>5</v>
      </c>
      <c r="D2323" s="465"/>
      <c r="E2323" s="466" t="s">
        <v>4596</v>
      </c>
      <c r="F2323" s="466" t="s">
        <v>1229</v>
      </c>
      <c r="G2323" s="465"/>
      <c r="H2323" s="465">
        <v>4</v>
      </c>
    </row>
    <row r="2324" spans="1:8" ht="13.8" thickBot="1">
      <c r="A2324" s="467" t="s">
        <v>7531</v>
      </c>
      <c r="B2324" s="465" t="s">
        <v>4618</v>
      </c>
      <c r="C2324" s="466">
        <v>5</v>
      </c>
      <c r="D2324" s="467" t="s">
        <v>614</v>
      </c>
      <c r="E2324" s="466" t="s">
        <v>4596</v>
      </c>
      <c r="F2324" s="466" t="s">
        <v>1226</v>
      </c>
      <c r="G2324" s="465"/>
      <c r="H2324" s="465">
        <v>2</v>
      </c>
    </row>
    <row r="2325" spans="1:8" ht="13.8" thickBot="1">
      <c r="A2325" s="467" t="s">
        <v>7532</v>
      </c>
      <c r="B2325" s="465" t="s">
        <v>4619</v>
      </c>
      <c r="C2325" s="466">
        <v>5</v>
      </c>
      <c r="D2325" s="467" t="s">
        <v>614</v>
      </c>
      <c r="E2325" s="466" t="s">
        <v>4596</v>
      </c>
      <c r="F2325" s="466" t="s">
        <v>1224</v>
      </c>
      <c r="G2325" s="465"/>
      <c r="H2325" s="465">
        <v>2</v>
      </c>
    </row>
    <row r="2326" spans="1:8" ht="13.8" thickBot="1">
      <c r="A2326" s="467" t="s">
        <v>7533</v>
      </c>
      <c r="B2326" s="465" t="s">
        <v>4597</v>
      </c>
      <c r="C2326" s="466">
        <v>5</v>
      </c>
      <c r="D2326" s="465"/>
      <c r="E2326" s="466" t="s">
        <v>4596</v>
      </c>
      <c r="F2326" s="466" t="s">
        <v>1220</v>
      </c>
      <c r="G2326" s="465"/>
      <c r="H2326" s="465">
        <v>3</v>
      </c>
    </row>
    <row r="2327" spans="1:8" ht="13.8" thickBot="1">
      <c r="A2327" s="467" t="s">
        <v>6904</v>
      </c>
      <c r="B2327" s="465" t="s">
        <v>1276</v>
      </c>
      <c r="C2327" s="466">
        <v>5</v>
      </c>
      <c r="D2327" s="465"/>
      <c r="E2327" s="466" t="s">
        <v>2152</v>
      </c>
      <c r="F2327" s="466" t="s">
        <v>1880</v>
      </c>
      <c r="G2327" s="465"/>
      <c r="H2327" s="465">
        <v>7</v>
      </c>
    </row>
    <row r="2328" spans="1:8" ht="13.8" thickBot="1">
      <c r="A2328" s="465" t="s">
        <v>6905</v>
      </c>
      <c r="B2328" s="465" t="s">
        <v>1279</v>
      </c>
      <c r="C2328" s="466">
        <v>5</v>
      </c>
      <c r="D2328" s="467" t="s">
        <v>614</v>
      </c>
      <c r="E2328" s="466" t="s">
        <v>2152</v>
      </c>
      <c r="F2328" s="466" t="s">
        <v>1841</v>
      </c>
      <c r="G2328" s="465"/>
      <c r="H2328" s="465">
        <v>14</v>
      </c>
    </row>
    <row r="2329" spans="1:8" ht="13.8" thickBot="1">
      <c r="A2329" s="467" t="s">
        <v>6906</v>
      </c>
      <c r="B2329" s="465" t="s">
        <v>1270</v>
      </c>
      <c r="C2329" s="466">
        <v>5</v>
      </c>
      <c r="D2329" s="465"/>
      <c r="E2329" s="466" t="s">
        <v>2152</v>
      </c>
      <c r="F2329" s="466" t="s">
        <v>1226</v>
      </c>
      <c r="G2329" s="465"/>
      <c r="H2329" s="465">
        <v>13</v>
      </c>
    </row>
    <row r="2330" spans="1:8" ht="13.8" thickBot="1">
      <c r="A2330" s="467" t="s">
        <v>6907</v>
      </c>
      <c r="B2330" s="465" t="s">
        <v>2188</v>
      </c>
      <c r="C2330" s="466">
        <v>5</v>
      </c>
      <c r="D2330" s="465"/>
      <c r="E2330" s="466" t="s">
        <v>2152</v>
      </c>
      <c r="F2330" s="466" t="s">
        <v>1226</v>
      </c>
      <c r="G2330" s="465">
        <v>1</v>
      </c>
      <c r="H2330" s="465">
        <v>5</v>
      </c>
    </row>
    <row r="2331" spans="1:8" ht="13.8" thickBot="1">
      <c r="A2331" s="467" t="s">
        <v>6908</v>
      </c>
      <c r="B2331" s="465" t="s">
        <v>2155</v>
      </c>
      <c r="C2331" s="466">
        <v>5</v>
      </c>
      <c r="D2331" s="465"/>
      <c r="E2331" s="466" t="s">
        <v>2152</v>
      </c>
      <c r="F2331" s="466" t="s">
        <v>1226</v>
      </c>
      <c r="G2331" s="465"/>
      <c r="H2331" s="465">
        <v>3</v>
      </c>
    </row>
    <row r="2332" spans="1:8" ht="13.8" thickBot="1">
      <c r="A2332" s="465" t="s">
        <v>6909</v>
      </c>
      <c r="B2332" s="468" t="s">
        <v>1276</v>
      </c>
      <c r="C2332" s="466">
        <v>5</v>
      </c>
      <c r="D2332" s="465"/>
      <c r="E2332" s="466" t="s">
        <v>2152</v>
      </c>
      <c r="F2332" s="466" t="s">
        <v>1226</v>
      </c>
      <c r="G2332" s="465"/>
      <c r="H2332" s="465">
        <v>1</v>
      </c>
    </row>
    <row r="2333" spans="1:8" ht="13.8" thickBot="1">
      <c r="A2333" s="465" t="s">
        <v>6910</v>
      </c>
      <c r="B2333" s="465" t="s">
        <v>2195</v>
      </c>
      <c r="C2333" s="466">
        <v>5</v>
      </c>
      <c r="D2333" s="465"/>
      <c r="E2333" s="466" t="s">
        <v>2152</v>
      </c>
      <c r="F2333" s="466" t="s">
        <v>1226</v>
      </c>
      <c r="G2333" s="465"/>
      <c r="H2333" s="465"/>
    </row>
    <row r="2334" spans="1:8" ht="13.8" thickBot="1">
      <c r="A2334" s="467" t="s">
        <v>6911</v>
      </c>
      <c r="B2334" s="465" t="s">
        <v>1278</v>
      </c>
      <c r="C2334" s="466">
        <v>5</v>
      </c>
      <c r="D2334" s="467" t="s">
        <v>614</v>
      </c>
      <c r="E2334" s="466" t="s">
        <v>2152</v>
      </c>
      <c r="F2334" s="466" t="s">
        <v>1226</v>
      </c>
      <c r="G2334" s="465"/>
      <c r="H2334" s="465">
        <v>11</v>
      </c>
    </row>
    <row r="2335" spans="1:8" ht="13.8" thickBot="1">
      <c r="A2335" s="465" t="s">
        <v>6912</v>
      </c>
      <c r="B2335" s="465" t="s">
        <v>1276</v>
      </c>
      <c r="C2335" s="466">
        <v>5</v>
      </c>
      <c r="D2335" s="465"/>
      <c r="E2335" s="466" t="s">
        <v>2152</v>
      </c>
      <c r="F2335" s="466" t="s">
        <v>1863</v>
      </c>
      <c r="G2335" s="465">
        <v>4</v>
      </c>
      <c r="H2335" s="465">
        <v>13</v>
      </c>
    </row>
    <row r="2336" spans="1:8" ht="13.8" thickBot="1">
      <c r="A2336" s="467" t="s">
        <v>6913</v>
      </c>
      <c r="B2336" s="465" t="s">
        <v>1270</v>
      </c>
      <c r="C2336" s="466">
        <v>5</v>
      </c>
      <c r="D2336" s="465"/>
      <c r="E2336" s="466" t="s">
        <v>2152</v>
      </c>
      <c r="F2336" s="466" t="s">
        <v>1224</v>
      </c>
      <c r="G2336" s="465"/>
      <c r="H2336" s="465">
        <v>1</v>
      </c>
    </row>
    <row r="2337" spans="1:8" ht="13.8" thickBot="1">
      <c r="A2337" s="467" t="s">
        <v>6914</v>
      </c>
      <c r="B2337" s="465" t="s">
        <v>2196</v>
      </c>
      <c r="C2337" s="466">
        <v>5</v>
      </c>
      <c r="D2337" s="465"/>
      <c r="E2337" s="466" t="s">
        <v>2152</v>
      </c>
      <c r="F2337" s="466" t="s">
        <v>1224</v>
      </c>
      <c r="G2337" s="465"/>
      <c r="H2337" s="465">
        <v>1</v>
      </c>
    </row>
    <row r="2338" spans="1:8" ht="13.8" thickBot="1">
      <c r="A2338" s="465" t="s">
        <v>6915</v>
      </c>
      <c r="B2338" s="465" t="s">
        <v>1276</v>
      </c>
      <c r="C2338" s="466">
        <v>5</v>
      </c>
      <c r="D2338" s="465"/>
      <c r="E2338" s="466" t="s">
        <v>2152</v>
      </c>
      <c r="F2338" s="466" t="s">
        <v>1224</v>
      </c>
      <c r="G2338" s="465"/>
      <c r="H2338" s="465">
        <v>5</v>
      </c>
    </row>
    <row r="2339" spans="1:8" ht="13.8" thickBot="1">
      <c r="A2339" s="467" t="s">
        <v>6916</v>
      </c>
      <c r="B2339" s="465" t="s">
        <v>2197</v>
      </c>
      <c r="C2339" s="466">
        <v>5</v>
      </c>
      <c r="D2339" s="465"/>
      <c r="E2339" s="466" t="s">
        <v>2152</v>
      </c>
      <c r="F2339" s="466" t="s">
        <v>1224</v>
      </c>
      <c r="G2339" s="465"/>
      <c r="H2339" s="465">
        <v>1</v>
      </c>
    </row>
    <row r="2340" spans="1:8" ht="13.8" thickBot="1">
      <c r="A2340" s="467" t="s">
        <v>6917</v>
      </c>
      <c r="B2340" s="465" t="s">
        <v>2155</v>
      </c>
      <c r="C2340" s="466">
        <v>5</v>
      </c>
      <c r="D2340" s="465"/>
      <c r="E2340" s="466" t="s">
        <v>2152</v>
      </c>
      <c r="F2340" s="466" t="s">
        <v>1220</v>
      </c>
      <c r="G2340" s="465"/>
      <c r="H2340" s="465">
        <v>1</v>
      </c>
    </row>
    <row r="2341" spans="1:8" ht="13.8" thickBot="1">
      <c r="A2341" s="467" t="s">
        <v>6918</v>
      </c>
      <c r="B2341" s="465" t="s">
        <v>2198</v>
      </c>
      <c r="C2341" s="466">
        <v>5</v>
      </c>
      <c r="D2341" s="465"/>
      <c r="E2341" s="466" t="s">
        <v>2152</v>
      </c>
      <c r="F2341" s="466" t="s">
        <v>1220</v>
      </c>
      <c r="G2341" s="465"/>
      <c r="H2341" s="465">
        <v>5</v>
      </c>
    </row>
    <row r="2342" spans="1:8" ht="13.8" thickBot="1">
      <c r="A2342" s="465" t="s">
        <v>6919</v>
      </c>
      <c r="B2342" s="465" t="s">
        <v>1270</v>
      </c>
      <c r="C2342" s="466">
        <v>5</v>
      </c>
      <c r="D2342" s="465"/>
      <c r="E2342" s="466" t="s">
        <v>2152</v>
      </c>
      <c r="F2342" s="466"/>
      <c r="G2342" s="465"/>
      <c r="H2342" s="465">
        <v>1</v>
      </c>
    </row>
    <row r="2343" spans="1:8" ht="13.8" thickBot="1">
      <c r="A2343" s="467" t="s">
        <v>6920</v>
      </c>
      <c r="B2343" s="465" t="s">
        <v>1270</v>
      </c>
      <c r="C2343" s="466">
        <v>5</v>
      </c>
      <c r="D2343" s="465"/>
      <c r="E2343" s="466" t="s">
        <v>2152</v>
      </c>
      <c r="F2343" s="466"/>
      <c r="G2343" s="465"/>
      <c r="H2343" s="465">
        <v>2</v>
      </c>
    </row>
    <row r="2344" spans="1:8" ht="13.8" thickBot="1">
      <c r="A2344" s="465" t="s">
        <v>6921</v>
      </c>
      <c r="B2344" s="465" t="s">
        <v>1270</v>
      </c>
      <c r="C2344" s="466">
        <v>5</v>
      </c>
      <c r="D2344" s="465"/>
      <c r="E2344" s="466" t="s">
        <v>2152</v>
      </c>
      <c r="F2344" s="466"/>
      <c r="G2344" s="465"/>
      <c r="H2344" s="465">
        <v>1</v>
      </c>
    </row>
    <row r="2345" spans="1:8" ht="13.8" thickBot="1">
      <c r="A2345" s="467" t="s">
        <v>6922</v>
      </c>
      <c r="B2345" s="465" t="s">
        <v>1270</v>
      </c>
      <c r="C2345" s="466">
        <v>5</v>
      </c>
      <c r="D2345" s="467" t="s">
        <v>614</v>
      </c>
      <c r="E2345" s="466" t="s">
        <v>2152</v>
      </c>
      <c r="F2345" s="466"/>
      <c r="G2345" s="465"/>
      <c r="H2345" s="465">
        <v>1</v>
      </c>
    </row>
    <row r="2346" spans="1:8" ht="13.8" thickBot="1">
      <c r="A2346" s="467" t="s">
        <v>6923</v>
      </c>
      <c r="B2346" s="465" t="s">
        <v>2199</v>
      </c>
      <c r="C2346" s="466">
        <v>5</v>
      </c>
      <c r="D2346" s="465"/>
      <c r="E2346" s="466" t="s">
        <v>2152</v>
      </c>
      <c r="F2346" s="466"/>
      <c r="G2346" s="465"/>
      <c r="H2346" s="465">
        <v>4</v>
      </c>
    </row>
    <row r="2347" spans="1:8" ht="13.8" thickBot="1">
      <c r="A2347" s="467" t="s">
        <v>6924</v>
      </c>
      <c r="B2347" s="465" t="s">
        <v>2200</v>
      </c>
      <c r="C2347" s="466">
        <v>5</v>
      </c>
      <c r="D2347" s="465"/>
      <c r="E2347" s="466" t="s">
        <v>2152</v>
      </c>
      <c r="F2347" s="466"/>
      <c r="G2347" s="465"/>
      <c r="H2347" s="465">
        <v>3</v>
      </c>
    </row>
    <row r="2348" spans="1:8" ht="13.8" thickBot="1">
      <c r="A2348" s="467" t="s">
        <v>6925</v>
      </c>
      <c r="B2348" s="468" t="s">
        <v>1273</v>
      </c>
      <c r="C2348" s="466">
        <v>5</v>
      </c>
      <c r="D2348" s="465"/>
      <c r="E2348" s="466" t="s">
        <v>2152</v>
      </c>
      <c r="F2348" s="466"/>
      <c r="G2348" s="465"/>
      <c r="H2348" s="465">
        <v>2</v>
      </c>
    </row>
    <row r="2349" spans="1:8" ht="13.8" thickBot="1">
      <c r="A2349" s="467" t="s">
        <v>6926</v>
      </c>
      <c r="B2349" s="465" t="s">
        <v>2188</v>
      </c>
      <c r="C2349" s="466">
        <v>5</v>
      </c>
      <c r="D2349" s="465"/>
      <c r="E2349" s="466" t="s">
        <v>2152</v>
      </c>
      <c r="F2349" s="466"/>
      <c r="G2349" s="465"/>
      <c r="H2349" s="465">
        <v>1</v>
      </c>
    </row>
    <row r="2350" spans="1:8" ht="13.8" thickBot="1">
      <c r="A2350" s="465" t="s">
        <v>6927</v>
      </c>
      <c r="B2350" s="465" t="s">
        <v>2188</v>
      </c>
      <c r="C2350" s="466">
        <v>5</v>
      </c>
      <c r="D2350" s="465"/>
      <c r="E2350" s="466" t="s">
        <v>2152</v>
      </c>
      <c r="F2350" s="466"/>
      <c r="G2350" s="465"/>
      <c r="H2350" s="465">
        <v>1</v>
      </c>
    </row>
    <row r="2351" spans="1:8" ht="13.8" thickBot="1">
      <c r="A2351" s="467" t="s">
        <v>6928</v>
      </c>
      <c r="B2351" s="465" t="s">
        <v>2188</v>
      </c>
      <c r="C2351" s="466">
        <v>5</v>
      </c>
      <c r="D2351" s="465"/>
      <c r="E2351" s="466" t="s">
        <v>2152</v>
      </c>
      <c r="F2351" s="466"/>
      <c r="G2351" s="465"/>
      <c r="H2351" s="465">
        <v>3</v>
      </c>
    </row>
    <row r="2352" spans="1:8" ht="13.8" thickBot="1">
      <c r="A2352" s="467" t="s">
        <v>6929</v>
      </c>
      <c r="B2352" s="465" t="s">
        <v>2201</v>
      </c>
      <c r="C2352" s="466">
        <v>5</v>
      </c>
      <c r="D2352" s="465"/>
      <c r="E2352" s="466" t="s">
        <v>2152</v>
      </c>
      <c r="F2352" s="466"/>
      <c r="G2352" s="465"/>
      <c r="H2352" s="465">
        <v>1</v>
      </c>
    </row>
    <row r="2353" spans="1:8" ht="13.8" thickBot="1">
      <c r="A2353" s="467" t="s">
        <v>6930</v>
      </c>
      <c r="B2353" s="465" t="s">
        <v>1276</v>
      </c>
      <c r="C2353" s="466">
        <v>5</v>
      </c>
      <c r="D2353" s="465"/>
      <c r="E2353" s="466" t="s">
        <v>2152</v>
      </c>
      <c r="F2353" s="466"/>
      <c r="G2353" s="465"/>
      <c r="H2353" s="465">
        <v>2</v>
      </c>
    </row>
    <row r="2354" spans="1:8" ht="13.8" thickBot="1">
      <c r="A2354" s="465" t="s">
        <v>6931</v>
      </c>
      <c r="B2354" s="465" t="s">
        <v>1276</v>
      </c>
      <c r="C2354" s="466">
        <v>5</v>
      </c>
      <c r="D2354" s="465"/>
      <c r="E2354" s="466" t="s">
        <v>2152</v>
      </c>
      <c r="F2354" s="466"/>
      <c r="G2354" s="465">
        <v>2</v>
      </c>
      <c r="H2354" s="465">
        <v>5</v>
      </c>
    </row>
    <row r="2355" spans="1:8" ht="13.8" thickBot="1">
      <c r="A2355" s="465" t="s">
        <v>6932</v>
      </c>
      <c r="B2355" s="465" t="s">
        <v>2202</v>
      </c>
      <c r="C2355" s="466">
        <v>5</v>
      </c>
      <c r="D2355" s="465"/>
      <c r="E2355" s="466" t="s">
        <v>2152</v>
      </c>
      <c r="F2355" s="466"/>
      <c r="G2355" s="465"/>
      <c r="H2355" s="465">
        <v>4</v>
      </c>
    </row>
    <row r="2356" spans="1:8" ht="13.8" thickBot="1">
      <c r="A2356" s="467" t="s">
        <v>6923</v>
      </c>
      <c r="B2356" s="465" t="s">
        <v>2203</v>
      </c>
      <c r="C2356" s="466">
        <v>5</v>
      </c>
      <c r="D2356" s="465"/>
      <c r="E2356" s="466" t="s">
        <v>2152</v>
      </c>
      <c r="F2356" s="466"/>
      <c r="G2356" s="465"/>
      <c r="H2356" s="465">
        <v>7</v>
      </c>
    </row>
    <row r="2357" spans="1:8" ht="13.8" thickBot="1">
      <c r="A2357" s="465" t="s">
        <v>7534</v>
      </c>
      <c r="B2357" s="465" t="s">
        <v>4627</v>
      </c>
      <c r="C2357" s="466">
        <v>5</v>
      </c>
      <c r="D2357" s="465"/>
      <c r="E2357" s="466" t="s">
        <v>4628</v>
      </c>
      <c r="F2357" s="466"/>
      <c r="G2357" s="465"/>
      <c r="H2357" s="465"/>
    </row>
    <row r="2358" spans="1:8" ht="13.8" thickBot="1">
      <c r="A2358" s="465" t="s">
        <v>7535</v>
      </c>
      <c r="B2358" s="465" t="s">
        <v>4642</v>
      </c>
      <c r="C2358" s="466">
        <v>5</v>
      </c>
      <c r="D2358" s="465"/>
      <c r="E2358" s="466" t="s">
        <v>4628</v>
      </c>
      <c r="F2358" s="466"/>
      <c r="G2358" s="465"/>
      <c r="H2358" s="465">
        <v>1</v>
      </c>
    </row>
    <row r="2359" spans="1:8" ht="13.8" thickBot="1">
      <c r="A2359" s="465" t="s">
        <v>7536</v>
      </c>
      <c r="B2359" s="465" t="s">
        <v>4643</v>
      </c>
      <c r="C2359" s="466">
        <v>5</v>
      </c>
      <c r="D2359" s="465"/>
      <c r="E2359" s="466" t="s">
        <v>4628</v>
      </c>
      <c r="F2359" s="466"/>
      <c r="G2359" s="465"/>
      <c r="H2359" s="465"/>
    </row>
    <row r="2360" spans="1:8" ht="13.8" thickBot="1">
      <c r="A2360" s="467" t="s">
        <v>7537</v>
      </c>
      <c r="B2360" s="465" t="s">
        <v>1684</v>
      </c>
      <c r="C2360" s="466">
        <v>5</v>
      </c>
      <c r="D2360" s="465"/>
      <c r="E2360" s="466" t="s">
        <v>4644</v>
      </c>
      <c r="F2360" s="466" t="s">
        <v>1224</v>
      </c>
      <c r="G2360" s="465">
        <v>3</v>
      </c>
      <c r="H2360" s="465">
        <v>5</v>
      </c>
    </row>
    <row r="2361" spans="1:8" ht="13.8" thickBot="1">
      <c r="A2361" s="465" t="s">
        <v>7538</v>
      </c>
      <c r="B2361" s="465" t="s">
        <v>4665</v>
      </c>
      <c r="C2361" s="466">
        <v>5</v>
      </c>
      <c r="D2361" s="467" t="s">
        <v>614</v>
      </c>
      <c r="E2361" s="466" t="s">
        <v>4644</v>
      </c>
      <c r="F2361" s="466" t="s">
        <v>1224</v>
      </c>
      <c r="G2361" s="465"/>
      <c r="H2361" s="465">
        <v>4</v>
      </c>
    </row>
    <row r="2362" spans="1:8" ht="13.8" thickBot="1">
      <c r="A2362" s="467" t="s">
        <v>7539</v>
      </c>
      <c r="B2362" s="465" t="s">
        <v>1678</v>
      </c>
      <c r="C2362" s="466">
        <v>5</v>
      </c>
      <c r="D2362" s="465"/>
      <c r="E2362" s="466" t="s">
        <v>4644</v>
      </c>
      <c r="F2362" s="466"/>
      <c r="G2362" s="465">
        <v>2</v>
      </c>
      <c r="H2362" s="465">
        <v>5</v>
      </c>
    </row>
    <row r="2363" spans="1:8" ht="13.8" thickBot="1">
      <c r="A2363" s="465" t="s">
        <v>7540</v>
      </c>
      <c r="B2363" s="465" t="s">
        <v>1678</v>
      </c>
      <c r="C2363" s="466">
        <v>5</v>
      </c>
      <c r="D2363" s="465"/>
      <c r="E2363" s="466" t="s">
        <v>4644</v>
      </c>
      <c r="F2363" s="466"/>
      <c r="G2363" s="465"/>
      <c r="H2363" s="465">
        <v>3</v>
      </c>
    </row>
    <row r="2364" spans="1:8" ht="13.8" thickBot="1">
      <c r="A2364" s="465" t="s">
        <v>7541</v>
      </c>
      <c r="B2364" s="465" t="s">
        <v>4666</v>
      </c>
      <c r="C2364" s="466">
        <v>5</v>
      </c>
      <c r="D2364" s="465"/>
      <c r="E2364" s="466" t="s">
        <v>4644</v>
      </c>
      <c r="F2364" s="466"/>
      <c r="G2364" s="465"/>
      <c r="H2364" s="465">
        <v>4</v>
      </c>
    </row>
    <row r="2365" spans="1:8" ht="13.8" thickBot="1">
      <c r="A2365" s="467" t="s">
        <v>7542</v>
      </c>
      <c r="B2365" s="465" t="s">
        <v>1694</v>
      </c>
      <c r="C2365" s="466">
        <v>5</v>
      </c>
      <c r="D2365" s="465"/>
      <c r="E2365" s="466" t="s">
        <v>4644</v>
      </c>
      <c r="F2365" s="466"/>
      <c r="G2365" s="465"/>
      <c r="H2365" s="465">
        <v>4</v>
      </c>
    </row>
    <row r="2366" spans="1:8" ht="13.8" thickBot="1">
      <c r="A2366" s="465" t="s">
        <v>7543</v>
      </c>
      <c r="B2366" s="465" t="s">
        <v>4687</v>
      </c>
      <c r="C2366" s="466">
        <v>5</v>
      </c>
      <c r="D2366" s="467" t="s">
        <v>614</v>
      </c>
      <c r="E2366" s="466" t="s">
        <v>4672</v>
      </c>
      <c r="F2366" s="466" t="s">
        <v>1224</v>
      </c>
      <c r="G2366" s="465"/>
      <c r="H2366" s="465">
        <v>5</v>
      </c>
    </row>
    <row r="2367" spans="1:8" ht="13.8" thickBot="1">
      <c r="A2367" s="467" t="s">
        <v>7544</v>
      </c>
      <c r="B2367" s="465" t="s">
        <v>1709</v>
      </c>
      <c r="C2367" s="466">
        <v>5</v>
      </c>
      <c r="D2367" s="465"/>
      <c r="E2367" s="466" t="s">
        <v>4672</v>
      </c>
      <c r="F2367" s="466"/>
      <c r="G2367" s="465">
        <v>1</v>
      </c>
      <c r="H2367" s="465">
        <v>2</v>
      </c>
    </row>
    <row r="2368" spans="1:8" ht="13.8" thickBot="1">
      <c r="A2368" s="465" t="s">
        <v>7545</v>
      </c>
      <c r="B2368" s="465" t="s">
        <v>4688</v>
      </c>
      <c r="C2368" s="466">
        <v>5</v>
      </c>
      <c r="D2368" s="465"/>
      <c r="E2368" s="466" t="s">
        <v>4672</v>
      </c>
      <c r="F2368" s="466"/>
      <c r="G2368" s="465"/>
      <c r="H2368" s="465">
        <v>1</v>
      </c>
    </row>
    <row r="2369" spans="1:8" ht="13.8" thickBot="1">
      <c r="A2369" s="467" t="s">
        <v>7546</v>
      </c>
      <c r="B2369" s="465" t="s">
        <v>4705</v>
      </c>
      <c r="C2369" s="466">
        <v>5</v>
      </c>
      <c r="D2369" s="467" t="s">
        <v>614</v>
      </c>
      <c r="E2369" s="466" t="s">
        <v>4702</v>
      </c>
      <c r="F2369" s="466" t="s">
        <v>1220</v>
      </c>
      <c r="G2369" s="465"/>
      <c r="H2369" s="465">
        <v>4</v>
      </c>
    </row>
    <row r="2370" spans="1:8" ht="13.8" thickBot="1">
      <c r="A2370" s="465" t="s">
        <v>7547</v>
      </c>
      <c r="B2370" s="465" t="s">
        <v>4701</v>
      </c>
      <c r="C2370" s="466">
        <v>5</v>
      </c>
      <c r="D2370" s="467" t="s">
        <v>614</v>
      </c>
      <c r="E2370" s="466" t="s">
        <v>4702</v>
      </c>
      <c r="F2370" s="466"/>
      <c r="G2370" s="465">
        <v>2</v>
      </c>
      <c r="H2370" s="465">
        <v>4</v>
      </c>
    </row>
    <row r="2371" spans="1:8" ht="13.8" thickBot="1">
      <c r="A2371" s="467" t="s">
        <v>7548</v>
      </c>
      <c r="B2371" s="470" t="s">
        <v>4706</v>
      </c>
      <c r="C2371" s="471">
        <v>5</v>
      </c>
      <c r="D2371" s="465"/>
      <c r="E2371" s="471" t="s">
        <v>4702</v>
      </c>
      <c r="F2371" s="466"/>
      <c r="G2371" s="465"/>
      <c r="H2371" s="470">
        <v>1</v>
      </c>
    </row>
    <row r="2372" spans="1:8" ht="13.8" thickBot="1">
      <c r="A2372" s="467" t="s">
        <v>7549</v>
      </c>
      <c r="B2372" s="465" t="s">
        <v>4728</v>
      </c>
      <c r="C2372" s="466">
        <v>5</v>
      </c>
      <c r="D2372" s="465"/>
      <c r="E2372" s="466" t="s">
        <v>4717</v>
      </c>
      <c r="F2372" s="466"/>
      <c r="G2372" s="465"/>
      <c r="H2372" s="465">
        <v>3</v>
      </c>
    </row>
    <row r="2373" spans="1:8" ht="13.8" thickBot="1">
      <c r="A2373" s="465" t="s">
        <v>7550</v>
      </c>
      <c r="B2373" s="465" t="s">
        <v>4747</v>
      </c>
      <c r="C2373" s="466">
        <v>5</v>
      </c>
      <c r="D2373" s="465"/>
      <c r="E2373" s="466" t="s">
        <v>4717</v>
      </c>
      <c r="F2373" s="466"/>
      <c r="G2373" s="465"/>
      <c r="H2373" s="465">
        <v>8</v>
      </c>
    </row>
    <row r="2374" spans="1:8" ht="13.8" thickBot="1">
      <c r="A2374" s="465" t="s">
        <v>7551</v>
      </c>
      <c r="B2374" s="465" t="s">
        <v>4748</v>
      </c>
      <c r="C2374" s="466">
        <v>5</v>
      </c>
      <c r="D2374" s="465"/>
      <c r="E2374" s="466" t="s">
        <v>4717</v>
      </c>
      <c r="F2374" s="466"/>
      <c r="G2374" s="465"/>
      <c r="H2374" s="465">
        <v>2</v>
      </c>
    </row>
    <row r="2375" spans="1:8" ht="13.8" thickBot="1">
      <c r="A2375" s="465" t="s">
        <v>7552</v>
      </c>
      <c r="B2375" s="465" t="s">
        <v>4749</v>
      </c>
      <c r="C2375" s="466">
        <v>5</v>
      </c>
      <c r="D2375" s="467" t="s">
        <v>614</v>
      </c>
      <c r="E2375" s="466" t="s">
        <v>4717</v>
      </c>
      <c r="F2375" s="466"/>
      <c r="G2375" s="465">
        <v>1</v>
      </c>
      <c r="H2375" s="465">
        <v>2</v>
      </c>
    </row>
    <row r="2376" spans="1:8" ht="13.8" thickBot="1">
      <c r="A2376" s="465" t="s">
        <v>7553</v>
      </c>
      <c r="B2376" s="465" t="s">
        <v>4750</v>
      </c>
      <c r="C2376" s="466">
        <v>5</v>
      </c>
      <c r="D2376" s="465"/>
      <c r="E2376" s="466" t="s">
        <v>4717</v>
      </c>
      <c r="F2376" s="466"/>
      <c r="G2376" s="465">
        <v>1</v>
      </c>
      <c r="H2376" s="465">
        <v>2</v>
      </c>
    </row>
    <row r="2377" spans="1:8" ht="13.8" thickBot="1">
      <c r="A2377" s="465" t="s">
        <v>7554</v>
      </c>
      <c r="B2377" s="465" t="s">
        <v>4766</v>
      </c>
      <c r="C2377" s="466">
        <v>5</v>
      </c>
      <c r="D2377" s="467" t="s">
        <v>614</v>
      </c>
      <c r="E2377" s="466" t="s">
        <v>4753</v>
      </c>
      <c r="F2377" s="466" t="s">
        <v>1224</v>
      </c>
      <c r="G2377" s="465"/>
      <c r="H2377" s="465">
        <v>2</v>
      </c>
    </row>
    <row r="2378" spans="1:8" ht="13.8" thickBot="1">
      <c r="A2378" s="465" t="s">
        <v>7555</v>
      </c>
      <c r="B2378" s="465" t="s">
        <v>4766</v>
      </c>
      <c r="C2378" s="466">
        <v>5</v>
      </c>
      <c r="D2378" s="467" t="s">
        <v>614</v>
      </c>
      <c r="E2378" s="466" t="s">
        <v>4753</v>
      </c>
      <c r="F2378" s="466"/>
      <c r="G2378" s="465"/>
      <c r="H2378" s="465"/>
    </row>
    <row r="2379" spans="1:8" ht="13.8" thickBot="1">
      <c r="A2379" s="467" t="s">
        <v>7556</v>
      </c>
      <c r="B2379" s="465" t="s">
        <v>4766</v>
      </c>
      <c r="C2379" s="466">
        <v>5</v>
      </c>
      <c r="D2379" s="465"/>
      <c r="E2379" s="466" t="s">
        <v>4753</v>
      </c>
      <c r="F2379" s="466"/>
      <c r="G2379" s="465"/>
      <c r="H2379" s="465">
        <v>2</v>
      </c>
    </row>
    <row r="2380" spans="1:8" ht="13.8" thickBot="1">
      <c r="A2380" s="467" t="s">
        <v>7557</v>
      </c>
      <c r="B2380" s="465" t="s">
        <v>4770</v>
      </c>
      <c r="C2380" s="466">
        <v>5</v>
      </c>
      <c r="D2380" s="465"/>
      <c r="E2380" s="466" t="s">
        <v>4753</v>
      </c>
      <c r="F2380" s="466"/>
      <c r="G2380" s="465"/>
      <c r="H2380" s="465">
        <v>4</v>
      </c>
    </row>
    <row r="2381" spans="1:8" ht="13.8" thickBot="1">
      <c r="A2381" s="467" t="s">
        <v>7558</v>
      </c>
      <c r="B2381" s="465" t="s">
        <v>4771</v>
      </c>
      <c r="C2381" s="466">
        <v>5</v>
      </c>
      <c r="D2381" s="467" t="s">
        <v>614</v>
      </c>
      <c r="E2381" s="466" t="s">
        <v>4753</v>
      </c>
      <c r="F2381" s="466"/>
      <c r="G2381" s="465"/>
      <c r="H2381" s="465">
        <v>2</v>
      </c>
    </row>
    <row r="2382" spans="1:8" ht="13.8" thickBot="1">
      <c r="A2382" s="467" t="s">
        <v>7559</v>
      </c>
      <c r="B2382" s="465" t="s">
        <v>4776</v>
      </c>
      <c r="C2382" s="466">
        <v>5</v>
      </c>
      <c r="D2382" s="465"/>
      <c r="E2382" s="466" t="s">
        <v>4773</v>
      </c>
      <c r="F2382" s="466"/>
      <c r="G2382" s="465"/>
      <c r="H2382" s="465"/>
    </row>
    <row r="2383" spans="1:8" ht="13.8" thickBot="1">
      <c r="A2383" s="465" t="s">
        <v>7680</v>
      </c>
      <c r="B2383" s="465" t="s">
        <v>4937</v>
      </c>
      <c r="C2383" s="466">
        <v>5.0999999999999996</v>
      </c>
      <c r="D2383" s="465" t="s">
        <v>2419</v>
      </c>
      <c r="E2383" s="466" t="s">
        <v>4918</v>
      </c>
      <c r="F2383" s="466"/>
      <c r="G2383" s="465"/>
      <c r="H2383" s="465">
        <v>1</v>
      </c>
    </row>
    <row r="2384" spans="1:8" ht="13.8" thickBot="1">
      <c r="A2384" s="465" t="s">
        <v>7677</v>
      </c>
      <c r="B2384" s="465" t="s">
        <v>1369</v>
      </c>
      <c r="C2384" s="466">
        <v>5.0999999999999996</v>
      </c>
      <c r="D2384" s="465"/>
      <c r="E2384" s="466" t="s">
        <v>2943</v>
      </c>
      <c r="F2384" s="466" t="s">
        <v>1226</v>
      </c>
      <c r="G2384" s="465"/>
      <c r="H2384" s="465">
        <v>7</v>
      </c>
    </row>
    <row r="2385" spans="1:8" ht="13.8" thickBot="1">
      <c r="A2385" s="465" t="s">
        <v>7678</v>
      </c>
      <c r="B2385" s="465" t="s">
        <v>1519</v>
      </c>
      <c r="C2385" s="466">
        <v>5.0999999999999996</v>
      </c>
      <c r="D2385" s="465"/>
      <c r="E2385" s="466" t="s">
        <v>3957</v>
      </c>
      <c r="F2385" s="466"/>
      <c r="G2385" s="465"/>
      <c r="H2385" s="465">
        <v>3</v>
      </c>
    </row>
    <row r="2386" spans="1:8" ht="13.8" thickBot="1">
      <c r="A2386" s="465" t="s">
        <v>7679</v>
      </c>
      <c r="B2386" s="465" t="s">
        <v>1689</v>
      </c>
      <c r="C2386" s="466">
        <v>5.0999999999999996</v>
      </c>
      <c r="D2386" s="465"/>
      <c r="E2386" s="466" t="s">
        <v>4644</v>
      </c>
      <c r="F2386" s="466" t="s">
        <v>1226</v>
      </c>
      <c r="G2386" s="465"/>
      <c r="H2386" s="465">
        <v>5</v>
      </c>
    </row>
    <row r="2387" spans="1:8" ht="13.8" thickBot="1">
      <c r="A2387" s="465" t="s">
        <v>7681</v>
      </c>
      <c r="B2387" s="465" t="s">
        <v>1792</v>
      </c>
      <c r="C2387" s="466">
        <v>5.25</v>
      </c>
      <c r="D2387" s="465"/>
      <c r="E2387" s="466" t="s">
        <v>1793</v>
      </c>
      <c r="F2387" s="466" t="s">
        <v>1226</v>
      </c>
      <c r="G2387" s="465"/>
      <c r="H2387" s="465">
        <v>2</v>
      </c>
    </row>
    <row r="2388" spans="1:8" ht="13.8" thickBot="1">
      <c r="A2388" s="465" t="s">
        <v>7682</v>
      </c>
      <c r="B2388" s="465" t="s">
        <v>1861</v>
      </c>
      <c r="C2388" s="466">
        <v>5.25</v>
      </c>
      <c r="D2388" s="465"/>
      <c r="E2388" s="466" t="s">
        <v>1793</v>
      </c>
      <c r="F2388" s="466" t="s">
        <v>1226</v>
      </c>
      <c r="G2388" s="465"/>
      <c r="H2388" s="465">
        <v>2</v>
      </c>
    </row>
    <row r="2389" spans="1:8" ht="13.8" thickBot="1">
      <c r="A2389" s="467" t="s">
        <v>7683</v>
      </c>
      <c r="B2389" s="465" t="s">
        <v>1862</v>
      </c>
      <c r="C2389" s="466">
        <v>5.25</v>
      </c>
      <c r="D2389" s="467" t="s">
        <v>614</v>
      </c>
      <c r="E2389" s="466" t="s">
        <v>1793</v>
      </c>
      <c r="F2389" s="466" t="s">
        <v>1863</v>
      </c>
      <c r="G2389" s="465">
        <v>1</v>
      </c>
      <c r="H2389" s="465">
        <v>23</v>
      </c>
    </row>
    <row r="2390" spans="1:8" ht="13.8" thickBot="1">
      <c r="A2390" s="465" t="s">
        <v>7684</v>
      </c>
      <c r="B2390" s="465" t="s">
        <v>1792</v>
      </c>
      <c r="C2390" s="466">
        <v>5.25</v>
      </c>
      <c r="D2390" s="467" t="s">
        <v>614</v>
      </c>
      <c r="E2390" s="466" t="s">
        <v>1793</v>
      </c>
      <c r="F2390" s="466" t="s">
        <v>1224</v>
      </c>
      <c r="G2390" s="465"/>
      <c r="H2390" s="465">
        <v>1</v>
      </c>
    </row>
    <row r="2391" spans="1:8" ht="13.8" thickBot="1">
      <c r="A2391" s="465" t="s">
        <v>7685</v>
      </c>
      <c r="B2391" s="465" t="s">
        <v>1864</v>
      </c>
      <c r="C2391" s="466">
        <v>5.25</v>
      </c>
      <c r="D2391" s="465"/>
      <c r="E2391" s="466" t="s">
        <v>1793</v>
      </c>
      <c r="F2391" s="466"/>
      <c r="G2391" s="465">
        <v>1</v>
      </c>
      <c r="H2391" s="465">
        <v>2</v>
      </c>
    </row>
    <row r="2392" spans="1:8" ht="13.8" thickBot="1">
      <c r="A2392" s="465" t="s">
        <v>7689</v>
      </c>
      <c r="B2392" s="465" t="s">
        <v>2231</v>
      </c>
      <c r="C2392" s="466">
        <v>5.25</v>
      </c>
      <c r="D2392" s="465"/>
      <c r="E2392" s="466" t="s">
        <v>2216</v>
      </c>
      <c r="F2392" s="466" t="s">
        <v>1251</v>
      </c>
      <c r="G2392" s="465"/>
      <c r="H2392" s="465">
        <v>9</v>
      </c>
    </row>
    <row r="2393" spans="1:8" ht="13.8" thickBot="1">
      <c r="A2393" s="467" t="s">
        <v>7709</v>
      </c>
      <c r="B2393" s="465" t="s">
        <v>1759</v>
      </c>
      <c r="C2393" s="466">
        <v>5.25</v>
      </c>
      <c r="D2393" s="467" t="s">
        <v>614</v>
      </c>
      <c r="E2393" s="466" t="s">
        <v>4789</v>
      </c>
      <c r="F2393" s="466" t="s">
        <v>1251</v>
      </c>
      <c r="G2393" s="465"/>
      <c r="H2393" s="465">
        <v>1</v>
      </c>
    </row>
    <row r="2394" spans="1:8" ht="13.8" thickBot="1">
      <c r="A2394" s="465" t="s">
        <v>7710</v>
      </c>
      <c r="B2394" s="465" t="s">
        <v>4800</v>
      </c>
      <c r="C2394" s="466">
        <v>5.25</v>
      </c>
      <c r="D2394" s="465" t="s">
        <v>4801</v>
      </c>
      <c r="E2394" s="466" t="s">
        <v>4789</v>
      </c>
      <c r="F2394" s="466" t="s">
        <v>1224</v>
      </c>
      <c r="G2394" s="465"/>
      <c r="H2394" s="465">
        <v>9</v>
      </c>
    </row>
    <row r="2395" spans="1:8" ht="13.8" thickBot="1">
      <c r="A2395" s="465" t="s">
        <v>7711</v>
      </c>
      <c r="B2395" s="465" t="s">
        <v>4810</v>
      </c>
      <c r="C2395" s="466">
        <v>5.25</v>
      </c>
      <c r="D2395" s="465"/>
      <c r="E2395" s="466" t="s">
        <v>4789</v>
      </c>
      <c r="F2395" s="466" t="s">
        <v>1224</v>
      </c>
      <c r="G2395" s="465"/>
      <c r="H2395" s="465">
        <v>1</v>
      </c>
    </row>
    <row r="2396" spans="1:8" ht="13.8" thickBot="1">
      <c r="A2396" s="465" t="s">
        <v>7712</v>
      </c>
      <c r="B2396" s="465" t="s">
        <v>4835</v>
      </c>
      <c r="C2396" s="466">
        <v>5.25</v>
      </c>
      <c r="D2396" s="465"/>
      <c r="E2396" s="466" t="s">
        <v>4822</v>
      </c>
      <c r="F2396" s="466" t="s">
        <v>1226</v>
      </c>
      <c r="G2396" s="465"/>
      <c r="H2396" s="465">
        <v>1</v>
      </c>
    </row>
    <row r="2397" spans="1:8" ht="13.8" thickBot="1">
      <c r="A2397" s="465" t="s">
        <v>7713</v>
      </c>
      <c r="B2397" s="465" t="s">
        <v>4836</v>
      </c>
      <c r="C2397" s="466">
        <v>5.25</v>
      </c>
      <c r="D2397" s="465"/>
      <c r="E2397" s="466" t="s">
        <v>4822</v>
      </c>
      <c r="F2397" s="466" t="s">
        <v>1224</v>
      </c>
      <c r="G2397" s="465">
        <v>1</v>
      </c>
      <c r="H2397" s="465">
        <v>2</v>
      </c>
    </row>
    <row r="2398" spans="1:8" ht="13.8" thickBot="1">
      <c r="A2398" s="467" t="s">
        <v>7714</v>
      </c>
      <c r="B2398" s="465" t="s">
        <v>1593</v>
      </c>
      <c r="C2398" s="466">
        <v>5.25</v>
      </c>
      <c r="D2398" s="467" t="s">
        <v>614</v>
      </c>
      <c r="E2398" s="466" t="s">
        <v>4970</v>
      </c>
      <c r="F2398" s="466" t="s">
        <v>1224</v>
      </c>
      <c r="G2398" s="465"/>
      <c r="H2398" s="465">
        <v>2</v>
      </c>
    </row>
    <row r="2399" spans="1:8" ht="13.8" thickBot="1">
      <c r="A2399" s="465" t="s">
        <v>7715</v>
      </c>
      <c r="B2399" s="465" t="s">
        <v>5020</v>
      </c>
      <c r="C2399" s="466">
        <v>5.25</v>
      </c>
      <c r="D2399" s="467" t="s">
        <v>614</v>
      </c>
      <c r="E2399" s="466" t="s">
        <v>5010</v>
      </c>
      <c r="F2399" s="466" t="s">
        <v>1226</v>
      </c>
      <c r="G2399" s="465"/>
      <c r="H2399" s="465">
        <v>2</v>
      </c>
    </row>
    <row r="2400" spans="1:8" ht="13.8" thickBot="1">
      <c r="A2400" s="465" t="s">
        <v>7716</v>
      </c>
      <c r="B2400" s="465" t="s">
        <v>1534</v>
      </c>
      <c r="C2400" s="466">
        <v>5.25</v>
      </c>
      <c r="D2400" s="467" t="s">
        <v>614</v>
      </c>
      <c r="E2400" s="466" t="s">
        <v>5125</v>
      </c>
      <c r="F2400" s="466" t="s">
        <v>1226</v>
      </c>
      <c r="G2400" s="465"/>
      <c r="H2400" s="465">
        <v>12</v>
      </c>
    </row>
    <row r="2401" spans="1:8" ht="13.8" thickBot="1">
      <c r="A2401" s="467" t="s">
        <v>7717</v>
      </c>
      <c r="B2401" s="465" t="s">
        <v>5151</v>
      </c>
      <c r="C2401" s="466">
        <v>5.25</v>
      </c>
      <c r="D2401" s="467" t="s">
        <v>614</v>
      </c>
      <c r="E2401" s="466" t="s">
        <v>5139</v>
      </c>
      <c r="F2401" s="466" t="s">
        <v>1880</v>
      </c>
      <c r="G2401" s="465">
        <v>3</v>
      </c>
      <c r="H2401" s="465">
        <v>5</v>
      </c>
    </row>
    <row r="2402" spans="1:8" ht="13.8" thickBot="1">
      <c r="A2402" s="465" t="s">
        <v>7718</v>
      </c>
      <c r="B2402" s="465" t="s">
        <v>5193</v>
      </c>
      <c r="C2402" s="466">
        <v>5.25</v>
      </c>
      <c r="D2402" s="465"/>
      <c r="E2402" s="466" t="s">
        <v>5180</v>
      </c>
      <c r="F2402" s="466"/>
      <c r="G2402" s="465"/>
      <c r="H2402" s="465">
        <v>11</v>
      </c>
    </row>
    <row r="2403" spans="1:8" ht="13.8" thickBot="1">
      <c r="A2403" s="465" t="s">
        <v>7719</v>
      </c>
      <c r="B2403" s="465" t="s">
        <v>5249</v>
      </c>
      <c r="C2403" s="466">
        <v>5.25</v>
      </c>
      <c r="D2403" s="467" t="s">
        <v>5123</v>
      </c>
      <c r="E2403" s="466" t="s">
        <v>5248</v>
      </c>
      <c r="F2403" s="466"/>
      <c r="G2403" s="465"/>
      <c r="H2403" s="465">
        <v>1</v>
      </c>
    </row>
    <row r="2404" spans="1:8" ht="13.8" thickBot="1">
      <c r="A2404" s="465" t="s">
        <v>7690</v>
      </c>
      <c r="B2404" s="465" t="s">
        <v>2429</v>
      </c>
      <c r="C2404" s="466">
        <v>5.25</v>
      </c>
      <c r="D2404" s="467" t="s">
        <v>614</v>
      </c>
      <c r="E2404" s="466" t="s">
        <v>2289</v>
      </c>
      <c r="F2404" s="466" t="s">
        <v>1226</v>
      </c>
      <c r="G2404" s="465"/>
      <c r="H2404" s="465">
        <v>2</v>
      </c>
    </row>
    <row r="2405" spans="1:8" ht="13.8" thickBot="1">
      <c r="A2405" s="465" t="s">
        <v>7691</v>
      </c>
      <c r="B2405" s="465" t="s">
        <v>1727</v>
      </c>
      <c r="C2405" s="466">
        <v>5.25</v>
      </c>
      <c r="D2405" s="467" t="s">
        <v>614</v>
      </c>
      <c r="E2405" s="466" t="s">
        <v>2289</v>
      </c>
      <c r="F2405" s="466" t="s">
        <v>1226</v>
      </c>
      <c r="G2405" s="465"/>
      <c r="H2405" s="465">
        <v>3</v>
      </c>
    </row>
    <row r="2406" spans="1:8" ht="13.8" thickBot="1">
      <c r="A2406" s="465" t="s">
        <v>7692</v>
      </c>
      <c r="B2406" s="465" t="s">
        <v>2661</v>
      </c>
      <c r="C2406" s="466">
        <v>5.25</v>
      </c>
      <c r="D2406" s="465"/>
      <c r="E2406" s="466" t="s">
        <v>2523</v>
      </c>
      <c r="F2406" s="466" t="s">
        <v>1841</v>
      </c>
      <c r="G2406" s="465"/>
      <c r="H2406" s="465">
        <v>11</v>
      </c>
    </row>
    <row r="2407" spans="1:8" ht="13.8" thickBot="1">
      <c r="A2407" s="465" t="s">
        <v>7693</v>
      </c>
      <c r="B2407" s="465" t="s">
        <v>2662</v>
      </c>
      <c r="C2407" s="466">
        <v>5.25</v>
      </c>
      <c r="D2407" s="465"/>
      <c r="E2407" s="466" t="s">
        <v>2523</v>
      </c>
      <c r="F2407" s="466" t="s">
        <v>1226</v>
      </c>
      <c r="G2407" s="465"/>
      <c r="H2407" s="465">
        <v>7</v>
      </c>
    </row>
    <row r="2408" spans="1:8" ht="13.8" thickBot="1">
      <c r="A2408" s="465" t="s">
        <v>7694</v>
      </c>
      <c r="B2408" s="465" t="s">
        <v>1336</v>
      </c>
      <c r="C2408" s="466">
        <v>5.25</v>
      </c>
      <c r="D2408" s="465"/>
      <c r="E2408" s="466" t="s">
        <v>2523</v>
      </c>
      <c r="F2408" s="466" t="s">
        <v>1226</v>
      </c>
      <c r="G2408" s="465"/>
      <c r="H2408" s="465">
        <v>2</v>
      </c>
    </row>
    <row r="2409" spans="1:8" ht="13.8" thickBot="1">
      <c r="A2409" s="465" t="s">
        <v>7695</v>
      </c>
      <c r="B2409" s="465" t="s">
        <v>2663</v>
      </c>
      <c r="C2409" s="466">
        <v>5.25</v>
      </c>
      <c r="D2409" s="465"/>
      <c r="E2409" s="466" t="s">
        <v>2523</v>
      </c>
      <c r="F2409" s="466" t="s">
        <v>1226</v>
      </c>
      <c r="G2409" s="465"/>
      <c r="H2409" s="465">
        <v>1</v>
      </c>
    </row>
    <row r="2410" spans="1:8" ht="13.8" thickBot="1">
      <c r="A2410" s="465" t="s">
        <v>7696</v>
      </c>
      <c r="B2410" s="465" t="s">
        <v>2664</v>
      </c>
      <c r="C2410" s="466">
        <v>5.25</v>
      </c>
      <c r="D2410" s="465"/>
      <c r="E2410" s="466" t="s">
        <v>2523</v>
      </c>
      <c r="F2410" s="466" t="s">
        <v>1220</v>
      </c>
      <c r="G2410" s="465"/>
      <c r="H2410" s="465">
        <v>11</v>
      </c>
    </row>
    <row r="2411" spans="1:8" ht="13.8" thickBot="1">
      <c r="A2411" s="465" t="s">
        <v>7697</v>
      </c>
      <c r="B2411" s="465" t="s">
        <v>2914</v>
      </c>
      <c r="C2411" s="466">
        <v>5.25</v>
      </c>
      <c r="D2411" s="467" t="s">
        <v>614</v>
      </c>
      <c r="E2411" s="466" t="s">
        <v>2899</v>
      </c>
      <c r="F2411" s="466" t="s">
        <v>2417</v>
      </c>
      <c r="G2411" s="465"/>
      <c r="H2411" s="465">
        <v>8</v>
      </c>
    </row>
    <row r="2412" spans="1:8" ht="13.8" thickBot="1">
      <c r="A2412" s="465" t="s">
        <v>980</v>
      </c>
      <c r="B2412" s="465" t="s">
        <v>1367</v>
      </c>
      <c r="C2412" s="466">
        <v>5.25</v>
      </c>
      <c r="D2412" s="465"/>
      <c r="E2412" s="466" t="s">
        <v>2943</v>
      </c>
      <c r="F2412" s="466" t="s">
        <v>1220</v>
      </c>
      <c r="G2412" s="465">
        <v>1</v>
      </c>
      <c r="H2412" s="465">
        <v>8</v>
      </c>
    </row>
    <row r="2413" spans="1:8" ht="13.8" thickBot="1">
      <c r="A2413" s="467" t="s">
        <v>7698</v>
      </c>
      <c r="B2413" s="465" t="s">
        <v>1562</v>
      </c>
      <c r="C2413" s="466">
        <v>5.25</v>
      </c>
      <c r="D2413" s="465"/>
      <c r="E2413" s="466" t="s">
        <v>2957</v>
      </c>
      <c r="F2413" s="466" t="s">
        <v>1226</v>
      </c>
      <c r="G2413" s="465"/>
      <c r="H2413" s="465">
        <v>1</v>
      </c>
    </row>
    <row r="2414" spans="1:8" ht="13.8" thickBot="1">
      <c r="A2414" s="465" t="s">
        <v>7699</v>
      </c>
      <c r="B2414" s="465" t="s">
        <v>3089</v>
      </c>
      <c r="C2414" s="466">
        <v>5.25</v>
      </c>
      <c r="D2414" s="465"/>
      <c r="E2414" s="466" t="s">
        <v>3085</v>
      </c>
      <c r="F2414" s="466" t="s">
        <v>1224</v>
      </c>
      <c r="G2414" s="465"/>
      <c r="H2414" s="465">
        <v>1</v>
      </c>
    </row>
    <row r="2415" spans="1:8" ht="13.8" thickBot="1">
      <c r="A2415" s="465" t="s">
        <v>7686</v>
      </c>
      <c r="B2415" s="465" t="s">
        <v>2070</v>
      </c>
      <c r="C2415" s="466">
        <v>5.25</v>
      </c>
      <c r="D2415" s="465"/>
      <c r="E2415" s="466" t="s">
        <v>2032</v>
      </c>
      <c r="F2415" s="466" t="s">
        <v>1251</v>
      </c>
      <c r="G2415" s="465"/>
      <c r="H2415" s="465">
        <v>11</v>
      </c>
    </row>
    <row r="2416" spans="1:8" ht="13.8" thickBot="1">
      <c r="A2416" s="465" t="s">
        <v>7687</v>
      </c>
      <c r="B2416" s="465" t="s">
        <v>1287</v>
      </c>
      <c r="C2416" s="466">
        <v>5.25</v>
      </c>
      <c r="D2416" s="465"/>
      <c r="E2416" s="466" t="s">
        <v>2032</v>
      </c>
      <c r="F2416" s="466" t="s">
        <v>1226</v>
      </c>
      <c r="G2416" s="465"/>
      <c r="H2416" s="465">
        <v>2</v>
      </c>
    </row>
    <row r="2417" spans="1:8" ht="13.8" thickBot="1">
      <c r="A2417" s="467" t="s">
        <v>7700</v>
      </c>
      <c r="B2417" s="465" t="s">
        <v>3725</v>
      </c>
      <c r="C2417" s="466">
        <v>5.25</v>
      </c>
      <c r="D2417" s="465"/>
      <c r="E2417" s="466" t="s">
        <v>3724</v>
      </c>
      <c r="F2417" s="466"/>
      <c r="G2417" s="465"/>
      <c r="H2417" s="465">
        <v>1</v>
      </c>
    </row>
    <row r="2418" spans="1:8" ht="13.8" thickBot="1">
      <c r="A2418" s="467" t="s">
        <v>7701</v>
      </c>
      <c r="B2418" s="465" t="s">
        <v>3728</v>
      </c>
      <c r="C2418" s="466">
        <v>5.25</v>
      </c>
      <c r="D2418" s="467" t="s">
        <v>3729</v>
      </c>
      <c r="E2418" s="466" t="s">
        <v>3724</v>
      </c>
      <c r="F2418" s="466"/>
      <c r="G2418" s="465">
        <v>1</v>
      </c>
      <c r="H2418" s="465">
        <v>2</v>
      </c>
    </row>
    <row r="2419" spans="1:8" ht="13.8" thickBot="1">
      <c r="A2419" s="467" t="s">
        <v>7702</v>
      </c>
      <c r="B2419" s="465" t="s">
        <v>1505</v>
      </c>
      <c r="C2419" s="466">
        <v>5.25</v>
      </c>
      <c r="D2419" s="465"/>
      <c r="E2419" s="466" t="s">
        <v>3807</v>
      </c>
      <c r="F2419" s="466" t="s">
        <v>1224</v>
      </c>
      <c r="G2419" s="465">
        <v>4</v>
      </c>
      <c r="H2419" s="465">
        <v>12</v>
      </c>
    </row>
    <row r="2420" spans="1:8" ht="13.8" thickBot="1">
      <c r="A2420" s="467" t="s">
        <v>7703</v>
      </c>
      <c r="B2420" s="465" t="s">
        <v>4030</v>
      </c>
      <c r="C2420" s="466">
        <v>5.25</v>
      </c>
      <c r="D2420" s="467" t="s">
        <v>614</v>
      </c>
      <c r="E2420" s="466" t="s">
        <v>3996</v>
      </c>
      <c r="F2420" s="466" t="s">
        <v>1226</v>
      </c>
      <c r="G2420" s="465">
        <v>1</v>
      </c>
      <c r="H2420" s="465">
        <v>5</v>
      </c>
    </row>
    <row r="2421" spans="1:8" ht="13.8" thickBot="1">
      <c r="A2421" s="465" t="s">
        <v>7688</v>
      </c>
      <c r="B2421" s="465" t="s">
        <v>1250</v>
      </c>
      <c r="C2421" s="466">
        <v>5.25</v>
      </c>
      <c r="D2421" s="467" t="s">
        <v>614</v>
      </c>
      <c r="E2421" s="466" t="s">
        <v>2114</v>
      </c>
      <c r="F2421" s="466" t="s">
        <v>1251</v>
      </c>
      <c r="G2421" s="465">
        <v>6</v>
      </c>
      <c r="H2421" s="465">
        <v>24</v>
      </c>
    </row>
    <row r="2422" spans="1:8" ht="13.8" thickBot="1">
      <c r="A2422" s="467" t="s">
        <v>7704</v>
      </c>
      <c r="B2422" s="465" t="s">
        <v>1537</v>
      </c>
      <c r="C2422" s="466">
        <v>5.25</v>
      </c>
      <c r="D2422" s="465"/>
      <c r="E2422" s="466" t="s">
        <v>4067</v>
      </c>
      <c r="F2422" s="466" t="s">
        <v>1226</v>
      </c>
      <c r="G2422" s="465"/>
      <c r="H2422" s="465">
        <v>9</v>
      </c>
    </row>
    <row r="2423" spans="1:8" ht="13.8" thickBot="1">
      <c r="A2423" s="465" t="s">
        <v>7705</v>
      </c>
      <c r="B2423" s="465" t="s">
        <v>1537</v>
      </c>
      <c r="C2423" s="466">
        <v>5.25</v>
      </c>
      <c r="D2423" s="465"/>
      <c r="E2423" s="466" t="s">
        <v>4067</v>
      </c>
      <c r="F2423" s="466" t="s">
        <v>1224</v>
      </c>
      <c r="G2423" s="465"/>
      <c r="H2423" s="465">
        <v>5</v>
      </c>
    </row>
    <row r="2424" spans="1:8" ht="13.8" thickBot="1">
      <c r="A2424" s="467" t="s">
        <v>7706</v>
      </c>
      <c r="B2424" s="465" t="s">
        <v>1617</v>
      </c>
      <c r="C2424" s="466">
        <v>5.25</v>
      </c>
      <c r="D2424" s="467" t="s">
        <v>2688</v>
      </c>
      <c r="E2424" s="466" t="s">
        <v>4214</v>
      </c>
      <c r="F2424" s="466" t="s">
        <v>1220</v>
      </c>
      <c r="G2424" s="465"/>
      <c r="H2424" s="465">
        <v>2</v>
      </c>
    </row>
    <row r="2425" spans="1:8" ht="13.8" thickBot="1">
      <c r="A2425" s="467" t="s">
        <v>7707</v>
      </c>
      <c r="B2425" s="465" t="s">
        <v>1638</v>
      </c>
      <c r="C2425" s="466">
        <v>5.25</v>
      </c>
      <c r="D2425" s="465"/>
      <c r="E2425" s="466" t="s">
        <v>4438</v>
      </c>
      <c r="F2425" s="466" t="s">
        <v>1224</v>
      </c>
      <c r="G2425" s="465"/>
      <c r="H2425" s="465">
        <v>1</v>
      </c>
    </row>
    <row r="2426" spans="1:8" ht="13.8" thickBot="1">
      <c r="A2426" s="465" t="s">
        <v>1061</v>
      </c>
      <c r="B2426" s="465" t="s">
        <v>1682</v>
      </c>
      <c r="C2426" s="466">
        <v>5.25</v>
      </c>
      <c r="D2426" s="465"/>
      <c r="E2426" s="466" t="s">
        <v>4644</v>
      </c>
      <c r="F2426" s="466" t="s">
        <v>1251</v>
      </c>
      <c r="G2426" s="465">
        <v>3</v>
      </c>
      <c r="H2426" s="465">
        <v>11</v>
      </c>
    </row>
    <row r="2427" spans="1:8" ht="13.8" thickBot="1">
      <c r="A2427" s="465" t="s">
        <v>7708</v>
      </c>
      <c r="B2427" s="465" t="s">
        <v>1686</v>
      </c>
      <c r="C2427" s="466">
        <v>5.25</v>
      </c>
      <c r="D2427" s="467" t="s">
        <v>614</v>
      </c>
      <c r="E2427" s="466" t="s">
        <v>4644</v>
      </c>
      <c r="F2427" s="466" t="s">
        <v>1226</v>
      </c>
      <c r="G2427" s="465">
        <v>1</v>
      </c>
      <c r="H2427" s="465">
        <v>6</v>
      </c>
    </row>
    <row r="2428" spans="1:8" ht="13.8" thickBot="1">
      <c r="A2428" s="465" t="s">
        <v>7720</v>
      </c>
      <c r="B2428" s="465" t="s">
        <v>3485</v>
      </c>
      <c r="C2428" s="466">
        <v>5.4</v>
      </c>
      <c r="D2428" s="467" t="s">
        <v>614</v>
      </c>
      <c r="E2428" s="466" t="s">
        <v>3452</v>
      </c>
      <c r="F2428" s="466" t="s">
        <v>1226</v>
      </c>
      <c r="G2428" s="465">
        <v>1</v>
      </c>
      <c r="H2428" s="465">
        <v>10</v>
      </c>
    </row>
    <row r="2429" spans="1:8" ht="13.8" thickBot="1">
      <c r="A2429" s="465" t="s">
        <v>7721</v>
      </c>
      <c r="B2429" s="465" t="s">
        <v>1847</v>
      </c>
      <c r="C2429" s="466">
        <v>5.5</v>
      </c>
      <c r="D2429" s="465"/>
      <c r="E2429" s="466" t="s">
        <v>1793</v>
      </c>
      <c r="F2429" s="466" t="s">
        <v>1841</v>
      </c>
      <c r="G2429" s="465">
        <v>1</v>
      </c>
      <c r="H2429" s="465">
        <v>16</v>
      </c>
    </row>
    <row r="2430" spans="1:8" ht="13.8" thickBot="1">
      <c r="A2430" s="465" t="s">
        <v>7722</v>
      </c>
      <c r="B2430" s="465" t="s">
        <v>1848</v>
      </c>
      <c r="C2430" s="466">
        <v>5.5</v>
      </c>
      <c r="D2430" s="467" t="s">
        <v>614</v>
      </c>
      <c r="E2430" s="466" t="s">
        <v>1793</v>
      </c>
      <c r="F2430" s="466" t="s">
        <v>1226</v>
      </c>
      <c r="G2430" s="465"/>
      <c r="H2430" s="465">
        <v>2</v>
      </c>
    </row>
    <row r="2431" spans="1:8" ht="13.8" thickBot="1">
      <c r="A2431" s="465" t="s">
        <v>7723</v>
      </c>
      <c r="B2431" s="465" t="s">
        <v>1817</v>
      </c>
      <c r="C2431" s="466">
        <v>5.5</v>
      </c>
      <c r="D2431" s="465"/>
      <c r="E2431" s="466" t="s">
        <v>1793</v>
      </c>
      <c r="F2431" s="466" t="s">
        <v>1226</v>
      </c>
      <c r="G2431" s="465"/>
      <c r="H2431" s="465">
        <v>2</v>
      </c>
    </row>
    <row r="2432" spans="1:8" ht="13.8" thickBot="1">
      <c r="A2432" s="465" t="s">
        <v>7724</v>
      </c>
      <c r="B2432" s="465" t="s">
        <v>1849</v>
      </c>
      <c r="C2432" s="466">
        <v>5.5</v>
      </c>
      <c r="D2432" s="465"/>
      <c r="E2432" s="466" t="s">
        <v>1793</v>
      </c>
      <c r="F2432" s="466" t="s">
        <v>1226</v>
      </c>
      <c r="G2432" s="465"/>
      <c r="H2432" s="465">
        <v>3</v>
      </c>
    </row>
    <row r="2433" spans="1:8" ht="13.8" thickBot="1">
      <c r="A2433" s="465" t="s">
        <v>7725</v>
      </c>
      <c r="B2433" s="465" t="s">
        <v>1850</v>
      </c>
      <c r="C2433" s="466">
        <v>5.5</v>
      </c>
      <c r="D2433" s="467" t="s">
        <v>614</v>
      </c>
      <c r="E2433" s="466" t="s">
        <v>1793</v>
      </c>
      <c r="F2433" s="466" t="s">
        <v>1226</v>
      </c>
      <c r="G2433" s="465"/>
      <c r="H2433" s="465">
        <v>1</v>
      </c>
    </row>
    <row r="2434" spans="1:8" ht="13.8" thickBot="1">
      <c r="A2434" s="465" t="s">
        <v>7726</v>
      </c>
      <c r="B2434" s="465" t="s">
        <v>1851</v>
      </c>
      <c r="C2434" s="466">
        <v>5.5</v>
      </c>
      <c r="D2434" s="467" t="s">
        <v>614</v>
      </c>
      <c r="E2434" s="466" t="s">
        <v>1793</v>
      </c>
      <c r="F2434" s="466" t="s">
        <v>1226</v>
      </c>
      <c r="G2434" s="465"/>
      <c r="H2434" s="465">
        <v>2</v>
      </c>
    </row>
    <row r="2435" spans="1:8" ht="13.8" thickBot="1">
      <c r="A2435" s="467" t="s">
        <v>7727</v>
      </c>
      <c r="B2435" s="465" t="s">
        <v>1852</v>
      </c>
      <c r="C2435" s="466">
        <v>5.5</v>
      </c>
      <c r="D2435" s="467" t="s">
        <v>614</v>
      </c>
      <c r="E2435" s="466" t="s">
        <v>1793</v>
      </c>
      <c r="F2435" s="466" t="s">
        <v>1226</v>
      </c>
      <c r="G2435" s="465">
        <v>1</v>
      </c>
      <c r="H2435" s="465">
        <v>6</v>
      </c>
    </row>
    <row r="2436" spans="1:8" ht="13.8" thickBot="1">
      <c r="A2436" s="467" t="s">
        <v>7728</v>
      </c>
      <c r="B2436" s="465" t="s">
        <v>1792</v>
      </c>
      <c r="C2436" s="466">
        <v>5.5</v>
      </c>
      <c r="D2436" s="465"/>
      <c r="E2436" s="466" t="s">
        <v>1793</v>
      </c>
      <c r="F2436" s="466" t="s">
        <v>1224</v>
      </c>
      <c r="G2436" s="465"/>
      <c r="H2436" s="465">
        <v>4</v>
      </c>
    </row>
    <row r="2437" spans="1:8" ht="13.8" thickBot="1">
      <c r="A2437" s="467" t="s">
        <v>7729</v>
      </c>
      <c r="B2437" s="465" t="s">
        <v>1797</v>
      </c>
      <c r="C2437" s="466">
        <v>5.5</v>
      </c>
      <c r="D2437" s="465"/>
      <c r="E2437" s="466" t="s">
        <v>1793</v>
      </c>
      <c r="F2437" s="466" t="s">
        <v>1224</v>
      </c>
      <c r="G2437" s="465"/>
      <c r="H2437" s="465">
        <v>5</v>
      </c>
    </row>
    <row r="2438" spans="1:8" ht="13.8" thickBot="1">
      <c r="A2438" s="467" t="s">
        <v>7730</v>
      </c>
      <c r="B2438" s="465" t="s">
        <v>1853</v>
      </c>
      <c r="C2438" s="466">
        <v>5.5</v>
      </c>
      <c r="D2438" s="467" t="s">
        <v>1854</v>
      </c>
      <c r="E2438" s="466" t="s">
        <v>1793</v>
      </c>
      <c r="F2438" s="466" t="s">
        <v>1224</v>
      </c>
      <c r="G2438" s="465">
        <v>1</v>
      </c>
      <c r="H2438" s="465">
        <v>8</v>
      </c>
    </row>
    <row r="2439" spans="1:8" ht="13.8" thickBot="1">
      <c r="A2439" s="467" t="s">
        <v>7731</v>
      </c>
      <c r="B2439" s="465" t="s">
        <v>1855</v>
      </c>
      <c r="C2439" s="466">
        <v>5.5</v>
      </c>
      <c r="D2439" s="465"/>
      <c r="E2439" s="466" t="s">
        <v>1793</v>
      </c>
      <c r="F2439" s="466" t="s">
        <v>1224</v>
      </c>
      <c r="G2439" s="465"/>
      <c r="H2439" s="465">
        <v>5</v>
      </c>
    </row>
    <row r="2440" spans="1:8" ht="13.8" thickBot="1">
      <c r="A2440" s="467" t="s">
        <v>7732</v>
      </c>
      <c r="B2440" s="465" t="s">
        <v>1856</v>
      </c>
      <c r="C2440" s="466">
        <v>5.5</v>
      </c>
      <c r="D2440" s="465"/>
      <c r="E2440" s="466" t="s">
        <v>1793</v>
      </c>
      <c r="F2440" s="466" t="s">
        <v>1224</v>
      </c>
      <c r="G2440" s="465"/>
      <c r="H2440" s="465">
        <v>2</v>
      </c>
    </row>
    <row r="2441" spans="1:8" ht="13.8" thickBot="1">
      <c r="A2441" s="467" t="s">
        <v>7733</v>
      </c>
      <c r="B2441" s="465" t="s">
        <v>1857</v>
      </c>
      <c r="C2441" s="466">
        <v>5.5</v>
      </c>
      <c r="D2441" s="465"/>
      <c r="E2441" s="466" t="s">
        <v>1793</v>
      </c>
      <c r="F2441" s="466" t="s">
        <v>1224</v>
      </c>
      <c r="G2441" s="465"/>
      <c r="H2441" s="465">
        <v>1</v>
      </c>
    </row>
    <row r="2442" spans="1:8" ht="13.8" thickBot="1">
      <c r="A2442" s="465" t="s">
        <v>7734</v>
      </c>
      <c r="B2442" s="465" t="s">
        <v>1858</v>
      </c>
      <c r="C2442" s="466">
        <v>5.5</v>
      </c>
      <c r="D2442" s="465"/>
      <c r="E2442" s="466" t="s">
        <v>1793</v>
      </c>
      <c r="F2442" s="466"/>
      <c r="G2442" s="465"/>
      <c r="H2442" s="465">
        <v>1</v>
      </c>
    </row>
    <row r="2443" spans="1:8" ht="13.8" thickBot="1">
      <c r="A2443" s="465" t="s">
        <v>7735</v>
      </c>
      <c r="B2443" s="465" t="s">
        <v>1859</v>
      </c>
      <c r="C2443" s="466">
        <v>5.5</v>
      </c>
      <c r="D2443" s="467" t="s">
        <v>614</v>
      </c>
      <c r="E2443" s="466" t="s">
        <v>1793</v>
      </c>
      <c r="F2443" s="466"/>
      <c r="G2443" s="465"/>
      <c r="H2443" s="465">
        <v>1</v>
      </c>
    </row>
    <row r="2444" spans="1:8" ht="13.8" thickBot="1">
      <c r="A2444" s="467" t="s">
        <v>7736</v>
      </c>
      <c r="B2444" s="465" t="s">
        <v>1860</v>
      </c>
      <c r="C2444" s="466">
        <v>5.5</v>
      </c>
      <c r="D2444" s="465"/>
      <c r="E2444" s="466" t="s">
        <v>1793</v>
      </c>
      <c r="F2444" s="466"/>
      <c r="G2444" s="465"/>
      <c r="H2444" s="465">
        <v>1</v>
      </c>
    </row>
    <row r="2445" spans="1:8" ht="13.8" thickBot="1">
      <c r="A2445" s="467" t="s">
        <v>7769</v>
      </c>
      <c r="B2445" s="465" t="s">
        <v>2229</v>
      </c>
      <c r="C2445" s="466">
        <v>5.5</v>
      </c>
      <c r="D2445" s="465"/>
      <c r="E2445" s="466" t="s">
        <v>2216</v>
      </c>
      <c r="F2445" s="466" t="s">
        <v>1224</v>
      </c>
      <c r="G2445" s="465"/>
      <c r="H2445" s="465">
        <v>2</v>
      </c>
    </row>
    <row r="2446" spans="1:8" ht="13.8" thickBot="1">
      <c r="A2446" s="465" t="s">
        <v>7770</v>
      </c>
      <c r="B2446" s="465" t="s">
        <v>2230</v>
      </c>
      <c r="C2446" s="466">
        <v>5.5</v>
      </c>
      <c r="D2446" s="465"/>
      <c r="E2446" s="466" t="s">
        <v>2216</v>
      </c>
      <c r="F2446" s="466" t="s">
        <v>1220</v>
      </c>
      <c r="G2446" s="465"/>
      <c r="H2446" s="465">
        <v>11</v>
      </c>
    </row>
    <row r="2447" spans="1:8" ht="13.8" thickBot="1">
      <c r="A2447" s="465" t="s">
        <v>7771</v>
      </c>
      <c r="B2447" s="465" t="s">
        <v>2226</v>
      </c>
      <c r="C2447" s="466">
        <v>5.5</v>
      </c>
      <c r="D2447" s="465"/>
      <c r="E2447" s="466" t="s">
        <v>2216</v>
      </c>
      <c r="F2447" s="466"/>
      <c r="G2447" s="465"/>
      <c r="H2447" s="465">
        <v>1</v>
      </c>
    </row>
    <row r="2448" spans="1:8" ht="13.8" thickBot="1">
      <c r="A2448" s="467" t="s">
        <v>8070</v>
      </c>
      <c r="B2448" s="465" t="s">
        <v>1759</v>
      </c>
      <c r="C2448" s="466">
        <v>5.5</v>
      </c>
      <c r="D2448" s="465"/>
      <c r="E2448" s="466" t="s">
        <v>4789</v>
      </c>
      <c r="F2448" s="466" t="s">
        <v>1226</v>
      </c>
      <c r="G2448" s="465">
        <v>1</v>
      </c>
      <c r="H2448" s="465">
        <v>5</v>
      </c>
    </row>
    <row r="2449" spans="1:8" ht="13.8" thickBot="1">
      <c r="A2449" s="467" t="s">
        <v>8071</v>
      </c>
      <c r="B2449" s="465" t="s">
        <v>4808</v>
      </c>
      <c r="C2449" s="466">
        <v>5.5</v>
      </c>
      <c r="D2449" s="465"/>
      <c r="E2449" s="466" t="s">
        <v>4789</v>
      </c>
      <c r="F2449" s="466" t="s">
        <v>1224</v>
      </c>
      <c r="G2449" s="465"/>
      <c r="H2449" s="465">
        <v>2</v>
      </c>
    </row>
    <row r="2450" spans="1:8" ht="13.8" thickBot="1">
      <c r="A2450" s="465" t="s">
        <v>8072</v>
      </c>
      <c r="B2450" s="465" t="s">
        <v>1759</v>
      </c>
      <c r="C2450" s="466">
        <v>5.5</v>
      </c>
      <c r="D2450" s="467" t="s">
        <v>614</v>
      </c>
      <c r="E2450" s="466" t="s">
        <v>4789</v>
      </c>
      <c r="F2450" s="466"/>
      <c r="G2450" s="465"/>
      <c r="H2450" s="465">
        <v>3</v>
      </c>
    </row>
    <row r="2451" spans="1:8" ht="13.8" thickBot="1">
      <c r="A2451" s="465" t="s">
        <v>8073</v>
      </c>
      <c r="B2451" s="465" t="s">
        <v>4809</v>
      </c>
      <c r="C2451" s="466">
        <v>5.5</v>
      </c>
      <c r="D2451" s="465"/>
      <c r="E2451" s="466" t="s">
        <v>4789</v>
      </c>
      <c r="F2451" s="466"/>
      <c r="G2451" s="465"/>
      <c r="H2451" s="465">
        <v>2</v>
      </c>
    </row>
    <row r="2452" spans="1:8" ht="13.8" thickBot="1">
      <c r="A2452" s="467" t="s">
        <v>8074</v>
      </c>
      <c r="B2452" s="465" t="s">
        <v>4833</v>
      </c>
      <c r="C2452" s="466">
        <v>5.5</v>
      </c>
      <c r="D2452" s="465"/>
      <c r="E2452" s="466" t="s">
        <v>4822</v>
      </c>
      <c r="F2452" s="466" t="s">
        <v>1224</v>
      </c>
      <c r="G2452" s="465"/>
      <c r="H2452" s="465">
        <v>1</v>
      </c>
    </row>
    <row r="2453" spans="1:8" ht="13.8" thickBot="1">
      <c r="A2453" s="465" t="s">
        <v>8075</v>
      </c>
      <c r="B2453" s="465" t="s">
        <v>1757</v>
      </c>
      <c r="C2453" s="466">
        <v>5.5</v>
      </c>
      <c r="D2453" s="467" t="s">
        <v>2688</v>
      </c>
      <c r="E2453" s="466" t="s">
        <v>4822</v>
      </c>
      <c r="F2453" s="466" t="s">
        <v>1220</v>
      </c>
      <c r="G2453" s="465"/>
      <c r="H2453" s="465">
        <v>2</v>
      </c>
    </row>
    <row r="2454" spans="1:8" ht="13.8" thickBot="1">
      <c r="A2454" s="465" t="s">
        <v>8076</v>
      </c>
      <c r="B2454" s="465" t="s">
        <v>1755</v>
      </c>
      <c r="C2454" s="466">
        <v>5.5</v>
      </c>
      <c r="D2454" s="465"/>
      <c r="E2454" s="466" t="s">
        <v>4822</v>
      </c>
      <c r="F2454" s="466"/>
      <c r="G2454" s="465"/>
      <c r="H2454" s="465">
        <v>1</v>
      </c>
    </row>
    <row r="2455" spans="1:8" ht="13.8" thickBot="1">
      <c r="A2455" s="465" t="s">
        <v>8077</v>
      </c>
      <c r="B2455" s="465" t="s">
        <v>4834</v>
      </c>
      <c r="C2455" s="466">
        <v>5.5</v>
      </c>
      <c r="D2455" s="467" t="s">
        <v>614</v>
      </c>
      <c r="E2455" s="466" t="s">
        <v>4822</v>
      </c>
      <c r="F2455" s="466"/>
      <c r="G2455" s="465"/>
      <c r="H2455" s="465">
        <v>5</v>
      </c>
    </row>
    <row r="2456" spans="1:8" ht="13.8" thickBot="1">
      <c r="A2456" s="465" t="s">
        <v>8078</v>
      </c>
      <c r="B2456" s="465" t="s">
        <v>4867</v>
      </c>
      <c r="C2456" s="466">
        <v>5.5</v>
      </c>
      <c r="D2456" s="465"/>
      <c r="E2456" s="466" t="s">
        <v>4865</v>
      </c>
      <c r="F2456" s="466"/>
      <c r="G2456" s="465"/>
      <c r="H2456" s="465">
        <v>3</v>
      </c>
    </row>
    <row r="2457" spans="1:8" ht="13.8" thickBot="1">
      <c r="A2457" s="465" t="s">
        <v>8079</v>
      </c>
      <c r="B2457" s="465" t="s">
        <v>4866</v>
      </c>
      <c r="C2457" s="466">
        <v>5.5</v>
      </c>
      <c r="D2457" s="465"/>
      <c r="E2457" s="466" t="s">
        <v>4865</v>
      </c>
      <c r="F2457" s="466"/>
      <c r="G2457" s="465"/>
      <c r="H2457" s="465">
        <v>2</v>
      </c>
    </row>
    <row r="2458" spans="1:8" ht="13.8" thickBot="1">
      <c r="A2458" s="467" t="s">
        <v>8080</v>
      </c>
      <c r="B2458" s="465" t="s">
        <v>4911</v>
      </c>
      <c r="C2458" s="466">
        <v>5.5</v>
      </c>
      <c r="D2458" s="465"/>
      <c r="E2458" s="466" t="s">
        <v>4905</v>
      </c>
      <c r="F2458" s="466" t="s">
        <v>1226</v>
      </c>
      <c r="G2458" s="465"/>
      <c r="H2458" s="465">
        <v>1</v>
      </c>
    </row>
    <row r="2459" spans="1:8" ht="13.8" thickBot="1">
      <c r="A2459" s="465" t="s">
        <v>8081</v>
      </c>
      <c r="B2459" s="465" t="s">
        <v>4911</v>
      </c>
      <c r="C2459" s="466">
        <v>5.5</v>
      </c>
      <c r="D2459" s="465"/>
      <c r="E2459" s="466" t="s">
        <v>4905</v>
      </c>
      <c r="F2459" s="466" t="s">
        <v>1226</v>
      </c>
      <c r="G2459" s="465"/>
      <c r="H2459" s="465">
        <v>1</v>
      </c>
    </row>
    <row r="2460" spans="1:8" ht="13.8" thickBot="1">
      <c r="A2460" s="467" t="s">
        <v>8082</v>
      </c>
      <c r="B2460" s="465" t="s">
        <v>4911</v>
      </c>
      <c r="C2460" s="466">
        <v>5.5</v>
      </c>
      <c r="D2460" s="465"/>
      <c r="E2460" s="466" t="s">
        <v>4905</v>
      </c>
      <c r="F2460" s="466" t="s">
        <v>1226</v>
      </c>
      <c r="G2460" s="465"/>
      <c r="H2460" s="465">
        <v>4</v>
      </c>
    </row>
    <row r="2461" spans="1:8" ht="13.8" thickBot="1">
      <c r="A2461" s="467" t="s">
        <v>8083</v>
      </c>
      <c r="B2461" s="465" t="s">
        <v>4911</v>
      </c>
      <c r="C2461" s="466">
        <v>5.5</v>
      </c>
      <c r="D2461" s="465"/>
      <c r="E2461" s="466" t="s">
        <v>4905</v>
      </c>
      <c r="F2461" s="466" t="s">
        <v>1226</v>
      </c>
      <c r="G2461" s="465"/>
      <c r="H2461" s="465">
        <v>3</v>
      </c>
    </row>
    <row r="2462" spans="1:8" ht="13.8" thickBot="1">
      <c r="A2462" s="465" t="s">
        <v>8084</v>
      </c>
      <c r="B2462" s="465" t="s">
        <v>4913</v>
      </c>
      <c r="C2462" s="466">
        <v>5.5</v>
      </c>
      <c r="D2462" s="465"/>
      <c r="E2462" s="466" t="s">
        <v>4905</v>
      </c>
      <c r="F2462" s="466" t="s">
        <v>1226</v>
      </c>
      <c r="G2462" s="465"/>
      <c r="H2462" s="465">
        <v>2</v>
      </c>
    </row>
    <row r="2463" spans="1:8" ht="13.8" thickBot="1">
      <c r="A2463" s="467" t="s">
        <v>8085</v>
      </c>
      <c r="B2463" s="465" t="s">
        <v>4914</v>
      </c>
      <c r="C2463" s="466">
        <v>5.5</v>
      </c>
      <c r="D2463" s="465"/>
      <c r="E2463" s="466" t="s">
        <v>4905</v>
      </c>
      <c r="F2463" s="466" t="s">
        <v>1226</v>
      </c>
      <c r="G2463" s="465">
        <v>1</v>
      </c>
      <c r="H2463" s="465">
        <v>2</v>
      </c>
    </row>
    <row r="2464" spans="1:8" ht="13.8" thickBot="1">
      <c r="A2464" s="467" t="s">
        <v>8086</v>
      </c>
      <c r="B2464" s="465" t="s">
        <v>4911</v>
      </c>
      <c r="C2464" s="466">
        <v>5.5</v>
      </c>
      <c r="D2464" s="465"/>
      <c r="E2464" s="466" t="s">
        <v>4905</v>
      </c>
      <c r="F2464" s="466"/>
      <c r="G2464" s="465"/>
      <c r="H2464" s="465">
        <v>1</v>
      </c>
    </row>
    <row r="2465" spans="1:8" ht="13.8" thickBot="1">
      <c r="A2465" s="465" t="s">
        <v>8087</v>
      </c>
      <c r="B2465" s="465" t="s">
        <v>4956</v>
      </c>
      <c r="C2465" s="466">
        <v>5.5</v>
      </c>
      <c r="D2465" s="467" t="s">
        <v>4957</v>
      </c>
      <c r="E2465" s="466" t="s">
        <v>4943</v>
      </c>
      <c r="F2465" s="466" t="s">
        <v>1224</v>
      </c>
      <c r="G2465" s="465"/>
      <c r="H2465" s="465">
        <v>16</v>
      </c>
    </row>
    <row r="2466" spans="1:8" ht="13.8" thickBot="1">
      <c r="A2466" s="465" t="s">
        <v>8088</v>
      </c>
      <c r="B2466" s="465" t="s">
        <v>4942</v>
      </c>
      <c r="C2466" s="466">
        <v>5.5</v>
      </c>
      <c r="D2466" s="465"/>
      <c r="E2466" s="466" t="s">
        <v>4943</v>
      </c>
      <c r="F2466" s="466"/>
      <c r="G2466" s="465"/>
      <c r="H2466" s="465">
        <v>9</v>
      </c>
    </row>
    <row r="2467" spans="1:8" ht="13.8" thickBot="1">
      <c r="A2467" s="467" t="s">
        <v>8089</v>
      </c>
      <c r="B2467" s="465" t="s">
        <v>4966</v>
      </c>
      <c r="C2467" s="466">
        <v>5.5</v>
      </c>
      <c r="D2467" s="467" t="s">
        <v>614</v>
      </c>
      <c r="E2467" s="466" t="s">
        <v>4963</v>
      </c>
      <c r="F2467" s="466"/>
      <c r="G2467" s="465"/>
      <c r="H2467" s="465"/>
    </row>
    <row r="2468" spans="1:8" ht="13.8" thickBot="1">
      <c r="A2468" s="467" t="s">
        <v>8090</v>
      </c>
      <c r="B2468" s="465" t="s">
        <v>4976</v>
      </c>
      <c r="C2468" s="466">
        <v>5.5</v>
      </c>
      <c r="D2468" s="465"/>
      <c r="E2468" s="466" t="s">
        <v>4970</v>
      </c>
      <c r="F2468" s="466" t="s">
        <v>1865</v>
      </c>
      <c r="G2468" s="465">
        <v>2</v>
      </c>
      <c r="H2468" s="465">
        <v>10</v>
      </c>
    </row>
    <row r="2469" spans="1:8" ht="13.8" thickBot="1">
      <c r="A2469" s="465" t="s">
        <v>8091</v>
      </c>
      <c r="B2469" s="465" t="s">
        <v>4986</v>
      </c>
      <c r="C2469" s="466">
        <v>5.5</v>
      </c>
      <c r="D2469" s="465"/>
      <c r="E2469" s="466" t="s">
        <v>4970</v>
      </c>
      <c r="F2469" s="466" t="s">
        <v>1226</v>
      </c>
      <c r="G2469" s="465"/>
      <c r="H2469" s="465">
        <v>1</v>
      </c>
    </row>
    <row r="2470" spans="1:8" ht="13.8" thickBot="1">
      <c r="A2470" s="465" t="s">
        <v>8092</v>
      </c>
      <c r="B2470" s="465" t="s">
        <v>4987</v>
      </c>
      <c r="C2470" s="466">
        <v>5.5</v>
      </c>
      <c r="D2470" s="465"/>
      <c r="E2470" s="466" t="s">
        <v>4970</v>
      </c>
      <c r="F2470" s="466" t="s">
        <v>1226</v>
      </c>
      <c r="G2470" s="465"/>
      <c r="H2470" s="465">
        <v>1</v>
      </c>
    </row>
    <row r="2471" spans="1:8" ht="13.8" thickBot="1">
      <c r="A2471" s="465" t="s">
        <v>8093</v>
      </c>
      <c r="B2471" s="465" t="s">
        <v>1593</v>
      </c>
      <c r="C2471" s="466">
        <v>5.5</v>
      </c>
      <c r="D2471" s="465"/>
      <c r="E2471" s="466" t="s">
        <v>4970</v>
      </c>
      <c r="F2471" s="466" t="s">
        <v>1224</v>
      </c>
      <c r="G2471" s="465"/>
      <c r="H2471" s="465">
        <v>3</v>
      </c>
    </row>
    <row r="2472" spans="1:8" ht="13.8" thickBot="1">
      <c r="A2472" s="467" t="s">
        <v>8094</v>
      </c>
      <c r="B2472" s="465" t="s">
        <v>1606</v>
      </c>
      <c r="C2472" s="466">
        <v>5.5</v>
      </c>
      <c r="D2472" s="465"/>
      <c r="E2472" s="466" t="s">
        <v>4970</v>
      </c>
      <c r="F2472" s="466" t="s">
        <v>1224</v>
      </c>
      <c r="G2472" s="465">
        <v>1</v>
      </c>
      <c r="H2472" s="465">
        <v>6</v>
      </c>
    </row>
    <row r="2473" spans="1:8" ht="13.8" thickBot="1">
      <c r="A2473" s="467" t="s">
        <v>8095</v>
      </c>
      <c r="B2473" s="465" t="s">
        <v>1593</v>
      </c>
      <c r="C2473" s="466">
        <v>5.5</v>
      </c>
      <c r="D2473" s="465"/>
      <c r="E2473" s="466" t="s">
        <v>4970</v>
      </c>
      <c r="F2473" s="466"/>
      <c r="G2473" s="465"/>
      <c r="H2473" s="465">
        <v>1</v>
      </c>
    </row>
    <row r="2474" spans="1:8" ht="13.8" thickBot="1">
      <c r="A2474" s="467" t="s">
        <v>8096</v>
      </c>
      <c r="B2474" s="465" t="s">
        <v>1593</v>
      </c>
      <c r="C2474" s="466">
        <v>5.5</v>
      </c>
      <c r="D2474" s="467" t="s">
        <v>614</v>
      </c>
      <c r="E2474" s="466" t="s">
        <v>4970</v>
      </c>
      <c r="F2474" s="466"/>
      <c r="G2474" s="465"/>
      <c r="H2474" s="465">
        <v>2</v>
      </c>
    </row>
    <row r="2475" spans="1:8" ht="13.8" thickBot="1">
      <c r="A2475" s="467" t="s">
        <v>8097</v>
      </c>
      <c r="B2475" s="465" t="s">
        <v>5014</v>
      </c>
      <c r="C2475" s="466">
        <v>5.5</v>
      </c>
      <c r="D2475" s="465"/>
      <c r="E2475" s="466" t="s">
        <v>5010</v>
      </c>
      <c r="F2475" s="466" t="s">
        <v>1251</v>
      </c>
      <c r="G2475" s="465">
        <v>1</v>
      </c>
      <c r="H2475" s="465">
        <v>8</v>
      </c>
    </row>
    <row r="2476" spans="1:8" ht="13.8" thickBot="1">
      <c r="A2476" s="465" t="s">
        <v>8098</v>
      </c>
      <c r="B2476" s="465" t="s">
        <v>5015</v>
      </c>
      <c r="C2476" s="466">
        <v>5.5</v>
      </c>
      <c r="D2476" s="465"/>
      <c r="E2476" s="466" t="s">
        <v>5010</v>
      </c>
      <c r="F2476" s="466" t="s">
        <v>1841</v>
      </c>
      <c r="G2476" s="465"/>
      <c r="H2476" s="465">
        <v>9</v>
      </c>
    </row>
    <row r="2477" spans="1:8" ht="13.8" thickBot="1">
      <c r="A2477" s="465" t="s">
        <v>8099</v>
      </c>
      <c r="B2477" s="465" t="s">
        <v>5016</v>
      </c>
      <c r="C2477" s="466">
        <v>5.5</v>
      </c>
      <c r="D2477" s="465"/>
      <c r="E2477" s="466" t="s">
        <v>5010</v>
      </c>
      <c r="F2477" s="466" t="s">
        <v>1226</v>
      </c>
      <c r="G2477" s="465"/>
      <c r="H2477" s="465">
        <v>3</v>
      </c>
    </row>
    <row r="2478" spans="1:8" ht="13.8" thickBot="1">
      <c r="A2478" s="465" t="s">
        <v>8100</v>
      </c>
      <c r="B2478" s="465" t="s">
        <v>5017</v>
      </c>
      <c r="C2478" s="466">
        <v>5.5</v>
      </c>
      <c r="D2478" s="467" t="s">
        <v>614</v>
      </c>
      <c r="E2478" s="466" t="s">
        <v>5010</v>
      </c>
      <c r="F2478" s="466" t="s">
        <v>1226</v>
      </c>
      <c r="G2478" s="465"/>
      <c r="H2478" s="465">
        <v>1</v>
      </c>
    </row>
    <row r="2479" spans="1:8" ht="13.8" thickBot="1">
      <c r="A2479" s="467" t="s">
        <v>8101</v>
      </c>
      <c r="B2479" s="465" t="s">
        <v>5018</v>
      </c>
      <c r="C2479" s="466">
        <v>5.5</v>
      </c>
      <c r="D2479" s="467" t="s">
        <v>614</v>
      </c>
      <c r="E2479" s="466" t="s">
        <v>5010</v>
      </c>
      <c r="F2479" s="466" t="s">
        <v>1226</v>
      </c>
      <c r="G2479" s="465">
        <v>2</v>
      </c>
      <c r="H2479" s="465">
        <v>15</v>
      </c>
    </row>
    <row r="2480" spans="1:8" ht="13.8" thickBot="1">
      <c r="A2480" s="465" t="s">
        <v>8102</v>
      </c>
      <c r="B2480" s="465" t="s">
        <v>1771</v>
      </c>
      <c r="C2480" s="466">
        <v>5.5</v>
      </c>
      <c r="D2480" s="465"/>
      <c r="E2480" s="466" t="s">
        <v>5010</v>
      </c>
      <c r="F2480" s="466" t="s">
        <v>1224</v>
      </c>
      <c r="G2480" s="465">
        <v>1</v>
      </c>
      <c r="H2480" s="465">
        <v>7</v>
      </c>
    </row>
    <row r="2481" spans="1:8" ht="13.8" thickBot="1">
      <c r="A2481" s="465" t="s">
        <v>8103</v>
      </c>
      <c r="B2481" s="465" t="s">
        <v>5016</v>
      </c>
      <c r="C2481" s="466">
        <v>5.5</v>
      </c>
      <c r="D2481" s="465"/>
      <c r="E2481" s="466" t="s">
        <v>5010</v>
      </c>
      <c r="F2481" s="466" t="s">
        <v>1220</v>
      </c>
      <c r="G2481" s="465"/>
      <c r="H2481" s="465">
        <v>4</v>
      </c>
    </row>
    <row r="2482" spans="1:8" ht="13.8" thickBot="1">
      <c r="A2482" s="465" t="s">
        <v>8104</v>
      </c>
      <c r="B2482" s="465" t="s">
        <v>5019</v>
      </c>
      <c r="C2482" s="466">
        <v>5.5</v>
      </c>
      <c r="D2482" s="467" t="s">
        <v>614</v>
      </c>
      <c r="E2482" s="466" t="s">
        <v>5010</v>
      </c>
      <c r="F2482" s="466"/>
      <c r="G2482" s="465"/>
      <c r="H2482" s="465">
        <v>3</v>
      </c>
    </row>
    <row r="2483" spans="1:8" ht="13.8" thickBot="1">
      <c r="A2483" s="465" t="s">
        <v>8105</v>
      </c>
      <c r="B2483" s="465" t="s">
        <v>5037</v>
      </c>
      <c r="C2483" s="466">
        <v>5.5</v>
      </c>
      <c r="D2483" s="467" t="s">
        <v>614</v>
      </c>
      <c r="E2483" s="466" t="s">
        <v>5031</v>
      </c>
      <c r="F2483" s="466" t="s">
        <v>1226</v>
      </c>
      <c r="G2483" s="465"/>
      <c r="H2483" s="465">
        <v>4</v>
      </c>
    </row>
    <row r="2484" spans="1:8" ht="13.8" thickBot="1">
      <c r="A2484" s="467" t="s">
        <v>8106</v>
      </c>
      <c r="B2484" s="465" t="s">
        <v>5065</v>
      </c>
      <c r="C2484" s="466">
        <v>5.5</v>
      </c>
      <c r="D2484" s="465"/>
      <c r="E2484" s="466" t="s">
        <v>5059</v>
      </c>
      <c r="F2484" s="466" t="s">
        <v>1841</v>
      </c>
      <c r="G2484" s="465">
        <v>2</v>
      </c>
      <c r="H2484" s="465">
        <v>24</v>
      </c>
    </row>
    <row r="2485" spans="1:8" ht="13.8" thickBot="1">
      <c r="A2485" s="465" t="s">
        <v>8107</v>
      </c>
      <c r="B2485" s="465" t="s">
        <v>5066</v>
      </c>
      <c r="C2485" s="466">
        <v>5.5</v>
      </c>
      <c r="D2485" s="467" t="s">
        <v>614</v>
      </c>
      <c r="E2485" s="466" t="s">
        <v>5059</v>
      </c>
      <c r="F2485" s="466" t="s">
        <v>1226</v>
      </c>
      <c r="G2485" s="465"/>
      <c r="H2485" s="465">
        <v>2</v>
      </c>
    </row>
    <row r="2486" spans="1:8" ht="13.8" thickBot="1">
      <c r="A2486" s="465" t="s">
        <v>8108</v>
      </c>
      <c r="B2486" s="465" t="s">
        <v>5067</v>
      </c>
      <c r="C2486" s="466">
        <v>5.5</v>
      </c>
      <c r="D2486" s="467" t="s">
        <v>614</v>
      </c>
      <c r="E2486" s="466" t="s">
        <v>5059</v>
      </c>
      <c r="F2486" s="466" t="s">
        <v>1226</v>
      </c>
      <c r="G2486" s="465"/>
      <c r="H2486" s="465">
        <v>7</v>
      </c>
    </row>
    <row r="2487" spans="1:8" ht="13.8" thickBot="1">
      <c r="A2487" s="467" t="s">
        <v>8109</v>
      </c>
      <c r="B2487" s="465" t="s">
        <v>5068</v>
      </c>
      <c r="C2487" s="466">
        <v>5.5</v>
      </c>
      <c r="D2487" s="467" t="s">
        <v>614</v>
      </c>
      <c r="E2487" s="466" t="s">
        <v>5059</v>
      </c>
      <c r="F2487" s="466"/>
      <c r="G2487" s="465"/>
      <c r="H2487" s="465">
        <v>1</v>
      </c>
    </row>
    <row r="2488" spans="1:8" ht="13.8" thickBot="1">
      <c r="A2488" s="465" t="s">
        <v>8110</v>
      </c>
      <c r="B2488" s="465" t="s">
        <v>5084</v>
      </c>
      <c r="C2488" s="466">
        <v>5.5</v>
      </c>
      <c r="D2488" s="465"/>
      <c r="E2488" s="466" t="s">
        <v>5079</v>
      </c>
      <c r="F2488" s="466" t="s">
        <v>1224</v>
      </c>
      <c r="G2488" s="465"/>
      <c r="H2488" s="465">
        <v>2</v>
      </c>
    </row>
    <row r="2489" spans="1:8" ht="13.8" thickBot="1">
      <c r="A2489" s="467" t="s">
        <v>8111</v>
      </c>
      <c r="B2489" s="465" t="s">
        <v>5115</v>
      </c>
      <c r="C2489" s="466">
        <v>5.5</v>
      </c>
      <c r="D2489" s="467" t="s">
        <v>614</v>
      </c>
      <c r="E2489" s="466" t="s">
        <v>5109</v>
      </c>
      <c r="F2489" s="466" t="s">
        <v>1226</v>
      </c>
      <c r="G2489" s="465">
        <v>1</v>
      </c>
      <c r="H2489" s="465">
        <v>15</v>
      </c>
    </row>
    <row r="2490" spans="1:8" ht="13.8" thickBot="1">
      <c r="A2490" s="467" t="s">
        <v>8112</v>
      </c>
      <c r="B2490" s="465" t="s">
        <v>5116</v>
      </c>
      <c r="C2490" s="466">
        <v>5.5</v>
      </c>
      <c r="D2490" s="465"/>
      <c r="E2490" s="466" t="s">
        <v>5109</v>
      </c>
      <c r="F2490" s="466" t="s">
        <v>1220</v>
      </c>
      <c r="G2490" s="465"/>
      <c r="H2490" s="465">
        <v>1</v>
      </c>
    </row>
    <row r="2491" spans="1:8" ht="13.8" thickBot="1">
      <c r="A2491" s="465" t="s">
        <v>8113</v>
      </c>
      <c r="B2491" s="465" t="s">
        <v>5117</v>
      </c>
      <c r="C2491" s="466">
        <v>5.5</v>
      </c>
      <c r="D2491" s="465"/>
      <c r="E2491" s="466" t="s">
        <v>5109</v>
      </c>
      <c r="F2491" s="466"/>
      <c r="G2491" s="465"/>
      <c r="H2491" s="465"/>
    </row>
    <row r="2492" spans="1:8" ht="13.8" thickBot="1">
      <c r="A2492" s="467" t="s">
        <v>7772</v>
      </c>
      <c r="B2492" s="465" t="s">
        <v>1722</v>
      </c>
      <c r="C2492" s="466">
        <v>5.5</v>
      </c>
      <c r="D2492" s="467" t="s">
        <v>614</v>
      </c>
      <c r="E2492" s="466" t="s">
        <v>2273</v>
      </c>
      <c r="F2492" s="466" t="s">
        <v>1226</v>
      </c>
      <c r="G2492" s="465">
        <v>2</v>
      </c>
      <c r="H2492" s="465">
        <v>32</v>
      </c>
    </row>
    <row r="2493" spans="1:8" ht="13.8" thickBot="1">
      <c r="A2493" s="467" t="s">
        <v>7773</v>
      </c>
      <c r="B2493" s="465" t="s">
        <v>2281</v>
      </c>
      <c r="C2493" s="466">
        <v>5.5</v>
      </c>
      <c r="D2493" s="465"/>
      <c r="E2493" s="466" t="s">
        <v>2273</v>
      </c>
      <c r="F2493" s="466" t="s">
        <v>1224</v>
      </c>
      <c r="G2493" s="465"/>
      <c r="H2493" s="465">
        <v>5</v>
      </c>
    </row>
    <row r="2494" spans="1:8" ht="13.8" thickBot="1">
      <c r="A2494" s="465" t="s">
        <v>8114</v>
      </c>
      <c r="B2494" s="465" t="s">
        <v>5134</v>
      </c>
      <c r="C2494" s="466">
        <v>5.5</v>
      </c>
      <c r="D2494" s="467" t="s">
        <v>614</v>
      </c>
      <c r="E2494" s="466" t="s">
        <v>5125</v>
      </c>
      <c r="F2494" s="466" t="s">
        <v>2319</v>
      </c>
      <c r="G2494" s="465">
        <v>1</v>
      </c>
      <c r="H2494" s="465">
        <v>11</v>
      </c>
    </row>
    <row r="2495" spans="1:8" ht="13.8" thickBot="1">
      <c r="A2495" s="465" t="s">
        <v>8115</v>
      </c>
      <c r="B2495" s="465" t="s">
        <v>5135</v>
      </c>
      <c r="C2495" s="466">
        <v>5.5</v>
      </c>
      <c r="D2495" s="467" t="s">
        <v>5136</v>
      </c>
      <c r="E2495" s="466" t="s">
        <v>5125</v>
      </c>
      <c r="F2495" s="466" t="s">
        <v>1226</v>
      </c>
      <c r="G2495" s="465"/>
      <c r="H2495" s="465">
        <v>11</v>
      </c>
    </row>
    <row r="2496" spans="1:8" ht="13.8" thickBot="1">
      <c r="A2496" s="465" t="s">
        <v>8116</v>
      </c>
      <c r="B2496" s="465" t="s">
        <v>5137</v>
      </c>
      <c r="C2496" s="466">
        <v>5.5</v>
      </c>
      <c r="D2496" s="465"/>
      <c r="E2496" s="466" t="s">
        <v>5125</v>
      </c>
      <c r="F2496" s="466"/>
      <c r="G2496" s="465"/>
      <c r="H2496" s="465">
        <v>2</v>
      </c>
    </row>
    <row r="2497" spans="1:8" ht="13.8" thickBot="1">
      <c r="A2497" s="467" t="s">
        <v>8117</v>
      </c>
      <c r="B2497" s="465" t="s">
        <v>5148</v>
      </c>
      <c r="C2497" s="466">
        <v>5.5</v>
      </c>
      <c r="D2497" s="465"/>
      <c r="E2497" s="466" t="s">
        <v>5139</v>
      </c>
      <c r="F2497" s="466" t="s">
        <v>1841</v>
      </c>
      <c r="G2497" s="465"/>
      <c r="H2497" s="465">
        <v>8</v>
      </c>
    </row>
    <row r="2498" spans="1:8" ht="13.8" thickBot="1">
      <c r="A2498" s="465" t="s">
        <v>8118</v>
      </c>
      <c r="B2498" s="465" t="s">
        <v>1700</v>
      </c>
      <c r="C2498" s="466">
        <v>5.5</v>
      </c>
      <c r="D2498" s="465"/>
      <c r="E2498" s="466" t="s">
        <v>5139</v>
      </c>
      <c r="F2498" s="466" t="s">
        <v>1226</v>
      </c>
      <c r="G2498" s="465"/>
      <c r="H2498" s="465">
        <v>7</v>
      </c>
    </row>
    <row r="2499" spans="1:8" ht="13.8" thickBot="1">
      <c r="A2499" s="465" t="s">
        <v>8119</v>
      </c>
      <c r="B2499" s="465" t="s">
        <v>1697</v>
      </c>
      <c r="C2499" s="466">
        <v>5.5</v>
      </c>
      <c r="D2499" s="465"/>
      <c r="E2499" s="466" t="s">
        <v>5139</v>
      </c>
      <c r="F2499" s="466" t="s">
        <v>1226</v>
      </c>
      <c r="G2499" s="465"/>
      <c r="H2499" s="465">
        <v>11</v>
      </c>
    </row>
    <row r="2500" spans="1:8" ht="13.8" thickBot="1">
      <c r="A2500" s="465" t="s">
        <v>8120</v>
      </c>
      <c r="B2500" s="465" t="s">
        <v>5149</v>
      </c>
      <c r="C2500" s="466">
        <v>5.5</v>
      </c>
      <c r="D2500" s="465"/>
      <c r="E2500" s="466" t="s">
        <v>5139</v>
      </c>
      <c r="F2500" s="466" t="s">
        <v>2067</v>
      </c>
      <c r="G2500" s="465"/>
      <c r="H2500" s="465">
        <v>3</v>
      </c>
    </row>
    <row r="2501" spans="1:8" ht="13.8" thickBot="1">
      <c r="A2501" s="465" t="s">
        <v>8121</v>
      </c>
      <c r="B2501" s="465" t="s">
        <v>5150</v>
      </c>
      <c r="C2501" s="466">
        <v>5.5</v>
      </c>
      <c r="D2501" s="465"/>
      <c r="E2501" s="466" t="s">
        <v>5139</v>
      </c>
      <c r="F2501" s="466" t="s">
        <v>1220</v>
      </c>
      <c r="G2501" s="465">
        <v>1</v>
      </c>
      <c r="H2501" s="465">
        <v>3</v>
      </c>
    </row>
    <row r="2502" spans="1:8" ht="13.8" thickBot="1">
      <c r="A2502" s="465" t="s">
        <v>8122</v>
      </c>
      <c r="B2502" s="465" t="s">
        <v>5171</v>
      </c>
      <c r="C2502" s="466">
        <v>5.5</v>
      </c>
      <c r="D2502" s="465"/>
      <c r="E2502" s="466" t="s">
        <v>5155</v>
      </c>
      <c r="F2502" s="466" t="s">
        <v>1226</v>
      </c>
      <c r="G2502" s="465"/>
      <c r="H2502" s="465">
        <v>2</v>
      </c>
    </row>
    <row r="2503" spans="1:8" ht="13.8" thickBot="1">
      <c r="A2503" s="465" t="s">
        <v>8123</v>
      </c>
      <c r="B2503" s="465" t="s">
        <v>5172</v>
      </c>
      <c r="C2503" s="466">
        <v>5.5</v>
      </c>
      <c r="D2503" s="465"/>
      <c r="E2503" s="466" t="s">
        <v>5155</v>
      </c>
      <c r="F2503" s="466" t="s">
        <v>1226</v>
      </c>
      <c r="G2503" s="465">
        <v>1</v>
      </c>
      <c r="H2503" s="465">
        <v>2</v>
      </c>
    </row>
    <row r="2504" spans="1:8" ht="13.8" thickBot="1">
      <c r="A2504" s="465" t="s">
        <v>8124</v>
      </c>
      <c r="B2504" s="465" t="s">
        <v>5173</v>
      </c>
      <c r="C2504" s="466">
        <v>5.5</v>
      </c>
      <c r="D2504" s="465"/>
      <c r="E2504" s="466" t="s">
        <v>5155</v>
      </c>
      <c r="F2504" s="466" t="s">
        <v>1226</v>
      </c>
      <c r="G2504" s="465">
        <v>1</v>
      </c>
      <c r="H2504" s="465">
        <v>27</v>
      </c>
    </row>
    <row r="2505" spans="1:8" ht="13.8" thickBot="1">
      <c r="A2505" s="465" t="s">
        <v>8125</v>
      </c>
      <c r="B2505" s="465" t="s">
        <v>5174</v>
      </c>
      <c r="C2505" s="466">
        <v>5.5</v>
      </c>
      <c r="D2505" s="467" t="s">
        <v>614</v>
      </c>
      <c r="E2505" s="466" t="s">
        <v>5155</v>
      </c>
      <c r="F2505" s="466"/>
      <c r="G2505" s="465">
        <v>1</v>
      </c>
      <c r="H2505" s="465">
        <v>7</v>
      </c>
    </row>
    <row r="2506" spans="1:8" ht="13.8" thickBot="1">
      <c r="A2506" s="465" t="s">
        <v>8126</v>
      </c>
      <c r="B2506" s="465" t="s">
        <v>5189</v>
      </c>
      <c r="C2506" s="466">
        <v>5.5</v>
      </c>
      <c r="D2506" s="465"/>
      <c r="E2506" s="466" t="s">
        <v>5180</v>
      </c>
      <c r="F2506" s="466" t="s">
        <v>1226</v>
      </c>
      <c r="G2506" s="465"/>
      <c r="H2506" s="465">
        <v>12</v>
      </c>
    </row>
    <row r="2507" spans="1:8" ht="13.8" thickBot="1">
      <c r="A2507" s="465" t="s">
        <v>8127</v>
      </c>
      <c r="B2507" s="465" t="s">
        <v>5190</v>
      </c>
      <c r="C2507" s="466">
        <v>5.5</v>
      </c>
      <c r="D2507" s="467" t="s">
        <v>614</v>
      </c>
      <c r="E2507" s="466" t="s">
        <v>5180</v>
      </c>
      <c r="F2507" s="466" t="s">
        <v>1226</v>
      </c>
      <c r="G2507" s="465"/>
      <c r="H2507" s="465">
        <v>3</v>
      </c>
    </row>
    <row r="2508" spans="1:8" ht="13.8" thickBot="1">
      <c r="A2508" s="465" t="s">
        <v>8128</v>
      </c>
      <c r="B2508" s="465" t="s">
        <v>5191</v>
      </c>
      <c r="C2508" s="466">
        <v>5.5</v>
      </c>
      <c r="D2508" s="465"/>
      <c r="E2508" s="466" t="s">
        <v>5180</v>
      </c>
      <c r="F2508" s="466" t="s">
        <v>1226</v>
      </c>
      <c r="G2508" s="465"/>
      <c r="H2508" s="465">
        <v>1</v>
      </c>
    </row>
    <row r="2509" spans="1:8" ht="13.8" thickBot="1">
      <c r="A2509" s="465" t="s">
        <v>8129</v>
      </c>
      <c r="B2509" s="465" t="s">
        <v>5192</v>
      </c>
      <c r="C2509" s="466">
        <v>5.5</v>
      </c>
      <c r="D2509" s="465"/>
      <c r="E2509" s="466" t="s">
        <v>5180</v>
      </c>
      <c r="F2509" s="466" t="s">
        <v>1224</v>
      </c>
      <c r="G2509" s="465"/>
      <c r="H2509" s="465">
        <v>5</v>
      </c>
    </row>
    <row r="2510" spans="1:8" ht="13.8" thickBot="1">
      <c r="A2510" s="465" t="s">
        <v>8130</v>
      </c>
      <c r="B2510" s="465" t="s">
        <v>5221</v>
      </c>
      <c r="C2510" s="466">
        <v>5.5</v>
      </c>
      <c r="D2510" s="467" t="s">
        <v>614</v>
      </c>
      <c r="E2510" s="466" t="s">
        <v>5219</v>
      </c>
      <c r="F2510" s="466" t="s">
        <v>1224</v>
      </c>
      <c r="G2510" s="465">
        <v>1</v>
      </c>
      <c r="H2510" s="465">
        <v>4</v>
      </c>
    </row>
    <row r="2511" spans="1:8" ht="13.8" thickBot="1">
      <c r="A2511" s="467" t="s">
        <v>8131</v>
      </c>
      <c r="B2511" s="465" t="s">
        <v>5231</v>
      </c>
      <c r="C2511" s="466">
        <v>5.5</v>
      </c>
      <c r="D2511" s="465"/>
      <c r="E2511" s="466" t="s">
        <v>5226</v>
      </c>
      <c r="F2511" s="466" t="s">
        <v>1224</v>
      </c>
      <c r="G2511" s="465"/>
      <c r="H2511" s="465">
        <v>8</v>
      </c>
    </row>
    <row r="2512" spans="1:8" ht="13.8" thickBot="1">
      <c r="A2512" s="467" t="s">
        <v>8132</v>
      </c>
      <c r="B2512" s="465" t="s">
        <v>5242</v>
      </c>
      <c r="C2512" s="466">
        <v>5.5</v>
      </c>
      <c r="D2512" s="465"/>
      <c r="E2512" s="466" t="s">
        <v>5226</v>
      </c>
      <c r="F2512" s="466"/>
      <c r="G2512" s="465"/>
      <c r="H2512" s="465">
        <v>5</v>
      </c>
    </row>
    <row r="2513" spans="1:8" ht="13.8" thickBot="1">
      <c r="A2513" s="467" t="s">
        <v>7774</v>
      </c>
      <c r="B2513" s="465" t="s">
        <v>1742</v>
      </c>
      <c r="C2513" s="466">
        <v>5.5</v>
      </c>
      <c r="D2513" s="465"/>
      <c r="E2513" s="466" t="s">
        <v>2289</v>
      </c>
      <c r="F2513" s="466" t="s">
        <v>1229</v>
      </c>
      <c r="G2513" s="465">
        <v>2</v>
      </c>
      <c r="H2513" s="465">
        <v>22</v>
      </c>
    </row>
    <row r="2514" spans="1:8" ht="13.8" thickBot="1">
      <c r="A2514" s="467" t="s">
        <v>7775</v>
      </c>
      <c r="B2514" s="465" t="s">
        <v>1748</v>
      </c>
      <c r="C2514" s="466">
        <v>5.5</v>
      </c>
      <c r="D2514" s="467" t="s">
        <v>614</v>
      </c>
      <c r="E2514" s="466" t="s">
        <v>2289</v>
      </c>
      <c r="F2514" s="466" t="s">
        <v>1251</v>
      </c>
      <c r="G2514" s="465">
        <v>1</v>
      </c>
      <c r="H2514" s="465">
        <v>16</v>
      </c>
    </row>
    <row r="2515" spans="1:8" ht="13.8" thickBot="1">
      <c r="A2515" s="465" t="s">
        <v>779</v>
      </c>
      <c r="B2515" s="465" t="s">
        <v>1743</v>
      </c>
      <c r="C2515" s="466">
        <v>5.5</v>
      </c>
      <c r="D2515" s="467" t="s">
        <v>614</v>
      </c>
      <c r="E2515" s="466" t="s">
        <v>2289</v>
      </c>
      <c r="F2515" s="466" t="s">
        <v>1251</v>
      </c>
      <c r="G2515" s="465"/>
      <c r="H2515" s="465">
        <v>22</v>
      </c>
    </row>
    <row r="2516" spans="1:8" ht="13.8" thickBot="1">
      <c r="A2516" s="465" t="s">
        <v>7776</v>
      </c>
      <c r="B2516" s="465" t="s">
        <v>2416</v>
      </c>
      <c r="C2516" s="466">
        <v>5.5</v>
      </c>
      <c r="D2516" s="465"/>
      <c r="E2516" s="466" t="s">
        <v>2289</v>
      </c>
      <c r="F2516" s="466" t="s">
        <v>2417</v>
      </c>
      <c r="G2516" s="465"/>
      <c r="H2516" s="465">
        <v>30</v>
      </c>
    </row>
    <row r="2517" spans="1:8" ht="13.8" thickBot="1">
      <c r="A2517" s="465" t="s">
        <v>7777</v>
      </c>
      <c r="B2517" s="465" t="s">
        <v>2418</v>
      </c>
      <c r="C2517" s="466">
        <v>5.5</v>
      </c>
      <c r="D2517" s="465" t="s">
        <v>2419</v>
      </c>
      <c r="E2517" s="466" t="s">
        <v>2289</v>
      </c>
      <c r="F2517" s="466" t="s">
        <v>1226</v>
      </c>
      <c r="G2517" s="465"/>
      <c r="H2517" s="465">
        <v>2</v>
      </c>
    </row>
    <row r="2518" spans="1:8" ht="13.8" thickBot="1">
      <c r="A2518" s="467" t="s">
        <v>7778</v>
      </c>
      <c r="B2518" s="465" t="s">
        <v>1726</v>
      </c>
      <c r="C2518" s="466">
        <v>5.5</v>
      </c>
      <c r="D2518" s="465"/>
      <c r="E2518" s="466" t="s">
        <v>2289</v>
      </c>
      <c r="F2518" s="466" t="s">
        <v>1226</v>
      </c>
      <c r="G2518" s="465"/>
      <c r="H2518" s="465">
        <v>2</v>
      </c>
    </row>
    <row r="2519" spans="1:8" ht="13.8" thickBot="1">
      <c r="A2519" s="467" t="s">
        <v>7779</v>
      </c>
      <c r="B2519" s="465" t="s">
        <v>1726</v>
      </c>
      <c r="C2519" s="466">
        <v>5.5</v>
      </c>
      <c r="D2519" s="465"/>
      <c r="E2519" s="466" t="s">
        <v>2289</v>
      </c>
      <c r="F2519" s="466" t="s">
        <v>1226</v>
      </c>
      <c r="G2519" s="465">
        <v>1</v>
      </c>
      <c r="H2519" s="465">
        <v>1</v>
      </c>
    </row>
    <row r="2520" spans="1:8" ht="13.8" thickBot="1">
      <c r="A2520" s="467" t="s">
        <v>7780</v>
      </c>
      <c r="B2520" s="465" t="s">
        <v>1745</v>
      </c>
      <c r="C2520" s="466">
        <v>5.5</v>
      </c>
      <c r="D2520" s="467" t="s">
        <v>614</v>
      </c>
      <c r="E2520" s="466" t="s">
        <v>2289</v>
      </c>
      <c r="F2520" s="466" t="s">
        <v>1226</v>
      </c>
      <c r="G2520" s="465">
        <v>2</v>
      </c>
      <c r="H2520" s="465">
        <v>19</v>
      </c>
    </row>
    <row r="2521" spans="1:8" ht="13.8" thickBot="1">
      <c r="A2521" s="465" t="s">
        <v>7781</v>
      </c>
      <c r="B2521" s="465" t="s">
        <v>2420</v>
      </c>
      <c r="C2521" s="466">
        <v>5.5</v>
      </c>
      <c r="D2521" s="465"/>
      <c r="E2521" s="466" t="s">
        <v>2289</v>
      </c>
      <c r="F2521" s="466" t="s">
        <v>1226</v>
      </c>
      <c r="G2521" s="465"/>
      <c r="H2521" s="465">
        <v>3</v>
      </c>
    </row>
    <row r="2522" spans="1:8" ht="13.8" thickBot="1">
      <c r="A2522" s="465" t="s">
        <v>7782</v>
      </c>
      <c r="B2522" s="465" t="s">
        <v>2421</v>
      </c>
      <c r="C2522" s="466">
        <v>5.5</v>
      </c>
      <c r="D2522" s="467" t="s">
        <v>614</v>
      </c>
      <c r="E2522" s="466" t="s">
        <v>2289</v>
      </c>
      <c r="F2522" s="466" t="s">
        <v>1226</v>
      </c>
      <c r="G2522" s="465"/>
      <c r="H2522" s="465">
        <v>2</v>
      </c>
    </row>
    <row r="2523" spans="1:8" ht="13.8" thickBot="1">
      <c r="A2523" s="465" t="s">
        <v>7783</v>
      </c>
      <c r="B2523" s="465" t="s">
        <v>2308</v>
      </c>
      <c r="C2523" s="466">
        <v>5.5</v>
      </c>
      <c r="D2523" s="467" t="s">
        <v>614</v>
      </c>
      <c r="E2523" s="466" t="s">
        <v>2289</v>
      </c>
      <c r="F2523" s="466" t="s">
        <v>1226</v>
      </c>
      <c r="G2523" s="465"/>
      <c r="H2523" s="465">
        <v>2</v>
      </c>
    </row>
    <row r="2524" spans="1:8" ht="13.8" thickBot="1">
      <c r="A2524" s="465" t="s">
        <v>7784</v>
      </c>
      <c r="B2524" s="465" t="s">
        <v>1747</v>
      </c>
      <c r="C2524" s="466">
        <v>5.5</v>
      </c>
      <c r="D2524" s="467" t="s">
        <v>614</v>
      </c>
      <c r="E2524" s="466" t="s">
        <v>2289</v>
      </c>
      <c r="F2524" s="466" t="s">
        <v>1226</v>
      </c>
      <c r="G2524" s="465">
        <v>1</v>
      </c>
      <c r="H2524" s="465">
        <v>22</v>
      </c>
    </row>
    <row r="2525" spans="1:8" ht="13.8" thickBot="1">
      <c r="A2525" s="467" t="s">
        <v>7785</v>
      </c>
      <c r="B2525" s="465" t="s">
        <v>2422</v>
      </c>
      <c r="C2525" s="466">
        <v>5.5</v>
      </c>
      <c r="D2525" s="465"/>
      <c r="E2525" s="466" t="s">
        <v>2289</v>
      </c>
      <c r="F2525" s="466" t="s">
        <v>1226</v>
      </c>
      <c r="G2525" s="465"/>
      <c r="H2525" s="465">
        <v>16</v>
      </c>
    </row>
    <row r="2526" spans="1:8" ht="13.8" thickBot="1">
      <c r="A2526" s="467" t="s">
        <v>7786</v>
      </c>
      <c r="B2526" s="465" t="s">
        <v>2423</v>
      </c>
      <c r="C2526" s="466">
        <v>5.5</v>
      </c>
      <c r="D2526" s="467" t="s">
        <v>614</v>
      </c>
      <c r="E2526" s="466" t="s">
        <v>2289</v>
      </c>
      <c r="F2526" s="466" t="s">
        <v>1226</v>
      </c>
      <c r="G2526" s="465">
        <v>1</v>
      </c>
      <c r="H2526" s="465">
        <v>8</v>
      </c>
    </row>
    <row r="2527" spans="1:8" ht="13.8" thickBot="1">
      <c r="A2527" s="465" t="s">
        <v>7787</v>
      </c>
      <c r="B2527" s="465" t="s">
        <v>2424</v>
      </c>
      <c r="C2527" s="466">
        <v>5.5</v>
      </c>
      <c r="D2527" s="465"/>
      <c r="E2527" s="466" t="s">
        <v>2289</v>
      </c>
      <c r="F2527" s="466" t="s">
        <v>1224</v>
      </c>
      <c r="G2527" s="465"/>
      <c r="H2527" s="465">
        <v>10</v>
      </c>
    </row>
    <row r="2528" spans="1:8" ht="13.8" thickBot="1">
      <c r="A2528" s="465" t="s">
        <v>7788</v>
      </c>
      <c r="B2528" s="465" t="s">
        <v>1746</v>
      </c>
      <c r="C2528" s="466">
        <v>5.5</v>
      </c>
      <c r="D2528" s="467" t="s">
        <v>614</v>
      </c>
      <c r="E2528" s="466" t="s">
        <v>2289</v>
      </c>
      <c r="F2528" s="466" t="s">
        <v>1224</v>
      </c>
      <c r="G2528" s="465">
        <v>3</v>
      </c>
      <c r="H2528" s="465">
        <v>19</v>
      </c>
    </row>
    <row r="2529" spans="1:8" ht="13.8" thickBot="1">
      <c r="A2529" s="465" t="s">
        <v>7789</v>
      </c>
      <c r="B2529" s="465" t="s">
        <v>2425</v>
      </c>
      <c r="C2529" s="466">
        <v>5.5</v>
      </c>
      <c r="D2529" s="465"/>
      <c r="E2529" s="466" t="s">
        <v>2289</v>
      </c>
      <c r="F2529" s="466" t="s">
        <v>1224</v>
      </c>
      <c r="G2529" s="465"/>
      <c r="H2529" s="465">
        <v>3</v>
      </c>
    </row>
    <row r="2530" spans="1:8" ht="13.8" thickBot="1">
      <c r="A2530" s="467" t="s">
        <v>7790</v>
      </c>
      <c r="B2530" s="465" t="s">
        <v>1726</v>
      </c>
      <c r="C2530" s="466">
        <v>5.5</v>
      </c>
      <c r="D2530" s="465"/>
      <c r="E2530" s="466" t="s">
        <v>2289</v>
      </c>
      <c r="F2530" s="466"/>
      <c r="G2530" s="465"/>
      <c r="H2530" s="465">
        <v>5</v>
      </c>
    </row>
    <row r="2531" spans="1:8" ht="13.8" thickBot="1">
      <c r="A2531" s="467" t="s">
        <v>7791</v>
      </c>
      <c r="B2531" s="465" t="s">
        <v>1726</v>
      </c>
      <c r="C2531" s="466">
        <v>5.5</v>
      </c>
      <c r="D2531" s="465"/>
      <c r="E2531" s="466" t="s">
        <v>2289</v>
      </c>
      <c r="F2531" s="466"/>
      <c r="G2531" s="465"/>
      <c r="H2531" s="465">
        <v>8</v>
      </c>
    </row>
    <row r="2532" spans="1:8" ht="13.8" thickBot="1">
      <c r="A2532" s="465" t="s">
        <v>7792</v>
      </c>
      <c r="B2532" s="465" t="s">
        <v>2426</v>
      </c>
      <c r="C2532" s="466">
        <v>5.5</v>
      </c>
      <c r="D2532" s="465"/>
      <c r="E2532" s="466" t="s">
        <v>2289</v>
      </c>
      <c r="F2532" s="466"/>
      <c r="G2532" s="465"/>
      <c r="H2532" s="465">
        <v>3</v>
      </c>
    </row>
    <row r="2533" spans="1:8" ht="13.8" thickBot="1">
      <c r="A2533" s="467" t="s">
        <v>7793</v>
      </c>
      <c r="B2533" s="465" t="s">
        <v>2427</v>
      </c>
      <c r="C2533" s="466">
        <v>5.5</v>
      </c>
      <c r="D2533" s="465"/>
      <c r="E2533" s="466" t="s">
        <v>2289</v>
      </c>
      <c r="F2533" s="466"/>
      <c r="G2533" s="465"/>
      <c r="H2533" s="465">
        <v>3</v>
      </c>
    </row>
    <row r="2534" spans="1:8" ht="13.8" thickBot="1">
      <c r="A2534" s="465" t="s">
        <v>7794</v>
      </c>
      <c r="B2534" s="465" t="s">
        <v>2383</v>
      </c>
      <c r="C2534" s="466">
        <v>5.5</v>
      </c>
      <c r="D2534" s="465"/>
      <c r="E2534" s="466" t="s">
        <v>2289</v>
      </c>
      <c r="F2534" s="466"/>
      <c r="G2534" s="465"/>
      <c r="H2534" s="465">
        <v>1</v>
      </c>
    </row>
    <row r="2535" spans="1:8" ht="13.8" thickBot="1">
      <c r="A2535" s="465" t="s">
        <v>7795</v>
      </c>
      <c r="B2535" s="465" t="s">
        <v>2428</v>
      </c>
      <c r="C2535" s="466">
        <v>5.5</v>
      </c>
      <c r="D2535" s="465"/>
      <c r="E2535" s="466" t="s">
        <v>2289</v>
      </c>
      <c r="F2535" s="466"/>
      <c r="G2535" s="465"/>
      <c r="H2535" s="465">
        <v>3</v>
      </c>
    </row>
    <row r="2536" spans="1:8" ht="13.8" thickBot="1">
      <c r="A2536" s="467" t="s">
        <v>8133</v>
      </c>
      <c r="B2536" s="465" t="s">
        <v>5272</v>
      </c>
      <c r="C2536" s="466">
        <v>5.5</v>
      </c>
      <c r="D2536" s="465"/>
      <c r="E2536" s="466" t="s">
        <v>5269</v>
      </c>
      <c r="F2536" s="466" t="s">
        <v>1226</v>
      </c>
      <c r="G2536" s="465"/>
      <c r="H2536" s="465">
        <v>2</v>
      </c>
    </row>
    <row r="2537" spans="1:8" ht="13.8" thickBot="1">
      <c r="A2537" s="465" t="s">
        <v>8134</v>
      </c>
      <c r="B2537" s="465" t="s">
        <v>5313</v>
      </c>
      <c r="C2537" s="466">
        <v>5.5</v>
      </c>
      <c r="D2537" s="467" t="s">
        <v>614</v>
      </c>
      <c r="E2537" s="466" t="s">
        <v>5286</v>
      </c>
      <c r="F2537" s="466" t="s">
        <v>1251</v>
      </c>
      <c r="G2537" s="465">
        <v>1</v>
      </c>
      <c r="H2537" s="465">
        <v>17</v>
      </c>
    </row>
    <row r="2538" spans="1:8" ht="13.8" thickBot="1">
      <c r="A2538" s="465" t="s">
        <v>8135</v>
      </c>
      <c r="B2538" s="465" t="s">
        <v>1384</v>
      </c>
      <c r="C2538" s="466">
        <v>5.5</v>
      </c>
      <c r="D2538" s="467" t="s">
        <v>614</v>
      </c>
      <c r="E2538" s="466" t="s">
        <v>5286</v>
      </c>
      <c r="F2538" s="466" t="s">
        <v>1841</v>
      </c>
      <c r="G2538" s="465"/>
      <c r="H2538" s="465">
        <v>14</v>
      </c>
    </row>
    <row r="2539" spans="1:8" ht="13.8" thickBot="1">
      <c r="A2539" s="465" t="s">
        <v>8136</v>
      </c>
      <c r="B2539" s="465" t="s">
        <v>1381</v>
      </c>
      <c r="C2539" s="466">
        <v>5.5</v>
      </c>
      <c r="D2539" s="467" t="s">
        <v>614</v>
      </c>
      <c r="E2539" s="466" t="s">
        <v>5286</v>
      </c>
      <c r="F2539" s="466" t="s">
        <v>1226</v>
      </c>
      <c r="G2539" s="465"/>
      <c r="H2539" s="465">
        <v>1</v>
      </c>
    </row>
    <row r="2540" spans="1:8" ht="13.8" thickBot="1">
      <c r="A2540" s="465" t="s">
        <v>8137</v>
      </c>
      <c r="B2540" s="465" t="s">
        <v>1381</v>
      </c>
      <c r="C2540" s="466">
        <v>5.5</v>
      </c>
      <c r="D2540" s="465"/>
      <c r="E2540" s="466" t="s">
        <v>5286</v>
      </c>
      <c r="F2540" s="466" t="s">
        <v>1226</v>
      </c>
      <c r="G2540" s="465"/>
      <c r="H2540" s="465">
        <v>1</v>
      </c>
    </row>
    <row r="2541" spans="1:8" ht="13.8" thickBot="1">
      <c r="A2541" s="467" t="s">
        <v>8138</v>
      </c>
      <c r="B2541" s="465" t="s">
        <v>5314</v>
      </c>
      <c r="C2541" s="466">
        <v>5.5</v>
      </c>
      <c r="D2541" s="467" t="s">
        <v>614</v>
      </c>
      <c r="E2541" s="466" t="s">
        <v>5286</v>
      </c>
      <c r="F2541" s="466" t="s">
        <v>1226</v>
      </c>
      <c r="G2541" s="465"/>
      <c r="H2541" s="465">
        <v>5</v>
      </c>
    </row>
    <row r="2542" spans="1:8" ht="13.8" thickBot="1">
      <c r="A2542" s="465" t="s">
        <v>8139</v>
      </c>
      <c r="B2542" s="465" t="s">
        <v>5315</v>
      </c>
      <c r="C2542" s="466">
        <v>5.5</v>
      </c>
      <c r="D2542" s="465"/>
      <c r="E2542" s="466" t="s">
        <v>5286</v>
      </c>
      <c r="F2542" s="466" t="s">
        <v>1224</v>
      </c>
      <c r="G2542" s="465"/>
      <c r="H2542" s="465">
        <v>12</v>
      </c>
    </row>
    <row r="2543" spans="1:8" ht="13.8" thickBot="1">
      <c r="A2543" s="465" t="s">
        <v>8140</v>
      </c>
      <c r="B2543" s="465" t="s">
        <v>5321</v>
      </c>
      <c r="C2543" s="466">
        <v>5.5</v>
      </c>
      <c r="D2543" s="465"/>
      <c r="E2543" s="466" t="s">
        <v>5319</v>
      </c>
      <c r="F2543" s="466" t="s">
        <v>1226</v>
      </c>
      <c r="G2543" s="465"/>
      <c r="H2543" s="465">
        <v>2</v>
      </c>
    </row>
    <row r="2544" spans="1:8" ht="13.8" thickBot="1">
      <c r="A2544" s="465" t="s">
        <v>7796</v>
      </c>
      <c r="B2544" s="465" t="s">
        <v>2489</v>
      </c>
      <c r="C2544" s="466">
        <v>5.5</v>
      </c>
      <c r="D2544" s="467" t="s">
        <v>2490</v>
      </c>
      <c r="E2544" s="466" t="s">
        <v>2449</v>
      </c>
      <c r="F2544" s="466" t="s">
        <v>1226</v>
      </c>
      <c r="G2544" s="465"/>
      <c r="H2544" s="465">
        <v>3</v>
      </c>
    </row>
    <row r="2545" spans="1:8" ht="13.8" thickBot="1">
      <c r="A2545" s="467" t="s">
        <v>7797</v>
      </c>
      <c r="B2545" s="468" t="s">
        <v>2491</v>
      </c>
      <c r="C2545" s="466">
        <v>5.5</v>
      </c>
      <c r="D2545" s="465"/>
      <c r="E2545" s="466" t="s">
        <v>2449</v>
      </c>
      <c r="F2545" s="466" t="s">
        <v>1226</v>
      </c>
      <c r="G2545" s="465"/>
      <c r="H2545" s="465">
        <v>6</v>
      </c>
    </row>
    <row r="2546" spans="1:8" ht="13.8" thickBot="1">
      <c r="A2546" s="465" t="s">
        <v>7798</v>
      </c>
      <c r="B2546" s="465" t="s">
        <v>2492</v>
      </c>
      <c r="C2546" s="466">
        <v>5.5</v>
      </c>
      <c r="D2546" s="465"/>
      <c r="E2546" s="466" t="s">
        <v>2449</v>
      </c>
      <c r="F2546" s="466" t="s">
        <v>1224</v>
      </c>
      <c r="G2546" s="465"/>
      <c r="H2546" s="465">
        <v>2</v>
      </c>
    </row>
    <row r="2547" spans="1:8" ht="13.8" thickBot="1">
      <c r="A2547" s="467" t="s">
        <v>7799</v>
      </c>
      <c r="B2547" s="465" t="s">
        <v>2493</v>
      </c>
      <c r="C2547" s="466">
        <v>5.5</v>
      </c>
      <c r="D2547" s="465"/>
      <c r="E2547" s="466" t="s">
        <v>2449</v>
      </c>
      <c r="F2547" s="466" t="s">
        <v>1224</v>
      </c>
      <c r="G2547" s="465"/>
      <c r="H2547" s="465">
        <v>1</v>
      </c>
    </row>
    <row r="2548" spans="1:8" ht="13.8" thickBot="1">
      <c r="A2548" s="465" t="s">
        <v>7800</v>
      </c>
      <c r="B2548" s="465" t="s">
        <v>2448</v>
      </c>
      <c r="C2548" s="466">
        <v>5.5</v>
      </c>
      <c r="D2548" s="465"/>
      <c r="E2548" s="466" t="s">
        <v>2449</v>
      </c>
      <c r="F2548" s="466"/>
      <c r="G2548" s="465"/>
      <c r="H2548" s="465">
        <v>1</v>
      </c>
    </row>
    <row r="2549" spans="1:8" ht="13.8" thickBot="1">
      <c r="A2549" s="467" t="s">
        <v>7801</v>
      </c>
      <c r="B2549" s="465" t="s">
        <v>2494</v>
      </c>
      <c r="C2549" s="466">
        <v>5.5</v>
      </c>
      <c r="D2549" s="465"/>
      <c r="E2549" s="466" t="s">
        <v>2449</v>
      </c>
      <c r="F2549" s="466"/>
      <c r="G2549" s="465"/>
      <c r="H2549" s="465">
        <v>2</v>
      </c>
    </row>
    <row r="2550" spans="1:8" ht="13.8" thickBot="1">
      <c r="A2550" s="465" t="s">
        <v>7802</v>
      </c>
      <c r="B2550" s="465" t="s">
        <v>2645</v>
      </c>
      <c r="C2550" s="466">
        <v>5.5</v>
      </c>
      <c r="D2550" s="465"/>
      <c r="E2550" s="466" t="s">
        <v>2523</v>
      </c>
      <c r="F2550" s="466" t="s">
        <v>1880</v>
      </c>
      <c r="G2550" s="465"/>
      <c r="H2550" s="465">
        <v>8</v>
      </c>
    </row>
    <row r="2551" spans="1:8" ht="13.8" thickBot="1">
      <c r="A2551" s="465" t="s">
        <v>7803</v>
      </c>
      <c r="B2551" s="465" t="s">
        <v>2646</v>
      </c>
      <c r="C2551" s="466">
        <v>5.5</v>
      </c>
      <c r="D2551" s="465"/>
      <c r="E2551" s="466" t="s">
        <v>2523</v>
      </c>
      <c r="F2551" s="466" t="s">
        <v>1865</v>
      </c>
      <c r="G2551" s="465">
        <v>1</v>
      </c>
      <c r="H2551" s="465">
        <v>3</v>
      </c>
    </row>
    <row r="2552" spans="1:8" ht="13.8" thickBot="1">
      <c r="A2552" s="467" t="s">
        <v>7804</v>
      </c>
      <c r="B2552" s="465" t="s">
        <v>1300</v>
      </c>
      <c r="C2552" s="466">
        <v>5.5</v>
      </c>
      <c r="D2552" s="465"/>
      <c r="E2552" s="466" t="s">
        <v>2523</v>
      </c>
      <c r="F2552" s="466" t="s">
        <v>1251</v>
      </c>
      <c r="G2552" s="465"/>
      <c r="H2552" s="465">
        <v>8</v>
      </c>
    </row>
    <row r="2553" spans="1:8" ht="13.8" thickBot="1">
      <c r="A2553" s="467" t="s">
        <v>7805</v>
      </c>
      <c r="B2553" s="465" t="s">
        <v>1326</v>
      </c>
      <c r="C2553" s="466">
        <v>5.5</v>
      </c>
      <c r="D2553" s="467" t="s">
        <v>614</v>
      </c>
      <c r="E2553" s="466" t="s">
        <v>2523</v>
      </c>
      <c r="F2553" s="466" t="s">
        <v>1841</v>
      </c>
      <c r="G2553" s="465">
        <v>2</v>
      </c>
      <c r="H2553" s="465">
        <v>16</v>
      </c>
    </row>
    <row r="2554" spans="1:8" ht="13.8" thickBot="1">
      <c r="A2554" s="465" t="s">
        <v>7806</v>
      </c>
      <c r="B2554" s="465" t="s">
        <v>1300</v>
      </c>
      <c r="C2554" s="466">
        <v>5.5</v>
      </c>
      <c r="D2554" s="465"/>
      <c r="E2554" s="466" t="s">
        <v>2523</v>
      </c>
      <c r="F2554" s="466" t="s">
        <v>1226</v>
      </c>
      <c r="G2554" s="465"/>
      <c r="H2554" s="465">
        <v>3</v>
      </c>
    </row>
    <row r="2555" spans="1:8" ht="13.8" thickBot="1">
      <c r="A2555" s="465" t="s">
        <v>7807</v>
      </c>
      <c r="B2555" s="465" t="s">
        <v>1300</v>
      </c>
      <c r="C2555" s="466">
        <v>5.5</v>
      </c>
      <c r="D2555" s="465"/>
      <c r="E2555" s="466" t="s">
        <v>2523</v>
      </c>
      <c r="F2555" s="466" t="s">
        <v>1226</v>
      </c>
      <c r="G2555" s="465"/>
      <c r="H2555" s="465">
        <v>1</v>
      </c>
    </row>
    <row r="2556" spans="1:8" ht="13.8" thickBot="1">
      <c r="A2556" s="467" t="s">
        <v>7808</v>
      </c>
      <c r="B2556" s="465" t="s">
        <v>1300</v>
      </c>
      <c r="C2556" s="466">
        <v>5.5</v>
      </c>
      <c r="D2556" s="465"/>
      <c r="E2556" s="466" t="s">
        <v>2523</v>
      </c>
      <c r="F2556" s="466" t="s">
        <v>1226</v>
      </c>
      <c r="G2556" s="465"/>
      <c r="H2556" s="465">
        <v>1</v>
      </c>
    </row>
    <row r="2557" spans="1:8" ht="13.8" thickBot="1">
      <c r="A2557" s="465" t="s">
        <v>7809</v>
      </c>
      <c r="B2557" s="465" t="s">
        <v>1300</v>
      </c>
      <c r="C2557" s="466">
        <v>5.5</v>
      </c>
      <c r="D2557" s="465"/>
      <c r="E2557" s="466" t="s">
        <v>2523</v>
      </c>
      <c r="F2557" s="466" t="s">
        <v>1226</v>
      </c>
      <c r="G2557" s="465"/>
      <c r="H2557" s="465">
        <v>1</v>
      </c>
    </row>
    <row r="2558" spans="1:8" ht="13.8" thickBot="1">
      <c r="A2558" s="467" t="s">
        <v>7810</v>
      </c>
      <c r="B2558" s="465" t="s">
        <v>1300</v>
      </c>
      <c r="C2558" s="466">
        <v>5.5</v>
      </c>
      <c r="D2558" s="465"/>
      <c r="E2558" s="466" t="s">
        <v>2523</v>
      </c>
      <c r="F2558" s="466" t="s">
        <v>1226</v>
      </c>
      <c r="G2558" s="465">
        <v>2</v>
      </c>
      <c r="H2558" s="465">
        <v>2</v>
      </c>
    </row>
    <row r="2559" spans="1:8" ht="13.8" thickBot="1">
      <c r="A2559" s="465" t="s">
        <v>756</v>
      </c>
      <c r="B2559" s="465" t="s">
        <v>1319</v>
      </c>
      <c r="C2559" s="466">
        <v>5.5</v>
      </c>
      <c r="D2559" s="465"/>
      <c r="E2559" s="466" t="s">
        <v>2523</v>
      </c>
      <c r="F2559" s="466" t="s">
        <v>1226</v>
      </c>
      <c r="G2559" s="465"/>
      <c r="H2559" s="465">
        <v>14</v>
      </c>
    </row>
    <row r="2560" spans="1:8" ht="13.8" thickBot="1">
      <c r="A2560" s="467" t="s">
        <v>7811</v>
      </c>
      <c r="B2560" s="465" t="s">
        <v>2647</v>
      </c>
      <c r="C2560" s="466">
        <v>5.5</v>
      </c>
      <c r="D2560" s="465"/>
      <c r="E2560" s="466" t="s">
        <v>2523</v>
      </c>
      <c r="F2560" s="466" t="s">
        <v>1226</v>
      </c>
      <c r="G2560" s="465"/>
      <c r="H2560" s="465">
        <v>3</v>
      </c>
    </row>
    <row r="2561" spans="1:8" ht="13.8" thickBot="1">
      <c r="A2561" s="467" t="s">
        <v>7812</v>
      </c>
      <c r="B2561" s="465" t="s">
        <v>1320</v>
      </c>
      <c r="C2561" s="466">
        <v>5.5</v>
      </c>
      <c r="D2561" s="465"/>
      <c r="E2561" s="466" t="s">
        <v>2523</v>
      </c>
      <c r="F2561" s="466" t="s">
        <v>1226</v>
      </c>
      <c r="G2561" s="465"/>
      <c r="H2561" s="465">
        <v>9</v>
      </c>
    </row>
    <row r="2562" spans="1:8" ht="13.8" thickBot="1">
      <c r="A2562" s="467" t="s">
        <v>7813</v>
      </c>
      <c r="B2562" s="465" t="s">
        <v>2648</v>
      </c>
      <c r="C2562" s="466">
        <v>5.5</v>
      </c>
      <c r="D2562" s="465"/>
      <c r="E2562" s="466" t="s">
        <v>2523</v>
      </c>
      <c r="F2562" s="466" t="s">
        <v>1226</v>
      </c>
      <c r="G2562" s="465"/>
      <c r="H2562" s="465">
        <v>2</v>
      </c>
    </row>
    <row r="2563" spans="1:8" ht="13.8" thickBot="1">
      <c r="A2563" s="467" t="s">
        <v>7814</v>
      </c>
      <c r="B2563" s="465" t="s">
        <v>1321</v>
      </c>
      <c r="C2563" s="466">
        <v>5.5</v>
      </c>
      <c r="D2563" s="465"/>
      <c r="E2563" s="466" t="s">
        <v>2523</v>
      </c>
      <c r="F2563" s="466" t="s">
        <v>1226</v>
      </c>
      <c r="G2563" s="465">
        <v>1</v>
      </c>
      <c r="H2563" s="465">
        <v>6</v>
      </c>
    </row>
    <row r="2564" spans="1:8" ht="13.8" thickBot="1">
      <c r="A2564" s="465" t="s">
        <v>7815</v>
      </c>
      <c r="B2564" s="465" t="s">
        <v>2649</v>
      </c>
      <c r="C2564" s="466">
        <v>5.5</v>
      </c>
      <c r="D2564" s="465"/>
      <c r="E2564" s="466" t="s">
        <v>2523</v>
      </c>
      <c r="F2564" s="466" t="s">
        <v>1226</v>
      </c>
      <c r="G2564" s="465"/>
      <c r="H2564" s="465">
        <v>3</v>
      </c>
    </row>
    <row r="2565" spans="1:8" ht="13.8" thickBot="1">
      <c r="A2565" s="465" t="s">
        <v>7816</v>
      </c>
      <c r="B2565" s="465" t="s">
        <v>1302</v>
      </c>
      <c r="C2565" s="466">
        <v>5.5</v>
      </c>
      <c r="D2565" s="465" t="s">
        <v>2419</v>
      </c>
      <c r="E2565" s="466" t="s">
        <v>2523</v>
      </c>
      <c r="F2565" s="466" t="s">
        <v>1226</v>
      </c>
      <c r="G2565" s="465"/>
      <c r="H2565" s="465">
        <v>2</v>
      </c>
    </row>
    <row r="2566" spans="1:8" ht="13.8" thickBot="1">
      <c r="A2566" s="465" t="s">
        <v>7817</v>
      </c>
      <c r="B2566" s="465" t="s">
        <v>2650</v>
      </c>
      <c r="C2566" s="466">
        <v>5.5</v>
      </c>
      <c r="D2566" s="465"/>
      <c r="E2566" s="466" t="s">
        <v>2523</v>
      </c>
      <c r="F2566" s="466" t="s">
        <v>1226</v>
      </c>
      <c r="G2566" s="465"/>
      <c r="H2566" s="465">
        <v>3</v>
      </c>
    </row>
    <row r="2567" spans="1:8" ht="13.8" thickBot="1">
      <c r="A2567" s="465" t="s">
        <v>7818</v>
      </c>
      <c r="B2567" s="465" t="s">
        <v>2651</v>
      </c>
      <c r="C2567" s="466">
        <v>5.5</v>
      </c>
      <c r="D2567" s="467" t="s">
        <v>614</v>
      </c>
      <c r="E2567" s="466" t="s">
        <v>2523</v>
      </c>
      <c r="F2567" s="466" t="s">
        <v>1226</v>
      </c>
      <c r="G2567" s="465"/>
      <c r="H2567" s="465">
        <v>2</v>
      </c>
    </row>
    <row r="2568" spans="1:8" ht="13.8" thickBot="1">
      <c r="A2568" s="465" t="s">
        <v>7819</v>
      </c>
      <c r="B2568" s="465" t="s">
        <v>1322</v>
      </c>
      <c r="C2568" s="466">
        <v>5.5</v>
      </c>
      <c r="D2568" s="467" t="s">
        <v>614</v>
      </c>
      <c r="E2568" s="466" t="s">
        <v>2523</v>
      </c>
      <c r="F2568" s="466" t="s">
        <v>1226</v>
      </c>
      <c r="G2568" s="465">
        <v>2</v>
      </c>
      <c r="H2568" s="465">
        <v>16</v>
      </c>
    </row>
    <row r="2569" spans="1:8" ht="13.8" thickBot="1">
      <c r="A2569" s="465" t="s">
        <v>7820</v>
      </c>
      <c r="B2569" s="465" t="s">
        <v>2652</v>
      </c>
      <c r="C2569" s="466">
        <v>5.5</v>
      </c>
      <c r="D2569" s="467" t="s">
        <v>614</v>
      </c>
      <c r="E2569" s="466" t="s">
        <v>2523</v>
      </c>
      <c r="F2569" s="466" t="s">
        <v>1226</v>
      </c>
      <c r="G2569" s="465"/>
      <c r="H2569" s="465">
        <v>3</v>
      </c>
    </row>
    <row r="2570" spans="1:8" ht="13.8" thickBot="1">
      <c r="A2570" s="467" t="s">
        <v>7821</v>
      </c>
      <c r="B2570" s="465" t="s">
        <v>2653</v>
      </c>
      <c r="C2570" s="466">
        <v>5.5</v>
      </c>
      <c r="D2570" s="465"/>
      <c r="E2570" s="466" t="s">
        <v>2523</v>
      </c>
      <c r="F2570" s="466" t="s">
        <v>1226</v>
      </c>
      <c r="G2570" s="465"/>
      <c r="H2570" s="465">
        <v>4</v>
      </c>
    </row>
    <row r="2571" spans="1:8" ht="13.8" thickBot="1">
      <c r="A2571" s="465" t="s">
        <v>7822</v>
      </c>
      <c r="B2571" s="465" t="s">
        <v>1323</v>
      </c>
      <c r="C2571" s="466">
        <v>5.5</v>
      </c>
      <c r="D2571" s="465"/>
      <c r="E2571" s="466" t="s">
        <v>2523</v>
      </c>
      <c r="F2571" s="466" t="s">
        <v>1226</v>
      </c>
      <c r="G2571" s="465"/>
      <c r="H2571" s="465">
        <v>9</v>
      </c>
    </row>
    <row r="2572" spans="1:8" ht="13.8" thickBot="1">
      <c r="A2572" s="467" t="s">
        <v>7823</v>
      </c>
      <c r="B2572" s="465" t="s">
        <v>2594</v>
      </c>
      <c r="C2572" s="466">
        <v>5.5</v>
      </c>
      <c r="D2572" s="465"/>
      <c r="E2572" s="466" t="s">
        <v>2523</v>
      </c>
      <c r="F2572" s="466" t="s">
        <v>1226</v>
      </c>
      <c r="G2572" s="465"/>
      <c r="H2572" s="465">
        <v>2</v>
      </c>
    </row>
    <row r="2573" spans="1:8" ht="13.8" thickBot="1">
      <c r="A2573" s="467" t="s">
        <v>7824</v>
      </c>
      <c r="B2573" s="465" t="s">
        <v>1300</v>
      </c>
      <c r="C2573" s="466">
        <v>5.5</v>
      </c>
      <c r="D2573" s="465"/>
      <c r="E2573" s="466" t="s">
        <v>2523</v>
      </c>
      <c r="F2573" s="466" t="s">
        <v>1224</v>
      </c>
      <c r="G2573" s="465"/>
      <c r="H2573" s="465">
        <v>8</v>
      </c>
    </row>
    <row r="2574" spans="1:8" ht="13.8" thickBot="1">
      <c r="A2574" s="467" t="s">
        <v>7825</v>
      </c>
      <c r="B2574" s="465" t="s">
        <v>1300</v>
      </c>
      <c r="C2574" s="466">
        <v>5.5</v>
      </c>
      <c r="D2574" s="465"/>
      <c r="E2574" s="466" t="s">
        <v>2523</v>
      </c>
      <c r="F2574" s="466" t="s">
        <v>1224</v>
      </c>
      <c r="G2574" s="465"/>
      <c r="H2574" s="465">
        <v>2</v>
      </c>
    </row>
    <row r="2575" spans="1:8" ht="13.8" thickBot="1">
      <c r="A2575" s="465" t="s">
        <v>7826</v>
      </c>
      <c r="B2575" s="465" t="s">
        <v>2654</v>
      </c>
      <c r="C2575" s="466">
        <v>5.5</v>
      </c>
      <c r="D2575" s="465"/>
      <c r="E2575" s="466" t="s">
        <v>2523</v>
      </c>
      <c r="F2575" s="466" t="s">
        <v>1224</v>
      </c>
      <c r="G2575" s="465"/>
      <c r="H2575" s="465">
        <v>8</v>
      </c>
    </row>
    <row r="2576" spans="1:8" ht="13.8" thickBot="1">
      <c r="A2576" s="465" t="s">
        <v>7827</v>
      </c>
      <c r="B2576" s="465" t="s">
        <v>1319</v>
      </c>
      <c r="C2576" s="466">
        <v>5.5</v>
      </c>
      <c r="D2576" s="465"/>
      <c r="E2576" s="466" t="s">
        <v>2523</v>
      </c>
      <c r="F2576" s="466" t="s">
        <v>1224</v>
      </c>
      <c r="G2576" s="465">
        <v>1</v>
      </c>
      <c r="H2576" s="465">
        <v>7</v>
      </c>
    </row>
    <row r="2577" spans="1:8" ht="13.8" thickBot="1">
      <c r="A2577" s="465" t="s">
        <v>7828</v>
      </c>
      <c r="B2577" s="465" t="s">
        <v>2655</v>
      </c>
      <c r="C2577" s="466">
        <v>5.5</v>
      </c>
      <c r="D2577" s="465"/>
      <c r="E2577" s="466" t="s">
        <v>2523</v>
      </c>
      <c r="F2577" s="466" t="s">
        <v>1224</v>
      </c>
      <c r="G2577" s="465"/>
      <c r="H2577" s="465">
        <v>1</v>
      </c>
    </row>
    <row r="2578" spans="1:8" ht="13.8" thickBot="1">
      <c r="A2578" s="467" t="s">
        <v>7829</v>
      </c>
      <c r="B2578" s="465" t="s">
        <v>1324</v>
      </c>
      <c r="C2578" s="466">
        <v>5.5</v>
      </c>
      <c r="D2578" s="465"/>
      <c r="E2578" s="466" t="s">
        <v>2523</v>
      </c>
      <c r="F2578" s="466" t="s">
        <v>1224</v>
      </c>
      <c r="G2578" s="465">
        <v>1</v>
      </c>
      <c r="H2578" s="465">
        <v>6</v>
      </c>
    </row>
    <row r="2579" spans="1:8" ht="13.8" thickBot="1">
      <c r="A2579" s="467" t="s">
        <v>7830</v>
      </c>
      <c r="B2579" s="465" t="s">
        <v>1325</v>
      </c>
      <c r="C2579" s="466">
        <v>5.5</v>
      </c>
      <c r="D2579" s="467" t="s">
        <v>614</v>
      </c>
      <c r="E2579" s="466" t="s">
        <v>2523</v>
      </c>
      <c r="F2579" s="466" t="s">
        <v>1975</v>
      </c>
      <c r="G2579" s="465">
        <v>1</v>
      </c>
      <c r="H2579" s="465">
        <v>10</v>
      </c>
    </row>
    <row r="2580" spans="1:8" ht="13.8" thickBot="1">
      <c r="A2580" s="465" t="s">
        <v>7831</v>
      </c>
      <c r="B2580" s="465" t="s">
        <v>1302</v>
      </c>
      <c r="C2580" s="466">
        <v>5.5</v>
      </c>
      <c r="D2580" s="465"/>
      <c r="E2580" s="466" t="s">
        <v>2523</v>
      </c>
      <c r="F2580" s="466" t="s">
        <v>1220</v>
      </c>
      <c r="G2580" s="465"/>
      <c r="H2580" s="465">
        <v>1</v>
      </c>
    </row>
    <row r="2581" spans="1:8" ht="13.8" thickBot="1">
      <c r="A2581" s="465" t="s">
        <v>7832</v>
      </c>
      <c r="B2581" s="465" t="s">
        <v>1300</v>
      </c>
      <c r="C2581" s="466">
        <v>5.5</v>
      </c>
      <c r="D2581" s="465"/>
      <c r="E2581" s="466" t="s">
        <v>2523</v>
      </c>
      <c r="F2581" s="466"/>
      <c r="G2581" s="465"/>
      <c r="H2581" s="465">
        <v>1</v>
      </c>
    </row>
    <row r="2582" spans="1:8" ht="13.8" thickBot="1">
      <c r="A2582" s="467" t="s">
        <v>7833</v>
      </c>
      <c r="B2582" s="465" t="s">
        <v>1300</v>
      </c>
      <c r="C2582" s="466">
        <v>5.5</v>
      </c>
      <c r="D2582" s="465"/>
      <c r="E2582" s="466" t="s">
        <v>2523</v>
      </c>
      <c r="F2582" s="466"/>
      <c r="G2582" s="465"/>
      <c r="H2582" s="465">
        <v>1</v>
      </c>
    </row>
    <row r="2583" spans="1:8" ht="13.8" thickBot="1">
      <c r="A2583" s="465" t="s">
        <v>7834</v>
      </c>
      <c r="B2583" s="465" t="s">
        <v>1300</v>
      </c>
      <c r="C2583" s="466">
        <v>5.5</v>
      </c>
      <c r="D2583" s="465"/>
      <c r="E2583" s="466" t="s">
        <v>2523</v>
      </c>
      <c r="F2583" s="466"/>
      <c r="G2583" s="465"/>
      <c r="H2583" s="465">
        <v>1</v>
      </c>
    </row>
    <row r="2584" spans="1:8" ht="13.8" thickBot="1">
      <c r="A2584" s="467" t="s">
        <v>7835</v>
      </c>
      <c r="B2584" s="465" t="s">
        <v>1300</v>
      </c>
      <c r="C2584" s="466">
        <v>5.5</v>
      </c>
      <c r="D2584" s="467" t="s">
        <v>614</v>
      </c>
      <c r="E2584" s="466" t="s">
        <v>2523</v>
      </c>
      <c r="F2584" s="466"/>
      <c r="G2584" s="465"/>
      <c r="H2584" s="465">
        <v>2</v>
      </c>
    </row>
    <row r="2585" spans="1:8" ht="13.8" thickBot="1">
      <c r="A2585" s="465" t="s">
        <v>7836</v>
      </c>
      <c r="B2585" s="465" t="s">
        <v>1300</v>
      </c>
      <c r="C2585" s="466">
        <v>5.5</v>
      </c>
      <c r="D2585" s="465"/>
      <c r="E2585" s="466" t="s">
        <v>2523</v>
      </c>
      <c r="F2585" s="466"/>
      <c r="G2585" s="465"/>
      <c r="H2585" s="465">
        <v>1</v>
      </c>
    </row>
    <row r="2586" spans="1:8" ht="13.8" thickBot="1">
      <c r="A2586" s="467" t="s">
        <v>7837</v>
      </c>
      <c r="B2586" s="465" t="s">
        <v>1300</v>
      </c>
      <c r="C2586" s="466">
        <v>5.5</v>
      </c>
      <c r="D2586" s="465"/>
      <c r="E2586" s="466" t="s">
        <v>2523</v>
      </c>
      <c r="F2586" s="466"/>
      <c r="G2586" s="465"/>
      <c r="H2586" s="465">
        <v>1</v>
      </c>
    </row>
    <row r="2587" spans="1:8" ht="13.8" thickBot="1">
      <c r="A2587" s="465" t="s">
        <v>7838</v>
      </c>
      <c r="B2587" s="465" t="s">
        <v>1300</v>
      </c>
      <c r="C2587" s="466">
        <v>5.5</v>
      </c>
      <c r="D2587" s="465"/>
      <c r="E2587" s="466" t="s">
        <v>2523</v>
      </c>
      <c r="F2587" s="466"/>
      <c r="G2587" s="465"/>
      <c r="H2587" s="465">
        <v>1</v>
      </c>
    </row>
    <row r="2588" spans="1:8" ht="13.8" thickBot="1">
      <c r="A2588" s="467" t="s">
        <v>7839</v>
      </c>
      <c r="B2588" s="465" t="s">
        <v>1304</v>
      </c>
      <c r="C2588" s="466">
        <v>5.5</v>
      </c>
      <c r="D2588" s="465"/>
      <c r="E2588" s="466" t="s">
        <v>2523</v>
      </c>
      <c r="F2588" s="466"/>
      <c r="G2588" s="465"/>
      <c r="H2588" s="465">
        <v>1</v>
      </c>
    </row>
    <row r="2589" spans="1:8" ht="13.8" thickBot="1">
      <c r="A2589" s="465" t="s">
        <v>7840</v>
      </c>
      <c r="B2589" s="465" t="s">
        <v>1304</v>
      </c>
      <c r="C2589" s="466">
        <v>5.5</v>
      </c>
      <c r="D2589" s="465"/>
      <c r="E2589" s="466" t="s">
        <v>2523</v>
      </c>
      <c r="F2589" s="466"/>
      <c r="G2589" s="465"/>
      <c r="H2589" s="465">
        <v>2</v>
      </c>
    </row>
    <row r="2590" spans="1:8" ht="13.8" thickBot="1">
      <c r="A2590" s="465" t="s">
        <v>7841</v>
      </c>
      <c r="B2590" s="465" t="s">
        <v>2656</v>
      </c>
      <c r="C2590" s="466">
        <v>5.5</v>
      </c>
      <c r="D2590" s="465"/>
      <c r="E2590" s="466" t="s">
        <v>2523</v>
      </c>
      <c r="F2590" s="466"/>
      <c r="G2590" s="465">
        <v>2</v>
      </c>
      <c r="H2590" s="465">
        <v>6</v>
      </c>
    </row>
    <row r="2591" spans="1:8" ht="13.8" thickBot="1">
      <c r="A2591" s="465" t="s">
        <v>7842</v>
      </c>
      <c r="B2591" s="465" t="s">
        <v>2657</v>
      </c>
      <c r="C2591" s="466">
        <v>5.5</v>
      </c>
      <c r="D2591" s="465"/>
      <c r="E2591" s="466" t="s">
        <v>2523</v>
      </c>
      <c r="F2591" s="466"/>
      <c r="G2591" s="465"/>
      <c r="H2591" s="465"/>
    </row>
    <row r="2592" spans="1:8" ht="13.8" thickBot="1">
      <c r="A2592" s="467" t="s">
        <v>7843</v>
      </c>
      <c r="B2592" s="465" t="s">
        <v>1305</v>
      </c>
      <c r="C2592" s="466">
        <v>5.5</v>
      </c>
      <c r="D2592" s="465"/>
      <c r="E2592" s="466" t="s">
        <v>2523</v>
      </c>
      <c r="F2592" s="466"/>
      <c r="G2592" s="465"/>
      <c r="H2592" s="465">
        <v>1</v>
      </c>
    </row>
    <row r="2593" spans="1:8" ht="13.8" thickBot="1">
      <c r="A2593" s="467" t="s">
        <v>7844</v>
      </c>
      <c r="B2593" s="465" t="s">
        <v>2531</v>
      </c>
      <c r="C2593" s="466">
        <v>5.5</v>
      </c>
      <c r="D2593" s="465"/>
      <c r="E2593" s="466" t="s">
        <v>2523</v>
      </c>
      <c r="F2593" s="466"/>
      <c r="G2593" s="465"/>
      <c r="H2593" s="465">
        <v>2</v>
      </c>
    </row>
    <row r="2594" spans="1:8" ht="13.8" thickBot="1">
      <c r="A2594" s="467" t="s">
        <v>7845</v>
      </c>
      <c r="B2594" s="465" t="s">
        <v>2658</v>
      </c>
      <c r="C2594" s="466">
        <v>5.5</v>
      </c>
      <c r="D2594" s="465"/>
      <c r="E2594" s="466" t="s">
        <v>2523</v>
      </c>
      <c r="F2594" s="466"/>
      <c r="G2594" s="465"/>
      <c r="H2594" s="465">
        <v>3</v>
      </c>
    </row>
    <row r="2595" spans="1:8" ht="13.8" thickBot="1">
      <c r="A2595" s="465" t="s">
        <v>7846</v>
      </c>
      <c r="B2595" s="465" t="s">
        <v>2659</v>
      </c>
      <c r="C2595" s="466">
        <v>5.5</v>
      </c>
      <c r="D2595" s="465"/>
      <c r="E2595" s="466" t="s">
        <v>2523</v>
      </c>
      <c r="F2595" s="466"/>
      <c r="G2595" s="465"/>
      <c r="H2595" s="465">
        <v>2</v>
      </c>
    </row>
    <row r="2596" spans="1:8" ht="13.8" thickBot="1">
      <c r="A2596" s="465" t="s">
        <v>7847</v>
      </c>
      <c r="B2596" s="465" t="s">
        <v>2536</v>
      </c>
      <c r="C2596" s="466">
        <v>5.5</v>
      </c>
      <c r="D2596" s="465"/>
      <c r="E2596" s="466" t="s">
        <v>2523</v>
      </c>
      <c r="F2596" s="466"/>
      <c r="G2596" s="465"/>
      <c r="H2596" s="465">
        <v>1</v>
      </c>
    </row>
    <row r="2597" spans="1:8" ht="13.8" thickBot="1">
      <c r="A2597" s="465" t="s">
        <v>7848</v>
      </c>
      <c r="B2597" s="465" t="s">
        <v>2537</v>
      </c>
      <c r="C2597" s="466">
        <v>5.5</v>
      </c>
      <c r="D2597" s="465"/>
      <c r="E2597" s="466" t="s">
        <v>2523</v>
      </c>
      <c r="F2597" s="466"/>
      <c r="G2597" s="465"/>
      <c r="H2597" s="465">
        <v>1</v>
      </c>
    </row>
    <row r="2598" spans="1:8" ht="13.8" thickBot="1">
      <c r="A2598" s="467" t="s">
        <v>7849</v>
      </c>
      <c r="B2598" s="465" t="s">
        <v>2660</v>
      </c>
      <c r="C2598" s="466">
        <v>5.5</v>
      </c>
      <c r="D2598" s="465"/>
      <c r="E2598" s="466" t="s">
        <v>2523</v>
      </c>
      <c r="F2598" s="466"/>
      <c r="G2598" s="465"/>
      <c r="H2598" s="465">
        <v>1</v>
      </c>
    </row>
    <row r="2599" spans="1:8" ht="13.8" thickBot="1">
      <c r="A2599" s="465" t="s">
        <v>7850</v>
      </c>
      <c r="B2599" s="465" t="s">
        <v>2534</v>
      </c>
      <c r="C2599" s="466">
        <v>5.5</v>
      </c>
      <c r="D2599" s="465"/>
      <c r="E2599" s="466" t="s">
        <v>2523</v>
      </c>
      <c r="F2599" s="466"/>
      <c r="G2599" s="465"/>
      <c r="H2599" s="465">
        <v>10</v>
      </c>
    </row>
    <row r="2600" spans="1:8" ht="13.8" thickBot="1">
      <c r="A2600" s="465" t="s">
        <v>7851</v>
      </c>
      <c r="B2600" s="465" t="s">
        <v>1313</v>
      </c>
      <c r="C2600" s="466">
        <v>5.5</v>
      </c>
      <c r="D2600" s="465"/>
      <c r="E2600" s="466" t="s">
        <v>2523</v>
      </c>
      <c r="F2600" s="466"/>
      <c r="G2600" s="465"/>
      <c r="H2600" s="465">
        <v>1</v>
      </c>
    </row>
    <row r="2601" spans="1:8" ht="13.8" thickBot="1">
      <c r="A2601" s="465" t="s">
        <v>7852</v>
      </c>
      <c r="B2601" s="465" t="s">
        <v>1302</v>
      </c>
      <c r="C2601" s="466">
        <v>5.5</v>
      </c>
      <c r="D2601" s="465"/>
      <c r="E2601" s="466" t="s">
        <v>2523</v>
      </c>
      <c r="F2601" s="466"/>
      <c r="G2601" s="465"/>
      <c r="H2601" s="465">
        <v>6</v>
      </c>
    </row>
    <row r="2602" spans="1:8" ht="13.8" thickBot="1">
      <c r="A2602" s="465" t="s">
        <v>7853</v>
      </c>
      <c r="B2602" s="465" t="s">
        <v>1302</v>
      </c>
      <c r="C2602" s="466">
        <v>5.5</v>
      </c>
      <c r="D2602" s="465"/>
      <c r="E2602" s="466" t="s">
        <v>2523</v>
      </c>
      <c r="F2602" s="466"/>
      <c r="G2602" s="465"/>
      <c r="H2602" s="465">
        <v>1</v>
      </c>
    </row>
    <row r="2603" spans="1:8" ht="13.8" thickBot="1">
      <c r="A2603" s="465" t="s">
        <v>7854</v>
      </c>
      <c r="B2603" s="465" t="s">
        <v>1302</v>
      </c>
      <c r="C2603" s="466">
        <v>5.5</v>
      </c>
      <c r="D2603" s="465"/>
      <c r="E2603" s="466" t="s">
        <v>2523</v>
      </c>
      <c r="F2603" s="466"/>
      <c r="G2603" s="465"/>
      <c r="H2603" s="465">
        <v>1</v>
      </c>
    </row>
    <row r="2604" spans="1:8" ht="13.8" thickBot="1">
      <c r="A2604" s="465" t="s">
        <v>7855</v>
      </c>
      <c r="B2604" s="465" t="s">
        <v>2600</v>
      </c>
      <c r="C2604" s="466">
        <v>5.5</v>
      </c>
      <c r="D2604" s="465"/>
      <c r="E2604" s="466" t="s">
        <v>2523</v>
      </c>
      <c r="F2604" s="466"/>
      <c r="G2604" s="465"/>
      <c r="H2604" s="465">
        <v>2</v>
      </c>
    </row>
    <row r="2605" spans="1:8" ht="13.8" thickBot="1">
      <c r="A2605" s="465" t="s">
        <v>7856</v>
      </c>
      <c r="B2605" s="465" t="s">
        <v>2740</v>
      </c>
      <c r="C2605" s="466">
        <v>5.5</v>
      </c>
      <c r="D2605" s="467" t="s">
        <v>614</v>
      </c>
      <c r="E2605" s="466" t="s">
        <v>2733</v>
      </c>
      <c r="F2605" s="466" t="s">
        <v>1226</v>
      </c>
      <c r="G2605" s="465"/>
      <c r="H2605" s="465">
        <v>1</v>
      </c>
    </row>
    <row r="2606" spans="1:8" ht="13.8" thickBot="1">
      <c r="A2606" s="465" t="s">
        <v>7737</v>
      </c>
      <c r="B2606" s="465" t="s">
        <v>1269</v>
      </c>
      <c r="C2606" s="466">
        <v>5.5</v>
      </c>
      <c r="D2606" s="467" t="s">
        <v>614</v>
      </c>
      <c r="E2606" s="466" t="s">
        <v>1922</v>
      </c>
      <c r="F2606" s="466" t="s">
        <v>1251</v>
      </c>
      <c r="G2606" s="465">
        <v>2</v>
      </c>
      <c r="H2606" s="465">
        <v>15</v>
      </c>
    </row>
    <row r="2607" spans="1:8" ht="13.8" thickBot="1">
      <c r="A2607" s="465" t="s">
        <v>7738</v>
      </c>
      <c r="B2607" s="465" t="s">
        <v>1252</v>
      </c>
      <c r="C2607" s="466">
        <v>5.5</v>
      </c>
      <c r="D2607" s="465"/>
      <c r="E2607" s="466" t="s">
        <v>1922</v>
      </c>
      <c r="F2607" s="466" t="s">
        <v>1226</v>
      </c>
      <c r="G2607" s="465"/>
      <c r="H2607" s="465">
        <v>2</v>
      </c>
    </row>
    <row r="2608" spans="1:8" ht="13.8" thickBot="1">
      <c r="A2608" s="465" t="s">
        <v>7739</v>
      </c>
      <c r="B2608" s="465" t="s">
        <v>1252</v>
      </c>
      <c r="C2608" s="466">
        <v>5.5</v>
      </c>
      <c r="D2608" s="465"/>
      <c r="E2608" s="466" t="s">
        <v>1922</v>
      </c>
      <c r="F2608" s="466" t="s">
        <v>1226</v>
      </c>
      <c r="G2608" s="465">
        <v>1</v>
      </c>
      <c r="H2608" s="465">
        <v>2</v>
      </c>
    </row>
    <row r="2609" spans="1:8" ht="13.8" thickBot="1">
      <c r="A2609" s="467" t="s">
        <v>7740</v>
      </c>
      <c r="B2609" s="465" t="s">
        <v>1267</v>
      </c>
      <c r="C2609" s="466">
        <v>5.5</v>
      </c>
      <c r="D2609" s="465"/>
      <c r="E2609" s="466" t="s">
        <v>1922</v>
      </c>
      <c r="F2609" s="466" t="s">
        <v>1224</v>
      </c>
      <c r="G2609" s="465">
        <v>1</v>
      </c>
      <c r="H2609" s="465">
        <v>8</v>
      </c>
    </row>
    <row r="2610" spans="1:8" ht="13.8" thickBot="1">
      <c r="A2610" s="467" t="s">
        <v>7741</v>
      </c>
      <c r="B2610" s="465" t="s">
        <v>1257</v>
      </c>
      <c r="C2610" s="466">
        <v>5.5</v>
      </c>
      <c r="D2610" s="465"/>
      <c r="E2610" s="466" t="s">
        <v>1922</v>
      </c>
      <c r="F2610" s="466" t="s">
        <v>1224</v>
      </c>
      <c r="G2610" s="465">
        <v>2</v>
      </c>
      <c r="H2610" s="465">
        <v>10</v>
      </c>
    </row>
    <row r="2611" spans="1:8" ht="13.8" thickBot="1">
      <c r="A2611" s="467" t="s">
        <v>7742</v>
      </c>
      <c r="B2611" s="465" t="s">
        <v>1257</v>
      </c>
      <c r="C2611" s="466">
        <v>5.5</v>
      </c>
      <c r="D2611" s="465"/>
      <c r="E2611" s="466" t="s">
        <v>1922</v>
      </c>
      <c r="F2611" s="466"/>
      <c r="G2611" s="465"/>
      <c r="H2611" s="465">
        <v>2</v>
      </c>
    </row>
    <row r="2612" spans="1:8" ht="13.8" thickBot="1">
      <c r="A2612" s="467" t="s">
        <v>7743</v>
      </c>
      <c r="B2612" s="465" t="s">
        <v>1956</v>
      </c>
      <c r="C2612" s="466">
        <v>5.5</v>
      </c>
      <c r="D2612" s="465"/>
      <c r="E2612" s="466" t="s">
        <v>1922</v>
      </c>
      <c r="F2612" s="466"/>
      <c r="G2612" s="465">
        <v>1</v>
      </c>
      <c r="H2612" s="465">
        <v>6</v>
      </c>
    </row>
    <row r="2613" spans="1:8" ht="13.8" thickBot="1">
      <c r="A2613" s="467" t="s">
        <v>7744</v>
      </c>
      <c r="B2613" s="465" t="s">
        <v>1256</v>
      </c>
      <c r="C2613" s="466">
        <v>5.5</v>
      </c>
      <c r="D2613" s="465"/>
      <c r="E2613" s="466" t="s">
        <v>1922</v>
      </c>
      <c r="F2613" s="466"/>
      <c r="G2613" s="465"/>
      <c r="H2613" s="465">
        <v>2</v>
      </c>
    </row>
    <row r="2614" spans="1:8" ht="13.8" thickBot="1">
      <c r="A2614" s="467" t="s">
        <v>7745</v>
      </c>
      <c r="B2614" s="465" t="s">
        <v>1957</v>
      </c>
      <c r="C2614" s="466">
        <v>5.5</v>
      </c>
      <c r="D2614" s="465"/>
      <c r="E2614" s="466" t="s">
        <v>1922</v>
      </c>
      <c r="F2614" s="466"/>
      <c r="G2614" s="465"/>
      <c r="H2614" s="465">
        <v>1</v>
      </c>
    </row>
    <row r="2615" spans="1:8" ht="13.8" thickBot="1">
      <c r="A2615" s="467" t="s">
        <v>7746</v>
      </c>
      <c r="B2615" s="465" t="s">
        <v>1958</v>
      </c>
      <c r="C2615" s="466">
        <v>5.5</v>
      </c>
      <c r="D2615" s="465"/>
      <c r="E2615" s="466" t="s">
        <v>1922</v>
      </c>
      <c r="F2615" s="466"/>
      <c r="G2615" s="465"/>
      <c r="H2615" s="465">
        <v>1</v>
      </c>
    </row>
    <row r="2616" spans="1:8" ht="13.8" thickBot="1">
      <c r="A2616" s="465" t="s">
        <v>7857</v>
      </c>
      <c r="B2616" s="465" t="s">
        <v>2749</v>
      </c>
      <c r="C2616" s="466">
        <v>5.5</v>
      </c>
      <c r="D2616" s="467" t="s">
        <v>614</v>
      </c>
      <c r="E2616" s="466" t="s">
        <v>2747</v>
      </c>
      <c r="F2616" s="466" t="s">
        <v>1226</v>
      </c>
      <c r="G2616" s="465">
        <v>1</v>
      </c>
      <c r="H2616" s="465">
        <v>9</v>
      </c>
    </row>
    <row r="2617" spans="1:8" ht="13.8" thickBot="1">
      <c r="A2617" s="465" t="s">
        <v>7858</v>
      </c>
      <c r="B2617" s="465" t="s">
        <v>1372</v>
      </c>
      <c r="C2617" s="466">
        <v>5.5</v>
      </c>
      <c r="D2617" s="465"/>
      <c r="E2617" s="466" t="s">
        <v>2747</v>
      </c>
      <c r="F2617" s="466"/>
      <c r="G2617" s="465"/>
      <c r="H2617" s="465"/>
    </row>
    <row r="2618" spans="1:8" ht="13.8" thickBot="1">
      <c r="A2618" s="465" t="s">
        <v>7859</v>
      </c>
      <c r="B2618" s="465" t="s">
        <v>2771</v>
      </c>
      <c r="C2618" s="466">
        <v>5.5</v>
      </c>
      <c r="D2618" s="465"/>
      <c r="E2618" s="466" t="s">
        <v>2764</v>
      </c>
      <c r="F2618" s="466" t="s">
        <v>1224</v>
      </c>
      <c r="G2618" s="465"/>
      <c r="H2618" s="465">
        <v>7</v>
      </c>
    </row>
    <row r="2619" spans="1:8" ht="13.8" thickBot="1">
      <c r="A2619" s="465" t="s">
        <v>7860</v>
      </c>
      <c r="B2619" s="465" t="s">
        <v>2772</v>
      </c>
      <c r="C2619" s="466">
        <v>5.5</v>
      </c>
      <c r="D2619" s="465"/>
      <c r="E2619" s="466" t="s">
        <v>2764</v>
      </c>
      <c r="F2619" s="466"/>
      <c r="G2619" s="465"/>
      <c r="H2619" s="465">
        <v>1</v>
      </c>
    </row>
    <row r="2620" spans="1:8" ht="13.8" thickBot="1">
      <c r="A2620" s="465" t="s">
        <v>7861</v>
      </c>
      <c r="B2620" s="465" t="s">
        <v>1377</v>
      </c>
      <c r="C2620" s="466">
        <v>5.5</v>
      </c>
      <c r="D2620" s="465"/>
      <c r="E2620" s="466" t="s">
        <v>2779</v>
      </c>
      <c r="F2620" s="466" t="s">
        <v>2319</v>
      </c>
      <c r="G2620" s="465">
        <v>2</v>
      </c>
      <c r="H2620" s="465">
        <v>28</v>
      </c>
    </row>
    <row r="2621" spans="1:8" ht="13.8" thickBot="1">
      <c r="A2621" s="465" t="s">
        <v>7862</v>
      </c>
      <c r="B2621" s="465" t="s">
        <v>2791</v>
      </c>
      <c r="C2621" s="466">
        <v>5.5</v>
      </c>
      <c r="D2621" s="467" t="s">
        <v>614</v>
      </c>
      <c r="E2621" s="466" t="s">
        <v>2779</v>
      </c>
      <c r="F2621" s="466" t="s">
        <v>1251</v>
      </c>
      <c r="G2621" s="465">
        <v>1</v>
      </c>
      <c r="H2621" s="465">
        <v>14</v>
      </c>
    </row>
    <row r="2622" spans="1:8" ht="13.8" thickBot="1">
      <c r="A2622" s="465" t="s">
        <v>7863</v>
      </c>
      <c r="B2622" s="465" t="s">
        <v>2792</v>
      </c>
      <c r="C2622" s="466">
        <v>5.5</v>
      </c>
      <c r="D2622" s="467" t="s">
        <v>614</v>
      </c>
      <c r="E2622" s="466" t="s">
        <v>2779</v>
      </c>
      <c r="F2622" s="466" t="s">
        <v>2793</v>
      </c>
      <c r="G2622" s="465"/>
      <c r="H2622" s="465">
        <v>1</v>
      </c>
    </row>
    <row r="2623" spans="1:8" ht="13.8" thickBot="1">
      <c r="A2623" s="467" t="s">
        <v>7864</v>
      </c>
      <c r="B2623" s="465" t="s">
        <v>2794</v>
      </c>
      <c r="C2623" s="466">
        <v>5.5</v>
      </c>
      <c r="D2623" s="467" t="s">
        <v>1978</v>
      </c>
      <c r="E2623" s="466" t="s">
        <v>2779</v>
      </c>
      <c r="F2623" s="466"/>
      <c r="G2623" s="465"/>
      <c r="H2623" s="465">
        <v>3</v>
      </c>
    </row>
    <row r="2624" spans="1:8" ht="13.8" thickBot="1">
      <c r="A2624" s="467" t="s">
        <v>7865</v>
      </c>
      <c r="B2624" s="465" t="s">
        <v>1331</v>
      </c>
      <c r="C2624" s="466">
        <v>5.5</v>
      </c>
      <c r="D2624" s="467" t="s">
        <v>614</v>
      </c>
      <c r="E2624" s="466" t="s">
        <v>2797</v>
      </c>
      <c r="F2624" s="466" t="s">
        <v>1251</v>
      </c>
      <c r="G2624" s="465"/>
      <c r="H2624" s="465">
        <v>2</v>
      </c>
    </row>
    <row r="2625" spans="1:8" ht="13.8" thickBot="1">
      <c r="A2625" s="467" t="s">
        <v>7866</v>
      </c>
      <c r="B2625" s="465" t="s">
        <v>1331</v>
      </c>
      <c r="C2625" s="466">
        <v>5.5</v>
      </c>
      <c r="D2625" s="467" t="s">
        <v>614</v>
      </c>
      <c r="E2625" s="466" t="s">
        <v>2797</v>
      </c>
      <c r="F2625" s="466" t="s">
        <v>1220</v>
      </c>
      <c r="G2625" s="465"/>
      <c r="H2625" s="465">
        <v>3</v>
      </c>
    </row>
    <row r="2626" spans="1:8" ht="13.8" thickBot="1">
      <c r="A2626" s="465" t="s">
        <v>7867</v>
      </c>
      <c r="B2626" s="465" t="s">
        <v>1331</v>
      </c>
      <c r="C2626" s="466">
        <v>5.5</v>
      </c>
      <c r="D2626" s="467" t="s">
        <v>614</v>
      </c>
      <c r="E2626" s="466" t="s">
        <v>2797</v>
      </c>
      <c r="F2626" s="466"/>
      <c r="G2626" s="465"/>
      <c r="H2626" s="465">
        <v>2</v>
      </c>
    </row>
    <row r="2627" spans="1:8" ht="13.8" thickBot="1">
      <c r="A2627" s="465" t="s">
        <v>7868</v>
      </c>
      <c r="B2627" s="465" t="s">
        <v>2825</v>
      </c>
      <c r="C2627" s="466">
        <v>5.5</v>
      </c>
      <c r="D2627" s="465"/>
      <c r="E2627" s="466" t="s">
        <v>2797</v>
      </c>
      <c r="F2627" s="466"/>
      <c r="G2627" s="465"/>
      <c r="H2627" s="465">
        <v>2</v>
      </c>
    </row>
    <row r="2628" spans="1:8" ht="13.8" thickBot="1">
      <c r="A2628" s="465" t="s">
        <v>7869</v>
      </c>
      <c r="B2628" s="465" t="s">
        <v>2873</v>
      </c>
      <c r="C2628" s="466">
        <v>5.5</v>
      </c>
      <c r="D2628" s="467" t="s">
        <v>614</v>
      </c>
      <c r="E2628" s="466" t="s">
        <v>2841</v>
      </c>
      <c r="F2628" s="466" t="s">
        <v>1224</v>
      </c>
      <c r="G2628" s="465">
        <v>1</v>
      </c>
      <c r="H2628" s="465">
        <v>11</v>
      </c>
    </row>
    <row r="2629" spans="1:8" ht="13.8" thickBot="1">
      <c r="A2629" s="467" t="s">
        <v>7870</v>
      </c>
      <c r="B2629" s="465" t="s">
        <v>2874</v>
      </c>
      <c r="C2629" s="466">
        <v>5.5</v>
      </c>
      <c r="D2629" s="465"/>
      <c r="E2629" s="466" t="s">
        <v>2841</v>
      </c>
      <c r="F2629" s="466"/>
      <c r="G2629" s="465"/>
      <c r="H2629" s="465">
        <v>1</v>
      </c>
    </row>
    <row r="2630" spans="1:8" ht="13.8" thickBot="1">
      <c r="A2630" s="465" t="s">
        <v>7871</v>
      </c>
      <c r="B2630" s="465" t="s">
        <v>1354</v>
      </c>
      <c r="C2630" s="466">
        <v>5.5</v>
      </c>
      <c r="D2630" s="467" t="s">
        <v>614</v>
      </c>
      <c r="E2630" s="466" t="s">
        <v>2884</v>
      </c>
      <c r="F2630" s="466" t="s">
        <v>1226</v>
      </c>
      <c r="G2630" s="465">
        <v>3</v>
      </c>
      <c r="H2630" s="465">
        <v>18</v>
      </c>
    </row>
    <row r="2631" spans="1:8" ht="13.8" thickBot="1">
      <c r="A2631" s="465" t="s">
        <v>1080</v>
      </c>
      <c r="B2631" s="465" t="s">
        <v>1356</v>
      </c>
      <c r="C2631" s="466">
        <v>5.5</v>
      </c>
      <c r="D2631" s="465"/>
      <c r="E2631" s="466" t="s">
        <v>2899</v>
      </c>
      <c r="F2631" s="466" t="s">
        <v>1865</v>
      </c>
      <c r="G2631" s="465"/>
      <c r="H2631" s="465">
        <v>6</v>
      </c>
    </row>
    <row r="2632" spans="1:8" ht="13.8" thickBot="1">
      <c r="A2632" s="467" t="s">
        <v>7872</v>
      </c>
      <c r="B2632" s="465" t="s">
        <v>2913</v>
      </c>
      <c r="C2632" s="466">
        <v>5.5</v>
      </c>
      <c r="D2632" s="467" t="s">
        <v>614</v>
      </c>
      <c r="E2632" s="466" t="s">
        <v>2899</v>
      </c>
      <c r="F2632" s="466" t="s">
        <v>1226</v>
      </c>
      <c r="G2632" s="465">
        <v>2</v>
      </c>
      <c r="H2632" s="465">
        <v>11</v>
      </c>
    </row>
    <row r="2633" spans="1:8" ht="13.8" thickBot="1">
      <c r="A2633" s="465" t="s">
        <v>7747</v>
      </c>
      <c r="B2633" s="465" t="s">
        <v>2010</v>
      </c>
      <c r="C2633" s="466">
        <v>5.5</v>
      </c>
      <c r="D2633" s="465"/>
      <c r="E2633" s="466" t="s">
        <v>1997</v>
      </c>
      <c r="F2633" s="466" t="s">
        <v>1220</v>
      </c>
      <c r="G2633" s="465"/>
      <c r="H2633" s="465">
        <v>3</v>
      </c>
    </row>
    <row r="2634" spans="1:8" ht="13.8" thickBot="1">
      <c r="A2634" s="465" t="s">
        <v>1120</v>
      </c>
      <c r="B2634" s="465" t="s">
        <v>2011</v>
      </c>
      <c r="C2634" s="466">
        <v>5.5</v>
      </c>
      <c r="D2634" s="465"/>
      <c r="E2634" s="466" t="s">
        <v>1997</v>
      </c>
      <c r="F2634" s="466"/>
      <c r="G2634" s="465"/>
      <c r="H2634" s="465">
        <v>1</v>
      </c>
    </row>
    <row r="2635" spans="1:8" ht="13.8" thickBot="1">
      <c r="A2635" s="467" t="s">
        <v>7748</v>
      </c>
      <c r="B2635" s="465" t="s">
        <v>2012</v>
      </c>
      <c r="C2635" s="466">
        <v>5.5</v>
      </c>
      <c r="D2635" s="467" t="s">
        <v>614</v>
      </c>
      <c r="E2635" s="466" t="s">
        <v>1997</v>
      </c>
      <c r="F2635" s="466"/>
      <c r="G2635" s="465"/>
      <c r="H2635" s="465">
        <v>3</v>
      </c>
    </row>
    <row r="2636" spans="1:8" ht="13.8" thickBot="1">
      <c r="A2636" s="465" t="s">
        <v>7749</v>
      </c>
      <c r="B2636" s="465" t="s">
        <v>2013</v>
      </c>
      <c r="C2636" s="466">
        <v>5.5</v>
      </c>
      <c r="D2636" s="465"/>
      <c r="E2636" s="466" t="s">
        <v>1997</v>
      </c>
      <c r="F2636" s="466"/>
      <c r="G2636" s="465"/>
      <c r="H2636" s="465">
        <v>1</v>
      </c>
    </row>
    <row r="2637" spans="1:8" ht="13.8" thickBot="1">
      <c r="A2637" s="467" t="s">
        <v>7873</v>
      </c>
      <c r="B2637" s="465" t="s">
        <v>2921</v>
      </c>
      <c r="C2637" s="466">
        <v>5.5</v>
      </c>
      <c r="D2637" s="465"/>
      <c r="E2637" s="466" t="s">
        <v>2922</v>
      </c>
      <c r="F2637" s="466" t="s">
        <v>1226</v>
      </c>
      <c r="G2637" s="465"/>
      <c r="H2637" s="465">
        <v>1</v>
      </c>
    </row>
    <row r="2638" spans="1:8" ht="13.8" thickBot="1">
      <c r="A2638" s="467" t="s">
        <v>7874</v>
      </c>
      <c r="B2638" s="465" t="s">
        <v>2921</v>
      </c>
      <c r="C2638" s="466">
        <v>5.5</v>
      </c>
      <c r="D2638" s="465"/>
      <c r="E2638" s="466" t="s">
        <v>2922</v>
      </c>
      <c r="F2638" s="466" t="s">
        <v>1226</v>
      </c>
      <c r="G2638" s="465"/>
      <c r="H2638" s="465">
        <v>1</v>
      </c>
    </row>
    <row r="2639" spans="1:8" ht="13.8" thickBot="1">
      <c r="A2639" s="465" t="s">
        <v>1055</v>
      </c>
      <c r="B2639" s="465" t="s">
        <v>2933</v>
      </c>
      <c r="C2639" s="466">
        <v>5.5</v>
      </c>
      <c r="D2639" s="467" t="s">
        <v>614</v>
      </c>
      <c r="E2639" s="466" t="s">
        <v>2922</v>
      </c>
      <c r="F2639" s="466" t="s">
        <v>1226</v>
      </c>
      <c r="G2639" s="465">
        <v>1</v>
      </c>
      <c r="H2639" s="465">
        <v>19</v>
      </c>
    </row>
    <row r="2640" spans="1:8" ht="13.8" thickBot="1">
      <c r="A2640" s="467" t="s">
        <v>7875</v>
      </c>
      <c r="B2640" s="465" t="s">
        <v>2934</v>
      </c>
      <c r="C2640" s="466">
        <v>5.5</v>
      </c>
      <c r="D2640" s="465"/>
      <c r="E2640" s="466" t="s">
        <v>2922</v>
      </c>
      <c r="F2640" s="466" t="s">
        <v>1224</v>
      </c>
      <c r="G2640" s="465"/>
      <c r="H2640" s="465">
        <v>1</v>
      </c>
    </row>
    <row r="2641" spans="1:8" ht="13.8" thickBot="1">
      <c r="A2641" s="465" t="s">
        <v>7876</v>
      </c>
      <c r="B2641" s="465" t="s">
        <v>2948</v>
      </c>
      <c r="C2641" s="466">
        <v>5.5</v>
      </c>
      <c r="D2641" s="465"/>
      <c r="E2641" s="466" t="s">
        <v>2943</v>
      </c>
      <c r="F2641" s="466" t="s">
        <v>1841</v>
      </c>
      <c r="G2641" s="465">
        <v>3</v>
      </c>
      <c r="H2641" s="465">
        <v>15</v>
      </c>
    </row>
    <row r="2642" spans="1:8" ht="13.8" thickBot="1">
      <c r="A2642" s="465" t="s">
        <v>7877</v>
      </c>
      <c r="B2642" s="465" t="s">
        <v>2949</v>
      </c>
      <c r="C2642" s="466">
        <v>5.5</v>
      </c>
      <c r="D2642" s="467" t="s">
        <v>614</v>
      </c>
      <c r="E2642" s="466" t="s">
        <v>2943</v>
      </c>
      <c r="F2642" s="466" t="s">
        <v>1226</v>
      </c>
      <c r="G2642" s="465">
        <v>4</v>
      </c>
      <c r="H2642" s="465">
        <v>16</v>
      </c>
    </row>
    <row r="2643" spans="1:8" ht="13.8" thickBot="1">
      <c r="A2643" s="465" t="s">
        <v>7878</v>
      </c>
      <c r="B2643" s="465" t="s">
        <v>2950</v>
      </c>
      <c r="C2643" s="466">
        <v>5.5</v>
      </c>
      <c r="D2643" s="465"/>
      <c r="E2643" s="466" t="s">
        <v>2943</v>
      </c>
      <c r="F2643" s="466" t="s">
        <v>1224</v>
      </c>
      <c r="G2643" s="465">
        <v>1</v>
      </c>
      <c r="H2643" s="465">
        <v>4</v>
      </c>
    </row>
    <row r="2644" spans="1:8" ht="13.8" thickBot="1">
      <c r="A2644" s="465" t="s">
        <v>7879</v>
      </c>
      <c r="B2644" s="465" t="s">
        <v>2951</v>
      </c>
      <c r="C2644" s="466">
        <v>5.5</v>
      </c>
      <c r="D2644" s="467" t="s">
        <v>614</v>
      </c>
      <c r="E2644" s="466" t="s">
        <v>2943</v>
      </c>
      <c r="F2644" s="466" t="s">
        <v>1224</v>
      </c>
      <c r="G2644" s="465">
        <v>4</v>
      </c>
      <c r="H2644" s="465">
        <v>18</v>
      </c>
    </row>
    <row r="2645" spans="1:8" ht="13.8" thickBot="1">
      <c r="A2645" s="467" t="s">
        <v>7880</v>
      </c>
      <c r="B2645" s="465" t="s">
        <v>3019</v>
      </c>
      <c r="C2645" s="466">
        <v>5.5</v>
      </c>
      <c r="D2645" s="467" t="s">
        <v>3020</v>
      </c>
      <c r="E2645" s="466" t="s">
        <v>2957</v>
      </c>
      <c r="F2645" s="466" t="s">
        <v>1226</v>
      </c>
      <c r="G2645" s="465">
        <v>1</v>
      </c>
      <c r="H2645" s="465">
        <v>10</v>
      </c>
    </row>
    <row r="2646" spans="1:8" ht="13.8" thickBot="1">
      <c r="A2646" s="467" t="s">
        <v>7881</v>
      </c>
      <c r="B2646" s="465" t="s">
        <v>1563</v>
      </c>
      <c r="C2646" s="466">
        <v>5.5</v>
      </c>
      <c r="D2646" s="465"/>
      <c r="E2646" s="466" t="s">
        <v>2957</v>
      </c>
      <c r="F2646" s="466" t="s">
        <v>1226</v>
      </c>
      <c r="G2646" s="465"/>
      <c r="H2646" s="465">
        <v>5</v>
      </c>
    </row>
    <row r="2647" spans="1:8" ht="13.8" thickBot="1">
      <c r="A2647" s="465" t="s">
        <v>7882</v>
      </c>
      <c r="B2647" s="465" t="s">
        <v>3021</v>
      </c>
      <c r="C2647" s="466">
        <v>5.5</v>
      </c>
      <c r="D2647" s="465"/>
      <c r="E2647" s="466" t="s">
        <v>2957</v>
      </c>
      <c r="F2647" s="466" t="s">
        <v>1226</v>
      </c>
      <c r="G2647" s="465">
        <v>2</v>
      </c>
      <c r="H2647" s="465">
        <v>7</v>
      </c>
    </row>
    <row r="2648" spans="1:8" ht="13.8" thickBot="1">
      <c r="A2648" s="465" t="s">
        <v>7883</v>
      </c>
      <c r="B2648" s="465" t="s">
        <v>2968</v>
      </c>
      <c r="C2648" s="466">
        <v>5.5</v>
      </c>
      <c r="D2648" s="465"/>
      <c r="E2648" s="466" t="s">
        <v>2957</v>
      </c>
      <c r="F2648" s="466" t="s">
        <v>1226</v>
      </c>
      <c r="G2648" s="465"/>
      <c r="H2648" s="465">
        <v>2</v>
      </c>
    </row>
    <row r="2649" spans="1:8" ht="13.8" thickBot="1">
      <c r="A2649" s="467" t="s">
        <v>7884</v>
      </c>
      <c r="B2649" s="465" t="s">
        <v>3022</v>
      </c>
      <c r="C2649" s="466">
        <v>5.5</v>
      </c>
      <c r="D2649" s="465"/>
      <c r="E2649" s="466" t="s">
        <v>2957</v>
      </c>
      <c r="F2649" s="466" t="s">
        <v>1226</v>
      </c>
      <c r="G2649" s="465"/>
      <c r="H2649" s="465">
        <v>11</v>
      </c>
    </row>
    <row r="2650" spans="1:8" ht="13.8" thickBot="1">
      <c r="A2650" s="467" t="s">
        <v>7885</v>
      </c>
      <c r="B2650" s="465" t="s">
        <v>3023</v>
      </c>
      <c r="C2650" s="466">
        <v>5.5</v>
      </c>
      <c r="D2650" s="465"/>
      <c r="E2650" s="466" t="s">
        <v>2957</v>
      </c>
      <c r="F2650" s="466" t="s">
        <v>1226</v>
      </c>
      <c r="G2650" s="465"/>
      <c r="H2650" s="465">
        <v>4</v>
      </c>
    </row>
    <row r="2651" spans="1:8" ht="13.8" thickBot="1">
      <c r="A2651" s="467" t="s">
        <v>7886</v>
      </c>
      <c r="B2651" s="465" t="s">
        <v>1582</v>
      </c>
      <c r="C2651" s="466">
        <v>5.5</v>
      </c>
      <c r="D2651" s="465"/>
      <c r="E2651" s="466" t="s">
        <v>2957</v>
      </c>
      <c r="F2651" s="466" t="s">
        <v>1226</v>
      </c>
      <c r="G2651" s="465">
        <v>1</v>
      </c>
      <c r="H2651" s="465">
        <v>7</v>
      </c>
    </row>
    <row r="2652" spans="1:8" ht="13.8" thickBot="1">
      <c r="A2652" s="467" t="s">
        <v>7887</v>
      </c>
      <c r="B2652" s="465" t="s">
        <v>3024</v>
      </c>
      <c r="C2652" s="466">
        <v>5.5</v>
      </c>
      <c r="D2652" s="465"/>
      <c r="E2652" s="466" t="s">
        <v>2957</v>
      </c>
      <c r="F2652" s="466" t="s">
        <v>1226</v>
      </c>
      <c r="G2652" s="465">
        <v>2</v>
      </c>
      <c r="H2652" s="465">
        <v>14</v>
      </c>
    </row>
    <row r="2653" spans="1:8" ht="13.8" thickBot="1">
      <c r="A2653" s="467" t="s">
        <v>7888</v>
      </c>
      <c r="B2653" s="465" t="s">
        <v>3025</v>
      </c>
      <c r="C2653" s="466">
        <v>5.5</v>
      </c>
      <c r="D2653" s="465"/>
      <c r="E2653" s="466" t="s">
        <v>2957</v>
      </c>
      <c r="F2653" s="466" t="s">
        <v>1226</v>
      </c>
      <c r="G2653" s="465">
        <v>2</v>
      </c>
      <c r="H2653" s="465">
        <v>8</v>
      </c>
    </row>
    <row r="2654" spans="1:8" ht="13.8" thickBot="1">
      <c r="A2654" s="467" t="s">
        <v>7889</v>
      </c>
      <c r="B2654" s="465" t="s">
        <v>1585</v>
      </c>
      <c r="C2654" s="466">
        <v>5.5</v>
      </c>
      <c r="D2654" s="465" t="s">
        <v>1096</v>
      </c>
      <c r="E2654" s="466" t="s">
        <v>2957</v>
      </c>
      <c r="F2654" s="466" t="s">
        <v>1863</v>
      </c>
      <c r="G2654" s="465">
        <v>3</v>
      </c>
      <c r="H2654" s="465">
        <v>16</v>
      </c>
    </row>
    <row r="2655" spans="1:8" ht="13.8" thickBot="1">
      <c r="A2655" s="467" t="s">
        <v>7890</v>
      </c>
      <c r="B2655" s="465" t="s">
        <v>3026</v>
      </c>
      <c r="C2655" s="466">
        <v>5.5</v>
      </c>
      <c r="D2655" s="465"/>
      <c r="E2655" s="466" t="s">
        <v>2957</v>
      </c>
      <c r="F2655" s="466" t="s">
        <v>2067</v>
      </c>
      <c r="G2655" s="465">
        <v>2</v>
      </c>
      <c r="H2655" s="465">
        <v>11</v>
      </c>
    </row>
    <row r="2656" spans="1:8" ht="13.8" thickBot="1">
      <c r="A2656" s="465" t="s">
        <v>754</v>
      </c>
      <c r="B2656" s="465" t="s">
        <v>3027</v>
      </c>
      <c r="C2656" s="475">
        <v>5.5</v>
      </c>
      <c r="D2656" s="465"/>
      <c r="E2656" s="466" t="s">
        <v>2957</v>
      </c>
      <c r="F2656" s="466" t="s">
        <v>1224</v>
      </c>
      <c r="G2656" s="465">
        <v>2</v>
      </c>
      <c r="H2656" s="465">
        <v>17</v>
      </c>
    </row>
    <row r="2657" spans="1:8" ht="13.8" thickBot="1">
      <c r="A2657" s="467" t="s">
        <v>7891</v>
      </c>
      <c r="B2657" s="465" t="s">
        <v>1588</v>
      </c>
      <c r="C2657" s="466">
        <v>5.5</v>
      </c>
      <c r="D2657" s="465"/>
      <c r="E2657" s="466" t="s">
        <v>2957</v>
      </c>
      <c r="F2657" s="466" t="s">
        <v>1224</v>
      </c>
      <c r="G2657" s="465">
        <v>2</v>
      </c>
      <c r="H2657" s="465">
        <v>17</v>
      </c>
    </row>
    <row r="2658" spans="1:8" ht="13.8" thickBot="1">
      <c r="A2658" s="465" t="s">
        <v>7892</v>
      </c>
      <c r="B2658" s="468" t="s">
        <v>3028</v>
      </c>
      <c r="C2658" s="466">
        <v>5.5</v>
      </c>
      <c r="D2658" s="465"/>
      <c r="E2658" s="466" t="s">
        <v>2957</v>
      </c>
      <c r="F2658" s="466" t="s">
        <v>1224</v>
      </c>
      <c r="G2658" s="465"/>
      <c r="H2658" s="465">
        <v>2</v>
      </c>
    </row>
    <row r="2659" spans="1:8" ht="13.8" thickBot="1">
      <c r="A2659" s="465" t="s">
        <v>7893</v>
      </c>
      <c r="B2659" s="465" t="s">
        <v>3029</v>
      </c>
      <c r="C2659" s="466">
        <v>5.5</v>
      </c>
      <c r="D2659" s="467" t="s">
        <v>3030</v>
      </c>
      <c r="E2659" s="466" t="s">
        <v>2957</v>
      </c>
      <c r="F2659" s="466" t="s">
        <v>1224</v>
      </c>
      <c r="G2659" s="465">
        <v>1</v>
      </c>
      <c r="H2659" s="465">
        <v>8</v>
      </c>
    </row>
    <row r="2660" spans="1:8" ht="13.8" thickBot="1">
      <c r="A2660" s="465" t="s">
        <v>7894</v>
      </c>
      <c r="B2660" s="465" t="s">
        <v>3031</v>
      </c>
      <c r="C2660" s="466">
        <v>5.5</v>
      </c>
      <c r="D2660" s="465"/>
      <c r="E2660" s="466" t="s">
        <v>2957</v>
      </c>
      <c r="F2660" s="466" t="s">
        <v>1224</v>
      </c>
      <c r="G2660" s="465"/>
      <c r="H2660" s="465">
        <v>8</v>
      </c>
    </row>
    <row r="2661" spans="1:8" ht="13.8" thickBot="1">
      <c r="A2661" s="465" t="s">
        <v>7895</v>
      </c>
      <c r="B2661" s="465" t="s">
        <v>3032</v>
      </c>
      <c r="C2661" s="466">
        <v>5.5</v>
      </c>
      <c r="D2661" s="465"/>
      <c r="E2661" s="466" t="s">
        <v>2957</v>
      </c>
      <c r="F2661" s="466" t="s">
        <v>1224</v>
      </c>
      <c r="G2661" s="465"/>
      <c r="H2661" s="465"/>
    </row>
    <row r="2662" spans="1:8" ht="13.8" thickBot="1">
      <c r="A2662" s="467" t="s">
        <v>7896</v>
      </c>
      <c r="B2662" s="465" t="s">
        <v>2963</v>
      </c>
      <c r="C2662" s="466">
        <v>5.5</v>
      </c>
      <c r="D2662" s="465"/>
      <c r="E2662" s="466" t="s">
        <v>2957</v>
      </c>
      <c r="F2662" s="466" t="s">
        <v>1220</v>
      </c>
      <c r="G2662" s="465">
        <v>1</v>
      </c>
      <c r="H2662" s="465">
        <v>4</v>
      </c>
    </row>
    <row r="2663" spans="1:8" ht="13.8" thickBot="1">
      <c r="A2663" s="465" t="s">
        <v>7897</v>
      </c>
      <c r="B2663" s="465" t="s">
        <v>1552</v>
      </c>
      <c r="C2663" s="466">
        <v>5.5</v>
      </c>
      <c r="D2663" s="465"/>
      <c r="E2663" s="466" t="s">
        <v>2957</v>
      </c>
      <c r="F2663" s="466"/>
      <c r="G2663" s="465"/>
      <c r="H2663" s="465">
        <v>2</v>
      </c>
    </row>
    <row r="2664" spans="1:8" ht="13.8" thickBot="1">
      <c r="A2664" s="465" t="s">
        <v>7898</v>
      </c>
      <c r="B2664" s="468" t="s">
        <v>1552</v>
      </c>
      <c r="C2664" s="466">
        <v>5.5</v>
      </c>
      <c r="D2664" s="465"/>
      <c r="E2664" s="466" t="s">
        <v>2957</v>
      </c>
      <c r="F2664" s="466"/>
      <c r="G2664" s="465"/>
      <c r="H2664" s="465">
        <v>1</v>
      </c>
    </row>
    <row r="2665" spans="1:8" ht="13.8" thickBot="1">
      <c r="A2665" s="465" t="s">
        <v>7899</v>
      </c>
      <c r="B2665" s="465" t="s">
        <v>1552</v>
      </c>
      <c r="C2665" s="466">
        <v>5.5</v>
      </c>
      <c r="D2665" s="465" t="s">
        <v>1096</v>
      </c>
      <c r="E2665" s="466" t="s">
        <v>2957</v>
      </c>
      <c r="F2665" s="466"/>
      <c r="G2665" s="465"/>
      <c r="H2665" s="465">
        <v>5</v>
      </c>
    </row>
    <row r="2666" spans="1:8" ht="13.8" thickBot="1">
      <c r="A2666" s="465" t="s">
        <v>7900</v>
      </c>
      <c r="B2666" s="465" t="s">
        <v>1552</v>
      </c>
      <c r="C2666" s="466">
        <v>5.5</v>
      </c>
      <c r="D2666" s="465"/>
      <c r="E2666" s="466" t="s">
        <v>2957</v>
      </c>
      <c r="F2666" s="466"/>
      <c r="G2666" s="465"/>
      <c r="H2666" s="465">
        <v>4</v>
      </c>
    </row>
    <row r="2667" spans="1:8" ht="13.8" thickBot="1">
      <c r="A2667" s="465" t="s">
        <v>7901</v>
      </c>
      <c r="B2667" s="465" t="s">
        <v>1552</v>
      </c>
      <c r="C2667" s="466">
        <v>5.5</v>
      </c>
      <c r="D2667" s="465"/>
      <c r="E2667" s="466" t="s">
        <v>2957</v>
      </c>
      <c r="F2667" s="466"/>
      <c r="G2667" s="465"/>
      <c r="H2667" s="465">
        <v>3</v>
      </c>
    </row>
    <row r="2668" spans="1:8" ht="13.8" thickBot="1">
      <c r="A2668" s="465" t="s">
        <v>7902</v>
      </c>
      <c r="B2668" s="465" t="s">
        <v>1562</v>
      </c>
      <c r="C2668" s="466">
        <v>5.5</v>
      </c>
      <c r="D2668" s="465"/>
      <c r="E2668" s="466" t="s">
        <v>2957</v>
      </c>
      <c r="F2668" s="466"/>
      <c r="G2668" s="465"/>
      <c r="H2668" s="465">
        <v>2</v>
      </c>
    </row>
    <row r="2669" spans="1:8" ht="13.8" thickBot="1">
      <c r="A2669" s="465" t="s">
        <v>7903</v>
      </c>
      <c r="B2669" s="465" t="s">
        <v>3033</v>
      </c>
      <c r="C2669" s="466">
        <v>5.5</v>
      </c>
      <c r="D2669" s="465"/>
      <c r="E2669" s="466" t="s">
        <v>2957</v>
      </c>
      <c r="F2669" s="466"/>
      <c r="G2669" s="465"/>
      <c r="H2669" s="465"/>
    </row>
    <row r="2670" spans="1:8" ht="13.8" thickBot="1">
      <c r="A2670" s="465" t="s">
        <v>7904</v>
      </c>
      <c r="B2670" s="465" t="s">
        <v>3101</v>
      </c>
      <c r="C2670" s="466">
        <v>5.5</v>
      </c>
      <c r="D2670" s="465" t="s">
        <v>3102</v>
      </c>
      <c r="E2670" s="466" t="s">
        <v>3085</v>
      </c>
      <c r="F2670" s="466" t="s">
        <v>1863</v>
      </c>
      <c r="G2670" s="465">
        <v>1</v>
      </c>
      <c r="H2670" s="465">
        <v>5</v>
      </c>
    </row>
    <row r="2671" spans="1:8" ht="13.8" thickBot="1">
      <c r="A2671" s="467" t="s">
        <v>7905</v>
      </c>
      <c r="B2671" s="465" t="s">
        <v>3144</v>
      </c>
      <c r="C2671" s="466">
        <v>5.5</v>
      </c>
      <c r="D2671" s="465"/>
      <c r="E2671" s="466" t="s">
        <v>3130</v>
      </c>
      <c r="F2671" s="466" t="s">
        <v>1226</v>
      </c>
      <c r="G2671" s="465">
        <v>1</v>
      </c>
      <c r="H2671" s="465">
        <v>8</v>
      </c>
    </row>
    <row r="2672" spans="1:8" ht="13.8" thickBot="1">
      <c r="A2672" s="465" t="s">
        <v>7906</v>
      </c>
      <c r="B2672" s="465" t="s">
        <v>3149</v>
      </c>
      <c r="C2672" s="466">
        <v>5.5</v>
      </c>
      <c r="D2672" s="465"/>
      <c r="E2672" s="466" t="s">
        <v>3130</v>
      </c>
      <c r="F2672" s="466" t="s">
        <v>1226</v>
      </c>
      <c r="G2672" s="465"/>
      <c r="H2672" s="465">
        <v>6</v>
      </c>
    </row>
    <row r="2673" spans="1:8" ht="13.8" thickBot="1">
      <c r="A2673" s="465" t="s">
        <v>7907</v>
      </c>
      <c r="B2673" s="465" t="s">
        <v>3138</v>
      </c>
      <c r="C2673" s="466">
        <v>5.5</v>
      </c>
      <c r="D2673" s="467" t="s">
        <v>614</v>
      </c>
      <c r="E2673" s="466" t="s">
        <v>3130</v>
      </c>
      <c r="F2673" s="466"/>
      <c r="G2673" s="465"/>
      <c r="H2673" s="465"/>
    </row>
    <row r="2674" spans="1:8" ht="13.8" thickBot="1">
      <c r="A2674" s="465" t="s">
        <v>7908</v>
      </c>
      <c r="B2674" s="465" t="s">
        <v>3160</v>
      </c>
      <c r="C2674" s="466">
        <v>5.5</v>
      </c>
      <c r="D2674" s="465"/>
      <c r="E2674" s="466" t="s">
        <v>3158</v>
      </c>
      <c r="F2674" s="466"/>
      <c r="G2674" s="465"/>
      <c r="H2674" s="465"/>
    </row>
    <row r="2675" spans="1:8" ht="13.8" thickBot="1">
      <c r="A2675" s="465" t="s">
        <v>7909</v>
      </c>
      <c r="B2675" s="465" t="s">
        <v>3228</v>
      </c>
      <c r="C2675" s="466">
        <v>5.5</v>
      </c>
      <c r="D2675" s="467" t="s">
        <v>614</v>
      </c>
      <c r="E2675" s="466" t="s">
        <v>3161</v>
      </c>
      <c r="F2675" s="466" t="s">
        <v>1880</v>
      </c>
      <c r="G2675" s="465">
        <v>2</v>
      </c>
      <c r="H2675" s="465">
        <v>3</v>
      </c>
    </row>
    <row r="2676" spans="1:8" ht="13.8" thickBot="1">
      <c r="A2676" s="465" t="s">
        <v>7910</v>
      </c>
      <c r="B2676" s="465" t="s">
        <v>3229</v>
      </c>
      <c r="C2676" s="466">
        <v>5.5</v>
      </c>
      <c r="D2676" s="467" t="s">
        <v>3230</v>
      </c>
      <c r="E2676" s="466" t="s">
        <v>3161</v>
      </c>
      <c r="F2676" s="466" t="s">
        <v>1841</v>
      </c>
      <c r="G2676" s="465"/>
      <c r="H2676" s="465">
        <v>6</v>
      </c>
    </row>
    <row r="2677" spans="1:8" ht="13.8" thickBot="1">
      <c r="A2677" s="465" t="s">
        <v>7911</v>
      </c>
      <c r="B2677" s="465" t="s">
        <v>1390</v>
      </c>
      <c r="C2677" s="466">
        <v>5.5</v>
      </c>
      <c r="D2677" s="467" t="s">
        <v>614</v>
      </c>
      <c r="E2677" s="466" t="s">
        <v>3161</v>
      </c>
      <c r="F2677" s="466" t="s">
        <v>1226</v>
      </c>
      <c r="G2677" s="465"/>
      <c r="H2677" s="465">
        <v>3</v>
      </c>
    </row>
    <row r="2678" spans="1:8" ht="13.8" thickBot="1">
      <c r="A2678" s="465" t="s">
        <v>7912</v>
      </c>
      <c r="B2678" s="465" t="s">
        <v>3231</v>
      </c>
      <c r="C2678" s="466">
        <v>5.5</v>
      </c>
      <c r="D2678" s="467" t="s">
        <v>614</v>
      </c>
      <c r="E2678" s="466" t="s">
        <v>3161</v>
      </c>
      <c r="F2678" s="466" t="s">
        <v>1226</v>
      </c>
      <c r="G2678" s="465"/>
      <c r="H2678" s="465">
        <v>1</v>
      </c>
    </row>
    <row r="2679" spans="1:8" ht="13.8" thickBot="1">
      <c r="A2679" s="465" t="s">
        <v>7913</v>
      </c>
      <c r="B2679" s="465" t="s">
        <v>3232</v>
      </c>
      <c r="C2679" s="466">
        <v>5.5</v>
      </c>
      <c r="D2679" s="465"/>
      <c r="E2679" s="466" t="s">
        <v>3161</v>
      </c>
      <c r="F2679" s="466" t="s">
        <v>1226</v>
      </c>
      <c r="G2679" s="465"/>
      <c r="H2679" s="465">
        <v>8</v>
      </c>
    </row>
    <row r="2680" spans="1:8" ht="13.8" thickBot="1">
      <c r="A2680" s="465" t="s">
        <v>7914</v>
      </c>
      <c r="B2680" s="465" t="s">
        <v>3190</v>
      </c>
      <c r="C2680" s="466">
        <v>5.5</v>
      </c>
      <c r="D2680" s="465"/>
      <c r="E2680" s="466" t="s">
        <v>3161</v>
      </c>
      <c r="F2680" s="466" t="s">
        <v>1226</v>
      </c>
      <c r="G2680" s="465">
        <v>1</v>
      </c>
      <c r="H2680" s="465">
        <v>2</v>
      </c>
    </row>
    <row r="2681" spans="1:8" ht="13.8" thickBot="1">
      <c r="A2681" s="467" t="s">
        <v>7915</v>
      </c>
      <c r="B2681" s="468" t="s">
        <v>3233</v>
      </c>
      <c r="C2681" s="466">
        <v>5.5</v>
      </c>
      <c r="D2681" s="465"/>
      <c r="E2681" s="466" t="s">
        <v>3161</v>
      </c>
      <c r="F2681" s="466" t="s">
        <v>1224</v>
      </c>
      <c r="G2681" s="465"/>
      <c r="H2681" s="465">
        <v>4</v>
      </c>
    </row>
    <row r="2682" spans="1:8" ht="13.8" thickBot="1">
      <c r="A2682" s="467" t="s">
        <v>7916</v>
      </c>
      <c r="B2682" s="465" t="s">
        <v>3234</v>
      </c>
      <c r="C2682" s="466">
        <v>5.5</v>
      </c>
      <c r="D2682" s="467" t="s">
        <v>3235</v>
      </c>
      <c r="E2682" s="466" t="s">
        <v>3161</v>
      </c>
      <c r="F2682" s="466" t="s">
        <v>1220</v>
      </c>
      <c r="G2682" s="465"/>
      <c r="H2682" s="465">
        <v>3</v>
      </c>
    </row>
    <row r="2683" spans="1:8" ht="13.8" thickBot="1">
      <c r="A2683" s="465" t="s">
        <v>7917</v>
      </c>
      <c r="B2683" s="465" t="s">
        <v>3236</v>
      </c>
      <c r="C2683" s="466">
        <v>5.5</v>
      </c>
      <c r="D2683" s="467" t="s">
        <v>614</v>
      </c>
      <c r="E2683" s="466" t="s">
        <v>3161</v>
      </c>
      <c r="F2683" s="466" t="s">
        <v>1220</v>
      </c>
      <c r="G2683" s="465"/>
      <c r="H2683" s="465">
        <v>3</v>
      </c>
    </row>
    <row r="2684" spans="1:8" ht="13.8" thickBot="1">
      <c r="A2684" s="465" t="s">
        <v>7918</v>
      </c>
      <c r="B2684" s="468" t="s">
        <v>1390</v>
      </c>
      <c r="C2684" s="466">
        <v>5.5</v>
      </c>
      <c r="D2684" s="467" t="s">
        <v>614</v>
      </c>
      <c r="E2684" s="466" t="s">
        <v>3161</v>
      </c>
      <c r="F2684" s="466"/>
      <c r="G2684" s="465">
        <v>1</v>
      </c>
      <c r="H2684" s="465">
        <v>4</v>
      </c>
    </row>
    <row r="2685" spans="1:8" ht="13.8" thickBot="1">
      <c r="A2685" s="467" t="s">
        <v>7919</v>
      </c>
      <c r="B2685" s="465" t="s">
        <v>1390</v>
      </c>
      <c r="C2685" s="466">
        <v>5.5</v>
      </c>
      <c r="D2685" s="465"/>
      <c r="E2685" s="466" t="s">
        <v>3161</v>
      </c>
      <c r="F2685" s="466"/>
      <c r="G2685" s="465">
        <v>1</v>
      </c>
      <c r="H2685" s="465">
        <v>2</v>
      </c>
    </row>
    <row r="2686" spans="1:8" ht="13.8" thickBot="1">
      <c r="A2686" s="467" t="s">
        <v>7920</v>
      </c>
      <c r="B2686" s="465" t="s">
        <v>1392</v>
      </c>
      <c r="C2686" s="466">
        <v>5.5</v>
      </c>
      <c r="D2686" s="467" t="s">
        <v>614</v>
      </c>
      <c r="E2686" s="466" t="s">
        <v>3161</v>
      </c>
      <c r="F2686" s="466"/>
      <c r="G2686" s="465">
        <v>1</v>
      </c>
      <c r="H2686" s="465">
        <v>2</v>
      </c>
    </row>
    <row r="2687" spans="1:8" ht="13.8" thickBot="1">
      <c r="A2687" s="465" t="s">
        <v>1076</v>
      </c>
      <c r="B2687" s="465" t="s">
        <v>3181</v>
      </c>
      <c r="C2687" s="466">
        <v>5.5</v>
      </c>
      <c r="D2687" s="465"/>
      <c r="E2687" s="466" t="s">
        <v>3161</v>
      </c>
      <c r="F2687" s="466"/>
      <c r="G2687" s="465"/>
      <c r="H2687" s="465">
        <v>3</v>
      </c>
    </row>
    <row r="2688" spans="1:8" ht="13.8" thickBot="1">
      <c r="A2688" s="465" t="s">
        <v>7921</v>
      </c>
      <c r="B2688" s="465" t="s">
        <v>3303</v>
      </c>
      <c r="C2688" s="466">
        <v>5.5</v>
      </c>
      <c r="D2688" s="465"/>
      <c r="E2688" s="466" t="s">
        <v>3285</v>
      </c>
      <c r="F2688" s="466" t="s">
        <v>1880</v>
      </c>
      <c r="G2688" s="465">
        <v>1</v>
      </c>
      <c r="H2688" s="465">
        <v>12</v>
      </c>
    </row>
    <row r="2689" spans="1:8" ht="13.8" thickBot="1">
      <c r="A2689" s="465" t="s">
        <v>1078</v>
      </c>
      <c r="B2689" s="465" t="s">
        <v>3304</v>
      </c>
      <c r="C2689" s="466">
        <v>5.5</v>
      </c>
      <c r="D2689" s="467" t="s">
        <v>614</v>
      </c>
      <c r="E2689" s="466" t="s">
        <v>3285</v>
      </c>
      <c r="F2689" s="466" t="s">
        <v>2417</v>
      </c>
      <c r="G2689" s="465">
        <v>3</v>
      </c>
      <c r="H2689" s="465">
        <v>11</v>
      </c>
    </row>
    <row r="2690" spans="1:8" ht="13.8" thickBot="1">
      <c r="A2690" s="465" t="s">
        <v>7922</v>
      </c>
      <c r="B2690" s="465" t="s">
        <v>3305</v>
      </c>
      <c r="C2690" s="466">
        <v>5.5</v>
      </c>
      <c r="D2690" s="465"/>
      <c r="E2690" s="466" t="s">
        <v>3285</v>
      </c>
      <c r="F2690" s="466" t="s">
        <v>1226</v>
      </c>
      <c r="G2690" s="465"/>
      <c r="H2690" s="465">
        <v>9</v>
      </c>
    </row>
    <row r="2691" spans="1:8" ht="13.8" thickBot="1">
      <c r="A2691" s="465" t="s">
        <v>7750</v>
      </c>
      <c r="B2691" s="465" t="s">
        <v>2065</v>
      </c>
      <c r="C2691" s="466">
        <v>5.5</v>
      </c>
      <c r="D2691" s="467" t="s">
        <v>614</v>
      </c>
      <c r="E2691" s="466" t="s">
        <v>2032</v>
      </c>
      <c r="F2691" s="466" t="s">
        <v>1841</v>
      </c>
      <c r="G2691" s="465">
        <v>1</v>
      </c>
      <c r="H2691" s="465">
        <v>10</v>
      </c>
    </row>
    <row r="2692" spans="1:8" ht="13.8" thickBot="1">
      <c r="A2692" s="465" t="s">
        <v>7751</v>
      </c>
      <c r="B2692" s="465" t="s">
        <v>2044</v>
      </c>
      <c r="C2692" s="466">
        <v>5.5</v>
      </c>
      <c r="D2692" s="465"/>
      <c r="E2692" s="466" t="s">
        <v>2032</v>
      </c>
      <c r="F2692" s="466" t="s">
        <v>1226</v>
      </c>
      <c r="G2692" s="465"/>
      <c r="H2692" s="465">
        <v>4</v>
      </c>
    </row>
    <row r="2693" spans="1:8" ht="13.8" thickBot="1">
      <c r="A2693" s="465" t="s">
        <v>7752</v>
      </c>
      <c r="B2693" s="465" t="s">
        <v>2066</v>
      </c>
      <c r="C2693" s="466">
        <v>5.5</v>
      </c>
      <c r="D2693" s="465"/>
      <c r="E2693" s="466" t="s">
        <v>2032</v>
      </c>
      <c r="F2693" s="466" t="s">
        <v>1226</v>
      </c>
      <c r="G2693" s="465"/>
      <c r="H2693" s="465">
        <v>4</v>
      </c>
    </row>
    <row r="2694" spans="1:8" ht="13.8" thickBot="1">
      <c r="A2694" s="467" t="s">
        <v>7753</v>
      </c>
      <c r="B2694" s="465" t="s">
        <v>2044</v>
      </c>
      <c r="C2694" s="466">
        <v>5.5</v>
      </c>
      <c r="D2694" s="465"/>
      <c r="E2694" s="466" t="s">
        <v>2032</v>
      </c>
      <c r="F2694" s="466" t="s">
        <v>2067</v>
      </c>
      <c r="G2694" s="465">
        <v>2</v>
      </c>
      <c r="H2694" s="465">
        <v>12</v>
      </c>
    </row>
    <row r="2695" spans="1:8" ht="13.8" thickBot="1">
      <c r="A2695" s="465" t="s">
        <v>7754</v>
      </c>
      <c r="B2695" s="465" t="s">
        <v>1295</v>
      </c>
      <c r="C2695" s="466">
        <v>5.5</v>
      </c>
      <c r="D2695" s="465"/>
      <c r="E2695" s="466" t="s">
        <v>2032</v>
      </c>
      <c r="F2695" s="466" t="s">
        <v>2067</v>
      </c>
      <c r="G2695" s="465">
        <v>1</v>
      </c>
      <c r="H2695" s="465">
        <v>17</v>
      </c>
    </row>
    <row r="2696" spans="1:8" ht="13.8" thickBot="1">
      <c r="A2696" s="467" t="s">
        <v>7755</v>
      </c>
      <c r="B2696" s="465" t="s">
        <v>2068</v>
      </c>
      <c r="C2696" s="466">
        <v>5.5</v>
      </c>
      <c r="D2696" s="465"/>
      <c r="E2696" s="466" t="s">
        <v>2032</v>
      </c>
      <c r="F2696" s="466" t="s">
        <v>1224</v>
      </c>
      <c r="G2696" s="465"/>
      <c r="H2696" s="465">
        <v>1</v>
      </c>
    </row>
    <row r="2697" spans="1:8" ht="13.8" thickBot="1">
      <c r="A2697" s="465" t="s">
        <v>7756</v>
      </c>
      <c r="B2697" s="468" t="s">
        <v>1287</v>
      </c>
      <c r="C2697" s="466">
        <v>5.5</v>
      </c>
      <c r="D2697" s="465"/>
      <c r="E2697" s="466" t="s">
        <v>2032</v>
      </c>
      <c r="F2697" s="466" t="s">
        <v>1224</v>
      </c>
      <c r="G2697" s="465"/>
      <c r="H2697" s="465">
        <v>2</v>
      </c>
    </row>
    <row r="2698" spans="1:8" ht="13.8" thickBot="1">
      <c r="A2698" s="467" t="s">
        <v>7757</v>
      </c>
      <c r="B2698" s="465" t="s">
        <v>1296</v>
      </c>
      <c r="C2698" s="466">
        <v>5.5</v>
      </c>
      <c r="D2698" s="467" t="s">
        <v>614</v>
      </c>
      <c r="E2698" s="466" t="s">
        <v>2032</v>
      </c>
      <c r="F2698" s="466" t="s">
        <v>1224</v>
      </c>
      <c r="G2698" s="465">
        <v>3</v>
      </c>
      <c r="H2698" s="465">
        <v>20</v>
      </c>
    </row>
    <row r="2699" spans="1:8" ht="13.8" thickBot="1">
      <c r="A2699" s="465" t="s">
        <v>7758</v>
      </c>
      <c r="B2699" s="465" t="s">
        <v>1294</v>
      </c>
      <c r="C2699" s="466">
        <v>5.5</v>
      </c>
      <c r="D2699" s="465"/>
      <c r="E2699" s="466" t="s">
        <v>2032</v>
      </c>
      <c r="F2699" s="466" t="s">
        <v>1224</v>
      </c>
      <c r="G2699" s="465">
        <v>1</v>
      </c>
      <c r="H2699" s="465">
        <v>22</v>
      </c>
    </row>
    <row r="2700" spans="1:8" ht="13.8" thickBot="1">
      <c r="A2700" s="465" t="s">
        <v>7759</v>
      </c>
      <c r="B2700" s="465" t="s">
        <v>2044</v>
      </c>
      <c r="C2700" s="466">
        <v>5.5</v>
      </c>
      <c r="D2700" s="465"/>
      <c r="E2700" s="466" t="s">
        <v>2032</v>
      </c>
      <c r="F2700" s="466"/>
      <c r="G2700" s="465"/>
      <c r="H2700" s="465">
        <v>3</v>
      </c>
    </row>
    <row r="2701" spans="1:8" ht="13.8" thickBot="1">
      <c r="A2701" s="465" t="s">
        <v>7760</v>
      </c>
      <c r="B2701" s="465" t="s">
        <v>2069</v>
      </c>
      <c r="C2701" s="466">
        <v>5.5</v>
      </c>
      <c r="D2701" s="465"/>
      <c r="E2701" s="466" t="s">
        <v>2032</v>
      </c>
      <c r="F2701" s="466"/>
      <c r="G2701" s="465"/>
      <c r="H2701" s="465">
        <v>2</v>
      </c>
    </row>
    <row r="2702" spans="1:8" ht="13.8" thickBot="1">
      <c r="A2702" s="467" t="s">
        <v>7923</v>
      </c>
      <c r="B2702" s="465" t="s">
        <v>3389</v>
      </c>
      <c r="C2702" s="466">
        <v>5.5</v>
      </c>
      <c r="D2702" s="467" t="s">
        <v>614</v>
      </c>
      <c r="E2702" s="466" t="s">
        <v>3351</v>
      </c>
      <c r="F2702" s="466" t="s">
        <v>2417</v>
      </c>
      <c r="G2702" s="465">
        <v>2</v>
      </c>
      <c r="H2702" s="465">
        <v>9</v>
      </c>
    </row>
    <row r="2703" spans="1:8" ht="13.8" thickBot="1">
      <c r="A2703" s="465" t="s">
        <v>1077</v>
      </c>
      <c r="B2703" s="465" t="s">
        <v>3390</v>
      </c>
      <c r="C2703" s="466">
        <v>5.5</v>
      </c>
      <c r="D2703" s="465"/>
      <c r="E2703" s="466" t="s">
        <v>3351</v>
      </c>
      <c r="F2703" s="466"/>
      <c r="G2703" s="465"/>
      <c r="H2703" s="465">
        <v>2</v>
      </c>
    </row>
    <row r="2704" spans="1:8" ht="13.8" thickBot="1">
      <c r="A2704" s="467" t="s">
        <v>7924</v>
      </c>
      <c r="B2704" s="465" t="s">
        <v>3391</v>
      </c>
      <c r="C2704" s="466">
        <v>5.5</v>
      </c>
      <c r="D2704" s="465"/>
      <c r="E2704" s="466" t="s">
        <v>3351</v>
      </c>
      <c r="F2704" s="466"/>
      <c r="G2704" s="465"/>
      <c r="H2704" s="465">
        <v>1</v>
      </c>
    </row>
    <row r="2705" spans="1:8" ht="13.8" thickBot="1">
      <c r="A2705" s="467" t="s">
        <v>7925</v>
      </c>
      <c r="B2705" s="465" t="s">
        <v>3478</v>
      </c>
      <c r="C2705" s="466">
        <v>5.5</v>
      </c>
      <c r="D2705" s="467" t="s">
        <v>614</v>
      </c>
      <c r="E2705" s="466" t="s">
        <v>3452</v>
      </c>
      <c r="F2705" s="466" t="s">
        <v>1226</v>
      </c>
      <c r="G2705" s="465">
        <v>2</v>
      </c>
      <c r="H2705" s="465">
        <v>15</v>
      </c>
    </row>
    <row r="2706" spans="1:8" ht="13.8" thickBot="1">
      <c r="A2706" s="467" t="s">
        <v>7926</v>
      </c>
      <c r="B2706" s="465" t="s">
        <v>3479</v>
      </c>
      <c r="C2706" s="466">
        <v>5.5</v>
      </c>
      <c r="D2706" s="465"/>
      <c r="E2706" s="466" t="s">
        <v>3452</v>
      </c>
      <c r="F2706" s="466" t="s">
        <v>1226</v>
      </c>
      <c r="G2706" s="465"/>
      <c r="H2706" s="465">
        <v>2</v>
      </c>
    </row>
    <row r="2707" spans="1:8" ht="13.8" thickBot="1">
      <c r="A2707" s="467" t="s">
        <v>7927</v>
      </c>
      <c r="B2707" s="465" t="s">
        <v>3480</v>
      </c>
      <c r="C2707" s="466">
        <v>5.5</v>
      </c>
      <c r="D2707" s="465"/>
      <c r="E2707" s="466" t="s">
        <v>3452</v>
      </c>
      <c r="F2707" s="466" t="s">
        <v>1226</v>
      </c>
      <c r="G2707" s="465"/>
      <c r="H2707" s="465">
        <v>2</v>
      </c>
    </row>
    <row r="2708" spans="1:8" ht="13.8" thickBot="1">
      <c r="A2708" s="465" t="s">
        <v>7928</v>
      </c>
      <c r="B2708" s="465" t="s">
        <v>3481</v>
      </c>
      <c r="C2708" s="466">
        <v>5.5</v>
      </c>
      <c r="D2708" s="465"/>
      <c r="E2708" s="466" t="s">
        <v>3452</v>
      </c>
      <c r="F2708" s="466" t="s">
        <v>1224</v>
      </c>
      <c r="G2708" s="465"/>
      <c r="H2708" s="465">
        <v>2</v>
      </c>
    </row>
    <row r="2709" spans="1:8" ht="13.8" thickBot="1">
      <c r="A2709" s="465" t="s">
        <v>7929</v>
      </c>
      <c r="B2709" s="465" t="s">
        <v>3451</v>
      </c>
      <c r="C2709" s="466">
        <v>5.5</v>
      </c>
      <c r="D2709" s="465"/>
      <c r="E2709" s="466" t="s">
        <v>3452</v>
      </c>
      <c r="F2709" s="466"/>
      <c r="G2709" s="465"/>
      <c r="H2709" s="465"/>
    </row>
    <row r="2710" spans="1:8" ht="13.8" thickBot="1">
      <c r="A2710" s="467" t="s">
        <v>7930</v>
      </c>
      <c r="B2710" s="465" t="s">
        <v>3482</v>
      </c>
      <c r="C2710" s="466">
        <v>5.5</v>
      </c>
      <c r="D2710" s="467" t="s">
        <v>3483</v>
      </c>
      <c r="E2710" s="466" t="s">
        <v>3452</v>
      </c>
      <c r="F2710" s="466"/>
      <c r="G2710" s="465"/>
      <c r="H2710" s="465">
        <v>4</v>
      </c>
    </row>
    <row r="2711" spans="1:8" ht="13.8" thickBot="1">
      <c r="A2711" s="465" t="s">
        <v>7931</v>
      </c>
      <c r="B2711" s="465" t="s">
        <v>3484</v>
      </c>
      <c r="C2711" s="466">
        <v>5.5</v>
      </c>
      <c r="D2711" s="465"/>
      <c r="E2711" s="466" t="s">
        <v>3452</v>
      </c>
      <c r="F2711" s="466"/>
      <c r="G2711" s="465"/>
      <c r="H2711" s="465"/>
    </row>
    <row r="2712" spans="1:8" ht="13.8" thickBot="1">
      <c r="A2712" s="465" t="s">
        <v>7932</v>
      </c>
      <c r="B2712" s="465" t="s">
        <v>3509</v>
      </c>
      <c r="C2712" s="466">
        <v>5.5</v>
      </c>
      <c r="D2712" s="467" t="s">
        <v>614</v>
      </c>
      <c r="E2712" s="466" t="s">
        <v>3496</v>
      </c>
      <c r="F2712" s="466"/>
      <c r="G2712" s="465">
        <v>1</v>
      </c>
      <c r="H2712" s="465">
        <v>4</v>
      </c>
    </row>
    <row r="2713" spans="1:8" ht="13.8" thickBot="1">
      <c r="A2713" s="465" t="s">
        <v>7933</v>
      </c>
      <c r="B2713" s="465" t="s">
        <v>3603</v>
      </c>
      <c r="C2713" s="466">
        <v>5.5</v>
      </c>
      <c r="D2713" s="465"/>
      <c r="E2713" s="466" t="s">
        <v>3517</v>
      </c>
      <c r="F2713" s="466" t="s">
        <v>2319</v>
      </c>
      <c r="G2713" s="465">
        <v>2</v>
      </c>
      <c r="H2713" s="465">
        <v>21</v>
      </c>
    </row>
    <row r="2714" spans="1:8" ht="13.8" thickBot="1">
      <c r="A2714" s="467" t="s">
        <v>7934</v>
      </c>
      <c r="B2714" s="465" t="s">
        <v>3604</v>
      </c>
      <c r="C2714" s="466">
        <v>5.5</v>
      </c>
      <c r="D2714" s="465"/>
      <c r="E2714" s="466" t="s">
        <v>3517</v>
      </c>
      <c r="F2714" s="466" t="s">
        <v>1251</v>
      </c>
      <c r="G2714" s="465"/>
      <c r="H2714" s="465">
        <v>10</v>
      </c>
    </row>
    <row r="2715" spans="1:8" ht="13.8" thickBot="1">
      <c r="A2715" s="467" t="s">
        <v>7935</v>
      </c>
      <c r="B2715" s="465" t="s">
        <v>3605</v>
      </c>
      <c r="C2715" s="466">
        <v>5.5</v>
      </c>
      <c r="D2715" s="465"/>
      <c r="E2715" s="466" t="s">
        <v>3517</v>
      </c>
      <c r="F2715" s="466" t="s">
        <v>1226</v>
      </c>
      <c r="G2715" s="465"/>
      <c r="H2715" s="465">
        <v>1</v>
      </c>
    </row>
    <row r="2716" spans="1:8" ht="13.8" thickBot="1">
      <c r="A2716" s="467" t="s">
        <v>7936</v>
      </c>
      <c r="B2716" s="465" t="s">
        <v>3606</v>
      </c>
      <c r="C2716" s="466">
        <v>5.5</v>
      </c>
      <c r="D2716" s="467" t="s">
        <v>614</v>
      </c>
      <c r="E2716" s="466" t="s">
        <v>3517</v>
      </c>
      <c r="F2716" s="466" t="s">
        <v>1226</v>
      </c>
      <c r="G2716" s="465">
        <v>1</v>
      </c>
      <c r="H2716" s="465">
        <v>3</v>
      </c>
    </row>
    <row r="2717" spans="1:8" ht="13.8" thickBot="1">
      <c r="A2717" s="467" t="s">
        <v>7937</v>
      </c>
      <c r="B2717" s="465" t="s">
        <v>3607</v>
      </c>
      <c r="C2717" s="466">
        <v>5.5</v>
      </c>
      <c r="D2717" s="465"/>
      <c r="E2717" s="466" t="s">
        <v>3517</v>
      </c>
      <c r="F2717" s="466" t="s">
        <v>1226</v>
      </c>
      <c r="G2717" s="465">
        <v>1</v>
      </c>
      <c r="H2717" s="465">
        <v>8</v>
      </c>
    </row>
    <row r="2718" spans="1:8" ht="13.8" thickBot="1">
      <c r="A2718" s="467" t="s">
        <v>7938</v>
      </c>
      <c r="B2718" s="465" t="s">
        <v>3578</v>
      </c>
      <c r="C2718" s="466">
        <v>5.5</v>
      </c>
      <c r="D2718" s="465"/>
      <c r="E2718" s="466" t="s">
        <v>3517</v>
      </c>
      <c r="F2718" s="466" t="s">
        <v>1226</v>
      </c>
      <c r="G2718" s="465"/>
      <c r="H2718" s="465">
        <v>5</v>
      </c>
    </row>
    <row r="2719" spans="1:8" ht="13.8" thickBot="1">
      <c r="A2719" s="465" t="s">
        <v>7939</v>
      </c>
      <c r="B2719" s="465" t="s">
        <v>3608</v>
      </c>
      <c r="C2719" s="466">
        <v>5.5</v>
      </c>
      <c r="D2719" s="465"/>
      <c r="E2719" s="466" t="s">
        <v>3517</v>
      </c>
      <c r="F2719" s="466" t="s">
        <v>1226</v>
      </c>
      <c r="G2719" s="465"/>
      <c r="H2719" s="465">
        <v>6</v>
      </c>
    </row>
    <row r="2720" spans="1:8" ht="13.8" thickBot="1">
      <c r="A2720" s="465" t="s">
        <v>7940</v>
      </c>
      <c r="B2720" s="465" t="s">
        <v>3609</v>
      </c>
      <c r="C2720" s="466">
        <v>5.5</v>
      </c>
      <c r="D2720" s="465"/>
      <c r="E2720" s="466" t="s">
        <v>3517</v>
      </c>
      <c r="F2720" s="466" t="s">
        <v>1220</v>
      </c>
      <c r="G2720" s="465"/>
      <c r="H2720" s="465">
        <v>1</v>
      </c>
    </row>
    <row r="2721" spans="1:8" ht="13.8" thickBot="1">
      <c r="A2721" s="465" t="s">
        <v>7941</v>
      </c>
      <c r="B2721" s="465" t="s">
        <v>3610</v>
      </c>
      <c r="C2721" s="466">
        <v>5.5</v>
      </c>
      <c r="D2721" s="465"/>
      <c r="E2721" s="466" t="s">
        <v>3517</v>
      </c>
      <c r="F2721" s="466"/>
      <c r="G2721" s="465"/>
      <c r="H2721" s="465">
        <v>2</v>
      </c>
    </row>
    <row r="2722" spans="1:8" ht="13.8" thickBot="1">
      <c r="A2722" s="467" t="s">
        <v>7942</v>
      </c>
      <c r="B2722" s="465" t="s">
        <v>3611</v>
      </c>
      <c r="C2722" s="466">
        <v>5.5</v>
      </c>
      <c r="D2722" s="465"/>
      <c r="E2722" s="466" t="s">
        <v>3517</v>
      </c>
      <c r="F2722" s="466"/>
      <c r="G2722" s="465"/>
      <c r="H2722" s="465">
        <v>1</v>
      </c>
    </row>
    <row r="2723" spans="1:8" ht="13.8" thickBot="1">
      <c r="A2723" s="467" t="s">
        <v>7943</v>
      </c>
      <c r="B2723" s="465" t="s">
        <v>3612</v>
      </c>
      <c r="C2723" s="466">
        <v>5.5</v>
      </c>
      <c r="D2723" s="465"/>
      <c r="E2723" s="466" t="s">
        <v>3517</v>
      </c>
      <c r="F2723" s="466"/>
      <c r="G2723" s="465"/>
      <c r="H2723" s="465">
        <v>4</v>
      </c>
    </row>
    <row r="2724" spans="1:8" ht="13.8" thickBot="1">
      <c r="A2724" s="467" t="s">
        <v>7944</v>
      </c>
      <c r="B2724" s="465" t="s">
        <v>3534</v>
      </c>
      <c r="C2724" s="466">
        <v>5.5</v>
      </c>
      <c r="D2724" s="465"/>
      <c r="E2724" s="466" t="s">
        <v>3517</v>
      </c>
      <c r="F2724" s="466"/>
      <c r="G2724" s="465"/>
      <c r="H2724" s="465">
        <v>1</v>
      </c>
    </row>
    <row r="2725" spans="1:8" ht="13.8" thickBot="1">
      <c r="A2725" s="465" t="s">
        <v>7945</v>
      </c>
      <c r="B2725" s="465" t="s">
        <v>3613</v>
      </c>
      <c r="C2725" s="466">
        <v>5.5</v>
      </c>
      <c r="D2725" s="465"/>
      <c r="E2725" s="466" t="s">
        <v>3517</v>
      </c>
      <c r="F2725" s="466"/>
      <c r="G2725" s="465"/>
      <c r="H2725" s="465"/>
    </row>
    <row r="2726" spans="1:8" ht="13.8" thickBot="1">
      <c r="A2726" s="465" t="s">
        <v>7946</v>
      </c>
      <c r="B2726" s="465" t="s">
        <v>3614</v>
      </c>
      <c r="C2726" s="466">
        <v>5.5</v>
      </c>
      <c r="D2726" s="465"/>
      <c r="E2726" s="466" t="s">
        <v>3517</v>
      </c>
      <c r="F2726" s="466"/>
      <c r="G2726" s="465"/>
      <c r="H2726" s="465">
        <v>2</v>
      </c>
    </row>
    <row r="2727" spans="1:8" ht="13.8" thickBot="1">
      <c r="A2727" s="465" t="s">
        <v>7947</v>
      </c>
      <c r="B2727" s="465" t="s">
        <v>3615</v>
      </c>
      <c r="C2727" s="466">
        <v>5.5</v>
      </c>
      <c r="D2727" s="465"/>
      <c r="E2727" s="466" t="s">
        <v>3517</v>
      </c>
      <c r="F2727" s="466"/>
      <c r="G2727" s="465"/>
      <c r="H2727" s="465">
        <v>3</v>
      </c>
    </row>
    <row r="2728" spans="1:8" ht="13.8" thickBot="1">
      <c r="A2728" s="465" t="s">
        <v>7948</v>
      </c>
      <c r="B2728" s="465" t="s">
        <v>3645</v>
      </c>
      <c r="C2728" s="466">
        <v>5.5</v>
      </c>
      <c r="D2728" s="467" t="s">
        <v>614</v>
      </c>
      <c r="E2728" s="466" t="s">
        <v>3641</v>
      </c>
      <c r="F2728" s="466" t="s">
        <v>1865</v>
      </c>
      <c r="G2728" s="465">
        <v>1</v>
      </c>
      <c r="H2728" s="465">
        <v>2</v>
      </c>
    </row>
    <row r="2729" spans="1:8" ht="13.8" thickBot="1">
      <c r="A2729" s="465" t="s">
        <v>7949</v>
      </c>
      <c r="B2729" s="465" t="s">
        <v>3651</v>
      </c>
      <c r="C2729" s="466">
        <v>5.5</v>
      </c>
      <c r="D2729" s="465"/>
      <c r="E2729" s="466" t="s">
        <v>3641</v>
      </c>
      <c r="F2729" s="466"/>
      <c r="G2729" s="465"/>
      <c r="H2729" s="465"/>
    </row>
    <row r="2730" spans="1:8" ht="13.8" thickBot="1">
      <c r="A2730" s="465" t="s">
        <v>7950</v>
      </c>
      <c r="B2730" s="465" t="s">
        <v>3688</v>
      </c>
      <c r="C2730" s="466">
        <v>5.5</v>
      </c>
      <c r="D2730" s="465"/>
      <c r="E2730" s="466" t="s">
        <v>3652</v>
      </c>
      <c r="F2730" s="466" t="s">
        <v>1865</v>
      </c>
      <c r="G2730" s="465">
        <v>1</v>
      </c>
      <c r="H2730" s="465">
        <v>2</v>
      </c>
    </row>
    <row r="2731" spans="1:8" ht="13.8" thickBot="1">
      <c r="A2731" s="465" t="s">
        <v>7951</v>
      </c>
      <c r="B2731" s="465" t="s">
        <v>1466</v>
      </c>
      <c r="C2731" s="466">
        <v>5.5</v>
      </c>
      <c r="D2731" s="465"/>
      <c r="E2731" s="466" t="s">
        <v>3652</v>
      </c>
      <c r="F2731" s="466" t="s">
        <v>1251</v>
      </c>
      <c r="G2731" s="465"/>
      <c r="H2731" s="465">
        <v>5</v>
      </c>
    </row>
    <row r="2732" spans="1:8" ht="13.8" thickBot="1">
      <c r="A2732" s="465" t="s">
        <v>7952</v>
      </c>
      <c r="B2732" s="465" t="s">
        <v>1466</v>
      </c>
      <c r="C2732" s="466">
        <v>5.5</v>
      </c>
      <c r="D2732" s="465"/>
      <c r="E2732" s="466" t="s">
        <v>3652</v>
      </c>
      <c r="F2732" s="466" t="s">
        <v>1226</v>
      </c>
      <c r="G2732" s="465"/>
      <c r="H2732" s="465"/>
    </row>
    <row r="2733" spans="1:8" ht="13.8" thickBot="1">
      <c r="A2733" s="467" t="s">
        <v>7953</v>
      </c>
      <c r="B2733" s="465" t="s">
        <v>3689</v>
      </c>
      <c r="C2733" s="466">
        <v>5.5</v>
      </c>
      <c r="D2733" s="467" t="s">
        <v>614</v>
      </c>
      <c r="E2733" s="466" t="s">
        <v>3652</v>
      </c>
      <c r="F2733" s="466" t="s">
        <v>1226</v>
      </c>
      <c r="G2733" s="465"/>
      <c r="H2733" s="465">
        <v>1</v>
      </c>
    </row>
    <row r="2734" spans="1:8" ht="13.8" thickBot="1">
      <c r="A2734" s="465" t="s">
        <v>7954</v>
      </c>
      <c r="B2734" s="465" t="s">
        <v>3690</v>
      </c>
      <c r="C2734" s="466">
        <v>5.5</v>
      </c>
      <c r="D2734" s="465"/>
      <c r="E2734" s="466" t="s">
        <v>3652</v>
      </c>
      <c r="F2734" s="466" t="s">
        <v>1226</v>
      </c>
      <c r="G2734" s="465"/>
      <c r="H2734" s="465">
        <v>5</v>
      </c>
    </row>
    <row r="2735" spans="1:8" ht="13.8" thickBot="1">
      <c r="A2735" s="465" t="s">
        <v>7955</v>
      </c>
      <c r="B2735" s="465" t="s">
        <v>3667</v>
      </c>
      <c r="C2735" s="466">
        <v>5.5</v>
      </c>
      <c r="D2735" s="465"/>
      <c r="E2735" s="466" t="s">
        <v>3652</v>
      </c>
      <c r="F2735" s="466" t="s">
        <v>1226</v>
      </c>
      <c r="G2735" s="465"/>
      <c r="H2735" s="465">
        <v>2</v>
      </c>
    </row>
    <row r="2736" spans="1:8" ht="13.8" thickBot="1">
      <c r="A2736" s="465" t="s">
        <v>7956</v>
      </c>
      <c r="B2736" s="465" t="s">
        <v>3691</v>
      </c>
      <c r="C2736" s="466">
        <v>5.5</v>
      </c>
      <c r="D2736" s="467" t="s">
        <v>614</v>
      </c>
      <c r="E2736" s="466" t="s">
        <v>3652</v>
      </c>
      <c r="F2736" s="466" t="s">
        <v>1224</v>
      </c>
      <c r="G2736" s="465"/>
      <c r="H2736" s="465">
        <v>3</v>
      </c>
    </row>
    <row r="2737" spans="1:8" ht="13.8" thickBot="1">
      <c r="A2737" s="465" t="s">
        <v>7957</v>
      </c>
      <c r="B2737" s="465" t="s">
        <v>3692</v>
      </c>
      <c r="C2737" s="466">
        <v>5.5</v>
      </c>
      <c r="D2737" s="465"/>
      <c r="E2737" s="466" t="s">
        <v>3652</v>
      </c>
      <c r="F2737" s="466" t="s">
        <v>1224</v>
      </c>
      <c r="G2737" s="465"/>
      <c r="H2737" s="465">
        <v>6</v>
      </c>
    </row>
    <row r="2738" spans="1:8" ht="13.8" thickBot="1">
      <c r="A2738" s="465" t="s">
        <v>7958</v>
      </c>
      <c r="B2738" s="465" t="s">
        <v>1466</v>
      </c>
      <c r="C2738" s="466">
        <v>5.5</v>
      </c>
      <c r="D2738" s="465"/>
      <c r="E2738" s="466" t="s">
        <v>3652</v>
      </c>
      <c r="F2738" s="466"/>
      <c r="G2738" s="465"/>
      <c r="H2738" s="465">
        <v>2</v>
      </c>
    </row>
    <row r="2739" spans="1:8" ht="13.8" thickBot="1">
      <c r="A2739" s="467" t="s">
        <v>7959</v>
      </c>
      <c r="B2739" s="465" t="s">
        <v>1466</v>
      </c>
      <c r="C2739" s="466">
        <v>5.5</v>
      </c>
      <c r="D2739" s="465"/>
      <c r="E2739" s="466" t="s">
        <v>3652</v>
      </c>
      <c r="F2739" s="466"/>
      <c r="G2739" s="465"/>
      <c r="H2739" s="465">
        <v>1</v>
      </c>
    </row>
    <row r="2740" spans="1:8" ht="13.8" thickBot="1">
      <c r="A2740" s="465" t="s">
        <v>7960</v>
      </c>
      <c r="B2740" s="465" t="s">
        <v>1466</v>
      </c>
      <c r="C2740" s="466">
        <v>5.5</v>
      </c>
      <c r="D2740" s="465"/>
      <c r="E2740" s="466" t="s">
        <v>3652</v>
      </c>
      <c r="F2740" s="466"/>
      <c r="G2740" s="465"/>
      <c r="H2740" s="465">
        <v>2</v>
      </c>
    </row>
    <row r="2741" spans="1:8" ht="13.8" thickBot="1">
      <c r="A2741" s="465" t="s">
        <v>7961</v>
      </c>
      <c r="B2741" s="465" t="s">
        <v>1466</v>
      </c>
      <c r="C2741" s="466">
        <v>5.5</v>
      </c>
      <c r="D2741" s="465"/>
      <c r="E2741" s="466" t="s">
        <v>3652</v>
      </c>
      <c r="F2741" s="466"/>
      <c r="G2741" s="465"/>
      <c r="H2741" s="465">
        <v>1</v>
      </c>
    </row>
    <row r="2742" spans="1:8" ht="13.8" thickBot="1">
      <c r="A2742" s="465" t="s">
        <v>7962</v>
      </c>
      <c r="B2742" s="465" t="s">
        <v>3693</v>
      </c>
      <c r="C2742" s="466">
        <v>5.5</v>
      </c>
      <c r="D2742" s="467" t="s">
        <v>614</v>
      </c>
      <c r="E2742" s="466" t="s">
        <v>3652</v>
      </c>
      <c r="F2742" s="466"/>
      <c r="G2742" s="465"/>
      <c r="H2742" s="465">
        <v>2</v>
      </c>
    </row>
    <row r="2743" spans="1:8" ht="13.8" thickBot="1">
      <c r="A2743" s="467" t="s">
        <v>7963</v>
      </c>
      <c r="B2743" s="465" t="s">
        <v>3694</v>
      </c>
      <c r="C2743" s="466">
        <v>5.5</v>
      </c>
      <c r="D2743" s="465"/>
      <c r="E2743" s="466" t="s">
        <v>3652</v>
      </c>
      <c r="F2743" s="466"/>
      <c r="G2743" s="465"/>
      <c r="H2743" s="465">
        <v>1</v>
      </c>
    </row>
    <row r="2744" spans="1:8" ht="13.8" thickBot="1">
      <c r="A2744" s="465" t="s">
        <v>7964</v>
      </c>
      <c r="B2744" s="465" t="s">
        <v>3726</v>
      </c>
      <c r="C2744" s="466">
        <v>5.5</v>
      </c>
      <c r="D2744" s="467" t="s">
        <v>614</v>
      </c>
      <c r="E2744" s="466" t="s">
        <v>3724</v>
      </c>
      <c r="F2744" s="466" t="s">
        <v>3306</v>
      </c>
      <c r="G2744" s="465"/>
      <c r="H2744" s="465">
        <v>15</v>
      </c>
    </row>
    <row r="2745" spans="1:8" ht="13.8" thickBot="1">
      <c r="A2745" s="465" t="s">
        <v>7965</v>
      </c>
      <c r="B2745" s="465" t="s">
        <v>3727</v>
      </c>
      <c r="C2745" s="466">
        <v>5.5</v>
      </c>
      <c r="D2745" s="465"/>
      <c r="E2745" s="466" t="s">
        <v>3724</v>
      </c>
      <c r="F2745" s="466" t="s">
        <v>2319</v>
      </c>
      <c r="G2745" s="465"/>
      <c r="H2745" s="465">
        <v>18</v>
      </c>
    </row>
    <row r="2746" spans="1:8" ht="13.8" thickBot="1">
      <c r="A2746" s="465" t="s">
        <v>7966</v>
      </c>
      <c r="B2746" s="465" t="s">
        <v>3725</v>
      </c>
      <c r="C2746" s="466">
        <v>5.5</v>
      </c>
      <c r="D2746" s="465"/>
      <c r="E2746" s="466" t="s">
        <v>3724</v>
      </c>
      <c r="F2746" s="466" t="s">
        <v>1226</v>
      </c>
      <c r="G2746" s="465"/>
      <c r="H2746" s="465">
        <v>1</v>
      </c>
    </row>
    <row r="2747" spans="1:8" ht="13.8" thickBot="1">
      <c r="A2747" s="467" t="s">
        <v>7967</v>
      </c>
      <c r="B2747" s="465" t="s">
        <v>3726</v>
      </c>
      <c r="C2747" s="466">
        <v>5.5</v>
      </c>
      <c r="D2747" s="465"/>
      <c r="E2747" s="466" t="s">
        <v>3724</v>
      </c>
      <c r="F2747" s="466" t="s">
        <v>1224</v>
      </c>
      <c r="G2747" s="465"/>
      <c r="H2747" s="465">
        <v>16</v>
      </c>
    </row>
    <row r="2748" spans="1:8" ht="13.8" thickBot="1">
      <c r="A2748" s="465" t="s">
        <v>7761</v>
      </c>
      <c r="B2748" s="465" t="s">
        <v>2101</v>
      </c>
      <c r="C2748" s="466">
        <v>5.5</v>
      </c>
      <c r="D2748" s="465"/>
      <c r="E2748" s="466" t="s">
        <v>2087</v>
      </c>
      <c r="F2748" s="466"/>
      <c r="G2748" s="465"/>
      <c r="H2748" s="465">
        <v>1</v>
      </c>
    </row>
    <row r="2749" spans="1:8" ht="13.8" thickBot="1">
      <c r="A2749" s="465" t="s">
        <v>7968</v>
      </c>
      <c r="B2749" s="465" t="s">
        <v>1480</v>
      </c>
      <c r="C2749" s="466">
        <v>5.5</v>
      </c>
      <c r="D2749" s="467" t="s">
        <v>614</v>
      </c>
      <c r="E2749" s="466" t="s">
        <v>3734</v>
      </c>
      <c r="F2749" s="466" t="s">
        <v>1251</v>
      </c>
      <c r="G2749" s="465"/>
      <c r="H2749" s="465"/>
    </row>
    <row r="2750" spans="1:8" ht="13.8" thickBot="1">
      <c r="A2750" s="465" t="s">
        <v>7969</v>
      </c>
      <c r="B2750" s="465" t="s">
        <v>3739</v>
      </c>
      <c r="C2750" s="466">
        <v>5.5</v>
      </c>
      <c r="D2750" s="465"/>
      <c r="E2750" s="466" t="s">
        <v>3734</v>
      </c>
      <c r="F2750" s="466" t="s">
        <v>1251</v>
      </c>
      <c r="G2750" s="465">
        <v>1</v>
      </c>
      <c r="H2750" s="465">
        <v>3</v>
      </c>
    </row>
    <row r="2751" spans="1:8" ht="13.8" thickBot="1">
      <c r="A2751" s="465" t="s">
        <v>7970</v>
      </c>
      <c r="B2751" s="465" t="s">
        <v>3783</v>
      </c>
      <c r="C2751" s="466">
        <v>5.5</v>
      </c>
      <c r="D2751" s="465"/>
      <c r="E2751" s="466" t="s">
        <v>3734</v>
      </c>
      <c r="F2751" s="466" t="s">
        <v>1226</v>
      </c>
      <c r="G2751" s="465"/>
      <c r="H2751" s="465">
        <v>1</v>
      </c>
    </row>
    <row r="2752" spans="1:8" ht="13.8" thickBot="1">
      <c r="A2752" s="465" t="s">
        <v>7971</v>
      </c>
      <c r="B2752" s="465" t="s">
        <v>1487</v>
      </c>
      <c r="C2752" s="466">
        <v>5.5</v>
      </c>
      <c r="D2752" s="465"/>
      <c r="E2752" s="466" t="s">
        <v>3734</v>
      </c>
      <c r="F2752" s="466" t="s">
        <v>1220</v>
      </c>
      <c r="G2752" s="465">
        <v>3</v>
      </c>
      <c r="H2752" s="465">
        <v>7</v>
      </c>
    </row>
    <row r="2753" spans="1:8" ht="13.8" thickBot="1">
      <c r="A2753" s="465" t="s">
        <v>7972</v>
      </c>
      <c r="B2753" s="465" t="s">
        <v>3784</v>
      </c>
      <c r="C2753" s="466">
        <v>5.5</v>
      </c>
      <c r="D2753" s="467" t="s">
        <v>614</v>
      </c>
      <c r="E2753" s="466" t="s">
        <v>3734</v>
      </c>
      <c r="F2753" s="466"/>
      <c r="G2753" s="465"/>
      <c r="H2753" s="465">
        <v>2</v>
      </c>
    </row>
    <row r="2754" spans="1:8" ht="13.8" thickBot="1">
      <c r="A2754" s="465" t="s">
        <v>7973</v>
      </c>
      <c r="B2754" s="465" t="s">
        <v>3785</v>
      </c>
      <c r="C2754" s="466">
        <v>5.5</v>
      </c>
      <c r="D2754" s="465"/>
      <c r="E2754" s="466" t="s">
        <v>3734</v>
      </c>
      <c r="F2754" s="466"/>
      <c r="G2754" s="465"/>
      <c r="H2754" s="465">
        <v>1</v>
      </c>
    </row>
    <row r="2755" spans="1:8" ht="13.8" thickBot="1">
      <c r="A2755" s="465" t="s">
        <v>7974</v>
      </c>
      <c r="B2755" s="465" t="s">
        <v>3786</v>
      </c>
      <c r="C2755" s="466">
        <v>5.5</v>
      </c>
      <c r="D2755" s="465"/>
      <c r="E2755" s="466" t="s">
        <v>3734</v>
      </c>
      <c r="F2755" s="466"/>
      <c r="G2755" s="465"/>
      <c r="H2755" s="465">
        <v>2</v>
      </c>
    </row>
    <row r="2756" spans="1:8" ht="13.8" thickBot="1">
      <c r="A2756" s="465" t="s">
        <v>7975</v>
      </c>
      <c r="B2756" s="465" t="s">
        <v>3833</v>
      </c>
      <c r="C2756" s="466">
        <v>5.5</v>
      </c>
      <c r="D2756" s="467" t="s">
        <v>614</v>
      </c>
      <c r="E2756" s="466" t="s">
        <v>3807</v>
      </c>
      <c r="F2756" s="466" t="s">
        <v>1251</v>
      </c>
      <c r="G2756" s="465"/>
      <c r="H2756" s="465">
        <v>2</v>
      </c>
    </row>
    <row r="2757" spans="1:8" ht="13.8" thickBot="1">
      <c r="A2757" s="465" t="s">
        <v>7976</v>
      </c>
      <c r="B2757" s="465" t="s">
        <v>1504</v>
      </c>
      <c r="C2757" s="466">
        <v>5.5</v>
      </c>
      <c r="D2757" s="467" t="s">
        <v>614</v>
      </c>
      <c r="E2757" s="466" t="s">
        <v>3807</v>
      </c>
      <c r="F2757" s="466" t="s">
        <v>1251</v>
      </c>
      <c r="G2757" s="465">
        <v>1</v>
      </c>
      <c r="H2757" s="465">
        <v>12</v>
      </c>
    </row>
    <row r="2758" spans="1:8" ht="13.8" thickBot="1">
      <c r="A2758" s="467" t="s">
        <v>7977</v>
      </c>
      <c r="B2758" s="465" t="s">
        <v>1503</v>
      </c>
      <c r="C2758" s="466">
        <v>5.5</v>
      </c>
      <c r="D2758" s="465"/>
      <c r="E2758" s="466" t="s">
        <v>3807</v>
      </c>
      <c r="F2758" s="466" t="s">
        <v>1226</v>
      </c>
      <c r="G2758" s="465"/>
      <c r="H2758" s="465">
        <v>5</v>
      </c>
    </row>
    <row r="2759" spans="1:8" ht="13.8" thickBot="1">
      <c r="A2759" s="465" t="s">
        <v>7978</v>
      </c>
      <c r="B2759" s="465" t="s">
        <v>3834</v>
      </c>
      <c r="C2759" s="466">
        <v>5.5</v>
      </c>
      <c r="D2759" s="467" t="s">
        <v>3835</v>
      </c>
      <c r="E2759" s="466" t="s">
        <v>3807</v>
      </c>
      <c r="F2759" s="466" t="s">
        <v>1226</v>
      </c>
      <c r="G2759" s="465">
        <v>1</v>
      </c>
      <c r="H2759" s="465">
        <v>9</v>
      </c>
    </row>
    <row r="2760" spans="1:8" ht="13.8" thickBot="1">
      <c r="A2760" s="467" t="s">
        <v>7979</v>
      </c>
      <c r="B2760" s="465" t="s">
        <v>3836</v>
      </c>
      <c r="C2760" s="466">
        <v>5.5</v>
      </c>
      <c r="D2760" s="467" t="s">
        <v>614</v>
      </c>
      <c r="E2760" s="466" t="s">
        <v>3807</v>
      </c>
      <c r="F2760" s="466" t="s">
        <v>1226</v>
      </c>
      <c r="G2760" s="465"/>
      <c r="H2760" s="465">
        <v>6</v>
      </c>
    </row>
    <row r="2761" spans="1:8" ht="13.8" thickBot="1">
      <c r="A2761" s="465" t="s">
        <v>7980</v>
      </c>
      <c r="B2761" s="465" t="s">
        <v>3837</v>
      </c>
      <c r="C2761" s="466">
        <v>5.5</v>
      </c>
      <c r="D2761" s="465"/>
      <c r="E2761" s="466" t="s">
        <v>3807</v>
      </c>
      <c r="F2761" s="466"/>
      <c r="G2761" s="465"/>
      <c r="H2761" s="465">
        <v>2</v>
      </c>
    </row>
    <row r="2762" spans="1:8" ht="13.8" thickBot="1">
      <c r="A2762" s="465" t="s">
        <v>7981</v>
      </c>
      <c r="B2762" s="465" t="s">
        <v>3838</v>
      </c>
      <c r="C2762" s="466">
        <v>5.5</v>
      </c>
      <c r="D2762" s="465"/>
      <c r="E2762" s="466" t="s">
        <v>3807</v>
      </c>
      <c r="F2762" s="466"/>
      <c r="G2762" s="465"/>
      <c r="H2762" s="465">
        <v>1</v>
      </c>
    </row>
    <row r="2763" spans="1:8" ht="13.8" thickBot="1">
      <c r="A2763" s="467" t="s">
        <v>7982</v>
      </c>
      <c r="B2763" s="465" t="s">
        <v>3888</v>
      </c>
      <c r="C2763" s="466">
        <v>5.5</v>
      </c>
      <c r="D2763" s="467" t="s">
        <v>3889</v>
      </c>
      <c r="E2763" s="466" t="s">
        <v>3856</v>
      </c>
      <c r="F2763" s="466" t="s">
        <v>1226</v>
      </c>
      <c r="G2763" s="465"/>
      <c r="H2763" s="465">
        <v>15</v>
      </c>
    </row>
    <row r="2764" spans="1:8" ht="13.8" thickBot="1">
      <c r="A2764" s="467" t="s">
        <v>7983</v>
      </c>
      <c r="B2764" s="465" t="s">
        <v>1510</v>
      </c>
      <c r="C2764" s="466">
        <v>5.5</v>
      </c>
      <c r="D2764" s="467" t="s">
        <v>614</v>
      </c>
      <c r="E2764" s="466" t="s">
        <v>3856</v>
      </c>
      <c r="F2764" s="466" t="s">
        <v>1226</v>
      </c>
      <c r="G2764" s="465">
        <v>2</v>
      </c>
      <c r="H2764" s="465">
        <v>11</v>
      </c>
    </row>
    <row r="2765" spans="1:8" ht="13.8" thickBot="1">
      <c r="A2765" s="467" t="s">
        <v>7984</v>
      </c>
      <c r="B2765" s="465" t="s">
        <v>3890</v>
      </c>
      <c r="C2765" s="466">
        <v>5.5</v>
      </c>
      <c r="D2765" s="467" t="s">
        <v>614</v>
      </c>
      <c r="E2765" s="466" t="s">
        <v>3856</v>
      </c>
      <c r="F2765" s="466"/>
      <c r="G2765" s="465"/>
      <c r="H2765" s="465">
        <v>1</v>
      </c>
    </row>
    <row r="2766" spans="1:8" ht="13.8" thickBot="1">
      <c r="A2766" s="465" t="s">
        <v>7985</v>
      </c>
      <c r="B2766" s="465" t="s">
        <v>3922</v>
      </c>
      <c r="C2766" s="466">
        <v>5.5</v>
      </c>
      <c r="D2766" s="467" t="s">
        <v>2158</v>
      </c>
      <c r="E2766" s="466" t="s">
        <v>3903</v>
      </c>
      <c r="F2766" s="466" t="s">
        <v>1251</v>
      </c>
      <c r="G2766" s="465"/>
      <c r="H2766" s="465">
        <v>15</v>
      </c>
    </row>
    <row r="2767" spans="1:8" ht="13.8" thickBot="1">
      <c r="A2767" s="465" t="s">
        <v>7986</v>
      </c>
      <c r="B2767" s="465" t="s">
        <v>3923</v>
      </c>
      <c r="C2767" s="466">
        <v>5.5</v>
      </c>
      <c r="D2767" s="467" t="s">
        <v>614</v>
      </c>
      <c r="E2767" s="466" t="s">
        <v>3903</v>
      </c>
      <c r="F2767" s="466" t="s">
        <v>1226</v>
      </c>
      <c r="G2767" s="465">
        <v>1</v>
      </c>
      <c r="H2767" s="465">
        <v>4</v>
      </c>
    </row>
    <row r="2768" spans="1:8" ht="13.8" thickBot="1">
      <c r="A2768" s="467" t="s">
        <v>7987</v>
      </c>
      <c r="B2768" s="465" t="s">
        <v>3924</v>
      </c>
      <c r="C2768" s="466">
        <v>5.5</v>
      </c>
      <c r="D2768" s="465"/>
      <c r="E2768" s="466" t="s">
        <v>3903</v>
      </c>
      <c r="F2768" s="466"/>
      <c r="G2768" s="465"/>
      <c r="H2768" s="465">
        <v>5</v>
      </c>
    </row>
    <row r="2769" spans="1:8" ht="13.8" thickBot="1">
      <c r="A2769" s="467" t="s">
        <v>7988</v>
      </c>
      <c r="B2769" s="465" t="s">
        <v>1512</v>
      </c>
      <c r="C2769" s="466">
        <v>5.5</v>
      </c>
      <c r="D2769" s="467" t="s">
        <v>614</v>
      </c>
      <c r="E2769" s="466" t="s">
        <v>3932</v>
      </c>
      <c r="F2769" s="466" t="s">
        <v>1229</v>
      </c>
      <c r="G2769" s="465"/>
      <c r="H2769" s="465">
        <v>16</v>
      </c>
    </row>
    <row r="2770" spans="1:8" ht="13.8" thickBot="1">
      <c r="A2770" s="465" t="s">
        <v>7989</v>
      </c>
      <c r="B2770" s="465" t="s">
        <v>1517</v>
      </c>
      <c r="C2770" s="466">
        <v>5.5</v>
      </c>
      <c r="D2770" s="467" t="s">
        <v>614</v>
      </c>
      <c r="E2770" s="466" t="s">
        <v>3932</v>
      </c>
      <c r="F2770" s="466" t="s">
        <v>1226</v>
      </c>
      <c r="G2770" s="465"/>
      <c r="H2770" s="465">
        <v>13</v>
      </c>
    </row>
    <row r="2771" spans="1:8" ht="13.8" thickBot="1">
      <c r="A2771" s="467" t="s">
        <v>7990</v>
      </c>
      <c r="B2771" s="465" t="s">
        <v>3937</v>
      </c>
      <c r="C2771" s="466">
        <v>5.5</v>
      </c>
      <c r="D2771" s="467" t="s">
        <v>614</v>
      </c>
      <c r="E2771" s="466" t="s">
        <v>3932</v>
      </c>
      <c r="F2771" s="466" t="s">
        <v>1226</v>
      </c>
      <c r="G2771" s="465"/>
      <c r="H2771" s="465">
        <v>9</v>
      </c>
    </row>
    <row r="2772" spans="1:8" ht="13.8" thickBot="1">
      <c r="A2772" s="467" t="s">
        <v>7991</v>
      </c>
      <c r="B2772" s="465" t="s">
        <v>1515</v>
      </c>
      <c r="C2772" s="466">
        <v>5.5</v>
      </c>
      <c r="D2772" s="465"/>
      <c r="E2772" s="466" t="s">
        <v>3932</v>
      </c>
      <c r="F2772" s="466" t="s">
        <v>1220</v>
      </c>
      <c r="G2772" s="465"/>
      <c r="H2772" s="465">
        <v>2</v>
      </c>
    </row>
    <row r="2773" spans="1:8" ht="13.8" thickBot="1">
      <c r="A2773" s="467" t="s">
        <v>7992</v>
      </c>
      <c r="B2773" s="465" t="s">
        <v>1515</v>
      </c>
      <c r="C2773" s="466">
        <v>5.5</v>
      </c>
      <c r="D2773" s="465"/>
      <c r="E2773" s="466" t="s">
        <v>3932</v>
      </c>
      <c r="F2773" s="466"/>
      <c r="G2773" s="465"/>
      <c r="H2773" s="465">
        <v>1</v>
      </c>
    </row>
    <row r="2774" spans="1:8" ht="13.8" thickBot="1">
      <c r="A2774" s="465" t="s">
        <v>7993</v>
      </c>
      <c r="B2774" s="465" t="s">
        <v>3938</v>
      </c>
      <c r="C2774" s="466">
        <v>5.5</v>
      </c>
      <c r="D2774" s="465"/>
      <c r="E2774" s="466" t="s">
        <v>3932</v>
      </c>
      <c r="F2774" s="466"/>
      <c r="G2774" s="465"/>
      <c r="H2774" s="465">
        <v>2</v>
      </c>
    </row>
    <row r="2775" spans="1:8" ht="13.8" thickBot="1">
      <c r="A2775" s="465" t="s">
        <v>7994</v>
      </c>
      <c r="B2775" s="465" t="s">
        <v>3939</v>
      </c>
      <c r="C2775" s="466">
        <v>5.5</v>
      </c>
      <c r="D2775" s="465"/>
      <c r="E2775" s="466" t="s">
        <v>3932</v>
      </c>
      <c r="F2775" s="466"/>
      <c r="G2775" s="465"/>
      <c r="H2775" s="465">
        <v>1</v>
      </c>
    </row>
    <row r="2776" spans="1:8" ht="13.8" thickBot="1">
      <c r="A2776" s="465" t="s">
        <v>1062</v>
      </c>
      <c r="B2776" s="465" t="s">
        <v>1523</v>
      </c>
      <c r="C2776" s="466">
        <v>5.5</v>
      </c>
      <c r="D2776" s="467" t="s">
        <v>614</v>
      </c>
      <c r="E2776" s="466" t="s">
        <v>3957</v>
      </c>
      <c r="F2776" s="466" t="s">
        <v>1251</v>
      </c>
      <c r="G2776" s="465">
        <v>1</v>
      </c>
      <c r="H2776" s="465">
        <v>16</v>
      </c>
    </row>
    <row r="2777" spans="1:8" ht="13.8" thickBot="1">
      <c r="A2777" s="465" t="s">
        <v>1064</v>
      </c>
      <c r="B2777" s="465" t="s">
        <v>1522</v>
      </c>
      <c r="C2777" s="466">
        <v>5.5</v>
      </c>
      <c r="D2777" s="467" t="s">
        <v>614</v>
      </c>
      <c r="E2777" s="466" t="s">
        <v>3957</v>
      </c>
      <c r="F2777" s="466" t="s">
        <v>1251</v>
      </c>
      <c r="G2777" s="465"/>
      <c r="H2777" s="465">
        <v>13</v>
      </c>
    </row>
    <row r="2778" spans="1:8" ht="13.8" thickBot="1">
      <c r="A2778" s="465" t="s">
        <v>7995</v>
      </c>
      <c r="B2778" s="465" t="s">
        <v>3985</v>
      </c>
      <c r="C2778" s="466">
        <v>5.5</v>
      </c>
      <c r="D2778" s="465"/>
      <c r="E2778" s="466" t="s">
        <v>3957</v>
      </c>
      <c r="F2778" s="466" t="s">
        <v>1226</v>
      </c>
      <c r="G2778" s="465">
        <v>1</v>
      </c>
      <c r="H2778" s="465">
        <v>1</v>
      </c>
    </row>
    <row r="2779" spans="1:8" ht="13.8" thickBot="1">
      <c r="A2779" s="465" t="s">
        <v>7996</v>
      </c>
      <c r="B2779" s="465" t="s">
        <v>3986</v>
      </c>
      <c r="C2779" s="466">
        <v>5.5</v>
      </c>
      <c r="D2779" s="465"/>
      <c r="E2779" s="466" t="s">
        <v>3957</v>
      </c>
      <c r="F2779" s="466"/>
      <c r="G2779" s="465"/>
      <c r="H2779" s="465">
        <v>2</v>
      </c>
    </row>
    <row r="2780" spans="1:8" ht="13.8" thickBot="1">
      <c r="A2780" s="465" t="s">
        <v>7997</v>
      </c>
      <c r="B2780" s="465" t="s">
        <v>3987</v>
      </c>
      <c r="C2780" s="466">
        <v>5.5</v>
      </c>
      <c r="D2780" s="467" t="s">
        <v>614</v>
      </c>
      <c r="E2780" s="466" t="s">
        <v>3957</v>
      </c>
      <c r="F2780" s="466"/>
      <c r="G2780" s="465">
        <v>1</v>
      </c>
      <c r="H2780" s="465">
        <v>2</v>
      </c>
    </row>
    <row r="2781" spans="1:8" ht="13.8" thickBot="1">
      <c r="A2781" s="467" t="s">
        <v>7998</v>
      </c>
      <c r="B2781" s="465" t="s">
        <v>4026</v>
      </c>
      <c r="C2781" s="466">
        <v>5.5</v>
      </c>
      <c r="D2781" s="467" t="s">
        <v>614</v>
      </c>
      <c r="E2781" s="466" t="s">
        <v>3996</v>
      </c>
      <c r="F2781" s="466" t="s">
        <v>2584</v>
      </c>
      <c r="G2781" s="465"/>
      <c r="H2781" s="465">
        <v>11</v>
      </c>
    </row>
    <row r="2782" spans="1:8" ht="13.8" thickBot="1">
      <c r="A2782" s="465" t="s">
        <v>1063</v>
      </c>
      <c r="B2782" s="465" t="s">
        <v>1529</v>
      </c>
      <c r="C2782" s="466">
        <v>5.5</v>
      </c>
      <c r="D2782" s="467" t="s">
        <v>4027</v>
      </c>
      <c r="E2782" s="466" t="s">
        <v>3996</v>
      </c>
      <c r="F2782" s="466" t="s">
        <v>1226</v>
      </c>
      <c r="G2782" s="465">
        <v>2</v>
      </c>
      <c r="H2782" s="465">
        <v>17</v>
      </c>
    </row>
    <row r="2783" spans="1:8" ht="13.8" thickBot="1">
      <c r="A2783" s="467" t="s">
        <v>7999</v>
      </c>
      <c r="B2783" s="465" t="s">
        <v>4011</v>
      </c>
      <c r="C2783" s="466">
        <v>5.5</v>
      </c>
      <c r="D2783" s="467" t="s">
        <v>614</v>
      </c>
      <c r="E2783" s="466" t="s">
        <v>3996</v>
      </c>
      <c r="F2783" s="466" t="s">
        <v>1224</v>
      </c>
      <c r="G2783" s="465"/>
      <c r="H2783" s="465">
        <v>7</v>
      </c>
    </row>
    <row r="2784" spans="1:8" ht="13.8" thickBot="1">
      <c r="A2784" s="465" t="s">
        <v>1049</v>
      </c>
      <c r="B2784" s="465" t="s">
        <v>4028</v>
      </c>
      <c r="C2784" s="466">
        <v>5.5</v>
      </c>
      <c r="D2784" s="467" t="s">
        <v>614</v>
      </c>
      <c r="E2784" s="466" t="s">
        <v>3996</v>
      </c>
      <c r="F2784" s="466" t="s">
        <v>1220</v>
      </c>
      <c r="G2784" s="465"/>
      <c r="H2784" s="465">
        <v>14</v>
      </c>
    </row>
    <row r="2785" spans="1:8" ht="13.8" thickBot="1">
      <c r="A2785" s="465" t="s">
        <v>8000</v>
      </c>
      <c r="B2785" s="465" t="s">
        <v>1525</v>
      </c>
      <c r="C2785" s="466">
        <v>5.5</v>
      </c>
      <c r="D2785" s="467" t="s">
        <v>614</v>
      </c>
      <c r="E2785" s="466" t="s">
        <v>3996</v>
      </c>
      <c r="F2785" s="466"/>
      <c r="G2785" s="465"/>
      <c r="H2785" s="465">
        <v>3</v>
      </c>
    </row>
    <row r="2786" spans="1:8" ht="13.8" thickBot="1">
      <c r="A2786" s="465" t="s">
        <v>8001</v>
      </c>
      <c r="B2786" s="465" t="s">
        <v>4029</v>
      </c>
      <c r="C2786" s="466">
        <v>5.5</v>
      </c>
      <c r="D2786" s="465"/>
      <c r="E2786" s="466" t="s">
        <v>3996</v>
      </c>
      <c r="F2786" s="466"/>
      <c r="G2786" s="465"/>
      <c r="H2786" s="465">
        <v>1</v>
      </c>
    </row>
    <row r="2787" spans="1:8" ht="13.8" thickBot="1">
      <c r="A2787" s="465" t="s">
        <v>8002</v>
      </c>
      <c r="B2787" s="465" t="s">
        <v>4059</v>
      </c>
      <c r="C2787" s="466">
        <v>5.5</v>
      </c>
      <c r="D2787" s="465"/>
      <c r="E2787" s="466" t="s">
        <v>4046</v>
      </c>
      <c r="F2787" s="466" t="s">
        <v>1226</v>
      </c>
      <c r="G2787" s="465">
        <v>2</v>
      </c>
      <c r="H2787" s="465">
        <v>5</v>
      </c>
    </row>
    <row r="2788" spans="1:8" ht="13.8" thickBot="1">
      <c r="A2788" s="465" t="s">
        <v>8003</v>
      </c>
      <c r="B2788" s="465" t="s">
        <v>4052</v>
      </c>
      <c r="C2788" s="466">
        <v>5.5</v>
      </c>
      <c r="D2788" s="465"/>
      <c r="E2788" s="466" t="s">
        <v>4046</v>
      </c>
      <c r="F2788" s="466"/>
      <c r="G2788" s="465"/>
      <c r="H2788" s="465">
        <v>4</v>
      </c>
    </row>
    <row r="2789" spans="1:8" ht="13.8" thickBot="1">
      <c r="A2789" s="465" t="s">
        <v>8004</v>
      </c>
      <c r="B2789" s="465" t="s">
        <v>4060</v>
      </c>
      <c r="C2789" s="466">
        <v>5.5</v>
      </c>
      <c r="D2789" s="465" t="s">
        <v>4061</v>
      </c>
      <c r="E2789" s="466" t="s">
        <v>4046</v>
      </c>
      <c r="F2789" s="466"/>
      <c r="G2789" s="465"/>
      <c r="H2789" s="465"/>
    </row>
    <row r="2790" spans="1:8" ht="13.8" thickBot="1">
      <c r="A2790" s="467" t="s">
        <v>7762</v>
      </c>
      <c r="B2790" s="465" t="s">
        <v>1249</v>
      </c>
      <c r="C2790" s="466">
        <v>5.5</v>
      </c>
      <c r="D2790" s="465"/>
      <c r="E2790" s="466" t="s">
        <v>2114</v>
      </c>
      <c r="F2790" s="466"/>
      <c r="G2790" s="465"/>
      <c r="H2790" s="465">
        <v>3</v>
      </c>
    </row>
    <row r="2791" spans="1:8" ht="13.8" thickBot="1">
      <c r="A2791" s="467" t="s">
        <v>8005</v>
      </c>
      <c r="B2791" s="465" t="s">
        <v>1537</v>
      </c>
      <c r="C2791" s="466">
        <v>5.5</v>
      </c>
      <c r="D2791" s="467" t="s">
        <v>614</v>
      </c>
      <c r="E2791" s="466" t="s">
        <v>4067</v>
      </c>
      <c r="F2791" s="466" t="s">
        <v>1226</v>
      </c>
      <c r="G2791" s="465"/>
      <c r="H2791" s="465">
        <v>5</v>
      </c>
    </row>
    <row r="2792" spans="1:8" ht="13.8" thickBot="1">
      <c r="A2792" s="465" t="s">
        <v>8006</v>
      </c>
      <c r="B2792" s="465" t="s">
        <v>4091</v>
      </c>
      <c r="C2792" s="466">
        <v>5.5</v>
      </c>
      <c r="D2792" s="467" t="s">
        <v>614</v>
      </c>
      <c r="E2792" s="466" t="s">
        <v>4067</v>
      </c>
      <c r="F2792" s="466" t="s">
        <v>1226</v>
      </c>
      <c r="G2792" s="465"/>
      <c r="H2792" s="465">
        <v>1</v>
      </c>
    </row>
    <row r="2793" spans="1:8" ht="13.8" thickBot="1">
      <c r="A2793" s="465" t="s">
        <v>8007</v>
      </c>
      <c r="B2793" s="465" t="s">
        <v>1537</v>
      </c>
      <c r="C2793" s="466">
        <v>5.5</v>
      </c>
      <c r="D2793" s="467" t="s">
        <v>614</v>
      </c>
      <c r="E2793" s="466" t="s">
        <v>4067</v>
      </c>
      <c r="F2793" s="466" t="s">
        <v>1220</v>
      </c>
      <c r="G2793" s="465"/>
      <c r="H2793" s="465">
        <v>1</v>
      </c>
    </row>
    <row r="2794" spans="1:8" ht="13.8" thickBot="1">
      <c r="A2794" s="467" t="s">
        <v>8008</v>
      </c>
      <c r="B2794" s="465" t="s">
        <v>1537</v>
      </c>
      <c r="C2794" s="466">
        <v>5.5</v>
      </c>
      <c r="D2794" s="465"/>
      <c r="E2794" s="466" t="s">
        <v>4067</v>
      </c>
      <c r="F2794" s="466"/>
      <c r="G2794" s="465"/>
      <c r="H2794" s="465">
        <v>1</v>
      </c>
    </row>
    <row r="2795" spans="1:8" ht="13.8" thickBot="1">
      <c r="A2795" s="465" t="s">
        <v>8009</v>
      </c>
      <c r="B2795" s="465" t="s">
        <v>4092</v>
      </c>
      <c r="C2795" s="466">
        <v>5.5</v>
      </c>
      <c r="D2795" s="465"/>
      <c r="E2795" s="466" t="s">
        <v>4067</v>
      </c>
      <c r="F2795" s="466"/>
      <c r="G2795" s="465"/>
      <c r="H2795" s="465">
        <v>1</v>
      </c>
    </row>
    <row r="2796" spans="1:8" ht="13.8" thickBot="1">
      <c r="A2796" s="465" t="s">
        <v>8010</v>
      </c>
      <c r="B2796" s="468" t="s">
        <v>4108</v>
      </c>
      <c r="C2796" s="466">
        <v>5.5</v>
      </c>
      <c r="D2796" s="465"/>
      <c r="E2796" s="466" t="s">
        <v>4102</v>
      </c>
      <c r="F2796" s="466" t="s">
        <v>1226</v>
      </c>
      <c r="G2796" s="465"/>
      <c r="H2796" s="465">
        <v>1</v>
      </c>
    </row>
    <row r="2797" spans="1:8" ht="13.8" thickBot="1">
      <c r="A2797" s="465" t="s">
        <v>8011</v>
      </c>
      <c r="B2797" s="465" t="s">
        <v>4125</v>
      </c>
      <c r="C2797" s="466">
        <v>5.5</v>
      </c>
      <c r="D2797" s="465"/>
      <c r="E2797" s="466" t="s">
        <v>4121</v>
      </c>
      <c r="F2797" s="466"/>
      <c r="G2797" s="465">
        <v>1</v>
      </c>
      <c r="H2797" s="465">
        <v>2</v>
      </c>
    </row>
    <row r="2798" spans="1:8" ht="13.8" thickBot="1">
      <c r="A2798" s="465" t="s">
        <v>1052</v>
      </c>
      <c r="B2798" s="465" t="s">
        <v>4142</v>
      </c>
      <c r="C2798" s="466">
        <v>5.5</v>
      </c>
      <c r="D2798" s="465"/>
      <c r="E2798" s="466" t="s">
        <v>4140</v>
      </c>
      <c r="F2798" s="466" t="s">
        <v>1226</v>
      </c>
      <c r="G2798" s="465">
        <v>1</v>
      </c>
      <c r="H2798" s="465">
        <v>4</v>
      </c>
    </row>
    <row r="2799" spans="1:8" ht="13.8" thickBot="1">
      <c r="A2799" s="465" t="s">
        <v>8012</v>
      </c>
      <c r="B2799" s="465" t="s">
        <v>4154</v>
      </c>
      <c r="C2799" s="466">
        <v>5.5</v>
      </c>
      <c r="D2799" s="467" t="s">
        <v>614</v>
      </c>
      <c r="E2799" s="466" t="s">
        <v>4140</v>
      </c>
      <c r="F2799" s="466" t="s">
        <v>1226</v>
      </c>
      <c r="G2799" s="465"/>
      <c r="H2799" s="465">
        <v>6</v>
      </c>
    </row>
    <row r="2800" spans="1:8" ht="13.8" thickBot="1">
      <c r="A2800" s="467" t="s">
        <v>8013</v>
      </c>
      <c r="B2800" s="465" t="s">
        <v>4155</v>
      </c>
      <c r="C2800" s="466">
        <v>5.5</v>
      </c>
      <c r="D2800" s="465"/>
      <c r="E2800" s="466" t="s">
        <v>4140</v>
      </c>
      <c r="F2800" s="466" t="s">
        <v>1224</v>
      </c>
      <c r="G2800" s="465"/>
      <c r="H2800" s="465">
        <v>9</v>
      </c>
    </row>
    <row r="2801" spans="1:8" ht="13.8" thickBot="1">
      <c r="A2801" s="467" t="s">
        <v>8014</v>
      </c>
      <c r="B2801" s="465" t="s">
        <v>4185</v>
      </c>
      <c r="C2801" s="466">
        <v>5.5</v>
      </c>
      <c r="D2801" s="465"/>
      <c r="E2801" s="466" t="s">
        <v>4160</v>
      </c>
      <c r="F2801" s="466" t="s">
        <v>1226</v>
      </c>
      <c r="G2801" s="465"/>
      <c r="H2801" s="465">
        <v>2</v>
      </c>
    </row>
    <row r="2802" spans="1:8" ht="13.8" thickBot="1">
      <c r="A2802" s="467" t="s">
        <v>8015</v>
      </c>
      <c r="B2802" s="465" t="s">
        <v>4185</v>
      </c>
      <c r="C2802" s="466">
        <v>5.5</v>
      </c>
      <c r="D2802" s="465"/>
      <c r="E2802" s="466" t="s">
        <v>4160</v>
      </c>
      <c r="F2802" s="466" t="s">
        <v>1226</v>
      </c>
      <c r="G2802" s="465"/>
      <c r="H2802" s="465">
        <v>1</v>
      </c>
    </row>
    <row r="2803" spans="1:8" ht="13.8" thickBot="1">
      <c r="A2803" s="465" t="s">
        <v>8016</v>
      </c>
      <c r="B2803" s="465" t="s">
        <v>4186</v>
      </c>
      <c r="C2803" s="466">
        <v>5.5</v>
      </c>
      <c r="D2803" s="467" t="s">
        <v>614</v>
      </c>
      <c r="E2803" s="466" t="s">
        <v>4160</v>
      </c>
      <c r="F2803" s="466" t="s">
        <v>1226</v>
      </c>
      <c r="G2803" s="465"/>
      <c r="H2803" s="465">
        <v>2</v>
      </c>
    </row>
    <row r="2804" spans="1:8" ht="13.8" thickBot="1">
      <c r="A2804" s="465" t="s">
        <v>8017</v>
      </c>
      <c r="B2804" s="465" t="s">
        <v>4187</v>
      </c>
      <c r="C2804" s="466">
        <v>5.5</v>
      </c>
      <c r="D2804" s="465"/>
      <c r="E2804" s="466" t="s">
        <v>4160</v>
      </c>
      <c r="F2804" s="466" t="s">
        <v>1226</v>
      </c>
      <c r="G2804" s="465"/>
      <c r="H2804" s="465">
        <v>20</v>
      </c>
    </row>
    <row r="2805" spans="1:8" ht="13.8" thickBot="1">
      <c r="A2805" s="465" t="s">
        <v>8018</v>
      </c>
      <c r="B2805" s="465" t="s">
        <v>4188</v>
      </c>
      <c r="C2805" s="466">
        <v>5.5</v>
      </c>
      <c r="D2805" s="467" t="s">
        <v>614</v>
      </c>
      <c r="E2805" s="466" t="s">
        <v>4160</v>
      </c>
      <c r="F2805" s="466" t="s">
        <v>1226</v>
      </c>
      <c r="G2805" s="465"/>
      <c r="H2805" s="465">
        <v>1</v>
      </c>
    </row>
    <row r="2806" spans="1:8" ht="13.8" thickBot="1">
      <c r="A2806" s="465" t="s">
        <v>8019</v>
      </c>
      <c r="B2806" s="465" t="s">
        <v>4189</v>
      </c>
      <c r="C2806" s="466">
        <v>5.5</v>
      </c>
      <c r="D2806" s="465"/>
      <c r="E2806" s="466" t="s">
        <v>4160</v>
      </c>
      <c r="F2806" s="466" t="s">
        <v>1220</v>
      </c>
      <c r="G2806" s="465"/>
      <c r="H2806" s="465">
        <v>1</v>
      </c>
    </row>
    <row r="2807" spans="1:8" ht="13.8" thickBot="1">
      <c r="A2807" s="465" t="s">
        <v>8020</v>
      </c>
      <c r="B2807" s="465" t="s">
        <v>4190</v>
      </c>
      <c r="C2807" s="466">
        <v>5.5</v>
      </c>
      <c r="D2807" s="467" t="s">
        <v>614</v>
      </c>
      <c r="E2807" s="466" t="s">
        <v>4160</v>
      </c>
      <c r="F2807" s="466"/>
      <c r="G2807" s="465">
        <v>1</v>
      </c>
      <c r="H2807" s="465">
        <v>16</v>
      </c>
    </row>
    <row r="2808" spans="1:8" ht="13.8" thickBot="1">
      <c r="A2808" s="467" t="s">
        <v>8021</v>
      </c>
      <c r="B2808" s="465" t="s">
        <v>4191</v>
      </c>
      <c r="C2808" s="466">
        <v>5.5</v>
      </c>
      <c r="D2808" s="467" t="s">
        <v>614</v>
      </c>
      <c r="E2808" s="466" t="s">
        <v>4160</v>
      </c>
      <c r="F2808" s="466"/>
      <c r="G2808" s="465"/>
      <c r="H2808" s="465">
        <v>2</v>
      </c>
    </row>
    <row r="2809" spans="1:8" ht="13.8" thickBot="1">
      <c r="A2809" s="465" t="s">
        <v>8022</v>
      </c>
      <c r="B2809" s="465" t="s">
        <v>4200</v>
      </c>
      <c r="C2809" s="466">
        <v>5.5</v>
      </c>
      <c r="D2809" s="465"/>
      <c r="E2809" s="466" t="s">
        <v>4201</v>
      </c>
      <c r="F2809" s="466"/>
      <c r="G2809" s="465"/>
      <c r="H2809" s="465">
        <v>1</v>
      </c>
    </row>
    <row r="2810" spans="1:8" ht="13.8" thickBot="1">
      <c r="A2810" s="467" t="s">
        <v>8023</v>
      </c>
      <c r="B2810" s="465" t="s">
        <v>1637</v>
      </c>
      <c r="C2810" s="466">
        <v>5.5</v>
      </c>
      <c r="D2810" s="467" t="s">
        <v>614</v>
      </c>
      <c r="E2810" s="466" t="s">
        <v>4214</v>
      </c>
      <c r="F2810" s="466" t="s">
        <v>1226</v>
      </c>
      <c r="G2810" s="465">
        <v>2</v>
      </c>
      <c r="H2810" s="465">
        <v>9</v>
      </c>
    </row>
    <row r="2811" spans="1:8" ht="13.8" thickBot="1">
      <c r="A2811" s="467" t="s">
        <v>8024</v>
      </c>
      <c r="B2811" s="465" t="s">
        <v>4287</v>
      </c>
      <c r="C2811" s="466">
        <v>5.5</v>
      </c>
      <c r="D2811" s="465"/>
      <c r="E2811" s="466" t="s">
        <v>4214</v>
      </c>
      <c r="F2811" s="466" t="s">
        <v>1226</v>
      </c>
      <c r="G2811" s="465"/>
      <c r="H2811" s="465">
        <v>1</v>
      </c>
    </row>
    <row r="2812" spans="1:8" ht="13.8" thickBot="1">
      <c r="A2812" s="465" t="s">
        <v>8025</v>
      </c>
      <c r="B2812" s="468" t="s">
        <v>4288</v>
      </c>
      <c r="C2812" s="466">
        <v>5.5</v>
      </c>
      <c r="D2812" s="465"/>
      <c r="E2812" s="466" t="s">
        <v>4214</v>
      </c>
      <c r="F2812" s="466" t="s">
        <v>1226</v>
      </c>
      <c r="G2812" s="465">
        <v>1</v>
      </c>
      <c r="H2812" s="465">
        <v>8</v>
      </c>
    </row>
    <row r="2813" spans="1:8" ht="13.8" thickBot="1">
      <c r="A2813" s="465" t="s">
        <v>8026</v>
      </c>
      <c r="B2813" s="465" t="s">
        <v>4289</v>
      </c>
      <c r="C2813" s="466">
        <v>5.5</v>
      </c>
      <c r="D2813" s="465"/>
      <c r="E2813" s="466" t="s">
        <v>4214</v>
      </c>
      <c r="F2813" s="466" t="s">
        <v>1226</v>
      </c>
      <c r="G2813" s="465"/>
      <c r="H2813" s="465">
        <v>7</v>
      </c>
    </row>
    <row r="2814" spans="1:8" ht="13.8" thickBot="1">
      <c r="A2814" s="465" t="s">
        <v>8027</v>
      </c>
      <c r="B2814" s="465" t="s">
        <v>1627</v>
      </c>
      <c r="C2814" s="466">
        <v>5.5</v>
      </c>
      <c r="D2814" s="465"/>
      <c r="E2814" s="466" t="s">
        <v>4214</v>
      </c>
      <c r="F2814" s="466" t="s">
        <v>1224</v>
      </c>
      <c r="G2814" s="465"/>
      <c r="H2814" s="465">
        <v>1</v>
      </c>
    </row>
    <row r="2815" spans="1:8" ht="13.8" thickBot="1">
      <c r="A2815" s="465" t="s">
        <v>8028</v>
      </c>
      <c r="B2815" s="465" t="s">
        <v>4290</v>
      </c>
      <c r="C2815" s="466">
        <v>5.5</v>
      </c>
      <c r="D2815" s="465"/>
      <c r="E2815" s="466" t="s">
        <v>4214</v>
      </c>
      <c r="F2815" s="466" t="s">
        <v>1224</v>
      </c>
      <c r="G2815" s="465"/>
      <c r="H2815" s="465">
        <v>1</v>
      </c>
    </row>
    <row r="2816" spans="1:8" ht="13.8" thickBot="1">
      <c r="A2816" s="465" t="s">
        <v>8029</v>
      </c>
      <c r="B2816" s="465" t="s">
        <v>4291</v>
      </c>
      <c r="C2816" s="466">
        <v>5.5</v>
      </c>
      <c r="D2816" s="465"/>
      <c r="E2816" s="466" t="s">
        <v>4214</v>
      </c>
      <c r="F2816" s="466" t="s">
        <v>1224</v>
      </c>
      <c r="G2816" s="465"/>
      <c r="H2816" s="465">
        <v>1</v>
      </c>
    </row>
    <row r="2817" spans="1:8" ht="13.8" thickBot="1">
      <c r="A2817" s="465" t="s">
        <v>8030</v>
      </c>
      <c r="B2817" s="465" t="s">
        <v>1607</v>
      </c>
      <c r="C2817" s="466">
        <v>5.5</v>
      </c>
      <c r="D2817" s="467" t="s">
        <v>614</v>
      </c>
      <c r="E2817" s="466" t="s">
        <v>4214</v>
      </c>
      <c r="F2817" s="466" t="s">
        <v>1220</v>
      </c>
      <c r="G2817" s="465"/>
      <c r="H2817" s="465">
        <v>3</v>
      </c>
    </row>
    <row r="2818" spans="1:8" ht="13.8" thickBot="1">
      <c r="A2818" s="465" t="s">
        <v>8031</v>
      </c>
      <c r="B2818" s="465" t="s">
        <v>1607</v>
      </c>
      <c r="C2818" s="466">
        <v>5.5</v>
      </c>
      <c r="D2818" s="465"/>
      <c r="E2818" s="466" t="s">
        <v>4214</v>
      </c>
      <c r="F2818" s="466"/>
      <c r="G2818" s="465"/>
      <c r="H2818" s="465">
        <v>6</v>
      </c>
    </row>
    <row r="2819" spans="1:8" ht="13.8" thickBot="1">
      <c r="A2819" s="467" t="s">
        <v>8032</v>
      </c>
      <c r="B2819" s="465" t="s">
        <v>1607</v>
      </c>
      <c r="C2819" s="466">
        <v>5.5</v>
      </c>
      <c r="D2819" s="465"/>
      <c r="E2819" s="466" t="s">
        <v>4214</v>
      </c>
      <c r="F2819" s="466"/>
      <c r="G2819" s="465"/>
      <c r="H2819" s="465">
        <v>1</v>
      </c>
    </row>
    <row r="2820" spans="1:8" ht="13.8" thickBot="1">
      <c r="A2820" s="465" t="s">
        <v>8033</v>
      </c>
      <c r="B2820" s="465" t="s">
        <v>4257</v>
      </c>
      <c r="C2820" s="466">
        <v>5.5</v>
      </c>
      <c r="D2820" s="465"/>
      <c r="E2820" s="466" t="s">
        <v>4214</v>
      </c>
      <c r="F2820" s="466"/>
      <c r="G2820" s="465"/>
      <c r="H2820" s="465"/>
    </row>
    <row r="2821" spans="1:8" ht="13.8" thickBot="1">
      <c r="A2821" s="465" t="s">
        <v>8034</v>
      </c>
      <c r="B2821" s="465" t="s">
        <v>1654</v>
      </c>
      <c r="C2821" s="466">
        <v>5.5</v>
      </c>
      <c r="D2821" s="465"/>
      <c r="E2821" s="466" t="s">
        <v>4354</v>
      </c>
      <c r="F2821" s="466"/>
      <c r="G2821" s="465"/>
      <c r="H2821" s="465"/>
    </row>
    <row r="2822" spans="1:8" ht="13.8" thickBot="1">
      <c r="A2822" s="465" t="s">
        <v>8035</v>
      </c>
      <c r="B2822" s="465" t="s">
        <v>1654</v>
      </c>
      <c r="C2822" s="466">
        <v>5.5</v>
      </c>
      <c r="D2822" s="465"/>
      <c r="E2822" s="466" t="s">
        <v>4354</v>
      </c>
      <c r="F2822" s="466"/>
      <c r="G2822" s="465"/>
      <c r="H2822" s="465"/>
    </row>
    <row r="2823" spans="1:8" ht="13.8" thickBot="1">
      <c r="A2823" s="465" t="s">
        <v>8036</v>
      </c>
      <c r="B2823" s="465" t="s">
        <v>1654</v>
      </c>
      <c r="C2823" s="466">
        <v>5.5</v>
      </c>
      <c r="D2823" s="465"/>
      <c r="E2823" s="466" t="s">
        <v>4354</v>
      </c>
      <c r="F2823" s="466"/>
      <c r="G2823" s="465"/>
      <c r="H2823" s="465"/>
    </row>
    <row r="2824" spans="1:8" ht="13.8" thickBot="1">
      <c r="A2824" s="467" t="s">
        <v>8037</v>
      </c>
      <c r="B2824" s="465" t="s">
        <v>1654</v>
      </c>
      <c r="C2824" s="466">
        <v>5.5</v>
      </c>
      <c r="D2824" s="465"/>
      <c r="E2824" s="466" t="s">
        <v>4354</v>
      </c>
      <c r="F2824" s="466"/>
      <c r="G2824" s="465"/>
      <c r="H2824" s="465"/>
    </row>
    <row r="2825" spans="1:8" ht="13.8" thickBot="1">
      <c r="A2825" s="467" t="s">
        <v>8038</v>
      </c>
      <c r="B2825" s="465" t="s">
        <v>1654</v>
      </c>
      <c r="C2825" s="466">
        <v>5.5</v>
      </c>
      <c r="D2825" s="465"/>
      <c r="E2825" s="466" t="s">
        <v>4354</v>
      </c>
      <c r="F2825" s="466"/>
      <c r="G2825" s="465"/>
      <c r="H2825" s="465"/>
    </row>
    <row r="2826" spans="1:8" ht="13.8" thickBot="1">
      <c r="A2826" s="465" t="s">
        <v>8039</v>
      </c>
      <c r="B2826" s="465" t="s">
        <v>4356</v>
      </c>
      <c r="C2826" s="466">
        <v>5.5</v>
      </c>
      <c r="D2826" s="465"/>
      <c r="E2826" s="466" t="s">
        <v>4354</v>
      </c>
      <c r="F2826" s="466"/>
      <c r="G2826" s="465"/>
      <c r="H2826" s="465"/>
    </row>
    <row r="2827" spans="1:8" ht="13.8" thickBot="1">
      <c r="A2827" s="465" t="s">
        <v>8040</v>
      </c>
      <c r="B2827" s="465" t="s">
        <v>4374</v>
      </c>
      <c r="C2827" s="466">
        <v>5.5</v>
      </c>
      <c r="D2827" s="467" t="s">
        <v>2158</v>
      </c>
      <c r="E2827" s="466" t="s">
        <v>4364</v>
      </c>
      <c r="F2827" s="466" t="s">
        <v>1251</v>
      </c>
      <c r="G2827" s="465"/>
      <c r="H2827" s="465">
        <v>2</v>
      </c>
    </row>
    <row r="2828" spans="1:8" ht="13.8" thickBot="1">
      <c r="A2828" s="465" t="s">
        <v>8041</v>
      </c>
      <c r="B2828" s="465" t="s">
        <v>4375</v>
      </c>
      <c r="C2828" s="466">
        <v>5.5</v>
      </c>
      <c r="D2828" s="467" t="s">
        <v>614</v>
      </c>
      <c r="E2828" s="466" t="s">
        <v>4364</v>
      </c>
      <c r="F2828" s="466" t="s">
        <v>1251</v>
      </c>
      <c r="G2828" s="465">
        <v>2</v>
      </c>
      <c r="H2828" s="465">
        <v>10</v>
      </c>
    </row>
    <row r="2829" spans="1:8" ht="13.8" thickBot="1">
      <c r="A2829" s="467" t="s">
        <v>8042</v>
      </c>
      <c r="B2829" s="465" t="s">
        <v>4376</v>
      </c>
      <c r="C2829" s="466">
        <v>5.5</v>
      </c>
      <c r="D2829" s="465"/>
      <c r="E2829" s="466" t="s">
        <v>4364</v>
      </c>
      <c r="F2829" s="466" t="s">
        <v>1251</v>
      </c>
      <c r="G2829" s="465"/>
      <c r="H2829" s="465">
        <v>7</v>
      </c>
    </row>
    <row r="2830" spans="1:8" ht="13.8" thickBot="1">
      <c r="A2830" s="465" t="s">
        <v>8043</v>
      </c>
      <c r="B2830" s="465" t="s">
        <v>4377</v>
      </c>
      <c r="C2830" s="466">
        <v>5.5</v>
      </c>
      <c r="D2830" s="467" t="s">
        <v>614</v>
      </c>
      <c r="E2830" s="466" t="s">
        <v>4364</v>
      </c>
      <c r="F2830" s="466" t="s">
        <v>1226</v>
      </c>
      <c r="G2830" s="465"/>
      <c r="H2830" s="465">
        <v>2</v>
      </c>
    </row>
    <row r="2831" spans="1:8" ht="13.8" thickBot="1">
      <c r="A2831" s="465" t="s">
        <v>8044</v>
      </c>
      <c r="B2831" s="465" t="s">
        <v>4378</v>
      </c>
      <c r="C2831" s="466">
        <v>5.5</v>
      </c>
      <c r="D2831" s="467" t="s">
        <v>614</v>
      </c>
      <c r="E2831" s="466" t="s">
        <v>4364</v>
      </c>
      <c r="F2831" s="466" t="s">
        <v>1224</v>
      </c>
      <c r="G2831" s="465"/>
      <c r="H2831" s="465">
        <v>2</v>
      </c>
    </row>
    <row r="2832" spans="1:8" ht="13.8" thickBot="1">
      <c r="A2832" s="465" t="s">
        <v>8045</v>
      </c>
      <c r="B2832" s="465" t="s">
        <v>4371</v>
      </c>
      <c r="C2832" s="466">
        <v>5.5</v>
      </c>
      <c r="D2832" s="465"/>
      <c r="E2832" s="466" t="s">
        <v>4364</v>
      </c>
      <c r="F2832" s="466"/>
      <c r="G2832" s="465"/>
      <c r="H2832" s="465">
        <v>1</v>
      </c>
    </row>
    <row r="2833" spans="1:8" ht="13.8" thickBot="1">
      <c r="A2833" s="465" t="s">
        <v>8046</v>
      </c>
      <c r="B2833" s="465" t="s">
        <v>4379</v>
      </c>
      <c r="C2833" s="466">
        <v>5.5</v>
      </c>
      <c r="D2833" s="465"/>
      <c r="E2833" s="466" t="s">
        <v>4364</v>
      </c>
      <c r="F2833" s="466"/>
      <c r="G2833" s="465"/>
      <c r="H2833" s="465">
        <v>3</v>
      </c>
    </row>
    <row r="2834" spans="1:8" ht="13.8" thickBot="1">
      <c r="A2834" s="465" t="s">
        <v>8047</v>
      </c>
      <c r="B2834" s="465" t="s">
        <v>1635</v>
      </c>
      <c r="C2834" s="466">
        <v>5.5</v>
      </c>
      <c r="D2834" s="465"/>
      <c r="E2834" s="466" t="s">
        <v>4395</v>
      </c>
      <c r="F2834" s="466" t="s">
        <v>1251</v>
      </c>
      <c r="G2834" s="465"/>
      <c r="H2834" s="465">
        <v>7</v>
      </c>
    </row>
    <row r="2835" spans="1:8" ht="13.8" thickBot="1">
      <c r="A2835" s="465" t="s">
        <v>8048</v>
      </c>
      <c r="B2835" s="465" t="s">
        <v>4412</v>
      </c>
      <c r="C2835" s="466">
        <v>5.5</v>
      </c>
      <c r="D2835" s="465"/>
      <c r="E2835" s="466" t="s">
        <v>4403</v>
      </c>
      <c r="F2835" s="466"/>
      <c r="G2835" s="465"/>
      <c r="H2835" s="465">
        <v>6</v>
      </c>
    </row>
    <row r="2836" spans="1:8" ht="13.8" thickBot="1">
      <c r="A2836" s="465" t="s">
        <v>8049</v>
      </c>
      <c r="B2836" s="465" t="s">
        <v>4470</v>
      </c>
      <c r="C2836" s="466">
        <v>5.5</v>
      </c>
      <c r="D2836" s="465"/>
      <c r="E2836" s="466" t="s">
        <v>4438</v>
      </c>
      <c r="F2836" s="466" t="s">
        <v>1226</v>
      </c>
      <c r="G2836" s="465">
        <v>1</v>
      </c>
      <c r="H2836" s="465">
        <v>20</v>
      </c>
    </row>
    <row r="2837" spans="1:8" ht="13.8" thickBot="1">
      <c r="A2837" s="465" t="s">
        <v>8050</v>
      </c>
      <c r="B2837" s="465" t="s">
        <v>4503</v>
      </c>
      <c r="C2837" s="466">
        <v>5.5</v>
      </c>
      <c r="D2837" s="465"/>
      <c r="E2837" s="466" t="s">
        <v>4491</v>
      </c>
      <c r="F2837" s="466" t="s">
        <v>1224</v>
      </c>
      <c r="G2837" s="465"/>
      <c r="H2837" s="465">
        <v>3</v>
      </c>
    </row>
    <row r="2838" spans="1:8" ht="13.8" thickBot="1">
      <c r="A2838" s="465" t="s">
        <v>8051</v>
      </c>
      <c r="B2838" s="465" t="s">
        <v>1647</v>
      </c>
      <c r="C2838" s="466">
        <v>5.5</v>
      </c>
      <c r="D2838" s="465"/>
      <c r="E2838" s="466" t="s">
        <v>4509</v>
      </c>
      <c r="F2838" s="466"/>
      <c r="G2838" s="465"/>
      <c r="H2838" s="465">
        <v>2</v>
      </c>
    </row>
    <row r="2839" spans="1:8" ht="13.8" thickBot="1">
      <c r="A2839" s="465" t="s">
        <v>8052</v>
      </c>
      <c r="B2839" s="465" t="s">
        <v>4523</v>
      </c>
      <c r="C2839" s="466">
        <v>5.5</v>
      </c>
      <c r="D2839" s="465"/>
      <c r="E2839" s="466" t="s">
        <v>4509</v>
      </c>
      <c r="F2839" s="466"/>
      <c r="G2839" s="465"/>
      <c r="H2839" s="465">
        <v>4</v>
      </c>
    </row>
    <row r="2840" spans="1:8" ht="13.8" thickBot="1">
      <c r="A2840" s="465" t="s">
        <v>8053</v>
      </c>
      <c r="B2840" s="465" t="s">
        <v>4508</v>
      </c>
      <c r="C2840" s="466">
        <v>5.5</v>
      </c>
      <c r="D2840" s="465"/>
      <c r="E2840" s="466" t="s">
        <v>4509</v>
      </c>
      <c r="F2840" s="466"/>
      <c r="G2840" s="465"/>
      <c r="H2840" s="465"/>
    </row>
    <row r="2841" spans="1:8" ht="13.8" thickBot="1">
      <c r="A2841" s="465" t="s">
        <v>8054</v>
      </c>
      <c r="B2841" s="465" t="s">
        <v>4597</v>
      </c>
      <c r="C2841" s="466">
        <v>5.5</v>
      </c>
      <c r="D2841" s="465"/>
      <c r="E2841" s="466" t="s">
        <v>4596</v>
      </c>
      <c r="F2841" s="466" t="s">
        <v>1226</v>
      </c>
      <c r="G2841" s="465"/>
      <c r="H2841" s="465">
        <v>7</v>
      </c>
    </row>
    <row r="2842" spans="1:8" ht="13.8" thickBot="1">
      <c r="A2842" s="467" t="s">
        <v>8055</v>
      </c>
      <c r="B2842" s="465" t="s">
        <v>4597</v>
      </c>
      <c r="C2842" s="466">
        <v>5.5</v>
      </c>
      <c r="D2842" s="465"/>
      <c r="E2842" s="466" t="s">
        <v>4596</v>
      </c>
      <c r="F2842" s="466"/>
      <c r="G2842" s="465"/>
      <c r="H2842" s="465">
        <v>2</v>
      </c>
    </row>
    <row r="2843" spans="1:8" ht="13.8" thickBot="1">
      <c r="A2843" s="467" t="s">
        <v>7763</v>
      </c>
      <c r="B2843" s="465" t="s">
        <v>1280</v>
      </c>
      <c r="C2843" s="466">
        <v>5.5</v>
      </c>
      <c r="D2843" s="467" t="s">
        <v>614</v>
      </c>
      <c r="E2843" s="466" t="s">
        <v>2152</v>
      </c>
      <c r="F2843" s="466" t="s">
        <v>1226</v>
      </c>
      <c r="G2843" s="465">
        <v>1</v>
      </c>
      <c r="H2843" s="465">
        <v>14</v>
      </c>
    </row>
    <row r="2844" spans="1:8" ht="13.8" thickBot="1">
      <c r="A2844" s="467" t="s">
        <v>7764</v>
      </c>
      <c r="B2844" s="465" t="s">
        <v>2178</v>
      </c>
      <c r="C2844" s="466">
        <v>5.5</v>
      </c>
      <c r="D2844" s="465"/>
      <c r="E2844" s="466" t="s">
        <v>2152</v>
      </c>
      <c r="F2844" s="466" t="s">
        <v>1226</v>
      </c>
      <c r="G2844" s="465"/>
      <c r="H2844" s="465">
        <v>2</v>
      </c>
    </row>
    <row r="2845" spans="1:8" ht="13.8" thickBot="1">
      <c r="A2845" s="467" t="s">
        <v>7765</v>
      </c>
      <c r="B2845" s="465" t="s">
        <v>2192</v>
      </c>
      <c r="C2845" s="466">
        <v>5.5</v>
      </c>
      <c r="D2845" s="465"/>
      <c r="E2845" s="466" t="s">
        <v>2152</v>
      </c>
      <c r="F2845" s="466" t="s">
        <v>1226</v>
      </c>
      <c r="G2845" s="465"/>
      <c r="H2845" s="465">
        <v>12</v>
      </c>
    </row>
    <row r="2846" spans="1:8" ht="13.8" thickBot="1">
      <c r="A2846" s="465" t="s">
        <v>7766</v>
      </c>
      <c r="B2846" s="465" t="s">
        <v>2193</v>
      </c>
      <c r="C2846" s="466">
        <v>5.5</v>
      </c>
      <c r="D2846" s="465"/>
      <c r="E2846" s="466" t="s">
        <v>2152</v>
      </c>
      <c r="F2846" s="466"/>
      <c r="G2846" s="465">
        <v>1</v>
      </c>
      <c r="H2846" s="465">
        <v>3</v>
      </c>
    </row>
    <row r="2847" spans="1:8" ht="13.8" thickBot="1">
      <c r="A2847" s="465" t="s">
        <v>7767</v>
      </c>
      <c r="B2847" s="465" t="s">
        <v>2175</v>
      </c>
      <c r="C2847" s="466">
        <v>5.5</v>
      </c>
      <c r="D2847" s="465"/>
      <c r="E2847" s="466" t="s">
        <v>2152</v>
      </c>
      <c r="F2847" s="466"/>
      <c r="G2847" s="465"/>
      <c r="H2847" s="465">
        <v>1</v>
      </c>
    </row>
    <row r="2848" spans="1:8" ht="13.8" thickBot="1">
      <c r="A2848" s="467" t="s">
        <v>7768</v>
      </c>
      <c r="B2848" s="465" t="s">
        <v>2194</v>
      </c>
      <c r="C2848" s="466">
        <v>5.5</v>
      </c>
      <c r="D2848" s="465"/>
      <c r="E2848" s="466" t="s">
        <v>2152</v>
      </c>
      <c r="F2848" s="466"/>
      <c r="G2848" s="465"/>
      <c r="H2848" s="465">
        <v>5</v>
      </c>
    </row>
    <row r="2849" spans="1:8" ht="13.8" thickBot="1">
      <c r="A2849" s="465" t="s">
        <v>8056</v>
      </c>
      <c r="B2849" s="465" t="s">
        <v>4641</v>
      </c>
      <c r="C2849" s="466">
        <v>5.5</v>
      </c>
      <c r="D2849" s="467" t="s">
        <v>614</v>
      </c>
      <c r="E2849" s="466" t="s">
        <v>4628</v>
      </c>
      <c r="F2849" s="466" t="s">
        <v>1229</v>
      </c>
      <c r="G2849" s="465"/>
      <c r="H2849" s="465">
        <v>3</v>
      </c>
    </row>
    <row r="2850" spans="1:8" ht="13.8" thickBot="1">
      <c r="A2850" s="465" t="s">
        <v>8057</v>
      </c>
      <c r="B2850" s="465" t="s">
        <v>4627</v>
      </c>
      <c r="C2850" s="466">
        <v>5.5</v>
      </c>
      <c r="D2850" s="465"/>
      <c r="E2850" s="466" t="s">
        <v>4628</v>
      </c>
      <c r="F2850" s="466" t="s">
        <v>1224</v>
      </c>
      <c r="G2850" s="465"/>
      <c r="H2850" s="465">
        <v>1</v>
      </c>
    </row>
    <row r="2851" spans="1:8" ht="13.8" thickBot="1">
      <c r="A2851" s="467" t="s">
        <v>8058</v>
      </c>
      <c r="B2851" s="465" t="s">
        <v>4627</v>
      </c>
      <c r="C2851" s="466">
        <v>5.5</v>
      </c>
      <c r="D2851" s="465"/>
      <c r="E2851" s="466" t="s">
        <v>4628</v>
      </c>
      <c r="F2851" s="466"/>
      <c r="G2851" s="465"/>
      <c r="H2851" s="465"/>
    </row>
    <row r="2852" spans="1:8" ht="13.8" thickBot="1">
      <c r="A2852" s="465" t="s">
        <v>8059</v>
      </c>
      <c r="B2852" s="465" t="s">
        <v>1687</v>
      </c>
      <c r="C2852" s="466">
        <v>5.5</v>
      </c>
      <c r="D2852" s="465"/>
      <c r="E2852" s="466" t="s">
        <v>4644</v>
      </c>
      <c r="F2852" s="466" t="s">
        <v>1865</v>
      </c>
      <c r="G2852" s="465"/>
      <c r="H2852" s="465">
        <v>6</v>
      </c>
    </row>
    <row r="2853" spans="1:8" ht="13.8" thickBot="1">
      <c r="A2853" s="467" t="s">
        <v>8060</v>
      </c>
      <c r="B2853" s="465" t="s">
        <v>1691</v>
      </c>
      <c r="C2853" s="466">
        <v>5.5</v>
      </c>
      <c r="D2853" s="467" t="s">
        <v>614</v>
      </c>
      <c r="E2853" s="466" t="s">
        <v>4644</v>
      </c>
      <c r="F2853" s="466" t="s">
        <v>1226</v>
      </c>
      <c r="G2853" s="465">
        <v>1</v>
      </c>
      <c r="H2853" s="465">
        <v>9</v>
      </c>
    </row>
    <row r="2854" spans="1:8" ht="13.8" thickBot="1">
      <c r="A2854" s="465" t="s">
        <v>8061</v>
      </c>
      <c r="B2854" s="465" t="s">
        <v>4663</v>
      </c>
      <c r="C2854" s="466">
        <v>5.5</v>
      </c>
      <c r="D2854" s="465"/>
      <c r="E2854" s="466" t="s">
        <v>4644</v>
      </c>
      <c r="F2854" s="466" t="s">
        <v>1224</v>
      </c>
      <c r="G2854" s="465"/>
      <c r="H2854" s="465">
        <v>5</v>
      </c>
    </row>
    <row r="2855" spans="1:8" ht="13.8" thickBot="1">
      <c r="A2855" s="465" t="s">
        <v>8062</v>
      </c>
      <c r="B2855" s="465" t="s">
        <v>1678</v>
      </c>
      <c r="C2855" s="466">
        <v>5.5</v>
      </c>
      <c r="D2855" s="467" t="s">
        <v>614</v>
      </c>
      <c r="E2855" s="466" t="s">
        <v>4644</v>
      </c>
      <c r="F2855" s="466"/>
      <c r="G2855" s="465"/>
      <c r="H2855" s="465">
        <v>1</v>
      </c>
    </row>
    <row r="2856" spans="1:8" ht="13.8" thickBot="1">
      <c r="A2856" s="465" t="s">
        <v>8063</v>
      </c>
      <c r="B2856" s="465" t="s">
        <v>4664</v>
      </c>
      <c r="C2856" s="466">
        <v>5.5</v>
      </c>
      <c r="D2856" s="465"/>
      <c r="E2856" s="466" t="s">
        <v>4644</v>
      </c>
      <c r="F2856" s="466"/>
      <c r="G2856" s="465">
        <v>1</v>
      </c>
      <c r="H2856" s="465">
        <v>7</v>
      </c>
    </row>
    <row r="2857" spans="1:8" ht="13.8" thickBot="1">
      <c r="A2857" s="465" t="s">
        <v>8064</v>
      </c>
      <c r="B2857" s="465" t="s">
        <v>4686</v>
      </c>
      <c r="C2857" s="466">
        <v>5.5</v>
      </c>
      <c r="D2857" s="465"/>
      <c r="E2857" s="466" t="s">
        <v>4672</v>
      </c>
      <c r="F2857" s="466" t="s">
        <v>1251</v>
      </c>
      <c r="G2857" s="465"/>
      <c r="H2857" s="465">
        <v>1</v>
      </c>
    </row>
    <row r="2858" spans="1:8" ht="13.8" thickBot="1">
      <c r="A2858" s="465" t="s">
        <v>8065</v>
      </c>
      <c r="B2858" s="465" t="s">
        <v>1712</v>
      </c>
      <c r="C2858" s="466">
        <v>5.5</v>
      </c>
      <c r="D2858" s="467" t="s">
        <v>614</v>
      </c>
      <c r="E2858" s="466" t="s">
        <v>4672</v>
      </c>
      <c r="F2858" s="466" t="s">
        <v>1226</v>
      </c>
      <c r="G2858" s="465"/>
      <c r="H2858" s="465">
        <v>11</v>
      </c>
    </row>
    <row r="2859" spans="1:8" ht="13.8" thickBot="1">
      <c r="A2859" s="465" t="s">
        <v>8066</v>
      </c>
      <c r="B2859" s="465" t="s">
        <v>4703</v>
      </c>
      <c r="C2859" s="466">
        <v>5.5</v>
      </c>
      <c r="D2859" s="467" t="s">
        <v>4704</v>
      </c>
      <c r="E2859" s="466" t="s">
        <v>4702</v>
      </c>
      <c r="F2859" s="466" t="s">
        <v>1865</v>
      </c>
      <c r="G2859" s="465">
        <v>1</v>
      </c>
      <c r="H2859" s="465">
        <v>4</v>
      </c>
    </row>
    <row r="2860" spans="1:8" ht="13.8" thickBot="1">
      <c r="A2860" s="465" t="s">
        <v>8067</v>
      </c>
      <c r="B2860" s="465" t="s">
        <v>4715</v>
      </c>
      <c r="C2860" s="466">
        <v>5.5</v>
      </c>
      <c r="D2860" s="467" t="s">
        <v>614</v>
      </c>
      <c r="E2860" s="466" t="s">
        <v>4709</v>
      </c>
      <c r="F2860" s="466" t="s">
        <v>1224</v>
      </c>
      <c r="G2860" s="465"/>
      <c r="H2860" s="465">
        <v>4</v>
      </c>
    </row>
    <row r="2861" spans="1:8" ht="13.8" thickBot="1">
      <c r="A2861" s="465" t="s">
        <v>8068</v>
      </c>
      <c r="B2861" s="465" t="s">
        <v>4746</v>
      </c>
      <c r="C2861" s="466">
        <v>5.5</v>
      </c>
      <c r="D2861" s="465"/>
      <c r="E2861" s="466" t="s">
        <v>4717</v>
      </c>
      <c r="F2861" s="466"/>
      <c r="G2861" s="465"/>
      <c r="H2861" s="465"/>
    </row>
    <row r="2862" spans="1:8" ht="13.8" thickBot="1">
      <c r="A2862" s="465" t="s">
        <v>8069</v>
      </c>
      <c r="B2862" s="465" t="s">
        <v>4766</v>
      </c>
      <c r="C2862" s="466">
        <v>5.5</v>
      </c>
      <c r="D2862" s="465"/>
      <c r="E2862" s="466" t="s">
        <v>4753</v>
      </c>
      <c r="F2862" s="466"/>
      <c r="G2862" s="465"/>
      <c r="H2862" s="465">
        <v>2</v>
      </c>
    </row>
    <row r="2863" spans="1:8" ht="13.8" thickBot="1">
      <c r="A2863" s="467" t="s">
        <v>8141</v>
      </c>
      <c r="B2863" s="465" t="s">
        <v>1955</v>
      </c>
      <c r="C2863" s="466">
        <v>5.6</v>
      </c>
      <c r="D2863" s="465"/>
      <c r="E2863" s="466" t="s">
        <v>1922</v>
      </c>
      <c r="F2863" s="466"/>
      <c r="G2863" s="465"/>
      <c r="H2863" s="465">
        <v>5</v>
      </c>
    </row>
    <row r="2864" spans="1:8" ht="13.8" thickBot="1">
      <c r="A2864" s="467" t="s">
        <v>8142</v>
      </c>
      <c r="B2864" s="465" t="s">
        <v>1502</v>
      </c>
      <c r="C2864" s="466">
        <v>5.6</v>
      </c>
      <c r="D2864" s="467" t="s">
        <v>614</v>
      </c>
      <c r="E2864" s="466" t="s">
        <v>3807</v>
      </c>
      <c r="F2864" s="466"/>
      <c r="G2864" s="465"/>
      <c r="H2864" s="465">
        <v>3</v>
      </c>
    </row>
    <row r="2865" spans="1:8" ht="13.8" thickBot="1">
      <c r="A2865" s="467" t="s">
        <v>8147</v>
      </c>
      <c r="B2865" s="465" t="s">
        <v>2228</v>
      </c>
      <c r="C2865" s="466">
        <v>5.75</v>
      </c>
      <c r="D2865" s="465"/>
      <c r="E2865" s="466" t="s">
        <v>2216</v>
      </c>
      <c r="F2865" s="466" t="s">
        <v>1226</v>
      </c>
      <c r="G2865" s="465"/>
      <c r="H2865" s="465">
        <v>3</v>
      </c>
    </row>
    <row r="2866" spans="1:8" ht="13.8" thickBot="1">
      <c r="A2866" s="465" t="s">
        <v>8202</v>
      </c>
      <c r="B2866" s="465" t="s">
        <v>4806</v>
      </c>
      <c r="C2866" s="466">
        <v>5.75</v>
      </c>
      <c r="D2866" s="467" t="s">
        <v>614</v>
      </c>
      <c r="E2866" s="466" t="s">
        <v>4789</v>
      </c>
      <c r="F2866" s="466" t="s">
        <v>1251</v>
      </c>
      <c r="G2866" s="465"/>
      <c r="H2866" s="465">
        <v>7</v>
      </c>
    </row>
    <row r="2867" spans="1:8" ht="13.8" thickBot="1">
      <c r="A2867" s="465" t="s">
        <v>8203</v>
      </c>
      <c r="B2867" s="465" t="s">
        <v>4807</v>
      </c>
      <c r="C2867" s="466">
        <v>5.75</v>
      </c>
      <c r="D2867" s="465"/>
      <c r="E2867" s="466" t="s">
        <v>4789</v>
      </c>
      <c r="F2867" s="466" t="s">
        <v>1226</v>
      </c>
      <c r="G2867" s="465"/>
      <c r="H2867" s="465">
        <v>3</v>
      </c>
    </row>
    <row r="2868" spans="1:8" ht="13.8" thickBot="1">
      <c r="A2868" s="467" t="s">
        <v>8204</v>
      </c>
      <c r="B2868" s="465" t="s">
        <v>4831</v>
      </c>
      <c r="C2868" s="466">
        <v>5.75</v>
      </c>
      <c r="D2868" s="467" t="s">
        <v>614</v>
      </c>
      <c r="E2868" s="466" t="s">
        <v>4822</v>
      </c>
      <c r="F2868" s="466" t="s">
        <v>1226</v>
      </c>
      <c r="G2868" s="465">
        <v>2</v>
      </c>
      <c r="H2868" s="465">
        <v>6</v>
      </c>
    </row>
    <row r="2869" spans="1:8" ht="13.8" thickBot="1">
      <c r="A2869" s="467" t="s">
        <v>8205</v>
      </c>
      <c r="B2869" s="465" t="s">
        <v>4832</v>
      </c>
      <c r="C2869" s="466">
        <v>5.75</v>
      </c>
      <c r="D2869" s="465"/>
      <c r="E2869" s="466" t="s">
        <v>4822</v>
      </c>
      <c r="F2869" s="466"/>
      <c r="G2869" s="465"/>
      <c r="H2869" s="465"/>
    </row>
    <row r="2870" spans="1:8" ht="13.8" thickBot="1">
      <c r="A2870" s="467" t="s">
        <v>8206</v>
      </c>
      <c r="B2870" s="465" t="s">
        <v>1757</v>
      </c>
      <c r="C2870" s="466">
        <v>5.75</v>
      </c>
      <c r="D2870" s="465"/>
      <c r="E2870" s="466" t="s">
        <v>4822</v>
      </c>
      <c r="F2870" s="466"/>
      <c r="G2870" s="465"/>
      <c r="H2870" s="465">
        <v>4</v>
      </c>
    </row>
    <row r="2871" spans="1:8" ht="13.8" thickBot="1">
      <c r="A2871" s="467" t="s">
        <v>8207</v>
      </c>
      <c r="B2871" s="465" t="s">
        <v>4912</v>
      </c>
      <c r="C2871" s="466">
        <v>5.75</v>
      </c>
      <c r="D2871" s="465"/>
      <c r="E2871" s="466" t="s">
        <v>4905</v>
      </c>
      <c r="F2871" s="466" t="s">
        <v>1226</v>
      </c>
      <c r="G2871" s="465">
        <v>1</v>
      </c>
      <c r="H2871" s="465">
        <v>15</v>
      </c>
    </row>
    <row r="2872" spans="1:8" ht="13.8" thickBot="1">
      <c r="A2872" s="467" t="s">
        <v>8208</v>
      </c>
      <c r="B2872" s="465" t="s">
        <v>4955</v>
      </c>
      <c r="C2872" s="466">
        <v>5.75</v>
      </c>
      <c r="D2872" s="465"/>
      <c r="E2872" s="466" t="s">
        <v>4943</v>
      </c>
      <c r="F2872" s="466" t="s">
        <v>1841</v>
      </c>
      <c r="G2872" s="465"/>
      <c r="H2872" s="465">
        <v>23</v>
      </c>
    </row>
    <row r="2873" spans="1:8" ht="13.8" thickBot="1">
      <c r="A2873" s="467" t="s">
        <v>8209</v>
      </c>
      <c r="B2873" s="465" t="s">
        <v>4965</v>
      </c>
      <c r="C2873" s="466">
        <v>5.75</v>
      </c>
      <c r="D2873" s="465"/>
      <c r="E2873" s="466" t="s">
        <v>4963</v>
      </c>
      <c r="F2873" s="466" t="s">
        <v>1226</v>
      </c>
      <c r="G2873" s="465"/>
      <c r="H2873" s="465">
        <v>11</v>
      </c>
    </row>
    <row r="2874" spans="1:8" ht="13.8" thickBot="1">
      <c r="A2874" s="467" t="s">
        <v>8148</v>
      </c>
      <c r="B2874" s="465" t="s">
        <v>2280</v>
      </c>
      <c r="C2874" s="466">
        <v>5.75</v>
      </c>
      <c r="D2874" s="465"/>
      <c r="E2874" s="466" t="s">
        <v>2273</v>
      </c>
      <c r="F2874" s="466" t="s">
        <v>1226</v>
      </c>
      <c r="G2874" s="465">
        <v>4</v>
      </c>
      <c r="H2874" s="465">
        <v>32</v>
      </c>
    </row>
    <row r="2875" spans="1:8" ht="13.8" thickBot="1">
      <c r="A2875" s="467" t="s">
        <v>8210</v>
      </c>
      <c r="B2875" s="465" t="s">
        <v>5133</v>
      </c>
      <c r="C2875" s="466">
        <v>5.75</v>
      </c>
      <c r="D2875" s="467" t="s">
        <v>614</v>
      </c>
      <c r="E2875" s="466" t="s">
        <v>5125</v>
      </c>
      <c r="F2875" s="466" t="s">
        <v>1841</v>
      </c>
      <c r="G2875" s="465"/>
      <c r="H2875" s="465">
        <v>15</v>
      </c>
    </row>
    <row r="2876" spans="1:8" ht="13.8" thickBot="1">
      <c r="A2876" s="467" t="s">
        <v>8211</v>
      </c>
      <c r="B2876" s="465" t="s">
        <v>5188</v>
      </c>
      <c r="C2876" s="466">
        <v>5.75</v>
      </c>
      <c r="D2876" s="467" t="s">
        <v>614</v>
      </c>
      <c r="E2876" s="466" t="s">
        <v>5180</v>
      </c>
      <c r="F2876" s="466" t="s">
        <v>1224</v>
      </c>
      <c r="G2876" s="465"/>
      <c r="H2876" s="465">
        <v>4</v>
      </c>
    </row>
    <row r="2877" spans="1:8" ht="13.8" thickBot="1">
      <c r="A2877" s="467" t="s">
        <v>8212</v>
      </c>
      <c r="B2877" s="465" t="s">
        <v>5220</v>
      </c>
      <c r="C2877" s="466">
        <v>5.75</v>
      </c>
      <c r="D2877" s="465"/>
      <c r="E2877" s="466" t="s">
        <v>5219</v>
      </c>
      <c r="F2877" s="466" t="s">
        <v>1224</v>
      </c>
      <c r="G2877" s="465"/>
      <c r="H2877" s="465">
        <v>4</v>
      </c>
    </row>
    <row r="2878" spans="1:8" ht="13.8" thickBot="1">
      <c r="A2878" s="467" t="s">
        <v>8213</v>
      </c>
      <c r="B2878" s="465" t="s">
        <v>5241</v>
      </c>
      <c r="C2878" s="466">
        <v>5.75</v>
      </c>
      <c r="D2878" s="465"/>
      <c r="E2878" s="466" t="s">
        <v>5226</v>
      </c>
      <c r="F2878" s="466" t="s">
        <v>1226</v>
      </c>
      <c r="G2878" s="465"/>
      <c r="H2878" s="465">
        <v>31</v>
      </c>
    </row>
    <row r="2879" spans="1:8" ht="13.8" thickBot="1">
      <c r="A2879" s="465" t="s">
        <v>8149</v>
      </c>
      <c r="B2879" s="465" t="s">
        <v>2409</v>
      </c>
      <c r="C2879" s="466">
        <v>5.75</v>
      </c>
      <c r="D2879" s="465"/>
      <c r="E2879" s="466" t="s">
        <v>2289</v>
      </c>
      <c r="F2879" s="466" t="s">
        <v>1841</v>
      </c>
      <c r="G2879" s="465"/>
      <c r="H2879" s="465">
        <v>10</v>
      </c>
    </row>
    <row r="2880" spans="1:8" ht="13.8" thickBot="1">
      <c r="A2880" s="467" t="s">
        <v>8150</v>
      </c>
      <c r="B2880" s="465" t="s">
        <v>2410</v>
      </c>
      <c r="C2880" s="466">
        <v>5.75</v>
      </c>
      <c r="D2880" s="467" t="s">
        <v>2158</v>
      </c>
      <c r="E2880" s="466" t="s">
        <v>2289</v>
      </c>
      <c r="F2880" s="466" t="s">
        <v>1226</v>
      </c>
      <c r="G2880" s="465"/>
      <c r="H2880" s="465">
        <v>4</v>
      </c>
    </row>
    <row r="2881" spans="1:8" ht="13.8" thickBot="1">
      <c r="A2881" s="467" t="s">
        <v>8151</v>
      </c>
      <c r="B2881" s="465" t="s">
        <v>2411</v>
      </c>
      <c r="C2881" s="466">
        <v>5.75</v>
      </c>
      <c r="D2881" s="467" t="s">
        <v>614</v>
      </c>
      <c r="E2881" s="466" t="s">
        <v>2289</v>
      </c>
      <c r="F2881" s="466" t="s">
        <v>1226</v>
      </c>
      <c r="G2881" s="465"/>
      <c r="H2881" s="465">
        <v>10</v>
      </c>
    </row>
    <row r="2882" spans="1:8" ht="13.8" thickBot="1">
      <c r="A2882" s="467" t="s">
        <v>8152</v>
      </c>
      <c r="B2882" s="465" t="s">
        <v>2412</v>
      </c>
      <c r="C2882" s="466">
        <v>5.75</v>
      </c>
      <c r="D2882" s="465"/>
      <c r="E2882" s="466" t="s">
        <v>2289</v>
      </c>
      <c r="F2882" s="466" t="s">
        <v>1226</v>
      </c>
      <c r="G2882" s="465"/>
      <c r="H2882" s="465">
        <v>2</v>
      </c>
    </row>
    <row r="2883" spans="1:8" ht="13.8" thickBot="1">
      <c r="A2883" s="467" t="s">
        <v>8153</v>
      </c>
      <c r="B2883" s="465" t="s">
        <v>2413</v>
      </c>
      <c r="C2883" s="466">
        <v>5.75</v>
      </c>
      <c r="D2883" s="465"/>
      <c r="E2883" s="466" t="s">
        <v>2289</v>
      </c>
      <c r="F2883" s="466" t="s">
        <v>1863</v>
      </c>
      <c r="G2883" s="465">
        <v>1</v>
      </c>
      <c r="H2883" s="465">
        <v>22</v>
      </c>
    </row>
    <row r="2884" spans="1:8" ht="13.8" thickBot="1">
      <c r="A2884" s="467" t="s">
        <v>8154</v>
      </c>
      <c r="B2884" s="465" t="s">
        <v>2414</v>
      </c>
      <c r="C2884" s="466">
        <v>5.75</v>
      </c>
      <c r="D2884" s="465" t="s">
        <v>2415</v>
      </c>
      <c r="E2884" s="466" t="s">
        <v>2289</v>
      </c>
      <c r="F2884" s="466" t="s">
        <v>1224</v>
      </c>
      <c r="G2884" s="465">
        <v>2</v>
      </c>
      <c r="H2884" s="465">
        <v>6</v>
      </c>
    </row>
    <row r="2885" spans="1:8" ht="13.8" thickBot="1">
      <c r="A2885" s="467" t="s">
        <v>8214</v>
      </c>
      <c r="B2885" s="465" t="s">
        <v>5310</v>
      </c>
      <c r="C2885" s="466">
        <v>5.75</v>
      </c>
      <c r="D2885" s="467" t="s">
        <v>2158</v>
      </c>
      <c r="E2885" s="466" t="s">
        <v>5286</v>
      </c>
      <c r="F2885" s="466" t="s">
        <v>1251</v>
      </c>
      <c r="G2885" s="465">
        <v>1</v>
      </c>
      <c r="H2885" s="465">
        <v>11</v>
      </c>
    </row>
    <row r="2886" spans="1:8" ht="13.8" thickBot="1">
      <c r="A2886" s="467" t="s">
        <v>8215</v>
      </c>
      <c r="B2886" s="465" t="s">
        <v>1381</v>
      </c>
      <c r="C2886" s="466">
        <v>5.75</v>
      </c>
      <c r="D2886" s="465"/>
      <c r="E2886" s="466" t="s">
        <v>5286</v>
      </c>
      <c r="F2886" s="466" t="s">
        <v>1226</v>
      </c>
      <c r="G2886" s="465"/>
      <c r="H2886" s="465">
        <v>4</v>
      </c>
    </row>
    <row r="2887" spans="1:8" ht="13.8" thickBot="1">
      <c r="A2887" s="467" t="s">
        <v>8216</v>
      </c>
      <c r="B2887" s="465" t="s">
        <v>5311</v>
      </c>
      <c r="C2887" s="466">
        <v>5.75</v>
      </c>
      <c r="D2887" s="465"/>
      <c r="E2887" s="466" t="s">
        <v>5286</v>
      </c>
      <c r="F2887" s="466" t="s">
        <v>1226</v>
      </c>
      <c r="G2887" s="465"/>
      <c r="H2887" s="465">
        <v>3</v>
      </c>
    </row>
    <row r="2888" spans="1:8" ht="13.8" thickBot="1">
      <c r="A2888" s="465" t="s">
        <v>8217</v>
      </c>
      <c r="B2888" s="465" t="s">
        <v>5312</v>
      </c>
      <c r="C2888" s="466">
        <v>5.75</v>
      </c>
      <c r="D2888" s="465"/>
      <c r="E2888" s="466" t="s">
        <v>5286</v>
      </c>
      <c r="F2888" s="466"/>
      <c r="G2888" s="465"/>
      <c r="H2888" s="465">
        <v>2</v>
      </c>
    </row>
    <row r="2889" spans="1:8" ht="13.8" thickBot="1">
      <c r="A2889" s="467" t="s">
        <v>8155</v>
      </c>
      <c r="B2889" s="465" t="s">
        <v>1329</v>
      </c>
      <c r="C2889" s="466">
        <v>5.75</v>
      </c>
      <c r="D2889" s="465"/>
      <c r="E2889" s="466" t="s">
        <v>2523</v>
      </c>
      <c r="F2889" s="466" t="s">
        <v>1841</v>
      </c>
      <c r="G2889" s="465">
        <v>1</v>
      </c>
      <c r="H2889" s="465">
        <v>12</v>
      </c>
    </row>
    <row r="2890" spans="1:8" ht="13.8" thickBot="1">
      <c r="A2890" s="465" t="s">
        <v>8156</v>
      </c>
      <c r="B2890" s="465" t="s">
        <v>1324</v>
      </c>
      <c r="C2890" s="466">
        <v>5.75</v>
      </c>
      <c r="D2890" s="465"/>
      <c r="E2890" s="466" t="s">
        <v>2523</v>
      </c>
      <c r="F2890" s="466" t="s">
        <v>1226</v>
      </c>
      <c r="G2890" s="465"/>
      <c r="H2890" s="465">
        <v>15</v>
      </c>
    </row>
    <row r="2891" spans="1:8" ht="13.8" thickBot="1">
      <c r="A2891" s="467" t="s">
        <v>8157</v>
      </c>
      <c r="B2891" s="465" t="s">
        <v>2644</v>
      </c>
      <c r="C2891" s="466">
        <v>5.75</v>
      </c>
      <c r="D2891" s="465"/>
      <c r="E2891" s="466" t="s">
        <v>2523</v>
      </c>
      <c r="F2891" s="466"/>
      <c r="G2891" s="465"/>
      <c r="H2891" s="465">
        <v>3</v>
      </c>
    </row>
    <row r="2892" spans="1:8" ht="13.8" thickBot="1">
      <c r="A2892" s="467" t="s">
        <v>8158</v>
      </c>
      <c r="B2892" s="465" t="s">
        <v>2729</v>
      </c>
      <c r="C2892" s="466">
        <v>5.75</v>
      </c>
      <c r="D2892" s="465"/>
      <c r="E2892" s="466" t="s">
        <v>2717</v>
      </c>
      <c r="F2892" s="466"/>
      <c r="G2892" s="465"/>
      <c r="H2892" s="465">
        <v>1</v>
      </c>
    </row>
    <row r="2893" spans="1:8" ht="13.8" thickBot="1">
      <c r="A2893" s="467" t="s">
        <v>8159</v>
      </c>
      <c r="B2893" s="465" t="s">
        <v>1372</v>
      </c>
      <c r="C2893" s="466">
        <v>5.75</v>
      </c>
      <c r="D2893" s="465"/>
      <c r="E2893" s="466" t="s">
        <v>2747</v>
      </c>
      <c r="F2893" s="466" t="s">
        <v>1224</v>
      </c>
      <c r="G2893" s="465"/>
      <c r="H2893" s="465"/>
    </row>
    <row r="2894" spans="1:8" ht="13.8" thickBot="1">
      <c r="A2894" s="465" t="s">
        <v>8160</v>
      </c>
      <c r="B2894" s="465" t="s">
        <v>2947</v>
      </c>
      <c r="C2894" s="466">
        <v>5.75</v>
      </c>
      <c r="D2894" s="465"/>
      <c r="E2894" s="466" t="s">
        <v>2943</v>
      </c>
      <c r="F2894" s="466" t="s">
        <v>1224</v>
      </c>
      <c r="G2894" s="465">
        <v>5</v>
      </c>
      <c r="H2894" s="465">
        <v>10</v>
      </c>
    </row>
    <row r="2895" spans="1:8" ht="13.8" thickBot="1">
      <c r="A2895" s="467" t="s">
        <v>8161</v>
      </c>
      <c r="B2895" s="465" t="s">
        <v>1552</v>
      </c>
      <c r="C2895" s="466">
        <v>5.75</v>
      </c>
      <c r="D2895" s="467" t="s">
        <v>614</v>
      </c>
      <c r="E2895" s="466" t="s">
        <v>2957</v>
      </c>
      <c r="F2895" s="466" t="s">
        <v>1841</v>
      </c>
      <c r="G2895" s="465"/>
      <c r="H2895" s="465">
        <v>6</v>
      </c>
    </row>
    <row r="2896" spans="1:8" ht="13.8" thickBot="1">
      <c r="A2896" s="467" t="s">
        <v>8162</v>
      </c>
      <c r="B2896" s="465" t="s">
        <v>3015</v>
      </c>
      <c r="C2896" s="466">
        <v>5.75</v>
      </c>
      <c r="D2896" s="465"/>
      <c r="E2896" s="466" t="s">
        <v>2957</v>
      </c>
      <c r="F2896" s="466" t="s">
        <v>1226</v>
      </c>
      <c r="G2896" s="465"/>
      <c r="H2896" s="465">
        <v>7</v>
      </c>
    </row>
    <row r="2897" spans="1:8" ht="13.8" thickBot="1">
      <c r="A2897" s="467" t="s">
        <v>8163</v>
      </c>
      <c r="B2897" s="465" t="s">
        <v>3016</v>
      </c>
      <c r="C2897" s="466">
        <v>5.75</v>
      </c>
      <c r="D2897" s="465"/>
      <c r="E2897" s="466" t="s">
        <v>2957</v>
      </c>
      <c r="F2897" s="466" t="s">
        <v>1226</v>
      </c>
      <c r="G2897" s="465"/>
      <c r="H2897" s="465">
        <v>5</v>
      </c>
    </row>
    <row r="2898" spans="1:8" ht="13.8" thickBot="1">
      <c r="A2898" s="465" t="s">
        <v>8164</v>
      </c>
      <c r="B2898" s="465" t="s">
        <v>3017</v>
      </c>
      <c r="C2898" s="466">
        <v>5.75</v>
      </c>
      <c r="D2898" s="465"/>
      <c r="E2898" s="466" t="s">
        <v>2957</v>
      </c>
      <c r="F2898" s="466" t="s">
        <v>1226</v>
      </c>
      <c r="G2898" s="465"/>
      <c r="H2898" s="465">
        <v>8</v>
      </c>
    </row>
    <row r="2899" spans="1:8" ht="13.8" thickBot="1">
      <c r="A2899" s="465" t="s">
        <v>8165</v>
      </c>
      <c r="B2899" s="465" t="s">
        <v>3018</v>
      </c>
      <c r="C2899" s="466">
        <v>5.75</v>
      </c>
      <c r="D2899" s="465"/>
      <c r="E2899" s="466" t="s">
        <v>2957</v>
      </c>
      <c r="F2899" s="466" t="s">
        <v>1224</v>
      </c>
      <c r="G2899" s="465">
        <v>1</v>
      </c>
      <c r="H2899" s="465">
        <v>11</v>
      </c>
    </row>
    <row r="2900" spans="1:8" ht="13.8" thickBot="1">
      <c r="A2900" s="465" t="s">
        <v>8166</v>
      </c>
      <c r="B2900" s="465" t="s">
        <v>1385</v>
      </c>
      <c r="C2900" s="466">
        <v>5.75</v>
      </c>
      <c r="D2900" s="465"/>
      <c r="E2900" s="466" t="s">
        <v>3085</v>
      </c>
      <c r="F2900" s="466"/>
      <c r="G2900" s="465"/>
      <c r="H2900" s="465">
        <v>5</v>
      </c>
    </row>
    <row r="2901" spans="1:8" ht="13.8" thickBot="1">
      <c r="A2901" s="467" t="s">
        <v>8167</v>
      </c>
      <c r="B2901" s="465" t="s">
        <v>3148</v>
      </c>
      <c r="C2901" s="466">
        <v>5.75</v>
      </c>
      <c r="D2901" s="465"/>
      <c r="E2901" s="466" t="s">
        <v>3130</v>
      </c>
      <c r="F2901" s="466" t="s">
        <v>1224</v>
      </c>
      <c r="G2901" s="465">
        <v>2</v>
      </c>
      <c r="H2901" s="465">
        <v>5</v>
      </c>
    </row>
    <row r="2902" spans="1:8" ht="13.8" thickBot="1">
      <c r="A2902" s="467" t="s">
        <v>8168</v>
      </c>
      <c r="B2902" s="465" t="s">
        <v>3227</v>
      </c>
      <c r="C2902" s="466">
        <v>5.75</v>
      </c>
      <c r="D2902" s="467" t="s">
        <v>614</v>
      </c>
      <c r="E2902" s="466" t="s">
        <v>3161</v>
      </c>
      <c r="F2902" s="466" t="s">
        <v>1224</v>
      </c>
      <c r="G2902" s="465"/>
      <c r="H2902" s="465">
        <v>2</v>
      </c>
    </row>
    <row r="2903" spans="1:8" ht="13.8" thickBot="1">
      <c r="A2903" s="467" t="s">
        <v>8169</v>
      </c>
      <c r="B2903" s="465" t="s">
        <v>1425</v>
      </c>
      <c r="C2903" s="466">
        <v>5.75</v>
      </c>
      <c r="D2903" s="467" t="s">
        <v>614</v>
      </c>
      <c r="E2903" s="466" t="s">
        <v>3285</v>
      </c>
      <c r="F2903" s="466" t="s">
        <v>1226</v>
      </c>
      <c r="G2903" s="465">
        <v>1</v>
      </c>
      <c r="H2903" s="465">
        <v>7</v>
      </c>
    </row>
    <row r="2904" spans="1:8" ht="13.8" thickBot="1">
      <c r="A2904" s="467" t="s">
        <v>8143</v>
      </c>
      <c r="B2904" s="465" t="s">
        <v>2064</v>
      </c>
      <c r="C2904" s="466">
        <v>5.75</v>
      </c>
      <c r="D2904" s="467" t="s">
        <v>614</v>
      </c>
      <c r="E2904" s="466" t="s">
        <v>2032</v>
      </c>
      <c r="F2904" s="466" t="s">
        <v>1226</v>
      </c>
      <c r="G2904" s="465"/>
      <c r="H2904" s="465">
        <v>19</v>
      </c>
    </row>
    <row r="2905" spans="1:8" ht="13.8" thickBot="1">
      <c r="A2905" s="467" t="s">
        <v>8170</v>
      </c>
      <c r="B2905" s="465" t="s">
        <v>1447</v>
      </c>
      <c r="C2905" s="466">
        <v>5.75</v>
      </c>
      <c r="D2905" s="467" t="s">
        <v>3356</v>
      </c>
      <c r="E2905" s="466" t="s">
        <v>3448</v>
      </c>
      <c r="F2905" s="466"/>
      <c r="G2905" s="465"/>
      <c r="H2905" s="465"/>
    </row>
    <row r="2906" spans="1:8" ht="13.8" thickBot="1">
      <c r="A2906" s="467" t="s">
        <v>8171</v>
      </c>
      <c r="B2906" s="465" t="s">
        <v>3601</v>
      </c>
      <c r="C2906" s="466">
        <v>5.75</v>
      </c>
      <c r="D2906" s="467" t="s">
        <v>614</v>
      </c>
      <c r="E2906" s="466" t="s">
        <v>3517</v>
      </c>
      <c r="F2906" s="466" t="s">
        <v>1251</v>
      </c>
      <c r="G2906" s="465"/>
      <c r="H2906" s="465">
        <v>14</v>
      </c>
    </row>
    <row r="2907" spans="1:8" ht="13.8" thickBot="1">
      <c r="A2907" s="465" t="s">
        <v>8172</v>
      </c>
      <c r="B2907" s="465" t="s">
        <v>3581</v>
      </c>
      <c r="C2907" s="466">
        <v>5.75</v>
      </c>
      <c r="D2907" s="467" t="s">
        <v>614</v>
      </c>
      <c r="E2907" s="466" t="s">
        <v>3517</v>
      </c>
      <c r="F2907" s="466" t="s">
        <v>2374</v>
      </c>
      <c r="G2907" s="465"/>
      <c r="H2907" s="465">
        <v>7</v>
      </c>
    </row>
    <row r="2908" spans="1:8" ht="13.8" thickBot="1">
      <c r="A2908" s="467" t="s">
        <v>8173</v>
      </c>
      <c r="B2908" s="465" t="s">
        <v>3602</v>
      </c>
      <c r="C2908" s="466">
        <v>5.75</v>
      </c>
      <c r="D2908" s="465"/>
      <c r="E2908" s="466" t="s">
        <v>3517</v>
      </c>
      <c r="F2908" s="466" t="s">
        <v>1224</v>
      </c>
      <c r="G2908" s="465"/>
      <c r="H2908" s="465">
        <v>1</v>
      </c>
    </row>
    <row r="2909" spans="1:8" ht="13.8" thickBot="1">
      <c r="A2909" s="465" t="s">
        <v>8174</v>
      </c>
      <c r="B2909" s="465" t="s">
        <v>1466</v>
      </c>
      <c r="C2909" s="466">
        <v>5.75</v>
      </c>
      <c r="D2909" s="465"/>
      <c r="E2909" s="466" t="s">
        <v>3652</v>
      </c>
      <c r="F2909" s="466" t="s">
        <v>1226</v>
      </c>
      <c r="G2909" s="465">
        <v>1</v>
      </c>
      <c r="H2909" s="465">
        <v>4</v>
      </c>
    </row>
    <row r="2910" spans="1:8" ht="13.8" thickBot="1">
      <c r="A2910" s="465" t="s">
        <v>8175</v>
      </c>
      <c r="B2910" s="465" t="s">
        <v>3725</v>
      </c>
      <c r="C2910" s="466">
        <v>5.75</v>
      </c>
      <c r="D2910" s="465"/>
      <c r="E2910" s="466" t="s">
        <v>3724</v>
      </c>
      <c r="F2910" s="466" t="s">
        <v>1224</v>
      </c>
      <c r="G2910" s="465">
        <v>1</v>
      </c>
      <c r="H2910" s="465">
        <v>8</v>
      </c>
    </row>
    <row r="2911" spans="1:8" ht="13.8" thickBot="1">
      <c r="A2911" s="465" t="s">
        <v>8176</v>
      </c>
      <c r="B2911" s="465" t="s">
        <v>1488</v>
      </c>
      <c r="C2911" s="466">
        <v>5.75</v>
      </c>
      <c r="D2911" s="467" t="s">
        <v>614</v>
      </c>
      <c r="E2911" s="466" t="s">
        <v>3734</v>
      </c>
      <c r="F2911" s="466" t="s">
        <v>1226</v>
      </c>
      <c r="G2911" s="465">
        <v>3</v>
      </c>
      <c r="H2911" s="465">
        <v>13</v>
      </c>
    </row>
    <row r="2912" spans="1:8" ht="13.8" thickBot="1">
      <c r="A2912" s="465" t="s">
        <v>8177</v>
      </c>
      <c r="B2912" s="465" t="s">
        <v>1480</v>
      </c>
      <c r="C2912" s="466">
        <v>5.75</v>
      </c>
      <c r="D2912" s="465"/>
      <c r="E2912" s="466" t="s">
        <v>3734</v>
      </c>
      <c r="F2912" s="466"/>
      <c r="G2912" s="465">
        <v>2</v>
      </c>
      <c r="H2912" s="465">
        <v>9</v>
      </c>
    </row>
    <row r="2913" spans="1:8" ht="13.8" thickBot="1">
      <c r="A2913" s="467" t="s">
        <v>8178</v>
      </c>
      <c r="B2913" s="465" t="s">
        <v>3886</v>
      </c>
      <c r="C2913" s="466">
        <v>5.75</v>
      </c>
      <c r="D2913" s="465"/>
      <c r="E2913" s="466" t="s">
        <v>3856</v>
      </c>
      <c r="F2913" s="466" t="s">
        <v>1251</v>
      </c>
      <c r="G2913" s="465"/>
      <c r="H2913" s="465">
        <v>7</v>
      </c>
    </row>
    <row r="2914" spans="1:8" ht="13.8" thickBot="1">
      <c r="A2914" s="467" t="s">
        <v>8179</v>
      </c>
      <c r="B2914" s="465" t="s">
        <v>3887</v>
      </c>
      <c r="C2914" s="466">
        <v>5.75</v>
      </c>
      <c r="D2914" s="467" t="s">
        <v>614</v>
      </c>
      <c r="E2914" s="466" t="s">
        <v>3856</v>
      </c>
      <c r="F2914" s="466" t="s">
        <v>1226</v>
      </c>
      <c r="G2914" s="465"/>
      <c r="H2914" s="465">
        <v>2</v>
      </c>
    </row>
    <row r="2915" spans="1:8" ht="13.8" thickBot="1">
      <c r="A2915" s="467" t="s">
        <v>8180</v>
      </c>
      <c r="B2915" s="465" t="s">
        <v>1507</v>
      </c>
      <c r="C2915" s="466">
        <v>5.75</v>
      </c>
      <c r="D2915" s="465"/>
      <c r="E2915" s="466" t="s">
        <v>3856</v>
      </c>
      <c r="F2915" s="466" t="s">
        <v>1224</v>
      </c>
      <c r="G2915" s="465">
        <v>3</v>
      </c>
      <c r="H2915" s="465">
        <v>8</v>
      </c>
    </row>
    <row r="2916" spans="1:8" ht="13.8" thickBot="1">
      <c r="A2916" s="467" t="s">
        <v>8181</v>
      </c>
      <c r="B2916" s="465" t="s">
        <v>1507</v>
      </c>
      <c r="C2916" s="466">
        <v>5.75</v>
      </c>
      <c r="D2916" s="465"/>
      <c r="E2916" s="466" t="s">
        <v>3856</v>
      </c>
      <c r="F2916" s="466"/>
      <c r="G2916" s="465"/>
      <c r="H2916" s="465">
        <v>1</v>
      </c>
    </row>
    <row r="2917" spans="1:8" ht="13.8" thickBot="1">
      <c r="A2917" s="465" t="s">
        <v>8182</v>
      </c>
      <c r="B2917" s="465" t="s">
        <v>1515</v>
      </c>
      <c r="C2917" s="466">
        <v>5.75</v>
      </c>
      <c r="D2917" s="467" t="s">
        <v>614</v>
      </c>
      <c r="E2917" s="466" t="s">
        <v>3932</v>
      </c>
      <c r="F2917" s="466" t="s">
        <v>1224</v>
      </c>
      <c r="G2917" s="465">
        <v>2</v>
      </c>
      <c r="H2917" s="465">
        <v>17</v>
      </c>
    </row>
    <row r="2918" spans="1:8" ht="13.8" thickBot="1">
      <c r="A2918" s="467" t="s">
        <v>8183</v>
      </c>
      <c r="B2918" s="465" t="s">
        <v>3984</v>
      </c>
      <c r="C2918" s="466">
        <v>5.75</v>
      </c>
      <c r="D2918" s="467" t="s">
        <v>614</v>
      </c>
      <c r="E2918" s="466" t="s">
        <v>3957</v>
      </c>
      <c r="F2918" s="466" t="s">
        <v>1229</v>
      </c>
      <c r="G2918" s="465">
        <v>1</v>
      </c>
      <c r="H2918" s="465">
        <v>11</v>
      </c>
    </row>
    <row r="2919" spans="1:8" ht="13.8" thickBot="1">
      <c r="A2919" s="467" t="s">
        <v>8184</v>
      </c>
      <c r="B2919" s="465" t="s">
        <v>3980</v>
      </c>
      <c r="C2919" s="466">
        <v>5.75</v>
      </c>
      <c r="D2919" s="465"/>
      <c r="E2919" s="466" t="s">
        <v>3957</v>
      </c>
      <c r="F2919" s="466" t="s">
        <v>1220</v>
      </c>
      <c r="G2919" s="465"/>
      <c r="H2919" s="465">
        <v>7</v>
      </c>
    </row>
    <row r="2920" spans="1:8" ht="13.8" thickBot="1">
      <c r="A2920" s="467" t="s">
        <v>8185</v>
      </c>
      <c r="B2920" s="465" t="s">
        <v>4057</v>
      </c>
      <c r="C2920" s="466">
        <v>5.75</v>
      </c>
      <c r="D2920" s="467" t="s">
        <v>4058</v>
      </c>
      <c r="E2920" s="466" t="s">
        <v>4046</v>
      </c>
      <c r="F2920" s="466"/>
      <c r="G2920" s="465"/>
      <c r="H2920" s="465">
        <v>1</v>
      </c>
    </row>
    <row r="2921" spans="1:8" ht="13.8" thickBot="1">
      <c r="A2921" s="465" t="s">
        <v>8186</v>
      </c>
      <c r="B2921" s="465" t="s">
        <v>1544</v>
      </c>
      <c r="C2921" s="466">
        <v>5.75</v>
      </c>
      <c r="D2921" s="465"/>
      <c r="E2921" s="466" t="s">
        <v>4102</v>
      </c>
      <c r="F2921" s="466" t="s">
        <v>1226</v>
      </c>
      <c r="G2921" s="465"/>
      <c r="H2921" s="465">
        <v>3</v>
      </c>
    </row>
    <row r="2922" spans="1:8" ht="13.8" thickBot="1">
      <c r="A2922" s="467" t="s">
        <v>8187</v>
      </c>
      <c r="B2922" s="465" t="s">
        <v>1544</v>
      </c>
      <c r="C2922" s="466">
        <v>5.75</v>
      </c>
      <c r="D2922" s="465"/>
      <c r="E2922" s="466" t="s">
        <v>4102</v>
      </c>
      <c r="F2922" s="466" t="s">
        <v>1224</v>
      </c>
      <c r="G2922" s="465"/>
      <c r="H2922" s="465">
        <v>4</v>
      </c>
    </row>
    <row r="2923" spans="1:8" ht="13.8" thickBot="1">
      <c r="A2923" s="467" t="s">
        <v>8188</v>
      </c>
      <c r="B2923" s="465" t="s">
        <v>4183</v>
      </c>
      <c r="C2923" s="466">
        <v>5.75</v>
      </c>
      <c r="D2923" s="467" t="s">
        <v>614</v>
      </c>
      <c r="E2923" s="466" t="s">
        <v>4160</v>
      </c>
      <c r="F2923" s="466" t="s">
        <v>1226</v>
      </c>
      <c r="G2923" s="465">
        <v>1</v>
      </c>
      <c r="H2923" s="465">
        <v>10</v>
      </c>
    </row>
    <row r="2924" spans="1:8" ht="13.8" thickBot="1">
      <c r="A2924" s="467" t="s">
        <v>8189</v>
      </c>
      <c r="B2924" s="465" t="s">
        <v>4184</v>
      </c>
      <c r="C2924" s="466">
        <v>5.75</v>
      </c>
      <c r="D2924" s="465"/>
      <c r="E2924" s="466" t="s">
        <v>4160</v>
      </c>
      <c r="F2924" s="466"/>
      <c r="G2924" s="465">
        <v>1</v>
      </c>
      <c r="H2924" s="465">
        <v>14</v>
      </c>
    </row>
    <row r="2925" spans="1:8" ht="13.8" thickBot="1">
      <c r="A2925" s="465" t="s">
        <v>8190</v>
      </c>
      <c r="B2925" s="465" t="s">
        <v>1607</v>
      </c>
      <c r="C2925" s="466">
        <v>5.75</v>
      </c>
      <c r="D2925" s="465"/>
      <c r="E2925" s="466" t="s">
        <v>4214</v>
      </c>
      <c r="F2925" s="466" t="s">
        <v>1224</v>
      </c>
      <c r="G2925" s="465"/>
      <c r="H2925" s="465">
        <v>3</v>
      </c>
    </row>
    <row r="2926" spans="1:8" ht="13.8" thickBot="1">
      <c r="A2926" s="467" t="s">
        <v>8191</v>
      </c>
      <c r="B2926" s="465" t="s">
        <v>1718</v>
      </c>
      <c r="C2926" s="466">
        <v>5.75</v>
      </c>
      <c r="D2926" s="465"/>
      <c r="E2926" s="466" t="s">
        <v>4403</v>
      </c>
      <c r="F2926" s="466" t="s">
        <v>1224</v>
      </c>
      <c r="G2926" s="465"/>
      <c r="H2926" s="465">
        <v>13</v>
      </c>
    </row>
    <row r="2927" spans="1:8" ht="13.8" thickBot="1">
      <c r="A2927" s="465" t="s">
        <v>8192</v>
      </c>
      <c r="B2927" s="465" t="s">
        <v>4469</v>
      </c>
      <c r="C2927" s="466">
        <v>5.75</v>
      </c>
      <c r="D2927" s="465"/>
      <c r="E2927" s="466" t="s">
        <v>4438</v>
      </c>
      <c r="F2927" s="466" t="s">
        <v>1251</v>
      </c>
      <c r="G2927" s="465"/>
      <c r="H2927" s="465">
        <v>5</v>
      </c>
    </row>
    <row r="2928" spans="1:8" ht="13.8" thickBot="1">
      <c r="A2928" s="467" t="s">
        <v>8193</v>
      </c>
      <c r="B2928" s="468" t="s">
        <v>1638</v>
      </c>
      <c r="C2928" s="466">
        <v>5.75</v>
      </c>
      <c r="D2928" s="465"/>
      <c r="E2928" s="466" t="s">
        <v>4438</v>
      </c>
      <c r="F2928" s="466" t="s">
        <v>1226</v>
      </c>
      <c r="G2928" s="465"/>
      <c r="H2928" s="465">
        <v>8</v>
      </c>
    </row>
    <row r="2929" spans="1:8" ht="13.8" thickBot="1">
      <c r="A2929" s="467" t="s">
        <v>8194</v>
      </c>
      <c r="B2929" s="465" t="s">
        <v>4500</v>
      </c>
      <c r="C2929" s="466">
        <v>5.75</v>
      </c>
      <c r="D2929" s="467" t="s">
        <v>614</v>
      </c>
      <c r="E2929" s="466" t="s">
        <v>4491</v>
      </c>
      <c r="F2929" s="466" t="s">
        <v>1251</v>
      </c>
      <c r="G2929" s="465"/>
      <c r="H2929" s="465">
        <v>2</v>
      </c>
    </row>
    <row r="2930" spans="1:8" ht="13.8" thickBot="1">
      <c r="A2930" s="467" t="s">
        <v>8195</v>
      </c>
      <c r="B2930" s="465" t="s">
        <v>4501</v>
      </c>
      <c r="C2930" s="466">
        <v>5.75</v>
      </c>
      <c r="D2930" s="467" t="s">
        <v>4502</v>
      </c>
      <c r="E2930" s="466" t="s">
        <v>4491</v>
      </c>
      <c r="F2930" s="466" t="s">
        <v>1226</v>
      </c>
      <c r="G2930" s="465"/>
      <c r="H2930" s="465">
        <v>2</v>
      </c>
    </row>
    <row r="2931" spans="1:8" ht="13.8" thickBot="1">
      <c r="A2931" s="467" t="s">
        <v>8196</v>
      </c>
      <c r="B2931" s="465" t="s">
        <v>1653</v>
      </c>
      <c r="C2931" s="466">
        <v>5.75</v>
      </c>
      <c r="D2931" s="467" t="s">
        <v>614</v>
      </c>
      <c r="E2931" s="466" t="s">
        <v>4509</v>
      </c>
      <c r="F2931" s="466" t="s">
        <v>2319</v>
      </c>
      <c r="G2931" s="465"/>
      <c r="H2931" s="465">
        <v>15</v>
      </c>
    </row>
    <row r="2932" spans="1:8" ht="13.8" thickBot="1">
      <c r="A2932" s="467" t="s">
        <v>8197</v>
      </c>
      <c r="B2932" s="465" t="s">
        <v>4522</v>
      </c>
      <c r="C2932" s="466">
        <v>5.75</v>
      </c>
      <c r="D2932" s="465"/>
      <c r="E2932" s="466" t="s">
        <v>4509</v>
      </c>
      <c r="F2932" s="466"/>
      <c r="G2932" s="465"/>
      <c r="H2932" s="465"/>
    </row>
    <row r="2933" spans="1:8" ht="13.8" thickBot="1">
      <c r="A2933" s="467" t="s">
        <v>8198</v>
      </c>
      <c r="B2933" s="465" t="s">
        <v>4553</v>
      </c>
      <c r="C2933" s="466">
        <v>5.75</v>
      </c>
      <c r="D2933" s="467" t="s">
        <v>614</v>
      </c>
      <c r="E2933" s="466" t="s">
        <v>4536</v>
      </c>
      <c r="F2933" s="466" t="s">
        <v>1251</v>
      </c>
      <c r="G2933" s="465"/>
      <c r="H2933" s="465">
        <v>4</v>
      </c>
    </row>
    <row r="2934" spans="1:8" ht="13.8" thickBot="1">
      <c r="A2934" s="465" t="s">
        <v>8199</v>
      </c>
      <c r="B2934" s="465" t="s">
        <v>4554</v>
      </c>
      <c r="C2934" s="466">
        <v>5.75</v>
      </c>
      <c r="D2934" s="465"/>
      <c r="E2934" s="466" t="s">
        <v>4536</v>
      </c>
      <c r="F2934" s="466" t="s">
        <v>1226</v>
      </c>
      <c r="G2934" s="465"/>
      <c r="H2934" s="465">
        <v>12</v>
      </c>
    </row>
    <row r="2935" spans="1:8" ht="13.8" thickBot="1">
      <c r="A2935" s="467" t="s">
        <v>8144</v>
      </c>
      <c r="B2935" s="465" t="s">
        <v>2190</v>
      </c>
      <c r="C2935" s="466">
        <v>5.75</v>
      </c>
      <c r="D2935" s="465"/>
      <c r="E2935" s="466" t="s">
        <v>2152</v>
      </c>
      <c r="F2935" s="466" t="s">
        <v>1226</v>
      </c>
      <c r="G2935" s="465"/>
      <c r="H2935" s="465">
        <v>3</v>
      </c>
    </row>
    <row r="2936" spans="1:8" ht="13.8" thickBot="1">
      <c r="A2936" s="467" t="s">
        <v>8145</v>
      </c>
      <c r="B2936" s="465" t="s">
        <v>1270</v>
      </c>
      <c r="C2936" s="466">
        <v>5.75</v>
      </c>
      <c r="D2936" s="465"/>
      <c r="E2936" s="466" t="s">
        <v>2152</v>
      </c>
      <c r="F2936" s="466" t="s">
        <v>1224</v>
      </c>
      <c r="G2936" s="465"/>
      <c r="H2936" s="465">
        <v>8</v>
      </c>
    </row>
    <row r="2937" spans="1:8" ht="13.8" thickBot="1">
      <c r="A2937" s="467" t="s">
        <v>8146</v>
      </c>
      <c r="B2937" s="465" t="s">
        <v>2191</v>
      </c>
      <c r="C2937" s="466">
        <v>5.75</v>
      </c>
      <c r="D2937" s="465"/>
      <c r="E2937" s="466" t="s">
        <v>2152</v>
      </c>
      <c r="F2937" s="466" t="s">
        <v>1224</v>
      </c>
      <c r="G2937" s="465"/>
      <c r="H2937" s="465">
        <v>3</v>
      </c>
    </row>
    <row r="2938" spans="1:8" ht="13.8" thickBot="1">
      <c r="A2938" s="465" t="s">
        <v>8200</v>
      </c>
      <c r="B2938" s="465" t="s">
        <v>4662</v>
      </c>
      <c r="C2938" s="466">
        <v>5.75</v>
      </c>
      <c r="D2938" s="467" t="s">
        <v>614</v>
      </c>
      <c r="E2938" s="466" t="s">
        <v>4644</v>
      </c>
      <c r="F2938" s="466" t="s">
        <v>1251</v>
      </c>
      <c r="G2938" s="465">
        <v>3</v>
      </c>
      <c r="H2938" s="465">
        <v>13</v>
      </c>
    </row>
    <row r="2939" spans="1:8" ht="13.8" thickBot="1">
      <c r="A2939" s="467" t="s">
        <v>8201</v>
      </c>
      <c r="B2939" s="465" t="s">
        <v>4745</v>
      </c>
      <c r="C2939" s="466">
        <v>5.75</v>
      </c>
      <c r="D2939" s="465"/>
      <c r="E2939" s="466" t="s">
        <v>4717</v>
      </c>
      <c r="F2939" s="466" t="s">
        <v>1251</v>
      </c>
      <c r="G2939" s="465"/>
      <c r="H2939" s="465">
        <v>16</v>
      </c>
    </row>
    <row r="2940" spans="1:8" ht="13.8" thickBot="1">
      <c r="A2940" s="467" t="s">
        <v>8218</v>
      </c>
      <c r="B2940" s="465" t="s">
        <v>1839</v>
      </c>
      <c r="C2940" s="466">
        <v>6</v>
      </c>
      <c r="D2940" s="467" t="s">
        <v>614</v>
      </c>
      <c r="E2940" s="466" t="s">
        <v>1793</v>
      </c>
      <c r="F2940" s="466" t="s">
        <v>1251</v>
      </c>
      <c r="G2940" s="465">
        <v>3</v>
      </c>
      <c r="H2940" s="465">
        <v>19</v>
      </c>
    </row>
    <row r="2941" spans="1:8" ht="13.8" thickBot="1">
      <c r="A2941" s="465" t="s">
        <v>8219</v>
      </c>
      <c r="B2941" s="465" t="s">
        <v>1840</v>
      </c>
      <c r="C2941" s="466">
        <v>6</v>
      </c>
      <c r="D2941" s="467" t="s">
        <v>614</v>
      </c>
      <c r="E2941" s="466" t="s">
        <v>1793</v>
      </c>
      <c r="F2941" s="466" t="s">
        <v>1841</v>
      </c>
      <c r="G2941" s="465">
        <v>1</v>
      </c>
      <c r="H2941" s="465">
        <v>7</v>
      </c>
    </row>
    <row r="2942" spans="1:8" ht="13.8" thickBot="1">
      <c r="A2942" s="465" t="s">
        <v>8220</v>
      </c>
      <c r="B2942" s="465" t="s">
        <v>1842</v>
      </c>
      <c r="C2942" s="466">
        <v>6</v>
      </c>
      <c r="D2942" s="465"/>
      <c r="E2942" s="466" t="s">
        <v>1793</v>
      </c>
      <c r="F2942" s="466" t="s">
        <v>1226</v>
      </c>
      <c r="G2942" s="465">
        <v>1</v>
      </c>
      <c r="H2942" s="465">
        <v>12</v>
      </c>
    </row>
    <row r="2943" spans="1:8" ht="13.8" thickBot="1">
      <c r="A2943" s="467" t="s">
        <v>8221</v>
      </c>
      <c r="B2943" s="465" t="s">
        <v>1801</v>
      </c>
      <c r="C2943" s="466">
        <v>6</v>
      </c>
      <c r="D2943" s="465"/>
      <c r="E2943" s="466" t="s">
        <v>1793</v>
      </c>
      <c r="F2943" s="466" t="s">
        <v>1226</v>
      </c>
      <c r="G2943" s="465"/>
      <c r="H2943" s="465">
        <v>4</v>
      </c>
    </row>
    <row r="2944" spans="1:8" ht="13.8" thickBot="1">
      <c r="A2944" s="467" t="s">
        <v>8222</v>
      </c>
      <c r="B2944" s="465" t="s">
        <v>1843</v>
      </c>
      <c r="C2944" s="466">
        <v>6</v>
      </c>
      <c r="D2944" s="465"/>
      <c r="E2944" s="466" t="s">
        <v>1793</v>
      </c>
      <c r="F2944" s="466" t="s">
        <v>1226</v>
      </c>
      <c r="G2944" s="465"/>
      <c r="H2944" s="465">
        <v>9</v>
      </c>
    </row>
    <row r="2945" spans="1:8" ht="13.8" thickBot="1">
      <c r="A2945" s="467" t="s">
        <v>8223</v>
      </c>
      <c r="B2945" s="465" t="s">
        <v>1844</v>
      </c>
      <c r="C2945" s="466">
        <v>6</v>
      </c>
      <c r="D2945" s="465"/>
      <c r="E2945" s="466" t="s">
        <v>1793</v>
      </c>
      <c r="F2945" s="466" t="s">
        <v>1224</v>
      </c>
      <c r="G2945" s="465"/>
      <c r="H2945" s="465">
        <v>1</v>
      </c>
    </row>
    <row r="2946" spans="1:8" ht="13.8" thickBot="1">
      <c r="A2946" s="465" t="s">
        <v>8224</v>
      </c>
      <c r="B2946" s="465" t="s">
        <v>1792</v>
      </c>
      <c r="C2946" s="466">
        <v>6</v>
      </c>
      <c r="D2946" s="465"/>
      <c r="E2946" s="466" t="s">
        <v>1793</v>
      </c>
      <c r="F2946" s="466"/>
      <c r="G2946" s="465">
        <v>1</v>
      </c>
      <c r="H2946" s="465">
        <v>3</v>
      </c>
    </row>
    <row r="2947" spans="1:8" ht="13.8" thickBot="1">
      <c r="A2947" s="467" t="s">
        <v>8225</v>
      </c>
      <c r="B2947" s="465" t="s">
        <v>1792</v>
      </c>
      <c r="C2947" s="466">
        <v>6</v>
      </c>
      <c r="D2947" s="465"/>
      <c r="E2947" s="466" t="s">
        <v>1793</v>
      </c>
      <c r="F2947" s="466"/>
      <c r="G2947" s="465"/>
      <c r="H2947" s="465">
        <v>4</v>
      </c>
    </row>
    <row r="2948" spans="1:8" ht="13.8" thickBot="1">
      <c r="A2948" s="465" t="s">
        <v>8226</v>
      </c>
      <c r="B2948" s="465" t="s">
        <v>1845</v>
      </c>
      <c r="C2948" s="466">
        <v>6</v>
      </c>
      <c r="D2948" s="465"/>
      <c r="E2948" s="466" t="s">
        <v>1793</v>
      </c>
      <c r="F2948" s="466"/>
      <c r="G2948" s="465"/>
      <c r="H2948" s="465">
        <v>2</v>
      </c>
    </row>
    <row r="2949" spans="1:8" ht="13.8" thickBot="1">
      <c r="A2949" s="465" t="s">
        <v>8227</v>
      </c>
      <c r="B2949" s="465" t="s">
        <v>1846</v>
      </c>
      <c r="C2949" s="466">
        <v>6</v>
      </c>
      <c r="D2949" s="465"/>
      <c r="E2949" s="466" t="s">
        <v>1793</v>
      </c>
      <c r="F2949" s="466"/>
      <c r="G2949" s="465"/>
      <c r="H2949" s="465"/>
    </row>
    <row r="2950" spans="1:8" ht="13.8" thickBot="1">
      <c r="A2950" s="467" t="s">
        <v>8296</v>
      </c>
      <c r="B2950" s="465" t="s">
        <v>2226</v>
      </c>
      <c r="C2950" s="466">
        <v>6</v>
      </c>
      <c r="D2950" s="465"/>
      <c r="E2950" s="466" t="s">
        <v>2216</v>
      </c>
      <c r="F2950" s="466" t="s">
        <v>1865</v>
      </c>
      <c r="G2950" s="465">
        <v>1</v>
      </c>
      <c r="H2950" s="465">
        <v>2</v>
      </c>
    </row>
    <row r="2951" spans="1:8" ht="13.8" thickBot="1">
      <c r="A2951" s="467" t="s">
        <v>8297</v>
      </c>
      <c r="B2951" s="465" t="s">
        <v>2227</v>
      </c>
      <c r="C2951" s="466">
        <v>6</v>
      </c>
      <c r="D2951" s="467" t="s">
        <v>614</v>
      </c>
      <c r="E2951" s="466" t="s">
        <v>2216</v>
      </c>
      <c r="F2951" s="466" t="s">
        <v>1226</v>
      </c>
      <c r="G2951" s="465"/>
      <c r="H2951" s="465">
        <v>3</v>
      </c>
    </row>
    <row r="2952" spans="1:8" ht="13.8" thickBot="1">
      <c r="A2952" s="467" t="s">
        <v>8298</v>
      </c>
      <c r="B2952" s="465" t="s">
        <v>2228</v>
      </c>
      <c r="C2952" s="466">
        <v>6</v>
      </c>
      <c r="D2952" s="467" t="s">
        <v>614</v>
      </c>
      <c r="E2952" s="466" t="s">
        <v>2216</v>
      </c>
      <c r="F2952" s="466"/>
      <c r="G2952" s="465"/>
      <c r="H2952" s="465">
        <v>5</v>
      </c>
    </row>
    <row r="2953" spans="1:8" ht="13.8" thickBot="1">
      <c r="A2953" s="467" t="s">
        <v>8791</v>
      </c>
      <c r="B2953" s="465" t="s">
        <v>4797</v>
      </c>
      <c r="C2953" s="466">
        <v>6</v>
      </c>
      <c r="D2953" s="465"/>
      <c r="E2953" s="466" t="s">
        <v>4789</v>
      </c>
      <c r="F2953" s="466" t="s">
        <v>1841</v>
      </c>
      <c r="G2953" s="465"/>
      <c r="H2953" s="465">
        <v>11</v>
      </c>
    </row>
    <row r="2954" spans="1:8" ht="13.8" thickBot="1">
      <c r="A2954" s="467" t="s">
        <v>8792</v>
      </c>
      <c r="B2954" s="465" t="s">
        <v>4798</v>
      </c>
      <c r="C2954" s="466">
        <v>6</v>
      </c>
      <c r="D2954" s="467" t="s">
        <v>614</v>
      </c>
      <c r="E2954" s="466" t="s">
        <v>4789</v>
      </c>
      <c r="F2954" s="466" t="s">
        <v>1226</v>
      </c>
      <c r="G2954" s="465">
        <v>1</v>
      </c>
      <c r="H2954" s="465">
        <v>5</v>
      </c>
    </row>
    <row r="2955" spans="1:8" ht="13.8" thickBot="1">
      <c r="A2955" s="467" t="s">
        <v>8793</v>
      </c>
      <c r="B2955" s="465" t="s">
        <v>4799</v>
      </c>
      <c r="C2955" s="466">
        <v>6</v>
      </c>
      <c r="D2955" s="465"/>
      <c r="E2955" s="466" t="s">
        <v>4789</v>
      </c>
      <c r="F2955" s="466" t="s">
        <v>1220</v>
      </c>
      <c r="G2955" s="465"/>
      <c r="H2955" s="465">
        <v>2</v>
      </c>
    </row>
    <row r="2956" spans="1:8" ht="13.8" thickBot="1">
      <c r="A2956" s="465" t="s">
        <v>8794</v>
      </c>
      <c r="B2956" s="465" t="s">
        <v>1759</v>
      </c>
      <c r="C2956" s="466">
        <v>6</v>
      </c>
      <c r="D2956" s="465"/>
      <c r="E2956" s="466" t="s">
        <v>4789</v>
      </c>
      <c r="F2956" s="466"/>
      <c r="G2956" s="465"/>
      <c r="H2956" s="465">
        <v>1</v>
      </c>
    </row>
    <row r="2957" spans="1:8" ht="13.8" thickBot="1">
      <c r="A2957" s="465" t="s">
        <v>8795</v>
      </c>
      <c r="B2957" s="465" t="s">
        <v>4800</v>
      </c>
      <c r="C2957" s="466">
        <v>6</v>
      </c>
      <c r="D2957" s="465" t="s">
        <v>4801</v>
      </c>
      <c r="E2957" s="466" t="s">
        <v>4789</v>
      </c>
      <c r="F2957" s="466"/>
      <c r="G2957" s="465"/>
      <c r="H2957" s="465">
        <v>2</v>
      </c>
    </row>
    <row r="2958" spans="1:8" ht="13.8" thickBot="1">
      <c r="A2958" s="465" t="s">
        <v>8796</v>
      </c>
      <c r="B2958" s="465" t="s">
        <v>4800</v>
      </c>
      <c r="C2958" s="466">
        <v>6</v>
      </c>
      <c r="D2958" s="465"/>
      <c r="E2958" s="466" t="s">
        <v>4789</v>
      </c>
      <c r="F2958" s="466"/>
      <c r="G2958" s="465"/>
      <c r="H2958" s="465"/>
    </row>
    <row r="2959" spans="1:8" ht="13.8" thickBot="1">
      <c r="A2959" s="465" t="s">
        <v>8797</v>
      </c>
      <c r="B2959" s="465" t="s">
        <v>4802</v>
      </c>
      <c r="C2959" s="466">
        <v>6</v>
      </c>
      <c r="D2959" s="465"/>
      <c r="E2959" s="466" t="s">
        <v>4789</v>
      </c>
      <c r="F2959" s="466"/>
      <c r="G2959" s="465"/>
      <c r="H2959" s="465"/>
    </row>
    <row r="2960" spans="1:8" ht="13.8" thickBot="1">
      <c r="A2960" s="467" t="s">
        <v>8798</v>
      </c>
      <c r="B2960" s="465" t="s">
        <v>4803</v>
      </c>
      <c r="C2960" s="466">
        <v>6</v>
      </c>
      <c r="D2960" s="467" t="s">
        <v>151</v>
      </c>
      <c r="E2960" s="466" t="s">
        <v>4789</v>
      </c>
      <c r="F2960" s="466"/>
      <c r="G2960" s="465"/>
      <c r="H2960" s="465">
        <v>4</v>
      </c>
    </row>
    <row r="2961" spans="1:8" ht="13.8" thickBot="1">
      <c r="A2961" s="467" t="s">
        <v>8799</v>
      </c>
      <c r="B2961" s="465" t="s">
        <v>4804</v>
      </c>
      <c r="C2961" s="466">
        <v>6</v>
      </c>
      <c r="D2961" s="467" t="s">
        <v>614</v>
      </c>
      <c r="E2961" s="466" t="s">
        <v>4789</v>
      </c>
      <c r="F2961" s="466"/>
      <c r="G2961" s="465"/>
      <c r="H2961" s="465"/>
    </row>
    <row r="2962" spans="1:8" ht="13.8" thickBot="1">
      <c r="A2962" s="467" t="s">
        <v>8800</v>
      </c>
      <c r="B2962" s="465" t="s">
        <v>4805</v>
      </c>
      <c r="C2962" s="466">
        <v>6</v>
      </c>
      <c r="D2962" s="467" t="s">
        <v>614</v>
      </c>
      <c r="E2962" s="466" t="s">
        <v>4789</v>
      </c>
      <c r="F2962" s="466"/>
      <c r="G2962" s="465"/>
      <c r="H2962" s="465">
        <v>3</v>
      </c>
    </row>
    <row r="2963" spans="1:8" ht="13.8" thickBot="1">
      <c r="A2963" s="467" t="s">
        <v>8801</v>
      </c>
      <c r="B2963" s="465" t="s">
        <v>1755</v>
      </c>
      <c r="C2963" s="466">
        <v>6</v>
      </c>
      <c r="D2963" s="465"/>
      <c r="E2963" s="466" t="s">
        <v>4822</v>
      </c>
      <c r="F2963" s="466"/>
      <c r="G2963" s="465"/>
      <c r="H2963" s="465"/>
    </row>
    <row r="2964" spans="1:8" ht="13.8" thickBot="1">
      <c r="A2964" s="467" t="s">
        <v>8802</v>
      </c>
      <c r="B2964" s="465" t="s">
        <v>4830</v>
      </c>
      <c r="C2964" s="466">
        <v>6</v>
      </c>
      <c r="D2964" s="465"/>
      <c r="E2964" s="466" t="s">
        <v>4822</v>
      </c>
      <c r="F2964" s="466"/>
      <c r="G2964" s="465"/>
      <c r="H2964" s="465"/>
    </row>
    <row r="2965" spans="1:8" ht="13.8" thickBot="1">
      <c r="A2965" s="467" t="s">
        <v>8803</v>
      </c>
      <c r="B2965" s="465" t="s">
        <v>4851</v>
      </c>
      <c r="C2965" s="466">
        <v>6</v>
      </c>
      <c r="D2965" s="467" t="s">
        <v>614</v>
      </c>
      <c r="E2965" s="466" t="s">
        <v>4850</v>
      </c>
      <c r="F2965" s="466"/>
      <c r="G2965" s="465"/>
      <c r="H2965" s="465"/>
    </row>
    <row r="2966" spans="1:8" ht="13.8" thickBot="1">
      <c r="A2966" s="467" t="s">
        <v>8804</v>
      </c>
      <c r="B2966" s="465" t="s">
        <v>4851</v>
      </c>
      <c r="C2966" s="466">
        <v>6</v>
      </c>
      <c r="D2966" s="465"/>
      <c r="E2966" s="466" t="s">
        <v>4850</v>
      </c>
      <c r="F2966" s="466"/>
      <c r="G2966" s="465"/>
      <c r="H2966" s="465">
        <v>1</v>
      </c>
    </row>
    <row r="2967" spans="1:8" ht="13.8" thickBot="1">
      <c r="A2967" s="465" t="s">
        <v>8805</v>
      </c>
      <c r="B2967" s="465" t="s">
        <v>4860</v>
      </c>
      <c r="C2967" s="466">
        <v>6</v>
      </c>
      <c r="D2967" s="465"/>
      <c r="E2967" s="466" t="s">
        <v>4850</v>
      </c>
      <c r="F2967" s="466"/>
      <c r="G2967" s="465"/>
      <c r="H2967" s="465"/>
    </row>
    <row r="2968" spans="1:8" ht="13.8" thickBot="1">
      <c r="A2968" s="465" t="s">
        <v>8806</v>
      </c>
      <c r="B2968" s="465" t="s">
        <v>4861</v>
      </c>
      <c r="C2968" s="466">
        <v>6</v>
      </c>
      <c r="D2968" s="465"/>
      <c r="E2968" s="466" t="s">
        <v>4850</v>
      </c>
      <c r="F2968" s="466"/>
      <c r="G2968" s="465"/>
      <c r="H2968" s="465"/>
    </row>
    <row r="2969" spans="1:8" ht="13.8" thickBot="1">
      <c r="A2969" s="465" t="s">
        <v>8807</v>
      </c>
      <c r="B2969" s="465" t="s">
        <v>4853</v>
      </c>
      <c r="C2969" s="466">
        <v>6</v>
      </c>
      <c r="D2969" s="465"/>
      <c r="E2969" s="466" t="s">
        <v>4850</v>
      </c>
      <c r="F2969" s="466"/>
      <c r="G2969" s="465"/>
      <c r="H2969" s="465">
        <v>1</v>
      </c>
    </row>
    <row r="2970" spans="1:8" ht="13.8" thickBot="1">
      <c r="A2970" s="465" t="s">
        <v>8808</v>
      </c>
      <c r="B2970" s="465" t="s">
        <v>4887</v>
      </c>
      <c r="C2970" s="466">
        <v>6</v>
      </c>
      <c r="D2970" s="465"/>
      <c r="E2970" s="466" t="s">
        <v>4865</v>
      </c>
      <c r="F2970" s="466" t="s">
        <v>1251</v>
      </c>
      <c r="G2970" s="465"/>
      <c r="H2970" s="465">
        <v>10</v>
      </c>
    </row>
    <row r="2971" spans="1:8" ht="13.8" thickBot="1">
      <c r="A2971" s="465" t="s">
        <v>8809</v>
      </c>
      <c r="B2971" s="465" t="s">
        <v>4888</v>
      </c>
      <c r="C2971" s="466">
        <v>6</v>
      </c>
      <c r="D2971" s="465"/>
      <c r="E2971" s="466" t="s">
        <v>4865</v>
      </c>
      <c r="F2971" s="466" t="s">
        <v>1226</v>
      </c>
      <c r="G2971" s="465"/>
      <c r="H2971" s="465">
        <v>6</v>
      </c>
    </row>
    <row r="2972" spans="1:8" ht="13.8" thickBot="1">
      <c r="A2972" s="465" t="s">
        <v>8810</v>
      </c>
      <c r="B2972" s="465" t="s">
        <v>4889</v>
      </c>
      <c r="C2972" s="466">
        <v>6</v>
      </c>
      <c r="D2972" s="465"/>
      <c r="E2972" s="466" t="s">
        <v>4865</v>
      </c>
      <c r="F2972" s="466" t="s">
        <v>1226</v>
      </c>
      <c r="G2972" s="465"/>
      <c r="H2972" s="465">
        <v>1</v>
      </c>
    </row>
    <row r="2973" spans="1:8" ht="13.8" thickBot="1">
      <c r="A2973" s="467" t="s">
        <v>8811</v>
      </c>
      <c r="B2973" s="465" t="s">
        <v>4890</v>
      </c>
      <c r="C2973" s="466">
        <v>6</v>
      </c>
      <c r="D2973" s="465"/>
      <c r="E2973" s="466" t="s">
        <v>4865</v>
      </c>
      <c r="F2973" s="466" t="s">
        <v>1226</v>
      </c>
      <c r="G2973" s="465"/>
      <c r="H2973" s="465">
        <v>8</v>
      </c>
    </row>
    <row r="2974" spans="1:8" ht="13.8" thickBot="1">
      <c r="A2974" s="467" t="s">
        <v>8812</v>
      </c>
      <c r="B2974" s="465" t="s">
        <v>4891</v>
      </c>
      <c r="C2974" s="466">
        <v>6</v>
      </c>
      <c r="D2974" s="465"/>
      <c r="E2974" s="466" t="s">
        <v>4865</v>
      </c>
      <c r="F2974" s="466" t="s">
        <v>1226</v>
      </c>
      <c r="G2974" s="465"/>
      <c r="H2974" s="465">
        <v>1</v>
      </c>
    </row>
    <row r="2975" spans="1:8" ht="13.8" thickBot="1">
      <c r="A2975" s="467" t="s">
        <v>8813</v>
      </c>
      <c r="B2975" s="465" t="s">
        <v>4867</v>
      </c>
      <c r="C2975" s="466">
        <v>6</v>
      </c>
      <c r="D2975" s="467" t="s">
        <v>614</v>
      </c>
      <c r="E2975" s="466" t="s">
        <v>4865</v>
      </c>
      <c r="F2975" s="466"/>
      <c r="G2975" s="465"/>
      <c r="H2975" s="465"/>
    </row>
    <row r="2976" spans="1:8" ht="13.8" thickBot="1">
      <c r="A2976" s="467" t="s">
        <v>8814</v>
      </c>
      <c r="B2976" s="465" t="s">
        <v>4911</v>
      </c>
      <c r="C2976" s="466">
        <v>6</v>
      </c>
      <c r="D2976" s="467" t="s">
        <v>614</v>
      </c>
      <c r="E2976" s="466" t="s">
        <v>4905</v>
      </c>
      <c r="F2976" s="466" t="s">
        <v>1251</v>
      </c>
      <c r="G2976" s="465"/>
      <c r="H2976" s="465">
        <v>10</v>
      </c>
    </row>
    <row r="2977" spans="1:8" ht="13.8" thickBot="1">
      <c r="A2977" s="467" t="s">
        <v>8815</v>
      </c>
      <c r="B2977" s="465" t="s">
        <v>4930</v>
      </c>
      <c r="C2977" s="466">
        <v>6</v>
      </c>
      <c r="D2977" s="467" t="s">
        <v>614</v>
      </c>
      <c r="E2977" s="466" t="s">
        <v>4918</v>
      </c>
      <c r="F2977" s="466" t="s">
        <v>1226</v>
      </c>
      <c r="G2977" s="465"/>
      <c r="H2977" s="465">
        <v>3</v>
      </c>
    </row>
    <row r="2978" spans="1:8" ht="13.8" thickBot="1">
      <c r="A2978" s="467" t="s">
        <v>8816</v>
      </c>
      <c r="B2978" s="465" t="s">
        <v>4931</v>
      </c>
      <c r="C2978" s="466">
        <v>6</v>
      </c>
      <c r="D2978" s="467" t="s">
        <v>614</v>
      </c>
      <c r="E2978" s="466" t="s">
        <v>4918</v>
      </c>
      <c r="F2978" s="466" t="s">
        <v>1226</v>
      </c>
      <c r="G2978" s="465"/>
      <c r="H2978" s="465">
        <v>1</v>
      </c>
    </row>
    <row r="2979" spans="1:8" ht="13.8" thickBot="1">
      <c r="A2979" s="465" t="s">
        <v>8817</v>
      </c>
      <c r="B2979" s="465" t="s">
        <v>4932</v>
      </c>
      <c r="C2979" s="466">
        <v>6</v>
      </c>
      <c r="D2979" s="467" t="s">
        <v>614</v>
      </c>
      <c r="E2979" s="466" t="s">
        <v>4918</v>
      </c>
      <c r="F2979" s="466" t="s">
        <v>1226</v>
      </c>
      <c r="G2979" s="465"/>
      <c r="H2979" s="465">
        <v>3</v>
      </c>
    </row>
    <row r="2980" spans="1:8" ht="13.8" thickBot="1">
      <c r="A2980" s="465" t="s">
        <v>8818</v>
      </c>
      <c r="B2980" s="465" t="s">
        <v>4933</v>
      </c>
      <c r="C2980" s="466">
        <v>6</v>
      </c>
      <c r="D2980" s="467" t="s">
        <v>614</v>
      </c>
      <c r="E2980" s="466" t="s">
        <v>4918</v>
      </c>
      <c r="F2980" s="466" t="s">
        <v>2067</v>
      </c>
      <c r="G2980" s="465">
        <v>1</v>
      </c>
      <c r="H2980" s="465">
        <v>9</v>
      </c>
    </row>
    <row r="2981" spans="1:8" ht="13.8" thickBot="1">
      <c r="A2981" s="465" t="s">
        <v>8819</v>
      </c>
      <c r="B2981" s="465" t="s">
        <v>4928</v>
      </c>
      <c r="C2981" s="466">
        <v>6</v>
      </c>
      <c r="D2981" s="465"/>
      <c r="E2981" s="466" t="s">
        <v>4918</v>
      </c>
      <c r="F2981" s="466"/>
      <c r="G2981" s="465"/>
      <c r="H2981" s="465"/>
    </row>
    <row r="2982" spans="1:8" ht="13.8" thickBot="1">
      <c r="A2982" s="467" t="s">
        <v>8820</v>
      </c>
      <c r="B2982" s="465" t="s">
        <v>4930</v>
      </c>
      <c r="C2982" s="466">
        <v>6</v>
      </c>
      <c r="D2982" s="465"/>
      <c r="E2982" s="466" t="s">
        <v>4918</v>
      </c>
      <c r="F2982" s="466"/>
      <c r="G2982" s="465"/>
      <c r="H2982" s="465"/>
    </row>
    <row r="2983" spans="1:8" ht="13.8" thickBot="1">
      <c r="A2983" s="467" t="s">
        <v>8821</v>
      </c>
      <c r="B2983" s="465" t="s">
        <v>4930</v>
      </c>
      <c r="C2983" s="466">
        <v>6</v>
      </c>
      <c r="D2983" s="465"/>
      <c r="E2983" s="466" t="s">
        <v>4918</v>
      </c>
      <c r="F2983" s="466"/>
      <c r="G2983" s="465">
        <v>1</v>
      </c>
      <c r="H2983" s="465">
        <v>1</v>
      </c>
    </row>
    <row r="2984" spans="1:8" ht="13.8" thickBot="1">
      <c r="A2984" s="465" t="s">
        <v>8822</v>
      </c>
      <c r="B2984" s="465" t="s">
        <v>4934</v>
      </c>
      <c r="C2984" s="466">
        <v>6</v>
      </c>
      <c r="D2984" s="465"/>
      <c r="E2984" s="466" t="s">
        <v>4918</v>
      </c>
      <c r="F2984" s="466"/>
      <c r="G2984" s="465"/>
      <c r="H2984" s="465">
        <v>1</v>
      </c>
    </row>
    <row r="2985" spans="1:8" ht="13.8" thickBot="1">
      <c r="A2985" s="465" t="s">
        <v>8823</v>
      </c>
      <c r="B2985" s="465" t="s">
        <v>4935</v>
      </c>
      <c r="C2985" s="466">
        <v>6</v>
      </c>
      <c r="D2985" s="467" t="s">
        <v>4936</v>
      </c>
      <c r="E2985" s="466" t="s">
        <v>4918</v>
      </c>
      <c r="F2985" s="466"/>
      <c r="G2985" s="465"/>
      <c r="H2985" s="465">
        <v>2</v>
      </c>
    </row>
    <row r="2986" spans="1:8" ht="13.8" thickBot="1">
      <c r="A2986" s="465" t="s">
        <v>8824</v>
      </c>
      <c r="B2986" s="465" t="s">
        <v>4954</v>
      </c>
      <c r="C2986" s="466">
        <v>6</v>
      </c>
      <c r="D2986" s="465"/>
      <c r="E2986" s="466" t="s">
        <v>4943</v>
      </c>
      <c r="F2986" s="466" t="s">
        <v>1226</v>
      </c>
      <c r="G2986" s="465"/>
      <c r="H2986" s="465">
        <v>3</v>
      </c>
    </row>
    <row r="2987" spans="1:8" ht="13.8" thickBot="1">
      <c r="A2987" s="465" t="s">
        <v>8825</v>
      </c>
      <c r="B2987" s="465" t="s">
        <v>4964</v>
      </c>
      <c r="C2987" s="466">
        <v>6</v>
      </c>
      <c r="D2987" s="467" t="s">
        <v>614</v>
      </c>
      <c r="E2987" s="466" t="s">
        <v>4963</v>
      </c>
      <c r="F2987" s="466"/>
      <c r="G2987" s="465"/>
      <c r="H2987" s="465"/>
    </row>
    <row r="2988" spans="1:8" ht="13.8" thickBot="1">
      <c r="A2988" s="465" t="s">
        <v>8826</v>
      </c>
      <c r="B2988" s="465" t="s">
        <v>1593</v>
      </c>
      <c r="C2988" s="466">
        <v>6</v>
      </c>
      <c r="D2988" s="465"/>
      <c r="E2988" s="466" t="s">
        <v>4970</v>
      </c>
      <c r="F2988" s="466"/>
      <c r="G2988" s="465">
        <v>1</v>
      </c>
      <c r="H2988" s="465">
        <v>6</v>
      </c>
    </row>
    <row r="2989" spans="1:8" ht="13.8" thickBot="1">
      <c r="A2989" s="465" t="s">
        <v>8827</v>
      </c>
      <c r="B2989" s="465" t="s">
        <v>1593</v>
      </c>
      <c r="C2989" s="466">
        <v>6</v>
      </c>
      <c r="D2989" s="465"/>
      <c r="E2989" s="466" t="s">
        <v>4970</v>
      </c>
      <c r="F2989" s="466"/>
      <c r="G2989" s="465"/>
      <c r="H2989" s="465">
        <v>3</v>
      </c>
    </row>
    <row r="2990" spans="1:8" ht="13.8" thickBot="1">
      <c r="A2990" s="465" t="s">
        <v>8828</v>
      </c>
      <c r="B2990" s="465" t="s">
        <v>1593</v>
      </c>
      <c r="C2990" s="466">
        <v>6</v>
      </c>
      <c r="D2990" s="465"/>
      <c r="E2990" s="466" t="s">
        <v>4970</v>
      </c>
      <c r="F2990" s="466"/>
      <c r="G2990" s="465"/>
      <c r="H2990" s="465">
        <v>3</v>
      </c>
    </row>
    <row r="2991" spans="1:8" ht="13.8" thickBot="1">
      <c r="A2991" s="465" t="s">
        <v>8829</v>
      </c>
      <c r="B2991" s="465" t="s">
        <v>1593</v>
      </c>
      <c r="C2991" s="466">
        <v>6</v>
      </c>
      <c r="D2991" s="465"/>
      <c r="E2991" s="466" t="s">
        <v>4970</v>
      </c>
      <c r="F2991" s="466"/>
      <c r="G2991" s="465"/>
      <c r="H2991" s="465">
        <v>2</v>
      </c>
    </row>
    <row r="2992" spans="1:8" ht="13.8" thickBot="1">
      <c r="A2992" s="465" t="s">
        <v>8830</v>
      </c>
      <c r="B2992" s="465" t="s">
        <v>1593</v>
      </c>
      <c r="C2992" s="466">
        <v>6</v>
      </c>
      <c r="D2992" s="465"/>
      <c r="E2992" s="466" t="s">
        <v>4970</v>
      </c>
      <c r="F2992" s="466"/>
      <c r="G2992" s="465"/>
      <c r="H2992" s="465">
        <v>1</v>
      </c>
    </row>
    <row r="2993" spans="1:8" ht="13.8" thickBot="1">
      <c r="A2993" s="465" t="s">
        <v>8831</v>
      </c>
      <c r="B2993" s="465" t="s">
        <v>4969</v>
      </c>
      <c r="C2993" s="466">
        <v>6</v>
      </c>
      <c r="D2993" s="465"/>
      <c r="E2993" s="466" t="s">
        <v>4970</v>
      </c>
      <c r="F2993" s="466"/>
      <c r="G2993" s="465"/>
      <c r="H2993" s="465">
        <v>1</v>
      </c>
    </row>
    <row r="2994" spans="1:8" ht="13.8" thickBot="1">
      <c r="A2994" s="465" t="s">
        <v>8832</v>
      </c>
      <c r="B2994" s="465" t="s">
        <v>4982</v>
      </c>
      <c r="C2994" s="466">
        <v>6</v>
      </c>
      <c r="D2994" s="465"/>
      <c r="E2994" s="466" t="s">
        <v>4970</v>
      </c>
      <c r="F2994" s="466"/>
      <c r="G2994" s="465"/>
      <c r="H2994" s="465">
        <v>2</v>
      </c>
    </row>
    <row r="2995" spans="1:8" ht="13.8" thickBot="1">
      <c r="A2995" s="465" t="s">
        <v>8833</v>
      </c>
      <c r="B2995" s="465" t="s">
        <v>4983</v>
      </c>
      <c r="C2995" s="466">
        <v>6</v>
      </c>
      <c r="D2995" s="465"/>
      <c r="E2995" s="466" t="s">
        <v>4970</v>
      </c>
      <c r="F2995" s="466"/>
      <c r="G2995" s="465"/>
      <c r="H2995" s="465">
        <v>1</v>
      </c>
    </row>
    <row r="2996" spans="1:8" ht="13.8" thickBot="1">
      <c r="A2996" s="465" t="s">
        <v>8834</v>
      </c>
      <c r="B2996" s="465" t="s">
        <v>4984</v>
      </c>
      <c r="C2996" s="466">
        <v>6</v>
      </c>
      <c r="D2996" s="465"/>
      <c r="E2996" s="466" t="s">
        <v>4970</v>
      </c>
      <c r="F2996" s="466"/>
      <c r="G2996" s="465"/>
      <c r="H2996" s="465">
        <v>1</v>
      </c>
    </row>
    <row r="2997" spans="1:8" ht="13.8" thickBot="1">
      <c r="A2997" s="465" t="s">
        <v>8835</v>
      </c>
      <c r="B2997" s="465" t="s">
        <v>4985</v>
      </c>
      <c r="C2997" s="466">
        <v>6</v>
      </c>
      <c r="D2997" s="465"/>
      <c r="E2997" s="466" t="s">
        <v>4970</v>
      </c>
      <c r="F2997" s="466"/>
      <c r="G2997" s="465"/>
      <c r="H2997" s="465">
        <v>1</v>
      </c>
    </row>
    <row r="2998" spans="1:8" ht="13.8" thickBot="1">
      <c r="A2998" s="467" t="s">
        <v>8299</v>
      </c>
      <c r="B2998" s="465" t="s">
        <v>2246</v>
      </c>
      <c r="C2998" s="466">
        <v>6</v>
      </c>
      <c r="D2998" s="465"/>
      <c r="E2998" s="466" t="s">
        <v>2242</v>
      </c>
      <c r="F2998" s="466" t="s">
        <v>1226</v>
      </c>
      <c r="G2998" s="465">
        <v>2</v>
      </c>
      <c r="H2998" s="465">
        <v>4</v>
      </c>
    </row>
    <row r="2999" spans="1:8" ht="13.8" thickBot="1">
      <c r="A2999" s="467" t="s">
        <v>8836</v>
      </c>
      <c r="B2999" s="465" t="s">
        <v>5012</v>
      </c>
      <c r="C2999" s="466">
        <v>6</v>
      </c>
      <c r="D2999" s="465"/>
      <c r="E2999" s="466" t="s">
        <v>5010</v>
      </c>
      <c r="F2999" s="466" t="s">
        <v>1865</v>
      </c>
      <c r="G2999" s="465">
        <v>1</v>
      </c>
      <c r="H2999" s="465">
        <v>2</v>
      </c>
    </row>
    <row r="3000" spans="1:8" ht="13.8" thickBot="1">
      <c r="A3000" s="467" t="s">
        <v>8837</v>
      </c>
      <c r="B3000" s="465" t="s">
        <v>5013</v>
      </c>
      <c r="C3000" s="466">
        <v>6</v>
      </c>
      <c r="D3000" s="465"/>
      <c r="E3000" s="466" t="s">
        <v>5010</v>
      </c>
      <c r="F3000" s="466"/>
      <c r="G3000" s="465"/>
      <c r="H3000" s="465">
        <v>2</v>
      </c>
    </row>
    <row r="3001" spans="1:8" ht="13.8" thickBot="1">
      <c r="A3001" s="467" t="s">
        <v>8838</v>
      </c>
      <c r="B3001" s="465" t="s">
        <v>5035</v>
      </c>
      <c r="C3001" s="466">
        <v>6</v>
      </c>
      <c r="D3001" s="467" t="s">
        <v>614</v>
      </c>
      <c r="E3001" s="466" t="s">
        <v>5031</v>
      </c>
      <c r="F3001" s="466" t="s">
        <v>1226</v>
      </c>
      <c r="G3001" s="465"/>
      <c r="H3001" s="465">
        <v>5</v>
      </c>
    </row>
    <row r="3002" spans="1:8" ht="13.8" thickBot="1">
      <c r="A3002" s="465" t="s">
        <v>8839</v>
      </c>
      <c r="B3002" s="465" t="s">
        <v>5036</v>
      </c>
      <c r="C3002" s="466">
        <v>6</v>
      </c>
      <c r="D3002" s="467" t="s">
        <v>614</v>
      </c>
      <c r="E3002" s="466" t="s">
        <v>5031</v>
      </c>
      <c r="F3002" s="466" t="s">
        <v>1226</v>
      </c>
      <c r="G3002" s="465">
        <v>2</v>
      </c>
      <c r="H3002" s="465">
        <v>9</v>
      </c>
    </row>
    <row r="3003" spans="1:8" ht="13.8" thickBot="1">
      <c r="A3003" s="465" t="s">
        <v>8840</v>
      </c>
      <c r="B3003" s="465" t="s">
        <v>1336</v>
      </c>
      <c r="C3003" s="466">
        <v>6</v>
      </c>
      <c r="D3003" s="465"/>
      <c r="E3003" s="466" t="s">
        <v>5031</v>
      </c>
      <c r="F3003" s="466"/>
      <c r="G3003" s="465"/>
      <c r="H3003" s="465">
        <v>3</v>
      </c>
    </row>
    <row r="3004" spans="1:8" ht="13.8" thickBot="1">
      <c r="A3004" s="467" t="s">
        <v>8841</v>
      </c>
      <c r="B3004" s="465" t="s">
        <v>5052</v>
      </c>
      <c r="C3004" s="466">
        <v>6</v>
      </c>
      <c r="D3004" s="465"/>
      <c r="E3004" s="466" t="s">
        <v>5042</v>
      </c>
      <c r="F3004" s="466" t="s">
        <v>1224</v>
      </c>
      <c r="G3004" s="465"/>
      <c r="H3004" s="465">
        <v>17</v>
      </c>
    </row>
    <row r="3005" spans="1:8" ht="13.8" thickBot="1">
      <c r="A3005" s="467" t="s">
        <v>8842</v>
      </c>
      <c r="B3005" s="465" t="s">
        <v>5053</v>
      </c>
      <c r="C3005" s="466">
        <v>6</v>
      </c>
      <c r="D3005" s="467" t="s">
        <v>614</v>
      </c>
      <c r="E3005" s="466" t="s">
        <v>5042</v>
      </c>
      <c r="F3005" s="466"/>
      <c r="G3005" s="465"/>
      <c r="H3005" s="465">
        <v>3</v>
      </c>
    </row>
    <row r="3006" spans="1:8" ht="13.8" thickBot="1">
      <c r="A3006" s="467" t="s">
        <v>8843</v>
      </c>
      <c r="B3006" s="465" t="s">
        <v>5062</v>
      </c>
      <c r="C3006" s="466">
        <v>6</v>
      </c>
      <c r="D3006" s="465"/>
      <c r="E3006" s="466" t="s">
        <v>5059</v>
      </c>
      <c r="F3006" s="466" t="s">
        <v>1865</v>
      </c>
      <c r="G3006" s="465"/>
      <c r="H3006" s="465">
        <v>3</v>
      </c>
    </row>
    <row r="3007" spans="1:8" ht="13.8" thickBot="1">
      <c r="A3007" s="465" t="s">
        <v>8844</v>
      </c>
      <c r="B3007" s="465" t="s">
        <v>5062</v>
      </c>
      <c r="C3007" s="466">
        <v>6</v>
      </c>
      <c r="D3007" s="465"/>
      <c r="E3007" s="466" t="s">
        <v>5059</v>
      </c>
      <c r="F3007" s="466" t="s">
        <v>1226</v>
      </c>
      <c r="G3007" s="465"/>
      <c r="H3007" s="465">
        <v>10</v>
      </c>
    </row>
    <row r="3008" spans="1:8" ht="13.8" thickBot="1">
      <c r="A3008" s="465" t="s">
        <v>8845</v>
      </c>
      <c r="B3008" s="465" t="s">
        <v>5062</v>
      </c>
      <c r="C3008" s="466">
        <v>6</v>
      </c>
      <c r="D3008" s="467" t="s">
        <v>614</v>
      </c>
      <c r="E3008" s="466" t="s">
        <v>5059</v>
      </c>
      <c r="F3008" s="466" t="s">
        <v>1220</v>
      </c>
      <c r="G3008" s="465"/>
      <c r="H3008" s="465">
        <v>2</v>
      </c>
    </row>
    <row r="3009" spans="1:8" ht="13.8" thickBot="1">
      <c r="A3009" s="467" t="s">
        <v>8846</v>
      </c>
      <c r="B3009" s="465" t="s">
        <v>5062</v>
      </c>
      <c r="C3009" s="466">
        <v>6</v>
      </c>
      <c r="D3009" s="465"/>
      <c r="E3009" s="466" t="s">
        <v>5059</v>
      </c>
      <c r="F3009" s="466"/>
      <c r="G3009" s="465"/>
      <c r="H3009" s="465">
        <v>2</v>
      </c>
    </row>
    <row r="3010" spans="1:8" ht="13.8" thickBot="1">
      <c r="A3010" s="467" t="s">
        <v>8847</v>
      </c>
      <c r="B3010" s="465" t="s">
        <v>5092</v>
      </c>
      <c r="C3010" s="466">
        <v>6</v>
      </c>
      <c r="D3010" s="467" t="s">
        <v>5093</v>
      </c>
      <c r="E3010" s="466" t="s">
        <v>5086</v>
      </c>
      <c r="F3010" s="466" t="s">
        <v>1226</v>
      </c>
      <c r="G3010" s="465">
        <v>1</v>
      </c>
      <c r="H3010" s="465">
        <v>8</v>
      </c>
    </row>
    <row r="3011" spans="1:8" ht="13.8" thickBot="1">
      <c r="A3011" s="465" t="s">
        <v>8848</v>
      </c>
      <c r="B3011" s="465" t="s">
        <v>5090</v>
      </c>
      <c r="C3011" s="466">
        <v>6</v>
      </c>
      <c r="D3011" s="465"/>
      <c r="E3011" s="466" t="s">
        <v>5086</v>
      </c>
      <c r="F3011" s="466" t="s">
        <v>1224</v>
      </c>
      <c r="G3011" s="465"/>
      <c r="H3011" s="465">
        <v>1</v>
      </c>
    </row>
    <row r="3012" spans="1:8" ht="13.8" thickBot="1">
      <c r="A3012" s="467" t="s">
        <v>8849</v>
      </c>
      <c r="B3012" s="465" t="s">
        <v>5095</v>
      </c>
      <c r="C3012" s="466">
        <v>6</v>
      </c>
      <c r="D3012" s="465"/>
      <c r="E3012" s="466" t="s">
        <v>5094</v>
      </c>
      <c r="F3012" s="466" t="s">
        <v>1251</v>
      </c>
      <c r="G3012" s="465"/>
      <c r="H3012" s="465">
        <v>6</v>
      </c>
    </row>
    <row r="3013" spans="1:8" ht="13.8" thickBot="1">
      <c r="A3013" s="467" t="s">
        <v>8850</v>
      </c>
      <c r="B3013" s="465" t="s">
        <v>5096</v>
      </c>
      <c r="C3013" s="466">
        <v>6</v>
      </c>
      <c r="D3013" s="467" t="s">
        <v>614</v>
      </c>
      <c r="E3013" s="466" t="s">
        <v>5094</v>
      </c>
      <c r="F3013" s="466"/>
      <c r="G3013" s="465"/>
      <c r="H3013" s="465">
        <v>3</v>
      </c>
    </row>
    <row r="3014" spans="1:8" ht="13.8" thickBot="1">
      <c r="A3014" s="467" t="s">
        <v>8851</v>
      </c>
      <c r="B3014" s="465" t="s">
        <v>5105</v>
      </c>
      <c r="C3014" s="466">
        <v>6</v>
      </c>
      <c r="D3014" s="465"/>
      <c r="E3014" s="466" t="s">
        <v>5103</v>
      </c>
      <c r="F3014" s="466"/>
      <c r="G3014" s="465"/>
      <c r="H3014" s="465"/>
    </row>
    <row r="3015" spans="1:8" ht="13.8" thickBot="1">
      <c r="A3015" s="465" t="s">
        <v>8852</v>
      </c>
      <c r="B3015" s="465" t="s">
        <v>5105</v>
      </c>
      <c r="C3015" s="466">
        <v>6</v>
      </c>
      <c r="D3015" s="467" t="s">
        <v>2223</v>
      </c>
      <c r="E3015" s="466" t="s">
        <v>5103</v>
      </c>
      <c r="F3015" s="466"/>
      <c r="G3015" s="465"/>
      <c r="H3015" s="465"/>
    </row>
    <row r="3016" spans="1:8" ht="13.8" thickBot="1">
      <c r="A3016" s="465" t="s">
        <v>8853</v>
      </c>
      <c r="B3016" s="465" t="s">
        <v>1495</v>
      </c>
      <c r="C3016" s="466">
        <v>6</v>
      </c>
      <c r="D3016" s="465"/>
      <c r="E3016" s="466" t="s">
        <v>5109</v>
      </c>
      <c r="F3016" s="466" t="s">
        <v>1226</v>
      </c>
      <c r="G3016" s="465">
        <v>4</v>
      </c>
      <c r="H3016" s="465">
        <v>7</v>
      </c>
    </row>
    <row r="3017" spans="1:8" ht="13.8" thickBot="1">
      <c r="A3017" s="465" t="s">
        <v>8854</v>
      </c>
      <c r="B3017" s="465" t="s">
        <v>5111</v>
      </c>
      <c r="C3017" s="466">
        <v>6</v>
      </c>
      <c r="D3017" s="467" t="s">
        <v>614</v>
      </c>
      <c r="E3017" s="466" t="s">
        <v>5109</v>
      </c>
      <c r="F3017" s="466" t="s">
        <v>1226</v>
      </c>
      <c r="G3017" s="465"/>
      <c r="H3017" s="465">
        <v>6</v>
      </c>
    </row>
    <row r="3018" spans="1:8" ht="13.8" thickBot="1">
      <c r="A3018" s="467" t="s">
        <v>8855</v>
      </c>
      <c r="B3018" s="465" t="s">
        <v>5112</v>
      </c>
      <c r="C3018" s="466">
        <v>6</v>
      </c>
      <c r="D3018" s="467" t="s">
        <v>614</v>
      </c>
      <c r="E3018" s="466" t="s">
        <v>5109</v>
      </c>
      <c r="F3018" s="466" t="s">
        <v>1226</v>
      </c>
      <c r="G3018" s="465">
        <v>2</v>
      </c>
      <c r="H3018" s="465">
        <v>13</v>
      </c>
    </row>
    <row r="3019" spans="1:8" ht="13.8" thickBot="1">
      <c r="A3019" s="465" t="s">
        <v>8856</v>
      </c>
      <c r="B3019" s="465" t="s">
        <v>1495</v>
      </c>
      <c r="C3019" s="466">
        <v>6</v>
      </c>
      <c r="D3019" s="465"/>
      <c r="E3019" s="466" t="s">
        <v>5109</v>
      </c>
      <c r="F3019" s="466"/>
      <c r="G3019" s="465"/>
      <c r="H3019" s="465">
        <v>1</v>
      </c>
    </row>
    <row r="3020" spans="1:8" ht="13.8" thickBot="1">
      <c r="A3020" s="465" t="s">
        <v>8857</v>
      </c>
      <c r="B3020" s="465" t="s">
        <v>1495</v>
      </c>
      <c r="C3020" s="466">
        <v>6</v>
      </c>
      <c r="D3020" s="465"/>
      <c r="E3020" s="466" t="s">
        <v>5109</v>
      </c>
      <c r="F3020" s="466"/>
      <c r="G3020" s="465"/>
      <c r="H3020" s="465">
        <v>1</v>
      </c>
    </row>
    <row r="3021" spans="1:8" ht="13.8" thickBot="1">
      <c r="A3021" s="465" t="s">
        <v>8858</v>
      </c>
      <c r="B3021" s="465" t="s">
        <v>5113</v>
      </c>
      <c r="C3021" s="466">
        <v>6</v>
      </c>
      <c r="D3021" s="465"/>
      <c r="E3021" s="466" t="s">
        <v>5109</v>
      </c>
      <c r="F3021" s="466"/>
      <c r="G3021" s="465">
        <v>1</v>
      </c>
      <c r="H3021" s="465">
        <v>2</v>
      </c>
    </row>
    <row r="3022" spans="1:8" ht="13.8" thickBot="1">
      <c r="A3022" s="465" t="s">
        <v>8859</v>
      </c>
      <c r="B3022" s="465" t="s">
        <v>5114</v>
      </c>
      <c r="C3022" s="466">
        <v>6</v>
      </c>
      <c r="D3022" s="465"/>
      <c r="E3022" s="466" t="s">
        <v>5109</v>
      </c>
      <c r="F3022" s="466"/>
      <c r="G3022" s="465"/>
      <c r="H3022" s="465">
        <v>3</v>
      </c>
    </row>
    <row r="3023" spans="1:8" ht="13.8" thickBot="1">
      <c r="A3023" s="465" t="s">
        <v>8300</v>
      </c>
      <c r="B3023" s="465" t="s">
        <v>2277</v>
      </c>
      <c r="C3023" s="466">
        <v>6</v>
      </c>
      <c r="D3023" s="467" t="s">
        <v>614</v>
      </c>
      <c r="E3023" s="466" t="s">
        <v>2273</v>
      </c>
      <c r="F3023" s="466" t="s">
        <v>1226</v>
      </c>
      <c r="G3023" s="465"/>
      <c r="H3023" s="465">
        <v>2</v>
      </c>
    </row>
    <row r="3024" spans="1:8" ht="13.8" thickBot="1">
      <c r="A3024" s="465" t="s">
        <v>8301</v>
      </c>
      <c r="B3024" s="465" t="s">
        <v>2278</v>
      </c>
      <c r="C3024" s="466">
        <v>6</v>
      </c>
      <c r="D3024" s="465"/>
      <c r="E3024" s="466" t="s">
        <v>2273</v>
      </c>
      <c r="F3024" s="466"/>
      <c r="G3024" s="465"/>
      <c r="H3024" s="465">
        <v>2</v>
      </c>
    </row>
    <row r="3025" spans="1:8" ht="13.8" thickBot="1">
      <c r="A3025" s="465" t="s">
        <v>8302</v>
      </c>
      <c r="B3025" s="465" t="s">
        <v>2279</v>
      </c>
      <c r="C3025" s="466">
        <v>6</v>
      </c>
      <c r="D3025" s="465"/>
      <c r="E3025" s="466" t="s">
        <v>2273</v>
      </c>
      <c r="F3025" s="466"/>
      <c r="G3025" s="465"/>
      <c r="H3025" s="465">
        <v>1</v>
      </c>
    </row>
    <row r="3026" spans="1:8" ht="13.8" thickBot="1">
      <c r="A3026" s="465" t="s">
        <v>8860</v>
      </c>
      <c r="B3026" s="465" t="s">
        <v>1536</v>
      </c>
      <c r="C3026" s="466">
        <v>6</v>
      </c>
      <c r="D3026" s="467" t="s">
        <v>614</v>
      </c>
      <c r="E3026" s="466" t="s">
        <v>5125</v>
      </c>
      <c r="F3026" s="466" t="s">
        <v>1226</v>
      </c>
      <c r="G3026" s="465"/>
      <c r="H3026" s="465">
        <v>13</v>
      </c>
    </row>
    <row r="3027" spans="1:8" ht="13.8" thickBot="1">
      <c r="A3027" s="465" t="s">
        <v>8861</v>
      </c>
      <c r="B3027" s="468" t="s">
        <v>5132</v>
      </c>
      <c r="C3027" s="466">
        <v>6</v>
      </c>
      <c r="D3027" s="467" t="s">
        <v>614</v>
      </c>
      <c r="E3027" s="466" t="s">
        <v>5125</v>
      </c>
      <c r="F3027" s="466" t="s">
        <v>1224</v>
      </c>
      <c r="G3027" s="465">
        <v>1</v>
      </c>
      <c r="H3027" s="465">
        <v>4</v>
      </c>
    </row>
    <row r="3028" spans="1:8" ht="13.8" thickBot="1">
      <c r="A3028" s="465" t="s">
        <v>8862</v>
      </c>
      <c r="B3028" s="465" t="s">
        <v>1706</v>
      </c>
      <c r="C3028" s="466">
        <v>6</v>
      </c>
      <c r="D3028" s="467" t="s">
        <v>614</v>
      </c>
      <c r="E3028" s="466" t="s">
        <v>5139</v>
      </c>
      <c r="F3028" s="466" t="s">
        <v>1226</v>
      </c>
      <c r="G3028" s="465">
        <v>2</v>
      </c>
      <c r="H3028" s="465">
        <v>14</v>
      </c>
    </row>
    <row r="3029" spans="1:8" ht="13.8" thickBot="1">
      <c r="A3029" s="465" t="s">
        <v>8863</v>
      </c>
      <c r="B3029" s="465" t="s">
        <v>5146</v>
      </c>
      <c r="C3029" s="466">
        <v>6</v>
      </c>
      <c r="D3029" s="467" t="s">
        <v>614</v>
      </c>
      <c r="E3029" s="466" t="s">
        <v>5139</v>
      </c>
      <c r="F3029" s="466" t="s">
        <v>1226</v>
      </c>
      <c r="G3029" s="465"/>
      <c r="H3029" s="465">
        <v>2</v>
      </c>
    </row>
    <row r="3030" spans="1:8" ht="13.8" thickBot="1">
      <c r="A3030" s="465" t="s">
        <v>8864</v>
      </c>
      <c r="B3030" s="465" t="s">
        <v>5147</v>
      </c>
      <c r="C3030" s="466">
        <v>6</v>
      </c>
      <c r="D3030" s="467" t="s">
        <v>614</v>
      </c>
      <c r="E3030" s="466" t="s">
        <v>5139</v>
      </c>
      <c r="F3030" s="466" t="s">
        <v>1224</v>
      </c>
      <c r="G3030" s="465"/>
      <c r="H3030" s="465">
        <v>5</v>
      </c>
    </row>
    <row r="3031" spans="1:8" ht="13.8" thickBot="1">
      <c r="A3031" s="467" t="s">
        <v>8865</v>
      </c>
      <c r="B3031" s="465" t="s">
        <v>1703</v>
      </c>
      <c r="C3031" s="466">
        <v>6</v>
      </c>
      <c r="D3031" s="465"/>
      <c r="E3031" s="466" t="s">
        <v>5139</v>
      </c>
      <c r="F3031" s="466" t="s">
        <v>1224</v>
      </c>
      <c r="G3031" s="465"/>
      <c r="H3031" s="465">
        <v>6</v>
      </c>
    </row>
    <row r="3032" spans="1:8" ht="13.8" thickBot="1">
      <c r="A3032" s="467" t="s">
        <v>8866</v>
      </c>
      <c r="B3032" s="465" t="s">
        <v>1700</v>
      </c>
      <c r="C3032" s="466">
        <v>6</v>
      </c>
      <c r="D3032" s="465"/>
      <c r="E3032" s="466" t="s">
        <v>5139</v>
      </c>
      <c r="F3032" s="466"/>
      <c r="G3032" s="465">
        <v>1</v>
      </c>
      <c r="H3032" s="465">
        <v>3</v>
      </c>
    </row>
    <row r="3033" spans="1:8" ht="13.8" thickBot="1">
      <c r="A3033" s="467" t="s">
        <v>8867</v>
      </c>
      <c r="B3033" s="465" t="s">
        <v>1700</v>
      </c>
      <c r="C3033" s="466">
        <v>6</v>
      </c>
      <c r="D3033" s="465"/>
      <c r="E3033" s="466" t="s">
        <v>5139</v>
      </c>
      <c r="F3033" s="466"/>
      <c r="G3033" s="465">
        <v>1</v>
      </c>
      <c r="H3033" s="465">
        <v>1</v>
      </c>
    </row>
    <row r="3034" spans="1:8" ht="13.8" thickBot="1">
      <c r="A3034" s="467" t="s">
        <v>8868</v>
      </c>
      <c r="B3034" s="465" t="s">
        <v>5169</v>
      </c>
      <c r="C3034" s="466">
        <v>6</v>
      </c>
      <c r="D3034" s="467" t="s">
        <v>614</v>
      </c>
      <c r="E3034" s="466" t="s">
        <v>5155</v>
      </c>
      <c r="F3034" s="466" t="s">
        <v>1224</v>
      </c>
      <c r="G3034" s="465"/>
      <c r="H3034" s="465">
        <v>5</v>
      </c>
    </row>
    <row r="3035" spans="1:8" ht="13.8" thickBot="1">
      <c r="A3035" s="465" t="s">
        <v>8869</v>
      </c>
      <c r="B3035" s="465" t="s">
        <v>5170</v>
      </c>
      <c r="C3035" s="466">
        <v>6</v>
      </c>
      <c r="D3035" s="465"/>
      <c r="E3035" s="466" t="s">
        <v>5155</v>
      </c>
      <c r="F3035" s="466" t="s">
        <v>1224</v>
      </c>
      <c r="G3035" s="465"/>
      <c r="H3035" s="465">
        <v>1</v>
      </c>
    </row>
    <row r="3036" spans="1:8" ht="13.8" thickBot="1">
      <c r="A3036" s="465" t="s">
        <v>8870</v>
      </c>
      <c r="B3036" s="465" t="s">
        <v>5184</v>
      </c>
      <c r="C3036" s="466">
        <v>6</v>
      </c>
      <c r="D3036" s="465"/>
      <c r="E3036" s="466" t="s">
        <v>5180</v>
      </c>
      <c r="F3036" s="466" t="s">
        <v>1251</v>
      </c>
      <c r="G3036" s="465"/>
      <c r="H3036" s="465">
        <v>1</v>
      </c>
    </row>
    <row r="3037" spans="1:8" ht="13.8" thickBot="1">
      <c r="A3037" s="465" t="s">
        <v>8871</v>
      </c>
      <c r="B3037" s="465" t="s">
        <v>5185</v>
      </c>
      <c r="C3037" s="466">
        <v>6</v>
      </c>
      <c r="D3037" s="465"/>
      <c r="E3037" s="466" t="s">
        <v>5180</v>
      </c>
      <c r="F3037" s="466" t="s">
        <v>1251</v>
      </c>
      <c r="G3037" s="465"/>
      <c r="H3037" s="465">
        <v>2</v>
      </c>
    </row>
    <row r="3038" spans="1:8" ht="13.8" thickBot="1">
      <c r="A3038" s="467" t="s">
        <v>8872</v>
      </c>
      <c r="B3038" s="465" t="s">
        <v>5184</v>
      </c>
      <c r="C3038" s="466">
        <v>6</v>
      </c>
      <c r="D3038" s="465"/>
      <c r="E3038" s="466" t="s">
        <v>5180</v>
      </c>
      <c r="F3038" s="466" t="s">
        <v>1226</v>
      </c>
      <c r="G3038" s="465"/>
      <c r="H3038" s="465">
        <v>1</v>
      </c>
    </row>
    <row r="3039" spans="1:8" ht="13.8" thickBot="1">
      <c r="A3039" s="467" t="s">
        <v>8873</v>
      </c>
      <c r="B3039" s="465" t="s">
        <v>5186</v>
      </c>
      <c r="C3039" s="466">
        <v>6</v>
      </c>
      <c r="D3039" s="465"/>
      <c r="E3039" s="466" t="s">
        <v>5180</v>
      </c>
      <c r="F3039" s="466" t="s">
        <v>1226</v>
      </c>
      <c r="G3039" s="465"/>
      <c r="H3039" s="465">
        <v>3</v>
      </c>
    </row>
    <row r="3040" spans="1:8" ht="13.8" thickBot="1">
      <c r="A3040" s="467" t="s">
        <v>8874</v>
      </c>
      <c r="B3040" s="465" t="s">
        <v>5187</v>
      </c>
      <c r="C3040" s="466">
        <v>6</v>
      </c>
      <c r="D3040" s="467" t="s">
        <v>614</v>
      </c>
      <c r="E3040" s="466" t="s">
        <v>5180</v>
      </c>
      <c r="F3040" s="466"/>
      <c r="G3040" s="465">
        <v>2</v>
      </c>
      <c r="H3040" s="465">
        <v>6</v>
      </c>
    </row>
    <row r="3041" spans="1:8" ht="13.8" thickBot="1">
      <c r="A3041" s="465" t="s">
        <v>8875</v>
      </c>
      <c r="B3041" s="465" t="s">
        <v>5214</v>
      </c>
      <c r="C3041" s="466">
        <v>6</v>
      </c>
      <c r="D3041" s="467" t="s">
        <v>614</v>
      </c>
      <c r="E3041" s="466" t="s">
        <v>5196</v>
      </c>
      <c r="F3041" s="466" t="s">
        <v>1251</v>
      </c>
      <c r="G3041" s="465">
        <v>1</v>
      </c>
      <c r="H3041" s="465">
        <v>8</v>
      </c>
    </row>
    <row r="3042" spans="1:8" ht="13.8" thickBot="1">
      <c r="A3042" s="465" t="s">
        <v>8876</v>
      </c>
      <c r="B3042" s="465" t="s">
        <v>5215</v>
      </c>
      <c r="C3042" s="466">
        <v>6</v>
      </c>
      <c r="D3042" s="467" t="s">
        <v>614</v>
      </c>
      <c r="E3042" s="466" t="s">
        <v>5196</v>
      </c>
      <c r="F3042" s="466" t="s">
        <v>1226</v>
      </c>
      <c r="G3042" s="465">
        <v>2</v>
      </c>
      <c r="H3042" s="465">
        <v>12</v>
      </c>
    </row>
    <row r="3043" spans="1:8" ht="13.8" thickBot="1">
      <c r="A3043" s="465" t="s">
        <v>8877</v>
      </c>
      <c r="B3043" s="465" t="s">
        <v>5216</v>
      </c>
      <c r="C3043" s="466">
        <v>6</v>
      </c>
      <c r="D3043" s="467" t="s">
        <v>614</v>
      </c>
      <c r="E3043" s="466" t="s">
        <v>5196</v>
      </c>
      <c r="F3043" s="466"/>
      <c r="G3043" s="465"/>
      <c r="H3043" s="465">
        <v>8</v>
      </c>
    </row>
    <row r="3044" spans="1:8" ht="13.8" thickBot="1">
      <c r="A3044" s="465" t="s">
        <v>8878</v>
      </c>
      <c r="B3044" s="465" t="s">
        <v>5217</v>
      </c>
      <c r="C3044" s="466">
        <v>6</v>
      </c>
      <c r="D3044" s="467" t="s">
        <v>4297</v>
      </c>
      <c r="E3044" s="466" t="s">
        <v>5196</v>
      </c>
      <c r="F3044" s="466"/>
      <c r="G3044" s="465"/>
      <c r="H3044" s="465">
        <v>10</v>
      </c>
    </row>
    <row r="3045" spans="1:8" ht="13.8" thickBot="1">
      <c r="A3045" s="465" t="s">
        <v>8879</v>
      </c>
      <c r="B3045" s="465" t="s">
        <v>5227</v>
      </c>
      <c r="C3045" s="466">
        <v>6</v>
      </c>
      <c r="D3045" s="467" t="s">
        <v>614</v>
      </c>
      <c r="E3045" s="466" t="s">
        <v>5226</v>
      </c>
      <c r="F3045" s="466" t="s">
        <v>1226</v>
      </c>
      <c r="G3045" s="465"/>
      <c r="H3045" s="465">
        <v>2</v>
      </c>
    </row>
    <row r="3046" spans="1:8" ht="13.8" thickBot="1">
      <c r="A3046" s="465" t="s">
        <v>8880</v>
      </c>
      <c r="B3046" s="465" t="s">
        <v>5227</v>
      </c>
      <c r="C3046" s="466">
        <v>6</v>
      </c>
      <c r="D3046" s="465"/>
      <c r="E3046" s="466" t="s">
        <v>5226</v>
      </c>
      <c r="F3046" s="466" t="s">
        <v>1226</v>
      </c>
      <c r="G3046" s="465"/>
      <c r="H3046" s="465">
        <v>13</v>
      </c>
    </row>
    <row r="3047" spans="1:8" ht="13.8" thickBot="1">
      <c r="A3047" s="465" t="s">
        <v>8881</v>
      </c>
      <c r="B3047" s="465" t="s">
        <v>5239</v>
      </c>
      <c r="C3047" s="466">
        <v>6</v>
      </c>
      <c r="D3047" s="467" t="s">
        <v>614</v>
      </c>
      <c r="E3047" s="466" t="s">
        <v>5226</v>
      </c>
      <c r="F3047" s="466" t="s">
        <v>1226</v>
      </c>
      <c r="G3047" s="465"/>
      <c r="H3047" s="465">
        <v>5</v>
      </c>
    </row>
    <row r="3048" spans="1:8" ht="13.8" thickBot="1">
      <c r="A3048" s="465" t="s">
        <v>8882</v>
      </c>
      <c r="B3048" s="465" t="s">
        <v>5240</v>
      </c>
      <c r="C3048" s="466">
        <v>6</v>
      </c>
      <c r="D3048" s="465"/>
      <c r="E3048" s="466" t="s">
        <v>5226</v>
      </c>
      <c r="F3048" s="466"/>
      <c r="G3048" s="465"/>
      <c r="H3048" s="465">
        <v>6</v>
      </c>
    </row>
    <row r="3049" spans="1:8" ht="13.8" thickBot="1">
      <c r="A3049" s="467" t="s">
        <v>8883</v>
      </c>
      <c r="B3049" s="465" t="s">
        <v>5249</v>
      </c>
      <c r="C3049" s="466">
        <v>6</v>
      </c>
      <c r="D3049" s="467" t="s">
        <v>614</v>
      </c>
      <c r="E3049" s="466" t="s">
        <v>5248</v>
      </c>
      <c r="F3049" s="466" t="s">
        <v>1226</v>
      </c>
      <c r="G3049" s="465"/>
      <c r="H3049" s="465">
        <v>4</v>
      </c>
    </row>
    <row r="3050" spans="1:8" ht="13.8" thickBot="1">
      <c r="A3050" s="467" t="s">
        <v>8884</v>
      </c>
      <c r="B3050" s="465" t="s">
        <v>5253</v>
      </c>
      <c r="C3050" s="466">
        <v>6</v>
      </c>
      <c r="D3050" s="465"/>
      <c r="E3050" s="466" t="s">
        <v>5252</v>
      </c>
      <c r="F3050" s="466" t="s">
        <v>1841</v>
      </c>
      <c r="G3050" s="465"/>
      <c r="H3050" s="465">
        <v>13</v>
      </c>
    </row>
    <row r="3051" spans="1:8" ht="13.8" thickBot="1">
      <c r="A3051" s="467" t="s">
        <v>8303</v>
      </c>
      <c r="B3051" s="465" t="s">
        <v>1726</v>
      </c>
      <c r="C3051" s="466">
        <v>6</v>
      </c>
      <c r="D3051" s="465"/>
      <c r="E3051" s="466" t="s">
        <v>2289</v>
      </c>
      <c r="F3051" s="466" t="s">
        <v>1251</v>
      </c>
      <c r="G3051" s="465"/>
      <c r="H3051" s="465">
        <v>6</v>
      </c>
    </row>
    <row r="3052" spans="1:8" ht="13.8" thickBot="1">
      <c r="A3052" s="465" t="s">
        <v>8304</v>
      </c>
      <c r="B3052" s="465" t="s">
        <v>2386</v>
      </c>
      <c r="C3052" s="466">
        <v>6</v>
      </c>
      <c r="D3052" s="467" t="s">
        <v>614</v>
      </c>
      <c r="E3052" s="466" t="s">
        <v>2289</v>
      </c>
      <c r="F3052" s="466" t="s">
        <v>1226</v>
      </c>
      <c r="G3052" s="465"/>
      <c r="H3052" s="465">
        <v>4</v>
      </c>
    </row>
    <row r="3053" spans="1:8" ht="13.8" thickBot="1">
      <c r="A3053" s="465" t="s">
        <v>8305</v>
      </c>
      <c r="B3053" s="468" t="s">
        <v>2387</v>
      </c>
      <c r="C3053" s="466">
        <v>6</v>
      </c>
      <c r="D3053" s="467" t="s">
        <v>614</v>
      </c>
      <c r="E3053" s="466" t="s">
        <v>2289</v>
      </c>
      <c r="F3053" s="466" t="s">
        <v>1226</v>
      </c>
      <c r="G3053" s="465"/>
      <c r="H3053" s="465">
        <v>6</v>
      </c>
    </row>
    <row r="3054" spans="1:8" ht="13.8" thickBot="1">
      <c r="A3054" s="465" t="s">
        <v>8306</v>
      </c>
      <c r="B3054" s="468" t="s">
        <v>2382</v>
      </c>
      <c r="C3054" s="466">
        <v>6</v>
      </c>
      <c r="D3054" s="465"/>
      <c r="E3054" s="466" t="s">
        <v>2289</v>
      </c>
      <c r="F3054" s="466" t="s">
        <v>1226</v>
      </c>
      <c r="G3054" s="465"/>
      <c r="H3054" s="465">
        <v>4</v>
      </c>
    </row>
    <row r="3055" spans="1:8" ht="13.8" thickBot="1">
      <c r="A3055" s="465" t="s">
        <v>8307</v>
      </c>
      <c r="B3055" s="465" t="s">
        <v>2388</v>
      </c>
      <c r="C3055" s="466">
        <v>6</v>
      </c>
      <c r="D3055" s="465"/>
      <c r="E3055" s="466" t="s">
        <v>2289</v>
      </c>
      <c r="F3055" s="466" t="s">
        <v>1226</v>
      </c>
      <c r="G3055" s="465"/>
      <c r="H3055" s="465">
        <v>5</v>
      </c>
    </row>
    <row r="3056" spans="1:8" ht="13.8" thickBot="1">
      <c r="A3056" s="465" t="s">
        <v>8308</v>
      </c>
      <c r="B3056" s="465" t="s">
        <v>2389</v>
      </c>
      <c r="C3056" s="466">
        <v>6</v>
      </c>
      <c r="D3056" s="465"/>
      <c r="E3056" s="466" t="s">
        <v>2289</v>
      </c>
      <c r="F3056" s="466" t="s">
        <v>1226</v>
      </c>
      <c r="G3056" s="465"/>
      <c r="H3056" s="465">
        <v>3</v>
      </c>
    </row>
    <row r="3057" spans="1:8" ht="13.8" thickBot="1">
      <c r="A3057" s="467" t="s">
        <v>8309</v>
      </c>
      <c r="B3057" s="465" t="s">
        <v>2390</v>
      </c>
      <c r="C3057" s="466">
        <v>6</v>
      </c>
      <c r="D3057" s="465"/>
      <c r="E3057" s="466" t="s">
        <v>2289</v>
      </c>
      <c r="F3057" s="466" t="s">
        <v>1226</v>
      </c>
      <c r="G3057" s="465">
        <v>3</v>
      </c>
      <c r="H3057" s="465">
        <v>7</v>
      </c>
    </row>
    <row r="3058" spans="1:8" ht="13.8" thickBot="1">
      <c r="A3058" s="465" t="s">
        <v>8310</v>
      </c>
      <c r="B3058" s="468" t="s">
        <v>2391</v>
      </c>
      <c r="C3058" s="466">
        <v>6</v>
      </c>
      <c r="D3058" s="465"/>
      <c r="E3058" s="466" t="s">
        <v>2289</v>
      </c>
      <c r="F3058" s="466" t="s">
        <v>1226</v>
      </c>
      <c r="G3058" s="465">
        <v>3</v>
      </c>
      <c r="H3058" s="465">
        <v>5</v>
      </c>
    </row>
    <row r="3059" spans="1:8" ht="13.8" thickBot="1">
      <c r="A3059" s="465" t="s">
        <v>8311</v>
      </c>
      <c r="B3059" s="465" t="s">
        <v>2392</v>
      </c>
      <c r="C3059" s="466">
        <v>6</v>
      </c>
      <c r="D3059" s="467" t="s">
        <v>614</v>
      </c>
      <c r="E3059" s="466" t="s">
        <v>2289</v>
      </c>
      <c r="F3059" s="466" t="s">
        <v>1226</v>
      </c>
      <c r="G3059" s="465"/>
      <c r="H3059" s="465">
        <v>8</v>
      </c>
    </row>
    <row r="3060" spans="1:8" ht="13.8" thickBot="1">
      <c r="A3060" s="465" t="s">
        <v>8312</v>
      </c>
      <c r="B3060" s="465" t="s">
        <v>2346</v>
      </c>
      <c r="C3060" s="466">
        <v>6</v>
      </c>
      <c r="D3060" s="465"/>
      <c r="E3060" s="466" t="s">
        <v>2289</v>
      </c>
      <c r="F3060" s="466" t="s">
        <v>1226</v>
      </c>
      <c r="G3060" s="465"/>
      <c r="H3060" s="465">
        <v>5</v>
      </c>
    </row>
    <row r="3061" spans="1:8" ht="13.8" thickBot="1">
      <c r="A3061" s="467" t="s">
        <v>8313</v>
      </c>
      <c r="B3061" s="465" t="s">
        <v>2393</v>
      </c>
      <c r="C3061" s="466">
        <v>6</v>
      </c>
      <c r="D3061" s="467" t="s">
        <v>614</v>
      </c>
      <c r="E3061" s="466" t="s">
        <v>2289</v>
      </c>
      <c r="F3061" s="466" t="s">
        <v>2067</v>
      </c>
      <c r="G3061" s="465">
        <v>1</v>
      </c>
      <c r="H3061" s="465">
        <v>5</v>
      </c>
    </row>
    <row r="3062" spans="1:8" ht="13.8" thickBot="1">
      <c r="A3062" s="465" t="s">
        <v>8314</v>
      </c>
      <c r="B3062" s="465" t="s">
        <v>2394</v>
      </c>
      <c r="C3062" s="466">
        <v>6</v>
      </c>
      <c r="D3062" s="467" t="s">
        <v>2169</v>
      </c>
      <c r="E3062" s="466" t="s">
        <v>2289</v>
      </c>
      <c r="F3062" s="466" t="s">
        <v>1224</v>
      </c>
      <c r="G3062" s="465">
        <v>1</v>
      </c>
      <c r="H3062" s="465">
        <v>1</v>
      </c>
    </row>
    <row r="3063" spans="1:8" ht="13.8" thickBot="1">
      <c r="A3063" s="465" t="s">
        <v>8315</v>
      </c>
      <c r="B3063" s="465" t="s">
        <v>2395</v>
      </c>
      <c r="C3063" s="466">
        <v>6</v>
      </c>
      <c r="D3063" s="465"/>
      <c r="E3063" s="466" t="s">
        <v>2289</v>
      </c>
      <c r="F3063" s="466" t="s">
        <v>1224</v>
      </c>
      <c r="G3063" s="465"/>
      <c r="H3063" s="465">
        <v>7</v>
      </c>
    </row>
    <row r="3064" spans="1:8" ht="13.8" thickBot="1">
      <c r="A3064" s="465" t="s">
        <v>8316</v>
      </c>
      <c r="B3064" s="465" t="s">
        <v>2396</v>
      </c>
      <c r="C3064" s="466">
        <v>6</v>
      </c>
      <c r="D3064" s="467" t="s">
        <v>614</v>
      </c>
      <c r="E3064" s="466" t="s">
        <v>2289</v>
      </c>
      <c r="F3064" s="466" t="s">
        <v>1220</v>
      </c>
      <c r="G3064" s="465">
        <v>1</v>
      </c>
      <c r="H3064" s="465">
        <v>4</v>
      </c>
    </row>
    <row r="3065" spans="1:8" ht="13.8" thickBot="1">
      <c r="A3065" s="465" t="s">
        <v>8317</v>
      </c>
      <c r="B3065" s="465" t="s">
        <v>1726</v>
      </c>
      <c r="C3065" s="466">
        <v>6</v>
      </c>
      <c r="D3065" s="465"/>
      <c r="E3065" s="466" t="s">
        <v>2289</v>
      </c>
      <c r="F3065" s="466"/>
      <c r="G3065" s="465"/>
      <c r="H3065" s="465">
        <v>1</v>
      </c>
    </row>
    <row r="3066" spans="1:8" ht="13.8" thickBot="1">
      <c r="A3066" s="465" t="s">
        <v>8318</v>
      </c>
      <c r="B3066" s="465" t="s">
        <v>2397</v>
      </c>
      <c r="C3066" s="466">
        <v>6</v>
      </c>
      <c r="D3066" s="465"/>
      <c r="E3066" s="466" t="s">
        <v>2289</v>
      </c>
      <c r="F3066" s="466"/>
      <c r="G3066" s="465"/>
      <c r="H3066" s="465">
        <v>4</v>
      </c>
    </row>
    <row r="3067" spans="1:8" ht="13.8" thickBot="1">
      <c r="A3067" s="465" t="s">
        <v>8319</v>
      </c>
      <c r="B3067" s="465" t="s">
        <v>2398</v>
      </c>
      <c r="C3067" s="466">
        <v>6</v>
      </c>
      <c r="D3067" s="465"/>
      <c r="E3067" s="466" t="s">
        <v>2289</v>
      </c>
      <c r="F3067" s="466"/>
      <c r="G3067" s="465"/>
      <c r="H3067" s="465">
        <v>1</v>
      </c>
    </row>
    <row r="3068" spans="1:8" ht="13.8" thickBot="1">
      <c r="A3068" s="467" t="s">
        <v>8320</v>
      </c>
      <c r="B3068" s="465" t="s">
        <v>2399</v>
      </c>
      <c r="C3068" s="466">
        <v>6</v>
      </c>
      <c r="D3068" s="465"/>
      <c r="E3068" s="466" t="s">
        <v>2289</v>
      </c>
      <c r="F3068" s="466"/>
      <c r="G3068" s="465"/>
      <c r="H3068" s="465">
        <v>8</v>
      </c>
    </row>
    <row r="3069" spans="1:8" ht="13.8" thickBot="1">
      <c r="A3069" s="467" t="s">
        <v>8321</v>
      </c>
      <c r="B3069" s="465" t="s">
        <v>2400</v>
      </c>
      <c r="C3069" s="466">
        <v>6</v>
      </c>
      <c r="D3069" s="465"/>
      <c r="E3069" s="466" t="s">
        <v>2289</v>
      </c>
      <c r="F3069" s="466"/>
      <c r="G3069" s="465">
        <v>1</v>
      </c>
      <c r="H3069" s="465">
        <v>1</v>
      </c>
    </row>
    <row r="3070" spans="1:8" ht="13.8" thickBot="1">
      <c r="A3070" s="467" t="s">
        <v>8322</v>
      </c>
      <c r="B3070" s="465" t="s">
        <v>2395</v>
      </c>
      <c r="C3070" s="466">
        <v>6</v>
      </c>
      <c r="D3070" s="465"/>
      <c r="E3070" s="466" t="s">
        <v>2289</v>
      </c>
      <c r="F3070" s="466"/>
      <c r="G3070" s="465"/>
      <c r="H3070" s="465">
        <v>2</v>
      </c>
    </row>
    <row r="3071" spans="1:8" ht="13.8" thickBot="1">
      <c r="A3071" s="467" t="s">
        <v>8323</v>
      </c>
      <c r="B3071" s="465" t="s">
        <v>2401</v>
      </c>
      <c r="C3071" s="466">
        <v>6</v>
      </c>
      <c r="D3071" s="465"/>
      <c r="E3071" s="466" t="s">
        <v>2289</v>
      </c>
      <c r="F3071" s="466"/>
      <c r="G3071" s="465"/>
      <c r="H3071" s="465">
        <v>1</v>
      </c>
    </row>
    <row r="3072" spans="1:8" ht="13.8" thickBot="1">
      <c r="A3072" s="465" t="s">
        <v>8324</v>
      </c>
      <c r="B3072" s="465" t="s">
        <v>2402</v>
      </c>
      <c r="C3072" s="466">
        <v>6</v>
      </c>
      <c r="D3072" s="467" t="s">
        <v>614</v>
      </c>
      <c r="E3072" s="466" t="s">
        <v>2289</v>
      </c>
      <c r="F3072" s="466"/>
      <c r="G3072" s="465"/>
      <c r="H3072" s="465">
        <v>2</v>
      </c>
    </row>
    <row r="3073" spans="1:8" ht="13.8" thickBot="1">
      <c r="A3073" s="465" t="s">
        <v>8325</v>
      </c>
      <c r="B3073" s="465" t="s">
        <v>2403</v>
      </c>
      <c r="C3073" s="466">
        <v>6</v>
      </c>
      <c r="D3073" s="465"/>
      <c r="E3073" s="466" t="s">
        <v>2289</v>
      </c>
      <c r="F3073" s="466"/>
      <c r="G3073" s="465"/>
      <c r="H3073" s="465">
        <v>4</v>
      </c>
    </row>
    <row r="3074" spans="1:8" ht="13.8" thickBot="1">
      <c r="A3074" s="465" t="s">
        <v>8326</v>
      </c>
      <c r="B3074" s="465" t="s">
        <v>2404</v>
      </c>
      <c r="C3074" s="466">
        <v>6</v>
      </c>
      <c r="D3074" s="465"/>
      <c r="E3074" s="466" t="s">
        <v>2289</v>
      </c>
      <c r="F3074" s="466"/>
      <c r="G3074" s="465"/>
      <c r="H3074" s="465">
        <v>18</v>
      </c>
    </row>
    <row r="3075" spans="1:8" ht="13.8" thickBot="1">
      <c r="A3075" s="465" t="s">
        <v>8327</v>
      </c>
      <c r="B3075" s="465" t="s">
        <v>2405</v>
      </c>
      <c r="C3075" s="466">
        <v>6</v>
      </c>
      <c r="D3075" s="465"/>
      <c r="E3075" s="466" t="s">
        <v>2289</v>
      </c>
      <c r="F3075" s="466"/>
      <c r="G3075" s="465"/>
      <c r="H3075" s="465">
        <v>1</v>
      </c>
    </row>
    <row r="3076" spans="1:8" ht="13.8" thickBot="1">
      <c r="A3076" s="467" t="s">
        <v>8328</v>
      </c>
      <c r="B3076" s="465" t="s">
        <v>2406</v>
      </c>
      <c r="C3076" s="466">
        <v>6</v>
      </c>
      <c r="D3076" s="465"/>
      <c r="E3076" s="466" t="s">
        <v>2289</v>
      </c>
      <c r="F3076" s="466"/>
      <c r="G3076" s="465"/>
      <c r="H3076" s="465">
        <v>4</v>
      </c>
    </row>
    <row r="3077" spans="1:8" ht="13.8" thickBot="1">
      <c r="A3077" s="465" t="s">
        <v>8329</v>
      </c>
      <c r="B3077" s="465" t="s">
        <v>2407</v>
      </c>
      <c r="C3077" s="466">
        <v>6</v>
      </c>
      <c r="D3077" s="465"/>
      <c r="E3077" s="466" t="s">
        <v>2289</v>
      </c>
      <c r="F3077" s="466"/>
      <c r="G3077" s="465"/>
      <c r="H3077" s="465">
        <v>2</v>
      </c>
    </row>
    <row r="3078" spans="1:8" ht="13.8" thickBot="1">
      <c r="A3078" s="465" t="s">
        <v>8330</v>
      </c>
      <c r="B3078" s="465" t="s">
        <v>2408</v>
      </c>
      <c r="C3078" s="466">
        <v>6</v>
      </c>
      <c r="D3078" s="465"/>
      <c r="E3078" s="466" t="s">
        <v>2289</v>
      </c>
      <c r="F3078" s="466"/>
      <c r="G3078" s="465"/>
      <c r="H3078" s="465">
        <v>1</v>
      </c>
    </row>
    <row r="3079" spans="1:8" ht="13.8" thickBot="1">
      <c r="A3079" s="467" t="s">
        <v>8885</v>
      </c>
      <c r="B3079" s="465" t="s">
        <v>5272</v>
      </c>
      <c r="C3079" s="466">
        <v>6</v>
      </c>
      <c r="D3079" s="465"/>
      <c r="E3079" s="466" t="s">
        <v>5269</v>
      </c>
      <c r="F3079" s="466" t="s">
        <v>1226</v>
      </c>
      <c r="G3079" s="465"/>
      <c r="H3079" s="465">
        <v>6</v>
      </c>
    </row>
    <row r="3080" spans="1:8" ht="13.8" thickBot="1">
      <c r="A3080" s="467" t="s">
        <v>8886</v>
      </c>
      <c r="B3080" s="465" t="s">
        <v>5283</v>
      </c>
      <c r="C3080" s="466">
        <v>6</v>
      </c>
      <c r="D3080" s="465"/>
      <c r="E3080" s="466" t="s">
        <v>5269</v>
      </c>
      <c r="F3080" s="466" t="s">
        <v>1226</v>
      </c>
      <c r="G3080" s="465"/>
      <c r="H3080" s="465">
        <v>13</v>
      </c>
    </row>
    <row r="3081" spans="1:8" ht="13.8" thickBot="1">
      <c r="A3081" s="465" t="s">
        <v>8887</v>
      </c>
      <c r="B3081" s="465" t="s">
        <v>5308</v>
      </c>
      <c r="C3081" s="466">
        <v>6</v>
      </c>
      <c r="D3081" s="465"/>
      <c r="E3081" s="466" t="s">
        <v>5286</v>
      </c>
      <c r="F3081" s="466" t="s">
        <v>1226</v>
      </c>
      <c r="G3081" s="465">
        <v>1</v>
      </c>
      <c r="H3081" s="465">
        <v>9</v>
      </c>
    </row>
    <row r="3082" spans="1:8" ht="13.8" thickBot="1">
      <c r="A3082" s="465" t="s">
        <v>8888</v>
      </c>
      <c r="B3082" s="465" t="s">
        <v>5305</v>
      </c>
      <c r="C3082" s="466">
        <v>6</v>
      </c>
      <c r="D3082" s="467" t="s">
        <v>614</v>
      </c>
      <c r="E3082" s="466" t="s">
        <v>5286</v>
      </c>
      <c r="F3082" s="466" t="s">
        <v>1224</v>
      </c>
      <c r="G3082" s="465"/>
      <c r="H3082" s="465">
        <v>7</v>
      </c>
    </row>
    <row r="3083" spans="1:8" ht="13.8" thickBot="1">
      <c r="A3083" s="465" t="s">
        <v>8889</v>
      </c>
      <c r="B3083" s="465" t="s">
        <v>5309</v>
      </c>
      <c r="C3083" s="466">
        <v>6</v>
      </c>
      <c r="D3083" s="465"/>
      <c r="E3083" s="466" t="s">
        <v>5286</v>
      </c>
      <c r="F3083" s="466" t="s">
        <v>1220</v>
      </c>
      <c r="G3083" s="465"/>
      <c r="H3083" s="465">
        <v>2</v>
      </c>
    </row>
    <row r="3084" spans="1:8" ht="13.8" thickBot="1">
      <c r="A3084" s="467" t="s">
        <v>8890</v>
      </c>
      <c r="B3084" s="465" t="s">
        <v>1381</v>
      </c>
      <c r="C3084" s="466">
        <v>6</v>
      </c>
      <c r="D3084" s="465"/>
      <c r="E3084" s="466" t="s">
        <v>5286</v>
      </c>
      <c r="F3084" s="466"/>
      <c r="G3084" s="465"/>
      <c r="H3084" s="465">
        <v>1</v>
      </c>
    </row>
    <row r="3085" spans="1:8" ht="13.8" thickBot="1">
      <c r="A3085" s="467" t="s">
        <v>8891</v>
      </c>
      <c r="B3085" s="465" t="s">
        <v>1381</v>
      </c>
      <c r="C3085" s="466">
        <v>6</v>
      </c>
      <c r="D3085" s="465"/>
      <c r="E3085" s="466" t="s">
        <v>5286</v>
      </c>
      <c r="F3085" s="466"/>
      <c r="G3085" s="465"/>
      <c r="H3085" s="465"/>
    </row>
    <row r="3086" spans="1:8" ht="13.8" thickBot="1">
      <c r="A3086" s="465" t="s">
        <v>8892</v>
      </c>
      <c r="B3086" s="465" t="s">
        <v>5305</v>
      </c>
      <c r="C3086" s="466">
        <v>6</v>
      </c>
      <c r="D3086" s="467" t="s">
        <v>614</v>
      </c>
      <c r="E3086" s="466" t="s">
        <v>5286</v>
      </c>
      <c r="F3086" s="466"/>
      <c r="G3086" s="465"/>
      <c r="H3086" s="465">
        <v>1</v>
      </c>
    </row>
    <row r="3087" spans="1:8" ht="13.8" thickBot="1">
      <c r="A3087" s="467" t="s">
        <v>8893</v>
      </c>
      <c r="B3087" s="472" t="s">
        <v>5339</v>
      </c>
      <c r="C3087" s="473">
        <v>6</v>
      </c>
      <c r="D3087" s="465"/>
      <c r="E3087" s="466" t="s">
        <v>5325</v>
      </c>
      <c r="F3087" s="466" t="s">
        <v>1226</v>
      </c>
      <c r="G3087" s="465"/>
      <c r="H3087" s="465">
        <v>2</v>
      </c>
    </row>
    <row r="3088" spans="1:8" ht="13.8" thickBot="1">
      <c r="A3088" s="465" t="s">
        <v>8894</v>
      </c>
      <c r="B3088" s="465" t="s">
        <v>5340</v>
      </c>
      <c r="C3088" s="466">
        <v>6</v>
      </c>
      <c r="D3088" s="465"/>
      <c r="E3088" s="466" t="s">
        <v>5325</v>
      </c>
      <c r="F3088" s="466"/>
      <c r="G3088" s="465"/>
      <c r="H3088" s="465">
        <v>3</v>
      </c>
    </row>
    <row r="3089" spans="1:8" ht="13.8" thickBot="1">
      <c r="A3089" s="465" t="s">
        <v>8895</v>
      </c>
      <c r="B3089" s="465" t="s">
        <v>5345</v>
      </c>
      <c r="C3089" s="466">
        <v>6</v>
      </c>
      <c r="D3089" s="465"/>
      <c r="E3089" s="466" t="s">
        <v>5342</v>
      </c>
      <c r="F3089" s="466"/>
      <c r="G3089" s="465"/>
      <c r="H3089" s="465">
        <v>1</v>
      </c>
    </row>
    <row r="3090" spans="1:8" ht="13.8" thickBot="1">
      <c r="A3090" s="465" t="s">
        <v>8896</v>
      </c>
      <c r="B3090" s="465" t="s">
        <v>5346</v>
      </c>
      <c r="C3090" s="466">
        <v>6</v>
      </c>
      <c r="D3090" s="467" t="s">
        <v>614</v>
      </c>
      <c r="E3090" s="466" t="s">
        <v>5342</v>
      </c>
      <c r="F3090" s="466"/>
      <c r="G3090" s="465"/>
      <c r="H3090" s="465">
        <v>1</v>
      </c>
    </row>
    <row r="3091" spans="1:8" ht="13.8" thickBot="1">
      <c r="A3091" s="467" t="s">
        <v>8897</v>
      </c>
      <c r="B3091" s="465" t="s">
        <v>5347</v>
      </c>
      <c r="C3091" s="466">
        <v>6</v>
      </c>
      <c r="D3091" s="465"/>
      <c r="E3091" s="466" t="s">
        <v>5342</v>
      </c>
      <c r="F3091" s="466"/>
      <c r="G3091" s="465"/>
      <c r="H3091" s="465">
        <v>1</v>
      </c>
    </row>
    <row r="3092" spans="1:8" ht="13.8" thickBot="1">
      <c r="A3092" s="465" t="s">
        <v>8331</v>
      </c>
      <c r="B3092" s="465" t="s">
        <v>2475</v>
      </c>
      <c r="C3092" s="466">
        <v>6</v>
      </c>
      <c r="D3092" s="465"/>
      <c r="E3092" s="466" t="s">
        <v>2449</v>
      </c>
      <c r="F3092" s="466" t="s">
        <v>2319</v>
      </c>
      <c r="G3092" s="465"/>
      <c r="H3092" s="465">
        <v>15</v>
      </c>
    </row>
    <row r="3093" spans="1:8" ht="13.8" thickBot="1">
      <c r="A3093" s="467" t="s">
        <v>8332</v>
      </c>
      <c r="B3093" s="465" t="s">
        <v>2476</v>
      </c>
      <c r="C3093" s="466">
        <v>6</v>
      </c>
      <c r="D3093" s="467" t="s">
        <v>2477</v>
      </c>
      <c r="E3093" s="466" t="s">
        <v>2449</v>
      </c>
      <c r="F3093" s="466" t="s">
        <v>1226</v>
      </c>
      <c r="G3093" s="465"/>
      <c r="H3093" s="465">
        <v>6</v>
      </c>
    </row>
    <row r="3094" spans="1:8" ht="13.8" thickBot="1">
      <c r="A3094" s="465" t="s">
        <v>8333</v>
      </c>
      <c r="B3094" s="465" t="s">
        <v>2478</v>
      </c>
      <c r="C3094" s="466">
        <v>6</v>
      </c>
      <c r="D3094" s="467" t="s">
        <v>614</v>
      </c>
      <c r="E3094" s="466" t="s">
        <v>2449</v>
      </c>
      <c r="F3094" s="466" t="s">
        <v>1226</v>
      </c>
      <c r="G3094" s="465"/>
      <c r="H3094" s="465">
        <v>1</v>
      </c>
    </row>
    <row r="3095" spans="1:8" ht="13.8" thickBot="1">
      <c r="A3095" s="465" t="s">
        <v>8334</v>
      </c>
      <c r="B3095" s="465" t="s">
        <v>2479</v>
      </c>
      <c r="C3095" s="466">
        <v>6</v>
      </c>
      <c r="D3095" s="467" t="s">
        <v>614</v>
      </c>
      <c r="E3095" s="466" t="s">
        <v>2449</v>
      </c>
      <c r="F3095" s="466" t="s">
        <v>1224</v>
      </c>
      <c r="G3095" s="465">
        <v>1</v>
      </c>
      <c r="H3095" s="465">
        <v>7</v>
      </c>
    </row>
    <row r="3096" spans="1:8" ht="13.8" thickBot="1">
      <c r="A3096" s="467" t="s">
        <v>8335</v>
      </c>
      <c r="B3096" s="465" t="s">
        <v>2480</v>
      </c>
      <c r="C3096" s="466">
        <v>6</v>
      </c>
      <c r="D3096" s="465"/>
      <c r="E3096" s="466" t="s">
        <v>2449</v>
      </c>
      <c r="F3096" s="466" t="s">
        <v>1224</v>
      </c>
      <c r="G3096" s="465"/>
      <c r="H3096" s="465">
        <v>11</v>
      </c>
    </row>
    <row r="3097" spans="1:8" ht="13.8" thickBot="1">
      <c r="A3097" s="465" t="s">
        <v>8336</v>
      </c>
      <c r="B3097" s="465" t="s">
        <v>2481</v>
      </c>
      <c r="C3097" s="466">
        <v>6</v>
      </c>
      <c r="D3097" s="467" t="s">
        <v>614</v>
      </c>
      <c r="E3097" s="466" t="s">
        <v>2449</v>
      </c>
      <c r="F3097" s="466" t="s">
        <v>1220</v>
      </c>
      <c r="G3097" s="465"/>
      <c r="H3097" s="465">
        <v>2</v>
      </c>
    </row>
    <row r="3098" spans="1:8" ht="13.8" thickBot="1">
      <c r="A3098" s="465" t="s">
        <v>8337</v>
      </c>
      <c r="B3098" s="465" t="s">
        <v>2482</v>
      </c>
      <c r="C3098" s="466">
        <v>6</v>
      </c>
      <c r="D3098" s="465"/>
      <c r="E3098" s="466" t="s">
        <v>2449</v>
      </c>
      <c r="F3098" s="466"/>
      <c r="G3098" s="465"/>
      <c r="H3098" s="465">
        <v>1</v>
      </c>
    </row>
    <row r="3099" spans="1:8" ht="13.8" thickBot="1">
      <c r="A3099" s="467" t="s">
        <v>8338</v>
      </c>
      <c r="B3099" s="465" t="s">
        <v>2483</v>
      </c>
      <c r="C3099" s="466">
        <v>6</v>
      </c>
      <c r="D3099" s="467" t="s">
        <v>614</v>
      </c>
      <c r="E3099" s="466" t="s">
        <v>2449</v>
      </c>
      <c r="F3099" s="466"/>
      <c r="G3099" s="465"/>
      <c r="H3099" s="465">
        <v>2</v>
      </c>
    </row>
    <row r="3100" spans="1:8" ht="13.8" thickBot="1">
      <c r="A3100" s="467" t="s">
        <v>8339</v>
      </c>
      <c r="B3100" s="465" t="s">
        <v>2484</v>
      </c>
      <c r="C3100" s="466">
        <v>6</v>
      </c>
      <c r="D3100" s="465"/>
      <c r="E3100" s="466" t="s">
        <v>2449</v>
      </c>
      <c r="F3100" s="466"/>
      <c r="G3100" s="465"/>
      <c r="H3100" s="465">
        <v>1</v>
      </c>
    </row>
    <row r="3101" spans="1:8" ht="13.8" thickBot="1">
      <c r="A3101" s="467" t="s">
        <v>8340</v>
      </c>
      <c r="B3101" s="465" t="s">
        <v>2485</v>
      </c>
      <c r="C3101" s="466">
        <v>6</v>
      </c>
      <c r="D3101" s="465" t="s">
        <v>2486</v>
      </c>
      <c r="E3101" s="466" t="s">
        <v>2449</v>
      </c>
      <c r="F3101" s="466"/>
      <c r="G3101" s="465"/>
      <c r="H3101" s="465">
        <v>1</v>
      </c>
    </row>
    <row r="3102" spans="1:8" ht="13.8" thickBot="1">
      <c r="A3102" s="467" t="s">
        <v>8341</v>
      </c>
      <c r="B3102" s="465" t="s">
        <v>2487</v>
      </c>
      <c r="C3102" s="466">
        <v>6</v>
      </c>
      <c r="D3102" s="465"/>
      <c r="E3102" s="466" t="s">
        <v>2449</v>
      </c>
      <c r="F3102" s="466"/>
      <c r="G3102" s="465"/>
      <c r="H3102" s="465">
        <v>1</v>
      </c>
    </row>
    <row r="3103" spans="1:8" ht="13.8" thickBot="1">
      <c r="A3103" s="465" t="s">
        <v>8342</v>
      </c>
      <c r="B3103" s="465" t="s">
        <v>2488</v>
      </c>
      <c r="C3103" s="466">
        <v>6</v>
      </c>
      <c r="D3103" s="465"/>
      <c r="E3103" s="466" t="s">
        <v>2449</v>
      </c>
      <c r="F3103" s="466"/>
      <c r="G3103" s="465"/>
      <c r="H3103" s="465">
        <v>2</v>
      </c>
    </row>
    <row r="3104" spans="1:8" ht="13.8" thickBot="1">
      <c r="A3104" s="467" t="s">
        <v>8343</v>
      </c>
      <c r="B3104" s="465" t="s">
        <v>2614</v>
      </c>
      <c r="C3104" s="466">
        <v>6</v>
      </c>
      <c r="D3104" s="465"/>
      <c r="E3104" s="466" t="s">
        <v>2523</v>
      </c>
      <c r="F3104" s="466" t="s">
        <v>1910</v>
      </c>
      <c r="G3104" s="465"/>
      <c r="H3104" s="465">
        <v>5</v>
      </c>
    </row>
    <row r="3105" spans="1:8" ht="13.8" thickBot="1">
      <c r="A3105" s="465" t="s">
        <v>8344</v>
      </c>
      <c r="B3105" s="465" t="s">
        <v>2615</v>
      </c>
      <c r="C3105" s="466">
        <v>6</v>
      </c>
      <c r="D3105" s="465"/>
      <c r="E3105" s="466" t="s">
        <v>2523</v>
      </c>
      <c r="F3105" s="466" t="s">
        <v>2319</v>
      </c>
      <c r="G3105" s="465"/>
      <c r="H3105" s="465">
        <v>11</v>
      </c>
    </row>
    <row r="3106" spans="1:8" ht="13.8" thickBot="1">
      <c r="A3106" s="467" t="s">
        <v>8345</v>
      </c>
      <c r="B3106" s="465" t="s">
        <v>1327</v>
      </c>
      <c r="C3106" s="466">
        <v>6</v>
      </c>
      <c r="D3106" s="465"/>
      <c r="E3106" s="466" t="s">
        <v>2523</v>
      </c>
      <c r="F3106" s="466" t="s">
        <v>2584</v>
      </c>
      <c r="G3106" s="465">
        <v>1</v>
      </c>
      <c r="H3106" s="465">
        <v>17</v>
      </c>
    </row>
    <row r="3107" spans="1:8" ht="13.8" thickBot="1">
      <c r="A3107" s="467" t="s">
        <v>8346</v>
      </c>
      <c r="B3107" s="465" t="s">
        <v>2616</v>
      </c>
      <c r="C3107" s="466">
        <v>6</v>
      </c>
      <c r="D3107" s="467" t="s">
        <v>614</v>
      </c>
      <c r="E3107" s="466" t="s">
        <v>2523</v>
      </c>
      <c r="F3107" s="466" t="s">
        <v>1251</v>
      </c>
      <c r="G3107" s="465">
        <v>1</v>
      </c>
      <c r="H3107" s="465">
        <v>16</v>
      </c>
    </row>
    <row r="3108" spans="1:8" ht="13.8" thickBot="1">
      <c r="A3108" s="465" t="s">
        <v>8347</v>
      </c>
      <c r="B3108" s="465" t="s">
        <v>2617</v>
      </c>
      <c r="C3108" s="466">
        <v>6</v>
      </c>
      <c r="D3108" s="465"/>
      <c r="E3108" s="466" t="s">
        <v>2523</v>
      </c>
      <c r="F3108" s="466" t="s">
        <v>1251</v>
      </c>
      <c r="G3108" s="465"/>
      <c r="H3108" s="465">
        <v>2</v>
      </c>
    </row>
    <row r="3109" spans="1:8" ht="13.8" thickBot="1">
      <c r="A3109" s="465" t="s">
        <v>8348</v>
      </c>
      <c r="B3109" s="465" t="s">
        <v>1300</v>
      </c>
      <c r="C3109" s="466">
        <v>6</v>
      </c>
      <c r="D3109" s="467" t="s">
        <v>614</v>
      </c>
      <c r="E3109" s="466" t="s">
        <v>2523</v>
      </c>
      <c r="F3109" s="466" t="s">
        <v>1226</v>
      </c>
      <c r="G3109" s="465"/>
      <c r="H3109" s="465">
        <v>4</v>
      </c>
    </row>
    <row r="3110" spans="1:8" ht="13.8" thickBot="1">
      <c r="A3110" s="465" t="s">
        <v>8349</v>
      </c>
      <c r="B3110" s="465" t="s">
        <v>1300</v>
      </c>
      <c r="C3110" s="466">
        <v>6</v>
      </c>
      <c r="D3110" s="467" t="s">
        <v>614</v>
      </c>
      <c r="E3110" s="466" t="s">
        <v>2523</v>
      </c>
      <c r="F3110" s="466" t="s">
        <v>1226</v>
      </c>
      <c r="G3110" s="465">
        <v>1</v>
      </c>
      <c r="H3110" s="465">
        <v>2</v>
      </c>
    </row>
    <row r="3111" spans="1:8" ht="13.8" thickBot="1">
      <c r="A3111" s="467" t="s">
        <v>8350</v>
      </c>
      <c r="B3111" s="465" t="s">
        <v>2618</v>
      </c>
      <c r="C3111" s="466">
        <v>6</v>
      </c>
      <c r="D3111" s="465"/>
      <c r="E3111" s="466" t="s">
        <v>2523</v>
      </c>
      <c r="F3111" s="466" t="s">
        <v>1226</v>
      </c>
      <c r="G3111" s="465"/>
      <c r="H3111" s="465">
        <v>3</v>
      </c>
    </row>
    <row r="3112" spans="1:8" ht="13.8" thickBot="1">
      <c r="A3112" s="467" t="s">
        <v>8351</v>
      </c>
      <c r="B3112" s="465" t="s">
        <v>2537</v>
      </c>
      <c r="C3112" s="466">
        <v>6</v>
      </c>
      <c r="D3112" s="465"/>
      <c r="E3112" s="466" t="s">
        <v>2523</v>
      </c>
      <c r="F3112" s="466" t="s">
        <v>1226</v>
      </c>
      <c r="G3112" s="465">
        <v>1</v>
      </c>
      <c r="H3112" s="465">
        <v>3</v>
      </c>
    </row>
    <row r="3113" spans="1:8" ht="13.8" thickBot="1">
      <c r="A3113" s="465" t="s">
        <v>8352</v>
      </c>
      <c r="B3113" s="465" t="s">
        <v>2619</v>
      </c>
      <c r="C3113" s="466">
        <v>6</v>
      </c>
      <c r="D3113" s="465"/>
      <c r="E3113" s="466" t="s">
        <v>2523</v>
      </c>
      <c r="F3113" s="466" t="s">
        <v>1226</v>
      </c>
      <c r="G3113" s="465"/>
      <c r="H3113" s="465">
        <v>5</v>
      </c>
    </row>
    <row r="3114" spans="1:8" ht="13.8" thickBot="1">
      <c r="A3114" s="467" t="s">
        <v>8353</v>
      </c>
      <c r="B3114" s="465" t="s">
        <v>2620</v>
      </c>
      <c r="C3114" s="466">
        <v>6</v>
      </c>
      <c r="D3114" s="465"/>
      <c r="E3114" s="466" t="s">
        <v>2523</v>
      </c>
      <c r="F3114" s="466" t="s">
        <v>1226</v>
      </c>
      <c r="G3114" s="465"/>
      <c r="H3114" s="465">
        <v>3</v>
      </c>
    </row>
    <row r="3115" spans="1:8" ht="13.8" thickBot="1">
      <c r="A3115" s="465" t="s">
        <v>8354</v>
      </c>
      <c r="B3115" s="465" t="s">
        <v>2621</v>
      </c>
      <c r="C3115" s="466">
        <v>6</v>
      </c>
      <c r="D3115" s="465"/>
      <c r="E3115" s="466" t="s">
        <v>2523</v>
      </c>
      <c r="F3115" s="466" t="s">
        <v>1226</v>
      </c>
      <c r="G3115" s="465"/>
      <c r="H3115" s="465">
        <v>2</v>
      </c>
    </row>
    <row r="3116" spans="1:8" ht="13.8" thickBot="1">
      <c r="A3116" s="465" t="s">
        <v>8355</v>
      </c>
      <c r="B3116" s="465" t="s">
        <v>1302</v>
      </c>
      <c r="C3116" s="466">
        <v>6</v>
      </c>
      <c r="D3116" s="467" t="s">
        <v>2223</v>
      </c>
      <c r="E3116" s="466" t="s">
        <v>2523</v>
      </c>
      <c r="F3116" s="466" t="s">
        <v>1226</v>
      </c>
      <c r="G3116" s="465">
        <v>1</v>
      </c>
      <c r="H3116" s="465">
        <v>2</v>
      </c>
    </row>
    <row r="3117" spans="1:8" ht="13.8" thickBot="1">
      <c r="A3117" s="465" t="s">
        <v>8356</v>
      </c>
      <c r="B3117" s="465" t="s">
        <v>2622</v>
      </c>
      <c r="C3117" s="466">
        <v>6</v>
      </c>
      <c r="D3117" s="465"/>
      <c r="E3117" s="466" t="s">
        <v>2523</v>
      </c>
      <c r="F3117" s="466" t="s">
        <v>1226</v>
      </c>
      <c r="G3117" s="465"/>
      <c r="H3117" s="465">
        <v>1</v>
      </c>
    </row>
    <row r="3118" spans="1:8" ht="13.8" thickBot="1">
      <c r="A3118" s="465" t="s">
        <v>8357</v>
      </c>
      <c r="B3118" s="465" t="s">
        <v>2623</v>
      </c>
      <c r="C3118" s="466">
        <v>6</v>
      </c>
      <c r="D3118" s="465"/>
      <c r="E3118" s="466" t="s">
        <v>2523</v>
      </c>
      <c r="F3118" s="466" t="s">
        <v>1226</v>
      </c>
      <c r="G3118" s="465"/>
      <c r="H3118" s="465">
        <v>4</v>
      </c>
    </row>
    <row r="3119" spans="1:8" ht="13.8" thickBot="1">
      <c r="A3119" s="467" t="s">
        <v>8358</v>
      </c>
      <c r="B3119" s="465" t="s">
        <v>2624</v>
      </c>
      <c r="C3119" s="466">
        <v>6</v>
      </c>
      <c r="D3119" s="465"/>
      <c r="E3119" s="466" t="s">
        <v>2523</v>
      </c>
      <c r="F3119" s="466" t="s">
        <v>1226</v>
      </c>
      <c r="G3119" s="465"/>
      <c r="H3119" s="465">
        <v>3</v>
      </c>
    </row>
    <row r="3120" spans="1:8" ht="13.8" thickBot="1">
      <c r="A3120" s="465" t="s">
        <v>8359</v>
      </c>
      <c r="B3120" s="465" t="s">
        <v>2625</v>
      </c>
      <c r="C3120" s="466">
        <v>6</v>
      </c>
      <c r="D3120" s="467" t="s">
        <v>614</v>
      </c>
      <c r="E3120" s="466" t="s">
        <v>2523</v>
      </c>
      <c r="F3120" s="466" t="s">
        <v>1226</v>
      </c>
      <c r="G3120" s="465">
        <v>1</v>
      </c>
      <c r="H3120" s="465">
        <v>5</v>
      </c>
    </row>
    <row r="3121" spans="1:8" ht="13.8" thickBot="1">
      <c r="A3121" s="465" t="s">
        <v>8360</v>
      </c>
      <c r="B3121" s="465" t="s">
        <v>2595</v>
      </c>
      <c r="C3121" s="466">
        <v>6</v>
      </c>
      <c r="D3121" s="465"/>
      <c r="E3121" s="466" t="s">
        <v>2523</v>
      </c>
      <c r="F3121" s="466" t="s">
        <v>1226</v>
      </c>
      <c r="G3121" s="465"/>
      <c r="H3121" s="465">
        <v>1</v>
      </c>
    </row>
    <row r="3122" spans="1:8" ht="13.8" thickBot="1">
      <c r="A3122" s="465" t="s">
        <v>8361</v>
      </c>
      <c r="B3122" s="465" t="s">
        <v>1300</v>
      </c>
      <c r="C3122" s="466">
        <v>6</v>
      </c>
      <c r="D3122" s="467" t="s">
        <v>614</v>
      </c>
      <c r="E3122" s="466" t="s">
        <v>2523</v>
      </c>
      <c r="F3122" s="466" t="s">
        <v>1224</v>
      </c>
      <c r="G3122" s="465"/>
      <c r="H3122" s="465">
        <v>1</v>
      </c>
    </row>
    <row r="3123" spans="1:8" ht="13.8" thickBot="1">
      <c r="A3123" s="465" t="s">
        <v>8362</v>
      </c>
      <c r="B3123" s="465" t="s">
        <v>1300</v>
      </c>
      <c r="C3123" s="466">
        <v>6</v>
      </c>
      <c r="D3123" s="467" t="s">
        <v>614</v>
      </c>
      <c r="E3123" s="466" t="s">
        <v>2523</v>
      </c>
      <c r="F3123" s="466" t="s">
        <v>1224</v>
      </c>
      <c r="G3123" s="465"/>
      <c r="H3123" s="465">
        <v>2</v>
      </c>
    </row>
    <row r="3124" spans="1:8" ht="13.8" thickBot="1">
      <c r="A3124" s="467" t="s">
        <v>8363</v>
      </c>
      <c r="B3124" s="465" t="s">
        <v>2626</v>
      </c>
      <c r="C3124" s="466">
        <v>6</v>
      </c>
      <c r="D3124" s="467" t="s">
        <v>614</v>
      </c>
      <c r="E3124" s="466" t="s">
        <v>2523</v>
      </c>
      <c r="F3124" s="466" t="s">
        <v>1224</v>
      </c>
      <c r="G3124" s="465"/>
      <c r="H3124" s="465">
        <v>1</v>
      </c>
    </row>
    <row r="3125" spans="1:8" ht="13.8" thickBot="1">
      <c r="A3125" s="467" t="s">
        <v>8364</v>
      </c>
      <c r="B3125" s="465" t="s">
        <v>2627</v>
      </c>
      <c r="C3125" s="466">
        <v>6</v>
      </c>
      <c r="D3125" s="467" t="s">
        <v>2628</v>
      </c>
      <c r="E3125" s="466" t="s">
        <v>2523</v>
      </c>
      <c r="F3125" s="466" t="s">
        <v>1224</v>
      </c>
      <c r="G3125" s="465"/>
      <c r="H3125" s="465">
        <v>3</v>
      </c>
    </row>
    <row r="3126" spans="1:8" ht="13.8" thickBot="1">
      <c r="A3126" s="467" t="s">
        <v>8365</v>
      </c>
      <c r="B3126" s="465" t="s">
        <v>2610</v>
      </c>
      <c r="C3126" s="466">
        <v>6</v>
      </c>
      <c r="D3126" s="467" t="s">
        <v>614</v>
      </c>
      <c r="E3126" s="466" t="s">
        <v>2523</v>
      </c>
      <c r="F3126" s="466" t="s">
        <v>1224</v>
      </c>
      <c r="G3126" s="465">
        <v>2</v>
      </c>
      <c r="H3126" s="465">
        <v>5</v>
      </c>
    </row>
    <row r="3127" spans="1:8" ht="13.8" thickBot="1">
      <c r="A3127" s="465" t="s">
        <v>8366</v>
      </c>
      <c r="B3127" s="465" t="s">
        <v>2629</v>
      </c>
      <c r="C3127" s="466">
        <v>6</v>
      </c>
      <c r="D3127" s="465"/>
      <c r="E3127" s="466" t="s">
        <v>2523</v>
      </c>
      <c r="F3127" s="466" t="s">
        <v>1224</v>
      </c>
      <c r="G3127" s="465"/>
      <c r="H3127" s="465">
        <v>2</v>
      </c>
    </row>
    <row r="3128" spans="1:8" ht="13.8" thickBot="1">
      <c r="A3128" s="467" t="s">
        <v>8367</v>
      </c>
      <c r="B3128" s="465" t="s">
        <v>1313</v>
      </c>
      <c r="C3128" s="466">
        <v>6</v>
      </c>
      <c r="D3128" s="467" t="s">
        <v>614</v>
      </c>
      <c r="E3128" s="466" t="s">
        <v>2523</v>
      </c>
      <c r="F3128" s="466" t="s">
        <v>1224</v>
      </c>
      <c r="G3128" s="465"/>
      <c r="H3128" s="465">
        <v>5</v>
      </c>
    </row>
    <row r="3129" spans="1:8" ht="13.8" thickBot="1">
      <c r="A3129" s="467" t="s">
        <v>8368</v>
      </c>
      <c r="B3129" s="465" t="s">
        <v>2630</v>
      </c>
      <c r="C3129" s="466">
        <v>6</v>
      </c>
      <c r="D3129" s="467" t="s">
        <v>614</v>
      </c>
      <c r="E3129" s="466" t="s">
        <v>2523</v>
      </c>
      <c r="F3129" s="466" t="s">
        <v>1224</v>
      </c>
      <c r="G3129" s="465"/>
      <c r="H3129" s="465">
        <v>2</v>
      </c>
    </row>
    <row r="3130" spans="1:8" ht="13.8" thickBot="1">
      <c r="A3130" s="467" t="s">
        <v>8369</v>
      </c>
      <c r="B3130" s="465" t="s">
        <v>2631</v>
      </c>
      <c r="C3130" s="466">
        <v>6</v>
      </c>
      <c r="D3130" s="465"/>
      <c r="E3130" s="466" t="s">
        <v>2523</v>
      </c>
      <c r="F3130" s="466" t="s">
        <v>1224</v>
      </c>
      <c r="G3130" s="465"/>
      <c r="H3130" s="465">
        <v>2</v>
      </c>
    </row>
    <row r="3131" spans="1:8" ht="13.8" thickBot="1">
      <c r="A3131" s="465" t="s">
        <v>8370</v>
      </c>
      <c r="B3131" s="465" t="s">
        <v>1300</v>
      </c>
      <c r="C3131" s="466">
        <v>6</v>
      </c>
      <c r="D3131" s="465"/>
      <c r="E3131" s="466" t="s">
        <v>2523</v>
      </c>
      <c r="F3131" s="466" t="s">
        <v>1220</v>
      </c>
      <c r="G3131" s="465"/>
      <c r="H3131" s="465">
        <v>1</v>
      </c>
    </row>
    <row r="3132" spans="1:8" ht="13.8" thickBot="1">
      <c r="A3132" s="467" t="s">
        <v>8371</v>
      </c>
      <c r="B3132" s="465" t="s">
        <v>2632</v>
      </c>
      <c r="C3132" s="466">
        <v>6</v>
      </c>
      <c r="D3132" s="467" t="s">
        <v>614</v>
      </c>
      <c r="E3132" s="466" t="s">
        <v>2523</v>
      </c>
      <c r="F3132" s="466" t="s">
        <v>1220</v>
      </c>
      <c r="G3132" s="465"/>
      <c r="H3132" s="465">
        <v>1</v>
      </c>
    </row>
    <row r="3133" spans="1:8" ht="13.8" thickBot="1">
      <c r="A3133" s="467" t="s">
        <v>8372</v>
      </c>
      <c r="B3133" s="465" t="s">
        <v>2633</v>
      </c>
      <c r="C3133" s="466">
        <v>6</v>
      </c>
      <c r="D3133" s="465"/>
      <c r="E3133" s="466" t="s">
        <v>2523</v>
      </c>
      <c r="F3133" s="466" t="s">
        <v>1220</v>
      </c>
      <c r="G3133" s="465"/>
      <c r="H3133" s="465">
        <v>3</v>
      </c>
    </row>
    <row r="3134" spans="1:8" ht="13.8" thickBot="1">
      <c r="A3134" s="465" t="s">
        <v>8373</v>
      </c>
      <c r="B3134" s="465" t="s">
        <v>1300</v>
      </c>
      <c r="C3134" s="466">
        <v>6</v>
      </c>
      <c r="D3134" s="465"/>
      <c r="E3134" s="466" t="s">
        <v>2523</v>
      </c>
      <c r="F3134" s="466"/>
      <c r="G3134" s="465"/>
      <c r="H3134" s="465">
        <v>2</v>
      </c>
    </row>
    <row r="3135" spans="1:8" ht="13.8" thickBot="1">
      <c r="A3135" s="467" t="s">
        <v>8374</v>
      </c>
      <c r="B3135" s="465" t="s">
        <v>1300</v>
      </c>
      <c r="C3135" s="466">
        <v>6</v>
      </c>
      <c r="D3135" s="465"/>
      <c r="E3135" s="466" t="s">
        <v>2523</v>
      </c>
      <c r="F3135" s="466"/>
      <c r="G3135" s="465"/>
      <c r="H3135" s="465">
        <v>1</v>
      </c>
    </row>
    <row r="3136" spans="1:8" ht="13.8" thickBot="1">
      <c r="A3136" s="465" t="s">
        <v>8375</v>
      </c>
      <c r="B3136" s="465" t="s">
        <v>1300</v>
      </c>
      <c r="C3136" s="466">
        <v>6</v>
      </c>
      <c r="D3136" s="465"/>
      <c r="E3136" s="466" t="s">
        <v>2523</v>
      </c>
      <c r="F3136" s="466"/>
      <c r="G3136" s="465"/>
      <c r="H3136" s="465">
        <v>1</v>
      </c>
    </row>
    <row r="3137" spans="1:8" ht="13.8" thickBot="1">
      <c r="A3137" s="465" t="s">
        <v>8376</v>
      </c>
      <c r="B3137" s="465" t="s">
        <v>1300</v>
      </c>
      <c r="C3137" s="466">
        <v>6</v>
      </c>
      <c r="D3137" s="465"/>
      <c r="E3137" s="466" t="s">
        <v>2523</v>
      </c>
      <c r="F3137" s="466"/>
      <c r="G3137" s="465"/>
      <c r="H3137" s="465">
        <v>3</v>
      </c>
    </row>
    <row r="3138" spans="1:8" ht="13.8" thickBot="1">
      <c r="A3138" s="467" t="s">
        <v>8377</v>
      </c>
      <c r="B3138" s="465" t="s">
        <v>1300</v>
      </c>
      <c r="C3138" s="466">
        <v>6</v>
      </c>
      <c r="D3138" s="465"/>
      <c r="E3138" s="466" t="s">
        <v>2523</v>
      </c>
      <c r="F3138" s="466"/>
      <c r="G3138" s="465"/>
      <c r="H3138" s="465">
        <v>1</v>
      </c>
    </row>
    <row r="3139" spans="1:8" ht="13.8" thickBot="1">
      <c r="A3139" s="465" t="s">
        <v>8378</v>
      </c>
      <c r="B3139" s="465" t="s">
        <v>1300</v>
      </c>
      <c r="C3139" s="466">
        <v>6</v>
      </c>
      <c r="D3139" s="465"/>
      <c r="E3139" s="466" t="s">
        <v>2523</v>
      </c>
      <c r="F3139" s="466"/>
      <c r="G3139" s="465"/>
      <c r="H3139" s="465">
        <v>1</v>
      </c>
    </row>
    <row r="3140" spans="1:8" ht="13.8" thickBot="1">
      <c r="A3140" s="465" t="s">
        <v>8379</v>
      </c>
      <c r="B3140" s="465" t="s">
        <v>2634</v>
      </c>
      <c r="C3140" s="466">
        <v>6</v>
      </c>
      <c r="D3140" s="465"/>
      <c r="E3140" s="466" t="s">
        <v>2523</v>
      </c>
      <c r="F3140" s="466"/>
      <c r="G3140" s="465"/>
      <c r="H3140" s="465">
        <v>2</v>
      </c>
    </row>
    <row r="3141" spans="1:8" ht="13.8" thickBot="1">
      <c r="A3141" s="465" t="s">
        <v>8380</v>
      </c>
      <c r="B3141" s="465" t="s">
        <v>2635</v>
      </c>
      <c r="C3141" s="466">
        <v>6</v>
      </c>
      <c r="D3141" s="465"/>
      <c r="E3141" s="466" t="s">
        <v>2523</v>
      </c>
      <c r="F3141" s="466"/>
      <c r="G3141" s="465"/>
      <c r="H3141" s="465">
        <v>1</v>
      </c>
    </row>
    <row r="3142" spans="1:8" ht="13.8" thickBot="1">
      <c r="A3142" s="465" t="s">
        <v>8381</v>
      </c>
      <c r="B3142" s="465" t="s">
        <v>2636</v>
      </c>
      <c r="C3142" s="466">
        <v>6</v>
      </c>
      <c r="D3142" s="467" t="s">
        <v>614</v>
      </c>
      <c r="E3142" s="466" t="s">
        <v>2523</v>
      </c>
      <c r="F3142" s="466"/>
      <c r="G3142" s="465"/>
      <c r="H3142" s="465"/>
    </row>
    <row r="3143" spans="1:8" ht="13.8" thickBot="1">
      <c r="A3143" s="465" t="s">
        <v>8382</v>
      </c>
      <c r="B3143" s="465" t="s">
        <v>2637</v>
      </c>
      <c r="C3143" s="466">
        <v>6</v>
      </c>
      <c r="D3143" s="465"/>
      <c r="E3143" s="466" t="s">
        <v>2523</v>
      </c>
      <c r="F3143" s="466"/>
      <c r="G3143" s="465"/>
      <c r="H3143" s="465">
        <v>1</v>
      </c>
    </row>
    <row r="3144" spans="1:8" ht="13.8" thickBot="1">
      <c r="A3144" s="465" t="s">
        <v>8383</v>
      </c>
      <c r="B3144" s="465" t="s">
        <v>2638</v>
      </c>
      <c r="C3144" s="466">
        <v>6</v>
      </c>
      <c r="D3144" s="465"/>
      <c r="E3144" s="466" t="s">
        <v>2523</v>
      </c>
      <c r="F3144" s="466"/>
      <c r="G3144" s="465"/>
      <c r="H3144" s="465">
        <v>4</v>
      </c>
    </row>
    <row r="3145" spans="1:8" ht="13.8" thickBot="1">
      <c r="A3145" s="465" t="s">
        <v>668</v>
      </c>
      <c r="B3145" s="465" t="s">
        <v>2639</v>
      </c>
      <c r="C3145" s="466">
        <v>6</v>
      </c>
      <c r="D3145" s="465"/>
      <c r="E3145" s="466" t="s">
        <v>2523</v>
      </c>
      <c r="F3145" s="466"/>
      <c r="G3145" s="465"/>
      <c r="H3145" s="465">
        <v>2</v>
      </c>
    </row>
    <row r="3146" spans="1:8" ht="13.8" thickBot="1">
      <c r="A3146" s="465" t="s">
        <v>8384</v>
      </c>
      <c r="B3146" s="465" t="s">
        <v>1328</v>
      </c>
      <c r="C3146" s="466">
        <v>6</v>
      </c>
      <c r="D3146" s="465"/>
      <c r="E3146" s="466" t="s">
        <v>2523</v>
      </c>
      <c r="F3146" s="466"/>
      <c r="G3146" s="465"/>
      <c r="H3146" s="465">
        <v>1</v>
      </c>
    </row>
    <row r="3147" spans="1:8" ht="13.8" thickBot="1">
      <c r="A3147" s="467" t="s">
        <v>8385</v>
      </c>
      <c r="B3147" s="465" t="s">
        <v>2640</v>
      </c>
      <c r="C3147" s="466">
        <v>6</v>
      </c>
      <c r="D3147" s="465"/>
      <c r="E3147" s="466" t="s">
        <v>2523</v>
      </c>
      <c r="F3147" s="466"/>
      <c r="G3147" s="465"/>
      <c r="H3147" s="465">
        <v>1</v>
      </c>
    </row>
    <row r="3148" spans="1:8" ht="13.8" thickBot="1">
      <c r="A3148" s="465" t="s">
        <v>1006</v>
      </c>
      <c r="B3148" s="465" t="s">
        <v>2641</v>
      </c>
      <c r="C3148" s="466">
        <v>6</v>
      </c>
      <c r="D3148" s="465"/>
      <c r="E3148" s="466" t="s">
        <v>2523</v>
      </c>
      <c r="F3148" s="466"/>
      <c r="G3148" s="465"/>
      <c r="H3148" s="465">
        <v>1</v>
      </c>
    </row>
    <row r="3149" spans="1:8" ht="13.8" thickBot="1">
      <c r="A3149" s="465" t="s">
        <v>8386</v>
      </c>
      <c r="B3149" s="465" t="s">
        <v>1302</v>
      </c>
      <c r="C3149" s="466">
        <v>6</v>
      </c>
      <c r="D3149" s="465"/>
      <c r="E3149" s="466" t="s">
        <v>2523</v>
      </c>
      <c r="F3149" s="466"/>
      <c r="G3149" s="465"/>
      <c r="H3149" s="465">
        <v>1</v>
      </c>
    </row>
    <row r="3150" spans="1:8" ht="13.8" thickBot="1">
      <c r="A3150" s="467" t="s">
        <v>8387</v>
      </c>
      <c r="B3150" s="465" t="s">
        <v>2642</v>
      </c>
      <c r="C3150" s="466">
        <v>6</v>
      </c>
      <c r="D3150" s="465"/>
      <c r="E3150" s="466" t="s">
        <v>2523</v>
      </c>
      <c r="F3150" s="466"/>
      <c r="G3150" s="465"/>
      <c r="H3150" s="465">
        <v>1</v>
      </c>
    </row>
    <row r="3151" spans="1:8" ht="13.8" thickBot="1">
      <c r="A3151" s="467" t="s">
        <v>8388</v>
      </c>
      <c r="B3151" s="465" t="s">
        <v>2643</v>
      </c>
      <c r="C3151" s="466">
        <v>6</v>
      </c>
      <c r="D3151" s="465"/>
      <c r="E3151" s="466" t="s">
        <v>2523</v>
      </c>
      <c r="F3151" s="466"/>
      <c r="G3151" s="465"/>
      <c r="H3151" s="465">
        <v>1</v>
      </c>
    </row>
    <row r="3152" spans="1:8" ht="13.8" thickBot="1">
      <c r="A3152" s="465" t="s">
        <v>8389</v>
      </c>
      <c r="B3152" s="465" t="s">
        <v>2600</v>
      </c>
      <c r="C3152" s="466">
        <v>6</v>
      </c>
      <c r="D3152" s="467" t="s">
        <v>614</v>
      </c>
      <c r="E3152" s="466" t="s">
        <v>2523</v>
      </c>
      <c r="F3152" s="466"/>
      <c r="G3152" s="465"/>
      <c r="H3152" s="465">
        <v>1</v>
      </c>
    </row>
    <row r="3153" spans="1:8" ht="13.8" thickBot="1">
      <c r="A3153" s="465" t="s">
        <v>8390</v>
      </c>
      <c r="B3153" s="465" t="s">
        <v>2727</v>
      </c>
      <c r="C3153" s="466">
        <v>6</v>
      </c>
      <c r="D3153" s="467" t="s">
        <v>614</v>
      </c>
      <c r="E3153" s="466" t="s">
        <v>2717</v>
      </c>
      <c r="F3153" s="466" t="s">
        <v>1224</v>
      </c>
      <c r="G3153" s="465"/>
      <c r="H3153" s="465">
        <v>3</v>
      </c>
    </row>
    <row r="3154" spans="1:8" ht="13.8" thickBot="1">
      <c r="A3154" s="467" t="s">
        <v>8391</v>
      </c>
      <c r="B3154" s="465" t="s">
        <v>2728</v>
      </c>
      <c r="C3154" s="466">
        <v>6</v>
      </c>
      <c r="D3154" s="465"/>
      <c r="E3154" s="466" t="s">
        <v>2717</v>
      </c>
      <c r="F3154" s="466"/>
      <c r="G3154" s="465"/>
      <c r="H3154" s="465">
        <v>3</v>
      </c>
    </row>
    <row r="3155" spans="1:8" ht="13.8" thickBot="1">
      <c r="A3155" s="467" t="s">
        <v>8392</v>
      </c>
      <c r="B3155" s="465" t="s">
        <v>2739</v>
      </c>
      <c r="C3155" s="466">
        <v>6</v>
      </c>
      <c r="D3155" s="465"/>
      <c r="E3155" s="466" t="s">
        <v>2733</v>
      </c>
      <c r="F3155" s="466" t="s">
        <v>1224</v>
      </c>
      <c r="G3155" s="465"/>
      <c r="H3155" s="465">
        <v>3</v>
      </c>
    </row>
    <row r="3156" spans="1:8" ht="13.8" thickBot="1">
      <c r="A3156" s="467" t="s">
        <v>8393</v>
      </c>
      <c r="B3156" s="465" t="s">
        <v>2739</v>
      </c>
      <c r="C3156" s="466">
        <v>6</v>
      </c>
      <c r="D3156" s="467" t="s">
        <v>614</v>
      </c>
      <c r="E3156" s="466" t="s">
        <v>2733</v>
      </c>
      <c r="F3156" s="466"/>
      <c r="G3156" s="465"/>
      <c r="H3156" s="465">
        <v>1</v>
      </c>
    </row>
    <row r="3157" spans="1:8" ht="13.8" thickBot="1">
      <c r="A3157" s="465" t="s">
        <v>8394</v>
      </c>
      <c r="B3157" s="465" t="s">
        <v>2745</v>
      </c>
      <c r="C3157" s="466">
        <v>6</v>
      </c>
      <c r="D3157" s="467" t="s">
        <v>614</v>
      </c>
      <c r="E3157" s="466" t="s">
        <v>2744</v>
      </c>
      <c r="F3157" s="466" t="s">
        <v>2417</v>
      </c>
      <c r="G3157" s="465"/>
      <c r="H3157" s="465">
        <v>11</v>
      </c>
    </row>
    <row r="3158" spans="1:8" ht="13.8" thickBot="1">
      <c r="A3158" s="467" t="s">
        <v>8228</v>
      </c>
      <c r="B3158" s="465" t="s">
        <v>1945</v>
      </c>
      <c r="C3158" s="466">
        <v>6</v>
      </c>
      <c r="D3158" s="465"/>
      <c r="E3158" s="466" t="s">
        <v>1922</v>
      </c>
      <c r="F3158" s="466" t="s">
        <v>1224</v>
      </c>
      <c r="G3158" s="465"/>
      <c r="H3158" s="465">
        <v>2</v>
      </c>
    </row>
    <row r="3159" spans="1:8" ht="13.8" thickBot="1">
      <c r="A3159" s="467" t="s">
        <v>8229</v>
      </c>
      <c r="B3159" s="465" t="s">
        <v>1946</v>
      </c>
      <c r="C3159" s="466">
        <v>6</v>
      </c>
      <c r="D3159" s="465"/>
      <c r="E3159" s="466" t="s">
        <v>1922</v>
      </c>
      <c r="F3159" s="466" t="s">
        <v>1220</v>
      </c>
      <c r="G3159" s="465">
        <v>1</v>
      </c>
      <c r="H3159" s="465">
        <v>7</v>
      </c>
    </row>
    <row r="3160" spans="1:8" ht="13.8" thickBot="1">
      <c r="A3160" s="467" t="s">
        <v>8230</v>
      </c>
      <c r="B3160" s="465" t="s">
        <v>1252</v>
      </c>
      <c r="C3160" s="466">
        <v>6</v>
      </c>
      <c r="D3160" s="465"/>
      <c r="E3160" s="466" t="s">
        <v>1922</v>
      </c>
      <c r="F3160" s="466"/>
      <c r="G3160" s="465"/>
      <c r="H3160" s="465">
        <v>1</v>
      </c>
    </row>
    <row r="3161" spans="1:8" ht="13.8" thickBot="1">
      <c r="A3161" s="465" t="s">
        <v>8231</v>
      </c>
      <c r="B3161" s="465" t="s">
        <v>1252</v>
      </c>
      <c r="C3161" s="466">
        <v>6</v>
      </c>
      <c r="D3161" s="465"/>
      <c r="E3161" s="466" t="s">
        <v>1922</v>
      </c>
      <c r="F3161" s="466"/>
      <c r="G3161" s="465"/>
      <c r="H3161" s="465">
        <v>4</v>
      </c>
    </row>
    <row r="3162" spans="1:8" ht="13.8" thickBot="1">
      <c r="A3162" s="465" t="s">
        <v>8232</v>
      </c>
      <c r="B3162" s="465" t="s">
        <v>1947</v>
      </c>
      <c r="C3162" s="466">
        <v>6</v>
      </c>
      <c r="D3162" s="465"/>
      <c r="E3162" s="466" t="s">
        <v>1922</v>
      </c>
      <c r="F3162" s="466"/>
      <c r="G3162" s="465">
        <v>1</v>
      </c>
      <c r="H3162" s="465">
        <v>2</v>
      </c>
    </row>
    <row r="3163" spans="1:8" ht="13.8" thickBot="1">
      <c r="A3163" s="467" t="s">
        <v>8233</v>
      </c>
      <c r="B3163" s="465" t="s">
        <v>1930</v>
      </c>
      <c r="C3163" s="466">
        <v>6</v>
      </c>
      <c r="D3163" s="465"/>
      <c r="E3163" s="466" t="s">
        <v>1922</v>
      </c>
      <c r="F3163" s="466"/>
      <c r="G3163" s="465"/>
      <c r="H3163" s="465">
        <v>3</v>
      </c>
    </row>
    <row r="3164" spans="1:8" ht="13.8" thickBot="1">
      <c r="A3164" s="467" t="s">
        <v>8234</v>
      </c>
      <c r="B3164" s="465" t="s">
        <v>1948</v>
      </c>
      <c r="C3164" s="466">
        <v>6</v>
      </c>
      <c r="D3164" s="465"/>
      <c r="E3164" s="466" t="s">
        <v>1922</v>
      </c>
      <c r="F3164" s="466"/>
      <c r="G3164" s="465"/>
      <c r="H3164" s="465">
        <v>3</v>
      </c>
    </row>
    <row r="3165" spans="1:8" ht="13.8" thickBot="1">
      <c r="A3165" s="465" t="s">
        <v>1093</v>
      </c>
      <c r="B3165" s="465" t="s">
        <v>1949</v>
      </c>
      <c r="C3165" s="466">
        <v>6</v>
      </c>
      <c r="D3165" s="465"/>
      <c r="E3165" s="466" t="s">
        <v>1922</v>
      </c>
      <c r="F3165" s="466"/>
      <c r="G3165" s="465"/>
      <c r="H3165" s="465">
        <v>1</v>
      </c>
    </row>
    <row r="3166" spans="1:8" ht="13.8" thickBot="1">
      <c r="A3166" s="467" t="s">
        <v>8235</v>
      </c>
      <c r="B3166" s="465" t="s">
        <v>1950</v>
      </c>
      <c r="C3166" s="466">
        <v>6</v>
      </c>
      <c r="D3166" s="465"/>
      <c r="E3166" s="466" t="s">
        <v>1922</v>
      </c>
      <c r="F3166" s="466"/>
      <c r="G3166" s="465"/>
      <c r="H3166" s="465">
        <v>4</v>
      </c>
    </row>
    <row r="3167" spans="1:8" ht="13.8" thickBot="1">
      <c r="A3167" s="467" t="s">
        <v>8236</v>
      </c>
      <c r="B3167" s="465" t="s">
        <v>1951</v>
      </c>
      <c r="C3167" s="466">
        <v>6</v>
      </c>
      <c r="D3167" s="465"/>
      <c r="E3167" s="466" t="s">
        <v>1922</v>
      </c>
      <c r="F3167" s="466"/>
      <c r="G3167" s="465"/>
      <c r="H3167" s="465">
        <v>2</v>
      </c>
    </row>
    <row r="3168" spans="1:8" ht="13.8" thickBot="1">
      <c r="A3168" s="467" t="s">
        <v>8237</v>
      </c>
      <c r="B3168" s="465" t="s">
        <v>1952</v>
      </c>
      <c r="C3168" s="466">
        <v>6</v>
      </c>
      <c r="D3168" s="465"/>
      <c r="E3168" s="466" t="s">
        <v>1922</v>
      </c>
      <c r="F3168" s="466"/>
      <c r="G3168" s="465"/>
      <c r="H3168" s="465">
        <v>2</v>
      </c>
    </row>
    <row r="3169" spans="1:8" ht="13.8" thickBot="1">
      <c r="A3169" s="467" t="s">
        <v>8238</v>
      </c>
      <c r="B3169" s="465" t="s">
        <v>1953</v>
      </c>
      <c r="C3169" s="466">
        <v>6</v>
      </c>
      <c r="D3169" s="465"/>
      <c r="E3169" s="466" t="s">
        <v>1922</v>
      </c>
      <c r="F3169" s="466"/>
      <c r="G3169" s="465"/>
      <c r="H3169" s="465">
        <v>5</v>
      </c>
    </row>
    <row r="3170" spans="1:8" ht="13.8" thickBot="1">
      <c r="A3170" s="467" t="s">
        <v>8239</v>
      </c>
      <c r="B3170" s="465" t="s">
        <v>1261</v>
      </c>
      <c r="C3170" s="466">
        <v>6</v>
      </c>
      <c r="D3170" s="465"/>
      <c r="E3170" s="466" t="s">
        <v>1922</v>
      </c>
      <c r="F3170" s="466"/>
      <c r="G3170" s="465"/>
      <c r="H3170" s="465">
        <v>3</v>
      </c>
    </row>
    <row r="3171" spans="1:8" ht="13.8" thickBot="1">
      <c r="A3171" s="465" t="s">
        <v>8240</v>
      </c>
      <c r="B3171" s="465" t="s">
        <v>1954</v>
      </c>
      <c r="C3171" s="466">
        <v>6</v>
      </c>
      <c r="D3171" s="465"/>
      <c r="E3171" s="466" t="s">
        <v>1922</v>
      </c>
      <c r="F3171" s="466"/>
      <c r="G3171" s="465"/>
      <c r="H3171" s="465">
        <v>1</v>
      </c>
    </row>
    <row r="3172" spans="1:8" ht="13.8" thickBot="1">
      <c r="A3172" s="467" t="s">
        <v>8241</v>
      </c>
      <c r="B3172" s="465" t="s">
        <v>1954</v>
      </c>
      <c r="C3172" s="466">
        <v>6</v>
      </c>
      <c r="D3172" s="465"/>
      <c r="E3172" s="466" t="s">
        <v>1922</v>
      </c>
      <c r="F3172" s="466"/>
      <c r="G3172" s="465"/>
      <c r="H3172" s="465">
        <v>1</v>
      </c>
    </row>
    <row r="3173" spans="1:8" ht="13.8" thickBot="1">
      <c r="A3173" s="465" t="s">
        <v>8395</v>
      </c>
      <c r="B3173" s="465" t="s">
        <v>2766</v>
      </c>
      <c r="C3173" s="466">
        <v>6</v>
      </c>
      <c r="D3173" s="465"/>
      <c r="E3173" s="466" t="s">
        <v>2764</v>
      </c>
      <c r="F3173" s="466" t="s">
        <v>1251</v>
      </c>
      <c r="G3173" s="465"/>
      <c r="H3173" s="465">
        <v>23</v>
      </c>
    </row>
    <row r="3174" spans="1:8" ht="13.8" thickBot="1">
      <c r="A3174" s="465" t="s">
        <v>8396</v>
      </c>
      <c r="B3174" s="465" t="s">
        <v>2767</v>
      </c>
      <c r="C3174" s="466">
        <v>6</v>
      </c>
      <c r="D3174" s="467" t="s">
        <v>2768</v>
      </c>
      <c r="E3174" s="466" t="s">
        <v>2764</v>
      </c>
      <c r="F3174" s="466" t="s">
        <v>1226</v>
      </c>
      <c r="G3174" s="465"/>
      <c r="H3174" s="465">
        <v>4</v>
      </c>
    </row>
    <row r="3175" spans="1:8" ht="13.8" thickBot="1">
      <c r="A3175" s="465" t="s">
        <v>8397</v>
      </c>
      <c r="B3175" s="465" t="s">
        <v>2769</v>
      </c>
      <c r="C3175" s="466">
        <v>6</v>
      </c>
      <c r="D3175" s="467" t="s">
        <v>614</v>
      </c>
      <c r="E3175" s="466" t="s">
        <v>2764</v>
      </c>
      <c r="F3175" s="466" t="s">
        <v>1224</v>
      </c>
      <c r="G3175" s="465">
        <v>1</v>
      </c>
      <c r="H3175" s="465">
        <v>4</v>
      </c>
    </row>
    <row r="3176" spans="1:8" ht="13.8" thickBot="1">
      <c r="A3176" s="465" t="s">
        <v>8398</v>
      </c>
      <c r="B3176" s="465" t="s">
        <v>2770</v>
      </c>
      <c r="C3176" s="466">
        <v>6</v>
      </c>
      <c r="D3176" s="465"/>
      <c r="E3176" s="466" t="s">
        <v>2764</v>
      </c>
      <c r="F3176" s="466" t="s">
        <v>1220</v>
      </c>
      <c r="G3176" s="465"/>
      <c r="H3176" s="465">
        <v>1</v>
      </c>
    </row>
    <row r="3177" spans="1:8" ht="13.8" thickBot="1">
      <c r="A3177" s="465" t="s">
        <v>8399</v>
      </c>
      <c r="B3177" s="465" t="s">
        <v>2770</v>
      </c>
      <c r="C3177" s="466">
        <v>6</v>
      </c>
      <c r="D3177" s="465"/>
      <c r="E3177" s="466" t="s">
        <v>2764</v>
      </c>
      <c r="F3177" s="466" t="s">
        <v>1220</v>
      </c>
      <c r="G3177" s="465"/>
      <c r="H3177" s="465">
        <v>1</v>
      </c>
    </row>
    <row r="3178" spans="1:8" ht="13.8" thickBot="1">
      <c r="A3178" s="465" t="s">
        <v>8400</v>
      </c>
      <c r="B3178" s="465" t="s">
        <v>1331</v>
      </c>
      <c r="C3178" s="466">
        <v>6</v>
      </c>
      <c r="D3178" s="465"/>
      <c r="E3178" s="466" t="s">
        <v>2797</v>
      </c>
      <c r="F3178" s="466" t="s">
        <v>1226</v>
      </c>
      <c r="G3178" s="465"/>
      <c r="H3178" s="465">
        <v>1</v>
      </c>
    </row>
    <row r="3179" spans="1:8" ht="13.8" thickBot="1">
      <c r="A3179" s="465" t="s">
        <v>8401</v>
      </c>
      <c r="B3179" s="465" t="s">
        <v>2820</v>
      </c>
      <c r="C3179" s="466">
        <v>6</v>
      </c>
      <c r="D3179" s="465"/>
      <c r="E3179" s="466" t="s">
        <v>2797</v>
      </c>
      <c r="F3179" s="466" t="s">
        <v>1226</v>
      </c>
      <c r="G3179" s="465"/>
      <c r="H3179" s="465">
        <v>5</v>
      </c>
    </row>
    <row r="3180" spans="1:8" ht="13.8" thickBot="1">
      <c r="A3180" s="467" t="s">
        <v>8402</v>
      </c>
      <c r="B3180" s="465" t="s">
        <v>1331</v>
      </c>
      <c r="C3180" s="466">
        <v>6</v>
      </c>
      <c r="D3180" s="465"/>
      <c r="E3180" s="466" t="s">
        <v>2797</v>
      </c>
      <c r="F3180" s="466" t="s">
        <v>1224</v>
      </c>
      <c r="G3180" s="465"/>
      <c r="H3180" s="465">
        <v>3</v>
      </c>
    </row>
    <row r="3181" spans="1:8" ht="13.8" thickBot="1">
      <c r="A3181" s="465" t="s">
        <v>8403</v>
      </c>
      <c r="B3181" s="465" t="s">
        <v>2807</v>
      </c>
      <c r="C3181" s="466">
        <v>6</v>
      </c>
      <c r="D3181" s="467" t="s">
        <v>614</v>
      </c>
      <c r="E3181" s="466" t="s">
        <v>2797</v>
      </c>
      <c r="F3181" s="466" t="s">
        <v>1224</v>
      </c>
      <c r="G3181" s="465"/>
      <c r="H3181" s="465">
        <v>5</v>
      </c>
    </row>
    <row r="3182" spans="1:8" ht="13.8" thickBot="1">
      <c r="A3182" s="467" t="s">
        <v>8404</v>
      </c>
      <c r="B3182" s="465" t="s">
        <v>2821</v>
      </c>
      <c r="C3182" s="466">
        <v>6</v>
      </c>
      <c r="D3182" s="465"/>
      <c r="E3182" s="466" t="s">
        <v>2797</v>
      </c>
      <c r="F3182" s="466" t="s">
        <v>1224</v>
      </c>
      <c r="G3182" s="465"/>
      <c r="H3182" s="465">
        <v>1</v>
      </c>
    </row>
    <row r="3183" spans="1:8" ht="13.8" thickBot="1">
      <c r="A3183" s="465" t="s">
        <v>8405</v>
      </c>
      <c r="B3183" s="465" t="s">
        <v>1331</v>
      </c>
      <c r="C3183" s="466">
        <v>6</v>
      </c>
      <c r="D3183" s="465"/>
      <c r="E3183" s="466" t="s">
        <v>2797</v>
      </c>
      <c r="F3183" s="466" t="s">
        <v>1220</v>
      </c>
      <c r="G3183" s="465"/>
      <c r="H3183" s="465">
        <v>3</v>
      </c>
    </row>
    <row r="3184" spans="1:8" ht="13.8" thickBot="1">
      <c r="A3184" s="465" t="s">
        <v>8406</v>
      </c>
      <c r="B3184" s="465" t="s">
        <v>1331</v>
      </c>
      <c r="C3184" s="466">
        <v>6</v>
      </c>
      <c r="D3184" s="465"/>
      <c r="E3184" s="466" t="s">
        <v>2797</v>
      </c>
      <c r="F3184" s="466"/>
      <c r="G3184" s="465"/>
      <c r="H3184" s="465">
        <v>1</v>
      </c>
    </row>
    <row r="3185" spans="1:8" ht="13.8" thickBot="1">
      <c r="A3185" s="465" t="s">
        <v>8407</v>
      </c>
      <c r="B3185" s="465" t="s">
        <v>1331</v>
      </c>
      <c r="C3185" s="466">
        <v>6</v>
      </c>
      <c r="D3185" s="467" t="s">
        <v>614</v>
      </c>
      <c r="E3185" s="466" t="s">
        <v>2797</v>
      </c>
      <c r="F3185" s="466"/>
      <c r="G3185" s="465"/>
      <c r="H3185" s="465">
        <v>2</v>
      </c>
    </row>
    <row r="3186" spans="1:8" ht="13.8" thickBot="1">
      <c r="A3186" s="467" t="s">
        <v>8408</v>
      </c>
      <c r="B3186" s="465" t="s">
        <v>1331</v>
      </c>
      <c r="C3186" s="466">
        <v>6</v>
      </c>
      <c r="D3186" s="467" t="s">
        <v>614</v>
      </c>
      <c r="E3186" s="466" t="s">
        <v>2797</v>
      </c>
      <c r="F3186" s="466"/>
      <c r="G3186" s="465"/>
      <c r="H3186" s="465">
        <v>2</v>
      </c>
    </row>
    <row r="3187" spans="1:8" ht="13.8" thickBot="1">
      <c r="A3187" s="467" t="s">
        <v>8409</v>
      </c>
      <c r="B3187" s="465" t="s">
        <v>2822</v>
      </c>
      <c r="C3187" s="466">
        <v>6</v>
      </c>
      <c r="D3187" s="465"/>
      <c r="E3187" s="466" t="s">
        <v>2797</v>
      </c>
      <c r="F3187" s="466"/>
      <c r="G3187" s="465"/>
      <c r="H3187" s="465"/>
    </row>
    <row r="3188" spans="1:8" ht="13.8" thickBot="1">
      <c r="A3188" s="467" t="s">
        <v>8410</v>
      </c>
      <c r="B3188" s="465" t="s">
        <v>2823</v>
      </c>
      <c r="C3188" s="466">
        <v>6</v>
      </c>
      <c r="D3188" s="465"/>
      <c r="E3188" s="466" t="s">
        <v>2797</v>
      </c>
      <c r="F3188" s="466"/>
      <c r="G3188" s="465"/>
      <c r="H3188" s="465">
        <v>3</v>
      </c>
    </row>
    <row r="3189" spans="1:8" ht="13.8" thickBot="1">
      <c r="A3189" s="467" t="s">
        <v>8411</v>
      </c>
      <c r="B3189" s="465" t="s">
        <v>1335</v>
      </c>
      <c r="C3189" s="466">
        <v>6</v>
      </c>
      <c r="D3189" s="467" t="s">
        <v>614</v>
      </c>
      <c r="E3189" s="466" t="s">
        <v>2797</v>
      </c>
      <c r="F3189" s="466"/>
      <c r="G3189" s="465">
        <v>4</v>
      </c>
      <c r="H3189" s="465">
        <v>20</v>
      </c>
    </row>
    <row r="3190" spans="1:8" ht="13.8" thickBot="1">
      <c r="A3190" s="467" t="s">
        <v>8412</v>
      </c>
      <c r="B3190" s="465" t="s">
        <v>2824</v>
      </c>
      <c r="C3190" s="466">
        <v>6</v>
      </c>
      <c r="D3190" s="465"/>
      <c r="E3190" s="466" t="s">
        <v>2797</v>
      </c>
      <c r="F3190" s="466"/>
      <c r="G3190" s="465"/>
      <c r="H3190" s="465">
        <v>7</v>
      </c>
    </row>
    <row r="3191" spans="1:8" ht="13.8" thickBot="1">
      <c r="A3191" s="467" t="s">
        <v>8413</v>
      </c>
      <c r="B3191" s="465" t="s">
        <v>2864</v>
      </c>
      <c r="C3191" s="466">
        <v>6</v>
      </c>
      <c r="D3191" s="467" t="s">
        <v>614</v>
      </c>
      <c r="E3191" s="466" t="s">
        <v>2841</v>
      </c>
      <c r="F3191" s="466" t="s">
        <v>1251</v>
      </c>
      <c r="G3191" s="465">
        <v>1</v>
      </c>
      <c r="H3191" s="465">
        <v>8</v>
      </c>
    </row>
    <row r="3192" spans="1:8" ht="13.8" thickBot="1">
      <c r="A3192" s="467" t="s">
        <v>8414</v>
      </c>
      <c r="B3192" s="465" t="s">
        <v>1340</v>
      </c>
      <c r="C3192" s="466">
        <v>6</v>
      </c>
      <c r="D3192" s="465"/>
      <c r="E3192" s="466" t="s">
        <v>2841</v>
      </c>
      <c r="F3192" s="466" t="s">
        <v>1226</v>
      </c>
      <c r="G3192" s="465">
        <v>1</v>
      </c>
      <c r="H3192" s="465">
        <v>1</v>
      </c>
    </row>
    <row r="3193" spans="1:8" ht="13.8" thickBot="1">
      <c r="A3193" s="467" t="s">
        <v>8415</v>
      </c>
      <c r="B3193" s="465" t="s">
        <v>2865</v>
      </c>
      <c r="C3193" s="466">
        <v>6</v>
      </c>
      <c r="D3193" s="465"/>
      <c r="E3193" s="466" t="s">
        <v>2841</v>
      </c>
      <c r="F3193" s="466" t="s">
        <v>1226</v>
      </c>
      <c r="G3193" s="465"/>
      <c r="H3193" s="465">
        <v>7</v>
      </c>
    </row>
    <row r="3194" spans="1:8" ht="13.8" thickBot="1">
      <c r="A3194" s="465" t="s">
        <v>8416</v>
      </c>
      <c r="B3194" s="465" t="s">
        <v>2866</v>
      </c>
      <c r="C3194" s="466">
        <v>6</v>
      </c>
      <c r="D3194" s="465"/>
      <c r="E3194" s="466" t="s">
        <v>2841</v>
      </c>
      <c r="F3194" s="466" t="s">
        <v>1226</v>
      </c>
      <c r="G3194" s="465"/>
      <c r="H3194" s="465">
        <v>2</v>
      </c>
    </row>
    <row r="3195" spans="1:8" ht="13.8" thickBot="1">
      <c r="A3195" s="465" t="s">
        <v>8417</v>
      </c>
      <c r="B3195" s="465" t="s">
        <v>2867</v>
      </c>
      <c r="C3195" s="466">
        <v>6</v>
      </c>
      <c r="D3195" s="465"/>
      <c r="E3195" s="466" t="s">
        <v>2841</v>
      </c>
      <c r="F3195" s="466" t="s">
        <v>1226</v>
      </c>
      <c r="G3195" s="465"/>
      <c r="H3195" s="465">
        <v>1</v>
      </c>
    </row>
    <row r="3196" spans="1:8" ht="13.8" thickBot="1">
      <c r="A3196" s="465" t="s">
        <v>8418</v>
      </c>
      <c r="B3196" s="465" t="s">
        <v>2868</v>
      </c>
      <c r="C3196" s="466">
        <v>6</v>
      </c>
      <c r="D3196" s="465"/>
      <c r="E3196" s="466" t="s">
        <v>2841</v>
      </c>
      <c r="F3196" s="466" t="s">
        <v>1224</v>
      </c>
      <c r="G3196" s="465"/>
      <c r="H3196" s="465">
        <v>3</v>
      </c>
    </row>
    <row r="3197" spans="1:8" ht="13.8" thickBot="1">
      <c r="A3197" s="467" t="s">
        <v>8419</v>
      </c>
      <c r="B3197" s="465" t="s">
        <v>2869</v>
      </c>
      <c r="C3197" s="466">
        <v>6</v>
      </c>
      <c r="D3197" s="465"/>
      <c r="E3197" s="466" t="s">
        <v>2841</v>
      </c>
      <c r="F3197" s="466" t="s">
        <v>1224</v>
      </c>
      <c r="G3197" s="465"/>
      <c r="H3197" s="465">
        <v>1</v>
      </c>
    </row>
    <row r="3198" spans="1:8" ht="13.8" thickBot="1">
      <c r="A3198" s="467" t="s">
        <v>8420</v>
      </c>
      <c r="B3198" s="465" t="s">
        <v>1340</v>
      </c>
      <c r="C3198" s="466">
        <v>6</v>
      </c>
      <c r="D3198" s="465"/>
      <c r="E3198" s="466" t="s">
        <v>2841</v>
      </c>
      <c r="F3198" s="466"/>
      <c r="G3198" s="465"/>
      <c r="H3198" s="465">
        <v>4</v>
      </c>
    </row>
    <row r="3199" spans="1:8" ht="13.8" thickBot="1">
      <c r="A3199" s="467" t="s">
        <v>8421</v>
      </c>
      <c r="B3199" s="465" t="s">
        <v>1340</v>
      </c>
      <c r="C3199" s="466">
        <v>6</v>
      </c>
      <c r="D3199" s="465"/>
      <c r="E3199" s="466" t="s">
        <v>2841</v>
      </c>
      <c r="F3199" s="466"/>
      <c r="G3199" s="465">
        <v>1</v>
      </c>
      <c r="H3199" s="465">
        <v>3</v>
      </c>
    </row>
    <row r="3200" spans="1:8" ht="13.8" thickBot="1">
      <c r="A3200" s="465" t="s">
        <v>8422</v>
      </c>
      <c r="B3200" s="465" t="s">
        <v>2870</v>
      </c>
      <c r="C3200" s="466">
        <v>6</v>
      </c>
      <c r="D3200" s="465"/>
      <c r="E3200" s="466" t="s">
        <v>2841</v>
      </c>
      <c r="F3200" s="466"/>
      <c r="G3200" s="465"/>
      <c r="H3200" s="465">
        <v>2</v>
      </c>
    </row>
    <row r="3201" spans="1:8" ht="13.8" thickBot="1">
      <c r="A3201" s="465" t="s">
        <v>8423</v>
      </c>
      <c r="B3201" s="465" t="s">
        <v>2840</v>
      </c>
      <c r="C3201" s="466">
        <v>6</v>
      </c>
      <c r="D3201" s="465"/>
      <c r="E3201" s="466" t="s">
        <v>2841</v>
      </c>
      <c r="F3201" s="466"/>
      <c r="G3201" s="465"/>
      <c r="H3201" s="465">
        <v>1</v>
      </c>
    </row>
    <row r="3202" spans="1:8" ht="13.8" thickBot="1">
      <c r="A3202" s="465" t="s">
        <v>8424</v>
      </c>
      <c r="B3202" s="465" t="s">
        <v>2871</v>
      </c>
      <c r="C3202" s="466">
        <v>6</v>
      </c>
      <c r="D3202" s="465"/>
      <c r="E3202" s="466" t="s">
        <v>2841</v>
      </c>
      <c r="F3202" s="466"/>
      <c r="G3202" s="465"/>
      <c r="H3202" s="465">
        <v>4</v>
      </c>
    </row>
    <row r="3203" spans="1:8" ht="13.8" thickBot="1">
      <c r="A3203" s="465" t="s">
        <v>8425</v>
      </c>
      <c r="B3203" s="465" t="s">
        <v>2862</v>
      </c>
      <c r="C3203" s="466">
        <v>6</v>
      </c>
      <c r="D3203" s="465"/>
      <c r="E3203" s="466" t="s">
        <v>2841</v>
      </c>
      <c r="F3203" s="466"/>
      <c r="G3203" s="465"/>
      <c r="H3203" s="465">
        <v>1</v>
      </c>
    </row>
    <row r="3204" spans="1:8" ht="13.8" thickBot="1">
      <c r="A3204" s="465" t="s">
        <v>8426</v>
      </c>
      <c r="B3204" s="465" t="s">
        <v>2872</v>
      </c>
      <c r="C3204" s="466">
        <v>6</v>
      </c>
      <c r="D3204" s="465"/>
      <c r="E3204" s="466" t="s">
        <v>2841</v>
      </c>
      <c r="F3204" s="466"/>
      <c r="G3204" s="465">
        <v>1</v>
      </c>
      <c r="H3204" s="465">
        <v>4</v>
      </c>
    </row>
    <row r="3205" spans="1:8" ht="13.8" thickBot="1">
      <c r="A3205" s="465" t="s">
        <v>8427</v>
      </c>
      <c r="B3205" s="465" t="s">
        <v>2890</v>
      </c>
      <c r="C3205" s="466">
        <v>6</v>
      </c>
      <c r="D3205" s="465"/>
      <c r="E3205" s="466" t="s">
        <v>2884</v>
      </c>
      <c r="F3205" s="466" t="s">
        <v>1224</v>
      </c>
      <c r="G3205" s="465"/>
      <c r="H3205" s="465">
        <v>2</v>
      </c>
    </row>
    <row r="3206" spans="1:8" ht="13.8" thickBot="1">
      <c r="A3206" s="467" t="s">
        <v>8428</v>
      </c>
      <c r="B3206" s="465" t="s">
        <v>1348</v>
      </c>
      <c r="C3206" s="466">
        <v>6</v>
      </c>
      <c r="D3206" s="465"/>
      <c r="E3206" s="466" t="s">
        <v>2884</v>
      </c>
      <c r="F3206" s="466"/>
      <c r="G3206" s="465">
        <v>1</v>
      </c>
      <c r="H3206" s="465">
        <v>2</v>
      </c>
    </row>
    <row r="3207" spans="1:8" ht="13.8" thickBot="1">
      <c r="A3207" s="467" t="s">
        <v>8429</v>
      </c>
      <c r="B3207" s="465" t="s">
        <v>2909</v>
      </c>
      <c r="C3207" s="466">
        <v>6</v>
      </c>
      <c r="D3207" s="465"/>
      <c r="E3207" s="466" t="s">
        <v>2899</v>
      </c>
      <c r="F3207" s="466" t="s">
        <v>1251</v>
      </c>
      <c r="G3207" s="465"/>
      <c r="H3207" s="465">
        <v>4</v>
      </c>
    </row>
    <row r="3208" spans="1:8" ht="13.8" thickBot="1">
      <c r="A3208" s="467" t="s">
        <v>8430</v>
      </c>
      <c r="B3208" s="465" t="s">
        <v>1356</v>
      </c>
      <c r="C3208" s="466">
        <v>6</v>
      </c>
      <c r="D3208" s="467" t="s">
        <v>614</v>
      </c>
      <c r="E3208" s="466" t="s">
        <v>2899</v>
      </c>
      <c r="F3208" s="466" t="s">
        <v>1226</v>
      </c>
      <c r="G3208" s="465"/>
      <c r="H3208" s="465">
        <v>10</v>
      </c>
    </row>
    <row r="3209" spans="1:8" ht="13.8" thickBot="1">
      <c r="A3209" s="465" t="s">
        <v>8431</v>
      </c>
      <c r="B3209" s="465" t="s">
        <v>1356</v>
      </c>
      <c r="C3209" s="466">
        <v>6</v>
      </c>
      <c r="D3209" s="467" t="s">
        <v>614</v>
      </c>
      <c r="E3209" s="466" t="s">
        <v>2899</v>
      </c>
      <c r="F3209" s="466" t="s">
        <v>2067</v>
      </c>
      <c r="G3209" s="465">
        <v>4</v>
      </c>
      <c r="H3209" s="465">
        <v>9</v>
      </c>
    </row>
    <row r="3210" spans="1:8" ht="13.8" thickBot="1">
      <c r="A3210" s="467" t="s">
        <v>8432</v>
      </c>
      <c r="B3210" s="465" t="s">
        <v>2910</v>
      </c>
      <c r="C3210" s="466">
        <v>6</v>
      </c>
      <c r="D3210" s="465"/>
      <c r="E3210" s="466" t="s">
        <v>2899</v>
      </c>
      <c r="F3210" s="466" t="s">
        <v>1220</v>
      </c>
      <c r="G3210" s="465"/>
      <c r="H3210" s="465">
        <v>2</v>
      </c>
    </row>
    <row r="3211" spans="1:8" ht="13.8" thickBot="1">
      <c r="A3211" s="467" t="s">
        <v>8433</v>
      </c>
      <c r="B3211" s="465" t="s">
        <v>1356</v>
      </c>
      <c r="C3211" s="466">
        <v>6</v>
      </c>
      <c r="D3211" s="465"/>
      <c r="E3211" s="466" t="s">
        <v>2899</v>
      </c>
      <c r="F3211" s="466"/>
      <c r="G3211" s="465">
        <v>1</v>
      </c>
      <c r="H3211" s="465">
        <v>3</v>
      </c>
    </row>
    <row r="3212" spans="1:8" ht="13.8" thickBot="1">
      <c r="A3212" s="467" t="s">
        <v>8434</v>
      </c>
      <c r="B3212" s="465" t="s">
        <v>2900</v>
      </c>
      <c r="C3212" s="466">
        <v>6</v>
      </c>
      <c r="D3212" s="465"/>
      <c r="E3212" s="466" t="s">
        <v>2899</v>
      </c>
      <c r="F3212" s="466"/>
      <c r="G3212" s="465">
        <v>1</v>
      </c>
      <c r="H3212" s="465">
        <v>2</v>
      </c>
    </row>
    <row r="3213" spans="1:8" ht="13.8" thickBot="1">
      <c r="A3213" s="465" t="s">
        <v>8435</v>
      </c>
      <c r="B3213" s="465" t="s">
        <v>2911</v>
      </c>
      <c r="C3213" s="466">
        <v>6</v>
      </c>
      <c r="D3213" s="465"/>
      <c r="E3213" s="466" t="s">
        <v>2899</v>
      </c>
      <c r="F3213" s="466"/>
      <c r="G3213" s="465"/>
      <c r="H3213" s="465">
        <v>1</v>
      </c>
    </row>
    <row r="3214" spans="1:8" ht="13.8" thickBot="1">
      <c r="A3214" s="465" t="s">
        <v>8436</v>
      </c>
      <c r="B3214" s="465" t="s">
        <v>2912</v>
      </c>
      <c r="C3214" s="466">
        <v>6</v>
      </c>
      <c r="D3214" s="465"/>
      <c r="E3214" s="466" t="s">
        <v>2899</v>
      </c>
      <c r="F3214" s="466"/>
      <c r="G3214" s="465"/>
      <c r="H3214" s="465">
        <v>1</v>
      </c>
    </row>
    <row r="3215" spans="1:8" ht="13.8" thickBot="1">
      <c r="A3215" s="467" t="s">
        <v>8242</v>
      </c>
      <c r="B3215" s="465" t="s">
        <v>2007</v>
      </c>
      <c r="C3215" s="466">
        <v>6</v>
      </c>
      <c r="D3215" s="465"/>
      <c r="E3215" s="466" t="s">
        <v>1997</v>
      </c>
      <c r="F3215" s="466" t="s">
        <v>1251</v>
      </c>
      <c r="G3215" s="465">
        <v>1</v>
      </c>
      <c r="H3215" s="465">
        <v>3</v>
      </c>
    </row>
    <row r="3216" spans="1:8" ht="13.8" thickBot="1">
      <c r="A3216" s="467" t="s">
        <v>8243</v>
      </c>
      <c r="B3216" s="465" t="s">
        <v>1752</v>
      </c>
      <c r="C3216" s="466">
        <v>6</v>
      </c>
      <c r="D3216" s="467" t="s">
        <v>614</v>
      </c>
      <c r="E3216" s="466" t="s">
        <v>1997</v>
      </c>
      <c r="F3216" s="466" t="s">
        <v>1220</v>
      </c>
      <c r="G3216" s="465"/>
      <c r="H3216" s="465">
        <v>1</v>
      </c>
    </row>
    <row r="3217" spans="1:8" ht="13.8" thickBot="1">
      <c r="A3217" s="467" t="s">
        <v>8244</v>
      </c>
      <c r="B3217" s="465" t="s">
        <v>1752</v>
      </c>
      <c r="C3217" s="466">
        <v>6</v>
      </c>
      <c r="D3217" s="465"/>
      <c r="E3217" s="466" t="s">
        <v>1997</v>
      </c>
      <c r="F3217" s="466"/>
      <c r="G3217" s="465"/>
      <c r="H3217" s="465">
        <v>1</v>
      </c>
    </row>
    <row r="3218" spans="1:8" ht="13.8" thickBot="1">
      <c r="A3218" s="467" t="s">
        <v>8245</v>
      </c>
      <c r="B3218" s="465" t="s">
        <v>1752</v>
      </c>
      <c r="C3218" s="466">
        <v>6</v>
      </c>
      <c r="D3218" s="465"/>
      <c r="E3218" s="466" t="s">
        <v>1997</v>
      </c>
      <c r="F3218" s="466"/>
      <c r="G3218" s="465"/>
      <c r="H3218" s="465"/>
    </row>
    <row r="3219" spans="1:8" ht="13.8" thickBot="1">
      <c r="A3219" s="465" t="s">
        <v>8246</v>
      </c>
      <c r="B3219" s="465" t="s">
        <v>1752</v>
      </c>
      <c r="C3219" s="466">
        <v>6</v>
      </c>
      <c r="D3219" s="465"/>
      <c r="E3219" s="466" t="s">
        <v>1997</v>
      </c>
      <c r="F3219" s="466"/>
      <c r="G3219" s="465"/>
      <c r="H3219" s="465"/>
    </row>
    <row r="3220" spans="1:8" ht="13.8" thickBot="1">
      <c r="A3220" s="467" t="s">
        <v>8247</v>
      </c>
      <c r="B3220" s="465" t="s">
        <v>1752</v>
      </c>
      <c r="C3220" s="466">
        <v>6</v>
      </c>
      <c r="D3220" s="465"/>
      <c r="E3220" s="466" t="s">
        <v>1997</v>
      </c>
      <c r="F3220" s="466"/>
      <c r="G3220" s="465">
        <v>1</v>
      </c>
      <c r="H3220" s="465">
        <v>1</v>
      </c>
    </row>
    <row r="3221" spans="1:8" ht="13.8" thickBot="1">
      <c r="A3221" s="465" t="s">
        <v>8248</v>
      </c>
      <c r="B3221" s="465" t="s">
        <v>1752</v>
      </c>
      <c r="C3221" s="466">
        <v>6</v>
      </c>
      <c r="D3221" s="465"/>
      <c r="E3221" s="466" t="s">
        <v>1997</v>
      </c>
      <c r="F3221" s="466"/>
      <c r="G3221" s="465"/>
      <c r="H3221" s="465">
        <v>1</v>
      </c>
    </row>
    <row r="3222" spans="1:8" ht="13.8" thickBot="1">
      <c r="A3222" s="465" t="s">
        <v>8249</v>
      </c>
      <c r="B3222" s="465" t="s">
        <v>2008</v>
      </c>
      <c r="C3222" s="466">
        <v>6</v>
      </c>
      <c r="D3222" s="465"/>
      <c r="E3222" s="466" t="s">
        <v>1997</v>
      </c>
      <c r="F3222" s="466"/>
      <c r="G3222" s="465"/>
      <c r="H3222" s="465"/>
    </row>
    <row r="3223" spans="1:8" ht="13.8" thickBot="1">
      <c r="A3223" s="467" t="s">
        <v>8250</v>
      </c>
      <c r="B3223" s="465" t="s">
        <v>2009</v>
      </c>
      <c r="C3223" s="466">
        <v>6</v>
      </c>
      <c r="D3223" s="465"/>
      <c r="E3223" s="466" t="s">
        <v>1997</v>
      </c>
      <c r="F3223" s="466"/>
      <c r="G3223" s="465">
        <v>1</v>
      </c>
      <c r="H3223" s="465">
        <v>4</v>
      </c>
    </row>
    <row r="3224" spans="1:8" ht="13.8" thickBot="1">
      <c r="A3224" s="465" t="s">
        <v>8437</v>
      </c>
      <c r="B3224" s="465" t="s">
        <v>2921</v>
      </c>
      <c r="C3224" s="466">
        <v>6</v>
      </c>
      <c r="D3224" s="465"/>
      <c r="E3224" s="466" t="s">
        <v>2922</v>
      </c>
      <c r="F3224" s="466" t="s">
        <v>1226</v>
      </c>
      <c r="G3224" s="465"/>
      <c r="H3224" s="465">
        <v>1</v>
      </c>
    </row>
    <row r="3225" spans="1:8" ht="13.8" thickBot="1">
      <c r="A3225" s="465" t="s">
        <v>8438</v>
      </c>
      <c r="B3225" s="465" t="s">
        <v>2921</v>
      </c>
      <c r="C3225" s="466">
        <v>6</v>
      </c>
      <c r="D3225" s="465"/>
      <c r="E3225" s="466" t="s">
        <v>2922</v>
      </c>
      <c r="F3225" s="466" t="s">
        <v>1226</v>
      </c>
      <c r="G3225" s="465"/>
      <c r="H3225" s="465">
        <v>1</v>
      </c>
    </row>
    <row r="3226" spans="1:8" ht="13.8" thickBot="1">
      <c r="A3226" s="465" t="s">
        <v>8439</v>
      </c>
      <c r="B3226" s="465" t="s">
        <v>2931</v>
      </c>
      <c r="C3226" s="466">
        <v>6</v>
      </c>
      <c r="D3226" s="465"/>
      <c r="E3226" s="466" t="s">
        <v>2922</v>
      </c>
      <c r="F3226" s="466" t="s">
        <v>1226</v>
      </c>
      <c r="G3226" s="465">
        <v>1</v>
      </c>
      <c r="H3226" s="465">
        <v>5</v>
      </c>
    </row>
    <row r="3227" spans="1:8" ht="13.8" thickBot="1">
      <c r="A3227" s="465" t="s">
        <v>8440</v>
      </c>
      <c r="B3227" s="465" t="s">
        <v>2932</v>
      </c>
      <c r="C3227" s="466">
        <v>6</v>
      </c>
      <c r="D3227" s="467" t="s">
        <v>614</v>
      </c>
      <c r="E3227" s="466" t="s">
        <v>2922</v>
      </c>
      <c r="F3227" s="466" t="s">
        <v>1226</v>
      </c>
      <c r="G3227" s="465">
        <v>1</v>
      </c>
      <c r="H3227" s="465">
        <v>5</v>
      </c>
    </row>
    <row r="3228" spans="1:8" ht="13.8" thickBot="1">
      <c r="A3228" s="465" t="s">
        <v>8441</v>
      </c>
      <c r="B3228" s="465" t="s">
        <v>2921</v>
      </c>
      <c r="C3228" s="466">
        <v>6</v>
      </c>
      <c r="D3228" s="465"/>
      <c r="E3228" s="466" t="s">
        <v>2922</v>
      </c>
      <c r="F3228" s="466"/>
      <c r="G3228" s="465"/>
      <c r="H3228" s="465">
        <v>1</v>
      </c>
    </row>
    <row r="3229" spans="1:8" ht="13.8" thickBot="1">
      <c r="A3229" s="467" t="s">
        <v>8442</v>
      </c>
      <c r="B3229" s="465" t="s">
        <v>2921</v>
      </c>
      <c r="C3229" s="466">
        <v>6</v>
      </c>
      <c r="D3229" s="465"/>
      <c r="E3229" s="466" t="s">
        <v>2922</v>
      </c>
      <c r="F3229" s="466"/>
      <c r="G3229" s="465"/>
      <c r="H3229" s="465">
        <v>1</v>
      </c>
    </row>
    <row r="3230" spans="1:8" ht="13.8" thickBot="1">
      <c r="A3230" s="465" t="s">
        <v>8443</v>
      </c>
      <c r="B3230" s="465" t="s">
        <v>1365</v>
      </c>
      <c r="C3230" s="466">
        <v>6</v>
      </c>
      <c r="D3230" s="465"/>
      <c r="E3230" s="466" t="s">
        <v>2943</v>
      </c>
      <c r="F3230" s="466" t="s">
        <v>1226</v>
      </c>
      <c r="G3230" s="465"/>
      <c r="H3230" s="465">
        <v>3</v>
      </c>
    </row>
    <row r="3231" spans="1:8" ht="13.8" thickBot="1">
      <c r="A3231" s="465" t="s">
        <v>8444</v>
      </c>
      <c r="B3231" s="465" t="s">
        <v>2946</v>
      </c>
      <c r="C3231" s="466">
        <v>6</v>
      </c>
      <c r="D3231" s="467" t="s">
        <v>614</v>
      </c>
      <c r="E3231" s="466" t="s">
        <v>2943</v>
      </c>
      <c r="F3231" s="466" t="s">
        <v>1226</v>
      </c>
      <c r="G3231" s="465"/>
      <c r="H3231" s="465">
        <v>5</v>
      </c>
    </row>
    <row r="3232" spans="1:8" ht="13.8" thickBot="1">
      <c r="A3232" s="467" t="s">
        <v>8445</v>
      </c>
      <c r="B3232" s="465" t="s">
        <v>2994</v>
      </c>
      <c r="C3232" s="466">
        <v>6</v>
      </c>
      <c r="D3232" s="465"/>
      <c r="E3232" s="466" t="s">
        <v>2957</v>
      </c>
      <c r="F3232" s="466" t="s">
        <v>1229</v>
      </c>
      <c r="G3232" s="465"/>
      <c r="H3232" s="465">
        <v>4</v>
      </c>
    </row>
    <row r="3233" spans="1:8" ht="13.8" thickBot="1">
      <c r="A3233" s="465" t="s">
        <v>8446</v>
      </c>
      <c r="B3233" s="465" t="s">
        <v>2995</v>
      </c>
      <c r="C3233" s="466">
        <v>6</v>
      </c>
      <c r="D3233" s="465"/>
      <c r="E3233" s="466" t="s">
        <v>2957</v>
      </c>
      <c r="F3233" s="466" t="s">
        <v>2319</v>
      </c>
      <c r="G3233" s="465"/>
      <c r="H3233" s="465">
        <v>21</v>
      </c>
    </row>
    <row r="3234" spans="1:8" ht="13.8" thickBot="1">
      <c r="A3234" s="467" t="s">
        <v>8447</v>
      </c>
      <c r="B3234" s="465" t="s">
        <v>1590</v>
      </c>
      <c r="C3234" s="466">
        <v>6</v>
      </c>
      <c r="D3234" s="465"/>
      <c r="E3234" s="466" t="s">
        <v>2957</v>
      </c>
      <c r="F3234" s="466" t="s">
        <v>1251</v>
      </c>
      <c r="G3234" s="465">
        <v>1</v>
      </c>
      <c r="H3234" s="465">
        <v>16</v>
      </c>
    </row>
    <row r="3235" spans="1:8" ht="13.8" thickBot="1">
      <c r="A3235" s="465" t="s">
        <v>8448</v>
      </c>
      <c r="B3235" s="465" t="s">
        <v>1552</v>
      </c>
      <c r="C3235" s="466">
        <v>6</v>
      </c>
      <c r="D3235" s="465"/>
      <c r="E3235" s="466" t="s">
        <v>2957</v>
      </c>
      <c r="F3235" s="466" t="s">
        <v>1226</v>
      </c>
      <c r="G3235" s="465"/>
      <c r="H3235" s="465">
        <v>1</v>
      </c>
    </row>
    <row r="3236" spans="1:8" ht="13.8" thickBot="1">
      <c r="A3236" s="465" t="s">
        <v>8449</v>
      </c>
      <c r="B3236" s="465" t="s">
        <v>1552</v>
      </c>
      <c r="C3236" s="466">
        <v>6</v>
      </c>
      <c r="D3236" s="465"/>
      <c r="E3236" s="466" t="s">
        <v>2957</v>
      </c>
      <c r="F3236" s="466" t="s">
        <v>1226</v>
      </c>
      <c r="G3236" s="465"/>
      <c r="H3236" s="465">
        <v>6</v>
      </c>
    </row>
    <row r="3237" spans="1:8" ht="13.8" thickBot="1">
      <c r="A3237" s="465" t="s">
        <v>8450</v>
      </c>
      <c r="B3237" s="465" t="s">
        <v>1552</v>
      </c>
      <c r="C3237" s="466">
        <v>6</v>
      </c>
      <c r="D3237" s="465"/>
      <c r="E3237" s="466" t="s">
        <v>2957</v>
      </c>
      <c r="F3237" s="466" t="s">
        <v>1226</v>
      </c>
      <c r="G3237" s="465">
        <v>1</v>
      </c>
      <c r="H3237" s="465">
        <v>2</v>
      </c>
    </row>
    <row r="3238" spans="1:8" ht="13.8" thickBot="1">
      <c r="A3238" s="467" t="s">
        <v>8451</v>
      </c>
      <c r="B3238" s="465" t="s">
        <v>1552</v>
      </c>
      <c r="C3238" s="466">
        <v>6</v>
      </c>
      <c r="D3238" s="467" t="s">
        <v>614</v>
      </c>
      <c r="E3238" s="466" t="s">
        <v>2957</v>
      </c>
      <c r="F3238" s="466" t="s">
        <v>1226</v>
      </c>
      <c r="G3238" s="465"/>
      <c r="H3238" s="465">
        <v>5</v>
      </c>
    </row>
    <row r="3239" spans="1:8" ht="13.8" thickBot="1">
      <c r="A3239" s="465" t="s">
        <v>8452</v>
      </c>
      <c r="B3239" s="465" t="s">
        <v>1563</v>
      </c>
      <c r="C3239" s="466">
        <v>6</v>
      </c>
      <c r="D3239" s="465" t="s">
        <v>1096</v>
      </c>
      <c r="E3239" s="466" t="s">
        <v>2957</v>
      </c>
      <c r="F3239" s="466" t="s">
        <v>1226</v>
      </c>
      <c r="G3239" s="465">
        <v>1</v>
      </c>
      <c r="H3239" s="465">
        <v>12</v>
      </c>
    </row>
    <row r="3240" spans="1:8" ht="13.8" thickBot="1">
      <c r="A3240" s="467" t="s">
        <v>8453</v>
      </c>
      <c r="B3240" s="465" t="s">
        <v>2996</v>
      </c>
      <c r="C3240" s="466">
        <v>6</v>
      </c>
      <c r="D3240" s="467" t="s">
        <v>614</v>
      </c>
      <c r="E3240" s="466" t="s">
        <v>2957</v>
      </c>
      <c r="F3240" s="466" t="s">
        <v>1226</v>
      </c>
      <c r="G3240" s="465"/>
      <c r="H3240" s="465">
        <v>7</v>
      </c>
    </row>
    <row r="3241" spans="1:8" ht="13.8" thickBot="1">
      <c r="A3241" s="467" t="s">
        <v>8454</v>
      </c>
      <c r="B3241" s="465" t="s">
        <v>1562</v>
      </c>
      <c r="C3241" s="466">
        <v>6</v>
      </c>
      <c r="D3241" s="465"/>
      <c r="E3241" s="466" t="s">
        <v>2957</v>
      </c>
      <c r="F3241" s="466" t="s">
        <v>1226</v>
      </c>
      <c r="G3241" s="465"/>
      <c r="H3241" s="465">
        <v>2</v>
      </c>
    </row>
    <row r="3242" spans="1:8" ht="13.8" thickBot="1">
      <c r="A3242" s="465" t="s">
        <v>8455</v>
      </c>
      <c r="B3242" s="465" t="s">
        <v>2997</v>
      </c>
      <c r="C3242" s="466">
        <v>6</v>
      </c>
      <c r="D3242" s="467" t="s">
        <v>614</v>
      </c>
      <c r="E3242" s="466" t="s">
        <v>2957</v>
      </c>
      <c r="F3242" s="466" t="s">
        <v>1226</v>
      </c>
      <c r="G3242" s="465">
        <v>2</v>
      </c>
      <c r="H3242" s="465">
        <v>10</v>
      </c>
    </row>
    <row r="3243" spans="1:8" ht="13.8" thickBot="1">
      <c r="A3243" s="467" t="s">
        <v>8456</v>
      </c>
      <c r="B3243" s="465" t="s">
        <v>2998</v>
      </c>
      <c r="C3243" s="466">
        <v>6</v>
      </c>
      <c r="D3243" s="467" t="s">
        <v>614</v>
      </c>
      <c r="E3243" s="466" t="s">
        <v>2957</v>
      </c>
      <c r="F3243" s="466" t="s">
        <v>1226</v>
      </c>
      <c r="G3243" s="465"/>
      <c r="H3243" s="465">
        <v>4</v>
      </c>
    </row>
    <row r="3244" spans="1:8" ht="13.8" thickBot="1">
      <c r="A3244" s="465" t="s">
        <v>8457</v>
      </c>
      <c r="B3244" s="468" t="s">
        <v>2999</v>
      </c>
      <c r="C3244" s="466">
        <v>6</v>
      </c>
      <c r="D3244" s="467" t="s">
        <v>2989</v>
      </c>
      <c r="E3244" s="466" t="s">
        <v>2957</v>
      </c>
      <c r="F3244" s="466" t="s">
        <v>1226</v>
      </c>
      <c r="G3244" s="465"/>
      <c r="H3244" s="465">
        <v>5</v>
      </c>
    </row>
    <row r="3245" spans="1:8" ht="13.8" thickBot="1">
      <c r="A3245" s="465" t="s">
        <v>8458</v>
      </c>
      <c r="B3245" s="465" t="s">
        <v>3000</v>
      </c>
      <c r="C3245" s="466">
        <v>6</v>
      </c>
      <c r="D3245" s="465"/>
      <c r="E3245" s="466" t="s">
        <v>2957</v>
      </c>
      <c r="F3245" s="466" t="s">
        <v>1226</v>
      </c>
      <c r="G3245" s="465">
        <v>1</v>
      </c>
      <c r="H3245" s="465">
        <v>7</v>
      </c>
    </row>
    <row r="3246" spans="1:8" ht="13.8" thickBot="1">
      <c r="A3246" s="465" t="s">
        <v>8459</v>
      </c>
      <c r="B3246" s="465" t="s">
        <v>3001</v>
      </c>
      <c r="C3246" s="466">
        <v>6</v>
      </c>
      <c r="D3246" s="467" t="s">
        <v>614</v>
      </c>
      <c r="E3246" s="466" t="s">
        <v>2957</v>
      </c>
      <c r="F3246" s="466" t="s">
        <v>2067</v>
      </c>
      <c r="G3246" s="465"/>
      <c r="H3246" s="465">
        <v>8</v>
      </c>
    </row>
    <row r="3247" spans="1:8" ht="13.8" thickBot="1">
      <c r="A3247" s="465" t="s">
        <v>8460</v>
      </c>
      <c r="B3247" s="465" t="s">
        <v>3002</v>
      </c>
      <c r="C3247" s="466">
        <v>6</v>
      </c>
      <c r="D3247" s="465"/>
      <c r="E3247" s="466" t="s">
        <v>2957</v>
      </c>
      <c r="F3247" s="466" t="s">
        <v>2067</v>
      </c>
      <c r="G3247" s="465">
        <v>2</v>
      </c>
      <c r="H3247" s="465">
        <v>9</v>
      </c>
    </row>
    <row r="3248" spans="1:8" ht="13.8" thickBot="1">
      <c r="A3248" s="465" t="s">
        <v>8461</v>
      </c>
      <c r="B3248" s="465" t="s">
        <v>3003</v>
      </c>
      <c r="C3248" s="466">
        <v>6</v>
      </c>
      <c r="D3248" s="465" t="s">
        <v>3004</v>
      </c>
      <c r="E3248" s="466" t="s">
        <v>2957</v>
      </c>
      <c r="F3248" s="466" t="s">
        <v>1224</v>
      </c>
      <c r="G3248" s="465"/>
      <c r="H3248" s="465">
        <v>1</v>
      </c>
    </row>
    <row r="3249" spans="1:8" ht="13.8" thickBot="1">
      <c r="A3249" s="465" t="s">
        <v>8462</v>
      </c>
      <c r="B3249" s="465" t="s">
        <v>3005</v>
      </c>
      <c r="C3249" s="466">
        <v>6</v>
      </c>
      <c r="D3249" s="465"/>
      <c r="E3249" s="466" t="s">
        <v>2957</v>
      </c>
      <c r="F3249" s="466" t="s">
        <v>1224</v>
      </c>
      <c r="G3249" s="465">
        <v>3</v>
      </c>
      <c r="H3249" s="465">
        <v>6</v>
      </c>
    </row>
    <row r="3250" spans="1:8" ht="13.8" thickBot="1">
      <c r="A3250" s="465" t="s">
        <v>8463</v>
      </c>
      <c r="B3250" s="465" t="s">
        <v>2968</v>
      </c>
      <c r="C3250" s="466">
        <v>6</v>
      </c>
      <c r="D3250" s="467" t="s">
        <v>614</v>
      </c>
      <c r="E3250" s="466" t="s">
        <v>2957</v>
      </c>
      <c r="F3250" s="466" t="s">
        <v>1224</v>
      </c>
      <c r="G3250" s="465"/>
      <c r="H3250" s="465">
        <v>1</v>
      </c>
    </row>
    <row r="3251" spans="1:8" ht="13.8" thickBot="1">
      <c r="A3251" s="467" t="s">
        <v>8464</v>
      </c>
      <c r="B3251" s="465" t="s">
        <v>1555</v>
      </c>
      <c r="C3251" s="466">
        <v>6</v>
      </c>
      <c r="D3251" s="465"/>
      <c r="E3251" s="466" t="s">
        <v>2957</v>
      </c>
      <c r="F3251" s="466" t="s">
        <v>1224</v>
      </c>
      <c r="G3251" s="465"/>
      <c r="H3251" s="465">
        <v>3</v>
      </c>
    </row>
    <row r="3252" spans="1:8" ht="13.8" thickBot="1">
      <c r="A3252" s="465" t="s">
        <v>8465</v>
      </c>
      <c r="B3252" s="465" t="s">
        <v>3006</v>
      </c>
      <c r="C3252" s="466">
        <v>6</v>
      </c>
      <c r="D3252" s="465"/>
      <c r="E3252" s="466" t="s">
        <v>2957</v>
      </c>
      <c r="F3252" s="466" t="s">
        <v>1224</v>
      </c>
      <c r="G3252" s="465"/>
      <c r="H3252" s="465">
        <v>1</v>
      </c>
    </row>
    <row r="3253" spans="1:8" ht="13.8" thickBot="1">
      <c r="A3253" s="467" t="s">
        <v>8466</v>
      </c>
      <c r="B3253" s="465" t="s">
        <v>1552</v>
      </c>
      <c r="C3253" s="466">
        <v>6</v>
      </c>
      <c r="D3253" s="465"/>
      <c r="E3253" s="466" t="s">
        <v>2957</v>
      </c>
      <c r="F3253" s="466"/>
      <c r="G3253" s="465"/>
      <c r="H3253" s="465">
        <v>3</v>
      </c>
    </row>
    <row r="3254" spans="1:8" ht="13.8" thickBot="1">
      <c r="A3254" s="467" t="s">
        <v>8467</v>
      </c>
      <c r="B3254" s="465" t="s">
        <v>1552</v>
      </c>
      <c r="C3254" s="466">
        <v>6</v>
      </c>
      <c r="D3254" s="465"/>
      <c r="E3254" s="466" t="s">
        <v>2957</v>
      </c>
      <c r="F3254" s="466"/>
      <c r="G3254" s="465"/>
      <c r="H3254" s="465">
        <v>2</v>
      </c>
    </row>
    <row r="3255" spans="1:8" ht="13.8" thickBot="1">
      <c r="A3255" s="467" t="s">
        <v>8468</v>
      </c>
      <c r="B3255" s="465" t="s">
        <v>1552</v>
      </c>
      <c r="C3255" s="466">
        <v>6</v>
      </c>
      <c r="D3255" s="465"/>
      <c r="E3255" s="466" t="s">
        <v>2957</v>
      </c>
      <c r="F3255" s="466"/>
      <c r="G3255" s="465"/>
      <c r="H3255" s="465">
        <v>7</v>
      </c>
    </row>
    <row r="3256" spans="1:8" ht="13.8" thickBot="1">
      <c r="A3256" s="467" t="s">
        <v>8469</v>
      </c>
      <c r="B3256" s="465" t="s">
        <v>1552</v>
      </c>
      <c r="C3256" s="466">
        <v>6</v>
      </c>
      <c r="D3256" s="465"/>
      <c r="E3256" s="466" t="s">
        <v>2957</v>
      </c>
      <c r="F3256" s="466"/>
      <c r="G3256" s="465"/>
      <c r="H3256" s="465">
        <v>1</v>
      </c>
    </row>
    <row r="3257" spans="1:8" ht="13.8" thickBot="1">
      <c r="A3257" s="467" t="s">
        <v>8470</v>
      </c>
      <c r="B3257" s="465" t="s">
        <v>1552</v>
      </c>
      <c r="C3257" s="466">
        <v>6</v>
      </c>
      <c r="D3257" s="465"/>
      <c r="E3257" s="466" t="s">
        <v>2957</v>
      </c>
      <c r="F3257" s="466"/>
      <c r="G3257" s="465"/>
      <c r="H3257" s="465">
        <v>2</v>
      </c>
    </row>
    <row r="3258" spans="1:8" ht="13.8" thickBot="1">
      <c r="A3258" s="467" t="s">
        <v>8471</v>
      </c>
      <c r="B3258" s="465" t="s">
        <v>1552</v>
      </c>
      <c r="C3258" s="466">
        <v>6</v>
      </c>
      <c r="D3258" s="465"/>
      <c r="E3258" s="466" t="s">
        <v>2957</v>
      </c>
      <c r="F3258" s="466"/>
      <c r="G3258" s="465"/>
      <c r="H3258" s="465">
        <v>3</v>
      </c>
    </row>
    <row r="3259" spans="1:8" ht="13.8" thickBot="1">
      <c r="A3259" s="465" t="s">
        <v>8472</v>
      </c>
      <c r="B3259" s="465" t="s">
        <v>1552</v>
      </c>
      <c r="C3259" s="466">
        <v>6</v>
      </c>
      <c r="D3259" s="465"/>
      <c r="E3259" s="466" t="s">
        <v>2957</v>
      </c>
      <c r="F3259" s="466"/>
      <c r="G3259" s="465"/>
      <c r="H3259" s="465">
        <v>1</v>
      </c>
    </row>
    <row r="3260" spans="1:8" ht="13.8" thickBot="1">
      <c r="A3260" s="467" t="s">
        <v>8473</v>
      </c>
      <c r="B3260" s="465" t="s">
        <v>1552</v>
      </c>
      <c r="C3260" s="466">
        <v>6</v>
      </c>
      <c r="D3260" s="465"/>
      <c r="E3260" s="466" t="s">
        <v>2957</v>
      </c>
      <c r="F3260" s="466"/>
      <c r="G3260" s="465"/>
      <c r="H3260" s="465">
        <v>2</v>
      </c>
    </row>
    <row r="3261" spans="1:8" ht="13.8" thickBot="1">
      <c r="A3261" s="465" t="s">
        <v>8474</v>
      </c>
      <c r="B3261" s="465" t="s">
        <v>1571</v>
      </c>
      <c r="C3261" s="466">
        <v>6</v>
      </c>
      <c r="D3261" s="465"/>
      <c r="E3261" s="466" t="s">
        <v>2957</v>
      </c>
      <c r="F3261" s="466"/>
      <c r="G3261" s="465"/>
      <c r="H3261" s="465">
        <v>3</v>
      </c>
    </row>
    <row r="3262" spans="1:8" ht="13.8" thickBot="1">
      <c r="A3262" s="467" t="s">
        <v>8475</v>
      </c>
      <c r="B3262" s="465" t="s">
        <v>3007</v>
      </c>
      <c r="C3262" s="466">
        <v>6</v>
      </c>
      <c r="D3262" s="465"/>
      <c r="E3262" s="466" t="s">
        <v>2957</v>
      </c>
      <c r="F3262" s="466"/>
      <c r="G3262" s="465"/>
      <c r="H3262" s="465">
        <v>2</v>
      </c>
    </row>
    <row r="3263" spans="1:8" ht="13.8" thickBot="1">
      <c r="A3263" s="465" t="s">
        <v>8476</v>
      </c>
      <c r="B3263" s="465" t="s">
        <v>3008</v>
      </c>
      <c r="C3263" s="466">
        <v>6</v>
      </c>
      <c r="D3263" s="465"/>
      <c r="E3263" s="466" t="s">
        <v>2957</v>
      </c>
      <c r="F3263" s="466"/>
      <c r="G3263" s="465"/>
      <c r="H3263" s="465">
        <v>5</v>
      </c>
    </row>
    <row r="3264" spans="1:8" ht="13.8" thickBot="1">
      <c r="A3264" s="465" t="s">
        <v>8477</v>
      </c>
      <c r="B3264" s="465" t="s">
        <v>2960</v>
      </c>
      <c r="C3264" s="466">
        <v>6</v>
      </c>
      <c r="D3264" s="465"/>
      <c r="E3264" s="466" t="s">
        <v>2957</v>
      </c>
      <c r="F3264" s="466"/>
      <c r="G3264" s="465"/>
      <c r="H3264" s="465">
        <v>2</v>
      </c>
    </row>
    <row r="3265" spans="1:8" ht="13.8" thickBot="1">
      <c r="A3265" s="465" t="s">
        <v>8478</v>
      </c>
      <c r="B3265" s="465" t="s">
        <v>3009</v>
      </c>
      <c r="C3265" s="466">
        <v>6</v>
      </c>
      <c r="D3265" s="465"/>
      <c r="E3265" s="466" t="s">
        <v>2957</v>
      </c>
      <c r="F3265" s="466"/>
      <c r="G3265" s="465"/>
      <c r="H3265" s="465">
        <v>2</v>
      </c>
    </row>
    <row r="3266" spans="1:8" ht="13.8" thickBot="1">
      <c r="A3266" s="467" t="s">
        <v>8479</v>
      </c>
      <c r="B3266" s="465" t="s">
        <v>3010</v>
      </c>
      <c r="C3266" s="466">
        <v>6</v>
      </c>
      <c r="D3266" s="465"/>
      <c r="E3266" s="466" t="s">
        <v>2957</v>
      </c>
      <c r="F3266" s="466"/>
      <c r="G3266" s="465"/>
      <c r="H3266" s="465">
        <v>2</v>
      </c>
    </row>
    <row r="3267" spans="1:8" ht="13.8" thickBot="1">
      <c r="A3267" s="467" t="s">
        <v>8480</v>
      </c>
      <c r="B3267" s="465" t="s">
        <v>1451</v>
      </c>
      <c r="C3267" s="466">
        <v>6</v>
      </c>
      <c r="D3267" s="465"/>
      <c r="E3267" s="466" t="s">
        <v>2957</v>
      </c>
      <c r="F3267" s="466"/>
      <c r="G3267" s="465"/>
      <c r="H3267" s="465">
        <v>2</v>
      </c>
    </row>
    <row r="3268" spans="1:8" ht="13.8" thickBot="1">
      <c r="A3268" s="465" t="s">
        <v>8481</v>
      </c>
      <c r="B3268" s="465" t="s">
        <v>1576</v>
      </c>
      <c r="C3268" s="466">
        <v>6</v>
      </c>
      <c r="D3268" s="465"/>
      <c r="E3268" s="466" t="s">
        <v>2957</v>
      </c>
      <c r="F3268" s="466"/>
      <c r="G3268" s="465"/>
      <c r="H3268" s="465">
        <v>1</v>
      </c>
    </row>
    <row r="3269" spans="1:8" ht="13.8" thickBot="1">
      <c r="A3269" s="465" t="s">
        <v>8482</v>
      </c>
      <c r="B3269" s="465" t="s">
        <v>3011</v>
      </c>
      <c r="C3269" s="466">
        <v>6</v>
      </c>
      <c r="D3269" s="465"/>
      <c r="E3269" s="466" t="s">
        <v>2957</v>
      </c>
      <c r="F3269" s="466"/>
      <c r="G3269" s="465"/>
      <c r="H3269" s="465">
        <v>1</v>
      </c>
    </row>
    <row r="3270" spans="1:8" ht="13.8" thickBot="1">
      <c r="A3270" s="465" t="s">
        <v>8483</v>
      </c>
      <c r="B3270" s="465" t="s">
        <v>1555</v>
      </c>
      <c r="C3270" s="466">
        <v>6</v>
      </c>
      <c r="D3270" s="465"/>
      <c r="E3270" s="466" t="s">
        <v>2957</v>
      </c>
      <c r="F3270" s="466"/>
      <c r="G3270" s="465"/>
      <c r="H3270" s="465">
        <v>6</v>
      </c>
    </row>
    <row r="3271" spans="1:8" ht="13.8" thickBot="1">
      <c r="A3271" s="465" t="s">
        <v>8484</v>
      </c>
      <c r="B3271" s="465" t="s">
        <v>1562</v>
      </c>
      <c r="C3271" s="466">
        <v>6</v>
      </c>
      <c r="D3271" s="465"/>
      <c r="E3271" s="466" t="s">
        <v>2957</v>
      </c>
      <c r="F3271" s="466"/>
      <c r="G3271" s="465"/>
      <c r="H3271" s="465">
        <v>1</v>
      </c>
    </row>
    <row r="3272" spans="1:8" ht="13.8" thickBot="1">
      <c r="A3272" s="465" t="s">
        <v>8485</v>
      </c>
      <c r="B3272" s="465" t="s">
        <v>3012</v>
      </c>
      <c r="C3272" s="466">
        <v>6</v>
      </c>
      <c r="D3272" s="465"/>
      <c r="E3272" s="466" t="s">
        <v>2957</v>
      </c>
      <c r="F3272" s="466"/>
      <c r="G3272" s="465"/>
      <c r="H3272" s="465">
        <v>1</v>
      </c>
    </row>
    <row r="3273" spans="1:8" ht="13.8" thickBot="1">
      <c r="A3273" s="467" t="s">
        <v>8486</v>
      </c>
      <c r="B3273" s="465" t="s">
        <v>3013</v>
      </c>
      <c r="C3273" s="466">
        <v>6</v>
      </c>
      <c r="D3273" s="465"/>
      <c r="E3273" s="466" t="s">
        <v>2957</v>
      </c>
      <c r="F3273" s="466"/>
      <c r="G3273" s="465"/>
      <c r="H3273" s="465">
        <v>1</v>
      </c>
    </row>
    <row r="3274" spans="1:8" ht="13.8" thickBot="1">
      <c r="A3274" s="467" t="s">
        <v>8487</v>
      </c>
      <c r="B3274" s="465" t="s">
        <v>3014</v>
      </c>
      <c r="C3274" s="466">
        <v>6</v>
      </c>
      <c r="D3274" s="465"/>
      <c r="E3274" s="466" t="s">
        <v>2957</v>
      </c>
      <c r="F3274" s="466"/>
      <c r="G3274" s="465">
        <v>1</v>
      </c>
      <c r="H3274" s="465">
        <v>5</v>
      </c>
    </row>
    <row r="3275" spans="1:8" ht="13.8" thickBot="1">
      <c r="A3275" s="467" t="s">
        <v>8488</v>
      </c>
      <c r="B3275" s="468" t="s">
        <v>1554</v>
      </c>
      <c r="C3275" s="466">
        <v>6</v>
      </c>
      <c r="D3275" s="465"/>
      <c r="E3275" s="466" t="s">
        <v>2957</v>
      </c>
      <c r="F3275" s="466"/>
      <c r="G3275" s="465"/>
      <c r="H3275" s="465">
        <v>4</v>
      </c>
    </row>
    <row r="3276" spans="1:8" ht="13.8" thickBot="1">
      <c r="A3276" s="465" t="s">
        <v>8489</v>
      </c>
      <c r="B3276" s="465" t="s">
        <v>3099</v>
      </c>
      <c r="C3276" s="466">
        <v>6</v>
      </c>
      <c r="D3276" s="467" t="s">
        <v>614</v>
      </c>
      <c r="E3276" s="466" t="s">
        <v>3085</v>
      </c>
      <c r="F3276" s="466" t="s">
        <v>1226</v>
      </c>
      <c r="G3276" s="465"/>
      <c r="H3276" s="465">
        <v>2</v>
      </c>
    </row>
    <row r="3277" spans="1:8" ht="13.8" thickBot="1">
      <c r="A3277" s="467" t="s">
        <v>8490</v>
      </c>
      <c r="B3277" s="465" t="s">
        <v>3100</v>
      </c>
      <c r="C3277" s="466">
        <v>6</v>
      </c>
      <c r="D3277" s="465"/>
      <c r="E3277" s="466" t="s">
        <v>3085</v>
      </c>
      <c r="F3277" s="466" t="s">
        <v>1224</v>
      </c>
      <c r="G3277" s="465">
        <v>1</v>
      </c>
      <c r="H3277" s="465">
        <v>7</v>
      </c>
    </row>
    <row r="3278" spans="1:8" ht="13.8" thickBot="1">
      <c r="A3278" s="467" t="s">
        <v>8491</v>
      </c>
      <c r="B3278" s="465" t="s">
        <v>3144</v>
      </c>
      <c r="C3278" s="466">
        <v>6</v>
      </c>
      <c r="D3278" s="465"/>
      <c r="E3278" s="466" t="s">
        <v>3130</v>
      </c>
      <c r="F3278" s="466" t="s">
        <v>1251</v>
      </c>
      <c r="G3278" s="465">
        <v>1</v>
      </c>
      <c r="H3278" s="465">
        <v>12</v>
      </c>
    </row>
    <row r="3279" spans="1:8" ht="13.8" thickBot="1">
      <c r="A3279" s="467" t="s">
        <v>8492</v>
      </c>
      <c r="B3279" s="465" t="s">
        <v>3131</v>
      </c>
      <c r="C3279" s="466">
        <v>6</v>
      </c>
      <c r="D3279" s="465"/>
      <c r="E3279" s="466" t="s">
        <v>3130</v>
      </c>
      <c r="F3279" s="466" t="s">
        <v>1226</v>
      </c>
      <c r="G3279" s="465"/>
      <c r="H3279" s="465">
        <v>3</v>
      </c>
    </row>
    <row r="3280" spans="1:8" ht="13.8" thickBot="1">
      <c r="A3280" s="467" t="s">
        <v>8493</v>
      </c>
      <c r="B3280" s="465" t="s">
        <v>3131</v>
      </c>
      <c r="C3280" s="466">
        <v>6</v>
      </c>
      <c r="D3280" s="467" t="s">
        <v>614</v>
      </c>
      <c r="E3280" s="466" t="s">
        <v>3130</v>
      </c>
      <c r="F3280" s="466" t="s">
        <v>1226</v>
      </c>
      <c r="G3280" s="465"/>
      <c r="H3280" s="465">
        <v>9</v>
      </c>
    </row>
    <row r="3281" spans="1:8" ht="13.8" thickBot="1">
      <c r="A3281" s="467" t="s">
        <v>8494</v>
      </c>
      <c r="B3281" s="465" t="s">
        <v>3131</v>
      </c>
      <c r="C3281" s="466">
        <v>6</v>
      </c>
      <c r="D3281" s="467" t="s">
        <v>614</v>
      </c>
      <c r="E3281" s="466" t="s">
        <v>3130</v>
      </c>
      <c r="F3281" s="466" t="s">
        <v>1226</v>
      </c>
      <c r="G3281" s="465">
        <v>2</v>
      </c>
      <c r="H3281" s="465">
        <v>5</v>
      </c>
    </row>
    <row r="3282" spans="1:8" ht="13.8" thickBot="1">
      <c r="A3282" s="467" t="s">
        <v>8495</v>
      </c>
      <c r="B3282" s="465" t="s">
        <v>3145</v>
      </c>
      <c r="C3282" s="466">
        <v>6</v>
      </c>
      <c r="D3282" s="467" t="s">
        <v>2512</v>
      </c>
      <c r="E3282" s="466" t="s">
        <v>3130</v>
      </c>
      <c r="F3282" s="466" t="s">
        <v>1226</v>
      </c>
      <c r="G3282" s="465"/>
      <c r="H3282" s="465">
        <v>2</v>
      </c>
    </row>
    <row r="3283" spans="1:8" ht="13.8" thickBot="1">
      <c r="A3283" s="465" t="s">
        <v>8496</v>
      </c>
      <c r="B3283" s="465" t="s">
        <v>3146</v>
      </c>
      <c r="C3283" s="466">
        <v>6</v>
      </c>
      <c r="D3283" s="467" t="s">
        <v>614</v>
      </c>
      <c r="E3283" s="466" t="s">
        <v>3130</v>
      </c>
      <c r="F3283" s="466" t="s">
        <v>1226</v>
      </c>
      <c r="G3283" s="465"/>
      <c r="H3283" s="465">
        <v>5</v>
      </c>
    </row>
    <row r="3284" spans="1:8" ht="13.8" thickBot="1">
      <c r="A3284" s="467" t="s">
        <v>8497</v>
      </c>
      <c r="B3284" s="465" t="s">
        <v>3147</v>
      </c>
      <c r="C3284" s="466">
        <v>6</v>
      </c>
      <c r="D3284" s="465"/>
      <c r="E3284" s="466" t="s">
        <v>3130</v>
      </c>
      <c r="F3284" s="466" t="s">
        <v>1226</v>
      </c>
      <c r="G3284" s="465"/>
      <c r="H3284" s="465">
        <v>3</v>
      </c>
    </row>
    <row r="3285" spans="1:8" ht="13.8" thickBot="1">
      <c r="A3285" s="467" t="s">
        <v>8498</v>
      </c>
      <c r="B3285" s="465" t="s">
        <v>3159</v>
      </c>
      <c r="C3285" s="466">
        <v>6</v>
      </c>
      <c r="D3285" s="465"/>
      <c r="E3285" s="466" t="s">
        <v>3158</v>
      </c>
      <c r="F3285" s="466"/>
      <c r="G3285" s="465"/>
      <c r="H3285" s="465">
        <v>3</v>
      </c>
    </row>
    <row r="3286" spans="1:8" ht="13.8" thickBot="1">
      <c r="A3286" s="467" t="s">
        <v>8499</v>
      </c>
      <c r="B3286" s="465" t="s">
        <v>3216</v>
      </c>
      <c r="C3286" s="466">
        <v>6</v>
      </c>
      <c r="D3286" s="465"/>
      <c r="E3286" s="466" t="s">
        <v>3161</v>
      </c>
      <c r="F3286" s="466" t="s">
        <v>1251</v>
      </c>
      <c r="G3286" s="465"/>
      <c r="H3286" s="465">
        <v>3</v>
      </c>
    </row>
    <row r="3287" spans="1:8" ht="13.8" thickBot="1">
      <c r="A3287" s="465" t="s">
        <v>8500</v>
      </c>
      <c r="B3287" s="465" t="s">
        <v>3217</v>
      </c>
      <c r="C3287" s="466">
        <v>6</v>
      </c>
      <c r="D3287" s="465"/>
      <c r="E3287" s="466" t="s">
        <v>3161</v>
      </c>
      <c r="F3287" s="466" t="s">
        <v>1841</v>
      </c>
      <c r="G3287" s="465">
        <v>1</v>
      </c>
      <c r="H3287" s="465">
        <v>4</v>
      </c>
    </row>
    <row r="3288" spans="1:8" ht="13.8" thickBot="1">
      <c r="A3288" s="467" t="s">
        <v>8501</v>
      </c>
      <c r="B3288" s="465" t="s">
        <v>1390</v>
      </c>
      <c r="C3288" s="466">
        <v>6</v>
      </c>
      <c r="D3288" s="465"/>
      <c r="E3288" s="466" t="s">
        <v>3161</v>
      </c>
      <c r="F3288" s="466" t="s">
        <v>1226</v>
      </c>
      <c r="G3288" s="465">
        <v>1</v>
      </c>
      <c r="H3288" s="465">
        <v>1</v>
      </c>
    </row>
    <row r="3289" spans="1:8" ht="13.8" thickBot="1">
      <c r="A3289" s="465" t="s">
        <v>8502</v>
      </c>
      <c r="B3289" s="465" t="s">
        <v>1408</v>
      </c>
      <c r="C3289" s="466">
        <v>6</v>
      </c>
      <c r="D3289" s="465"/>
      <c r="E3289" s="466" t="s">
        <v>3161</v>
      </c>
      <c r="F3289" s="466" t="s">
        <v>1226</v>
      </c>
      <c r="G3289" s="465"/>
      <c r="H3289" s="465">
        <v>1</v>
      </c>
    </row>
    <row r="3290" spans="1:8" ht="13.8" thickBot="1">
      <c r="A3290" s="467" t="s">
        <v>8503</v>
      </c>
      <c r="B3290" s="468" t="s">
        <v>1408</v>
      </c>
      <c r="C3290" s="466">
        <v>6</v>
      </c>
      <c r="D3290" s="465"/>
      <c r="E3290" s="466" t="s">
        <v>3161</v>
      </c>
      <c r="F3290" s="466" t="s">
        <v>1226</v>
      </c>
      <c r="G3290" s="465"/>
      <c r="H3290" s="465">
        <v>2</v>
      </c>
    </row>
    <row r="3291" spans="1:8" ht="13.8" thickBot="1">
      <c r="A3291" s="465" t="s">
        <v>8504</v>
      </c>
      <c r="B3291" s="465" t="s">
        <v>3218</v>
      </c>
      <c r="C3291" s="466">
        <v>6</v>
      </c>
      <c r="D3291" s="465"/>
      <c r="E3291" s="466" t="s">
        <v>3161</v>
      </c>
      <c r="F3291" s="466" t="s">
        <v>1226</v>
      </c>
      <c r="G3291" s="465">
        <v>1</v>
      </c>
      <c r="H3291" s="465">
        <v>1</v>
      </c>
    </row>
    <row r="3292" spans="1:8" ht="13.8" thickBot="1">
      <c r="A3292" s="467" t="s">
        <v>8505</v>
      </c>
      <c r="B3292" s="465" t="s">
        <v>1413</v>
      </c>
      <c r="C3292" s="466">
        <v>6</v>
      </c>
      <c r="D3292" s="467" t="s">
        <v>614</v>
      </c>
      <c r="E3292" s="466" t="s">
        <v>3161</v>
      </c>
      <c r="F3292" s="466" t="s">
        <v>2067</v>
      </c>
      <c r="G3292" s="465">
        <v>2</v>
      </c>
      <c r="H3292" s="465">
        <v>6</v>
      </c>
    </row>
    <row r="3293" spans="1:8" ht="13.8" thickBot="1">
      <c r="A3293" s="467" t="s">
        <v>8506</v>
      </c>
      <c r="B3293" s="465" t="s">
        <v>3219</v>
      </c>
      <c r="C3293" s="466">
        <v>6</v>
      </c>
      <c r="D3293" s="467" t="s">
        <v>614</v>
      </c>
      <c r="E3293" s="466" t="s">
        <v>3161</v>
      </c>
      <c r="F3293" s="466" t="s">
        <v>1224</v>
      </c>
      <c r="G3293" s="465">
        <v>1</v>
      </c>
      <c r="H3293" s="465">
        <v>2</v>
      </c>
    </row>
    <row r="3294" spans="1:8" ht="13.8" thickBot="1">
      <c r="A3294" s="465" t="s">
        <v>8507</v>
      </c>
      <c r="B3294" s="465" t="s">
        <v>3172</v>
      </c>
      <c r="C3294" s="466">
        <v>6</v>
      </c>
      <c r="D3294" s="465"/>
      <c r="E3294" s="466" t="s">
        <v>3161</v>
      </c>
      <c r="F3294" s="466" t="s">
        <v>1224</v>
      </c>
      <c r="G3294" s="465">
        <v>1</v>
      </c>
      <c r="H3294" s="465">
        <v>1</v>
      </c>
    </row>
    <row r="3295" spans="1:8" ht="13.8" thickBot="1">
      <c r="A3295" s="467" t="s">
        <v>8508</v>
      </c>
      <c r="B3295" s="465" t="s">
        <v>3220</v>
      </c>
      <c r="C3295" s="466">
        <v>6</v>
      </c>
      <c r="D3295" s="465"/>
      <c r="E3295" s="466" t="s">
        <v>3161</v>
      </c>
      <c r="F3295" s="466" t="s">
        <v>1224</v>
      </c>
      <c r="G3295" s="465"/>
      <c r="H3295" s="465">
        <v>3</v>
      </c>
    </row>
    <row r="3296" spans="1:8" ht="13.8" thickBot="1">
      <c r="A3296" s="467" t="s">
        <v>8509</v>
      </c>
      <c r="B3296" s="465" t="s">
        <v>3181</v>
      </c>
      <c r="C3296" s="466">
        <v>6</v>
      </c>
      <c r="D3296" s="467" t="s">
        <v>614</v>
      </c>
      <c r="E3296" s="466" t="s">
        <v>3161</v>
      </c>
      <c r="F3296" s="466" t="s">
        <v>1224</v>
      </c>
      <c r="G3296" s="465">
        <v>1</v>
      </c>
      <c r="H3296" s="465">
        <v>4</v>
      </c>
    </row>
    <row r="3297" spans="1:8" ht="13.8" thickBot="1">
      <c r="A3297" s="465" t="s">
        <v>8510</v>
      </c>
      <c r="B3297" s="465" t="s">
        <v>3221</v>
      </c>
      <c r="C3297" s="466">
        <v>6</v>
      </c>
      <c r="D3297" s="467" t="s">
        <v>614</v>
      </c>
      <c r="E3297" s="466" t="s">
        <v>3161</v>
      </c>
      <c r="F3297" s="466" t="s">
        <v>1224</v>
      </c>
      <c r="G3297" s="465">
        <v>1</v>
      </c>
      <c r="H3297" s="465">
        <v>4</v>
      </c>
    </row>
    <row r="3298" spans="1:8" ht="13.8" thickBot="1">
      <c r="A3298" s="467" t="s">
        <v>8511</v>
      </c>
      <c r="B3298" s="465" t="s">
        <v>3222</v>
      </c>
      <c r="C3298" s="466">
        <v>6</v>
      </c>
      <c r="D3298" s="465"/>
      <c r="E3298" s="466" t="s">
        <v>3161</v>
      </c>
      <c r="F3298" s="466" t="s">
        <v>1936</v>
      </c>
      <c r="G3298" s="465">
        <v>2</v>
      </c>
      <c r="H3298" s="465">
        <v>3</v>
      </c>
    </row>
    <row r="3299" spans="1:8" ht="13.8" thickBot="1">
      <c r="A3299" s="467" t="s">
        <v>8512</v>
      </c>
      <c r="B3299" s="465" t="s">
        <v>1390</v>
      </c>
      <c r="C3299" s="466">
        <v>6</v>
      </c>
      <c r="D3299" s="465"/>
      <c r="E3299" s="466" t="s">
        <v>3161</v>
      </c>
      <c r="F3299" s="466" t="s">
        <v>1220</v>
      </c>
      <c r="G3299" s="465"/>
      <c r="H3299" s="465">
        <v>2</v>
      </c>
    </row>
    <row r="3300" spans="1:8" ht="13.8" thickBot="1">
      <c r="A3300" s="465" t="s">
        <v>8513</v>
      </c>
      <c r="B3300" s="465" t="s">
        <v>1404</v>
      </c>
      <c r="C3300" s="466">
        <v>6</v>
      </c>
      <c r="D3300" s="467" t="s">
        <v>614</v>
      </c>
      <c r="E3300" s="466" t="s">
        <v>3161</v>
      </c>
      <c r="F3300" s="466" t="s">
        <v>1220</v>
      </c>
      <c r="G3300" s="465">
        <v>1</v>
      </c>
      <c r="H3300" s="465">
        <v>4</v>
      </c>
    </row>
    <row r="3301" spans="1:8" ht="13.8" thickBot="1">
      <c r="A3301" s="467" t="s">
        <v>8514</v>
      </c>
      <c r="B3301" s="465" t="s">
        <v>3223</v>
      </c>
      <c r="C3301" s="466">
        <v>6</v>
      </c>
      <c r="D3301" s="467" t="s">
        <v>614</v>
      </c>
      <c r="E3301" s="466" t="s">
        <v>3161</v>
      </c>
      <c r="F3301" s="466" t="s">
        <v>1220</v>
      </c>
      <c r="G3301" s="465"/>
      <c r="H3301" s="465">
        <v>1</v>
      </c>
    </row>
    <row r="3302" spans="1:8" ht="13.8" thickBot="1">
      <c r="A3302" s="465" t="s">
        <v>8515</v>
      </c>
      <c r="B3302" s="465" t="s">
        <v>1390</v>
      </c>
      <c r="C3302" s="466">
        <v>6</v>
      </c>
      <c r="D3302" s="465"/>
      <c r="E3302" s="466" t="s">
        <v>3161</v>
      </c>
      <c r="F3302" s="466"/>
      <c r="G3302" s="465"/>
      <c r="H3302" s="465">
        <v>1</v>
      </c>
    </row>
    <row r="3303" spans="1:8" ht="13.8" thickBot="1">
      <c r="A3303" s="467" t="s">
        <v>8516</v>
      </c>
      <c r="B3303" s="465" t="s">
        <v>1399</v>
      </c>
      <c r="C3303" s="466">
        <v>6</v>
      </c>
      <c r="D3303" s="465"/>
      <c r="E3303" s="466" t="s">
        <v>3161</v>
      </c>
      <c r="F3303" s="466"/>
      <c r="G3303" s="465"/>
      <c r="H3303" s="465">
        <v>1</v>
      </c>
    </row>
    <row r="3304" spans="1:8" ht="13.8" thickBot="1">
      <c r="A3304" s="467" t="s">
        <v>8517</v>
      </c>
      <c r="B3304" s="465" t="s">
        <v>1399</v>
      </c>
      <c r="C3304" s="466">
        <v>6</v>
      </c>
      <c r="D3304" s="465"/>
      <c r="E3304" s="466" t="s">
        <v>3161</v>
      </c>
      <c r="F3304" s="466"/>
      <c r="G3304" s="465"/>
      <c r="H3304" s="465">
        <v>1</v>
      </c>
    </row>
    <row r="3305" spans="1:8" ht="13.8" thickBot="1">
      <c r="A3305" s="467" t="s">
        <v>8518</v>
      </c>
      <c r="B3305" s="465" t="s">
        <v>3224</v>
      </c>
      <c r="C3305" s="466">
        <v>6</v>
      </c>
      <c r="D3305" s="465"/>
      <c r="E3305" s="466" t="s">
        <v>3161</v>
      </c>
      <c r="F3305" s="466"/>
      <c r="G3305" s="465"/>
      <c r="H3305" s="465">
        <v>1</v>
      </c>
    </row>
    <row r="3306" spans="1:8" ht="13.8" thickBot="1">
      <c r="A3306" s="467" t="s">
        <v>8519</v>
      </c>
      <c r="B3306" s="465" t="s">
        <v>3225</v>
      </c>
      <c r="C3306" s="466">
        <v>6</v>
      </c>
      <c r="D3306" s="465"/>
      <c r="E3306" s="466" t="s">
        <v>3161</v>
      </c>
      <c r="F3306" s="466"/>
      <c r="G3306" s="465"/>
      <c r="H3306" s="465">
        <v>1</v>
      </c>
    </row>
    <row r="3307" spans="1:8" ht="13.8" thickBot="1">
      <c r="A3307" s="465" t="s">
        <v>8520</v>
      </c>
      <c r="B3307" s="465" t="s">
        <v>3226</v>
      </c>
      <c r="C3307" s="466">
        <v>6</v>
      </c>
      <c r="D3307" s="467" t="s">
        <v>614</v>
      </c>
      <c r="E3307" s="466" t="s">
        <v>3161</v>
      </c>
      <c r="F3307" s="466"/>
      <c r="G3307" s="465">
        <v>2</v>
      </c>
      <c r="H3307" s="465">
        <v>2</v>
      </c>
    </row>
    <row r="3308" spans="1:8" ht="13.8" thickBot="1">
      <c r="A3308" s="465" t="s">
        <v>8521</v>
      </c>
      <c r="B3308" s="465" t="s">
        <v>1419</v>
      </c>
      <c r="C3308" s="466">
        <v>6</v>
      </c>
      <c r="D3308" s="467" t="s">
        <v>614</v>
      </c>
      <c r="E3308" s="466" t="s">
        <v>3285</v>
      </c>
      <c r="F3308" s="466" t="s">
        <v>1880</v>
      </c>
      <c r="G3308" s="465">
        <v>2</v>
      </c>
      <c r="H3308" s="465">
        <v>3</v>
      </c>
    </row>
    <row r="3309" spans="1:8" ht="13.8" thickBot="1">
      <c r="A3309" s="465" t="s">
        <v>8522</v>
      </c>
      <c r="B3309" s="465" t="s">
        <v>1419</v>
      </c>
      <c r="C3309" s="466">
        <v>6</v>
      </c>
      <c r="D3309" s="467" t="s">
        <v>614</v>
      </c>
      <c r="E3309" s="466" t="s">
        <v>3285</v>
      </c>
      <c r="F3309" s="466" t="s">
        <v>1863</v>
      </c>
      <c r="G3309" s="465">
        <v>2</v>
      </c>
      <c r="H3309" s="465">
        <v>8</v>
      </c>
    </row>
    <row r="3310" spans="1:8" ht="13.8" thickBot="1">
      <c r="A3310" s="465" t="s">
        <v>8523</v>
      </c>
      <c r="B3310" s="465" t="s">
        <v>3331</v>
      </c>
      <c r="C3310" s="466">
        <v>6</v>
      </c>
      <c r="D3310" s="467" t="s">
        <v>3332</v>
      </c>
      <c r="E3310" s="466" t="s">
        <v>3315</v>
      </c>
      <c r="F3310" s="466" t="s">
        <v>1251</v>
      </c>
      <c r="G3310" s="465">
        <v>4</v>
      </c>
      <c r="H3310" s="465">
        <v>10</v>
      </c>
    </row>
    <row r="3311" spans="1:8" ht="13.8" thickBot="1">
      <c r="A3311" s="467" t="s">
        <v>8524</v>
      </c>
      <c r="B3311" s="465" t="s">
        <v>3333</v>
      </c>
      <c r="C3311" s="466">
        <v>6</v>
      </c>
      <c r="D3311" s="465"/>
      <c r="E3311" s="466" t="s">
        <v>3315</v>
      </c>
      <c r="F3311" s="466" t="s">
        <v>1224</v>
      </c>
      <c r="G3311" s="465">
        <v>1</v>
      </c>
      <c r="H3311" s="465">
        <v>3</v>
      </c>
    </row>
    <row r="3312" spans="1:8" ht="13.8" thickBot="1">
      <c r="A3312" s="467" t="s">
        <v>8525</v>
      </c>
      <c r="B3312" s="465" t="s">
        <v>3334</v>
      </c>
      <c r="C3312" s="466">
        <v>6</v>
      </c>
      <c r="D3312" s="467" t="s">
        <v>614</v>
      </c>
      <c r="E3312" s="466" t="s">
        <v>3315</v>
      </c>
      <c r="F3312" s="466" t="s">
        <v>3335</v>
      </c>
      <c r="G3312" s="465">
        <v>3</v>
      </c>
      <c r="H3312" s="465">
        <v>6</v>
      </c>
    </row>
    <row r="3313" spans="1:8" ht="13.8" thickBot="1">
      <c r="A3313" s="465" t="s">
        <v>8526</v>
      </c>
      <c r="B3313" s="465" t="s">
        <v>3336</v>
      </c>
      <c r="C3313" s="466">
        <v>6</v>
      </c>
      <c r="D3313" s="465"/>
      <c r="E3313" s="466" t="s">
        <v>3315</v>
      </c>
      <c r="F3313" s="466"/>
      <c r="G3313" s="465"/>
      <c r="H3313" s="465"/>
    </row>
    <row r="3314" spans="1:8" ht="13.8" thickBot="1">
      <c r="A3314" s="467" t="s">
        <v>8251</v>
      </c>
      <c r="B3314" s="465" t="s">
        <v>2050</v>
      </c>
      <c r="C3314" s="466">
        <v>6</v>
      </c>
      <c r="D3314" s="467" t="s">
        <v>614</v>
      </c>
      <c r="E3314" s="466" t="s">
        <v>2032</v>
      </c>
      <c r="F3314" s="466" t="s">
        <v>1841</v>
      </c>
      <c r="G3314" s="465"/>
      <c r="H3314" s="465">
        <v>10</v>
      </c>
    </row>
    <row r="3315" spans="1:8" ht="13.8" thickBot="1">
      <c r="A3315" s="465" t="s">
        <v>8252</v>
      </c>
      <c r="B3315" s="465" t="s">
        <v>2044</v>
      </c>
      <c r="C3315" s="466">
        <v>6</v>
      </c>
      <c r="D3315" s="465"/>
      <c r="E3315" s="466" t="s">
        <v>2032</v>
      </c>
      <c r="F3315" s="466" t="s">
        <v>1226</v>
      </c>
      <c r="G3315" s="465"/>
      <c r="H3315" s="465">
        <v>6</v>
      </c>
    </row>
    <row r="3316" spans="1:8" ht="13.8" thickBot="1">
      <c r="A3316" s="467" t="s">
        <v>8253</v>
      </c>
      <c r="B3316" s="465" t="s">
        <v>2051</v>
      </c>
      <c r="C3316" s="466">
        <v>6</v>
      </c>
      <c r="D3316" s="465"/>
      <c r="E3316" s="466" t="s">
        <v>2032</v>
      </c>
      <c r="F3316" s="466" t="s">
        <v>1226</v>
      </c>
      <c r="G3316" s="465"/>
      <c r="H3316" s="465">
        <v>4</v>
      </c>
    </row>
    <row r="3317" spans="1:8" ht="13.8" thickBot="1">
      <c r="A3317" s="467" t="s">
        <v>8254</v>
      </c>
      <c r="B3317" s="465" t="s">
        <v>2052</v>
      </c>
      <c r="C3317" s="466">
        <v>6</v>
      </c>
      <c r="D3317" s="465"/>
      <c r="E3317" s="466" t="s">
        <v>2032</v>
      </c>
      <c r="F3317" s="466" t="s">
        <v>1226</v>
      </c>
      <c r="G3317" s="465"/>
      <c r="H3317" s="465">
        <v>3</v>
      </c>
    </row>
    <row r="3318" spans="1:8" ht="13.8" thickBot="1">
      <c r="A3318" s="467" t="s">
        <v>8255</v>
      </c>
      <c r="B3318" s="465" t="s">
        <v>2053</v>
      </c>
      <c r="C3318" s="466">
        <v>6</v>
      </c>
      <c r="D3318" s="465"/>
      <c r="E3318" s="466" t="s">
        <v>2032</v>
      </c>
      <c r="F3318" s="466" t="s">
        <v>1226</v>
      </c>
      <c r="G3318" s="465"/>
      <c r="H3318" s="465">
        <v>1</v>
      </c>
    </row>
    <row r="3319" spans="1:8" ht="13.8" thickBot="1">
      <c r="A3319" s="467" t="s">
        <v>8256</v>
      </c>
      <c r="B3319" s="465" t="s">
        <v>2054</v>
      </c>
      <c r="C3319" s="466">
        <v>6</v>
      </c>
      <c r="D3319" s="465"/>
      <c r="E3319" s="466" t="s">
        <v>2032</v>
      </c>
      <c r="F3319" s="466" t="s">
        <v>1226</v>
      </c>
      <c r="G3319" s="465"/>
      <c r="H3319" s="465">
        <v>1</v>
      </c>
    </row>
    <row r="3320" spans="1:8" ht="13.8" thickBot="1">
      <c r="A3320" s="465" t="s">
        <v>1185</v>
      </c>
      <c r="B3320" s="465" t="s">
        <v>2055</v>
      </c>
      <c r="C3320" s="466">
        <v>6</v>
      </c>
      <c r="D3320" s="467" t="s">
        <v>614</v>
      </c>
      <c r="E3320" s="466" t="s">
        <v>2032</v>
      </c>
      <c r="F3320" s="466" t="s">
        <v>1226</v>
      </c>
      <c r="G3320" s="465"/>
      <c r="H3320" s="465">
        <v>10</v>
      </c>
    </row>
    <row r="3321" spans="1:8" ht="13.8" thickBot="1">
      <c r="A3321" s="467" t="s">
        <v>8257</v>
      </c>
      <c r="B3321" s="465" t="s">
        <v>2056</v>
      </c>
      <c r="C3321" s="466">
        <v>6</v>
      </c>
      <c r="D3321" s="465"/>
      <c r="E3321" s="466" t="s">
        <v>2032</v>
      </c>
      <c r="F3321" s="466" t="s">
        <v>1224</v>
      </c>
      <c r="G3321" s="465"/>
      <c r="H3321" s="465">
        <v>7</v>
      </c>
    </row>
    <row r="3322" spans="1:8" ht="13.8" thickBot="1">
      <c r="A3322" s="467" t="s">
        <v>8258</v>
      </c>
      <c r="B3322" s="465" t="s">
        <v>2057</v>
      </c>
      <c r="C3322" s="466">
        <v>6</v>
      </c>
      <c r="D3322" s="465"/>
      <c r="E3322" s="466" t="s">
        <v>2032</v>
      </c>
      <c r="F3322" s="466" t="s">
        <v>1224</v>
      </c>
      <c r="G3322" s="465"/>
      <c r="H3322" s="465">
        <v>3</v>
      </c>
    </row>
    <row r="3323" spans="1:8" ht="13.8" thickBot="1">
      <c r="A3323" s="467" t="s">
        <v>8259</v>
      </c>
      <c r="B3323" s="465" t="s">
        <v>2058</v>
      </c>
      <c r="C3323" s="466">
        <v>6</v>
      </c>
      <c r="D3323" s="465"/>
      <c r="E3323" s="466" t="s">
        <v>2032</v>
      </c>
      <c r="F3323" s="466" t="s">
        <v>1224</v>
      </c>
      <c r="G3323" s="465"/>
      <c r="H3323" s="465">
        <v>7</v>
      </c>
    </row>
    <row r="3324" spans="1:8" ht="13.8" thickBot="1">
      <c r="A3324" s="467" t="s">
        <v>8260</v>
      </c>
      <c r="B3324" s="465" t="s">
        <v>2059</v>
      </c>
      <c r="C3324" s="466">
        <v>6</v>
      </c>
      <c r="D3324" s="465"/>
      <c r="E3324" s="466" t="s">
        <v>2032</v>
      </c>
      <c r="F3324" s="466" t="s">
        <v>1224</v>
      </c>
      <c r="G3324" s="465"/>
      <c r="H3324" s="465">
        <v>3</v>
      </c>
    </row>
    <row r="3325" spans="1:8" ht="13.8" thickBot="1">
      <c r="A3325" s="467" t="s">
        <v>8261</v>
      </c>
      <c r="B3325" s="468" t="s">
        <v>2044</v>
      </c>
      <c r="C3325" s="466">
        <v>6</v>
      </c>
      <c r="D3325" s="465"/>
      <c r="E3325" s="466" t="s">
        <v>2032</v>
      </c>
      <c r="F3325" s="466"/>
      <c r="G3325" s="465"/>
      <c r="H3325" s="465">
        <v>1</v>
      </c>
    </row>
    <row r="3326" spans="1:8" ht="13.8" thickBot="1">
      <c r="A3326" s="465" t="s">
        <v>8262</v>
      </c>
      <c r="B3326" s="465" t="s">
        <v>2060</v>
      </c>
      <c r="C3326" s="466">
        <v>6</v>
      </c>
      <c r="D3326" s="465"/>
      <c r="E3326" s="466" t="s">
        <v>2032</v>
      </c>
      <c r="F3326" s="466"/>
      <c r="G3326" s="465"/>
      <c r="H3326" s="465">
        <v>1</v>
      </c>
    </row>
    <row r="3327" spans="1:8" ht="13.8" thickBot="1">
      <c r="A3327" s="467" t="s">
        <v>8263</v>
      </c>
      <c r="B3327" s="465" t="s">
        <v>2061</v>
      </c>
      <c r="C3327" s="466">
        <v>6</v>
      </c>
      <c r="D3327" s="465"/>
      <c r="E3327" s="466" t="s">
        <v>2032</v>
      </c>
      <c r="F3327" s="466"/>
      <c r="G3327" s="465">
        <v>1</v>
      </c>
      <c r="H3327" s="465">
        <v>1</v>
      </c>
    </row>
    <row r="3328" spans="1:8" ht="13.8" thickBot="1">
      <c r="A3328" s="467" t="s">
        <v>8264</v>
      </c>
      <c r="B3328" s="465" t="s">
        <v>2062</v>
      </c>
      <c r="C3328" s="466">
        <v>6</v>
      </c>
      <c r="D3328" s="465"/>
      <c r="E3328" s="466" t="s">
        <v>2032</v>
      </c>
      <c r="F3328" s="466"/>
      <c r="G3328" s="465">
        <v>1</v>
      </c>
      <c r="H3328" s="465">
        <v>3</v>
      </c>
    </row>
    <row r="3329" spans="1:8" ht="13.8" thickBot="1">
      <c r="A3329" s="465" t="s">
        <v>8265</v>
      </c>
      <c r="B3329" s="465" t="s">
        <v>2063</v>
      </c>
      <c r="C3329" s="466">
        <v>6</v>
      </c>
      <c r="D3329" s="465"/>
      <c r="E3329" s="466" t="s">
        <v>2032</v>
      </c>
      <c r="F3329" s="466"/>
      <c r="G3329" s="465"/>
      <c r="H3329" s="465">
        <v>1</v>
      </c>
    </row>
    <row r="3330" spans="1:8" ht="13.8" thickBot="1">
      <c r="A3330" s="467" t="s">
        <v>8527</v>
      </c>
      <c r="B3330" s="465" t="s">
        <v>3385</v>
      </c>
      <c r="C3330" s="466">
        <v>6</v>
      </c>
      <c r="D3330" s="465"/>
      <c r="E3330" s="466" t="s">
        <v>3351</v>
      </c>
      <c r="F3330" s="466" t="s">
        <v>1224</v>
      </c>
      <c r="G3330" s="465"/>
      <c r="H3330" s="465">
        <v>3</v>
      </c>
    </row>
    <row r="3331" spans="1:8" ht="13.8" thickBot="1">
      <c r="A3331" s="465" t="s">
        <v>8528</v>
      </c>
      <c r="B3331" s="465" t="s">
        <v>3386</v>
      </c>
      <c r="C3331" s="466">
        <v>6</v>
      </c>
      <c r="D3331" s="467" t="s">
        <v>614</v>
      </c>
      <c r="E3331" s="466" t="s">
        <v>3351</v>
      </c>
      <c r="F3331" s="466" t="s">
        <v>1936</v>
      </c>
      <c r="G3331" s="465">
        <v>1</v>
      </c>
      <c r="H3331" s="465">
        <v>2</v>
      </c>
    </row>
    <row r="3332" spans="1:8" ht="13.8" thickBot="1">
      <c r="A3332" s="465" t="s">
        <v>8529</v>
      </c>
      <c r="B3332" s="465" t="s">
        <v>3387</v>
      </c>
      <c r="C3332" s="466">
        <v>6</v>
      </c>
      <c r="D3332" s="465"/>
      <c r="E3332" s="466" t="s">
        <v>3351</v>
      </c>
      <c r="F3332" s="466"/>
      <c r="G3332" s="465">
        <v>1</v>
      </c>
      <c r="H3332" s="465">
        <v>1</v>
      </c>
    </row>
    <row r="3333" spans="1:8" ht="13.8" thickBot="1">
      <c r="A3333" s="467" t="s">
        <v>8530</v>
      </c>
      <c r="B3333" s="465" t="s">
        <v>3388</v>
      </c>
      <c r="C3333" s="466">
        <v>6</v>
      </c>
      <c r="D3333" s="467" t="s">
        <v>614</v>
      </c>
      <c r="E3333" s="466" t="s">
        <v>3351</v>
      </c>
      <c r="F3333" s="466"/>
      <c r="G3333" s="465"/>
      <c r="H3333" s="465">
        <v>3</v>
      </c>
    </row>
    <row r="3334" spans="1:8" ht="13.8" thickBot="1">
      <c r="A3334" s="467" t="s">
        <v>8531</v>
      </c>
      <c r="B3334" s="465" t="s">
        <v>3407</v>
      </c>
      <c r="C3334" s="466">
        <v>6</v>
      </c>
      <c r="D3334" s="467" t="s">
        <v>3408</v>
      </c>
      <c r="E3334" s="466" t="s">
        <v>3400</v>
      </c>
      <c r="F3334" s="466" t="s">
        <v>1229</v>
      </c>
      <c r="G3334" s="465">
        <v>1</v>
      </c>
      <c r="H3334" s="465">
        <v>19</v>
      </c>
    </row>
    <row r="3335" spans="1:8" ht="13.8" thickBot="1">
      <c r="A3335" s="467" t="s">
        <v>8532</v>
      </c>
      <c r="B3335" s="465" t="s">
        <v>3409</v>
      </c>
      <c r="C3335" s="466">
        <v>6</v>
      </c>
      <c r="D3335" s="467" t="s">
        <v>3410</v>
      </c>
      <c r="E3335" s="466" t="s">
        <v>3400</v>
      </c>
      <c r="F3335" s="466" t="s">
        <v>1226</v>
      </c>
      <c r="G3335" s="465"/>
      <c r="H3335" s="465">
        <v>1</v>
      </c>
    </row>
    <row r="3336" spans="1:8" ht="13.8" thickBot="1">
      <c r="A3336" s="467" t="s">
        <v>8533</v>
      </c>
      <c r="B3336" s="465" t="s">
        <v>3411</v>
      </c>
      <c r="C3336" s="466">
        <v>6</v>
      </c>
      <c r="D3336" s="465"/>
      <c r="E3336" s="466" t="s">
        <v>3400</v>
      </c>
      <c r="F3336" s="466" t="s">
        <v>1226</v>
      </c>
      <c r="G3336" s="465"/>
      <c r="H3336" s="465">
        <v>1</v>
      </c>
    </row>
    <row r="3337" spans="1:8" ht="13.8" thickBot="1">
      <c r="A3337" s="467" t="s">
        <v>8534</v>
      </c>
      <c r="B3337" s="465" t="s">
        <v>3402</v>
      </c>
      <c r="C3337" s="466">
        <v>6</v>
      </c>
      <c r="D3337" s="465"/>
      <c r="E3337" s="466" t="s">
        <v>3400</v>
      </c>
      <c r="F3337" s="466"/>
      <c r="G3337" s="465"/>
      <c r="H3337" s="465"/>
    </row>
    <row r="3338" spans="1:8" ht="13.8" thickBot="1">
      <c r="A3338" s="467" t="s">
        <v>8535</v>
      </c>
      <c r="B3338" s="465" t="s">
        <v>3437</v>
      </c>
      <c r="C3338" s="466">
        <v>6</v>
      </c>
      <c r="D3338" s="465"/>
      <c r="E3338" s="466" t="s">
        <v>3414</v>
      </c>
      <c r="F3338" s="466"/>
      <c r="G3338" s="465"/>
      <c r="H3338" s="465">
        <v>2</v>
      </c>
    </row>
    <row r="3339" spans="1:8" ht="13.8" thickBot="1">
      <c r="A3339" s="467" t="s">
        <v>8536</v>
      </c>
      <c r="B3339" s="465" t="s">
        <v>1447</v>
      </c>
      <c r="C3339" s="466">
        <v>6</v>
      </c>
      <c r="D3339" s="465" t="s">
        <v>2223</v>
      </c>
      <c r="E3339" s="466" t="s">
        <v>3448</v>
      </c>
      <c r="F3339" s="466"/>
      <c r="G3339" s="465"/>
      <c r="H3339" s="465"/>
    </row>
    <row r="3340" spans="1:8" ht="13.8" thickBot="1">
      <c r="A3340" s="467" t="s">
        <v>8537</v>
      </c>
      <c r="B3340" s="465" t="s">
        <v>3474</v>
      </c>
      <c r="C3340" s="466">
        <v>6</v>
      </c>
      <c r="D3340" s="465"/>
      <c r="E3340" s="466" t="s">
        <v>3452</v>
      </c>
      <c r="F3340" s="466" t="s">
        <v>1226</v>
      </c>
      <c r="G3340" s="465"/>
      <c r="H3340" s="465">
        <v>4</v>
      </c>
    </row>
    <row r="3341" spans="1:8" ht="13.8" thickBot="1">
      <c r="A3341" s="467" t="s">
        <v>8538</v>
      </c>
      <c r="B3341" s="465" t="s">
        <v>3475</v>
      </c>
      <c r="C3341" s="466">
        <v>6</v>
      </c>
      <c r="D3341" s="467" t="s">
        <v>614</v>
      </c>
      <c r="E3341" s="466" t="s">
        <v>3452</v>
      </c>
      <c r="F3341" s="466" t="s">
        <v>1226</v>
      </c>
      <c r="G3341" s="465"/>
      <c r="H3341" s="465"/>
    </row>
    <row r="3342" spans="1:8" ht="13.8" thickBot="1">
      <c r="A3342" s="467" t="s">
        <v>8539</v>
      </c>
      <c r="B3342" s="465" t="s">
        <v>3476</v>
      </c>
      <c r="C3342" s="466">
        <v>6</v>
      </c>
      <c r="D3342" s="467" t="s">
        <v>614</v>
      </c>
      <c r="E3342" s="466" t="s">
        <v>3452</v>
      </c>
      <c r="F3342" s="466" t="s">
        <v>1226</v>
      </c>
      <c r="G3342" s="465"/>
      <c r="H3342" s="465">
        <v>11</v>
      </c>
    </row>
    <row r="3343" spans="1:8" ht="13.8" thickBot="1">
      <c r="A3343" s="465" t="s">
        <v>8540</v>
      </c>
      <c r="B3343" s="465" t="s">
        <v>3451</v>
      </c>
      <c r="C3343" s="466">
        <v>6</v>
      </c>
      <c r="D3343" s="465"/>
      <c r="E3343" s="466" t="s">
        <v>3452</v>
      </c>
      <c r="F3343" s="466"/>
      <c r="G3343" s="465"/>
      <c r="H3343" s="465">
        <v>1</v>
      </c>
    </row>
    <row r="3344" spans="1:8" ht="13.8" thickBot="1">
      <c r="A3344" s="467" t="s">
        <v>8541</v>
      </c>
      <c r="B3344" s="465" t="s">
        <v>3477</v>
      </c>
      <c r="C3344" s="466">
        <v>6</v>
      </c>
      <c r="D3344" s="465"/>
      <c r="E3344" s="466" t="s">
        <v>3452</v>
      </c>
      <c r="F3344" s="466"/>
      <c r="G3344" s="465"/>
      <c r="H3344" s="465">
        <v>2</v>
      </c>
    </row>
    <row r="3345" spans="1:8" ht="13.8" thickBot="1">
      <c r="A3345" s="467" t="s">
        <v>8542</v>
      </c>
      <c r="B3345" s="465" t="s">
        <v>3507</v>
      </c>
      <c r="C3345" s="466">
        <v>6</v>
      </c>
      <c r="D3345" s="467" t="s">
        <v>614</v>
      </c>
      <c r="E3345" s="466" t="s">
        <v>3496</v>
      </c>
      <c r="F3345" s="466"/>
      <c r="G3345" s="465">
        <v>1</v>
      </c>
      <c r="H3345" s="465">
        <v>2</v>
      </c>
    </row>
    <row r="3346" spans="1:8" ht="13.8" thickBot="1">
      <c r="A3346" s="467" t="s">
        <v>8543</v>
      </c>
      <c r="B3346" s="465" t="s">
        <v>3508</v>
      </c>
      <c r="C3346" s="466">
        <v>6</v>
      </c>
      <c r="D3346" s="465"/>
      <c r="E3346" s="466" t="s">
        <v>3496</v>
      </c>
      <c r="F3346" s="466"/>
      <c r="G3346" s="465">
        <v>1</v>
      </c>
      <c r="H3346" s="465">
        <v>2</v>
      </c>
    </row>
    <row r="3347" spans="1:8" ht="13.8" thickBot="1">
      <c r="A3347" s="467" t="s">
        <v>8544</v>
      </c>
      <c r="B3347" s="465" t="s">
        <v>3578</v>
      </c>
      <c r="C3347" s="466">
        <v>6</v>
      </c>
      <c r="D3347" s="465"/>
      <c r="E3347" s="466" t="s">
        <v>3517</v>
      </c>
      <c r="F3347" s="466" t="s">
        <v>1251</v>
      </c>
      <c r="G3347" s="465">
        <v>1</v>
      </c>
      <c r="H3347" s="465">
        <v>3</v>
      </c>
    </row>
    <row r="3348" spans="1:8" ht="13.8" thickBot="1">
      <c r="A3348" s="465" t="s">
        <v>8545</v>
      </c>
      <c r="B3348" s="465" t="s">
        <v>3579</v>
      </c>
      <c r="C3348" s="466">
        <v>6</v>
      </c>
      <c r="D3348" s="467" t="s">
        <v>3580</v>
      </c>
      <c r="E3348" s="466" t="s">
        <v>3517</v>
      </c>
      <c r="F3348" s="466" t="s">
        <v>1226</v>
      </c>
      <c r="G3348" s="465"/>
      <c r="H3348" s="465">
        <v>1</v>
      </c>
    </row>
    <row r="3349" spans="1:8" ht="13.8" thickBot="1">
      <c r="A3349" s="467" t="s">
        <v>8546</v>
      </c>
      <c r="B3349" s="465" t="s">
        <v>3581</v>
      </c>
      <c r="C3349" s="466">
        <v>6</v>
      </c>
      <c r="D3349" s="465"/>
      <c r="E3349" s="466" t="s">
        <v>3517</v>
      </c>
      <c r="F3349" s="466" t="s">
        <v>1226</v>
      </c>
      <c r="G3349" s="465"/>
      <c r="H3349" s="465">
        <v>5</v>
      </c>
    </row>
    <row r="3350" spans="1:8" ht="13.8" thickBot="1">
      <c r="A3350" s="465" t="s">
        <v>8547</v>
      </c>
      <c r="B3350" s="465" t="s">
        <v>3582</v>
      </c>
      <c r="C3350" s="466">
        <v>6</v>
      </c>
      <c r="D3350" s="465"/>
      <c r="E3350" s="466" t="s">
        <v>3517</v>
      </c>
      <c r="F3350" s="466" t="s">
        <v>1226</v>
      </c>
      <c r="G3350" s="465"/>
      <c r="H3350" s="465">
        <v>4</v>
      </c>
    </row>
    <row r="3351" spans="1:8" ht="13.8" thickBot="1">
      <c r="A3351" s="465" t="s">
        <v>8548</v>
      </c>
      <c r="B3351" s="465" t="s">
        <v>1457</v>
      </c>
      <c r="C3351" s="466">
        <v>6</v>
      </c>
      <c r="D3351" s="465"/>
      <c r="E3351" s="466" t="s">
        <v>3517</v>
      </c>
      <c r="F3351" s="466" t="s">
        <v>1226</v>
      </c>
      <c r="G3351" s="465"/>
      <c r="H3351" s="465">
        <v>5</v>
      </c>
    </row>
    <row r="3352" spans="1:8" ht="13.8" thickBot="1">
      <c r="A3352" s="467" t="s">
        <v>8549</v>
      </c>
      <c r="B3352" s="465" t="s">
        <v>3583</v>
      </c>
      <c r="C3352" s="466">
        <v>6</v>
      </c>
      <c r="D3352" s="465"/>
      <c r="E3352" s="466" t="s">
        <v>3517</v>
      </c>
      <c r="F3352" s="466" t="s">
        <v>2067</v>
      </c>
      <c r="G3352" s="465"/>
      <c r="H3352" s="465">
        <v>5</v>
      </c>
    </row>
    <row r="3353" spans="1:8" ht="13.8" thickBot="1">
      <c r="A3353" s="467" t="s">
        <v>8550</v>
      </c>
      <c r="B3353" s="465" t="s">
        <v>3584</v>
      </c>
      <c r="C3353" s="466">
        <v>6</v>
      </c>
      <c r="D3353" s="465"/>
      <c r="E3353" s="466" t="s">
        <v>3517</v>
      </c>
      <c r="F3353" s="466" t="s">
        <v>1224</v>
      </c>
      <c r="G3353" s="465"/>
      <c r="H3353" s="465">
        <v>1</v>
      </c>
    </row>
    <row r="3354" spans="1:8" ht="13.8" thickBot="1">
      <c r="A3354" s="467" t="s">
        <v>8551</v>
      </c>
      <c r="B3354" s="465" t="s">
        <v>3585</v>
      </c>
      <c r="C3354" s="466">
        <v>6</v>
      </c>
      <c r="D3354" s="465"/>
      <c r="E3354" s="466" t="s">
        <v>3517</v>
      </c>
      <c r="F3354" s="466" t="s">
        <v>1224</v>
      </c>
      <c r="G3354" s="465"/>
      <c r="H3354" s="465">
        <v>2</v>
      </c>
    </row>
    <row r="3355" spans="1:8" ht="13.8" thickBot="1">
      <c r="A3355" s="465" t="s">
        <v>8552</v>
      </c>
      <c r="B3355" s="465" t="s">
        <v>3548</v>
      </c>
      <c r="C3355" s="466">
        <v>6</v>
      </c>
      <c r="D3355" s="465"/>
      <c r="E3355" s="466" t="s">
        <v>3517</v>
      </c>
      <c r="F3355" s="466" t="s">
        <v>1224</v>
      </c>
      <c r="G3355" s="465"/>
      <c r="H3355" s="465">
        <v>4</v>
      </c>
    </row>
    <row r="3356" spans="1:8" ht="13.8" thickBot="1">
      <c r="A3356" s="467" t="s">
        <v>8553</v>
      </c>
      <c r="B3356" s="465" t="s">
        <v>3586</v>
      </c>
      <c r="C3356" s="466">
        <v>6</v>
      </c>
      <c r="D3356" s="465"/>
      <c r="E3356" s="466" t="s">
        <v>3517</v>
      </c>
      <c r="F3356" s="466" t="s">
        <v>1220</v>
      </c>
      <c r="G3356" s="465"/>
      <c r="H3356" s="465">
        <v>1</v>
      </c>
    </row>
    <row r="3357" spans="1:8" ht="13.8" thickBot="1">
      <c r="A3357" s="467" t="s">
        <v>8554</v>
      </c>
      <c r="B3357" s="465" t="s">
        <v>1452</v>
      </c>
      <c r="C3357" s="466">
        <v>6</v>
      </c>
      <c r="D3357" s="465"/>
      <c r="E3357" s="466" t="s">
        <v>3517</v>
      </c>
      <c r="F3357" s="466"/>
      <c r="G3357" s="465"/>
      <c r="H3357" s="465">
        <v>1</v>
      </c>
    </row>
    <row r="3358" spans="1:8" ht="13.8" thickBot="1">
      <c r="A3358" s="467" t="s">
        <v>8555</v>
      </c>
      <c r="B3358" s="465" t="s">
        <v>3587</v>
      </c>
      <c r="C3358" s="466">
        <v>6</v>
      </c>
      <c r="D3358" s="465"/>
      <c r="E3358" s="466" t="s">
        <v>3517</v>
      </c>
      <c r="F3358" s="466"/>
      <c r="G3358" s="465"/>
      <c r="H3358" s="465">
        <v>3</v>
      </c>
    </row>
    <row r="3359" spans="1:8" ht="13.8" thickBot="1">
      <c r="A3359" s="465" t="s">
        <v>8556</v>
      </c>
      <c r="B3359" s="465" t="s">
        <v>3588</v>
      </c>
      <c r="C3359" s="466">
        <v>6</v>
      </c>
      <c r="D3359" s="465"/>
      <c r="E3359" s="466" t="s">
        <v>3517</v>
      </c>
      <c r="F3359" s="466"/>
      <c r="G3359" s="465"/>
      <c r="H3359" s="465">
        <v>1</v>
      </c>
    </row>
    <row r="3360" spans="1:8" ht="13.8" thickBot="1">
      <c r="A3360" s="467" t="s">
        <v>8557</v>
      </c>
      <c r="B3360" s="465" t="s">
        <v>3589</v>
      </c>
      <c r="C3360" s="466">
        <v>6</v>
      </c>
      <c r="D3360" s="465"/>
      <c r="E3360" s="466" t="s">
        <v>3517</v>
      </c>
      <c r="F3360" s="466"/>
      <c r="G3360" s="465"/>
      <c r="H3360" s="465">
        <v>4</v>
      </c>
    </row>
    <row r="3361" spans="1:8" ht="13.8" thickBot="1">
      <c r="A3361" s="467" t="s">
        <v>8558</v>
      </c>
      <c r="B3361" s="465" t="s">
        <v>3590</v>
      </c>
      <c r="C3361" s="466">
        <v>6</v>
      </c>
      <c r="D3361" s="465"/>
      <c r="E3361" s="466" t="s">
        <v>3517</v>
      </c>
      <c r="F3361" s="466"/>
      <c r="G3361" s="465"/>
      <c r="H3361" s="465">
        <v>4</v>
      </c>
    </row>
    <row r="3362" spans="1:8" ht="13.8" thickBot="1">
      <c r="A3362" s="465" t="s">
        <v>8559</v>
      </c>
      <c r="B3362" s="465" t="s">
        <v>3591</v>
      </c>
      <c r="C3362" s="466">
        <v>6</v>
      </c>
      <c r="D3362" s="465"/>
      <c r="E3362" s="466" t="s">
        <v>3517</v>
      </c>
      <c r="F3362" s="466"/>
      <c r="G3362" s="465"/>
      <c r="H3362" s="465">
        <v>1</v>
      </c>
    </row>
    <row r="3363" spans="1:8" ht="13.8" thickBot="1">
      <c r="A3363" s="467" t="s">
        <v>8560</v>
      </c>
      <c r="B3363" s="465" t="s">
        <v>3592</v>
      </c>
      <c r="C3363" s="466">
        <v>6</v>
      </c>
      <c r="D3363" s="465"/>
      <c r="E3363" s="466" t="s">
        <v>3517</v>
      </c>
      <c r="F3363" s="466"/>
      <c r="G3363" s="465"/>
      <c r="H3363" s="465">
        <v>1</v>
      </c>
    </row>
    <row r="3364" spans="1:8" ht="13.8" thickBot="1">
      <c r="A3364" s="467" t="s">
        <v>8561</v>
      </c>
      <c r="B3364" s="465" t="s">
        <v>3593</v>
      </c>
      <c r="C3364" s="466">
        <v>6</v>
      </c>
      <c r="D3364" s="467" t="s">
        <v>614</v>
      </c>
      <c r="E3364" s="466" t="s">
        <v>3517</v>
      </c>
      <c r="F3364" s="466"/>
      <c r="G3364" s="465"/>
      <c r="H3364" s="465">
        <v>4</v>
      </c>
    </row>
    <row r="3365" spans="1:8" ht="13.8" thickBot="1">
      <c r="A3365" s="467" t="s">
        <v>8562</v>
      </c>
      <c r="B3365" s="465" t="s">
        <v>3594</v>
      </c>
      <c r="C3365" s="466">
        <v>6</v>
      </c>
      <c r="D3365" s="465"/>
      <c r="E3365" s="466" t="s">
        <v>3517</v>
      </c>
      <c r="F3365" s="466"/>
      <c r="G3365" s="465">
        <v>1</v>
      </c>
      <c r="H3365" s="465">
        <v>2</v>
      </c>
    </row>
    <row r="3366" spans="1:8" ht="13.8" thickBot="1">
      <c r="A3366" s="467" t="s">
        <v>8563</v>
      </c>
      <c r="B3366" s="465" t="s">
        <v>3595</v>
      </c>
      <c r="C3366" s="466">
        <v>6</v>
      </c>
      <c r="D3366" s="467" t="s">
        <v>614</v>
      </c>
      <c r="E3366" s="466" t="s">
        <v>3517</v>
      </c>
      <c r="F3366" s="466"/>
      <c r="G3366" s="465">
        <v>1</v>
      </c>
      <c r="H3366" s="465">
        <v>3</v>
      </c>
    </row>
    <row r="3367" spans="1:8" ht="13.8" thickBot="1">
      <c r="A3367" s="467" t="s">
        <v>8564</v>
      </c>
      <c r="B3367" s="465" t="s">
        <v>3596</v>
      </c>
      <c r="C3367" s="466">
        <v>6</v>
      </c>
      <c r="D3367" s="465"/>
      <c r="E3367" s="466" t="s">
        <v>3517</v>
      </c>
      <c r="F3367" s="466"/>
      <c r="G3367" s="465"/>
      <c r="H3367" s="465">
        <v>1</v>
      </c>
    </row>
    <row r="3368" spans="1:8" ht="13.8" thickBot="1">
      <c r="A3368" s="465" t="s">
        <v>917</v>
      </c>
      <c r="B3368" s="465" t="s">
        <v>1456</v>
      </c>
      <c r="C3368" s="466">
        <v>6</v>
      </c>
      <c r="D3368" s="465"/>
      <c r="E3368" s="466" t="s">
        <v>3517</v>
      </c>
      <c r="F3368" s="466"/>
      <c r="G3368" s="465"/>
      <c r="H3368" s="465">
        <v>1</v>
      </c>
    </row>
    <row r="3369" spans="1:8" ht="13.8" thickBot="1">
      <c r="A3369" s="467" t="s">
        <v>8565</v>
      </c>
      <c r="B3369" s="465" t="s">
        <v>3534</v>
      </c>
      <c r="C3369" s="466">
        <v>6</v>
      </c>
      <c r="D3369" s="465"/>
      <c r="E3369" s="466" t="s">
        <v>3517</v>
      </c>
      <c r="F3369" s="466"/>
      <c r="G3369" s="465"/>
      <c r="H3369" s="465">
        <v>1</v>
      </c>
    </row>
    <row r="3370" spans="1:8" ht="13.8" thickBot="1">
      <c r="A3370" s="467" t="s">
        <v>8566</v>
      </c>
      <c r="B3370" s="465" t="s">
        <v>3597</v>
      </c>
      <c r="C3370" s="466">
        <v>6</v>
      </c>
      <c r="D3370" s="467" t="s">
        <v>614</v>
      </c>
      <c r="E3370" s="466" t="s">
        <v>3517</v>
      </c>
      <c r="F3370" s="466"/>
      <c r="G3370" s="465"/>
      <c r="H3370" s="465">
        <v>2</v>
      </c>
    </row>
    <row r="3371" spans="1:8" ht="13.8" thickBot="1">
      <c r="A3371" s="467" t="s">
        <v>8567</v>
      </c>
      <c r="B3371" s="465" t="s">
        <v>3598</v>
      </c>
      <c r="C3371" s="466">
        <v>6</v>
      </c>
      <c r="D3371" s="465"/>
      <c r="E3371" s="466" t="s">
        <v>3517</v>
      </c>
      <c r="F3371" s="466"/>
      <c r="G3371" s="465"/>
      <c r="H3371" s="465">
        <v>1</v>
      </c>
    </row>
    <row r="3372" spans="1:8" ht="13.8" thickBot="1">
      <c r="A3372" s="467" t="s">
        <v>8568</v>
      </c>
      <c r="B3372" s="465" t="s">
        <v>3599</v>
      </c>
      <c r="C3372" s="466">
        <v>6</v>
      </c>
      <c r="D3372" s="465"/>
      <c r="E3372" s="466" t="s">
        <v>3517</v>
      </c>
      <c r="F3372" s="466"/>
      <c r="G3372" s="465"/>
      <c r="H3372" s="465">
        <v>1</v>
      </c>
    </row>
    <row r="3373" spans="1:8" ht="13.8" thickBot="1">
      <c r="A3373" s="465" t="s">
        <v>8569</v>
      </c>
      <c r="B3373" s="465" t="s">
        <v>1453</v>
      </c>
      <c r="C3373" s="466">
        <v>6</v>
      </c>
      <c r="D3373" s="465"/>
      <c r="E3373" s="466" t="s">
        <v>3517</v>
      </c>
      <c r="F3373" s="466"/>
      <c r="G3373" s="465">
        <v>1</v>
      </c>
      <c r="H3373" s="465">
        <v>2</v>
      </c>
    </row>
    <row r="3374" spans="1:8" ht="13.8" thickBot="1">
      <c r="A3374" s="467" t="s">
        <v>8570</v>
      </c>
      <c r="B3374" s="465" t="s">
        <v>3600</v>
      </c>
      <c r="C3374" s="466">
        <v>6</v>
      </c>
      <c r="D3374" s="465"/>
      <c r="E3374" s="466" t="s">
        <v>3517</v>
      </c>
      <c r="F3374" s="466"/>
      <c r="G3374" s="465"/>
      <c r="H3374" s="465">
        <v>2</v>
      </c>
    </row>
    <row r="3375" spans="1:8" ht="13.8" thickBot="1">
      <c r="A3375" s="467" t="s">
        <v>8571</v>
      </c>
      <c r="B3375" s="465" t="s">
        <v>3648</v>
      </c>
      <c r="C3375" s="466">
        <v>6</v>
      </c>
      <c r="D3375" s="467" t="s">
        <v>614</v>
      </c>
      <c r="E3375" s="466" t="s">
        <v>3641</v>
      </c>
      <c r="F3375" s="466" t="s">
        <v>1251</v>
      </c>
      <c r="G3375" s="465"/>
      <c r="H3375" s="465">
        <v>7</v>
      </c>
    </row>
    <row r="3376" spans="1:8" ht="13.8" thickBot="1">
      <c r="A3376" s="467" t="s">
        <v>8572</v>
      </c>
      <c r="B3376" s="465" t="s">
        <v>3649</v>
      </c>
      <c r="C3376" s="466">
        <v>6</v>
      </c>
      <c r="D3376" s="467" t="s">
        <v>614</v>
      </c>
      <c r="E3376" s="466" t="s">
        <v>3641</v>
      </c>
      <c r="F3376" s="466" t="s">
        <v>1226</v>
      </c>
      <c r="G3376" s="465"/>
      <c r="H3376" s="465">
        <v>3</v>
      </c>
    </row>
    <row r="3377" spans="1:8" ht="13.8" thickBot="1">
      <c r="A3377" s="467" t="s">
        <v>8573</v>
      </c>
      <c r="B3377" s="465" t="s">
        <v>3650</v>
      </c>
      <c r="C3377" s="466">
        <v>6</v>
      </c>
      <c r="D3377" s="467" t="s">
        <v>614</v>
      </c>
      <c r="E3377" s="466" t="s">
        <v>3641</v>
      </c>
      <c r="F3377" s="466" t="s">
        <v>1224</v>
      </c>
      <c r="G3377" s="465"/>
      <c r="H3377" s="465">
        <v>6</v>
      </c>
    </row>
    <row r="3378" spans="1:8" ht="13.8" thickBot="1">
      <c r="A3378" s="467" t="s">
        <v>8574</v>
      </c>
      <c r="B3378" s="465" t="s">
        <v>3676</v>
      </c>
      <c r="C3378" s="466">
        <v>6</v>
      </c>
      <c r="D3378" s="467" t="s">
        <v>614</v>
      </c>
      <c r="E3378" s="466" t="s">
        <v>3652</v>
      </c>
      <c r="F3378" s="466" t="s">
        <v>1226</v>
      </c>
      <c r="G3378" s="465"/>
      <c r="H3378" s="465">
        <v>4</v>
      </c>
    </row>
    <row r="3379" spans="1:8" ht="13.8" thickBot="1">
      <c r="A3379" s="465" t="s">
        <v>8575</v>
      </c>
      <c r="B3379" s="465" t="s">
        <v>3677</v>
      </c>
      <c r="C3379" s="466">
        <v>6</v>
      </c>
      <c r="D3379" s="465"/>
      <c r="E3379" s="466" t="s">
        <v>3652</v>
      </c>
      <c r="F3379" s="466" t="s">
        <v>1226</v>
      </c>
      <c r="G3379" s="465"/>
      <c r="H3379" s="465">
        <v>2</v>
      </c>
    </row>
    <row r="3380" spans="1:8" ht="13.8" thickBot="1">
      <c r="A3380" s="467" t="s">
        <v>8576</v>
      </c>
      <c r="B3380" s="465" t="s">
        <v>1466</v>
      </c>
      <c r="C3380" s="466">
        <v>6</v>
      </c>
      <c r="D3380" s="467" t="s">
        <v>614</v>
      </c>
      <c r="E3380" s="466" t="s">
        <v>3652</v>
      </c>
      <c r="F3380" s="466" t="s">
        <v>1224</v>
      </c>
      <c r="G3380" s="465"/>
      <c r="H3380" s="465">
        <v>1</v>
      </c>
    </row>
    <row r="3381" spans="1:8" ht="13.8" thickBot="1">
      <c r="A3381" s="467" t="s">
        <v>8577</v>
      </c>
      <c r="B3381" s="465" t="s">
        <v>1466</v>
      </c>
      <c r="C3381" s="466">
        <v>6</v>
      </c>
      <c r="D3381" s="465"/>
      <c r="E3381" s="466" t="s">
        <v>3652</v>
      </c>
      <c r="F3381" s="466"/>
      <c r="G3381" s="465"/>
      <c r="H3381" s="465">
        <v>4</v>
      </c>
    </row>
    <row r="3382" spans="1:8" ht="13.8" thickBot="1">
      <c r="A3382" s="467" t="s">
        <v>8578</v>
      </c>
      <c r="B3382" s="465" t="s">
        <v>1466</v>
      </c>
      <c r="C3382" s="466">
        <v>6</v>
      </c>
      <c r="D3382" s="465"/>
      <c r="E3382" s="466" t="s">
        <v>3652</v>
      </c>
      <c r="F3382" s="466"/>
      <c r="G3382" s="465"/>
      <c r="H3382" s="465">
        <v>1</v>
      </c>
    </row>
    <row r="3383" spans="1:8" ht="13.8" thickBot="1">
      <c r="A3383" s="467" t="s">
        <v>8579</v>
      </c>
      <c r="B3383" s="465" t="s">
        <v>1466</v>
      </c>
      <c r="C3383" s="466">
        <v>6</v>
      </c>
      <c r="D3383" s="465"/>
      <c r="E3383" s="466" t="s">
        <v>3652</v>
      </c>
      <c r="F3383" s="466"/>
      <c r="G3383" s="465"/>
      <c r="H3383" s="465">
        <v>1</v>
      </c>
    </row>
    <row r="3384" spans="1:8" ht="13.8" thickBot="1">
      <c r="A3384" s="465" t="s">
        <v>8580</v>
      </c>
      <c r="B3384" s="465" t="s">
        <v>1466</v>
      </c>
      <c r="C3384" s="466">
        <v>6</v>
      </c>
      <c r="D3384" s="465"/>
      <c r="E3384" s="466" t="s">
        <v>3652</v>
      </c>
      <c r="F3384" s="466"/>
      <c r="G3384" s="465"/>
      <c r="H3384" s="465">
        <v>1</v>
      </c>
    </row>
    <row r="3385" spans="1:8" ht="13.8" thickBot="1">
      <c r="A3385" s="465" t="s">
        <v>8581</v>
      </c>
      <c r="B3385" s="465" t="s">
        <v>1466</v>
      </c>
      <c r="C3385" s="466">
        <v>6</v>
      </c>
      <c r="D3385" s="465"/>
      <c r="E3385" s="466" t="s">
        <v>3652</v>
      </c>
      <c r="F3385" s="466"/>
      <c r="G3385" s="465"/>
      <c r="H3385" s="465">
        <v>1</v>
      </c>
    </row>
    <row r="3386" spans="1:8" ht="13.8" thickBot="1">
      <c r="A3386" s="465" t="s">
        <v>8582</v>
      </c>
      <c r="B3386" s="465" t="s">
        <v>3678</v>
      </c>
      <c r="C3386" s="466">
        <v>6</v>
      </c>
      <c r="D3386" s="465"/>
      <c r="E3386" s="466" t="s">
        <v>3652</v>
      </c>
      <c r="F3386" s="466"/>
      <c r="G3386" s="465"/>
      <c r="H3386" s="465">
        <v>1</v>
      </c>
    </row>
    <row r="3387" spans="1:8" ht="13.8" thickBot="1">
      <c r="A3387" s="467" t="s">
        <v>8583</v>
      </c>
      <c r="B3387" s="465" t="s">
        <v>3679</v>
      </c>
      <c r="C3387" s="466">
        <v>6</v>
      </c>
      <c r="D3387" s="465"/>
      <c r="E3387" s="466" t="s">
        <v>3652</v>
      </c>
      <c r="F3387" s="466"/>
      <c r="G3387" s="465"/>
      <c r="H3387" s="465">
        <v>2</v>
      </c>
    </row>
    <row r="3388" spans="1:8" ht="13.8" thickBot="1">
      <c r="A3388" s="467" t="s">
        <v>8584</v>
      </c>
      <c r="B3388" s="465" t="s">
        <v>3680</v>
      </c>
      <c r="C3388" s="466">
        <v>6</v>
      </c>
      <c r="D3388" s="465"/>
      <c r="E3388" s="466" t="s">
        <v>3652</v>
      </c>
      <c r="F3388" s="466"/>
      <c r="G3388" s="465"/>
      <c r="H3388" s="465">
        <v>2</v>
      </c>
    </row>
    <row r="3389" spans="1:8" ht="13.8" thickBot="1">
      <c r="A3389" s="467" t="s">
        <v>8585</v>
      </c>
      <c r="B3389" s="465" t="s">
        <v>3681</v>
      </c>
      <c r="C3389" s="466">
        <v>6</v>
      </c>
      <c r="D3389" s="465"/>
      <c r="E3389" s="466" t="s">
        <v>3652</v>
      </c>
      <c r="F3389" s="466"/>
      <c r="G3389" s="465"/>
      <c r="H3389" s="465">
        <v>1</v>
      </c>
    </row>
    <row r="3390" spans="1:8" ht="13.8" thickBot="1">
      <c r="A3390" s="467" t="s">
        <v>8586</v>
      </c>
      <c r="B3390" s="465" t="s">
        <v>3682</v>
      </c>
      <c r="C3390" s="466">
        <v>6</v>
      </c>
      <c r="D3390" s="465"/>
      <c r="E3390" s="466" t="s">
        <v>3652</v>
      </c>
      <c r="F3390" s="466"/>
      <c r="G3390" s="465">
        <v>1</v>
      </c>
      <c r="H3390" s="465">
        <v>2</v>
      </c>
    </row>
    <row r="3391" spans="1:8" ht="13.8" thickBot="1">
      <c r="A3391" s="467" t="s">
        <v>8587</v>
      </c>
      <c r="B3391" s="465" t="s">
        <v>3683</v>
      </c>
      <c r="C3391" s="466">
        <v>6</v>
      </c>
      <c r="D3391" s="465"/>
      <c r="E3391" s="466" t="s">
        <v>3652</v>
      </c>
      <c r="F3391" s="466"/>
      <c r="G3391" s="465"/>
      <c r="H3391" s="465">
        <v>1</v>
      </c>
    </row>
    <row r="3392" spans="1:8" ht="13.8" thickBot="1">
      <c r="A3392" s="467" t="s">
        <v>8588</v>
      </c>
      <c r="B3392" s="465" t="s">
        <v>3667</v>
      </c>
      <c r="C3392" s="466">
        <v>6</v>
      </c>
      <c r="D3392" s="465"/>
      <c r="E3392" s="466" t="s">
        <v>3652</v>
      </c>
      <c r="F3392" s="466"/>
      <c r="G3392" s="465"/>
      <c r="H3392" s="465">
        <v>1</v>
      </c>
    </row>
    <row r="3393" spans="1:8" ht="13.8" thickBot="1">
      <c r="A3393" s="467" t="s">
        <v>8589</v>
      </c>
      <c r="B3393" s="465" t="s">
        <v>3684</v>
      </c>
      <c r="C3393" s="466">
        <v>6</v>
      </c>
      <c r="D3393" s="465"/>
      <c r="E3393" s="466" t="s">
        <v>3652</v>
      </c>
      <c r="F3393" s="466"/>
      <c r="G3393" s="465"/>
      <c r="H3393" s="465">
        <v>2</v>
      </c>
    </row>
    <row r="3394" spans="1:8" ht="13.8" thickBot="1">
      <c r="A3394" s="467" t="s">
        <v>8590</v>
      </c>
      <c r="B3394" s="465" t="s">
        <v>3685</v>
      </c>
      <c r="C3394" s="466">
        <v>6</v>
      </c>
      <c r="D3394" s="465"/>
      <c r="E3394" s="466" t="s">
        <v>3652</v>
      </c>
      <c r="F3394" s="466"/>
      <c r="G3394" s="465"/>
      <c r="H3394" s="465">
        <v>1</v>
      </c>
    </row>
    <row r="3395" spans="1:8" ht="13.8" thickBot="1">
      <c r="A3395" s="465" t="s">
        <v>8591</v>
      </c>
      <c r="B3395" s="465" t="s">
        <v>3686</v>
      </c>
      <c r="C3395" s="466">
        <v>6</v>
      </c>
      <c r="D3395" s="465"/>
      <c r="E3395" s="466" t="s">
        <v>3652</v>
      </c>
      <c r="F3395" s="466"/>
      <c r="G3395" s="465">
        <v>2</v>
      </c>
      <c r="H3395" s="465">
        <v>7</v>
      </c>
    </row>
    <row r="3396" spans="1:8" ht="13.8" thickBot="1">
      <c r="A3396" s="465" t="s">
        <v>8592</v>
      </c>
      <c r="B3396" s="465" t="s">
        <v>3687</v>
      </c>
      <c r="C3396" s="466">
        <v>6</v>
      </c>
      <c r="D3396" s="465"/>
      <c r="E3396" s="466" t="s">
        <v>3652</v>
      </c>
      <c r="F3396" s="466"/>
      <c r="G3396" s="465"/>
      <c r="H3396" s="465">
        <v>7</v>
      </c>
    </row>
    <row r="3397" spans="1:8" ht="13.8" thickBot="1">
      <c r="A3397" s="467" t="s">
        <v>8266</v>
      </c>
      <c r="B3397" s="465" t="s">
        <v>2097</v>
      </c>
      <c r="C3397" s="466">
        <v>6</v>
      </c>
      <c r="D3397" s="467" t="s">
        <v>614</v>
      </c>
      <c r="E3397" s="466" t="s">
        <v>2087</v>
      </c>
      <c r="F3397" s="466" t="s">
        <v>1226</v>
      </c>
      <c r="G3397" s="465">
        <v>1</v>
      </c>
      <c r="H3397" s="465">
        <v>6</v>
      </c>
    </row>
    <row r="3398" spans="1:8" ht="13.8" thickBot="1">
      <c r="A3398" s="467" t="s">
        <v>8267</v>
      </c>
      <c r="B3398" s="465" t="s">
        <v>2098</v>
      </c>
      <c r="C3398" s="466">
        <v>6</v>
      </c>
      <c r="D3398" s="465"/>
      <c r="E3398" s="466" t="s">
        <v>2087</v>
      </c>
      <c r="F3398" s="466"/>
      <c r="G3398" s="465"/>
      <c r="H3398" s="465">
        <v>4</v>
      </c>
    </row>
    <row r="3399" spans="1:8" ht="13.8" thickBot="1">
      <c r="A3399" s="465" t="s">
        <v>8268</v>
      </c>
      <c r="B3399" s="465" t="s">
        <v>2099</v>
      </c>
      <c r="C3399" s="466">
        <v>6</v>
      </c>
      <c r="D3399" s="465"/>
      <c r="E3399" s="466" t="s">
        <v>2087</v>
      </c>
      <c r="F3399" s="466"/>
      <c r="G3399" s="465">
        <v>1</v>
      </c>
      <c r="H3399" s="465">
        <v>3</v>
      </c>
    </row>
    <row r="3400" spans="1:8" ht="13.8" thickBot="1">
      <c r="A3400" s="467" t="s">
        <v>8269</v>
      </c>
      <c r="B3400" s="465" t="s">
        <v>2100</v>
      </c>
      <c r="C3400" s="466">
        <v>6</v>
      </c>
      <c r="D3400" s="467" t="s">
        <v>614</v>
      </c>
      <c r="E3400" s="466" t="s">
        <v>2087</v>
      </c>
      <c r="F3400" s="466"/>
      <c r="G3400" s="465"/>
      <c r="H3400" s="465">
        <v>1</v>
      </c>
    </row>
    <row r="3401" spans="1:8" ht="13.8" thickBot="1">
      <c r="A3401" s="465" t="s">
        <v>8593</v>
      </c>
      <c r="B3401" s="465" t="s">
        <v>3769</v>
      </c>
      <c r="C3401" s="466">
        <v>6</v>
      </c>
      <c r="D3401" s="465"/>
      <c r="E3401" s="466" t="s">
        <v>3734</v>
      </c>
      <c r="F3401" s="466" t="s">
        <v>1226</v>
      </c>
      <c r="G3401" s="465"/>
      <c r="H3401" s="465">
        <v>13</v>
      </c>
    </row>
    <row r="3402" spans="1:8" ht="13.8" thickBot="1">
      <c r="A3402" s="465" t="s">
        <v>8594</v>
      </c>
      <c r="B3402" s="465" t="s">
        <v>3770</v>
      </c>
      <c r="C3402" s="466">
        <v>6</v>
      </c>
      <c r="D3402" s="465"/>
      <c r="E3402" s="466" t="s">
        <v>3734</v>
      </c>
      <c r="F3402" s="466" t="s">
        <v>1226</v>
      </c>
      <c r="G3402" s="465"/>
      <c r="H3402" s="465">
        <v>3</v>
      </c>
    </row>
    <row r="3403" spans="1:8" ht="13.8" thickBot="1">
      <c r="A3403" s="467" t="s">
        <v>8595</v>
      </c>
      <c r="B3403" s="465" t="s">
        <v>3771</v>
      </c>
      <c r="C3403" s="466">
        <v>6</v>
      </c>
      <c r="D3403" s="465"/>
      <c r="E3403" s="466" t="s">
        <v>3734</v>
      </c>
      <c r="F3403" s="466" t="s">
        <v>1226</v>
      </c>
      <c r="G3403" s="465"/>
      <c r="H3403" s="465">
        <v>2</v>
      </c>
    </row>
    <row r="3404" spans="1:8" ht="13.8" thickBot="1">
      <c r="A3404" s="467" t="s">
        <v>8596</v>
      </c>
      <c r="B3404" s="465" t="s">
        <v>3772</v>
      </c>
      <c r="C3404" s="466">
        <v>6</v>
      </c>
      <c r="D3404" s="465"/>
      <c r="E3404" s="466" t="s">
        <v>3734</v>
      </c>
      <c r="F3404" s="466" t="s">
        <v>1226</v>
      </c>
      <c r="G3404" s="465"/>
      <c r="H3404" s="465">
        <v>3</v>
      </c>
    </row>
    <row r="3405" spans="1:8" ht="13.8" thickBot="1">
      <c r="A3405" s="467" t="s">
        <v>8597</v>
      </c>
      <c r="B3405" s="465" t="s">
        <v>1489</v>
      </c>
      <c r="C3405" s="466">
        <v>6</v>
      </c>
      <c r="D3405" s="467" t="s">
        <v>614</v>
      </c>
      <c r="E3405" s="466" t="s">
        <v>3734</v>
      </c>
      <c r="F3405" s="466" t="s">
        <v>1226</v>
      </c>
      <c r="G3405" s="465">
        <v>4</v>
      </c>
      <c r="H3405" s="465">
        <v>22</v>
      </c>
    </row>
    <row r="3406" spans="1:8" ht="13.8" thickBot="1">
      <c r="A3406" s="465" t="s">
        <v>8598</v>
      </c>
      <c r="B3406" s="465" t="s">
        <v>3739</v>
      </c>
      <c r="C3406" s="466">
        <v>6</v>
      </c>
      <c r="D3406" s="465"/>
      <c r="E3406" s="466" t="s">
        <v>3734</v>
      </c>
      <c r="F3406" s="466" t="s">
        <v>1226</v>
      </c>
      <c r="G3406" s="465"/>
      <c r="H3406" s="465">
        <v>2</v>
      </c>
    </row>
    <row r="3407" spans="1:8" ht="13.8" thickBot="1">
      <c r="A3407" s="465" t="s">
        <v>8599</v>
      </c>
      <c r="B3407" s="465" t="s">
        <v>3773</v>
      </c>
      <c r="C3407" s="466">
        <v>6</v>
      </c>
      <c r="D3407" s="465" t="s">
        <v>3774</v>
      </c>
      <c r="E3407" s="466" t="s">
        <v>3734</v>
      </c>
      <c r="F3407" s="466" t="s">
        <v>1226</v>
      </c>
      <c r="G3407" s="465"/>
      <c r="H3407" s="465">
        <v>13</v>
      </c>
    </row>
    <row r="3408" spans="1:8" ht="13.8" thickBot="1">
      <c r="A3408" s="465" t="s">
        <v>8600</v>
      </c>
      <c r="B3408" s="465" t="s">
        <v>1490</v>
      </c>
      <c r="C3408" s="466">
        <v>6</v>
      </c>
      <c r="D3408" s="467" t="s">
        <v>614</v>
      </c>
      <c r="E3408" s="466" t="s">
        <v>3734</v>
      </c>
      <c r="F3408" s="466" t="s">
        <v>1226</v>
      </c>
      <c r="G3408" s="465">
        <v>2</v>
      </c>
      <c r="H3408" s="465">
        <v>17</v>
      </c>
    </row>
    <row r="3409" spans="1:8" ht="13.8" thickBot="1">
      <c r="A3409" s="465" t="s">
        <v>414</v>
      </c>
      <c r="B3409" s="465" t="s">
        <v>3775</v>
      </c>
      <c r="C3409" s="466">
        <v>6</v>
      </c>
      <c r="D3409" s="467" t="s">
        <v>614</v>
      </c>
      <c r="E3409" s="466" t="s">
        <v>3734</v>
      </c>
      <c r="F3409" s="466" t="s">
        <v>1863</v>
      </c>
      <c r="G3409" s="465"/>
      <c r="H3409" s="465">
        <v>7</v>
      </c>
    </row>
    <row r="3410" spans="1:8" ht="13.8" thickBot="1">
      <c r="A3410" s="465" t="s">
        <v>8601</v>
      </c>
      <c r="B3410" s="465" t="s">
        <v>1480</v>
      </c>
      <c r="C3410" s="466">
        <v>6</v>
      </c>
      <c r="D3410" s="465"/>
      <c r="E3410" s="466" t="s">
        <v>3734</v>
      </c>
      <c r="F3410" s="466" t="s">
        <v>1224</v>
      </c>
      <c r="G3410" s="465"/>
      <c r="H3410" s="465">
        <v>2</v>
      </c>
    </row>
    <row r="3411" spans="1:8" ht="13.8" thickBot="1">
      <c r="A3411" s="465" t="s">
        <v>8602</v>
      </c>
      <c r="B3411" s="465" t="s">
        <v>3776</v>
      </c>
      <c r="C3411" s="466">
        <v>6</v>
      </c>
      <c r="D3411" s="465"/>
      <c r="E3411" s="466" t="s">
        <v>3734</v>
      </c>
      <c r="F3411" s="466" t="s">
        <v>1224</v>
      </c>
      <c r="G3411" s="465"/>
      <c r="H3411" s="465">
        <v>6</v>
      </c>
    </row>
    <row r="3412" spans="1:8" ht="13.8" thickBot="1">
      <c r="A3412" s="465" t="s">
        <v>8603</v>
      </c>
      <c r="B3412" s="465" t="s">
        <v>3777</v>
      </c>
      <c r="C3412" s="466">
        <v>6</v>
      </c>
      <c r="D3412" s="465"/>
      <c r="E3412" s="466" t="s">
        <v>3734</v>
      </c>
      <c r="F3412" s="466" t="s">
        <v>1224</v>
      </c>
      <c r="G3412" s="465">
        <v>1</v>
      </c>
      <c r="H3412" s="465">
        <v>4</v>
      </c>
    </row>
    <row r="3413" spans="1:8" ht="13.8" thickBot="1">
      <c r="A3413" s="465" t="s">
        <v>8604</v>
      </c>
      <c r="B3413" s="465" t="s">
        <v>3778</v>
      </c>
      <c r="C3413" s="466">
        <v>6</v>
      </c>
      <c r="D3413" s="465"/>
      <c r="E3413" s="466" t="s">
        <v>3734</v>
      </c>
      <c r="F3413" s="466" t="s">
        <v>1220</v>
      </c>
      <c r="G3413" s="465"/>
      <c r="H3413" s="465">
        <v>1</v>
      </c>
    </row>
    <row r="3414" spans="1:8" ht="13.8" thickBot="1">
      <c r="A3414" s="465" t="s">
        <v>8605</v>
      </c>
      <c r="B3414" s="465" t="s">
        <v>1480</v>
      </c>
      <c r="C3414" s="466">
        <v>6</v>
      </c>
      <c r="D3414" s="467" t="s">
        <v>614</v>
      </c>
      <c r="E3414" s="466" t="s">
        <v>3734</v>
      </c>
      <c r="F3414" s="466"/>
      <c r="G3414" s="465"/>
      <c r="H3414" s="465">
        <v>1</v>
      </c>
    </row>
    <row r="3415" spans="1:8" ht="13.8" thickBot="1">
      <c r="A3415" s="465" t="s">
        <v>8606</v>
      </c>
      <c r="B3415" s="465" t="s">
        <v>1480</v>
      </c>
      <c r="C3415" s="466">
        <v>6</v>
      </c>
      <c r="D3415" s="465"/>
      <c r="E3415" s="466" t="s">
        <v>3734</v>
      </c>
      <c r="F3415" s="466"/>
      <c r="G3415" s="465"/>
      <c r="H3415" s="465">
        <v>2</v>
      </c>
    </row>
    <row r="3416" spans="1:8" ht="13.8" thickBot="1">
      <c r="A3416" s="465" t="s">
        <v>8607</v>
      </c>
      <c r="B3416" s="465" t="s">
        <v>1480</v>
      </c>
      <c r="C3416" s="466">
        <v>6</v>
      </c>
      <c r="D3416" s="465"/>
      <c r="E3416" s="466" t="s">
        <v>3734</v>
      </c>
      <c r="F3416" s="466"/>
      <c r="G3416" s="465"/>
      <c r="H3416" s="465">
        <v>1</v>
      </c>
    </row>
    <row r="3417" spans="1:8" ht="13.8" thickBot="1">
      <c r="A3417" s="465" t="s">
        <v>8608</v>
      </c>
      <c r="B3417" s="465" t="s">
        <v>3779</v>
      </c>
      <c r="C3417" s="466">
        <v>6</v>
      </c>
      <c r="D3417" s="465"/>
      <c r="E3417" s="466" t="s">
        <v>3734</v>
      </c>
      <c r="F3417" s="466"/>
      <c r="G3417" s="465"/>
      <c r="H3417" s="465">
        <v>1</v>
      </c>
    </row>
    <row r="3418" spans="1:8" ht="13.8" thickBot="1">
      <c r="A3418" s="465" t="s">
        <v>8609</v>
      </c>
      <c r="B3418" s="465" t="s">
        <v>3780</v>
      </c>
      <c r="C3418" s="466">
        <v>6</v>
      </c>
      <c r="D3418" s="465"/>
      <c r="E3418" s="466" t="s">
        <v>3734</v>
      </c>
      <c r="F3418" s="466"/>
      <c r="G3418" s="465"/>
      <c r="H3418" s="465">
        <v>3</v>
      </c>
    </row>
    <row r="3419" spans="1:8" ht="13.8" thickBot="1">
      <c r="A3419" s="465" t="s">
        <v>8610</v>
      </c>
      <c r="B3419" s="465" t="s">
        <v>3781</v>
      </c>
      <c r="C3419" s="466">
        <v>6</v>
      </c>
      <c r="D3419" s="465"/>
      <c r="E3419" s="466" t="s">
        <v>3734</v>
      </c>
      <c r="F3419" s="466"/>
      <c r="G3419" s="465"/>
      <c r="H3419" s="465">
        <v>2</v>
      </c>
    </row>
    <row r="3420" spans="1:8" ht="13.8" thickBot="1">
      <c r="A3420" s="465" t="s">
        <v>8611</v>
      </c>
      <c r="B3420" s="465" t="s">
        <v>3782</v>
      </c>
      <c r="C3420" s="466">
        <v>6</v>
      </c>
      <c r="D3420" s="465"/>
      <c r="E3420" s="466" t="s">
        <v>3734</v>
      </c>
      <c r="F3420" s="466"/>
      <c r="G3420" s="465"/>
      <c r="H3420" s="465">
        <v>7</v>
      </c>
    </row>
    <row r="3421" spans="1:8" ht="13.8" thickBot="1">
      <c r="A3421" s="465" t="s">
        <v>8612</v>
      </c>
      <c r="B3421" s="465" t="s">
        <v>3825</v>
      </c>
      <c r="C3421" s="466">
        <v>6</v>
      </c>
      <c r="D3421" s="465"/>
      <c r="E3421" s="466" t="s">
        <v>3807</v>
      </c>
      <c r="F3421" s="466" t="s">
        <v>1880</v>
      </c>
      <c r="G3421" s="465"/>
      <c r="H3421" s="465">
        <v>5</v>
      </c>
    </row>
    <row r="3422" spans="1:8" ht="13.8" thickBot="1">
      <c r="A3422" s="465" t="s">
        <v>8613</v>
      </c>
      <c r="B3422" s="465" t="s">
        <v>3826</v>
      </c>
      <c r="C3422" s="466">
        <v>6</v>
      </c>
      <c r="D3422" s="467" t="s">
        <v>614</v>
      </c>
      <c r="E3422" s="466" t="s">
        <v>3807</v>
      </c>
      <c r="F3422" s="466" t="s">
        <v>1226</v>
      </c>
      <c r="G3422" s="465"/>
      <c r="H3422" s="465">
        <v>9</v>
      </c>
    </row>
    <row r="3423" spans="1:8" ht="13.8" thickBot="1">
      <c r="A3423" s="467" t="s">
        <v>8614</v>
      </c>
      <c r="B3423" s="465" t="s">
        <v>3827</v>
      </c>
      <c r="C3423" s="466">
        <v>6</v>
      </c>
      <c r="D3423" s="465"/>
      <c r="E3423" s="466" t="s">
        <v>3807</v>
      </c>
      <c r="F3423" s="466" t="s">
        <v>1226</v>
      </c>
      <c r="G3423" s="465"/>
      <c r="H3423" s="465">
        <v>4</v>
      </c>
    </row>
    <row r="3424" spans="1:8" ht="13.8" thickBot="1">
      <c r="A3424" s="465" t="s">
        <v>8615</v>
      </c>
      <c r="B3424" s="465" t="s">
        <v>3814</v>
      </c>
      <c r="C3424" s="466">
        <v>6</v>
      </c>
      <c r="D3424" s="465"/>
      <c r="E3424" s="466" t="s">
        <v>3807</v>
      </c>
      <c r="F3424" s="466" t="s">
        <v>1224</v>
      </c>
      <c r="G3424" s="465"/>
      <c r="H3424" s="465">
        <v>2</v>
      </c>
    </row>
    <row r="3425" spans="1:8" ht="13.8" thickBot="1">
      <c r="A3425" s="465" t="s">
        <v>8616</v>
      </c>
      <c r="B3425" s="465" t="s">
        <v>3828</v>
      </c>
      <c r="C3425" s="466">
        <v>6</v>
      </c>
      <c r="D3425" s="465"/>
      <c r="E3425" s="466" t="s">
        <v>3807</v>
      </c>
      <c r="F3425" s="466" t="s">
        <v>1224</v>
      </c>
      <c r="G3425" s="465"/>
      <c r="H3425" s="465">
        <v>3</v>
      </c>
    </row>
    <row r="3426" spans="1:8" ht="13.8" thickBot="1">
      <c r="A3426" s="467" t="s">
        <v>8617</v>
      </c>
      <c r="B3426" s="465" t="s">
        <v>3829</v>
      </c>
      <c r="C3426" s="466">
        <v>6</v>
      </c>
      <c r="D3426" s="465"/>
      <c r="E3426" s="466" t="s">
        <v>3807</v>
      </c>
      <c r="F3426" s="466" t="s">
        <v>1220</v>
      </c>
      <c r="G3426" s="465"/>
      <c r="H3426" s="465">
        <v>2</v>
      </c>
    </row>
    <row r="3427" spans="1:8" ht="13.8" thickBot="1">
      <c r="A3427" s="467" t="s">
        <v>8618</v>
      </c>
      <c r="B3427" s="465" t="s">
        <v>1502</v>
      </c>
      <c r="C3427" s="466">
        <v>6</v>
      </c>
      <c r="D3427" s="467" t="s">
        <v>614</v>
      </c>
      <c r="E3427" s="466" t="s">
        <v>3807</v>
      </c>
      <c r="F3427" s="466"/>
      <c r="G3427" s="465"/>
      <c r="H3427" s="465">
        <v>1</v>
      </c>
    </row>
    <row r="3428" spans="1:8" ht="13.8" thickBot="1">
      <c r="A3428" s="465" t="s">
        <v>8619</v>
      </c>
      <c r="B3428" s="465" t="s">
        <v>1502</v>
      </c>
      <c r="C3428" s="466">
        <v>6</v>
      </c>
      <c r="D3428" s="465"/>
      <c r="E3428" s="466" t="s">
        <v>3807</v>
      </c>
      <c r="F3428" s="466"/>
      <c r="G3428" s="465"/>
      <c r="H3428" s="465"/>
    </row>
    <row r="3429" spans="1:8" ht="13.8" thickBot="1">
      <c r="A3429" s="465" t="s">
        <v>8620</v>
      </c>
      <c r="B3429" s="465" t="s">
        <v>3820</v>
      </c>
      <c r="C3429" s="466">
        <v>6</v>
      </c>
      <c r="D3429" s="465"/>
      <c r="E3429" s="466" t="s">
        <v>3807</v>
      </c>
      <c r="F3429" s="466"/>
      <c r="G3429" s="465"/>
      <c r="H3429" s="465">
        <v>1</v>
      </c>
    </row>
    <row r="3430" spans="1:8" ht="13.8" thickBot="1">
      <c r="A3430" s="467" t="s">
        <v>8621</v>
      </c>
      <c r="B3430" s="465" t="s">
        <v>3830</v>
      </c>
      <c r="C3430" s="466">
        <v>6</v>
      </c>
      <c r="D3430" s="465"/>
      <c r="E3430" s="466" t="s">
        <v>3807</v>
      </c>
      <c r="F3430" s="466"/>
      <c r="G3430" s="465"/>
      <c r="H3430" s="465">
        <v>2</v>
      </c>
    </row>
    <row r="3431" spans="1:8" ht="13.8" thickBot="1">
      <c r="A3431" s="465" t="s">
        <v>8622</v>
      </c>
      <c r="B3431" s="465" t="s">
        <v>3831</v>
      </c>
      <c r="C3431" s="466">
        <v>6</v>
      </c>
      <c r="D3431" s="465"/>
      <c r="E3431" s="466" t="s">
        <v>3807</v>
      </c>
      <c r="F3431" s="466"/>
      <c r="G3431" s="465"/>
      <c r="H3431" s="465">
        <v>2</v>
      </c>
    </row>
    <row r="3432" spans="1:8" ht="13.8" thickBot="1">
      <c r="A3432" s="467" t="s">
        <v>8623</v>
      </c>
      <c r="B3432" s="465" t="s">
        <v>3832</v>
      </c>
      <c r="C3432" s="466">
        <v>6</v>
      </c>
      <c r="D3432" s="465"/>
      <c r="E3432" s="466" t="s">
        <v>3807</v>
      </c>
      <c r="F3432" s="466"/>
      <c r="G3432" s="465">
        <v>1</v>
      </c>
      <c r="H3432" s="465">
        <v>2</v>
      </c>
    </row>
    <row r="3433" spans="1:8" ht="13.8" thickBot="1">
      <c r="A3433" s="467" t="s">
        <v>8624</v>
      </c>
      <c r="B3433" s="465" t="s">
        <v>3880</v>
      </c>
      <c r="C3433" s="466">
        <v>6</v>
      </c>
      <c r="D3433" s="467" t="s">
        <v>614</v>
      </c>
      <c r="E3433" s="466" t="s">
        <v>3856</v>
      </c>
      <c r="F3433" s="466" t="s">
        <v>1226</v>
      </c>
      <c r="G3433" s="465"/>
      <c r="H3433" s="465">
        <v>1</v>
      </c>
    </row>
    <row r="3434" spans="1:8" ht="13.8" thickBot="1">
      <c r="A3434" s="465" t="s">
        <v>8625</v>
      </c>
      <c r="B3434" s="465" t="s">
        <v>1507</v>
      </c>
      <c r="C3434" s="466">
        <v>6</v>
      </c>
      <c r="D3434" s="467" t="s">
        <v>614</v>
      </c>
      <c r="E3434" s="466" t="s">
        <v>3856</v>
      </c>
      <c r="F3434" s="466" t="s">
        <v>3881</v>
      </c>
      <c r="G3434" s="465">
        <v>3</v>
      </c>
      <c r="H3434" s="465">
        <v>9</v>
      </c>
    </row>
    <row r="3435" spans="1:8" ht="13.8" thickBot="1">
      <c r="A3435" s="467" t="s">
        <v>8626</v>
      </c>
      <c r="B3435" s="465" t="s">
        <v>3882</v>
      </c>
      <c r="C3435" s="466">
        <v>6</v>
      </c>
      <c r="D3435" s="467" t="s">
        <v>614</v>
      </c>
      <c r="E3435" s="466" t="s">
        <v>3856</v>
      </c>
      <c r="F3435" s="466" t="s">
        <v>1220</v>
      </c>
      <c r="G3435" s="465">
        <v>1</v>
      </c>
      <c r="H3435" s="465">
        <v>5</v>
      </c>
    </row>
    <row r="3436" spans="1:8" ht="13.8" thickBot="1">
      <c r="A3436" s="467" t="s">
        <v>8627</v>
      </c>
      <c r="B3436" s="465" t="s">
        <v>1507</v>
      </c>
      <c r="C3436" s="466">
        <v>6</v>
      </c>
      <c r="D3436" s="465"/>
      <c r="E3436" s="466" t="s">
        <v>3856</v>
      </c>
      <c r="F3436" s="466"/>
      <c r="G3436" s="465"/>
      <c r="H3436" s="465">
        <v>1</v>
      </c>
    </row>
    <row r="3437" spans="1:8" ht="13.8" thickBot="1">
      <c r="A3437" s="465" t="s">
        <v>8628</v>
      </c>
      <c r="B3437" s="465" t="s">
        <v>1507</v>
      </c>
      <c r="C3437" s="466">
        <v>6</v>
      </c>
      <c r="D3437" s="467" t="s">
        <v>614</v>
      </c>
      <c r="E3437" s="466" t="s">
        <v>3856</v>
      </c>
      <c r="F3437" s="466"/>
      <c r="G3437" s="465"/>
      <c r="H3437" s="465">
        <v>1</v>
      </c>
    </row>
    <row r="3438" spans="1:8" ht="13.8" thickBot="1">
      <c r="A3438" s="465" t="s">
        <v>8629</v>
      </c>
      <c r="B3438" s="465" t="s">
        <v>3883</v>
      </c>
      <c r="C3438" s="466">
        <v>6</v>
      </c>
      <c r="D3438" s="467" t="s">
        <v>614</v>
      </c>
      <c r="E3438" s="466" t="s">
        <v>3856</v>
      </c>
      <c r="F3438" s="466"/>
      <c r="G3438" s="465"/>
      <c r="H3438" s="465">
        <v>1</v>
      </c>
    </row>
    <row r="3439" spans="1:8" ht="13.8" thickBot="1">
      <c r="A3439" s="467" t="s">
        <v>8630</v>
      </c>
      <c r="B3439" s="465" t="s">
        <v>3884</v>
      </c>
      <c r="C3439" s="466">
        <v>6</v>
      </c>
      <c r="D3439" s="465"/>
      <c r="E3439" s="466" t="s">
        <v>3856</v>
      </c>
      <c r="F3439" s="466"/>
      <c r="G3439" s="465"/>
      <c r="H3439" s="465">
        <v>1</v>
      </c>
    </row>
    <row r="3440" spans="1:8" ht="13.8" thickBot="1">
      <c r="A3440" s="465" t="s">
        <v>8631</v>
      </c>
      <c r="B3440" s="465" t="s">
        <v>3885</v>
      </c>
      <c r="C3440" s="466">
        <v>6</v>
      </c>
      <c r="D3440" s="465"/>
      <c r="E3440" s="466" t="s">
        <v>3856</v>
      </c>
      <c r="F3440" s="466"/>
      <c r="G3440" s="465"/>
      <c r="H3440" s="465">
        <v>1</v>
      </c>
    </row>
    <row r="3441" spans="1:8" ht="13.8" thickBot="1">
      <c r="A3441" s="467" t="s">
        <v>8632</v>
      </c>
      <c r="B3441" s="465" t="s">
        <v>3918</v>
      </c>
      <c r="C3441" s="466">
        <v>6</v>
      </c>
      <c r="D3441" s="465"/>
      <c r="E3441" s="466" t="s">
        <v>3903</v>
      </c>
      <c r="F3441" s="466" t="s">
        <v>1251</v>
      </c>
      <c r="G3441" s="465"/>
      <c r="H3441" s="465">
        <v>10</v>
      </c>
    </row>
    <row r="3442" spans="1:8" ht="13.8" thickBot="1">
      <c r="A3442" s="465" t="s">
        <v>8633</v>
      </c>
      <c r="B3442" s="465" t="s">
        <v>3919</v>
      </c>
      <c r="C3442" s="466">
        <v>6</v>
      </c>
      <c r="D3442" s="465"/>
      <c r="E3442" s="466" t="s">
        <v>3903</v>
      </c>
      <c r="F3442" s="466" t="s">
        <v>1226</v>
      </c>
      <c r="G3442" s="465"/>
      <c r="H3442" s="465">
        <v>5</v>
      </c>
    </row>
    <row r="3443" spans="1:8" ht="13.8" thickBot="1">
      <c r="A3443" s="467" t="s">
        <v>8634</v>
      </c>
      <c r="B3443" s="465" t="s">
        <v>3920</v>
      </c>
      <c r="C3443" s="466">
        <v>6</v>
      </c>
      <c r="D3443" s="465"/>
      <c r="E3443" s="466" t="s">
        <v>3903</v>
      </c>
      <c r="F3443" s="466"/>
      <c r="G3443" s="465">
        <v>1</v>
      </c>
      <c r="H3443" s="465">
        <v>3</v>
      </c>
    </row>
    <row r="3444" spans="1:8" ht="13.8" thickBot="1">
      <c r="A3444" s="465" t="s">
        <v>8635</v>
      </c>
      <c r="B3444" s="465" t="s">
        <v>3921</v>
      </c>
      <c r="C3444" s="466">
        <v>6</v>
      </c>
      <c r="D3444" s="465"/>
      <c r="E3444" s="466" t="s">
        <v>3903</v>
      </c>
      <c r="F3444" s="466"/>
      <c r="G3444" s="465"/>
      <c r="H3444" s="465">
        <v>1</v>
      </c>
    </row>
    <row r="3445" spans="1:8" ht="13.8" thickBot="1">
      <c r="A3445" s="465" t="s">
        <v>8636</v>
      </c>
      <c r="B3445" s="465" t="s">
        <v>3936</v>
      </c>
      <c r="C3445" s="466">
        <v>6</v>
      </c>
      <c r="D3445" s="465" t="s">
        <v>3547</v>
      </c>
      <c r="E3445" s="466" t="s">
        <v>3932</v>
      </c>
      <c r="F3445" s="466"/>
      <c r="G3445" s="465"/>
      <c r="H3445" s="465">
        <v>2</v>
      </c>
    </row>
    <row r="3446" spans="1:8" ht="13.8" thickBot="1">
      <c r="A3446" s="465" t="s">
        <v>8637</v>
      </c>
      <c r="B3446" s="465" t="s">
        <v>1519</v>
      </c>
      <c r="C3446" s="466">
        <v>6</v>
      </c>
      <c r="D3446" s="467" t="s">
        <v>614</v>
      </c>
      <c r="E3446" s="466" t="s">
        <v>3957</v>
      </c>
      <c r="F3446" s="466" t="s">
        <v>1910</v>
      </c>
      <c r="G3446" s="465"/>
      <c r="H3446" s="465">
        <v>4</v>
      </c>
    </row>
    <row r="3447" spans="1:8" ht="13.8" thickBot="1">
      <c r="A3447" s="465" t="s">
        <v>8638</v>
      </c>
      <c r="B3447" s="465" t="s">
        <v>1519</v>
      </c>
      <c r="C3447" s="466">
        <v>6</v>
      </c>
      <c r="D3447" s="465"/>
      <c r="E3447" s="466" t="s">
        <v>3957</v>
      </c>
      <c r="F3447" s="466" t="s">
        <v>1226</v>
      </c>
      <c r="G3447" s="465">
        <v>1</v>
      </c>
      <c r="H3447" s="465">
        <v>3</v>
      </c>
    </row>
    <row r="3448" spans="1:8" ht="13.8" thickBot="1">
      <c r="A3448" s="465" t="s">
        <v>8639</v>
      </c>
      <c r="B3448" s="465" t="s">
        <v>1519</v>
      </c>
      <c r="C3448" s="466">
        <v>6</v>
      </c>
      <c r="D3448" s="465"/>
      <c r="E3448" s="466" t="s">
        <v>3957</v>
      </c>
      <c r="F3448" s="466" t="s">
        <v>1226</v>
      </c>
      <c r="G3448" s="465"/>
      <c r="H3448" s="465">
        <v>10</v>
      </c>
    </row>
    <row r="3449" spans="1:8" ht="13.8" thickBot="1">
      <c r="A3449" s="465" t="s">
        <v>8640</v>
      </c>
      <c r="B3449" s="465" t="s">
        <v>3980</v>
      </c>
      <c r="C3449" s="466">
        <v>6</v>
      </c>
      <c r="D3449" s="465"/>
      <c r="E3449" s="466" t="s">
        <v>3957</v>
      </c>
      <c r="F3449" s="466" t="s">
        <v>1226</v>
      </c>
      <c r="G3449" s="465">
        <v>1</v>
      </c>
      <c r="H3449" s="465">
        <v>1</v>
      </c>
    </row>
    <row r="3450" spans="1:8" ht="13.8" thickBot="1">
      <c r="A3450" s="467" t="s">
        <v>8641</v>
      </c>
      <c r="B3450" s="465" t="s">
        <v>3980</v>
      </c>
      <c r="C3450" s="466">
        <v>6</v>
      </c>
      <c r="D3450" s="467" t="s">
        <v>614</v>
      </c>
      <c r="E3450" s="466" t="s">
        <v>3957</v>
      </c>
      <c r="F3450" s="466" t="s">
        <v>1226</v>
      </c>
      <c r="G3450" s="465"/>
      <c r="H3450" s="465">
        <v>5</v>
      </c>
    </row>
    <row r="3451" spans="1:8" ht="13.8" thickBot="1">
      <c r="A3451" s="465" t="s">
        <v>1117</v>
      </c>
      <c r="B3451" s="465" t="s">
        <v>3981</v>
      </c>
      <c r="C3451" s="466">
        <v>6</v>
      </c>
      <c r="D3451" s="467" t="s">
        <v>614</v>
      </c>
      <c r="E3451" s="466" t="s">
        <v>3957</v>
      </c>
      <c r="F3451" s="466" t="s">
        <v>1226</v>
      </c>
      <c r="G3451" s="465">
        <v>1</v>
      </c>
      <c r="H3451" s="465">
        <v>4</v>
      </c>
    </row>
    <row r="3452" spans="1:8" ht="13.8" thickBot="1">
      <c r="A3452" s="465" t="s">
        <v>8642</v>
      </c>
      <c r="B3452" s="465" t="s">
        <v>3982</v>
      </c>
      <c r="C3452" s="466">
        <v>6</v>
      </c>
      <c r="D3452" s="467" t="s">
        <v>614</v>
      </c>
      <c r="E3452" s="466" t="s">
        <v>3957</v>
      </c>
      <c r="F3452" s="466" t="s">
        <v>1224</v>
      </c>
      <c r="G3452" s="465">
        <v>1</v>
      </c>
      <c r="H3452" s="465">
        <v>7</v>
      </c>
    </row>
    <row r="3453" spans="1:8" ht="13.8" thickBot="1">
      <c r="A3453" s="465" t="s">
        <v>946</v>
      </c>
      <c r="B3453" s="465" t="s">
        <v>3983</v>
      </c>
      <c r="C3453" s="466">
        <v>6</v>
      </c>
      <c r="D3453" s="467" t="s">
        <v>614</v>
      </c>
      <c r="E3453" s="466" t="s">
        <v>3957</v>
      </c>
      <c r="F3453" s="466" t="s">
        <v>1220</v>
      </c>
      <c r="G3453" s="465"/>
      <c r="H3453" s="465">
        <v>2</v>
      </c>
    </row>
    <row r="3454" spans="1:8" ht="13.8" thickBot="1">
      <c r="A3454" s="467" t="s">
        <v>8643</v>
      </c>
      <c r="B3454" s="465" t="s">
        <v>1519</v>
      </c>
      <c r="C3454" s="466">
        <v>6</v>
      </c>
      <c r="D3454" s="465"/>
      <c r="E3454" s="466" t="s">
        <v>3957</v>
      </c>
      <c r="F3454" s="466"/>
      <c r="G3454" s="465">
        <v>1</v>
      </c>
      <c r="H3454" s="465">
        <v>3</v>
      </c>
    </row>
    <row r="3455" spans="1:8" ht="13.8" thickBot="1">
      <c r="A3455" s="465" t="s">
        <v>8644</v>
      </c>
      <c r="B3455" s="465" t="s">
        <v>1519</v>
      </c>
      <c r="C3455" s="466">
        <v>6</v>
      </c>
      <c r="D3455" s="465"/>
      <c r="E3455" s="466" t="s">
        <v>3957</v>
      </c>
      <c r="F3455" s="466"/>
      <c r="G3455" s="465">
        <v>1</v>
      </c>
      <c r="H3455" s="465">
        <v>1</v>
      </c>
    </row>
    <row r="3456" spans="1:8" ht="13.8" thickBot="1">
      <c r="A3456" s="465" t="s">
        <v>8645</v>
      </c>
      <c r="B3456" s="465" t="s">
        <v>1519</v>
      </c>
      <c r="C3456" s="466">
        <v>6</v>
      </c>
      <c r="D3456" s="465"/>
      <c r="E3456" s="466" t="s">
        <v>3957</v>
      </c>
      <c r="F3456" s="466"/>
      <c r="G3456" s="465">
        <v>1</v>
      </c>
      <c r="H3456" s="465">
        <v>2</v>
      </c>
    </row>
    <row r="3457" spans="1:8" ht="13.8" thickBot="1">
      <c r="A3457" s="467" t="s">
        <v>8646</v>
      </c>
      <c r="B3457" s="465" t="s">
        <v>4015</v>
      </c>
      <c r="C3457" s="466">
        <v>6</v>
      </c>
      <c r="D3457" s="467" t="s">
        <v>614</v>
      </c>
      <c r="E3457" s="466" t="s">
        <v>3996</v>
      </c>
      <c r="F3457" s="466" t="s">
        <v>1251</v>
      </c>
      <c r="G3457" s="465"/>
      <c r="H3457" s="465">
        <v>3</v>
      </c>
    </row>
    <row r="3458" spans="1:8" ht="13.8" thickBot="1">
      <c r="A3458" s="465" t="s">
        <v>912</v>
      </c>
      <c r="B3458" s="465" t="s">
        <v>4016</v>
      </c>
      <c r="C3458" s="466">
        <v>6</v>
      </c>
      <c r="D3458" s="465"/>
      <c r="E3458" s="466" t="s">
        <v>3996</v>
      </c>
      <c r="F3458" s="466" t="s">
        <v>1226</v>
      </c>
      <c r="G3458" s="465">
        <v>1</v>
      </c>
      <c r="H3458" s="465">
        <v>3</v>
      </c>
    </row>
    <row r="3459" spans="1:8" ht="13.8" thickBot="1">
      <c r="A3459" s="467" t="s">
        <v>8647</v>
      </c>
      <c r="B3459" s="465" t="s">
        <v>4017</v>
      </c>
      <c r="C3459" s="466">
        <v>6</v>
      </c>
      <c r="D3459" s="465"/>
      <c r="E3459" s="466" t="s">
        <v>3996</v>
      </c>
      <c r="F3459" s="466" t="s">
        <v>1226</v>
      </c>
      <c r="G3459" s="465">
        <v>1</v>
      </c>
      <c r="H3459" s="465">
        <v>1</v>
      </c>
    </row>
    <row r="3460" spans="1:8" ht="13.8" thickBot="1">
      <c r="A3460" s="465" t="s">
        <v>1039</v>
      </c>
      <c r="B3460" s="465" t="s">
        <v>4018</v>
      </c>
      <c r="C3460" s="466">
        <v>6</v>
      </c>
      <c r="D3460" s="465"/>
      <c r="E3460" s="466" t="s">
        <v>3996</v>
      </c>
      <c r="F3460" s="466" t="s">
        <v>1226</v>
      </c>
      <c r="G3460" s="465"/>
      <c r="H3460" s="465">
        <v>4</v>
      </c>
    </row>
    <row r="3461" spans="1:8" ht="13.8" thickBot="1">
      <c r="A3461" s="467" t="s">
        <v>8648</v>
      </c>
      <c r="B3461" s="465" t="s">
        <v>4019</v>
      </c>
      <c r="C3461" s="466">
        <v>6</v>
      </c>
      <c r="D3461" s="465" t="s">
        <v>2419</v>
      </c>
      <c r="E3461" s="466" t="s">
        <v>3996</v>
      </c>
      <c r="F3461" s="466" t="s">
        <v>1226</v>
      </c>
      <c r="G3461" s="465"/>
      <c r="H3461" s="465">
        <v>1</v>
      </c>
    </row>
    <row r="3462" spans="1:8" ht="13.8" thickBot="1">
      <c r="A3462" s="467" t="s">
        <v>8649</v>
      </c>
      <c r="B3462" s="465" t="s">
        <v>1531</v>
      </c>
      <c r="C3462" s="466">
        <v>6</v>
      </c>
      <c r="D3462" s="467" t="s">
        <v>614</v>
      </c>
      <c r="E3462" s="466" t="s">
        <v>3996</v>
      </c>
      <c r="F3462" s="466" t="s">
        <v>1226</v>
      </c>
      <c r="G3462" s="465">
        <v>1</v>
      </c>
      <c r="H3462" s="465">
        <v>7</v>
      </c>
    </row>
    <row r="3463" spans="1:8" ht="13.8" thickBot="1">
      <c r="A3463" s="465" t="s">
        <v>8650</v>
      </c>
      <c r="B3463" s="465" t="s">
        <v>4020</v>
      </c>
      <c r="C3463" s="466">
        <v>6</v>
      </c>
      <c r="D3463" s="465"/>
      <c r="E3463" s="466" t="s">
        <v>3996</v>
      </c>
      <c r="F3463" s="466" t="s">
        <v>1226</v>
      </c>
      <c r="G3463" s="465">
        <v>1</v>
      </c>
      <c r="H3463" s="465">
        <v>3</v>
      </c>
    </row>
    <row r="3464" spans="1:8" ht="13.8" thickBot="1">
      <c r="A3464" s="465" t="s">
        <v>8651</v>
      </c>
      <c r="B3464" s="465" t="s">
        <v>1525</v>
      </c>
      <c r="C3464" s="466">
        <v>6</v>
      </c>
      <c r="D3464" s="465"/>
      <c r="E3464" s="466" t="s">
        <v>3996</v>
      </c>
      <c r="F3464" s="466" t="s">
        <v>1863</v>
      </c>
      <c r="G3464" s="465"/>
      <c r="H3464" s="465">
        <v>8</v>
      </c>
    </row>
    <row r="3465" spans="1:8" ht="13.8" thickBot="1">
      <c r="A3465" s="465" t="s">
        <v>8652</v>
      </c>
      <c r="B3465" s="465" t="s">
        <v>4021</v>
      </c>
      <c r="C3465" s="466">
        <v>6</v>
      </c>
      <c r="D3465" s="465"/>
      <c r="E3465" s="466" t="s">
        <v>3996</v>
      </c>
      <c r="F3465" s="466" t="s">
        <v>1224</v>
      </c>
      <c r="G3465" s="465"/>
      <c r="H3465" s="465">
        <v>3</v>
      </c>
    </row>
    <row r="3466" spans="1:8" ht="13.8" thickBot="1">
      <c r="A3466" s="465" t="s">
        <v>8653</v>
      </c>
      <c r="B3466" s="465" t="s">
        <v>4022</v>
      </c>
      <c r="C3466" s="466">
        <v>6</v>
      </c>
      <c r="D3466" s="467" t="s">
        <v>614</v>
      </c>
      <c r="E3466" s="466" t="s">
        <v>3996</v>
      </c>
      <c r="F3466" s="466" t="s">
        <v>1224</v>
      </c>
      <c r="G3466" s="465"/>
      <c r="H3466" s="465">
        <v>5</v>
      </c>
    </row>
    <row r="3467" spans="1:8" ht="13.8" thickBot="1">
      <c r="A3467" s="465" t="s">
        <v>757</v>
      </c>
      <c r="B3467" s="465" t="s">
        <v>4023</v>
      </c>
      <c r="C3467" s="466">
        <v>6</v>
      </c>
      <c r="D3467" s="465"/>
      <c r="E3467" s="466" t="s">
        <v>3996</v>
      </c>
      <c r="F3467" s="466" t="s">
        <v>1220</v>
      </c>
      <c r="G3467" s="465"/>
      <c r="H3467" s="465">
        <v>2</v>
      </c>
    </row>
    <row r="3468" spans="1:8" ht="13.8" thickBot="1">
      <c r="A3468" s="465" t="s">
        <v>8654</v>
      </c>
      <c r="B3468" s="465" t="s">
        <v>1525</v>
      </c>
      <c r="C3468" s="466">
        <v>6</v>
      </c>
      <c r="D3468" s="465"/>
      <c r="E3468" s="466" t="s">
        <v>3996</v>
      </c>
      <c r="F3468" s="466"/>
      <c r="G3468" s="465">
        <v>1</v>
      </c>
      <c r="H3468" s="465">
        <v>2</v>
      </c>
    </row>
    <row r="3469" spans="1:8" ht="13.8" thickBot="1">
      <c r="A3469" s="467" t="s">
        <v>8655</v>
      </c>
      <c r="B3469" s="465" t="s">
        <v>4024</v>
      </c>
      <c r="C3469" s="466">
        <v>6</v>
      </c>
      <c r="D3469" s="465"/>
      <c r="E3469" s="466" t="s">
        <v>3996</v>
      </c>
      <c r="F3469" s="466"/>
      <c r="G3469" s="465"/>
      <c r="H3469" s="465">
        <v>2</v>
      </c>
    </row>
    <row r="3470" spans="1:8" ht="13.8" thickBot="1">
      <c r="A3470" s="467" t="s">
        <v>8656</v>
      </c>
      <c r="B3470" s="465" t="s">
        <v>4025</v>
      </c>
      <c r="C3470" s="466">
        <v>6</v>
      </c>
      <c r="D3470" s="465"/>
      <c r="E3470" s="466" t="s">
        <v>3996</v>
      </c>
      <c r="F3470" s="466"/>
      <c r="G3470" s="465">
        <v>1</v>
      </c>
      <c r="H3470" s="465">
        <v>4</v>
      </c>
    </row>
    <row r="3471" spans="1:8" ht="13.8" thickBot="1">
      <c r="A3471" s="467" t="s">
        <v>8657</v>
      </c>
      <c r="B3471" s="465" t="s">
        <v>4052</v>
      </c>
      <c r="C3471" s="466">
        <v>6</v>
      </c>
      <c r="D3471" s="465"/>
      <c r="E3471" s="466" t="s">
        <v>4046</v>
      </c>
      <c r="F3471" s="466" t="s">
        <v>1251</v>
      </c>
      <c r="G3471" s="465"/>
      <c r="H3471" s="465">
        <v>4</v>
      </c>
    </row>
    <row r="3472" spans="1:8" ht="13.8" thickBot="1">
      <c r="A3472" s="467" t="s">
        <v>8658</v>
      </c>
      <c r="B3472" s="465" t="s">
        <v>4052</v>
      </c>
      <c r="C3472" s="466">
        <v>6</v>
      </c>
      <c r="D3472" s="465"/>
      <c r="E3472" s="466" t="s">
        <v>4046</v>
      </c>
      <c r="F3472" s="466"/>
      <c r="G3472" s="465"/>
      <c r="H3472" s="465"/>
    </row>
    <row r="3473" spans="1:8" ht="13.8" thickBot="1">
      <c r="A3473" s="467" t="s">
        <v>8659</v>
      </c>
      <c r="B3473" s="465" t="s">
        <v>4052</v>
      </c>
      <c r="C3473" s="466">
        <v>6</v>
      </c>
      <c r="D3473" s="465"/>
      <c r="E3473" s="466" t="s">
        <v>4046</v>
      </c>
      <c r="F3473" s="466"/>
      <c r="G3473" s="465"/>
      <c r="H3473" s="465">
        <v>4</v>
      </c>
    </row>
    <row r="3474" spans="1:8" ht="13.8" thickBot="1">
      <c r="A3474" s="465" t="s">
        <v>8270</v>
      </c>
      <c r="B3474" s="465" t="s">
        <v>2117</v>
      </c>
      <c r="C3474" s="466">
        <v>6</v>
      </c>
      <c r="D3474" s="465"/>
      <c r="E3474" s="466" t="s">
        <v>2114</v>
      </c>
      <c r="F3474" s="466"/>
      <c r="G3474" s="465"/>
      <c r="H3474" s="465"/>
    </row>
    <row r="3475" spans="1:8" ht="13.8" thickBot="1">
      <c r="A3475" s="465" t="s">
        <v>8271</v>
      </c>
      <c r="B3475" s="465" t="s">
        <v>2118</v>
      </c>
      <c r="C3475" s="466">
        <v>6</v>
      </c>
      <c r="D3475" s="465"/>
      <c r="E3475" s="466" t="s">
        <v>2114</v>
      </c>
      <c r="F3475" s="466"/>
      <c r="G3475" s="465"/>
      <c r="H3475" s="465">
        <v>2</v>
      </c>
    </row>
    <row r="3476" spans="1:8" ht="13.8" thickBot="1">
      <c r="A3476" s="467" t="s">
        <v>8660</v>
      </c>
      <c r="B3476" s="465" t="s">
        <v>4087</v>
      </c>
      <c r="C3476" s="466">
        <v>6</v>
      </c>
      <c r="D3476" s="465"/>
      <c r="E3476" s="466" t="s">
        <v>4067</v>
      </c>
      <c r="F3476" s="466" t="s">
        <v>1226</v>
      </c>
      <c r="G3476" s="465"/>
      <c r="H3476" s="465">
        <v>7</v>
      </c>
    </row>
    <row r="3477" spans="1:8" ht="13.8" thickBot="1">
      <c r="A3477" s="465" t="s">
        <v>8661</v>
      </c>
      <c r="B3477" s="465" t="s">
        <v>4088</v>
      </c>
      <c r="C3477" s="466">
        <v>6</v>
      </c>
      <c r="D3477" s="467" t="s">
        <v>614</v>
      </c>
      <c r="E3477" s="466" t="s">
        <v>4067</v>
      </c>
      <c r="F3477" s="466" t="s">
        <v>1226</v>
      </c>
      <c r="G3477" s="465"/>
      <c r="H3477" s="465">
        <v>3</v>
      </c>
    </row>
    <row r="3478" spans="1:8" ht="13.8" thickBot="1">
      <c r="A3478" s="465" t="s">
        <v>8662</v>
      </c>
      <c r="B3478" s="465" t="s">
        <v>4089</v>
      </c>
      <c r="C3478" s="466">
        <v>6</v>
      </c>
      <c r="D3478" s="465"/>
      <c r="E3478" s="466" t="s">
        <v>4067</v>
      </c>
      <c r="F3478" s="466" t="s">
        <v>1224</v>
      </c>
      <c r="G3478" s="465"/>
      <c r="H3478" s="465">
        <v>5</v>
      </c>
    </row>
    <row r="3479" spans="1:8" ht="13.8" thickBot="1">
      <c r="A3479" s="467" t="s">
        <v>8663</v>
      </c>
      <c r="B3479" s="465" t="s">
        <v>4090</v>
      </c>
      <c r="C3479" s="466">
        <v>6</v>
      </c>
      <c r="D3479" s="467" t="s">
        <v>614</v>
      </c>
      <c r="E3479" s="466" t="s">
        <v>4067</v>
      </c>
      <c r="F3479" s="466" t="s">
        <v>1224</v>
      </c>
      <c r="G3479" s="465">
        <v>1</v>
      </c>
      <c r="H3479" s="465">
        <v>10</v>
      </c>
    </row>
    <row r="3480" spans="1:8" ht="13.8" thickBot="1">
      <c r="A3480" s="467" t="s">
        <v>8664</v>
      </c>
      <c r="B3480" s="465" t="s">
        <v>4106</v>
      </c>
      <c r="C3480" s="466">
        <v>6</v>
      </c>
      <c r="D3480" s="467" t="s">
        <v>614</v>
      </c>
      <c r="E3480" s="466" t="s">
        <v>4102</v>
      </c>
      <c r="F3480" s="466" t="s">
        <v>1226</v>
      </c>
      <c r="G3480" s="465"/>
      <c r="H3480" s="465">
        <v>4</v>
      </c>
    </row>
    <row r="3481" spans="1:8" ht="13.8" thickBot="1">
      <c r="A3481" s="467" t="s">
        <v>8665</v>
      </c>
      <c r="B3481" s="465" t="s">
        <v>4107</v>
      </c>
      <c r="C3481" s="466">
        <v>6</v>
      </c>
      <c r="D3481" s="465"/>
      <c r="E3481" s="466" t="s">
        <v>4102</v>
      </c>
      <c r="F3481" s="466" t="s">
        <v>1226</v>
      </c>
      <c r="G3481" s="465">
        <v>1</v>
      </c>
      <c r="H3481" s="465">
        <v>13</v>
      </c>
    </row>
    <row r="3482" spans="1:8" ht="13.8" thickBot="1">
      <c r="A3482" s="465" t="s">
        <v>8666</v>
      </c>
      <c r="B3482" s="465" t="s">
        <v>4128</v>
      </c>
      <c r="C3482" s="466">
        <v>6</v>
      </c>
      <c r="D3482" s="465"/>
      <c r="E3482" s="466" t="s">
        <v>4121</v>
      </c>
      <c r="F3482" s="466" t="s">
        <v>1251</v>
      </c>
      <c r="G3482" s="465"/>
      <c r="H3482" s="465">
        <v>5</v>
      </c>
    </row>
    <row r="3483" spans="1:8" ht="13.8" thickBot="1">
      <c r="A3483" s="467" t="s">
        <v>8667</v>
      </c>
      <c r="B3483" s="465" t="s">
        <v>4125</v>
      </c>
      <c r="C3483" s="466">
        <v>6</v>
      </c>
      <c r="D3483" s="465"/>
      <c r="E3483" s="466" t="s">
        <v>4121</v>
      </c>
      <c r="F3483" s="466" t="s">
        <v>1226</v>
      </c>
      <c r="G3483" s="465"/>
      <c r="H3483" s="465">
        <v>2</v>
      </c>
    </row>
    <row r="3484" spans="1:8" ht="13.8" thickBot="1">
      <c r="A3484" s="467" t="s">
        <v>8668</v>
      </c>
      <c r="B3484" s="465" t="s">
        <v>4125</v>
      </c>
      <c r="C3484" s="466">
        <v>6</v>
      </c>
      <c r="D3484" s="465"/>
      <c r="E3484" s="466" t="s">
        <v>4121</v>
      </c>
      <c r="F3484" s="466" t="s">
        <v>1226</v>
      </c>
      <c r="G3484" s="465"/>
      <c r="H3484" s="465">
        <v>3</v>
      </c>
    </row>
    <row r="3485" spans="1:8" ht="13.8" thickBot="1">
      <c r="A3485" s="467" t="s">
        <v>8669</v>
      </c>
      <c r="B3485" s="465" t="s">
        <v>4129</v>
      </c>
      <c r="C3485" s="466">
        <v>6</v>
      </c>
      <c r="D3485" s="465"/>
      <c r="E3485" s="466" t="s">
        <v>4121</v>
      </c>
      <c r="F3485" s="466" t="s">
        <v>1226</v>
      </c>
      <c r="G3485" s="465"/>
      <c r="H3485" s="465">
        <v>2</v>
      </c>
    </row>
    <row r="3486" spans="1:8" ht="13.8" thickBot="1">
      <c r="A3486" s="465" t="s">
        <v>8670</v>
      </c>
      <c r="B3486" s="468" t="s">
        <v>4125</v>
      </c>
      <c r="C3486" s="466">
        <v>6</v>
      </c>
      <c r="D3486" s="467" t="s">
        <v>614</v>
      </c>
      <c r="E3486" s="466" t="s">
        <v>4121</v>
      </c>
      <c r="F3486" s="466"/>
      <c r="G3486" s="465"/>
      <c r="H3486" s="465">
        <v>2</v>
      </c>
    </row>
    <row r="3487" spans="1:8" ht="13.8" thickBot="1">
      <c r="A3487" s="465" t="s">
        <v>8671</v>
      </c>
      <c r="B3487" s="468" t="s">
        <v>4125</v>
      </c>
      <c r="C3487" s="466">
        <v>6</v>
      </c>
      <c r="D3487" s="467" t="s">
        <v>614</v>
      </c>
      <c r="E3487" s="466" t="s">
        <v>4121</v>
      </c>
      <c r="F3487" s="466"/>
      <c r="G3487" s="465">
        <v>1</v>
      </c>
      <c r="H3487" s="465">
        <v>2</v>
      </c>
    </row>
    <row r="3488" spans="1:8" ht="13.8" thickBot="1">
      <c r="A3488" s="467" t="s">
        <v>8672</v>
      </c>
      <c r="B3488" s="468" t="s">
        <v>4125</v>
      </c>
      <c r="C3488" s="466">
        <v>6</v>
      </c>
      <c r="D3488" s="467" t="s">
        <v>614</v>
      </c>
      <c r="E3488" s="466" t="s">
        <v>4121</v>
      </c>
      <c r="F3488" s="466"/>
      <c r="G3488" s="465"/>
      <c r="H3488" s="465">
        <v>1</v>
      </c>
    </row>
    <row r="3489" spans="1:8" ht="13.8" thickBot="1">
      <c r="A3489" s="465" t="s">
        <v>8673</v>
      </c>
      <c r="B3489" s="468" t="s">
        <v>4125</v>
      </c>
      <c r="C3489" s="466">
        <v>6</v>
      </c>
      <c r="D3489" s="467" t="s">
        <v>614</v>
      </c>
      <c r="E3489" s="466" t="s">
        <v>4121</v>
      </c>
      <c r="F3489" s="466"/>
      <c r="G3489" s="465"/>
      <c r="H3489" s="465">
        <v>1</v>
      </c>
    </row>
    <row r="3490" spans="1:8" ht="13.8" thickBot="1">
      <c r="A3490" s="465" t="s">
        <v>8674</v>
      </c>
      <c r="B3490" s="465" t="s">
        <v>4125</v>
      </c>
      <c r="C3490" s="466">
        <v>6</v>
      </c>
      <c r="D3490" s="465"/>
      <c r="E3490" s="466" t="s">
        <v>4121</v>
      </c>
      <c r="F3490" s="466"/>
      <c r="G3490" s="465"/>
      <c r="H3490" s="465">
        <v>1</v>
      </c>
    </row>
    <row r="3491" spans="1:8" ht="13.8" thickBot="1">
      <c r="A3491" s="465" t="s">
        <v>8675</v>
      </c>
      <c r="B3491" s="465" t="s">
        <v>4125</v>
      </c>
      <c r="C3491" s="466">
        <v>6</v>
      </c>
      <c r="D3491" s="467" t="s">
        <v>614</v>
      </c>
      <c r="E3491" s="466" t="s">
        <v>4121</v>
      </c>
      <c r="F3491" s="466"/>
      <c r="G3491" s="465"/>
      <c r="H3491" s="465">
        <v>1</v>
      </c>
    </row>
    <row r="3492" spans="1:8" ht="13.8" thickBot="1">
      <c r="A3492" s="467" t="s">
        <v>8676</v>
      </c>
      <c r="B3492" s="465" t="s">
        <v>4149</v>
      </c>
      <c r="C3492" s="466">
        <v>6</v>
      </c>
      <c r="D3492" s="465"/>
      <c r="E3492" s="466" t="s">
        <v>4140</v>
      </c>
      <c r="F3492" s="466" t="s">
        <v>1226</v>
      </c>
      <c r="G3492" s="465"/>
      <c r="H3492" s="465">
        <v>1</v>
      </c>
    </row>
    <row r="3493" spans="1:8" ht="13.8" thickBot="1">
      <c r="A3493" s="465" t="s">
        <v>8677</v>
      </c>
      <c r="B3493" s="465" t="s">
        <v>4150</v>
      </c>
      <c r="C3493" s="466">
        <v>6</v>
      </c>
      <c r="D3493" s="467" t="s">
        <v>614</v>
      </c>
      <c r="E3493" s="466" t="s">
        <v>4140</v>
      </c>
      <c r="F3493" s="466" t="s">
        <v>1226</v>
      </c>
      <c r="G3493" s="465"/>
      <c r="H3493" s="465">
        <v>3</v>
      </c>
    </row>
    <row r="3494" spans="1:8" ht="13.8" thickBot="1">
      <c r="A3494" s="467" t="s">
        <v>8678</v>
      </c>
      <c r="B3494" s="465" t="s">
        <v>4151</v>
      </c>
      <c r="C3494" s="466">
        <v>6</v>
      </c>
      <c r="D3494" s="467" t="s">
        <v>614</v>
      </c>
      <c r="E3494" s="466" t="s">
        <v>4140</v>
      </c>
      <c r="F3494" s="466" t="s">
        <v>1226</v>
      </c>
      <c r="G3494" s="465"/>
      <c r="H3494" s="465">
        <v>6</v>
      </c>
    </row>
    <row r="3495" spans="1:8" ht="13.8" thickBot="1">
      <c r="A3495" s="467" t="s">
        <v>8679</v>
      </c>
      <c r="B3495" s="465" t="s">
        <v>4152</v>
      </c>
      <c r="C3495" s="466">
        <v>6</v>
      </c>
      <c r="D3495" s="467" t="s">
        <v>614</v>
      </c>
      <c r="E3495" s="466" t="s">
        <v>4140</v>
      </c>
      <c r="F3495" s="466" t="s">
        <v>1226</v>
      </c>
      <c r="G3495" s="465"/>
      <c r="H3495" s="465">
        <v>4</v>
      </c>
    </row>
    <row r="3496" spans="1:8" ht="13.8" thickBot="1">
      <c r="A3496" s="465" t="s">
        <v>8680</v>
      </c>
      <c r="B3496" s="465" t="s">
        <v>4153</v>
      </c>
      <c r="C3496" s="466">
        <v>6</v>
      </c>
      <c r="D3496" s="465"/>
      <c r="E3496" s="466" t="s">
        <v>4140</v>
      </c>
      <c r="F3496" s="466"/>
      <c r="G3496" s="465"/>
      <c r="H3496" s="465">
        <v>1</v>
      </c>
    </row>
    <row r="3497" spans="1:8" ht="13.8" thickBot="1">
      <c r="A3497" s="465" t="s">
        <v>8681</v>
      </c>
      <c r="B3497" s="465" t="s">
        <v>4177</v>
      </c>
      <c r="C3497" s="466">
        <v>6</v>
      </c>
      <c r="D3497" s="467" t="s">
        <v>4178</v>
      </c>
      <c r="E3497" s="466" t="s">
        <v>4160</v>
      </c>
      <c r="F3497" s="466" t="s">
        <v>1226</v>
      </c>
      <c r="G3497" s="465"/>
      <c r="H3497" s="465">
        <v>4</v>
      </c>
    </row>
    <row r="3498" spans="1:8" ht="13.8" thickBot="1">
      <c r="A3498" s="465" t="s">
        <v>8682</v>
      </c>
      <c r="B3498" s="465" t="s">
        <v>4179</v>
      </c>
      <c r="C3498" s="466">
        <v>6</v>
      </c>
      <c r="D3498" s="465"/>
      <c r="E3498" s="466" t="s">
        <v>4160</v>
      </c>
      <c r="F3498" s="466" t="s">
        <v>1226</v>
      </c>
      <c r="G3498" s="465"/>
      <c r="H3498" s="465">
        <v>3</v>
      </c>
    </row>
    <row r="3499" spans="1:8" ht="13.8" thickBot="1">
      <c r="A3499" s="465" t="s">
        <v>8683</v>
      </c>
      <c r="B3499" s="465" t="s">
        <v>4180</v>
      </c>
      <c r="C3499" s="466">
        <v>6</v>
      </c>
      <c r="D3499" s="467" t="s">
        <v>614</v>
      </c>
      <c r="E3499" s="466" t="s">
        <v>4160</v>
      </c>
      <c r="F3499" s="466" t="s">
        <v>1226</v>
      </c>
      <c r="G3499" s="465"/>
      <c r="H3499" s="465">
        <v>3</v>
      </c>
    </row>
    <row r="3500" spans="1:8" ht="13.8" thickBot="1">
      <c r="A3500" s="465" t="s">
        <v>8684</v>
      </c>
      <c r="B3500" s="465" t="s">
        <v>4181</v>
      </c>
      <c r="C3500" s="466">
        <v>6</v>
      </c>
      <c r="D3500" s="467" t="s">
        <v>614</v>
      </c>
      <c r="E3500" s="466" t="s">
        <v>4160</v>
      </c>
      <c r="F3500" s="466"/>
      <c r="G3500" s="465"/>
      <c r="H3500" s="465">
        <v>1</v>
      </c>
    </row>
    <row r="3501" spans="1:8" ht="13.8" thickBot="1">
      <c r="A3501" s="465" t="s">
        <v>8685</v>
      </c>
      <c r="B3501" s="465" t="s">
        <v>4182</v>
      </c>
      <c r="C3501" s="466">
        <v>6</v>
      </c>
      <c r="D3501" s="465"/>
      <c r="E3501" s="466" t="s">
        <v>4160</v>
      </c>
      <c r="F3501" s="466"/>
      <c r="G3501" s="465"/>
      <c r="H3501" s="465">
        <v>1</v>
      </c>
    </row>
    <row r="3502" spans="1:8" ht="13.8" thickBot="1">
      <c r="A3502" s="465" t="s">
        <v>8686</v>
      </c>
      <c r="B3502" s="465" t="s">
        <v>4211</v>
      </c>
      <c r="C3502" s="466">
        <v>6</v>
      </c>
      <c r="D3502" s="467" t="s">
        <v>4212</v>
      </c>
      <c r="E3502" s="466" t="s">
        <v>4204</v>
      </c>
      <c r="F3502" s="466" t="s">
        <v>1226</v>
      </c>
      <c r="G3502" s="465"/>
      <c r="H3502" s="465">
        <v>4</v>
      </c>
    </row>
    <row r="3503" spans="1:8" ht="13.8" thickBot="1">
      <c r="A3503" s="465" t="s">
        <v>8687</v>
      </c>
      <c r="B3503" s="465" t="s">
        <v>4213</v>
      </c>
      <c r="C3503" s="466">
        <v>6</v>
      </c>
      <c r="D3503" s="465"/>
      <c r="E3503" s="466" t="s">
        <v>4204</v>
      </c>
      <c r="F3503" s="466" t="s">
        <v>1224</v>
      </c>
      <c r="G3503" s="465"/>
      <c r="H3503" s="465">
        <v>9</v>
      </c>
    </row>
    <row r="3504" spans="1:8" ht="13.8" thickBot="1">
      <c r="A3504" s="467" t="s">
        <v>8688</v>
      </c>
      <c r="B3504" s="465" t="s">
        <v>4268</v>
      </c>
      <c r="C3504" s="466">
        <v>6</v>
      </c>
      <c r="D3504" s="465"/>
      <c r="E3504" s="466" t="s">
        <v>4214</v>
      </c>
      <c r="F3504" s="466" t="s">
        <v>1880</v>
      </c>
      <c r="G3504" s="465">
        <v>3</v>
      </c>
      <c r="H3504" s="465">
        <v>6</v>
      </c>
    </row>
    <row r="3505" spans="1:8" ht="13.8" thickBot="1">
      <c r="A3505" s="467" t="s">
        <v>8689</v>
      </c>
      <c r="B3505" s="465" t="s">
        <v>4269</v>
      </c>
      <c r="C3505" s="466">
        <v>6</v>
      </c>
      <c r="D3505" s="465"/>
      <c r="E3505" s="466" t="s">
        <v>4214</v>
      </c>
      <c r="F3505" s="466" t="s">
        <v>1251</v>
      </c>
      <c r="G3505" s="465"/>
      <c r="H3505" s="465">
        <v>4</v>
      </c>
    </row>
    <row r="3506" spans="1:8" ht="13.8" thickBot="1">
      <c r="A3506" s="467" t="s">
        <v>8690</v>
      </c>
      <c r="B3506" s="465" t="s">
        <v>4270</v>
      </c>
      <c r="C3506" s="466">
        <v>6</v>
      </c>
      <c r="D3506" s="465"/>
      <c r="E3506" s="466" t="s">
        <v>4214</v>
      </c>
      <c r="F3506" s="466" t="s">
        <v>1251</v>
      </c>
      <c r="G3506" s="465"/>
      <c r="H3506" s="465">
        <v>1</v>
      </c>
    </row>
    <row r="3507" spans="1:8" ht="13.8" thickBot="1">
      <c r="A3507" s="467" t="s">
        <v>8691</v>
      </c>
      <c r="B3507" s="465" t="s">
        <v>4257</v>
      </c>
      <c r="C3507" s="466">
        <v>6</v>
      </c>
      <c r="D3507" s="465"/>
      <c r="E3507" s="466" t="s">
        <v>4214</v>
      </c>
      <c r="F3507" s="466" t="s">
        <v>1226</v>
      </c>
      <c r="G3507" s="465"/>
      <c r="H3507" s="465">
        <v>1</v>
      </c>
    </row>
    <row r="3508" spans="1:8" ht="13.8" thickBot="1">
      <c r="A3508" s="467" t="s">
        <v>8692</v>
      </c>
      <c r="B3508" s="465" t="s">
        <v>4271</v>
      </c>
      <c r="C3508" s="466">
        <v>6</v>
      </c>
      <c r="D3508" s="465"/>
      <c r="E3508" s="466" t="s">
        <v>4214</v>
      </c>
      <c r="F3508" s="466" t="s">
        <v>1226</v>
      </c>
      <c r="G3508" s="465"/>
      <c r="H3508" s="465">
        <v>4</v>
      </c>
    </row>
    <row r="3509" spans="1:8" ht="13.8" thickBot="1">
      <c r="A3509" s="467" t="s">
        <v>8693</v>
      </c>
      <c r="B3509" s="465" t="s">
        <v>4272</v>
      </c>
      <c r="C3509" s="466">
        <v>6</v>
      </c>
      <c r="D3509" s="465"/>
      <c r="E3509" s="466" t="s">
        <v>4214</v>
      </c>
      <c r="F3509" s="466" t="s">
        <v>1226</v>
      </c>
      <c r="G3509" s="465">
        <v>1</v>
      </c>
      <c r="H3509" s="465">
        <v>2</v>
      </c>
    </row>
    <row r="3510" spans="1:8" ht="13.8" thickBot="1">
      <c r="A3510" s="467" t="s">
        <v>8694</v>
      </c>
      <c r="B3510" s="465" t="s">
        <v>4273</v>
      </c>
      <c r="C3510" s="466">
        <v>6</v>
      </c>
      <c r="D3510" s="465"/>
      <c r="E3510" s="466" t="s">
        <v>4214</v>
      </c>
      <c r="F3510" s="466" t="s">
        <v>1226</v>
      </c>
      <c r="G3510" s="465">
        <v>1</v>
      </c>
      <c r="H3510" s="465">
        <v>5</v>
      </c>
    </row>
    <row r="3511" spans="1:8" ht="13.8" thickBot="1">
      <c r="A3511" s="467" t="s">
        <v>8695</v>
      </c>
      <c r="B3511" s="465" t="s">
        <v>4274</v>
      </c>
      <c r="C3511" s="466">
        <v>6</v>
      </c>
      <c r="D3511" s="467" t="s">
        <v>614</v>
      </c>
      <c r="E3511" s="466" t="s">
        <v>4214</v>
      </c>
      <c r="F3511" s="466" t="s">
        <v>1226</v>
      </c>
      <c r="G3511" s="465">
        <v>1</v>
      </c>
      <c r="H3511" s="465">
        <v>6</v>
      </c>
    </row>
    <row r="3512" spans="1:8" ht="13.8" thickBot="1">
      <c r="A3512" s="467" t="s">
        <v>8696</v>
      </c>
      <c r="B3512" s="465" t="s">
        <v>4275</v>
      </c>
      <c r="C3512" s="466">
        <v>6</v>
      </c>
      <c r="D3512" s="467" t="s">
        <v>614</v>
      </c>
      <c r="E3512" s="466" t="s">
        <v>4214</v>
      </c>
      <c r="F3512" s="466" t="s">
        <v>1224</v>
      </c>
      <c r="G3512" s="465"/>
      <c r="H3512" s="465">
        <v>4</v>
      </c>
    </row>
    <row r="3513" spans="1:8" ht="13.8" thickBot="1">
      <c r="A3513" s="465" t="s">
        <v>8697</v>
      </c>
      <c r="B3513" s="465" t="s">
        <v>4276</v>
      </c>
      <c r="C3513" s="466">
        <v>6</v>
      </c>
      <c r="D3513" s="465"/>
      <c r="E3513" s="466" t="s">
        <v>4214</v>
      </c>
      <c r="F3513" s="466" t="s">
        <v>1224</v>
      </c>
      <c r="G3513" s="465"/>
      <c r="H3513" s="465">
        <v>11</v>
      </c>
    </row>
    <row r="3514" spans="1:8" ht="13.8" thickBot="1">
      <c r="A3514" s="465" t="s">
        <v>8698</v>
      </c>
      <c r="B3514" s="465" t="s">
        <v>1612</v>
      </c>
      <c r="C3514" s="466">
        <v>6</v>
      </c>
      <c r="D3514" s="465"/>
      <c r="E3514" s="466" t="s">
        <v>4214</v>
      </c>
      <c r="F3514" s="466" t="s">
        <v>1224</v>
      </c>
      <c r="G3514" s="465"/>
      <c r="H3514" s="465">
        <v>1</v>
      </c>
    </row>
    <row r="3515" spans="1:8" ht="13.8" thickBot="1">
      <c r="A3515" s="467" t="s">
        <v>8699</v>
      </c>
      <c r="B3515" s="468" t="s">
        <v>4264</v>
      </c>
      <c r="C3515" s="466">
        <v>6</v>
      </c>
      <c r="D3515" s="465"/>
      <c r="E3515" s="466" t="s">
        <v>4214</v>
      </c>
      <c r="F3515" s="466" t="s">
        <v>1224</v>
      </c>
      <c r="G3515" s="465">
        <v>1</v>
      </c>
      <c r="H3515" s="465">
        <v>2</v>
      </c>
    </row>
    <row r="3516" spans="1:8" ht="13.8" thickBot="1">
      <c r="A3516" s="467" t="s">
        <v>8700</v>
      </c>
      <c r="B3516" s="465" t="s">
        <v>4277</v>
      </c>
      <c r="C3516" s="466">
        <v>6</v>
      </c>
      <c r="D3516" s="467" t="s">
        <v>3050</v>
      </c>
      <c r="E3516" s="466" t="s">
        <v>4214</v>
      </c>
      <c r="F3516" s="466" t="s">
        <v>1220</v>
      </c>
      <c r="G3516" s="465"/>
      <c r="H3516" s="465">
        <v>6</v>
      </c>
    </row>
    <row r="3517" spans="1:8" ht="13.8" thickBot="1">
      <c r="A3517" s="467" t="s">
        <v>8701</v>
      </c>
      <c r="B3517" s="465" t="s">
        <v>4278</v>
      </c>
      <c r="C3517" s="466">
        <v>6</v>
      </c>
      <c r="D3517" s="465"/>
      <c r="E3517" s="466" t="s">
        <v>4214</v>
      </c>
      <c r="F3517" s="466" t="s">
        <v>1220</v>
      </c>
      <c r="G3517" s="465"/>
      <c r="H3517" s="465">
        <v>5</v>
      </c>
    </row>
    <row r="3518" spans="1:8" ht="13.8" thickBot="1">
      <c r="A3518" s="467" t="s">
        <v>8702</v>
      </c>
      <c r="B3518" s="465" t="s">
        <v>1607</v>
      </c>
      <c r="C3518" s="466">
        <v>6</v>
      </c>
      <c r="D3518" s="465"/>
      <c r="E3518" s="466" t="s">
        <v>4214</v>
      </c>
      <c r="F3518" s="466"/>
      <c r="G3518" s="465"/>
      <c r="H3518" s="465">
        <v>4</v>
      </c>
    </row>
    <row r="3519" spans="1:8" ht="13.8" thickBot="1">
      <c r="A3519" s="467" t="s">
        <v>8703</v>
      </c>
      <c r="B3519" s="465" t="s">
        <v>1607</v>
      </c>
      <c r="C3519" s="466">
        <v>6</v>
      </c>
      <c r="D3519" s="465"/>
      <c r="E3519" s="466" t="s">
        <v>4214</v>
      </c>
      <c r="F3519" s="466"/>
      <c r="G3519" s="465"/>
      <c r="H3519" s="465">
        <v>1</v>
      </c>
    </row>
    <row r="3520" spans="1:8" ht="13.8" thickBot="1">
      <c r="A3520" s="467" t="s">
        <v>8704</v>
      </c>
      <c r="B3520" s="465" t="s">
        <v>1607</v>
      </c>
      <c r="C3520" s="466">
        <v>6</v>
      </c>
      <c r="D3520" s="465"/>
      <c r="E3520" s="466" t="s">
        <v>4214</v>
      </c>
      <c r="F3520" s="466"/>
      <c r="G3520" s="465"/>
      <c r="H3520" s="465">
        <v>1</v>
      </c>
    </row>
    <row r="3521" spans="1:8" ht="13.8" thickBot="1">
      <c r="A3521" s="467" t="s">
        <v>8705</v>
      </c>
      <c r="B3521" s="465" t="s">
        <v>1607</v>
      </c>
      <c r="C3521" s="466">
        <v>6</v>
      </c>
      <c r="D3521" s="465"/>
      <c r="E3521" s="466" t="s">
        <v>4214</v>
      </c>
      <c r="F3521" s="466"/>
      <c r="G3521" s="465"/>
      <c r="H3521" s="465">
        <v>5</v>
      </c>
    </row>
    <row r="3522" spans="1:8" ht="13.8" thickBot="1">
      <c r="A3522" s="467" t="s">
        <v>8706</v>
      </c>
      <c r="B3522" s="465" t="s">
        <v>1607</v>
      </c>
      <c r="C3522" s="466">
        <v>6</v>
      </c>
      <c r="D3522" s="465"/>
      <c r="E3522" s="466" t="s">
        <v>4214</v>
      </c>
      <c r="F3522" s="466"/>
      <c r="G3522" s="465">
        <v>2</v>
      </c>
      <c r="H3522" s="465">
        <v>4</v>
      </c>
    </row>
    <row r="3523" spans="1:8" ht="13.8" thickBot="1">
      <c r="A3523" s="467" t="s">
        <v>8707</v>
      </c>
      <c r="B3523" s="465" t="s">
        <v>1621</v>
      </c>
      <c r="C3523" s="466">
        <v>6</v>
      </c>
      <c r="D3523" s="465"/>
      <c r="E3523" s="466" t="s">
        <v>4214</v>
      </c>
      <c r="F3523" s="466"/>
      <c r="G3523" s="465"/>
      <c r="H3523" s="465"/>
    </row>
    <row r="3524" spans="1:8" ht="13.8" thickBot="1">
      <c r="A3524" s="467" t="s">
        <v>8708</v>
      </c>
      <c r="B3524" s="465" t="s">
        <v>4279</v>
      </c>
      <c r="C3524" s="466">
        <v>6</v>
      </c>
      <c r="D3524" s="465"/>
      <c r="E3524" s="466" t="s">
        <v>4214</v>
      </c>
      <c r="F3524" s="466"/>
      <c r="G3524" s="465"/>
      <c r="H3524" s="465"/>
    </row>
    <row r="3525" spans="1:8" ht="13.8" thickBot="1">
      <c r="A3525" s="467" t="s">
        <v>8709</v>
      </c>
      <c r="B3525" s="465" t="s">
        <v>4280</v>
      </c>
      <c r="C3525" s="466">
        <v>6</v>
      </c>
      <c r="D3525" s="467" t="s">
        <v>4281</v>
      </c>
      <c r="E3525" s="466" t="s">
        <v>4214</v>
      </c>
      <c r="F3525" s="466"/>
      <c r="G3525" s="465">
        <v>1</v>
      </c>
      <c r="H3525" s="465">
        <v>3</v>
      </c>
    </row>
    <row r="3526" spans="1:8" ht="13.8" thickBot="1">
      <c r="A3526" s="467" t="s">
        <v>8710</v>
      </c>
      <c r="B3526" s="465" t="s">
        <v>4282</v>
      </c>
      <c r="C3526" s="466">
        <v>6</v>
      </c>
      <c r="D3526" s="465"/>
      <c r="E3526" s="466" t="s">
        <v>4214</v>
      </c>
      <c r="F3526" s="466"/>
      <c r="G3526" s="465"/>
      <c r="H3526" s="465">
        <v>1</v>
      </c>
    </row>
    <row r="3527" spans="1:8" ht="13.8" thickBot="1">
      <c r="A3527" s="467" t="s">
        <v>8711</v>
      </c>
      <c r="B3527" s="465" t="s">
        <v>4283</v>
      </c>
      <c r="C3527" s="466">
        <v>6</v>
      </c>
      <c r="D3527" s="467" t="s">
        <v>4284</v>
      </c>
      <c r="E3527" s="466" t="s">
        <v>4214</v>
      </c>
      <c r="F3527" s="466"/>
      <c r="G3527" s="465"/>
      <c r="H3527" s="465">
        <v>2</v>
      </c>
    </row>
    <row r="3528" spans="1:8" ht="13.8" thickBot="1">
      <c r="A3528" s="467" t="s">
        <v>8712</v>
      </c>
      <c r="B3528" s="465" t="s">
        <v>1617</v>
      </c>
      <c r="C3528" s="466">
        <v>6</v>
      </c>
      <c r="D3528" s="467" t="s">
        <v>614</v>
      </c>
      <c r="E3528" s="466" t="s">
        <v>4214</v>
      </c>
      <c r="F3528" s="466"/>
      <c r="G3528" s="465"/>
      <c r="H3528" s="465">
        <v>1</v>
      </c>
    </row>
    <row r="3529" spans="1:8" ht="13.8" thickBot="1">
      <c r="A3529" s="467" t="s">
        <v>8713</v>
      </c>
      <c r="B3529" s="465" t="s">
        <v>4285</v>
      </c>
      <c r="C3529" s="466">
        <v>6</v>
      </c>
      <c r="D3529" s="467" t="s">
        <v>614</v>
      </c>
      <c r="E3529" s="466" t="s">
        <v>4214</v>
      </c>
      <c r="F3529" s="466"/>
      <c r="G3529" s="465">
        <v>1</v>
      </c>
      <c r="H3529" s="465">
        <v>2</v>
      </c>
    </row>
    <row r="3530" spans="1:8" ht="13.8" thickBot="1">
      <c r="A3530" s="467" t="s">
        <v>8714</v>
      </c>
      <c r="B3530" s="465" t="s">
        <v>4286</v>
      </c>
      <c r="C3530" s="466">
        <v>6</v>
      </c>
      <c r="D3530" s="465"/>
      <c r="E3530" s="466" t="s">
        <v>4214</v>
      </c>
      <c r="F3530" s="466"/>
      <c r="G3530" s="465">
        <v>1</v>
      </c>
      <c r="H3530" s="465">
        <v>3</v>
      </c>
    </row>
    <row r="3531" spans="1:8" ht="13.8" thickBot="1">
      <c r="A3531" s="465" t="s">
        <v>8272</v>
      </c>
      <c r="B3531" s="465" t="s">
        <v>2138</v>
      </c>
      <c r="C3531" s="466">
        <v>6</v>
      </c>
      <c r="D3531" s="465"/>
      <c r="E3531" s="466" t="s">
        <v>2123</v>
      </c>
      <c r="F3531" s="466" t="s">
        <v>1226</v>
      </c>
      <c r="G3531" s="465"/>
      <c r="H3531" s="465">
        <v>5</v>
      </c>
    </row>
    <row r="3532" spans="1:8" ht="13.8" thickBot="1">
      <c r="A3532" s="465" t="s">
        <v>8273</v>
      </c>
      <c r="B3532" s="465" t="s">
        <v>2122</v>
      </c>
      <c r="C3532" s="466">
        <v>6</v>
      </c>
      <c r="D3532" s="465"/>
      <c r="E3532" s="466" t="s">
        <v>2123</v>
      </c>
      <c r="F3532" s="466"/>
      <c r="G3532" s="465"/>
      <c r="H3532" s="465">
        <v>1</v>
      </c>
    </row>
    <row r="3533" spans="1:8" ht="13.8" thickBot="1">
      <c r="A3533" s="465" t="s">
        <v>8274</v>
      </c>
      <c r="B3533" s="465" t="s">
        <v>2122</v>
      </c>
      <c r="C3533" s="466">
        <v>6</v>
      </c>
      <c r="D3533" s="465"/>
      <c r="E3533" s="466" t="s">
        <v>2123</v>
      </c>
      <c r="F3533" s="466"/>
      <c r="G3533" s="465"/>
      <c r="H3533" s="465">
        <v>1</v>
      </c>
    </row>
    <row r="3534" spans="1:8" ht="13.8" thickBot="1">
      <c r="A3534" s="467" t="s">
        <v>8275</v>
      </c>
      <c r="B3534" s="465" t="s">
        <v>2139</v>
      </c>
      <c r="C3534" s="466">
        <v>6</v>
      </c>
      <c r="D3534" s="465"/>
      <c r="E3534" s="466" t="s">
        <v>2123</v>
      </c>
      <c r="F3534" s="466"/>
      <c r="G3534" s="465"/>
      <c r="H3534" s="465">
        <v>2</v>
      </c>
    </row>
    <row r="3535" spans="1:8" ht="13.8" thickBot="1">
      <c r="A3535" s="467" t="s">
        <v>8276</v>
      </c>
      <c r="B3535" s="465" t="s">
        <v>2135</v>
      </c>
      <c r="C3535" s="466">
        <v>6</v>
      </c>
      <c r="D3535" s="465"/>
      <c r="E3535" s="466" t="s">
        <v>2123</v>
      </c>
      <c r="F3535" s="466"/>
      <c r="G3535" s="465"/>
      <c r="H3535" s="465">
        <v>2</v>
      </c>
    </row>
    <row r="3536" spans="1:8" ht="13.8" thickBot="1">
      <c r="A3536" s="465" t="s">
        <v>8277</v>
      </c>
      <c r="B3536" s="465" t="s">
        <v>2140</v>
      </c>
      <c r="C3536" s="466">
        <v>6</v>
      </c>
      <c r="D3536" s="465"/>
      <c r="E3536" s="466" t="s">
        <v>2123</v>
      </c>
      <c r="F3536" s="466"/>
      <c r="G3536" s="465"/>
      <c r="H3536" s="465">
        <v>2</v>
      </c>
    </row>
    <row r="3537" spans="1:8" ht="13.8" thickBot="1">
      <c r="A3537" s="465" t="s">
        <v>8715</v>
      </c>
      <c r="B3537" s="465" t="s">
        <v>4348</v>
      </c>
      <c r="C3537" s="466">
        <v>6</v>
      </c>
      <c r="D3537" s="467" t="s">
        <v>614</v>
      </c>
      <c r="E3537" s="466" t="s">
        <v>4347</v>
      </c>
      <c r="F3537" s="466" t="s">
        <v>1226</v>
      </c>
      <c r="G3537" s="465"/>
      <c r="H3537" s="465">
        <v>4</v>
      </c>
    </row>
    <row r="3538" spans="1:8" ht="13.8" thickBot="1">
      <c r="A3538" s="465" t="s">
        <v>8716</v>
      </c>
      <c r="B3538" s="465" t="s">
        <v>4349</v>
      </c>
      <c r="C3538" s="466">
        <v>6</v>
      </c>
      <c r="D3538" s="465"/>
      <c r="E3538" s="466" t="s">
        <v>4347</v>
      </c>
      <c r="F3538" s="466" t="s">
        <v>1226</v>
      </c>
      <c r="G3538" s="465">
        <v>1</v>
      </c>
      <c r="H3538" s="465">
        <v>11</v>
      </c>
    </row>
    <row r="3539" spans="1:8" ht="13.8" thickBot="1">
      <c r="A3539" s="465" t="s">
        <v>8717</v>
      </c>
      <c r="B3539" s="465" t="s">
        <v>4350</v>
      </c>
      <c r="C3539" s="466">
        <v>6</v>
      </c>
      <c r="D3539" s="465"/>
      <c r="E3539" s="466" t="s">
        <v>4347</v>
      </c>
      <c r="F3539" s="466"/>
      <c r="G3539" s="465"/>
      <c r="H3539" s="465"/>
    </row>
    <row r="3540" spans="1:8" ht="13.8" thickBot="1">
      <c r="A3540" s="465" t="s">
        <v>8718</v>
      </c>
      <c r="B3540" s="465" t="s">
        <v>1654</v>
      </c>
      <c r="C3540" s="466">
        <v>6</v>
      </c>
      <c r="D3540" s="465"/>
      <c r="E3540" s="466" t="s">
        <v>4354</v>
      </c>
      <c r="F3540" s="466"/>
      <c r="G3540" s="465"/>
      <c r="H3540" s="465">
        <v>1</v>
      </c>
    </row>
    <row r="3541" spans="1:8" ht="13.8" thickBot="1">
      <c r="A3541" s="465" t="s">
        <v>8719</v>
      </c>
      <c r="B3541" s="465" t="s">
        <v>1654</v>
      </c>
      <c r="C3541" s="466">
        <v>6</v>
      </c>
      <c r="D3541" s="465"/>
      <c r="E3541" s="466" t="s">
        <v>4354</v>
      </c>
      <c r="F3541" s="466"/>
      <c r="G3541" s="465"/>
      <c r="H3541" s="465"/>
    </row>
    <row r="3542" spans="1:8" ht="13.8" thickBot="1">
      <c r="A3542" s="465" t="s">
        <v>8720</v>
      </c>
      <c r="B3542" s="465" t="s">
        <v>4355</v>
      </c>
      <c r="C3542" s="466">
        <v>6</v>
      </c>
      <c r="D3542" s="465"/>
      <c r="E3542" s="466" t="s">
        <v>4354</v>
      </c>
      <c r="F3542" s="466"/>
      <c r="G3542" s="465">
        <v>1</v>
      </c>
      <c r="H3542" s="465">
        <v>2</v>
      </c>
    </row>
    <row r="3543" spans="1:8" ht="13.8" thickBot="1">
      <c r="A3543" s="467" t="s">
        <v>8721</v>
      </c>
      <c r="B3543" s="465" t="s">
        <v>1656</v>
      </c>
      <c r="C3543" s="466">
        <v>6</v>
      </c>
      <c r="D3543" s="465"/>
      <c r="E3543" s="466" t="s">
        <v>4364</v>
      </c>
      <c r="F3543" s="466" t="s">
        <v>1880</v>
      </c>
      <c r="G3543" s="465">
        <v>1</v>
      </c>
      <c r="H3543" s="465">
        <v>2</v>
      </c>
    </row>
    <row r="3544" spans="1:8" ht="13.8" thickBot="1">
      <c r="A3544" s="467" t="s">
        <v>8722</v>
      </c>
      <c r="B3544" s="465" t="s">
        <v>4369</v>
      </c>
      <c r="C3544" s="466">
        <v>6</v>
      </c>
      <c r="D3544" s="465"/>
      <c r="E3544" s="466" t="s">
        <v>4364</v>
      </c>
      <c r="F3544" s="466" t="s">
        <v>1226</v>
      </c>
      <c r="G3544" s="465"/>
      <c r="H3544" s="465">
        <v>6</v>
      </c>
    </row>
    <row r="3545" spans="1:8" ht="13.8" thickBot="1">
      <c r="A3545" s="467" t="s">
        <v>8723</v>
      </c>
      <c r="B3545" s="465" t="s">
        <v>4370</v>
      </c>
      <c r="C3545" s="466">
        <v>6</v>
      </c>
      <c r="D3545" s="467" t="s">
        <v>614</v>
      </c>
      <c r="E3545" s="466" t="s">
        <v>4364</v>
      </c>
      <c r="F3545" s="466" t="s">
        <v>1226</v>
      </c>
      <c r="G3545" s="465">
        <v>3</v>
      </c>
      <c r="H3545" s="465">
        <v>8</v>
      </c>
    </row>
    <row r="3546" spans="1:8" ht="13.8" thickBot="1">
      <c r="A3546" s="467" t="s">
        <v>8724</v>
      </c>
      <c r="B3546" s="465" t="s">
        <v>1656</v>
      </c>
      <c r="C3546" s="466">
        <v>6</v>
      </c>
      <c r="D3546" s="465"/>
      <c r="E3546" s="466" t="s">
        <v>4364</v>
      </c>
      <c r="F3546" s="466"/>
      <c r="G3546" s="465"/>
      <c r="H3546" s="465">
        <v>1</v>
      </c>
    </row>
    <row r="3547" spans="1:8" ht="13.8" thickBot="1">
      <c r="A3547" s="465" t="s">
        <v>8725</v>
      </c>
      <c r="B3547" s="465" t="s">
        <v>4371</v>
      </c>
      <c r="C3547" s="466">
        <v>6</v>
      </c>
      <c r="D3547" s="465"/>
      <c r="E3547" s="466" t="s">
        <v>4364</v>
      </c>
      <c r="F3547" s="466"/>
      <c r="G3547" s="465"/>
      <c r="H3547" s="465">
        <v>1</v>
      </c>
    </row>
    <row r="3548" spans="1:8" ht="13.8" thickBot="1">
      <c r="A3548" s="467" t="s">
        <v>8726</v>
      </c>
      <c r="B3548" s="465" t="s">
        <v>4372</v>
      </c>
      <c r="C3548" s="466">
        <v>6</v>
      </c>
      <c r="D3548" s="465"/>
      <c r="E3548" s="466" t="s">
        <v>4364</v>
      </c>
      <c r="F3548" s="466"/>
      <c r="G3548" s="465">
        <v>1</v>
      </c>
      <c r="H3548" s="465">
        <v>2</v>
      </c>
    </row>
    <row r="3549" spans="1:8" ht="13.8" thickBot="1">
      <c r="A3549" s="465" t="s">
        <v>1146</v>
      </c>
      <c r="B3549" s="465" t="s">
        <v>4373</v>
      </c>
      <c r="C3549" s="466">
        <v>6</v>
      </c>
      <c r="D3549" s="465"/>
      <c r="E3549" s="466" t="s">
        <v>4364</v>
      </c>
      <c r="F3549" s="466"/>
      <c r="G3549" s="465"/>
      <c r="H3549" s="465">
        <v>3</v>
      </c>
    </row>
    <row r="3550" spans="1:8" ht="13.8" thickBot="1">
      <c r="A3550" s="467" t="s">
        <v>8727</v>
      </c>
      <c r="B3550" s="465" t="s">
        <v>4401</v>
      </c>
      <c r="C3550" s="466">
        <v>6</v>
      </c>
      <c r="D3550" s="465"/>
      <c r="E3550" s="466" t="s">
        <v>4400</v>
      </c>
      <c r="F3550" s="466"/>
      <c r="G3550" s="465"/>
      <c r="H3550" s="465">
        <v>1</v>
      </c>
    </row>
    <row r="3551" spans="1:8" ht="13.8" thickBot="1">
      <c r="A3551" s="467" t="s">
        <v>8728</v>
      </c>
      <c r="B3551" s="465" t="s">
        <v>1715</v>
      </c>
      <c r="C3551" s="466">
        <v>6</v>
      </c>
      <c r="D3551" s="465"/>
      <c r="E3551" s="466" t="s">
        <v>4403</v>
      </c>
      <c r="F3551" s="466" t="s">
        <v>1224</v>
      </c>
      <c r="G3551" s="465"/>
      <c r="H3551" s="465">
        <v>3</v>
      </c>
    </row>
    <row r="3552" spans="1:8" ht="13.8" thickBot="1">
      <c r="A3552" s="467" t="s">
        <v>8278</v>
      </c>
      <c r="B3552" s="465" t="s">
        <v>2148</v>
      </c>
      <c r="C3552" s="466">
        <v>6</v>
      </c>
      <c r="D3552" s="465"/>
      <c r="E3552" s="466" t="s">
        <v>2149</v>
      </c>
      <c r="F3552" s="466"/>
      <c r="G3552" s="465"/>
      <c r="H3552" s="465"/>
    </row>
    <row r="3553" spans="1:8" ht="13.8" thickBot="1">
      <c r="A3553" s="467" t="s">
        <v>8729</v>
      </c>
      <c r="B3553" s="465" t="s">
        <v>1638</v>
      </c>
      <c r="C3553" s="466">
        <v>6</v>
      </c>
      <c r="D3553" s="465"/>
      <c r="E3553" s="466" t="s">
        <v>4438</v>
      </c>
      <c r="F3553" s="466" t="s">
        <v>1226</v>
      </c>
      <c r="G3553" s="465"/>
      <c r="H3553" s="465">
        <v>2</v>
      </c>
    </row>
    <row r="3554" spans="1:8" ht="13.8" thickBot="1">
      <c r="A3554" s="467" t="s">
        <v>8730</v>
      </c>
      <c r="B3554" s="465" t="s">
        <v>4461</v>
      </c>
      <c r="C3554" s="466">
        <v>6</v>
      </c>
      <c r="D3554" s="465"/>
      <c r="E3554" s="466" t="s">
        <v>4438</v>
      </c>
      <c r="F3554" s="466" t="s">
        <v>1226</v>
      </c>
      <c r="G3554" s="465"/>
      <c r="H3554" s="465">
        <v>2</v>
      </c>
    </row>
    <row r="3555" spans="1:8" ht="13.8" thickBot="1">
      <c r="A3555" s="467" t="s">
        <v>8731</v>
      </c>
      <c r="B3555" s="465" t="s">
        <v>4462</v>
      </c>
      <c r="C3555" s="466">
        <v>6</v>
      </c>
      <c r="D3555" s="467" t="s">
        <v>614</v>
      </c>
      <c r="E3555" s="466" t="s">
        <v>4438</v>
      </c>
      <c r="F3555" s="466" t="s">
        <v>1226</v>
      </c>
      <c r="G3555" s="465"/>
      <c r="H3555" s="465">
        <v>5</v>
      </c>
    </row>
    <row r="3556" spans="1:8" ht="13.8" thickBot="1">
      <c r="A3556" s="467" t="s">
        <v>8732</v>
      </c>
      <c r="B3556" s="465" t="s">
        <v>4463</v>
      </c>
      <c r="C3556" s="466">
        <v>6</v>
      </c>
      <c r="D3556" s="465"/>
      <c r="E3556" s="466" t="s">
        <v>4438</v>
      </c>
      <c r="F3556" s="466" t="s">
        <v>1226</v>
      </c>
      <c r="G3556" s="465">
        <v>2</v>
      </c>
      <c r="H3556" s="465">
        <v>5</v>
      </c>
    </row>
    <row r="3557" spans="1:8" ht="13.8" thickBot="1">
      <c r="A3557" s="467" t="s">
        <v>8733</v>
      </c>
      <c r="B3557" s="465" t="s">
        <v>1638</v>
      </c>
      <c r="C3557" s="466">
        <v>6</v>
      </c>
      <c r="D3557" s="465"/>
      <c r="E3557" s="466" t="s">
        <v>4438</v>
      </c>
      <c r="F3557" s="466" t="s">
        <v>1224</v>
      </c>
      <c r="G3557" s="465"/>
      <c r="H3557" s="465">
        <v>4</v>
      </c>
    </row>
    <row r="3558" spans="1:8" ht="13.8" thickBot="1">
      <c r="A3558" s="467" t="s">
        <v>8734</v>
      </c>
      <c r="B3558" s="465" t="s">
        <v>4464</v>
      </c>
      <c r="C3558" s="466">
        <v>6</v>
      </c>
      <c r="D3558" s="465"/>
      <c r="E3558" s="466" t="s">
        <v>4438</v>
      </c>
      <c r="F3558" s="466" t="s">
        <v>1220</v>
      </c>
      <c r="G3558" s="465"/>
      <c r="H3558" s="465">
        <v>1</v>
      </c>
    </row>
    <row r="3559" spans="1:8" ht="13.8" thickBot="1">
      <c r="A3559" s="465" t="s">
        <v>8735</v>
      </c>
      <c r="B3559" s="468" t="s">
        <v>1638</v>
      </c>
      <c r="C3559" s="466">
        <v>6</v>
      </c>
      <c r="D3559" s="465"/>
      <c r="E3559" s="466" t="s">
        <v>4438</v>
      </c>
      <c r="F3559" s="466"/>
      <c r="G3559" s="465"/>
      <c r="H3559" s="465">
        <v>1</v>
      </c>
    </row>
    <row r="3560" spans="1:8" ht="13.8" thickBot="1">
      <c r="A3560" s="467" t="s">
        <v>8736</v>
      </c>
      <c r="B3560" s="465" t="s">
        <v>1638</v>
      </c>
      <c r="C3560" s="466">
        <v>6</v>
      </c>
      <c r="D3560" s="467" t="s">
        <v>614</v>
      </c>
      <c r="E3560" s="466" t="s">
        <v>4438</v>
      </c>
      <c r="F3560" s="466"/>
      <c r="G3560" s="465"/>
      <c r="H3560" s="465">
        <v>1</v>
      </c>
    </row>
    <row r="3561" spans="1:8" ht="13.8" thickBot="1">
      <c r="A3561" s="465" t="s">
        <v>8737</v>
      </c>
      <c r="B3561" s="465" t="s">
        <v>1638</v>
      </c>
      <c r="C3561" s="466">
        <v>6</v>
      </c>
      <c r="D3561" s="465"/>
      <c r="E3561" s="466" t="s">
        <v>4438</v>
      </c>
      <c r="F3561" s="466"/>
      <c r="G3561" s="465"/>
      <c r="H3561" s="465">
        <v>1</v>
      </c>
    </row>
    <row r="3562" spans="1:8" ht="13.8" thickBot="1">
      <c r="A3562" s="465" t="s">
        <v>1019</v>
      </c>
      <c r="B3562" s="465" t="s">
        <v>1638</v>
      </c>
      <c r="C3562" s="466">
        <v>6</v>
      </c>
      <c r="D3562" s="465"/>
      <c r="E3562" s="466" t="s">
        <v>4438</v>
      </c>
      <c r="F3562" s="466"/>
      <c r="G3562" s="465"/>
      <c r="H3562" s="465">
        <v>1</v>
      </c>
    </row>
    <row r="3563" spans="1:8" ht="13.8" thickBot="1">
      <c r="A3563" s="467" t="s">
        <v>8738</v>
      </c>
      <c r="B3563" s="465" t="s">
        <v>4456</v>
      </c>
      <c r="C3563" s="466">
        <v>6</v>
      </c>
      <c r="D3563" s="465"/>
      <c r="E3563" s="466" t="s">
        <v>4438</v>
      </c>
      <c r="F3563" s="466"/>
      <c r="G3563" s="465"/>
      <c r="H3563" s="465">
        <v>1</v>
      </c>
    </row>
    <row r="3564" spans="1:8" ht="13.8" thickBot="1">
      <c r="A3564" s="467" t="s">
        <v>8739</v>
      </c>
      <c r="B3564" s="465" t="s">
        <v>4465</v>
      </c>
      <c r="C3564" s="466">
        <v>6</v>
      </c>
      <c r="D3564" s="465"/>
      <c r="E3564" s="466" t="s">
        <v>4438</v>
      </c>
      <c r="F3564" s="466"/>
      <c r="G3564" s="465"/>
      <c r="H3564" s="465">
        <v>2</v>
      </c>
    </row>
    <row r="3565" spans="1:8" ht="13.8" thickBot="1">
      <c r="A3565" s="467" t="s">
        <v>8740</v>
      </c>
      <c r="B3565" s="465" t="s">
        <v>4466</v>
      </c>
      <c r="C3565" s="466">
        <v>6</v>
      </c>
      <c r="D3565" s="465"/>
      <c r="E3565" s="466" t="s">
        <v>4438</v>
      </c>
      <c r="F3565" s="466"/>
      <c r="G3565" s="465"/>
      <c r="H3565" s="465">
        <v>4</v>
      </c>
    </row>
    <row r="3566" spans="1:8" ht="13.8" thickBot="1">
      <c r="A3566" s="467" t="s">
        <v>8741</v>
      </c>
      <c r="B3566" s="465" t="s">
        <v>4467</v>
      </c>
      <c r="C3566" s="466">
        <v>6</v>
      </c>
      <c r="D3566" s="465"/>
      <c r="E3566" s="466" t="s">
        <v>4438</v>
      </c>
      <c r="F3566" s="466"/>
      <c r="G3566" s="465"/>
      <c r="H3566" s="465">
        <v>1</v>
      </c>
    </row>
    <row r="3567" spans="1:8" ht="13.8" thickBot="1">
      <c r="A3567" s="465" t="s">
        <v>8742</v>
      </c>
      <c r="B3567" s="465" t="s">
        <v>4468</v>
      </c>
      <c r="C3567" s="466">
        <v>6</v>
      </c>
      <c r="D3567" s="465"/>
      <c r="E3567" s="466" t="s">
        <v>4438</v>
      </c>
      <c r="F3567" s="466"/>
      <c r="G3567" s="465"/>
      <c r="H3567" s="465">
        <v>1</v>
      </c>
    </row>
    <row r="3568" spans="1:8" ht="13.8" thickBot="1">
      <c r="A3568" s="467" t="s">
        <v>8743</v>
      </c>
      <c r="B3568" s="465" t="s">
        <v>4516</v>
      </c>
      <c r="C3568" s="466">
        <v>6</v>
      </c>
      <c r="D3568" s="467" t="s">
        <v>614</v>
      </c>
      <c r="E3568" s="466" t="s">
        <v>4509</v>
      </c>
      <c r="F3568" s="466" t="s">
        <v>1841</v>
      </c>
      <c r="G3568" s="465"/>
      <c r="H3568" s="465">
        <v>12</v>
      </c>
    </row>
    <row r="3569" spans="1:8" ht="13.8" thickBot="1">
      <c r="A3569" s="465" t="s">
        <v>8744</v>
      </c>
      <c r="B3569" s="465" t="s">
        <v>1647</v>
      </c>
      <c r="C3569" s="466">
        <v>6</v>
      </c>
      <c r="D3569" s="465"/>
      <c r="E3569" s="466" t="s">
        <v>4509</v>
      </c>
      <c r="F3569" s="466" t="s">
        <v>1226</v>
      </c>
      <c r="G3569" s="465"/>
      <c r="H3569" s="465">
        <v>11</v>
      </c>
    </row>
    <row r="3570" spans="1:8" ht="13.8" thickBot="1">
      <c r="A3570" s="465" t="s">
        <v>8745</v>
      </c>
      <c r="B3570" s="465" t="s">
        <v>4517</v>
      </c>
      <c r="C3570" s="466">
        <v>6</v>
      </c>
      <c r="D3570" s="465"/>
      <c r="E3570" s="466" t="s">
        <v>4509</v>
      </c>
      <c r="F3570" s="466" t="s">
        <v>1226</v>
      </c>
      <c r="G3570" s="465"/>
      <c r="H3570" s="465">
        <v>1</v>
      </c>
    </row>
    <row r="3571" spans="1:8" ht="13.8" thickBot="1">
      <c r="A3571" s="465" t="s">
        <v>8746</v>
      </c>
      <c r="B3571" s="465" t="s">
        <v>4518</v>
      </c>
      <c r="C3571" s="466">
        <v>6</v>
      </c>
      <c r="D3571" s="465"/>
      <c r="E3571" s="466" t="s">
        <v>4509</v>
      </c>
      <c r="F3571" s="466" t="s">
        <v>1226</v>
      </c>
      <c r="G3571" s="465"/>
      <c r="H3571" s="465">
        <v>2</v>
      </c>
    </row>
    <row r="3572" spans="1:8" ht="13.8" thickBot="1">
      <c r="A3572" s="467" t="s">
        <v>8747</v>
      </c>
      <c r="B3572" s="465" t="s">
        <v>4519</v>
      </c>
      <c r="C3572" s="466">
        <v>6</v>
      </c>
      <c r="D3572" s="467" t="s">
        <v>614</v>
      </c>
      <c r="E3572" s="466" t="s">
        <v>4509</v>
      </c>
      <c r="F3572" s="466" t="s">
        <v>1226</v>
      </c>
      <c r="G3572" s="465"/>
      <c r="H3572" s="465">
        <v>3</v>
      </c>
    </row>
    <row r="3573" spans="1:8" ht="13.8" thickBot="1">
      <c r="A3573" s="465" t="s">
        <v>8748</v>
      </c>
      <c r="B3573" s="465" t="s">
        <v>1647</v>
      </c>
      <c r="C3573" s="466">
        <v>6</v>
      </c>
      <c r="D3573" s="465"/>
      <c r="E3573" s="466" t="s">
        <v>4509</v>
      </c>
      <c r="F3573" s="466" t="s">
        <v>1220</v>
      </c>
      <c r="G3573" s="465"/>
      <c r="H3573" s="465">
        <v>1</v>
      </c>
    </row>
    <row r="3574" spans="1:8" ht="13.8" thickBot="1">
      <c r="A3574" s="465" t="s">
        <v>8749</v>
      </c>
      <c r="B3574" s="465" t="s">
        <v>4520</v>
      </c>
      <c r="C3574" s="466">
        <v>6</v>
      </c>
      <c r="D3574" s="465"/>
      <c r="E3574" s="466" t="s">
        <v>4509</v>
      </c>
      <c r="F3574" s="466" t="s">
        <v>1220</v>
      </c>
      <c r="G3574" s="465"/>
      <c r="H3574" s="465">
        <v>4</v>
      </c>
    </row>
    <row r="3575" spans="1:8" ht="13.8" thickBot="1">
      <c r="A3575" s="465" t="s">
        <v>8750</v>
      </c>
      <c r="B3575" s="465" t="s">
        <v>1647</v>
      </c>
      <c r="C3575" s="466">
        <v>6</v>
      </c>
      <c r="D3575" s="465"/>
      <c r="E3575" s="466" t="s">
        <v>4509</v>
      </c>
      <c r="F3575" s="466"/>
      <c r="G3575" s="465"/>
      <c r="H3575" s="465">
        <v>2</v>
      </c>
    </row>
    <row r="3576" spans="1:8" ht="13.8" thickBot="1">
      <c r="A3576" s="465" t="s">
        <v>8751</v>
      </c>
      <c r="B3576" s="465" t="s">
        <v>4508</v>
      </c>
      <c r="C3576" s="466">
        <v>6</v>
      </c>
      <c r="D3576" s="465"/>
      <c r="E3576" s="466" t="s">
        <v>4509</v>
      </c>
      <c r="F3576" s="466"/>
      <c r="G3576" s="465"/>
      <c r="H3576" s="465">
        <v>2</v>
      </c>
    </row>
    <row r="3577" spans="1:8" ht="13.8" thickBot="1">
      <c r="A3577" s="465" t="s">
        <v>8752</v>
      </c>
      <c r="B3577" s="465" t="s">
        <v>4521</v>
      </c>
      <c r="C3577" s="466">
        <v>6</v>
      </c>
      <c r="D3577" s="465"/>
      <c r="E3577" s="466" t="s">
        <v>4509</v>
      </c>
      <c r="F3577" s="466"/>
      <c r="G3577" s="465">
        <v>1</v>
      </c>
      <c r="H3577" s="465">
        <v>1</v>
      </c>
    </row>
    <row r="3578" spans="1:8" ht="13.8" thickBot="1">
      <c r="A3578" s="465" t="s">
        <v>8753</v>
      </c>
      <c r="B3578" s="465" t="s">
        <v>4550</v>
      </c>
      <c r="C3578" s="466">
        <v>6</v>
      </c>
      <c r="D3578" s="467" t="s">
        <v>614</v>
      </c>
      <c r="E3578" s="466" t="s">
        <v>4536</v>
      </c>
      <c r="F3578" s="466" t="s">
        <v>1251</v>
      </c>
      <c r="G3578" s="465"/>
      <c r="H3578" s="465">
        <v>14</v>
      </c>
    </row>
    <row r="3579" spans="1:8" ht="13.8" thickBot="1">
      <c r="A3579" s="465" t="s">
        <v>485</v>
      </c>
      <c r="B3579" s="465" t="s">
        <v>4551</v>
      </c>
      <c r="C3579" s="466">
        <v>6</v>
      </c>
      <c r="D3579" s="465"/>
      <c r="E3579" s="466" t="s">
        <v>4536</v>
      </c>
      <c r="F3579" s="466"/>
      <c r="G3579" s="465"/>
      <c r="H3579" s="465">
        <v>4</v>
      </c>
    </row>
    <row r="3580" spans="1:8" ht="13.8" thickBot="1">
      <c r="A3580" s="465" t="s">
        <v>8754</v>
      </c>
      <c r="B3580" s="465" t="s">
        <v>4552</v>
      </c>
      <c r="C3580" s="466">
        <v>6</v>
      </c>
      <c r="D3580" s="465"/>
      <c r="E3580" s="466" t="s">
        <v>4536</v>
      </c>
      <c r="F3580" s="466"/>
      <c r="G3580" s="465">
        <v>1</v>
      </c>
      <c r="H3580" s="465">
        <v>2</v>
      </c>
    </row>
    <row r="3581" spans="1:8" ht="13.8" thickBot="1">
      <c r="A3581" s="467" t="s">
        <v>8755</v>
      </c>
      <c r="B3581" s="465" t="s">
        <v>4572</v>
      </c>
      <c r="C3581" s="466">
        <v>6</v>
      </c>
      <c r="D3581" s="467" t="s">
        <v>614</v>
      </c>
      <c r="E3581" s="466" t="s">
        <v>4557</v>
      </c>
      <c r="F3581" s="466"/>
      <c r="G3581" s="465"/>
      <c r="H3581" s="465">
        <v>2</v>
      </c>
    </row>
    <row r="3582" spans="1:8" ht="13.8" thickBot="1">
      <c r="A3582" s="467" t="s">
        <v>8756</v>
      </c>
      <c r="B3582" s="465" t="s">
        <v>4573</v>
      </c>
      <c r="C3582" s="466">
        <v>6</v>
      </c>
      <c r="D3582" s="465"/>
      <c r="E3582" s="466" t="s">
        <v>4557</v>
      </c>
      <c r="F3582" s="466"/>
      <c r="G3582" s="465">
        <v>1</v>
      </c>
      <c r="H3582" s="465">
        <v>2</v>
      </c>
    </row>
    <row r="3583" spans="1:8" ht="13.8" thickBot="1">
      <c r="A3583" s="467" t="s">
        <v>8757</v>
      </c>
      <c r="B3583" s="465" t="s">
        <v>4591</v>
      </c>
      <c r="C3583" s="466">
        <v>6</v>
      </c>
      <c r="D3583" s="465"/>
      <c r="E3583" s="466" t="s">
        <v>4589</v>
      </c>
      <c r="F3583" s="466" t="s">
        <v>1226</v>
      </c>
      <c r="G3583" s="465"/>
      <c r="H3583" s="465">
        <v>3</v>
      </c>
    </row>
    <row r="3584" spans="1:8" ht="13.8" thickBot="1">
      <c r="A3584" s="467" t="s">
        <v>8758</v>
      </c>
      <c r="B3584" s="465" t="s">
        <v>4592</v>
      </c>
      <c r="C3584" s="466">
        <v>6</v>
      </c>
      <c r="D3584" s="465"/>
      <c r="E3584" s="466" t="s">
        <v>4589</v>
      </c>
      <c r="F3584" s="466" t="s">
        <v>1226</v>
      </c>
      <c r="G3584" s="465"/>
      <c r="H3584" s="465"/>
    </row>
    <row r="3585" spans="1:8" ht="13.8" thickBot="1">
      <c r="A3585" s="467" t="s">
        <v>8759</v>
      </c>
      <c r="B3585" s="465" t="s">
        <v>4593</v>
      </c>
      <c r="C3585" s="466">
        <v>6</v>
      </c>
      <c r="D3585" s="465"/>
      <c r="E3585" s="466" t="s">
        <v>4589</v>
      </c>
      <c r="F3585" s="466" t="s">
        <v>1226</v>
      </c>
      <c r="G3585" s="465"/>
      <c r="H3585" s="465">
        <v>2</v>
      </c>
    </row>
    <row r="3586" spans="1:8" ht="13.8" thickBot="1">
      <c r="A3586" s="465" t="s">
        <v>8760</v>
      </c>
      <c r="B3586" s="465" t="s">
        <v>4609</v>
      </c>
      <c r="C3586" s="466">
        <v>6</v>
      </c>
      <c r="D3586" s="465"/>
      <c r="E3586" s="466" t="s">
        <v>4596</v>
      </c>
      <c r="F3586" s="466" t="s">
        <v>1251</v>
      </c>
      <c r="G3586" s="465"/>
      <c r="H3586" s="465">
        <v>10</v>
      </c>
    </row>
    <row r="3587" spans="1:8" ht="13.8" thickBot="1">
      <c r="A3587" s="467" t="s">
        <v>8761</v>
      </c>
      <c r="B3587" s="465" t="s">
        <v>4610</v>
      </c>
      <c r="C3587" s="466">
        <v>6</v>
      </c>
      <c r="D3587" s="467" t="s">
        <v>614</v>
      </c>
      <c r="E3587" s="466" t="s">
        <v>4596</v>
      </c>
      <c r="F3587" s="466" t="s">
        <v>1251</v>
      </c>
      <c r="G3587" s="465"/>
      <c r="H3587" s="465">
        <v>13</v>
      </c>
    </row>
    <row r="3588" spans="1:8" ht="13.8" thickBot="1">
      <c r="A3588" s="465" t="s">
        <v>8762</v>
      </c>
      <c r="B3588" s="465" t="s">
        <v>4611</v>
      </c>
      <c r="C3588" s="466">
        <v>6</v>
      </c>
      <c r="D3588" s="467" t="s">
        <v>614</v>
      </c>
      <c r="E3588" s="466" t="s">
        <v>4596</v>
      </c>
      <c r="F3588" s="466" t="s">
        <v>2417</v>
      </c>
      <c r="G3588" s="465">
        <v>2</v>
      </c>
      <c r="H3588" s="465">
        <v>8</v>
      </c>
    </row>
    <row r="3589" spans="1:8" ht="13.8" thickBot="1">
      <c r="A3589" s="467" t="s">
        <v>8763</v>
      </c>
      <c r="B3589" s="465" t="s">
        <v>4612</v>
      </c>
      <c r="C3589" s="466">
        <v>6</v>
      </c>
      <c r="D3589" s="467" t="s">
        <v>614</v>
      </c>
      <c r="E3589" s="466" t="s">
        <v>4596</v>
      </c>
      <c r="F3589" s="466" t="s">
        <v>1841</v>
      </c>
      <c r="G3589" s="465">
        <v>4</v>
      </c>
      <c r="H3589" s="465">
        <v>8</v>
      </c>
    </row>
    <row r="3590" spans="1:8" ht="13.8" thickBot="1">
      <c r="A3590" s="467" t="s">
        <v>8764</v>
      </c>
      <c r="B3590" s="465" t="s">
        <v>4613</v>
      </c>
      <c r="C3590" s="466">
        <v>6</v>
      </c>
      <c r="D3590" s="467" t="s">
        <v>614</v>
      </c>
      <c r="E3590" s="466" t="s">
        <v>4596</v>
      </c>
      <c r="F3590" s="466" t="s">
        <v>2374</v>
      </c>
      <c r="G3590" s="465"/>
      <c r="H3590" s="465">
        <v>9</v>
      </c>
    </row>
    <row r="3591" spans="1:8" ht="13.8" thickBot="1">
      <c r="A3591" s="467" t="s">
        <v>8765</v>
      </c>
      <c r="B3591" s="465" t="s">
        <v>4614</v>
      </c>
      <c r="C3591" s="466">
        <v>6</v>
      </c>
      <c r="D3591" s="465"/>
      <c r="E3591" s="466" t="s">
        <v>4596</v>
      </c>
      <c r="F3591" s="466" t="s">
        <v>1226</v>
      </c>
      <c r="G3591" s="465"/>
      <c r="H3591" s="465">
        <v>6</v>
      </c>
    </row>
    <row r="3592" spans="1:8" ht="13.8" thickBot="1">
      <c r="A3592" s="467" t="s">
        <v>8766</v>
      </c>
      <c r="B3592" s="465" t="s">
        <v>4615</v>
      </c>
      <c r="C3592" s="466">
        <v>6</v>
      </c>
      <c r="D3592" s="465"/>
      <c r="E3592" s="466" t="s">
        <v>4596</v>
      </c>
      <c r="F3592" s="466" t="s">
        <v>1224</v>
      </c>
      <c r="G3592" s="465"/>
      <c r="H3592" s="465">
        <v>1</v>
      </c>
    </row>
    <row r="3593" spans="1:8" ht="13.8" thickBot="1">
      <c r="A3593" s="465" t="s">
        <v>8767</v>
      </c>
      <c r="B3593" s="465" t="s">
        <v>4616</v>
      </c>
      <c r="C3593" s="466">
        <v>6</v>
      </c>
      <c r="D3593" s="465"/>
      <c r="E3593" s="466" t="s">
        <v>4596</v>
      </c>
      <c r="F3593" s="466" t="s">
        <v>1224</v>
      </c>
      <c r="G3593" s="465"/>
      <c r="H3593" s="465">
        <v>5</v>
      </c>
    </row>
    <row r="3594" spans="1:8" ht="13.8" thickBot="1">
      <c r="A3594" s="467" t="s">
        <v>8279</v>
      </c>
      <c r="B3594" s="465" t="s">
        <v>2176</v>
      </c>
      <c r="C3594" s="466">
        <v>6</v>
      </c>
      <c r="D3594" s="467" t="s">
        <v>2177</v>
      </c>
      <c r="E3594" s="466" t="s">
        <v>2152</v>
      </c>
      <c r="F3594" s="466" t="s">
        <v>1841</v>
      </c>
      <c r="G3594" s="465">
        <v>9</v>
      </c>
      <c r="H3594" s="465">
        <v>24</v>
      </c>
    </row>
    <row r="3595" spans="1:8" ht="13.8" thickBot="1">
      <c r="A3595" s="467" t="s">
        <v>8280</v>
      </c>
      <c r="B3595" s="465" t="s">
        <v>2151</v>
      </c>
      <c r="C3595" s="466">
        <v>6</v>
      </c>
      <c r="D3595" s="465"/>
      <c r="E3595" s="466" t="s">
        <v>2152</v>
      </c>
      <c r="F3595" s="466" t="s">
        <v>1226</v>
      </c>
      <c r="G3595" s="465"/>
      <c r="H3595" s="465">
        <v>2</v>
      </c>
    </row>
    <row r="3596" spans="1:8" ht="13.8" thickBot="1">
      <c r="A3596" s="467" t="s">
        <v>8281</v>
      </c>
      <c r="B3596" s="465" t="s">
        <v>2178</v>
      </c>
      <c r="C3596" s="466">
        <v>6</v>
      </c>
      <c r="D3596" s="465"/>
      <c r="E3596" s="466" t="s">
        <v>2152</v>
      </c>
      <c r="F3596" s="466" t="s">
        <v>1226</v>
      </c>
      <c r="G3596" s="465"/>
      <c r="H3596" s="465">
        <v>2</v>
      </c>
    </row>
    <row r="3597" spans="1:8" ht="13.8" thickBot="1">
      <c r="A3597" s="467" t="s">
        <v>8282</v>
      </c>
      <c r="B3597" s="465" t="s">
        <v>2166</v>
      </c>
      <c r="C3597" s="466">
        <v>6</v>
      </c>
      <c r="D3597" s="465"/>
      <c r="E3597" s="466" t="s">
        <v>2152</v>
      </c>
      <c r="F3597" s="466" t="s">
        <v>1226</v>
      </c>
      <c r="G3597" s="465"/>
      <c r="H3597" s="465">
        <v>2</v>
      </c>
    </row>
    <row r="3598" spans="1:8" ht="13.8" thickBot="1">
      <c r="A3598" s="467" t="s">
        <v>8283</v>
      </c>
      <c r="B3598" s="465" t="s">
        <v>2179</v>
      </c>
      <c r="C3598" s="466">
        <v>6</v>
      </c>
      <c r="D3598" s="465"/>
      <c r="E3598" s="466" t="s">
        <v>2152</v>
      </c>
      <c r="F3598" s="466" t="s">
        <v>1226</v>
      </c>
      <c r="G3598" s="465"/>
      <c r="H3598" s="465">
        <v>8</v>
      </c>
    </row>
    <row r="3599" spans="1:8" ht="13.8" thickBot="1">
      <c r="A3599" s="467" t="s">
        <v>8284</v>
      </c>
      <c r="B3599" s="465" t="s">
        <v>2180</v>
      </c>
      <c r="C3599" s="466">
        <v>6</v>
      </c>
      <c r="D3599" s="465"/>
      <c r="E3599" s="466" t="s">
        <v>2152</v>
      </c>
      <c r="F3599" s="466" t="s">
        <v>1226</v>
      </c>
      <c r="G3599" s="465"/>
      <c r="H3599" s="465">
        <v>11</v>
      </c>
    </row>
    <row r="3600" spans="1:8" ht="13.8" thickBot="1">
      <c r="A3600" s="465" t="s">
        <v>8285</v>
      </c>
      <c r="B3600" s="465" t="s">
        <v>1270</v>
      </c>
      <c r="C3600" s="466">
        <v>6</v>
      </c>
      <c r="D3600" s="465"/>
      <c r="E3600" s="466" t="s">
        <v>2152</v>
      </c>
      <c r="F3600" s="466" t="s">
        <v>1224</v>
      </c>
      <c r="G3600" s="465"/>
      <c r="H3600" s="465">
        <v>1</v>
      </c>
    </row>
    <row r="3601" spans="1:8" ht="13.8" thickBot="1">
      <c r="A3601" s="465" t="s">
        <v>8286</v>
      </c>
      <c r="B3601" s="465" t="s">
        <v>2181</v>
      </c>
      <c r="C3601" s="466">
        <v>6</v>
      </c>
      <c r="D3601" s="465"/>
      <c r="E3601" s="466" t="s">
        <v>2152</v>
      </c>
      <c r="F3601" s="466" t="s">
        <v>1224</v>
      </c>
      <c r="G3601" s="465"/>
      <c r="H3601" s="465">
        <v>4</v>
      </c>
    </row>
    <row r="3602" spans="1:8" ht="13.8" thickBot="1">
      <c r="A3602" s="465" t="s">
        <v>8287</v>
      </c>
      <c r="B3602" s="465" t="s">
        <v>2182</v>
      </c>
      <c r="C3602" s="466">
        <v>6</v>
      </c>
      <c r="D3602" s="465"/>
      <c r="E3602" s="466" t="s">
        <v>2152</v>
      </c>
      <c r="F3602" s="466" t="s">
        <v>1224</v>
      </c>
      <c r="G3602" s="465"/>
      <c r="H3602" s="465">
        <v>2</v>
      </c>
    </row>
    <row r="3603" spans="1:8" ht="13.8" thickBot="1">
      <c r="A3603" s="465" t="s">
        <v>8288</v>
      </c>
      <c r="B3603" s="465" t="s">
        <v>2183</v>
      </c>
      <c r="C3603" s="466">
        <v>6</v>
      </c>
      <c r="D3603" s="465"/>
      <c r="E3603" s="466" t="s">
        <v>2152</v>
      </c>
      <c r="F3603" s="466" t="s">
        <v>1224</v>
      </c>
      <c r="G3603" s="465"/>
      <c r="H3603" s="465">
        <v>7</v>
      </c>
    </row>
    <row r="3604" spans="1:8" ht="13.8" thickBot="1">
      <c r="A3604" s="465" t="s">
        <v>8289</v>
      </c>
      <c r="B3604" s="465" t="s">
        <v>2184</v>
      </c>
      <c r="C3604" s="466">
        <v>6</v>
      </c>
      <c r="D3604" s="465"/>
      <c r="E3604" s="466" t="s">
        <v>2152</v>
      </c>
      <c r="F3604" s="466" t="s">
        <v>1224</v>
      </c>
      <c r="G3604" s="465"/>
      <c r="H3604" s="465">
        <v>3</v>
      </c>
    </row>
    <row r="3605" spans="1:8" ht="13.8" thickBot="1">
      <c r="A3605" s="465" t="s">
        <v>8290</v>
      </c>
      <c r="B3605" s="465" t="s">
        <v>2185</v>
      </c>
      <c r="C3605" s="466">
        <v>6</v>
      </c>
      <c r="D3605" s="467" t="s">
        <v>614</v>
      </c>
      <c r="E3605" s="466" t="s">
        <v>2152</v>
      </c>
      <c r="F3605" s="466" t="s">
        <v>1936</v>
      </c>
      <c r="G3605" s="465">
        <v>1</v>
      </c>
      <c r="H3605" s="465">
        <v>2</v>
      </c>
    </row>
    <row r="3606" spans="1:8" ht="13.8" thickBot="1">
      <c r="A3606" s="465" t="s">
        <v>8291</v>
      </c>
      <c r="B3606" s="465" t="s">
        <v>2186</v>
      </c>
      <c r="C3606" s="466">
        <v>6</v>
      </c>
      <c r="D3606" s="465"/>
      <c r="E3606" s="466" t="s">
        <v>2152</v>
      </c>
      <c r="F3606" s="466"/>
      <c r="G3606" s="465"/>
      <c r="H3606" s="465">
        <v>1</v>
      </c>
    </row>
    <row r="3607" spans="1:8" ht="13.8" thickBot="1">
      <c r="A3607" s="465" t="s">
        <v>8292</v>
      </c>
      <c r="B3607" s="465" t="s">
        <v>2187</v>
      </c>
      <c r="C3607" s="466">
        <v>6</v>
      </c>
      <c r="D3607" s="465"/>
      <c r="E3607" s="466" t="s">
        <v>2152</v>
      </c>
      <c r="F3607" s="466"/>
      <c r="G3607" s="465"/>
      <c r="H3607" s="465">
        <v>1</v>
      </c>
    </row>
    <row r="3608" spans="1:8" ht="13.8" thickBot="1">
      <c r="A3608" s="467" t="s">
        <v>8293</v>
      </c>
      <c r="B3608" s="465" t="s">
        <v>2188</v>
      </c>
      <c r="C3608" s="466">
        <v>6</v>
      </c>
      <c r="D3608" s="465"/>
      <c r="E3608" s="466" t="s">
        <v>2152</v>
      </c>
      <c r="F3608" s="466"/>
      <c r="G3608" s="465"/>
      <c r="H3608" s="465">
        <v>1</v>
      </c>
    </row>
    <row r="3609" spans="1:8" ht="13.8" thickBot="1">
      <c r="A3609" s="465" t="s">
        <v>8294</v>
      </c>
      <c r="B3609" s="465" t="s">
        <v>2189</v>
      </c>
      <c r="C3609" s="466">
        <v>6</v>
      </c>
      <c r="D3609" s="465"/>
      <c r="E3609" s="466" t="s">
        <v>2152</v>
      </c>
      <c r="F3609" s="466"/>
      <c r="G3609" s="465"/>
      <c r="H3609" s="465">
        <v>10</v>
      </c>
    </row>
    <row r="3610" spans="1:8" ht="13.8" thickBot="1">
      <c r="A3610" s="465" t="s">
        <v>8295</v>
      </c>
      <c r="B3610" s="465" t="s">
        <v>2155</v>
      </c>
      <c r="C3610" s="466">
        <v>6</v>
      </c>
      <c r="D3610" s="465"/>
      <c r="E3610" s="466" t="s">
        <v>2152</v>
      </c>
      <c r="F3610" s="466"/>
      <c r="G3610" s="465"/>
      <c r="H3610" s="465"/>
    </row>
    <row r="3611" spans="1:8" ht="13.8" thickBot="1">
      <c r="A3611" s="465" t="s">
        <v>8768</v>
      </c>
      <c r="B3611" s="465" t="s">
        <v>4638</v>
      </c>
      <c r="C3611" s="466">
        <v>6</v>
      </c>
      <c r="D3611" s="465"/>
      <c r="E3611" s="466" t="s">
        <v>4628</v>
      </c>
      <c r="F3611" s="466" t="s">
        <v>1226</v>
      </c>
      <c r="G3611" s="465"/>
      <c r="H3611" s="465">
        <v>1</v>
      </c>
    </row>
    <row r="3612" spans="1:8" ht="13.8" thickBot="1">
      <c r="A3612" s="467" t="s">
        <v>8769</v>
      </c>
      <c r="B3612" s="465" t="s">
        <v>4627</v>
      </c>
      <c r="C3612" s="466">
        <v>6</v>
      </c>
      <c r="D3612" s="467" t="s">
        <v>4639</v>
      </c>
      <c r="E3612" s="466" t="s">
        <v>4628</v>
      </c>
      <c r="F3612" s="466"/>
      <c r="G3612" s="465">
        <v>1</v>
      </c>
      <c r="H3612" s="465">
        <v>1</v>
      </c>
    </row>
    <row r="3613" spans="1:8" ht="13.8" thickBot="1">
      <c r="A3613" s="467" t="s">
        <v>8770</v>
      </c>
      <c r="B3613" s="465" t="s">
        <v>4627</v>
      </c>
      <c r="C3613" s="466">
        <v>6</v>
      </c>
      <c r="D3613" s="467" t="s">
        <v>614</v>
      </c>
      <c r="E3613" s="466" t="s">
        <v>4628</v>
      </c>
      <c r="F3613" s="466"/>
      <c r="G3613" s="465"/>
      <c r="H3613" s="465">
        <v>1</v>
      </c>
    </row>
    <row r="3614" spans="1:8" ht="13.8" thickBot="1">
      <c r="A3614" s="467" t="s">
        <v>8771</v>
      </c>
      <c r="B3614" s="465" t="s">
        <v>4640</v>
      </c>
      <c r="C3614" s="466">
        <v>6</v>
      </c>
      <c r="D3614" s="467" t="s">
        <v>2628</v>
      </c>
      <c r="E3614" s="466" t="s">
        <v>4628</v>
      </c>
      <c r="F3614" s="466"/>
      <c r="G3614" s="465"/>
      <c r="H3614" s="465"/>
    </row>
    <row r="3615" spans="1:8" ht="13.8" thickBot="1">
      <c r="A3615" s="465" t="s">
        <v>8772</v>
      </c>
      <c r="B3615" s="465" t="s">
        <v>4658</v>
      </c>
      <c r="C3615" s="466">
        <v>6</v>
      </c>
      <c r="D3615" s="467" t="s">
        <v>614</v>
      </c>
      <c r="E3615" s="466" t="s">
        <v>4644</v>
      </c>
      <c r="F3615" s="466" t="s">
        <v>1251</v>
      </c>
      <c r="G3615" s="465">
        <v>4</v>
      </c>
      <c r="H3615" s="465">
        <v>11</v>
      </c>
    </row>
    <row r="3616" spans="1:8" ht="13.8" thickBot="1">
      <c r="A3616" s="467" t="s">
        <v>8773</v>
      </c>
      <c r="B3616" s="465" t="s">
        <v>4659</v>
      </c>
      <c r="C3616" s="466">
        <v>6</v>
      </c>
      <c r="D3616" s="467" t="s">
        <v>4660</v>
      </c>
      <c r="E3616" s="466" t="s">
        <v>4644</v>
      </c>
      <c r="F3616" s="466" t="s">
        <v>1251</v>
      </c>
      <c r="G3616" s="465">
        <v>1</v>
      </c>
      <c r="H3616" s="465">
        <v>7</v>
      </c>
    </row>
    <row r="3617" spans="1:8" ht="13.8" thickBot="1">
      <c r="A3617" s="467" t="s">
        <v>8774</v>
      </c>
      <c r="B3617" s="465" t="s">
        <v>4661</v>
      </c>
      <c r="C3617" s="466">
        <v>6</v>
      </c>
      <c r="D3617" s="465"/>
      <c r="E3617" s="466" t="s">
        <v>4644</v>
      </c>
      <c r="F3617" s="466"/>
      <c r="G3617" s="465">
        <v>1</v>
      </c>
      <c r="H3617" s="465">
        <v>2</v>
      </c>
    </row>
    <row r="3618" spans="1:8" ht="13.8" thickBot="1">
      <c r="A3618" s="467" t="s">
        <v>8775</v>
      </c>
      <c r="B3618" s="465" t="s">
        <v>1708</v>
      </c>
      <c r="C3618" s="466">
        <v>6</v>
      </c>
      <c r="D3618" s="465"/>
      <c r="E3618" s="466" t="s">
        <v>4672</v>
      </c>
      <c r="F3618" s="466"/>
      <c r="G3618" s="465"/>
      <c r="H3618" s="465">
        <v>1</v>
      </c>
    </row>
    <row r="3619" spans="1:8" ht="13.8" thickBot="1">
      <c r="A3619" s="465" t="s">
        <v>8776</v>
      </c>
      <c r="B3619" s="465" t="s">
        <v>4684</v>
      </c>
      <c r="C3619" s="466">
        <v>6</v>
      </c>
      <c r="D3619" s="467" t="s">
        <v>614</v>
      </c>
      <c r="E3619" s="466" t="s">
        <v>4672</v>
      </c>
      <c r="F3619" s="466"/>
      <c r="G3619" s="465"/>
      <c r="H3619" s="465">
        <v>2</v>
      </c>
    </row>
    <row r="3620" spans="1:8" ht="13.8" thickBot="1">
      <c r="A3620" s="465" t="s">
        <v>8777</v>
      </c>
      <c r="B3620" s="465" t="s">
        <v>4685</v>
      </c>
      <c r="C3620" s="466">
        <v>6</v>
      </c>
      <c r="D3620" s="465"/>
      <c r="E3620" s="466" t="s">
        <v>4672</v>
      </c>
      <c r="F3620" s="466"/>
      <c r="G3620" s="465">
        <v>1</v>
      </c>
      <c r="H3620" s="465">
        <v>4</v>
      </c>
    </row>
    <row r="3621" spans="1:8" ht="13.8" thickBot="1">
      <c r="A3621" s="465" t="s">
        <v>8778</v>
      </c>
      <c r="B3621" s="465" t="s">
        <v>4713</v>
      </c>
      <c r="C3621" s="466">
        <v>6</v>
      </c>
      <c r="D3621" s="467" t="s">
        <v>614</v>
      </c>
      <c r="E3621" s="466" t="s">
        <v>4709</v>
      </c>
      <c r="F3621" s="466" t="s">
        <v>1226</v>
      </c>
      <c r="G3621" s="465">
        <v>2</v>
      </c>
      <c r="H3621" s="465">
        <v>5</v>
      </c>
    </row>
    <row r="3622" spans="1:8" ht="13.8" thickBot="1">
      <c r="A3622" s="465" t="s">
        <v>8779</v>
      </c>
      <c r="B3622" s="465" t="s">
        <v>4714</v>
      </c>
      <c r="C3622" s="466">
        <v>6</v>
      </c>
      <c r="D3622" s="467" t="s">
        <v>614</v>
      </c>
      <c r="E3622" s="466" t="s">
        <v>4709</v>
      </c>
      <c r="F3622" s="466"/>
      <c r="G3622" s="465">
        <v>1</v>
      </c>
      <c r="H3622" s="465">
        <v>3</v>
      </c>
    </row>
    <row r="3623" spans="1:8" ht="13.8" thickBot="1">
      <c r="A3623" s="465" t="s">
        <v>8780</v>
      </c>
      <c r="B3623" s="465" t="s">
        <v>4739</v>
      </c>
      <c r="C3623" s="466">
        <v>6</v>
      </c>
      <c r="D3623" s="467" t="s">
        <v>614</v>
      </c>
      <c r="E3623" s="466" t="s">
        <v>4717</v>
      </c>
      <c r="F3623" s="466" t="s">
        <v>1226</v>
      </c>
      <c r="G3623" s="465">
        <v>1</v>
      </c>
      <c r="H3623" s="465">
        <v>3</v>
      </c>
    </row>
    <row r="3624" spans="1:8" ht="13.8" thickBot="1">
      <c r="A3624" s="465" t="s">
        <v>8781</v>
      </c>
      <c r="B3624" s="465" t="s">
        <v>4723</v>
      </c>
      <c r="C3624" s="466">
        <v>6</v>
      </c>
      <c r="D3624" s="465"/>
      <c r="E3624" s="466" t="s">
        <v>4717</v>
      </c>
      <c r="F3624" s="466" t="s">
        <v>1226</v>
      </c>
      <c r="G3624" s="465"/>
      <c r="H3624" s="465">
        <v>2</v>
      </c>
    </row>
    <row r="3625" spans="1:8" ht="13.8" thickBot="1">
      <c r="A3625" s="465" t="s">
        <v>8782</v>
      </c>
      <c r="B3625" s="465" t="s">
        <v>4740</v>
      </c>
      <c r="C3625" s="466">
        <v>6</v>
      </c>
      <c r="D3625" s="467" t="s">
        <v>614</v>
      </c>
      <c r="E3625" s="466" t="s">
        <v>4717</v>
      </c>
      <c r="F3625" s="466" t="s">
        <v>1226</v>
      </c>
      <c r="G3625" s="465"/>
      <c r="H3625" s="465">
        <v>3</v>
      </c>
    </row>
    <row r="3626" spans="1:8" ht="13.8" thickBot="1">
      <c r="A3626" s="465" t="s">
        <v>8783</v>
      </c>
      <c r="B3626" s="465" t="s">
        <v>4741</v>
      </c>
      <c r="C3626" s="466">
        <v>6</v>
      </c>
      <c r="D3626" s="467" t="s">
        <v>4742</v>
      </c>
      <c r="E3626" s="466" t="s">
        <v>4717</v>
      </c>
      <c r="F3626" s="466" t="s">
        <v>1224</v>
      </c>
      <c r="G3626" s="465">
        <v>1</v>
      </c>
      <c r="H3626" s="465">
        <v>4</v>
      </c>
    </row>
    <row r="3627" spans="1:8" ht="13.8" thickBot="1">
      <c r="A3627" s="465" t="s">
        <v>8784</v>
      </c>
      <c r="B3627" s="465" t="s">
        <v>4743</v>
      </c>
      <c r="C3627" s="466">
        <v>6</v>
      </c>
      <c r="D3627" s="465"/>
      <c r="E3627" s="466" t="s">
        <v>4717</v>
      </c>
      <c r="F3627" s="466" t="s">
        <v>1220</v>
      </c>
      <c r="G3627" s="465">
        <v>1</v>
      </c>
      <c r="H3627" s="465">
        <v>3</v>
      </c>
    </row>
    <row r="3628" spans="1:8" ht="13.8" thickBot="1">
      <c r="A3628" s="465" t="s">
        <v>8785</v>
      </c>
      <c r="B3628" s="465" t="s">
        <v>4744</v>
      </c>
      <c r="C3628" s="466">
        <v>6</v>
      </c>
      <c r="D3628" s="465"/>
      <c r="E3628" s="466" t="s">
        <v>4717</v>
      </c>
      <c r="F3628" s="466"/>
      <c r="G3628" s="465"/>
      <c r="H3628" s="465">
        <v>1</v>
      </c>
    </row>
    <row r="3629" spans="1:8" ht="13.8" thickBot="1">
      <c r="A3629" s="465" t="s">
        <v>8786</v>
      </c>
      <c r="B3629" s="465" t="s">
        <v>4766</v>
      </c>
      <c r="C3629" s="466">
        <v>6</v>
      </c>
      <c r="D3629" s="465"/>
      <c r="E3629" s="466" t="s">
        <v>4753</v>
      </c>
      <c r="F3629" s="466" t="s">
        <v>1880</v>
      </c>
      <c r="G3629" s="465"/>
      <c r="H3629" s="465">
        <v>3</v>
      </c>
    </row>
    <row r="3630" spans="1:8" ht="13.8" thickBot="1">
      <c r="A3630" s="465" t="s">
        <v>8787</v>
      </c>
      <c r="B3630" s="465" t="s">
        <v>4768</v>
      </c>
      <c r="C3630" s="466">
        <v>6</v>
      </c>
      <c r="D3630" s="467" t="s">
        <v>614</v>
      </c>
      <c r="E3630" s="466" t="s">
        <v>4753</v>
      </c>
      <c r="F3630" s="466" t="s">
        <v>1226</v>
      </c>
      <c r="G3630" s="465"/>
      <c r="H3630" s="465">
        <v>2</v>
      </c>
    </row>
    <row r="3631" spans="1:8" ht="13.8" thickBot="1">
      <c r="A3631" s="467" t="s">
        <v>8788</v>
      </c>
      <c r="B3631" s="465" t="s">
        <v>4766</v>
      </c>
      <c r="C3631" s="466">
        <v>6</v>
      </c>
      <c r="D3631" s="465"/>
      <c r="E3631" s="466" t="s">
        <v>4753</v>
      </c>
      <c r="F3631" s="466"/>
      <c r="G3631" s="465"/>
      <c r="H3631" s="465"/>
    </row>
    <row r="3632" spans="1:8" ht="13.8" thickBot="1">
      <c r="A3632" s="465" t="s">
        <v>8789</v>
      </c>
      <c r="B3632" s="465" t="s">
        <v>4769</v>
      </c>
      <c r="C3632" s="466">
        <v>6</v>
      </c>
      <c r="D3632" s="465"/>
      <c r="E3632" s="466" t="s">
        <v>4753</v>
      </c>
      <c r="F3632" s="466"/>
      <c r="G3632" s="465"/>
      <c r="H3632" s="465">
        <v>1</v>
      </c>
    </row>
    <row r="3633" spans="1:8" ht="13.8" thickBot="1">
      <c r="A3633" s="467" t="s">
        <v>8790</v>
      </c>
      <c r="B3633" s="465" t="s">
        <v>4778</v>
      </c>
      <c r="C3633" s="466">
        <v>6</v>
      </c>
      <c r="D3633" s="467" t="s">
        <v>614</v>
      </c>
      <c r="E3633" s="466" t="s">
        <v>4773</v>
      </c>
      <c r="F3633" s="466" t="s">
        <v>1226</v>
      </c>
      <c r="G3633" s="465"/>
      <c r="H3633" s="465">
        <v>13</v>
      </c>
    </row>
    <row r="3634" spans="1:8" ht="13.8" thickBot="1">
      <c r="A3634" s="467" t="s">
        <v>8940</v>
      </c>
      <c r="B3634" s="465" t="s">
        <v>4829</v>
      </c>
      <c r="C3634" s="466">
        <v>6.1</v>
      </c>
      <c r="D3634" s="465"/>
      <c r="E3634" s="466" t="s">
        <v>4822</v>
      </c>
      <c r="F3634" s="466" t="s">
        <v>1226</v>
      </c>
      <c r="G3634" s="465">
        <v>1</v>
      </c>
      <c r="H3634" s="465">
        <v>9</v>
      </c>
    </row>
    <row r="3635" spans="1:8" ht="13.8" thickBot="1">
      <c r="A3635" s="467" t="s">
        <v>8900</v>
      </c>
      <c r="B3635" s="465" t="s">
        <v>2255</v>
      </c>
      <c r="C3635" s="466">
        <v>6.1</v>
      </c>
      <c r="D3635" s="467" t="s">
        <v>614</v>
      </c>
      <c r="E3635" s="466" t="s">
        <v>2242</v>
      </c>
      <c r="F3635" s="466" t="s">
        <v>1224</v>
      </c>
      <c r="G3635" s="465">
        <v>2</v>
      </c>
      <c r="H3635" s="465">
        <v>3</v>
      </c>
    </row>
    <row r="3636" spans="1:8" ht="13.8" thickBot="1">
      <c r="A3636" s="465" t="s">
        <v>8901</v>
      </c>
      <c r="B3636" s="465" t="s">
        <v>2383</v>
      </c>
      <c r="C3636" s="466">
        <v>6.1</v>
      </c>
      <c r="D3636" s="465"/>
      <c r="E3636" s="466" t="s">
        <v>2289</v>
      </c>
      <c r="F3636" s="466" t="s">
        <v>1226</v>
      </c>
      <c r="G3636" s="465">
        <v>1</v>
      </c>
      <c r="H3636" s="465">
        <v>7</v>
      </c>
    </row>
    <row r="3637" spans="1:8" ht="13.8" thickBot="1">
      <c r="A3637" s="465" t="s">
        <v>8902</v>
      </c>
      <c r="B3637" s="465" t="s">
        <v>2384</v>
      </c>
      <c r="C3637" s="466">
        <v>6.1</v>
      </c>
      <c r="D3637" s="467" t="s">
        <v>614</v>
      </c>
      <c r="E3637" s="466" t="s">
        <v>2289</v>
      </c>
      <c r="F3637" s="466" t="s">
        <v>1226</v>
      </c>
      <c r="G3637" s="465"/>
      <c r="H3637" s="465">
        <v>1</v>
      </c>
    </row>
    <row r="3638" spans="1:8" ht="13.8" thickBot="1">
      <c r="A3638" s="467" t="s">
        <v>8903</v>
      </c>
      <c r="B3638" s="465" t="s">
        <v>1726</v>
      </c>
      <c r="C3638" s="466">
        <v>6.1</v>
      </c>
      <c r="D3638" s="465"/>
      <c r="E3638" s="466" t="s">
        <v>2289</v>
      </c>
      <c r="F3638" s="466" t="s">
        <v>1224</v>
      </c>
      <c r="G3638" s="465"/>
      <c r="H3638" s="465">
        <v>7</v>
      </c>
    </row>
    <row r="3639" spans="1:8" ht="13.8" thickBot="1">
      <c r="A3639" s="467" t="s">
        <v>8904</v>
      </c>
      <c r="B3639" s="465" t="s">
        <v>2385</v>
      </c>
      <c r="C3639" s="466">
        <v>6.1</v>
      </c>
      <c r="D3639" s="465"/>
      <c r="E3639" s="466" t="s">
        <v>2289</v>
      </c>
      <c r="F3639" s="466" t="s">
        <v>1224</v>
      </c>
      <c r="G3639" s="465"/>
      <c r="H3639" s="465">
        <v>1</v>
      </c>
    </row>
    <row r="3640" spans="1:8" ht="13.8" thickBot="1">
      <c r="A3640" s="465" t="s">
        <v>1070</v>
      </c>
      <c r="B3640" s="465" t="s">
        <v>1381</v>
      </c>
      <c r="C3640" s="466">
        <v>6.1</v>
      </c>
      <c r="D3640" s="465"/>
      <c r="E3640" s="466" t="s">
        <v>5286</v>
      </c>
      <c r="F3640" s="466" t="s">
        <v>1251</v>
      </c>
      <c r="G3640" s="465"/>
      <c r="H3640" s="465">
        <v>3</v>
      </c>
    </row>
    <row r="3641" spans="1:8" ht="13.8" thickBot="1">
      <c r="A3641" s="465" t="s">
        <v>8941</v>
      </c>
      <c r="B3641" s="465" t="s">
        <v>5307</v>
      </c>
      <c r="C3641" s="466">
        <v>6.1</v>
      </c>
      <c r="D3641" s="465"/>
      <c r="E3641" s="466" t="s">
        <v>5286</v>
      </c>
      <c r="F3641" s="466" t="s">
        <v>1224</v>
      </c>
      <c r="G3641" s="465"/>
      <c r="H3641" s="465">
        <v>3</v>
      </c>
    </row>
    <row r="3642" spans="1:8" ht="13.8" thickBot="1">
      <c r="A3642" s="465" t="s">
        <v>8905</v>
      </c>
      <c r="B3642" s="465" t="s">
        <v>2474</v>
      </c>
      <c r="C3642" s="466">
        <v>6.1</v>
      </c>
      <c r="D3642" s="465"/>
      <c r="E3642" s="466" t="s">
        <v>2449</v>
      </c>
      <c r="F3642" s="466" t="s">
        <v>1841</v>
      </c>
      <c r="G3642" s="465">
        <v>1</v>
      </c>
      <c r="H3642" s="465">
        <v>9</v>
      </c>
    </row>
    <row r="3643" spans="1:8" ht="13.8" thickBot="1">
      <c r="A3643" s="465" t="s">
        <v>8906</v>
      </c>
      <c r="B3643" s="465" t="s">
        <v>2613</v>
      </c>
      <c r="C3643" s="466">
        <v>6.1</v>
      </c>
      <c r="D3643" s="467" t="s">
        <v>614</v>
      </c>
      <c r="E3643" s="466" t="s">
        <v>2523</v>
      </c>
      <c r="F3643" s="466" t="s">
        <v>1226</v>
      </c>
      <c r="G3643" s="465"/>
      <c r="H3643" s="465">
        <v>1</v>
      </c>
    </row>
    <row r="3644" spans="1:8" ht="13.8" thickBot="1">
      <c r="A3644" s="465" t="s">
        <v>8907</v>
      </c>
      <c r="B3644" s="465" t="s">
        <v>2738</v>
      </c>
      <c r="C3644" s="466">
        <v>6.1</v>
      </c>
      <c r="D3644" s="465"/>
      <c r="E3644" s="466" t="s">
        <v>2733</v>
      </c>
      <c r="F3644" s="466" t="s">
        <v>2319</v>
      </c>
      <c r="G3644" s="465">
        <v>1</v>
      </c>
      <c r="H3644" s="465">
        <v>21</v>
      </c>
    </row>
    <row r="3645" spans="1:8" ht="13.8" thickBot="1">
      <c r="A3645" s="467" t="s">
        <v>8908</v>
      </c>
      <c r="B3645" s="465" t="s">
        <v>2758</v>
      </c>
      <c r="C3645" s="466">
        <v>6.1</v>
      </c>
      <c r="D3645" s="467" t="s">
        <v>614</v>
      </c>
      <c r="E3645" s="466" t="s">
        <v>2754</v>
      </c>
      <c r="F3645" s="466" t="s">
        <v>1226</v>
      </c>
      <c r="G3645" s="465"/>
      <c r="H3645" s="465">
        <v>2</v>
      </c>
    </row>
    <row r="3646" spans="1:8" ht="13.8" thickBot="1">
      <c r="A3646" s="465" t="s">
        <v>8909</v>
      </c>
      <c r="B3646" s="465" t="s">
        <v>2790</v>
      </c>
      <c r="C3646" s="466">
        <v>6.1</v>
      </c>
      <c r="D3646" s="467" t="s">
        <v>614</v>
      </c>
      <c r="E3646" s="466" t="s">
        <v>2779</v>
      </c>
      <c r="F3646" s="466" t="s">
        <v>1841</v>
      </c>
      <c r="G3646" s="465"/>
      <c r="H3646" s="465">
        <v>18</v>
      </c>
    </row>
    <row r="3647" spans="1:8" ht="13.8" thickBot="1">
      <c r="A3647" s="467" t="s">
        <v>8910</v>
      </c>
      <c r="B3647" s="465" t="s">
        <v>2817</v>
      </c>
      <c r="C3647" s="466">
        <v>6.1</v>
      </c>
      <c r="D3647" s="467" t="s">
        <v>614</v>
      </c>
      <c r="E3647" s="466" t="s">
        <v>2797</v>
      </c>
      <c r="F3647" s="466" t="s">
        <v>1226</v>
      </c>
      <c r="G3647" s="465">
        <v>3</v>
      </c>
      <c r="H3647" s="465">
        <v>7</v>
      </c>
    </row>
    <row r="3648" spans="1:8" ht="13.8" thickBot="1">
      <c r="A3648" s="467" t="s">
        <v>8911</v>
      </c>
      <c r="B3648" s="465" t="s">
        <v>2818</v>
      </c>
      <c r="C3648" s="466">
        <v>6.1</v>
      </c>
      <c r="D3648" s="465"/>
      <c r="E3648" s="466" t="s">
        <v>2797</v>
      </c>
      <c r="F3648" s="466" t="s">
        <v>2067</v>
      </c>
      <c r="G3648" s="465"/>
      <c r="H3648" s="465">
        <v>19</v>
      </c>
    </row>
    <row r="3649" spans="1:8" ht="13.8" thickBot="1">
      <c r="A3649" s="465" t="s">
        <v>8912</v>
      </c>
      <c r="B3649" s="465" t="s">
        <v>2819</v>
      </c>
      <c r="C3649" s="466">
        <v>6.1</v>
      </c>
      <c r="D3649" s="465"/>
      <c r="E3649" s="466" t="s">
        <v>2797</v>
      </c>
      <c r="F3649" s="466" t="s">
        <v>1224</v>
      </c>
      <c r="G3649" s="465"/>
      <c r="H3649" s="465">
        <v>4</v>
      </c>
    </row>
    <row r="3650" spans="1:8" ht="13.8" thickBot="1">
      <c r="A3650" s="467" t="s">
        <v>8913</v>
      </c>
      <c r="B3650" s="465" t="s">
        <v>2863</v>
      </c>
      <c r="C3650" s="466">
        <v>6.1</v>
      </c>
      <c r="D3650" s="465"/>
      <c r="E3650" s="466" t="s">
        <v>2841</v>
      </c>
      <c r="F3650" s="466" t="s">
        <v>1226</v>
      </c>
      <c r="G3650" s="465"/>
      <c r="H3650" s="465">
        <v>1</v>
      </c>
    </row>
    <row r="3651" spans="1:8" ht="13.8" thickBot="1">
      <c r="A3651" s="467" t="s">
        <v>8914</v>
      </c>
      <c r="B3651" s="465" t="s">
        <v>2887</v>
      </c>
      <c r="C3651" s="466">
        <v>6.1</v>
      </c>
      <c r="D3651" s="467" t="s">
        <v>614</v>
      </c>
      <c r="E3651" s="466" t="s">
        <v>2884</v>
      </c>
      <c r="F3651" s="466" t="s">
        <v>1841</v>
      </c>
      <c r="G3651" s="465">
        <v>6</v>
      </c>
      <c r="H3651" s="465">
        <v>12</v>
      </c>
    </row>
    <row r="3652" spans="1:8" ht="13.8" thickBot="1">
      <c r="A3652" s="467" t="s">
        <v>8915</v>
      </c>
      <c r="B3652" s="465" t="s">
        <v>2888</v>
      </c>
      <c r="C3652" s="466">
        <v>6.1</v>
      </c>
      <c r="D3652" s="465"/>
      <c r="E3652" s="466" t="s">
        <v>2884</v>
      </c>
      <c r="F3652" s="466" t="s">
        <v>1226</v>
      </c>
      <c r="G3652" s="465">
        <v>1</v>
      </c>
      <c r="H3652" s="465">
        <v>7</v>
      </c>
    </row>
    <row r="3653" spans="1:8" ht="13.8" thickBot="1">
      <c r="A3653" s="467" t="s">
        <v>8916</v>
      </c>
      <c r="B3653" s="465" t="s">
        <v>2889</v>
      </c>
      <c r="C3653" s="466">
        <v>6.1</v>
      </c>
      <c r="D3653" s="467" t="s">
        <v>614</v>
      </c>
      <c r="E3653" s="466" t="s">
        <v>2884</v>
      </c>
      <c r="F3653" s="466" t="s">
        <v>1224</v>
      </c>
      <c r="G3653" s="465"/>
      <c r="H3653" s="465">
        <v>2</v>
      </c>
    </row>
    <row r="3654" spans="1:8" ht="13.8" thickBot="1">
      <c r="A3654" s="465" t="s">
        <v>8917</v>
      </c>
      <c r="B3654" s="465" t="s">
        <v>3143</v>
      </c>
      <c r="C3654" s="466">
        <v>6.1</v>
      </c>
      <c r="D3654" s="465"/>
      <c r="E3654" s="466" t="s">
        <v>3130</v>
      </c>
      <c r="F3654" s="466" t="s">
        <v>1226</v>
      </c>
      <c r="G3654" s="465"/>
      <c r="H3654" s="465">
        <v>3</v>
      </c>
    </row>
    <row r="3655" spans="1:8" ht="13.8" thickBot="1">
      <c r="A3655" s="465" t="s">
        <v>8918</v>
      </c>
      <c r="B3655" s="465" t="s">
        <v>3215</v>
      </c>
      <c r="C3655" s="466">
        <v>6.1</v>
      </c>
      <c r="D3655" s="465"/>
      <c r="E3655" s="466" t="s">
        <v>3161</v>
      </c>
      <c r="F3655" s="466"/>
      <c r="G3655" s="465"/>
      <c r="H3655" s="465">
        <v>2</v>
      </c>
    </row>
    <row r="3656" spans="1:8" ht="13.8" thickBot="1">
      <c r="A3656" s="465" t="s">
        <v>8898</v>
      </c>
      <c r="B3656" s="465" t="s">
        <v>2049</v>
      </c>
      <c r="C3656" s="466">
        <v>6.1</v>
      </c>
      <c r="D3656" s="467" t="s">
        <v>614</v>
      </c>
      <c r="E3656" s="466" t="s">
        <v>2032</v>
      </c>
      <c r="F3656" s="466" t="s">
        <v>1251</v>
      </c>
      <c r="G3656" s="465"/>
      <c r="H3656" s="465">
        <v>18</v>
      </c>
    </row>
    <row r="3657" spans="1:8" ht="13.8" thickBot="1">
      <c r="A3657" s="467" t="s">
        <v>8919</v>
      </c>
      <c r="B3657" s="468" t="s">
        <v>3384</v>
      </c>
      <c r="C3657" s="466">
        <v>6.1</v>
      </c>
      <c r="D3657" s="467" t="s">
        <v>614</v>
      </c>
      <c r="E3657" s="466" t="s">
        <v>3351</v>
      </c>
      <c r="F3657" s="466" t="s">
        <v>1226</v>
      </c>
      <c r="G3657" s="465"/>
      <c r="H3657" s="465">
        <v>5</v>
      </c>
    </row>
    <row r="3658" spans="1:8" ht="13.8" thickBot="1">
      <c r="A3658" s="465" t="s">
        <v>8920</v>
      </c>
      <c r="B3658" s="465" t="s">
        <v>3574</v>
      </c>
      <c r="C3658" s="466">
        <v>6.1</v>
      </c>
      <c r="D3658" s="467" t="s">
        <v>614</v>
      </c>
      <c r="E3658" s="466" t="s">
        <v>3517</v>
      </c>
      <c r="F3658" s="466" t="s">
        <v>1251</v>
      </c>
      <c r="G3658" s="465">
        <v>2</v>
      </c>
      <c r="H3658" s="465">
        <v>7</v>
      </c>
    </row>
    <row r="3659" spans="1:8" ht="13.8" thickBot="1">
      <c r="A3659" s="467" t="s">
        <v>8921</v>
      </c>
      <c r="B3659" s="465" t="s">
        <v>3575</v>
      </c>
      <c r="C3659" s="466">
        <v>6.1</v>
      </c>
      <c r="D3659" s="465"/>
      <c r="E3659" s="466" t="s">
        <v>3517</v>
      </c>
      <c r="F3659" s="466" t="s">
        <v>1841</v>
      </c>
      <c r="G3659" s="465"/>
      <c r="H3659" s="465">
        <v>6</v>
      </c>
    </row>
    <row r="3660" spans="1:8" ht="13.8" thickBot="1">
      <c r="A3660" s="465" t="s">
        <v>8922</v>
      </c>
      <c r="B3660" s="465" t="s">
        <v>3576</v>
      </c>
      <c r="C3660" s="466">
        <v>6.1</v>
      </c>
      <c r="D3660" s="465"/>
      <c r="E3660" s="466" t="s">
        <v>3517</v>
      </c>
      <c r="F3660" s="466" t="s">
        <v>1841</v>
      </c>
      <c r="G3660" s="465">
        <v>2</v>
      </c>
      <c r="H3660" s="465">
        <v>7</v>
      </c>
    </row>
    <row r="3661" spans="1:8" ht="13.8" thickBot="1">
      <c r="A3661" s="467" t="s">
        <v>8923</v>
      </c>
      <c r="B3661" s="465" t="s">
        <v>3577</v>
      </c>
      <c r="C3661" s="466">
        <v>6.1</v>
      </c>
      <c r="D3661" s="465"/>
      <c r="E3661" s="466" t="s">
        <v>3517</v>
      </c>
      <c r="F3661" s="466" t="s">
        <v>1226</v>
      </c>
      <c r="G3661" s="465"/>
      <c r="H3661" s="465">
        <v>1</v>
      </c>
    </row>
    <row r="3662" spans="1:8" ht="13.8" thickBot="1">
      <c r="A3662" s="465" t="s">
        <v>8924</v>
      </c>
      <c r="B3662" s="465" t="s">
        <v>3767</v>
      </c>
      <c r="C3662" s="466">
        <v>6.1</v>
      </c>
      <c r="D3662" s="467" t="s">
        <v>614</v>
      </c>
      <c r="E3662" s="466" t="s">
        <v>3734</v>
      </c>
      <c r="F3662" s="466" t="s">
        <v>1251</v>
      </c>
      <c r="G3662" s="465">
        <v>1</v>
      </c>
      <c r="H3662" s="465">
        <v>7</v>
      </c>
    </row>
    <row r="3663" spans="1:8" ht="13.8" thickBot="1">
      <c r="A3663" s="467" t="s">
        <v>8925</v>
      </c>
      <c r="B3663" s="465" t="s">
        <v>3768</v>
      </c>
      <c r="C3663" s="466">
        <v>6.1</v>
      </c>
      <c r="D3663" s="467" t="s">
        <v>614</v>
      </c>
      <c r="E3663" s="466" t="s">
        <v>3734</v>
      </c>
      <c r="F3663" s="466" t="s">
        <v>1251</v>
      </c>
      <c r="G3663" s="465">
        <v>1</v>
      </c>
      <c r="H3663" s="465">
        <v>7</v>
      </c>
    </row>
    <row r="3664" spans="1:8" ht="13.8" thickBot="1">
      <c r="A3664" s="465" t="s">
        <v>8926</v>
      </c>
      <c r="B3664" s="465" t="s">
        <v>3824</v>
      </c>
      <c r="C3664" s="466">
        <v>6.1</v>
      </c>
      <c r="D3664" s="467" t="s">
        <v>614</v>
      </c>
      <c r="E3664" s="466" t="s">
        <v>3807</v>
      </c>
      <c r="F3664" s="466" t="s">
        <v>1226</v>
      </c>
      <c r="G3664" s="465"/>
      <c r="H3664" s="465">
        <v>4</v>
      </c>
    </row>
    <row r="3665" spans="1:8" ht="13.8" thickBot="1">
      <c r="A3665" s="465" t="s">
        <v>8927</v>
      </c>
      <c r="B3665" s="465" t="s">
        <v>3879</v>
      </c>
      <c r="C3665" s="466">
        <v>6.1</v>
      </c>
      <c r="D3665" s="467" t="s">
        <v>614</v>
      </c>
      <c r="E3665" s="466" t="s">
        <v>3856</v>
      </c>
      <c r="F3665" s="466" t="s">
        <v>1226</v>
      </c>
      <c r="G3665" s="465">
        <v>1</v>
      </c>
      <c r="H3665" s="465">
        <v>3</v>
      </c>
    </row>
    <row r="3666" spans="1:8" ht="13.8" thickBot="1">
      <c r="A3666" s="465" t="s">
        <v>8928</v>
      </c>
      <c r="B3666" s="465" t="s">
        <v>3915</v>
      </c>
      <c r="C3666" s="466">
        <v>6.1</v>
      </c>
      <c r="D3666" s="467" t="s">
        <v>614</v>
      </c>
      <c r="E3666" s="466" t="s">
        <v>3903</v>
      </c>
      <c r="F3666" s="466" t="s">
        <v>1251</v>
      </c>
      <c r="G3666" s="465">
        <v>2</v>
      </c>
      <c r="H3666" s="465">
        <v>9</v>
      </c>
    </row>
    <row r="3667" spans="1:8" ht="13.8" thickBot="1">
      <c r="A3667" s="467" t="s">
        <v>8929</v>
      </c>
      <c r="B3667" s="465" t="s">
        <v>3916</v>
      </c>
      <c r="C3667" s="466">
        <v>6.1</v>
      </c>
      <c r="D3667" s="467" t="s">
        <v>3917</v>
      </c>
      <c r="E3667" s="466" t="s">
        <v>3903</v>
      </c>
      <c r="F3667" s="466" t="s">
        <v>1226</v>
      </c>
      <c r="G3667" s="465"/>
      <c r="H3667" s="465">
        <v>8</v>
      </c>
    </row>
    <row r="3668" spans="1:8" ht="13.8" thickBot="1">
      <c r="A3668" s="467" t="s">
        <v>8930</v>
      </c>
      <c r="B3668" s="465" t="s">
        <v>3935</v>
      </c>
      <c r="C3668" s="466">
        <v>6.1</v>
      </c>
      <c r="D3668" s="465"/>
      <c r="E3668" s="466" t="s">
        <v>3932</v>
      </c>
      <c r="F3668" s="466" t="s">
        <v>1251</v>
      </c>
      <c r="G3668" s="465"/>
      <c r="H3668" s="465">
        <v>5</v>
      </c>
    </row>
    <row r="3669" spans="1:8" ht="13.8" thickBot="1">
      <c r="A3669" s="467" t="s">
        <v>8931</v>
      </c>
      <c r="B3669" s="465" t="s">
        <v>3980</v>
      </c>
      <c r="C3669" s="466">
        <v>6.1</v>
      </c>
      <c r="D3669" s="465"/>
      <c r="E3669" s="466" t="s">
        <v>3957</v>
      </c>
      <c r="F3669" s="466"/>
      <c r="G3669" s="465"/>
      <c r="H3669" s="465">
        <v>3</v>
      </c>
    </row>
    <row r="3670" spans="1:8" ht="13.8" thickBot="1">
      <c r="A3670" s="465" t="s">
        <v>8932</v>
      </c>
      <c r="B3670" s="465" t="s">
        <v>4142</v>
      </c>
      <c r="C3670" s="466">
        <v>6.1</v>
      </c>
      <c r="D3670" s="465"/>
      <c r="E3670" s="466" t="s">
        <v>4140</v>
      </c>
      <c r="F3670" s="466" t="s">
        <v>1226</v>
      </c>
      <c r="G3670" s="465">
        <v>1</v>
      </c>
      <c r="H3670" s="465">
        <v>7</v>
      </c>
    </row>
    <row r="3671" spans="1:8" ht="13.8" thickBot="1">
      <c r="A3671" s="465" t="s">
        <v>8933</v>
      </c>
      <c r="B3671" s="465" t="s">
        <v>4176</v>
      </c>
      <c r="C3671" s="466">
        <v>6.1</v>
      </c>
      <c r="D3671" s="465"/>
      <c r="E3671" s="466" t="s">
        <v>4160</v>
      </c>
      <c r="F3671" s="466" t="s">
        <v>1226</v>
      </c>
      <c r="G3671" s="465"/>
      <c r="H3671" s="465">
        <v>6</v>
      </c>
    </row>
    <row r="3672" spans="1:8" ht="13.8" thickBot="1">
      <c r="A3672" s="465" t="s">
        <v>1165</v>
      </c>
      <c r="B3672" s="465" t="s">
        <v>4267</v>
      </c>
      <c r="C3672" s="466">
        <v>6.1</v>
      </c>
      <c r="D3672" s="465"/>
      <c r="E3672" s="466" t="s">
        <v>4214</v>
      </c>
      <c r="F3672" s="466"/>
      <c r="G3672" s="465"/>
      <c r="H3672" s="465">
        <v>3</v>
      </c>
    </row>
    <row r="3673" spans="1:8" ht="13.8" thickBot="1">
      <c r="A3673" s="465" t="s">
        <v>8899</v>
      </c>
      <c r="B3673" s="465" t="s">
        <v>2122</v>
      </c>
      <c r="C3673" s="466">
        <v>6.1</v>
      </c>
      <c r="D3673" s="465"/>
      <c r="E3673" s="466" t="s">
        <v>2123</v>
      </c>
      <c r="F3673" s="466"/>
      <c r="G3673" s="465">
        <v>1</v>
      </c>
      <c r="H3673" s="465">
        <v>2</v>
      </c>
    </row>
    <row r="3674" spans="1:8" ht="13.8" thickBot="1">
      <c r="A3674" s="467" t="s">
        <v>8934</v>
      </c>
      <c r="B3674" s="465" t="s">
        <v>4367</v>
      </c>
      <c r="C3674" s="466">
        <v>6.1</v>
      </c>
      <c r="D3674" s="465"/>
      <c r="E3674" s="466" t="s">
        <v>4364</v>
      </c>
      <c r="F3674" s="466" t="s">
        <v>1226</v>
      </c>
      <c r="G3674" s="465"/>
      <c r="H3674" s="465">
        <v>4</v>
      </c>
    </row>
    <row r="3675" spans="1:8" ht="13.8" thickBot="1">
      <c r="A3675" s="465" t="s">
        <v>8935</v>
      </c>
      <c r="B3675" s="465" t="s">
        <v>1658</v>
      </c>
      <c r="C3675" s="466">
        <v>6.1</v>
      </c>
      <c r="D3675" s="465"/>
      <c r="E3675" s="466" t="s">
        <v>4364</v>
      </c>
      <c r="F3675" s="466" t="s">
        <v>1226</v>
      </c>
      <c r="G3675" s="465"/>
      <c r="H3675" s="465">
        <v>3</v>
      </c>
    </row>
    <row r="3676" spans="1:8" ht="13.8" thickBot="1">
      <c r="A3676" s="467" t="s">
        <v>8936</v>
      </c>
      <c r="B3676" s="465" t="s">
        <v>4368</v>
      </c>
      <c r="C3676" s="466">
        <v>6.1</v>
      </c>
      <c r="D3676" s="467" t="s">
        <v>614</v>
      </c>
      <c r="E3676" s="466" t="s">
        <v>4364</v>
      </c>
      <c r="F3676" s="466" t="s">
        <v>2067</v>
      </c>
      <c r="G3676" s="465">
        <v>2</v>
      </c>
      <c r="H3676" s="465">
        <v>3</v>
      </c>
    </row>
    <row r="3677" spans="1:8" ht="13.8" thickBot="1">
      <c r="A3677" s="465" t="s">
        <v>8937</v>
      </c>
      <c r="B3677" s="465" t="s">
        <v>4460</v>
      </c>
      <c r="C3677" s="466">
        <v>6.1</v>
      </c>
      <c r="D3677" s="465"/>
      <c r="E3677" s="466" t="s">
        <v>4438</v>
      </c>
      <c r="F3677" s="466" t="s">
        <v>1226</v>
      </c>
      <c r="G3677" s="465"/>
      <c r="H3677" s="465">
        <v>13</v>
      </c>
    </row>
    <row r="3678" spans="1:8" ht="13.8" thickBot="1">
      <c r="A3678" s="465" t="s">
        <v>8938</v>
      </c>
      <c r="B3678" s="465" t="s">
        <v>4499</v>
      </c>
      <c r="C3678" s="466">
        <v>6.1</v>
      </c>
      <c r="D3678" s="465"/>
      <c r="E3678" s="466" t="s">
        <v>4491</v>
      </c>
      <c r="F3678" s="466" t="s">
        <v>2417</v>
      </c>
      <c r="G3678" s="465"/>
      <c r="H3678" s="465">
        <v>6</v>
      </c>
    </row>
    <row r="3679" spans="1:8" ht="13.8" thickBot="1">
      <c r="A3679" s="467" t="s">
        <v>8939</v>
      </c>
      <c r="B3679" s="465" t="s">
        <v>1647</v>
      </c>
      <c r="C3679" s="466">
        <v>6.1</v>
      </c>
      <c r="D3679" s="467" t="s">
        <v>614</v>
      </c>
      <c r="E3679" s="466" t="s">
        <v>4509</v>
      </c>
      <c r="F3679" s="466" t="s">
        <v>1220</v>
      </c>
      <c r="G3679" s="465">
        <v>1</v>
      </c>
      <c r="H3679" s="465">
        <v>2</v>
      </c>
    </row>
    <row r="3680" spans="1:8" ht="13.8" thickBot="1">
      <c r="A3680" s="467" t="s">
        <v>8942</v>
      </c>
      <c r="B3680" s="465" t="s">
        <v>1832</v>
      </c>
      <c r="C3680" s="466">
        <v>6.25</v>
      </c>
      <c r="D3680" s="467" t="s">
        <v>614</v>
      </c>
      <c r="E3680" s="466" t="s">
        <v>1793</v>
      </c>
      <c r="F3680" s="466" t="s">
        <v>1251</v>
      </c>
      <c r="G3680" s="465">
        <v>2</v>
      </c>
      <c r="H3680" s="465">
        <v>8</v>
      </c>
    </row>
    <row r="3681" spans="1:8" ht="13.8" thickBot="1">
      <c r="A3681" s="465" t="s">
        <v>8943</v>
      </c>
      <c r="B3681" s="465" t="s">
        <v>1833</v>
      </c>
      <c r="C3681" s="466">
        <v>6.25</v>
      </c>
      <c r="D3681" s="467" t="s">
        <v>614</v>
      </c>
      <c r="E3681" s="466" t="s">
        <v>1793</v>
      </c>
      <c r="F3681" s="466" t="s">
        <v>1251</v>
      </c>
      <c r="G3681" s="465"/>
      <c r="H3681" s="465">
        <v>3</v>
      </c>
    </row>
    <row r="3682" spans="1:8" ht="13.8" thickBot="1">
      <c r="A3682" s="465" t="s">
        <v>8944</v>
      </c>
      <c r="B3682" s="465" t="s">
        <v>1834</v>
      </c>
      <c r="C3682" s="466">
        <v>6.25</v>
      </c>
      <c r="D3682" s="465"/>
      <c r="E3682" s="466" t="s">
        <v>1793</v>
      </c>
      <c r="F3682" s="466" t="s">
        <v>1226</v>
      </c>
      <c r="G3682" s="465">
        <v>1</v>
      </c>
      <c r="H3682" s="465">
        <v>8</v>
      </c>
    </row>
    <row r="3683" spans="1:8" ht="13.8" thickBot="1">
      <c r="A3683" s="465" t="s">
        <v>8945</v>
      </c>
      <c r="B3683" s="465" t="s">
        <v>1835</v>
      </c>
      <c r="C3683" s="466">
        <v>6.25</v>
      </c>
      <c r="D3683" s="467" t="s">
        <v>614</v>
      </c>
      <c r="E3683" s="466" t="s">
        <v>1793</v>
      </c>
      <c r="F3683" s="466" t="s">
        <v>1226</v>
      </c>
      <c r="G3683" s="465">
        <v>6</v>
      </c>
      <c r="H3683" s="465">
        <v>14</v>
      </c>
    </row>
    <row r="3684" spans="1:8" ht="13.8" thickBot="1">
      <c r="A3684" s="467" t="s">
        <v>8946</v>
      </c>
      <c r="B3684" s="465" t="s">
        <v>1836</v>
      </c>
      <c r="C3684" s="466">
        <v>6.25</v>
      </c>
      <c r="D3684" s="465"/>
      <c r="E3684" s="466" t="s">
        <v>1793</v>
      </c>
      <c r="F3684" s="466" t="s">
        <v>1226</v>
      </c>
      <c r="G3684" s="465">
        <v>2</v>
      </c>
      <c r="H3684" s="465">
        <v>6</v>
      </c>
    </row>
    <row r="3685" spans="1:8" ht="13.8" thickBot="1">
      <c r="A3685" s="467" t="s">
        <v>8947</v>
      </c>
      <c r="B3685" s="465" t="s">
        <v>1837</v>
      </c>
      <c r="C3685" s="466">
        <v>6.25</v>
      </c>
      <c r="D3685" s="467" t="s">
        <v>614</v>
      </c>
      <c r="E3685" s="466" t="s">
        <v>1793</v>
      </c>
      <c r="F3685" s="466" t="s">
        <v>1226</v>
      </c>
      <c r="G3685" s="465">
        <v>1</v>
      </c>
      <c r="H3685" s="465">
        <v>4</v>
      </c>
    </row>
    <row r="3686" spans="1:8" ht="13.8" thickBot="1">
      <c r="A3686" s="465" t="s">
        <v>8948</v>
      </c>
      <c r="B3686" s="465" t="s">
        <v>1838</v>
      </c>
      <c r="C3686" s="466">
        <v>6.25</v>
      </c>
      <c r="D3686" s="465"/>
      <c r="E3686" s="466" t="s">
        <v>1793</v>
      </c>
      <c r="F3686" s="466"/>
      <c r="G3686" s="465"/>
      <c r="H3686" s="465">
        <v>1</v>
      </c>
    </row>
    <row r="3687" spans="1:8" ht="13.8" thickBot="1">
      <c r="A3687" s="465" t="s">
        <v>9116</v>
      </c>
      <c r="B3687" s="465" t="s">
        <v>4794</v>
      </c>
      <c r="C3687" s="466">
        <v>6.25</v>
      </c>
      <c r="D3687" s="467" t="s">
        <v>614</v>
      </c>
      <c r="E3687" s="466" t="s">
        <v>4789</v>
      </c>
      <c r="F3687" s="466" t="s">
        <v>2319</v>
      </c>
      <c r="G3687" s="465">
        <v>3</v>
      </c>
      <c r="H3687" s="465">
        <v>10</v>
      </c>
    </row>
    <row r="3688" spans="1:8" ht="13.8" thickBot="1">
      <c r="A3688" s="467" t="s">
        <v>9117</v>
      </c>
      <c r="B3688" s="468" t="s">
        <v>4795</v>
      </c>
      <c r="C3688" s="466">
        <v>6.25</v>
      </c>
      <c r="D3688" s="465"/>
      <c r="E3688" s="466" t="s">
        <v>4789</v>
      </c>
      <c r="F3688" s="466" t="s">
        <v>1226</v>
      </c>
      <c r="G3688" s="465"/>
      <c r="H3688" s="465">
        <v>2</v>
      </c>
    </row>
    <row r="3689" spans="1:8" ht="13.8" thickBot="1">
      <c r="A3689" s="465" t="s">
        <v>9118</v>
      </c>
      <c r="B3689" s="465" t="s">
        <v>4796</v>
      </c>
      <c r="C3689" s="466">
        <v>6.25</v>
      </c>
      <c r="D3689" s="465"/>
      <c r="E3689" s="466" t="s">
        <v>4789</v>
      </c>
      <c r="F3689" s="466"/>
      <c r="G3689" s="465"/>
      <c r="H3689" s="465">
        <v>1</v>
      </c>
    </row>
    <row r="3690" spans="1:8" ht="13.8" thickBot="1">
      <c r="A3690" s="465" t="s">
        <v>9119</v>
      </c>
      <c r="B3690" s="465" t="s">
        <v>4828</v>
      </c>
      <c r="C3690" s="466">
        <v>6.25</v>
      </c>
      <c r="D3690" s="465"/>
      <c r="E3690" s="466" t="s">
        <v>4822</v>
      </c>
      <c r="F3690" s="466" t="s">
        <v>1226</v>
      </c>
      <c r="G3690" s="465">
        <v>1</v>
      </c>
      <c r="H3690" s="465">
        <v>5</v>
      </c>
    </row>
    <row r="3691" spans="1:8" ht="13.8" thickBot="1">
      <c r="A3691" s="465" t="s">
        <v>9120</v>
      </c>
      <c r="B3691" s="465" t="s">
        <v>4859</v>
      </c>
      <c r="C3691" s="466">
        <v>6.25</v>
      </c>
      <c r="D3691" s="467" t="s">
        <v>614</v>
      </c>
      <c r="E3691" s="466" t="s">
        <v>4850</v>
      </c>
      <c r="F3691" s="466" t="s">
        <v>1224</v>
      </c>
      <c r="G3691" s="465"/>
      <c r="H3691" s="465">
        <v>1</v>
      </c>
    </row>
    <row r="3692" spans="1:8" ht="13.8" thickBot="1">
      <c r="A3692" s="465" t="s">
        <v>9121</v>
      </c>
      <c r="B3692" s="465" t="s">
        <v>4908</v>
      </c>
      <c r="C3692" s="466">
        <v>6.25</v>
      </c>
      <c r="D3692" s="465"/>
      <c r="E3692" s="466" t="s">
        <v>4905</v>
      </c>
      <c r="F3692" s="466" t="s">
        <v>1226</v>
      </c>
      <c r="G3692" s="465"/>
      <c r="H3692" s="465">
        <v>7</v>
      </c>
    </row>
    <row r="3693" spans="1:8" ht="13.8" thickBot="1">
      <c r="A3693" s="465" t="s">
        <v>9122</v>
      </c>
      <c r="B3693" s="465" t="s">
        <v>4909</v>
      </c>
      <c r="C3693" s="466">
        <v>6.25</v>
      </c>
      <c r="D3693" s="467" t="s">
        <v>614</v>
      </c>
      <c r="E3693" s="466" t="s">
        <v>4905</v>
      </c>
      <c r="F3693" s="466" t="s">
        <v>1226</v>
      </c>
      <c r="G3693" s="465"/>
      <c r="H3693" s="465">
        <v>2</v>
      </c>
    </row>
    <row r="3694" spans="1:8" ht="13.8" thickBot="1">
      <c r="A3694" s="465" t="s">
        <v>9123</v>
      </c>
      <c r="B3694" s="465" t="s">
        <v>4910</v>
      </c>
      <c r="C3694" s="466">
        <v>6.25</v>
      </c>
      <c r="D3694" s="467" t="s">
        <v>614</v>
      </c>
      <c r="E3694" s="466" t="s">
        <v>4905</v>
      </c>
      <c r="F3694" s="466" t="s">
        <v>1224</v>
      </c>
      <c r="G3694" s="465"/>
      <c r="H3694" s="465">
        <v>2</v>
      </c>
    </row>
    <row r="3695" spans="1:8" ht="13.8" thickBot="1">
      <c r="A3695" s="465" t="s">
        <v>9124</v>
      </c>
      <c r="B3695" s="465" t="s">
        <v>4926</v>
      </c>
      <c r="C3695" s="466">
        <v>6.25</v>
      </c>
      <c r="D3695" s="465"/>
      <c r="E3695" s="466" t="s">
        <v>4918</v>
      </c>
      <c r="F3695" s="466" t="s">
        <v>1226</v>
      </c>
      <c r="G3695" s="465"/>
      <c r="H3695" s="465">
        <v>3</v>
      </c>
    </row>
    <row r="3696" spans="1:8" ht="13.8" thickBot="1">
      <c r="A3696" s="467" t="s">
        <v>9125</v>
      </c>
      <c r="B3696" s="465" t="s">
        <v>4927</v>
      </c>
      <c r="C3696" s="466">
        <v>6.25</v>
      </c>
      <c r="D3696" s="467" t="s">
        <v>614</v>
      </c>
      <c r="E3696" s="466" t="s">
        <v>4918</v>
      </c>
      <c r="F3696" s="466" t="s">
        <v>1224</v>
      </c>
      <c r="G3696" s="465">
        <v>1</v>
      </c>
      <c r="H3696" s="465">
        <v>2</v>
      </c>
    </row>
    <row r="3697" spans="1:8" ht="13.8" thickBot="1">
      <c r="A3697" s="465" t="s">
        <v>9126</v>
      </c>
      <c r="B3697" s="465" t="s">
        <v>4928</v>
      </c>
      <c r="C3697" s="466">
        <v>6.25</v>
      </c>
      <c r="D3697" s="465"/>
      <c r="E3697" s="466" t="s">
        <v>4918</v>
      </c>
      <c r="F3697" s="466"/>
      <c r="G3697" s="465"/>
      <c r="H3697" s="465"/>
    </row>
    <row r="3698" spans="1:8" ht="13.8" thickBot="1">
      <c r="A3698" s="467" t="s">
        <v>9127</v>
      </c>
      <c r="B3698" s="465" t="s">
        <v>4929</v>
      </c>
      <c r="C3698" s="466">
        <v>6.25</v>
      </c>
      <c r="D3698" s="465"/>
      <c r="E3698" s="466" t="s">
        <v>4918</v>
      </c>
      <c r="F3698" s="466"/>
      <c r="G3698" s="465"/>
      <c r="H3698" s="465"/>
    </row>
    <row r="3699" spans="1:8" ht="13.8" thickBot="1">
      <c r="A3699" s="467" t="s">
        <v>9128</v>
      </c>
      <c r="B3699" s="465" t="s">
        <v>4953</v>
      </c>
      <c r="C3699" s="466">
        <v>6.25</v>
      </c>
      <c r="D3699" s="467" t="s">
        <v>614</v>
      </c>
      <c r="E3699" s="466" t="s">
        <v>4943</v>
      </c>
      <c r="F3699" s="466"/>
      <c r="G3699" s="465"/>
      <c r="H3699" s="465">
        <v>1</v>
      </c>
    </row>
    <row r="3700" spans="1:8" ht="13.8" thickBot="1">
      <c r="A3700" s="465" t="s">
        <v>9129</v>
      </c>
      <c r="B3700" s="465" t="s">
        <v>1606</v>
      </c>
      <c r="C3700" s="466">
        <v>6.25</v>
      </c>
      <c r="D3700" s="465"/>
      <c r="E3700" s="466" t="s">
        <v>4970</v>
      </c>
      <c r="F3700" s="466" t="s">
        <v>1226</v>
      </c>
      <c r="G3700" s="465"/>
      <c r="H3700" s="465">
        <v>5</v>
      </c>
    </row>
    <row r="3701" spans="1:8" ht="13.8" thickBot="1">
      <c r="A3701" s="465" t="s">
        <v>9130</v>
      </c>
      <c r="B3701" s="465" t="s">
        <v>4980</v>
      </c>
      <c r="C3701" s="466">
        <v>6.25</v>
      </c>
      <c r="D3701" s="465"/>
      <c r="E3701" s="466" t="s">
        <v>4970</v>
      </c>
      <c r="F3701" s="466"/>
      <c r="G3701" s="465"/>
      <c r="H3701" s="465"/>
    </row>
    <row r="3702" spans="1:8" ht="13.8" thickBot="1">
      <c r="A3702" s="465" t="s">
        <v>9131</v>
      </c>
      <c r="B3702" s="465" t="s">
        <v>4981</v>
      </c>
      <c r="C3702" s="466">
        <v>6.25</v>
      </c>
      <c r="D3702" s="465"/>
      <c r="E3702" s="466" t="s">
        <v>4970</v>
      </c>
      <c r="F3702" s="466"/>
      <c r="G3702" s="465">
        <v>1</v>
      </c>
      <c r="H3702" s="465">
        <v>2</v>
      </c>
    </row>
    <row r="3703" spans="1:8" ht="13.8" thickBot="1">
      <c r="A3703" s="465" t="s">
        <v>8965</v>
      </c>
      <c r="B3703" s="465" t="s">
        <v>2254</v>
      </c>
      <c r="C3703" s="466">
        <v>6.25</v>
      </c>
      <c r="D3703" s="465"/>
      <c r="E3703" s="466" t="s">
        <v>2242</v>
      </c>
      <c r="F3703" s="466" t="s">
        <v>1841</v>
      </c>
      <c r="G3703" s="465"/>
      <c r="H3703" s="465">
        <v>9</v>
      </c>
    </row>
    <row r="3704" spans="1:8" ht="13.8" thickBot="1">
      <c r="A3704" s="467" t="s">
        <v>9132</v>
      </c>
      <c r="B3704" s="465" t="s">
        <v>5049</v>
      </c>
      <c r="C3704" s="466">
        <v>6.25</v>
      </c>
      <c r="D3704" s="467" t="s">
        <v>5050</v>
      </c>
      <c r="E3704" s="466" t="s">
        <v>5042</v>
      </c>
      <c r="F3704" s="466" t="s">
        <v>1251</v>
      </c>
      <c r="G3704" s="465">
        <v>1</v>
      </c>
      <c r="H3704" s="465">
        <v>8</v>
      </c>
    </row>
    <row r="3705" spans="1:8" ht="13.8" thickBot="1">
      <c r="A3705" s="465" t="s">
        <v>9133</v>
      </c>
      <c r="B3705" s="465" t="s">
        <v>5051</v>
      </c>
      <c r="C3705" s="466">
        <v>6.25</v>
      </c>
      <c r="D3705" s="467" t="s">
        <v>614</v>
      </c>
      <c r="E3705" s="466" t="s">
        <v>5042</v>
      </c>
      <c r="F3705" s="466" t="s">
        <v>1251</v>
      </c>
      <c r="G3705" s="465">
        <v>1</v>
      </c>
      <c r="H3705" s="465">
        <v>11</v>
      </c>
    </row>
    <row r="3706" spans="1:8" ht="13.8" thickBot="1">
      <c r="A3706" s="465" t="s">
        <v>9134</v>
      </c>
      <c r="B3706" s="465" t="s">
        <v>5064</v>
      </c>
      <c r="C3706" s="466">
        <v>6.25</v>
      </c>
      <c r="D3706" s="465"/>
      <c r="E3706" s="466" t="s">
        <v>5059</v>
      </c>
      <c r="F3706" s="466" t="s">
        <v>1226</v>
      </c>
      <c r="G3706" s="465"/>
      <c r="H3706" s="465">
        <v>3</v>
      </c>
    </row>
    <row r="3707" spans="1:8" ht="13.8" thickBot="1">
      <c r="A3707" s="465" t="s">
        <v>9135</v>
      </c>
      <c r="B3707" s="465" t="s">
        <v>5102</v>
      </c>
      <c r="C3707" s="466">
        <v>6.25</v>
      </c>
      <c r="D3707" s="467" t="s">
        <v>614</v>
      </c>
      <c r="E3707" s="466" t="s">
        <v>5103</v>
      </c>
      <c r="F3707" s="466" t="s">
        <v>1226</v>
      </c>
      <c r="G3707" s="465">
        <v>1</v>
      </c>
      <c r="H3707" s="465">
        <v>11</v>
      </c>
    </row>
    <row r="3708" spans="1:8" ht="13.8" thickBot="1">
      <c r="A3708" s="467" t="s">
        <v>9136</v>
      </c>
      <c r="B3708" s="465" t="s">
        <v>5104</v>
      </c>
      <c r="C3708" s="466">
        <v>6.25</v>
      </c>
      <c r="D3708" s="467" t="s">
        <v>614</v>
      </c>
      <c r="E3708" s="466" t="s">
        <v>5103</v>
      </c>
      <c r="F3708" s="466"/>
      <c r="G3708" s="465">
        <v>2</v>
      </c>
      <c r="H3708" s="465">
        <v>5</v>
      </c>
    </row>
    <row r="3709" spans="1:8" ht="13.8" thickBot="1">
      <c r="A3709" s="467" t="s">
        <v>9137</v>
      </c>
      <c r="B3709" s="465" t="s">
        <v>1499</v>
      </c>
      <c r="C3709" s="466">
        <v>6.25</v>
      </c>
      <c r="D3709" s="465"/>
      <c r="E3709" s="466" t="s">
        <v>5109</v>
      </c>
      <c r="F3709" s="466" t="s">
        <v>1251</v>
      </c>
      <c r="G3709" s="465"/>
      <c r="H3709" s="465">
        <v>13</v>
      </c>
    </row>
    <row r="3710" spans="1:8" ht="13.8" thickBot="1">
      <c r="A3710" s="465" t="s">
        <v>8966</v>
      </c>
      <c r="B3710" s="465" t="s">
        <v>2276</v>
      </c>
      <c r="C3710" s="466">
        <v>6.25</v>
      </c>
      <c r="D3710" s="467" t="s">
        <v>614</v>
      </c>
      <c r="E3710" s="466" t="s">
        <v>2273</v>
      </c>
      <c r="F3710" s="466" t="s">
        <v>1226</v>
      </c>
      <c r="G3710" s="465"/>
      <c r="H3710" s="465">
        <v>10</v>
      </c>
    </row>
    <row r="3711" spans="1:8" ht="13.8" thickBot="1">
      <c r="A3711" s="467" t="s">
        <v>9138</v>
      </c>
      <c r="B3711" s="465" t="s">
        <v>5131</v>
      </c>
      <c r="C3711" s="466">
        <v>6.25</v>
      </c>
      <c r="D3711" s="467" t="s">
        <v>614</v>
      </c>
      <c r="E3711" s="466" t="s">
        <v>5125</v>
      </c>
      <c r="F3711" s="466" t="s">
        <v>1251</v>
      </c>
      <c r="G3711" s="465">
        <v>1</v>
      </c>
      <c r="H3711" s="465">
        <v>5</v>
      </c>
    </row>
    <row r="3712" spans="1:8" ht="13.8" thickBot="1">
      <c r="A3712" s="465" t="s">
        <v>9139</v>
      </c>
      <c r="B3712" s="465" t="s">
        <v>1705</v>
      </c>
      <c r="C3712" s="466">
        <v>6.25</v>
      </c>
      <c r="D3712" s="465"/>
      <c r="E3712" s="466" t="s">
        <v>5139</v>
      </c>
      <c r="F3712" s="466" t="s">
        <v>1229</v>
      </c>
      <c r="G3712" s="465">
        <v>1</v>
      </c>
      <c r="H3712" s="465">
        <v>14</v>
      </c>
    </row>
    <row r="3713" spans="1:8" ht="13.8" thickBot="1">
      <c r="A3713" s="467" t="s">
        <v>9140</v>
      </c>
      <c r="B3713" s="465" t="s">
        <v>1700</v>
      </c>
      <c r="C3713" s="466">
        <v>6.25</v>
      </c>
      <c r="D3713" s="467" t="s">
        <v>614</v>
      </c>
      <c r="E3713" s="466" t="s">
        <v>5139</v>
      </c>
      <c r="F3713" s="466" t="s">
        <v>1251</v>
      </c>
      <c r="G3713" s="465"/>
      <c r="H3713" s="465">
        <v>3</v>
      </c>
    </row>
    <row r="3714" spans="1:8" ht="13.8" thickBot="1">
      <c r="A3714" s="467" t="s">
        <v>9141</v>
      </c>
      <c r="B3714" s="465" t="s">
        <v>5144</v>
      </c>
      <c r="C3714" s="466">
        <v>6.25</v>
      </c>
      <c r="D3714" s="465" t="s">
        <v>5145</v>
      </c>
      <c r="E3714" s="466" t="s">
        <v>5139</v>
      </c>
      <c r="F3714" s="466" t="s">
        <v>1251</v>
      </c>
      <c r="G3714" s="465">
        <v>1</v>
      </c>
      <c r="H3714" s="465">
        <v>8</v>
      </c>
    </row>
    <row r="3715" spans="1:8" ht="13.8" thickBot="1">
      <c r="A3715" s="467" t="s">
        <v>9142</v>
      </c>
      <c r="B3715" s="465" t="s">
        <v>5158</v>
      </c>
      <c r="C3715" s="466">
        <v>6.25</v>
      </c>
      <c r="D3715" s="465"/>
      <c r="E3715" s="466" t="s">
        <v>5155</v>
      </c>
      <c r="F3715" s="466" t="s">
        <v>1226</v>
      </c>
      <c r="G3715" s="465"/>
      <c r="H3715" s="465">
        <v>1</v>
      </c>
    </row>
    <row r="3716" spans="1:8" ht="13.8" thickBot="1">
      <c r="A3716" s="467" t="s">
        <v>9143</v>
      </c>
      <c r="B3716" s="465" t="s">
        <v>5183</v>
      </c>
      <c r="C3716" s="466">
        <v>6.25</v>
      </c>
      <c r="D3716" s="465"/>
      <c r="E3716" s="466" t="s">
        <v>5180</v>
      </c>
      <c r="F3716" s="466" t="s">
        <v>2374</v>
      </c>
      <c r="G3716" s="465"/>
      <c r="H3716" s="465">
        <v>8</v>
      </c>
    </row>
    <row r="3717" spans="1:8" ht="13.8" thickBot="1">
      <c r="A3717" s="465" t="s">
        <v>9144</v>
      </c>
      <c r="B3717" s="465" t="s">
        <v>5212</v>
      </c>
      <c r="C3717" s="466">
        <v>6.25</v>
      </c>
      <c r="D3717" s="467" t="s">
        <v>614</v>
      </c>
      <c r="E3717" s="466" t="s">
        <v>5196</v>
      </c>
      <c r="F3717" s="466" t="s">
        <v>1226</v>
      </c>
      <c r="G3717" s="465"/>
      <c r="H3717" s="465">
        <v>4</v>
      </c>
    </row>
    <row r="3718" spans="1:8" ht="13.8" thickBot="1">
      <c r="A3718" s="465" t="s">
        <v>9145</v>
      </c>
      <c r="B3718" s="465" t="s">
        <v>5213</v>
      </c>
      <c r="C3718" s="466">
        <v>6.25</v>
      </c>
      <c r="D3718" s="467" t="s">
        <v>614</v>
      </c>
      <c r="E3718" s="466" t="s">
        <v>5196</v>
      </c>
      <c r="F3718" s="466"/>
      <c r="G3718" s="465"/>
      <c r="H3718" s="465">
        <v>2</v>
      </c>
    </row>
    <row r="3719" spans="1:8" ht="13.8" thickBot="1">
      <c r="A3719" s="467" t="s">
        <v>9146</v>
      </c>
      <c r="B3719" s="465" t="s">
        <v>5218</v>
      </c>
      <c r="C3719" s="466">
        <v>6.25</v>
      </c>
      <c r="D3719" s="467" t="s">
        <v>614</v>
      </c>
      <c r="E3719" s="466" t="s">
        <v>5219</v>
      </c>
      <c r="F3719" s="466" t="s">
        <v>1226</v>
      </c>
      <c r="G3719" s="465">
        <v>1</v>
      </c>
      <c r="H3719" s="465">
        <v>8</v>
      </c>
    </row>
    <row r="3720" spans="1:8" ht="13.8" thickBot="1">
      <c r="A3720" s="465" t="s">
        <v>9147</v>
      </c>
      <c r="B3720" s="465" t="s">
        <v>5232</v>
      </c>
      <c r="C3720" s="466">
        <v>6.25</v>
      </c>
      <c r="D3720" s="467" t="s">
        <v>614</v>
      </c>
      <c r="E3720" s="466" t="s">
        <v>5226</v>
      </c>
      <c r="F3720" s="466" t="s">
        <v>1226</v>
      </c>
      <c r="G3720" s="465">
        <v>1</v>
      </c>
      <c r="H3720" s="465">
        <v>4</v>
      </c>
    </row>
    <row r="3721" spans="1:8" ht="13.8" thickBot="1">
      <c r="A3721" s="465" t="s">
        <v>9148</v>
      </c>
      <c r="B3721" s="465" t="s">
        <v>5246</v>
      </c>
      <c r="C3721" s="466">
        <v>6.25</v>
      </c>
      <c r="D3721" s="467" t="s">
        <v>5247</v>
      </c>
      <c r="E3721" s="466" t="s">
        <v>5248</v>
      </c>
      <c r="F3721" s="466" t="s">
        <v>1226</v>
      </c>
      <c r="G3721" s="465">
        <v>1</v>
      </c>
      <c r="H3721" s="465">
        <v>8</v>
      </c>
    </row>
    <row r="3722" spans="1:8" ht="13.8" thickBot="1">
      <c r="A3722" s="465" t="s">
        <v>8967</v>
      </c>
      <c r="B3722" s="465" t="s">
        <v>2368</v>
      </c>
      <c r="C3722" s="466">
        <v>6.25</v>
      </c>
      <c r="D3722" s="467" t="s">
        <v>614</v>
      </c>
      <c r="E3722" s="466" t="s">
        <v>2289</v>
      </c>
      <c r="F3722" s="466" t="s">
        <v>1229</v>
      </c>
      <c r="G3722" s="465"/>
      <c r="H3722" s="465">
        <v>13</v>
      </c>
    </row>
    <row r="3723" spans="1:8" ht="13.8" thickBot="1">
      <c r="A3723" s="465" t="s">
        <v>8968</v>
      </c>
      <c r="B3723" s="465" t="s">
        <v>2369</v>
      </c>
      <c r="C3723" s="466">
        <v>6.25</v>
      </c>
      <c r="D3723" s="467" t="s">
        <v>2370</v>
      </c>
      <c r="E3723" s="466" t="s">
        <v>2289</v>
      </c>
      <c r="F3723" s="466" t="s">
        <v>1251</v>
      </c>
      <c r="G3723" s="465">
        <v>1</v>
      </c>
      <c r="H3723" s="465">
        <v>13</v>
      </c>
    </row>
    <row r="3724" spans="1:8" ht="13.8" thickBot="1">
      <c r="A3724" s="467" t="s">
        <v>8969</v>
      </c>
      <c r="B3724" s="465" t="s">
        <v>2371</v>
      </c>
      <c r="C3724" s="466">
        <v>6.25</v>
      </c>
      <c r="D3724" s="467" t="s">
        <v>614</v>
      </c>
      <c r="E3724" s="466" t="s">
        <v>2289</v>
      </c>
      <c r="F3724" s="466" t="s">
        <v>1251</v>
      </c>
      <c r="G3724" s="465">
        <v>4</v>
      </c>
      <c r="H3724" s="465">
        <v>10</v>
      </c>
    </row>
    <row r="3725" spans="1:8" ht="13.8" thickBot="1">
      <c r="A3725" s="465" t="s">
        <v>8970</v>
      </c>
      <c r="B3725" s="465" t="s">
        <v>2372</v>
      </c>
      <c r="C3725" s="466">
        <v>6.25</v>
      </c>
      <c r="D3725" s="465"/>
      <c r="E3725" s="466" t="s">
        <v>2289</v>
      </c>
      <c r="F3725" s="466" t="s">
        <v>1251</v>
      </c>
      <c r="G3725" s="465"/>
      <c r="H3725" s="465">
        <v>9</v>
      </c>
    </row>
    <row r="3726" spans="1:8" ht="13.8" thickBot="1">
      <c r="A3726" s="465" t="s">
        <v>8971</v>
      </c>
      <c r="B3726" s="465" t="s">
        <v>2373</v>
      </c>
      <c r="C3726" s="466">
        <v>6.25</v>
      </c>
      <c r="D3726" s="467" t="s">
        <v>614</v>
      </c>
      <c r="E3726" s="466" t="s">
        <v>2289</v>
      </c>
      <c r="F3726" s="466" t="s">
        <v>2374</v>
      </c>
      <c r="G3726" s="465"/>
      <c r="H3726" s="465">
        <v>17</v>
      </c>
    </row>
    <row r="3727" spans="1:8" ht="13.8" thickBot="1">
      <c r="A3727" s="465" t="s">
        <v>8972</v>
      </c>
      <c r="B3727" s="465" t="s">
        <v>1726</v>
      </c>
      <c r="C3727" s="466">
        <v>6.25</v>
      </c>
      <c r="D3727" s="465"/>
      <c r="E3727" s="466" t="s">
        <v>2289</v>
      </c>
      <c r="F3727" s="466" t="s">
        <v>1226</v>
      </c>
      <c r="G3727" s="465"/>
      <c r="H3727" s="465">
        <v>5</v>
      </c>
    </row>
    <row r="3728" spans="1:8" ht="13.8" thickBot="1">
      <c r="A3728" s="465" t="s">
        <v>8973</v>
      </c>
      <c r="B3728" s="465" t="s">
        <v>2375</v>
      </c>
      <c r="C3728" s="466">
        <v>6.25</v>
      </c>
      <c r="D3728" s="465"/>
      <c r="E3728" s="466" t="s">
        <v>2289</v>
      </c>
      <c r="F3728" s="466" t="s">
        <v>1226</v>
      </c>
      <c r="G3728" s="465"/>
      <c r="H3728" s="465">
        <v>4</v>
      </c>
    </row>
    <row r="3729" spans="1:8" ht="13.8" thickBot="1">
      <c r="A3729" s="465" t="s">
        <v>8974</v>
      </c>
      <c r="B3729" s="465" t="s">
        <v>2376</v>
      </c>
      <c r="C3729" s="466">
        <v>6.25</v>
      </c>
      <c r="D3729" s="465" t="s">
        <v>2377</v>
      </c>
      <c r="E3729" s="466" t="s">
        <v>2289</v>
      </c>
      <c r="F3729" s="466" t="s">
        <v>1226</v>
      </c>
      <c r="G3729" s="465"/>
      <c r="H3729" s="465">
        <v>3</v>
      </c>
    </row>
    <row r="3730" spans="1:8" ht="13.8" thickBot="1">
      <c r="A3730" s="467" t="s">
        <v>8975</v>
      </c>
      <c r="B3730" s="465" t="s">
        <v>2378</v>
      </c>
      <c r="C3730" s="466">
        <v>6.25</v>
      </c>
      <c r="D3730" s="467" t="s">
        <v>614</v>
      </c>
      <c r="E3730" s="466" t="s">
        <v>2289</v>
      </c>
      <c r="F3730" s="466" t="s">
        <v>1226</v>
      </c>
      <c r="G3730" s="465">
        <v>1</v>
      </c>
      <c r="H3730" s="465">
        <v>9</v>
      </c>
    </row>
    <row r="3731" spans="1:8" ht="13.8" thickBot="1">
      <c r="A3731" s="467" t="s">
        <v>8976</v>
      </c>
      <c r="B3731" s="465" t="s">
        <v>2379</v>
      </c>
      <c r="C3731" s="466">
        <v>6.25</v>
      </c>
      <c r="D3731" s="467" t="s">
        <v>2380</v>
      </c>
      <c r="E3731" s="466" t="s">
        <v>2289</v>
      </c>
      <c r="F3731" s="466" t="s">
        <v>1226</v>
      </c>
      <c r="G3731" s="465">
        <v>1</v>
      </c>
      <c r="H3731" s="465">
        <v>16</v>
      </c>
    </row>
    <row r="3732" spans="1:8" ht="13.8" thickBot="1">
      <c r="A3732" s="465" t="s">
        <v>8977</v>
      </c>
      <c r="B3732" s="465" t="s">
        <v>2381</v>
      </c>
      <c r="C3732" s="466">
        <v>6.25</v>
      </c>
      <c r="D3732" s="465"/>
      <c r="E3732" s="466" t="s">
        <v>2289</v>
      </c>
      <c r="F3732" s="466" t="s">
        <v>1226</v>
      </c>
      <c r="G3732" s="465">
        <v>1</v>
      </c>
      <c r="H3732" s="465">
        <v>5</v>
      </c>
    </row>
    <row r="3733" spans="1:8" ht="13.8" thickBot="1">
      <c r="A3733" s="467" t="s">
        <v>8978</v>
      </c>
      <c r="B3733" s="465" t="s">
        <v>1726</v>
      </c>
      <c r="C3733" s="466">
        <v>6.25</v>
      </c>
      <c r="D3733" s="467" t="s">
        <v>614</v>
      </c>
      <c r="E3733" s="466" t="s">
        <v>2289</v>
      </c>
      <c r="F3733" s="466"/>
      <c r="G3733" s="465">
        <v>1</v>
      </c>
      <c r="H3733" s="465">
        <v>2</v>
      </c>
    </row>
    <row r="3734" spans="1:8" ht="13.8" thickBot="1">
      <c r="A3734" s="467" t="s">
        <v>8979</v>
      </c>
      <c r="B3734" s="465" t="s">
        <v>2382</v>
      </c>
      <c r="C3734" s="466">
        <v>6.25</v>
      </c>
      <c r="D3734" s="467" t="s">
        <v>614</v>
      </c>
      <c r="E3734" s="466" t="s">
        <v>2289</v>
      </c>
      <c r="F3734" s="466"/>
      <c r="G3734" s="465"/>
      <c r="H3734" s="465"/>
    </row>
    <row r="3735" spans="1:8" ht="13.8" thickBot="1">
      <c r="A3735" s="467" t="s">
        <v>9149</v>
      </c>
      <c r="B3735" s="465" t="s">
        <v>5281</v>
      </c>
      <c r="C3735" s="466">
        <v>6.25</v>
      </c>
      <c r="D3735" s="465"/>
      <c r="E3735" s="466" t="s">
        <v>5269</v>
      </c>
      <c r="F3735" s="466" t="s">
        <v>1251</v>
      </c>
      <c r="G3735" s="465"/>
      <c r="H3735" s="465">
        <v>5</v>
      </c>
    </row>
    <row r="3736" spans="1:8" ht="13.8" thickBot="1">
      <c r="A3736" s="465" t="s">
        <v>9150</v>
      </c>
      <c r="B3736" s="465" t="s">
        <v>5282</v>
      </c>
      <c r="C3736" s="466">
        <v>6.25</v>
      </c>
      <c r="D3736" s="467" t="s">
        <v>614</v>
      </c>
      <c r="E3736" s="466" t="s">
        <v>5269</v>
      </c>
      <c r="F3736" s="466" t="s">
        <v>1251</v>
      </c>
      <c r="G3736" s="465"/>
      <c r="H3736" s="465">
        <v>3</v>
      </c>
    </row>
    <row r="3737" spans="1:8" ht="13.8" thickBot="1">
      <c r="A3737" s="465" t="s">
        <v>9151</v>
      </c>
      <c r="B3737" s="465" t="s">
        <v>5272</v>
      </c>
      <c r="C3737" s="466">
        <v>6.25</v>
      </c>
      <c r="D3737" s="465"/>
      <c r="E3737" s="466" t="s">
        <v>5269</v>
      </c>
      <c r="F3737" s="466" t="s">
        <v>1226</v>
      </c>
      <c r="G3737" s="465"/>
      <c r="H3737" s="465">
        <v>2</v>
      </c>
    </row>
    <row r="3738" spans="1:8" ht="13.8" thickBot="1">
      <c r="A3738" s="467" t="s">
        <v>9152</v>
      </c>
      <c r="B3738" s="465" t="s">
        <v>5302</v>
      </c>
      <c r="C3738" s="466">
        <v>6.25</v>
      </c>
      <c r="D3738" s="465"/>
      <c r="E3738" s="466" t="s">
        <v>5286</v>
      </c>
      <c r="F3738" s="466" t="s">
        <v>1251</v>
      </c>
      <c r="G3738" s="465"/>
      <c r="H3738" s="465">
        <v>6</v>
      </c>
    </row>
    <row r="3739" spans="1:8" ht="13.8" thickBot="1">
      <c r="A3739" s="467" t="s">
        <v>9153</v>
      </c>
      <c r="B3739" s="465" t="s">
        <v>5303</v>
      </c>
      <c r="C3739" s="466">
        <v>6.25</v>
      </c>
      <c r="D3739" s="465"/>
      <c r="E3739" s="466" t="s">
        <v>5286</v>
      </c>
      <c r="F3739" s="466" t="s">
        <v>1226</v>
      </c>
      <c r="G3739" s="465"/>
      <c r="H3739" s="465">
        <v>5</v>
      </c>
    </row>
    <row r="3740" spans="1:8" ht="13.8" thickBot="1">
      <c r="A3740" s="465" t="s">
        <v>9154</v>
      </c>
      <c r="B3740" s="465" t="s">
        <v>5304</v>
      </c>
      <c r="C3740" s="466">
        <v>6.25</v>
      </c>
      <c r="D3740" s="465"/>
      <c r="E3740" s="466" t="s">
        <v>5286</v>
      </c>
      <c r="F3740" s="466" t="s">
        <v>1224</v>
      </c>
      <c r="G3740" s="465"/>
      <c r="H3740" s="465">
        <v>6</v>
      </c>
    </row>
    <row r="3741" spans="1:8" ht="13.8" thickBot="1">
      <c r="A3741" s="467" t="s">
        <v>9155</v>
      </c>
      <c r="B3741" s="465" t="s">
        <v>5305</v>
      </c>
      <c r="C3741" s="466">
        <v>6.25</v>
      </c>
      <c r="D3741" s="465"/>
      <c r="E3741" s="466" t="s">
        <v>5286</v>
      </c>
      <c r="F3741" s="466" t="s">
        <v>1224</v>
      </c>
      <c r="G3741" s="465"/>
      <c r="H3741" s="465">
        <v>1</v>
      </c>
    </row>
    <row r="3742" spans="1:8" ht="13.8" thickBot="1">
      <c r="A3742" s="467" t="s">
        <v>9156</v>
      </c>
      <c r="B3742" s="465" t="s">
        <v>5306</v>
      </c>
      <c r="C3742" s="466">
        <v>6.25</v>
      </c>
      <c r="D3742" s="467" t="s">
        <v>614</v>
      </c>
      <c r="E3742" s="466" t="s">
        <v>5286</v>
      </c>
      <c r="F3742" s="466"/>
      <c r="G3742" s="465"/>
      <c r="H3742" s="465">
        <v>1</v>
      </c>
    </row>
    <row r="3743" spans="1:8" ht="13.8" thickBot="1">
      <c r="A3743" s="467" t="s">
        <v>8980</v>
      </c>
      <c r="B3743" s="465" t="s">
        <v>2472</v>
      </c>
      <c r="C3743" s="466">
        <v>6.25</v>
      </c>
      <c r="D3743" s="465"/>
      <c r="E3743" s="466" t="s">
        <v>2449</v>
      </c>
      <c r="F3743" s="466" t="s">
        <v>1841</v>
      </c>
      <c r="G3743" s="465"/>
      <c r="H3743" s="465">
        <v>11</v>
      </c>
    </row>
    <row r="3744" spans="1:8" ht="13.8" thickBot="1">
      <c r="A3744" s="467" t="s">
        <v>8981</v>
      </c>
      <c r="B3744" s="465" t="s">
        <v>2473</v>
      </c>
      <c r="C3744" s="466">
        <v>6.25</v>
      </c>
      <c r="D3744" s="465"/>
      <c r="E3744" s="466" t="s">
        <v>2449</v>
      </c>
      <c r="F3744" s="466"/>
      <c r="G3744" s="465"/>
      <c r="H3744" s="465">
        <v>7</v>
      </c>
    </row>
    <row r="3745" spans="1:8" ht="13.8" thickBot="1">
      <c r="A3745" s="467" t="s">
        <v>8982</v>
      </c>
      <c r="B3745" s="465" t="s">
        <v>1300</v>
      </c>
      <c r="C3745" s="466">
        <v>6.25</v>
      </c>
      <c r="D3745" s="465"/>
      <c r="E3745" s="466" t="s">
        <v>2523</v>
      </c>
      <c r="F3745" s="466" t="s">
        <v>1251</v>
      </c>
      <c r="G3745" s="465">
        <v>1</v>
      </c>
      <c r="H3745" s="465">
        <v>5</v>
      </c>
    </row>
    <row r="3746" spans="1:8" ht="13.8" thickBot="1">
      <c r="A3746" s="467" t="s">
        <v>8983</v>
      </c>
      <c r="B3746" s="468" t="s">
        <v>2607</v>
      </c>
      <c r="C3746" s="466">
        <v>6.25</v>
      </c>
      <c r="D3746" s="465"/>
      <c r="E3746" s="466" t="s">
        <v>2523</v>
      </c>
      <c r="F3746" s="466" t="s">
        <v>1226</v>
      </c>
      <c r="G3746" s="465"/>
      <c r="H3746" s="465">
        <v>2</v>
      </c>
    </row>
    <row r="3747" spans="1:8" ht="13.8" thickBot="1">
      <c r="A3747" s="465" t="s">
        <v>8984</v>
      </c>
      <c r="B3747" s="465" t="s">
        <v>1302</v>
      </c>
      <c r="C3747" s="466">
        <v>6.25</v>
      </c>
      <c r="D3747" s="465"/>
      <c r="E3747" s="466" t="s">
        <v>2523</v>
      </c>
      <c r="F3747" s="466" t="s">
        <v>1226</v>
      </c>
      <c r="G3747" s="465"/>
      <c r="H3747" s="465">
        <v>4</v>
      </c>
    </row>
    <row r="3748" spans="1:8" ht="13.8" thickBot="1">
      <c r="A3748" s="467" t="s">
        <v>8985</v>
      </c>
      <c r="B3748" s="468" t="s">
        <v>2608</v>
      </c>
      <c r="C3748" s="466">
        <v>6.25</v>
      </c>
      <c r="D3748" s="465"/>
      <c r="E3748" s="466" t="s">
        <v>2523</v>
      </c>
      <c r="F3748" s="466" t="s">
        <v>1226</v>
      </c>
      <c r="G3748" s="465"/>
      <c r="H3748" s="465">
        <v>4</v>
      </c>
    </row>
    <row r="3749" spans="1:8" ht="13.8" thickBot="1">
      <c r="A3749" s="467" t="s">
        <v>8986</v>
      </c>
      <c r="B3749" s="465" t="s">
        <v>2609</v>
      </c>
      <c r="C3749" s="466">
        <v>6.25</v>
      </c>
      <c r="D3749" s="465"/>
      <c r="E3749" s="466" t="s">
        <v>2523</v>
      </c>
      <c r="F3749" s="466" t="s">
        <v>1226</v>
      </c>
      <c r="G3749" s="465"/>
      <c r="H3749" s="465">
        <v>3</v>
      </c>
    </row>
    <row r="3750" spans="1:8" ht="13.8" thickBot="1">
      <c r="A3750" s="465" t="s">
        <v>8987</v>
      </c>
      <c r="B3750" s="465" t="s">
        <v>2610</v>
      </c>
      <c r="C3750" s="466">
        <v>6.25</v>
      </c>
      <c r="D3750" s="465"/>
      <c r="E3750" s="466" t="s">
        <v>2523</v>
      </c>
      <c r="F3750" s="466" t="s">
        <v>1224</v>
      </c>
      <c r="G3750" s="465"/>
      <c r="H3750" s="465">
        <v>2</v>
      </c>
    </row>
    <row r="3751" spans="1:8" ht="13.8" thickBot="1">
      <c r="A3751" s="467" t="s">
        <v>8988</v>
      </c>
      <c r="B3751" s="465" t="s">
        <v>1300</v>
      </c>
      <c r="C3751" s="466">
        <v>6.25</v>
      </c>
      <c r="D3751" s="465"/>
      <c r="E3751" s="466" t="s">
        <v>2523</v>
      </c>
      <c r="F3751" s="466"/>
      <c r="G3751" s="465"/>
      <c r="H3751" s="465">
        <v>1</v>
      </c>
    </row>
    <row r="3752" spans="1:8" ht="13.8" thickBot="1">
      <c r="A3752" s="465" t="s">
        <v>8989</v>
      </c>
      <c r="B3752" s="465" t="s">
        <v>1300</v>
      </c>
      <c r="C3752" s="466">
        <v>6.25</v>
      </c>
      <c r="D3752" s="465"/>
      <c r="E3752" s="466" t="s">
        <v>2523</v>
      </c>
      <c r="F3752" s="466"/>
      <c r="G3752" s="465"/>
      <c r="H3752" s="465">
        <v>1</v>
      </c>
    </row>
    <row r="3753" spans="1:8" ht="13.8" thickBot="1">
      <c r="A3753" s="465" t="s">
        <v>8990</v>
      </c>
      <c r="B3753" s="465" t="s">
        <v>2611</v>
      </c>
      <c r="C3753" s="466">
        <v>6.25</v>
      </c>
      <c r="D3753" s="465"/>
      <c r="E3753" s="466" t="s">
        <v>2523</v>
      </c>
      <c r="F3753" s="466"/>
      <c r="G3753" s="465"/>
      <c r="H3753" s="465">
        <v>10</v>
      </c>
    </row>
    <row r="3754" spans="1:8" ht="13.8" thickBot="1">
      <c r="A3754" s="465" t="s">
        <v>8991</v>
      </c>
      <c r="B3754" s="465" t="s">
        <v>2612</v>
      </c>
      <c r="C3754" s="466">
        <v>6.25</v>
      </c>
      <c r="D3754" s="465"/>
      <c r="E3754" s="466" t="s">
        <v>2523</v>
      </c>
      <c r="F3754" s="466"/>
      <c r="G3754" s="465"/>
      <c r="H3754" s="465">
        <v>2</v>
      </c>
    </row>
    <row r="3755" spans="1:8" ht="13.8" thickBot="1">
      <c r="A3755" s="465" t="s">
        <v>8992</v>
      </c>
      <c r="B3755" s="465" t="s">
        <v>2725</v>
      </c>
      <c r="C3755" s="466">
        <v>6.25</v>
      </c>
      <c r="D3755" s="467" t="s">
        <v>614</v>
      </c>
      <c r="E3755" s="466" t="s">
        <v>2717</v>
      </c>
      <c r="F3755" s="466" t="s">
        <v>1226</v>
      </c>
      <c r="G3755" s="465"/>
      <c r="H3755" s="465">
        <v>2</v>
      </c>
    </row>
    <row r="3756" spans="1:8" ht="13.8" thickBot="1">
      <c r="A3756" s="465" t="s">
        <v>8993</v>
      </c>
      <c r="B3756" s="465" t="s">
        <v>2726</v>
      </c>
      <c r="C3756" s="466">
        <v>6.25</v>
      </c>
      <c r="D3756" s="467" t="s">
        <v>614</v>
      </c>
      <c r="E3756" s="466" t="s">
        <v>2717</v>
      </c>
      <c r="F3756" s="466"/>
      <c r="G3756" s="465"/>
      <c r="H3756" s="465">
        <v>3</v>
      </c>
    </row>
    <row r="3757" spans="1:8" ht="13.8" thickBot="1">
      <c r="A3757" s="465" t="s">
        <v>8994</v>
      </c>
      <c r="B3757" s="465" t="s">
        <v>2737</v>
      </c>
      <c r="C3757" s="466">
        <v>6.25</v>
      </c>
      <c r="D3757" s="467" t="s">
        <v>614</v>
      </c>
      <c r="E3757" s="466" t="s">
        <v>2733</v>
      </c>
      <c r="F3757" s="466" t="s">
        <v>1226</v>
      </c>
      <c r="G3757" s="465"/>
      <c r="H3757" s="465">
        <v>4</v>
      </c>
    </row>
    <row r="3758" spans="1:8" ht="13.8" thickBot="1">
      <c r="A3758" s="465" t="s">
        <v>1073</v>
      </c>
      <c r="B3758" s="465" t="s">
        <v>1940</v>
      </c>
      <c r="C3758" s="466">
        <v>6.25</v>
      </c>
      <c r="D3758" s="465"/>
      <c r="E3758" s="466" t="s">
        <v>1922</v>
      </c>
      <c r="F3758" s="466" t="s">
        <v>1229</v>
      </c>
      <c r="G3758" s="465">
        <v>1</v>
      </c>
      <c r="H3758" s="465">
        <v>15</v>
      </c>
    </row>
    <row r="3759" spans="1:8" ht="13.8" thickBot="1">
      <c r="A3759" s="467" t="s">
        <v>8949</v>
      </c>
      <c r="B3759" s="465" t="s">
        <v>1252</v>
      </c>
      <c r="C3759" s="466">
        <v>6.25</v>
      </c>
      <c r="D3759" s="465"/>
      <c r="E3759" s="466" t="s">
        <v>1922</v>
      </c>
      <c r="F3759" s="466" t="s">
        <v>1226</v>
      </c>
      <c r="G3759" s="465"/>
      <c r="H3759" s="465">
        <v>1</v>
      </c>
    </row>
    <row r="3760" spans="1:8" ht="13.8" thickBot="1">
      <c r="A3760" s="465" t="s">
        <v>1134</v>
      </c>
      <c r="B3760" s="465" t="s">
        <v>1941</v>
      </c>
      <c r="C3760" s="466">
        <v>6.25</v>
      </c>
      <c r="D3760" s="465"/>
      <c r="E3760" s="466" t="s">
        <v>1922</v>
      </c>
      <c r="F3760" s="466" t="s">
        <v>1226</v>
      </c>
      <c r="G3760" s="465"/>
      <c r="H3760" s="465">
        <v>1</v>
      </c>
    </row>
    <row r="3761" spans="1:8" ht="13.8" thickBot="1">
      <c r="A3761" s="467" t="s">
        <v>8950</v>
      </c>
      <c r="B3761" s="465" t="s">
        <v>1942</v>
      </c>
      <c r="C3761" s="466">
        <v>6.25</v>
      </c>
      <c r="D3761" s="465"/>
      <c r="E3761" s="466" t="s">
        <v>1922</v>
      </c>
      <c r="F3761" s="466" t="s">
        <v>1220</v>
      </c>
      <c r="G3761" s="465">
        <v>1</v>
      </c>
      <c r="H3761" s="465">
        <v>5</v>
      </c>
    </row>
    <row r="3762" spans="1:8" ht="13.8" thickBot="1">
      <c r="A3762" s="467" t="s">
        <v>8951</v>
      </c>
      <c r="B3762" s="465" t="s">
        <v>1252</v>
      </c>
      <c r="C3762" s="466">
        <v>6.25</v>
      </c>
      <c r="D3762" s="465"/>
      <c r="E3762" s="466" t="s">
        <v>1922</v>
      </c>
      <c r="F3762" s="466"/>
      <c r="G3762" s="465"/>
      <c r="H3762" s="465">
        <v>1</v>
      </c>
    </row>
    <row r="3763" spans="1:8" ht="13.8" thickBot="1">
      <c r="A3763" s="465" t="s">
        <v>8952</v>
      </c>
      <c r="B3763" s="465" t="s">
        <v>1943</v>
      </c>
      <c r="C3763" s="466">
        <v>6.25</v>
      </c>
      <c r="D3763" s="465"/>
      <c r="E3763" s="466" t="s">
        <v>1922</v>
      </c>
      <c r="F3763" s="466"/>
      <c r="G3763" s="465"/>
      <c r="H3763" s="465"/>
    </row>
    <row r="3764" spans="1:8" ht="13.8" thickBot="1">
      <c r="A3764" s="465" t="s">
        <v>8953</v>
      </c>
      <c r="B3764" s="465" t="s">
        <v>1944</v>
      </c>
      <c r="C3764" s="466">
        <v>6.25</v>
      </c>
      <c r="D3764" s="467" t="s">
        <v>614</v>
      </c>
      <c r="E3764" s="466" t="s">
        <v>1922</v>
      </c>
      <c r="F3764" s="466"/>
      <c r="G3764" s="465"/>
      <c r="H3764" s="465">
        <v>1</v>
      </c>
    </row>
    <row r="3765" spans="1:8" ht="13.8" thickBot="1">
      <c r="A3765" s="467" t="s">
        <v>8995</v>
      </c>
      <c r="B3765" s="465" t="s">
        <v>2788</v>
      </c>
      <c r="C3765" s="466">
        <v>6.25</v>
      </c>
      <c r="D3765" s="467" t="s">
        <v>2789</v>
      </c>
      <c r="E3765" s="466" t="s">
        <v>2779</v>
      </c>
      <c r="F3765" s="466" t="s">
        <v>1841</v>
      </c>
      <c r="G3765" s="465">
        <v>5</v>
      </c>
      <c r="H3765" s="465">
        <v>10</v>
      </c>
    </row>
    <row r="3766" spans="1:8" ht="13.8" thickBot="1">
      <c r="A3766" s="465" t="s">
        <v>8996</v>
      </c>
      <c r="B3766" s="465" t="s">
        <v>2814</v>
      </c>
      <c r="C3766" s="466">
        <v>6.25</v>
      </c>
      <c r="D3766" s="467" t="s">
        <v>614</v>
      </c>
      <c r="E3766" s="466" t="s">
        <v>2797</v>
      </c>
      <c r="F3766" s="466" t="s">
        <v>1229</v>
      </c>
      <c r="G3766" s="465"/>
      <c r="H3766" s="465">
        <v>10</v>
      </c>
    </row>
    <row r="3767" spans="1:8" ht="13.8" thickBot="1">
      <c r="A3767" s="465" t="s">
        <v>8997</v>
      </c>
      <c r="B3767" s="465" t="s">
        <v>1331</v>
      </c>
      <c r="C3767" s="466">
        <v>6.25</v>
      </c>
      <c r="D3767" s="465"/>
      <c r="E3767" s="466" t="s">
        <v>2797</v>
      </c>
      <c r="F3767" s="466" t="s">
        <v>1226</v>
      </c>
      <c r="G3767" s="465">
        <v>1</v>
      </c>
      <c r="H3767" s="465">
        <v>3</v>
      </c>
    </row>
    <row r="3768" spans="1:8" ht="13.8" thickBot="1">
      <c r="A3768" s="465" t="s">
        <v>8998</v>
      </c>
      <c r="B3768" s="465" t="s">
        <v>1331</v>
      </c>
      <c r="C3768" s="466">
        <v>6.25</v>
      </c>
      <c r="D3768" s="465"/>
      <c r="E3768" s="466" t="s">
        <v>2797</v>
      </c>
      <c r="F3768" s="466" t="s">
        <v>1226</v>
      </c>
      <c r="G3768" s="465"/>
      <c r="H3768" s="465">
        <v>1</v>
      </c>
    </row>
    <row r="3769" spans="1:8" ht="13.8" thickBot="1">
      <c r="A3769" s="465" t="s">
        <v>8999</v>
      </c>
      <c r="B3769" s="465" t="s">
        <v>2815</v>
      </c>
      <c r="C3769" s="466">
        <v>6.25</v>
      </c>
      <c r="D3769" s="467" t="s">
        <v>614</v>
      </c>
      <c r="E3769" s="466" t="s">
        <v>2797</v>
      </c>
      <c r="F3769" s="466" t="s">
        <v>1226</v>
      </c>
      <c r="G3769" s="465"/>
      <c r="H3769" s="465">
        <v>4</v>
      </c>
    </row>
    <row r="3770" spans="1:8" ht="13.8" thickBot="1">
      <c r="A3770" s="465" t="s">
        <v>9000</v>
      </c>
      <c r="B3770" s="465" t="s">
        <v>2816</v>
      </c>
      <c r="C3770" s="466">
        <v>6.25</v>
      </c>
      <c r="D3770" s="467" t="s">
        <v>614</v>
      </c>
      <c r="E3770" s="466" t="s">
        <v>2797</v>
      </c>
      <c r="F3770" s="466"/>
      <c r="G3770" s="465">
        <v>3</v>
      </c>
      <c r="H3770" s="465">
        <v>7</v>
      </c>
    </row>
    <row r="3771" spans="1:8" ht="13.8" thickBot="1">
      <c r="A3771" s="465" t="s">
        <v>9001</v>
      </c>
      <c r="B3771" s="465" t="s">
        <v>2862</v>
      </c>
      <c r="C3771" s="466">
        <v>6.25</v>
      </c>
      <c r="D3771" s="465"/>
      <c r="E3771" s="466" t="s">
        <v>2841</v>
      </c>
      <c r="F3771" s="466" t="s">
        <v>1229</v>
      </c>
      <c r="G3771" s="465">
        <v>1</v>
      </c>
      <c r="H3771" s="465">
        <v>11</v>
      </c>
    </row>
    <row r="3772" spans="1:8" ht="13.8" thickBot="1">
      <c r="A3772" s="465" t="s">
        <v>9002</v>
      </c>
      <c r="B3772" s="465" t="s">
        <v>1344</v>
      </c>
      <c r="C3772" s="466">
        <v>6.25</v>
      </c>
      <c r="D3772" s="465"/>
      <c r="E3772" s="466" t="s">
        <v>2841</v>
      </c>
      <c r="F3772" s="466" t="s">
        <v>1251</v>
      </c>
      <c r="G3772" s="465">
        <v>5</v>
      </c>
      <c r="H3772" s="465">
        <v>16</v>
      </c>
    </row>
    <row r="3773" spans="1:8" ht="13.8" thickBot="1">
      <c r="A3773" s="465" t="s">
        <v>9003</v>
      </c>
      <c r="B3773" s="465" t="s">
        <v>1340</v>
      </c>
      <c r="C3773" s="466">
        <v>6.25</v>
      </c>
      <c r="D3773" s="465"/>
      <c r="E3773" s="466" t="s">
        <v>2841</v>
      </c>
      <c r="F3773" s="466"/>
      <c r="G3773" s="465"/>
      <c r="H3773" s="465">
        <v>3</v>
      </c>
    </row>
    <row r="3774" spans="1:8" ht="13.8" thickBot="1">
      <c r="A3774" s="467" t="s">
        <v>9004</v>
      </c>
      <c r="B3774" s="465" t="s">
        <v>2886</v>
      </c>
      <c r="C3774" s="466">
        <v>6.25</v>
      </c>
      <c r="D3774" s="467" t="s">
        <v>614</v>
      </c>
      <c r="E3774" s="466" t="s">
        <v>2884</v>
      </c>
      <c r="F3774" s="466" t="s">
        <v>1229</v>
      </c>
      <c r="G3774" s="465">
        <v>1</v>
      </c>
      <c r="H3774" s="465">
        <v>18</v>
      </c>
    </row>
    <row r="3775" spans="1:8" ht="13.8" thickBot="1">
      <c r="A3775" s="467" t="s">
        <v>9005</v>
      </c>
      <c r="B3775" s="465" t="s">
        <v>1356</v>
      </c>
      <c r="C3775" s="466">
        <v>6.25</v>
      </c>
      <c r="D3775" s="465"/>
      <c r="E3775" s="466" t="s">
        <v>2899</v>
      </c>
      <c r="F3775" s="466"/>
      <c r="G3775" s="465">
        <v>1</v>
      </c>
      <c r="H3775" s="465">
        <v>2</v>
      </c>
    </row>
    <row r="3776" spans="1:8" ht="13.8" thickBot="1">
      <c r="A3776" s="465" t="s">
        <v>8954</v>
      </c>
      <c r="B3776" s="465" t="s">
        <v>2006</v>
      </c>
      <c r="C3776" s="466">
        <v>6.25</v>
      </c>
      <c r="D3776" s="465"/>
      <c r="E3776" s="466" t="s">
        <v>1997</v>
      </c>
      <c r="F3776" s="466" t="s">
        <v>1224</v>
      </c>
      <c r="G3776" s="465">
        <v>1</v>
      </c>
      <c r="H3776" s="465">
        <v>7</v>
      </c>
    </row>
    <row r="3777" spans="1:8" ht="13.8" thickBot="1">
      <c r="A3777" s="465" t="s">
        <v>9006</v>
      </c>
      <c r="B3777" s="465" t="s">
        <v>2923</v>
      </c>
      <c r="C3777" s="466">
        <v>6.25</v>
      </c>
      <c r="D3777" s="465"/>
      <c r="E3777" s="466" t="s">
        <v>2922</v>
      </c>
      <c r="F3777" s="466" t="s">
        <v>1226</v>
      </c>
      <c r="G3777" s="465">
        <v>1</v>
      </c>
      <c r="H3777" s="465">
        <v>7</v>
      </c>
    </row>
    <row r="3778" spans="1:8" ht="13.8" thickBot="1">
      <c r="A3778" s="465" t="s">
        <v>9007</v>
      </c>
      <c r="B3778" s="465" t="s">
        <v>2944</v>
      </c>
      <c r="C3778" s="466">
        <v>6.25</v>
      </c>
      <c r="D3778" s="465"/>
      <c r="E3778" s="466" t="s">
        <v>2943</v>
      </c>
      <c r="F3778" s="466" t="s">
        <v>2067</v>
      </c>
      <c r="G3778" s="465"/>
      <c r="H3778" s="465">
        <v>7</v>
      </c>
    </row>
    <row r="3779" spans="1:8" ht="13.8" thickBot="1">
      <c r="A3779" s="467" t="s">
        <v>9008</v>
      </c>
      <c r="B3779" s="465" t="s">
        <v>2945</v>
      </c>
      <c r="C3779" s="466">
        <v>6.25</v>
      </c>
      <c r="D3779" s="467" t="s">
        <v>614</v>
      </c>
      <c r="E3779" s="466" t="s">
        <v>2943</v>
      </c>
      <c r="F3779" s="466" t="s">
        <v>2067</v>
      </c>
      <c r="G3779" s="465">
        <v>1</v>
      </c>
      <c r="H3779" s="465">
        <v>4</v>
      </c>
    </row>
    <row r="3780" spans="1:8" ht="13.8" thickBot="1">
      <c r="A3780" s="467" t="s">
        <v>9009</v>
      </c>
      <c r="B3780" s="465" t="s">
        <v>1365</v>
      </c>
      <c r="C3780" s="466">
        <v>6.25</v>
      </c>
      <c r="D3780" s="465"/>
      <c r="E3780" s="466" t="s">
        <v>2943</v>
      </c>
      <c r="F3780" s="466"/>
      <c r="G3780" s="465"/>
      <c r="H3780" s="465"/>
    </row>
    <row r="3781" spans="1:8" ht="13.8" thickBot="1">
      <c r="A3781" s="467" t="s">
        <v>9010</v>
      </c>
      <c r="B3781" s="465" t="s">
        <v>1365</v>
      </c>
      <c r="C3781" s="466">
        <v>6.25</v>
      </c>
      <c r="D3781" s="465"/>
      <c r="E3781" s="466" t="s">
        <v>2943</v>
      </c>
      <c r="F3781" s="466"/>
      <c r="G3781" s="465"/>
      <c r="H3781" s="465"/>
    </row>
    <row r="3782" spans="1:8" ht="13.8" thickBot="1">
      <c r="A3782" s="467" t="s">
        <v>9011</v>
      </c>
      <c r="B3782" s="465" t="s">
        <v>1365</v>
      </c>
      <c r="C3782" s="466">
        <v>6.25</v>
      </c>
      <c r="D3782" s="465"/>
      <c r="E3782" s="466" t="s">
        <v>2943</v>
      </c>
      <c r="F3782" s="466"/>
      <c r="G3782" s="465"/>
      <c r="H3782" s="465"/>
    </row>
    <row r="3783" spans="1:8" ht="13.8" thickBot="1">
      <c r="A3783" s="465" t="s">
        <v>9012</v>
      </c>
      <c r="B3783" s="465" t="s">
        <v>2983</v>
      </c>
      <c r="C3783" s="466">
        <v>6.25</v>
      </c>
      <c r="D3783" s="465"/>
      <c r="E3783" s="466" t="s">
        <v>2957</v>
      </c>
      <c r="F3783" s="466" t="s">
        <v>2319</v>
      </c>
      <c r="G3783" s="465">
        <v>2</v>
      </c>
      <c r="H3783" s="465">
        <v>9</v>
      </c>
    </row>
    <row r="3784" spans="1:8" ht="13.8" thickBot="1">
      <c r="A3784" s="467" t="s">
        <v>9013</v>
      </c>
      <c r="B3784" s="465" t="s">
        <v>2984</v>
      </c>
      <c r="C3784" s="466">
        <v>6.25</v>
      </c>
      <c r="D3784" s="465"/>
      <c r="E3784" s="466" t="s">
        <v>2957</v>
      </c>
      <c r="F3784" s="466" t="s">
        <v>1251</v>
      </c>
      <c r="G3784" s="465">
        <v>1</v>
      </c>
      <c r="H3784" s="465">
        <v>10</v>
      </c>
    </row>
    <row r="3785" spans="1:8" ht="13.8" thickBot="1">
      <c r="A3785" s="465" t="s">
        <v>9014</v>
      </c>
      <c r="B3785" s="465" t="s">
        <v>1552</v>
      </c>
      <c r="C3785" s="466">
        <v>6.25</v>
      </c>
      <c r="D3785" s="465"/>
      <c r="E3785" s="466" t="s">
        <v>2957</v>
      </c>
      <c r="F3785" s="466" t="s">
        <v>1226</v>
      </c>
      <c r="G3785" s="465">
        <v>1</v>
      </c>
      <c r="H3785" s="465">
        <v>5</v>
      </c>
    </row>
    <row r="3786" spans="1:8" ht="13.8" thickBot="1">
      <c r="A3786" s="467" t="s">
        <v>9015</v>
      </c>
      <c r="B3786" s="465" t="s">
        <v>2985</v>
      </c>
      <c r="C3786" s="466">
        <v>6.25</v>
      </c>
      <c r="D3786" s="465" t="s">
        <v>1096</v>
      </c>
      <c r="E3786" s="466" t="s">
        <v>2957</v>
      </c>
      <c r="F3786" s="466" t="s">
        <v>1226</v>
      </c>
      <c r="G3786" s="465"/>
      <c r="H3786" s="465">
        <v>4</v>
      </c>
    </row>
    <row r="3787" spans="1:8" ht="13.8" thickBot="1">
      <c r="A3787" s="467" t="s">
        <v>9016</v>
      </c>
      <c r="B3787" s="465" t="s">
        <v>2986</v>
      </c>
      <c r="C3787" s="466">
        <v>6.25</v>
      </c>
      <c r="D3787" s="465"/>
      <c r="E3787" s="466" t="s">
        <v>2957</v>
      </c>
      <c r="F3787" s="466" t="s">
        <v>1226</v>
      </c>
      <c r="G3787" s="465"/>
      <c r="H3787" s="465">
        <v>4</v>
      </c>
    </row>
    <row r="3788" spans="1:8" ht="13.8" thickBot="1">
      <c r="A3788" s="465" t="s">
        <v>9017</v>
      </c>
      <c r="B3788" s="465" t="s">
        <v>2987</v>
      </c>
      <c r="C3788" s="466">
        <v>6.25</v>
      </c>
      <c r="D3788" s="465"/>
      <c r="E3788" s="466" t="s">
        <v>2957</v>
      </c>
      <c r="F3788" s="466" t="s">
        <v>1226</v>
      </c>
      <c r="G3788" s="465"/>
      <c r="H3788" s="465">
        <v>2</v>
      </c>
    </row>
    <row r="3789" spans="1:8" ht="13.8" thickBot="1">
      <c r="A3789" s="467" t="s">
        <v>9018</v>
      </c>
      <c r="B3789" s="465" t="s">
        <v>2988</v>
      </c>
      <c r="C3789" s="466">
        <v>6.25</v>
      </c>
      <c r="D3789" s="465" t="s">
        <v>2989</v>
      </c>
      <c r="E3789" s="466" t="s">
        <v>2957</v>
      </c>
      <c r="F3789" s="466" t="s">
        <v>1226</v>
      </c>
      <c r="G3789" s="465">
        <v>1</v>
      </c>
      <c r="H3789" s="465">
        <v>2</v>
      </c>
    </row>
    <row r="3790" spans="1:8" ht="13.8" thickBot="1">
      <c r="A3790" s="467" t="s">
        <v>9019</v>
      </c>
      <c r="B3790" s="465" t="s">
        <v>2990</v>
      </c>
      <c r="C3790" s="466">
        <v>6.25</v>
      </c>
      <c r="D3790" s="465"/>
      <c r="E3790" s="466" t="s">
        <v>2957</v>
      </c>
      <c r="F3790" s="466" t="s">
        <v>1226</v>
      </c>
      <c r="G3790" s="465">
        <v>2</v>
      </c>
      <c r="H3790" s="465">
        <v>9</v>
      </c>
    </row>
    <row r="3791" spans="1:8" ht="13.8" thickBot="1">
      <c r="A3791" s="465" t="s">
        <v>9020</v>
      </c>
      <c r="B3791" s="465" t="s">
        <v>2991</v>
      </c>
      <c r="C3791" s="466">
        <v>6.25</v>
      </c>
      <c r="D3791" s="465"/>
      <c r="E3791" s="466" t="s">
        <v>2957</v>
      </c>
      <c r="F3791" s="466" t="s">
        <v>1226</v>
      </c>
      <c r="G3791" s="465"/>
      <c r="H3791" s="465">
        <v>3</v>
      </c>
    </row>
    <row r="3792" spans="1:8" ht="13.8" thickBot="1">
      <c r="A3792" s="465" t="s">
        <v>9021</v>
      </c>
      <c r="B3792" s="468" t="s">
        <v>2992</v>
      </c>
      <c r="C3792" s="466">
        <v>6.25</v>
      </c>
      <c r="D3792" s="465"/>
      <c r="E3792" s="466" t="s">
        <v>2957</v>
      </c>
      <c r="F3792" s="466" t="s">
        <v>1226</v>
      </c>
      <c r="G3792" s="465"/>
      <c r="H3792" s="465">
        <v>3</v>
      </c>
    </row>
    <row r="3793" spans="1:8" ht="13.8" thickBot="1">
      <c r="A3793" s="467" t="s">
        <v>9022</v>
      </c>
      <c r="B3793" s="465" t="s">
        <v>1562</v>
      </c>
      <c r="C3793" s="466">
        <v>6.25</v>
      </c>
      <c r="D3793" s="465"/>
      <c r="E3793" s="466" t="s">
        <v>2957</v>
      </c>
      <c r="F3793" s="466" t="s">
        <v>1226</v>
      </c>
      <c r="G3793" s="465">
        <v>1</v>
      </c>
      <c r="H3793" s="465">
        <v>5</v>
      </c>
    </row>
    <row r="3794" spans="1:8" ht="13.8" thickBot="1">
      <c r="A3794" s="465" t="s">
        <v>9023</v>
      </c>
      <c r="B3794" s="465" t="s">
        <v>2993</v>
      </c>
      <c r="C3794" s="466">
        <v>6.25</v>
      </c>
      <c r="D3794" s="465"/>
      <c r="E3794" s="466" t="s">
        <v>2957</v>
      </c>
      <c r="F3794" s="466" t="s">
        <v>1226</v>
      </c>
      <c r="G3794" s="465">
        <v>1</v>
      </c>
      <c r="H3794" s="465">
        <v>7</v>
      </c>
    </row>
    <row r="3795" spans="1:8" ht="13.8" thickBot="1">
      <c r="A3795" s="465" t="s">
        <v>9024</v>
      </c>
      <c r="B3795" s="465" t="s">
        <v>1563</v>
      </c>
      <c r="C3795" s="466">
        <v>6.25</v>
      </c>
      <c r="D3795" s="465"/>
      <c r="E3795" s="466" t="s">
        <v>2957</v>
      </c>
      <c r="F3795" s="466" t="s">
        <v>1224</v>
      </c>
      <c r="G3795" s="465"/>
      <c r="H3795" s="465">
        <v>2</v>
      </c>
    </row>
    <row r="3796" spans="1:8" ht="13.8" thickBot="1">
      <c r="A3796" s="467" t="s">
        <v>9025</v>
      </c>
      <c r="B3796" s="465" t="s">
        <v>1552</v>
      </c>
      <c r="C3796" s="466">
        <v>6.25</v>
      </c>
      <c r="D3796" s="467" t="s">
        <v>614</v>
      </c>
      <c r="E3796" s="466" t="s">
        <v>2957</v>
      </c>
      <c r="F3796" s="466"/>
      <c r="G3796" s="465"/>
      <c r="H3796" s="465">
        <v>2</v>
      </c>
    </row>
    <row r="3797" spans="1:8" ht="13.8" thickBot="1">
      <c r="A3797" s="467" t="s">
        <v>9026</v>
      </c>
      <c r="B3797" s="465" t="s">
        <v>1562</v>
      </c>
      <c r="C3797" s="466">
        <v>6.25</v>
      </c>
      <c r="D3797" s="465"/>
      <c r="E3797" s="466" t="s">
        <v>2957</v>
      </c>
      <c r="F3797" s="466"/>
      <c r="G3797" s="465"/>
      <c r="H3797" s="465">
        <v>1</v>
      </c>
    </row>
    <row r="3798" spans="1:8" ht="13.8" thickBot="1">
      <c r="A3798" s="465" t="s">
        <v>9027</v>
      </c>
      <c r="B3798" s="465" t="s">
        <v>2981</v>
      </c>
      <c r="C3798" s="466">
        <v>6.25</v>
      </c>
      <c r="D3798" s="465"/>
      <c r="E3798" s="466" t="s">
        <v>2957</v>
      </c>
      <c r="F3798" s="466"/>
      <c r="G3798" s="465"/>
      <c r="H3798" s="465">
        <v>1</v>
      </c>
    </row>
    <row r="3799" spans="1:8" ht="13.8" thickBot="1">
      <c r="A3799" s="467" t="s">
        <v>9028</v>
      </c>
      <c r="B3799" s="465" t="s">
        <v>3098</v>
      </c>
      <c r="C3799" s="466">
        <v>6.25</v>
      </c>
      <c r="D3799" s="465"/>
      <c r="E3799" s="466" t="s">
        <v>3085</v>
      </c>
      <c r="F3799" s="466" t="s">
        <v>1251</v>
      </c>
      <c r="G3799" s="465"/>
      <c r="H3799" s="465">
        <v>10</v>
      </c>
    </row>
    <row r="3800" spans="1:8" ht="13.8" thickBot="1">
      <c r="A3800" s="467" t="s">
        <v>9029</v>
      </c>
      <c r="B3800" s="465" t="s">
        <v>3140</v>
      </c>
      <c r="C3800" s="466">
        <v>6.25</v>
      </c>
      <c r="D3800" s="467" t="s">
        <v>614</v>
      </c>
      <c r="E3800" s="466" t="s">
        <v>3130</v>
      </c>
      <c r="F3800" s="466" t="s">
        <v>1226</v>
      </c>
      <c r="G3800" s="465"/>
      <c r="H3800" s="465">
        <v>2</v>
      </c>
    </row>
    <row r="3801" spans="1:8" ht="13.8" thickBot="1">
      <c r="A3801" s="467" t="s">
        <v>9030</v>
      </c>
      <c r="B3801" s="465" t="s">
        <v>3141</v>
      </c>
      <c r="C3801" s="466">
        <v>6.25</v>
      </c>
      <c r="D3801" s="467" t="s">
        <v>614</v>
      </c>
      <c r="E3801" s="466" t="s">
        <v>3130</v>
      </c>
      <c r="F3801" s="466" t="s">
        <v>1226</v>
      </c>
      <c r="G3801" s="465"/>
      <c r="H3801" s="465">
        <v>4</v>
      </c>
    </row>
    <row r="3802" spans="1:8" ht="13.8" thickBot="1">
      <c r="A3802" s="465" t="s">
        <v>9031</v>
      </c>
      <c r="B3802" s="465" t="s">
        <v>3142</v>
      </c>
      <c r="C3802" s="466">
        <v>6.25</v>
      </c>
      <c r="D3802" s="465"/>
      <c r="E3802" s="466" t="s">
        <v>3130</v>
      </c>
      <c r="F3802" s="466" t="s">
        <v>1224</v>
      </c>
      <c r="G3802" s="465"/>
      <c r="H3802" s="465">
        <v>5</v>
      </c>
    </row>
    <row r="3803" spans="1:8" ht="13.8" thickBot="1">
      <c r="A3803" s="465" t="s">
        <v>9032</v>
      </c>
      <c r="B3803" s="465" t="s">
        <v>3208</v>
      </c>
      <c r="C3803" s="466">
        <v>6.25</v>
      </c>
      <c r="D3803" s="465"/>
      <c r="E3803" s="466" t="s">
        <v>3161</v>
      </c>
      <c r="F3803" s="466" t="s">
        <v>1226</v>
      </c>
      <c r="G3803" s="465">
        <v>1</v>
      </c>
      <c r="H3803" s="465">
        <v>2</v>
      </c>
    </row>
    <row r="3804" spans="1:8" ht="13.8" thickBot="1">
      <c r="A3804" s="465" t="s">
        <v>1171</v>
      </c>
      <c r="B3804" s="465" t="s">
        <v>3209</v>
      </c>
      <c r="C3804" s="466">
        <v>6.25</v>
      </c>
      <c r="D3804" s="467" t="s">
        <v>614</v>
      </c>
      <c r="E3804" s="466" t="s">
        <v>3161</v>
      </c>
      <c r="F3804" s="466" t="s">
        <v>1224</v>
      </c>
      <c r="G3804" s="465">
        <v>2</v>
      </c>
      <c r="H3804" s="465">
        <v>4</v>
      </c>
    </row>
    <row r="3805" spans="1:8" ht="13.8" thickBot="1">
      <c r="A3805" s="467" t="s">
        <v>9033</v>
      </c>
      <c r="B3805" s="465" t="s">
        <v>3210</v>
      </c>
      <c r="C3805" s="466">
        <v>6.25</v>
      </c>
      <c r="D3805" s="465"/>
      <c r="E3805" s="466" t="s">
        <v>3161</v>
      </c>
      <c r="F3805" s="466" t="s">
        <v>1224</v>
      </c>
      <c r="G3805" s="465">
        <v>2</v>
      </c>
      <c r="H3805" s="465">
        <v>5</v>
      </c>
    </row>
    <row r="3806" spans="1:8" ht="13.8" thickBot="1">
      <c r="A3806" s="465" t="s">
        <v>9034</v>
      </c>
      <c r="B3806" s="465" t="s">
        <v>1414</v>
      </c>
      <c r="C3806" s="466">
        <v>6.25</v>
      </c>
      <c r="D3806" s="467" t="s">
        <v>3211</v>
      </c>
      <c r="E3806" s="466" t="s">
        <v>3161</v>
      </c>
      <c r="F3806" s="466" t="s">
        <v>1936</v>
      </c>
      <c r="G3806" s="465">
        <v>2</v>
      </c>
      <c r="H3806" s="465">
        <v>6</v>
      </c>
    </row>
    <row r="3807" spans="1:8" ht="13.8" thickBot="1">
      <c r="A3807" s="465" t="s">
        <v>1192</v>
      </c>
      <c r="B3807" s="465" t="s">
        <v>3212</v>
      </c>
      <c r="C3807" s="466">
        <v>6.25</v>
      </c>
      <c r="D3807" s="467" t="s">
        <v>614</v>
      </c>
      <c r="E3807" s="466" t="s">
        <v>3161</v>
      </c>
      <c r="F3807" s="466"/>
      <c r="G3807" s="465">
        <v>1</v>
      </c>
      <c r="H3807" s="465">
        <v>1</v>
      </c>
    </row>
    <row r="3808" spans="1:8" ht="13.8" thickBot="1">
      <c r="A3808" s="465" t="s">
        <v>1166</v>
      </c>
      <c r="B3808" s="465" t="s">
        <v>3213</v>
      </c>
      <c r="C3808" s="466">
        <v>6.25</v>
      </c>
      <c r="D3808" s="465"/>
      <c r="E3808" s="466" t="s">
        <v>3161</v>
      </c>
      <c r="F3808" s="466"/>
      <c r="G3808" s="465"/>
      <c r="H3808" s="465"/>
    </row>
    <row r="3809" spans="1:8" ht="13.8" thickBot="1">
      <c r="A3809" s="467" t="s">
        <v>9035</v>
      </c>
      <c r="B3809" s="465" t="s">
        <v>3214</v>
      </c>
      <c r="C3809" s="466">
        <v>6.25</v>
      </c>
      <c r="D3809" s="467" t="s">
        <v>614</v>
      </c>
      <c r="E3809" s="466" t="s">
        <v>3161</v>
      </c>
      <c r="F3809" s="466"/>
      <c r="G3809" s="465">
        <v>1</v>
      </c>
      <c r="H3809" s="465">
        <v>2</v>
      </c>
    </row>
    <row r="3810" spans="1:8" ht="13.8" thickBot="1">
      <c r="A3810" s="467" t="s">
        <v>9036</v>
      </c>
      <c r="B3810" s="465" t="s">
        <v>3301</v>
      </c>
      <c r="C3810" s="466">
        <v>6.25</v>
      </c>
      <c r="D3810" s="467" t="s">
        <v>614</v>
      </c>
      <c r="E3810" s="466" t="s">
        <v>3285</v>
      </c>
      <c r="F3810" s="466" t="s">
        <v>1880</v>
      </c>
      <c r="G3810" s="465">
        <v>3</v>
      </c>
      <c r="H3810" s="465">
        <v>5</v>
      </c>
    </row>
    <row r="3811" spans="1:8" ht="13.8" thickBot="1">
      <c r="A3811" s="467" t="s">
        <v>9037</v>
      </c>
      <c r="B3811" s="465" t="s">
        <v>3302</v>
      </c>
      <c r="C3811" s="466">
        <v>6.25</v>
      </c>
      <c r="D3811" s="467" t="s">
        <v>614</v>
      </c>
      <c r="E3811" s="466" t="s">
        <v>3285</v>
      </c>
      <c r="F3811" s="466" t="s">
        <v>1226</v>
      </c>
      <c r="G3811" s="465">
        <v>1</v>
      </c>
      <c r="H3811" s="465">
        <v>3</v>
      </c>
    </row>
    <row r="3812" spans="1:8" ht="13.8" thickBot="1">
      <c r="A3812" s="467" t="s">
        <v>9038</v>
      </c>
      <c r="B3812" s="465" t="s">
        <v>3328</v>
      </c>
      <c r="C3812" s="466">
        <v>6.25</v>
      </c>
      <c r="D3812" s="467" t="s">
        <v>614</v>
      </c>
      <c r="E3812" s="466" t="s">
        <v>3315</v>
      </c>
      <c r="F3812" s="466" t="s">
        <v>1226</v>
      </c>
      <c r="G3812" s="465">
        <v>3</v>
      </c>
      <c r="H3812" s="465">
        <v>12</v>
      </c>
    </row>
    <row r="3813" spans="1:8" ht="13.8" thickBot="1">
      <c r="A3813" s="467" t="s">
        <v>9039</v>
      </c>
      <c r="B3813" s="465" t="s">
        <v>1432</v>
      </c>
      <c r="C3813" s="466">
        <v>6.25</v>
      </c>
      <c r="D3813" s="467" t="s">
        <v>614</v>
      </c>
      <c r="E3813" s="466" t="s">
        <v>3315</v>
      </c>
      <c r="F3813" s="466" t="s">
        <v>1863</v>
      </c>
      <c r="G3813" s="465">
        <v>2</v>
      </c>
      <c r="H3813" s="465">
        <v>5</v>
      </c>
    </row>
    <row r="3814" spans="1:8" ht="13.8" thickBot="1">
      <c r="A3814" s="465" t="s">
        <v>9040</v>
      </c>
      <c r="B3814" s="465" t="s">
        <v>3329</v>
      </c>
      <c r="C3814" s="466">
        <v>6.25</v>
      </c>
      <c r="D3814" s="467" t="s">
        <v>614</v>
      </c>
      <c r="E3814" s="466" t="s">
        <v>3315</v>
      </c>
      <c r="F3814" s="466" t="s">
        <v>1224</v>
      </c>
      <c r="G3814" s="465"/>
      <c r="H3814" s="465">
        <v>3</v>
      </c>
    </row>
    <row r="3815" spans="1:8" ht="13.8" thickBot="1">
      <c r="A3815" s="465" t="s">
        <v>9041</v>
      </c>
      <c r="B3815" s="465" t="s">
        <v>3330</v>
      </c>
      <c r="C3815" s="466">
        <v>6.25</v>
      </c>
      <c r="D3815" s="467" t="s">
        <v>614</v>
      </c>
      <c r="E3815" s="466" t="s">
        <v>3315</v>
      </c>
      <c r="F3815" s="466" t="s">
        <v>1224</v>
      </c>
      <c r="G3815" s="465">
        <v>1</v>
      </c>
      <c r="H3815" s="465">
        <v>2</v>
      </c>
    </row>
    <row r="3816" spans="1:8" ht="13.8" thickBot="1">
      <c r="A3816" s="465" t="s">
        <v>1082</v>
      </c>
      <c r="B3816" s="465" t="s">
        <v>2041</v>
      </c>
      <c r="C3816" s="466">
        <v>6.25</v>
      </c>
      <c r="D3816" s="467" t="s">
        <v>614</v>
      </c>
      <c r="E3816" s="466" t="s">
        <v>2032</v>
      </c>
      <c r="F3816" s="466" t="s">
        <v>1841</v>
      </c>
      <c r="G3816" s="465">
        <v>2</v>
      </c>
      <c r="H3816" s="465">
        <v>6</v>
      </c>
    </row>
    <row r="3817" spans="1:8" ht="13.8" thickBot="1">
      <c r="A3817" s="465" t="s">
        <v>1081</v>
      </c>
      <c r="B3817" s="465" t="s">
        <v>2042</v>
      </c>
      <c r="C3817" s="466">
        <v>6.25</v>
      </c>
      <c r="D3817" s="467" t="s">
        <v>2043</v>
      </c>
      <c r="E3817" s="466" t="s">
        <v>2032</v>
      </c>
      <c r="F3817" s="466" t="s">
        <v>1841</v>
      </c>
      <c r="G3817" s="465">
        <v>2</v>
      </c>
      <c r="H3817" s="465">
        <v>11</v>
      </c>
    </row>
    <row r="3818" spans="1:8" ht="13.8" thickBot="1">
      <c r="A3818" s="465" t="s">
        <v>8955</v>
      </c>
      <c r="B3818" s="468" t="s">
        <v>2044</v>
      </c>
      <c r="C3818" s="466">
        <v>6.25</v>
      </c>
      <c r="D3818" s="467" t="s">
        <v>614</v>
      </c>
      <c r="E3818" s="466" t="s">
        <v>2032</v>
      </c>
      <c r="F3818" s="466" t="s">
        <v>1226</v>
      </c>
      <c r="G3818" s="465"/>
      <c r="H3818" s="465">
        <v>4</v>
      </c>
    </row>
    <row r="3819" spans="1:8" ht="13.8" thickBot="1">
      <c r="A3819" s="467" t="s">
        <v>8956</v>
      </c>
      <c r="B3819" s="465" t="s">
        <v>2045</v>
      </c>
      <c r="C3819" s="466">
        <v>6.25</v>
      </c>
      <c r="D3819" s="465"/>
      <c r="E3819" s="466" t="s">
        <v>2032</v>
      </c>
      <c r="F3819" s="466" t="s">
        <v>1226</v>
      </c>
      <c r="G3819" s="465"/>
      <c r="H3819" s="465">
        <v>9</v>
      </c>
    </row>
    <row r="3820" spans="1:8" ht="13.8" thickBot="1">
      <c r="A3820" s="465" t="s">
        <v>8957</v>
      </c>
      <c r="B3820" s="465" t="s">
        <v>2046</v>
      </c>
      <c r="C3820" s="466">
        <v>6.25</v>
      </c>
      <c r="D3820" s="467" t="s">
        <v>2047</v>
      </c>
      <c r="E3820" s="466" t="s">
        <v>2032</v>
      </c>
      <c r="F3820" s="466" t="s">
        <v>1226</v>
      </c>
      <c r="G3820" s="465"/>
      <c r="H3820" s="465">
        <v>6</v>
      </c>
    </row>
    <row r="3821" spans="1:8" ht="13.8" thickBot="1">
      <c r="A3821" s="465" t="s">
        <v>8958</v>
      </c>
      <c r="B3821" s="465" t="s">
        <v>2048</v>
      </c>
      <c r="C3821" s="466">
        <v>6.25</v>
      </c>
      <c r="D3821" s="465"/>
      <c r="E3821" s="466" t="s">
        <v>2032</v>
      </c>
      <c r="F3821" s="466" t="s">
        <v>1226</v>
      </c>
      <c r="G3821" s="465"/>
      <c r="H3821" s="465">
        <v>2</v>
      </c>
    </row>
    <row r="3822" spans="1:8" ht="13.8" thickBot="1">
      <c r="A3822" s="465" t="s">
        <v>9042</v>
      </c>
      <c r="B3822" s="465" t="s">
        <v>3383</v>
      </c>
      <c r="C3822" s="466">
        <v>6.25</v>
      </c>
      <c r="D3822" s="465"/>
      <c r="E3822" s="466" t="s">
        <v>3351</v>
      </c>
      <c r="F3822" s="466" t="s">
        <v>1226</v>
      </c>
      <c r="G3822" s="465"/>
      <c r="H3822" s="465">
        <v>4</v>
      </c>
    </row>
    <row r="3823" spans="1:8" ht="13.8" thickBot="1">
      <c r="A3823" s="467" t="s">
        <v>9043</v>
      </c>
      <c r="B3823" s="465" t="s">
        <v>3451</v>
      </c>
      <c r="C3823" s="466">
        <v>6.25</v>
      </c>
      <c r="D3823" s="467" t="s">
        <v>614</v>
      </c>
      <c r="E3823" s="466" t="s">
        <v>3452</v>
      </c>
      <c r="F3823" s="466" t="s">
        <v>1226</v>
      </c>
      <c r="G3823" s="465">
        <v>1</v>
      </c>
      <c r="H3823" s="465">
        <v>4</v>
      </c>
    </row>
    <row r="3824" spans="1:8" ht="13.8" thickBot="1">
      <c r="A3824" s="467" t="s">
        <v>9044</v>
      </c>
      <c r="B3824" s="465" t="s">
        <v>3470</v>
      </c>
      <c r="C3824" s="466">
        <v>6.25</v>
      </c>
      <c r="D3824" s="467" t="s">
        <v>614</v>
      </c>
      <c r="E3824" s="466" t="s">
        <v>3452</v>
      </c>
      <c r="F3824" s="466" t="s">
        <v>1226</v>
      </c>
      <c r="G3824" s="465"/>
      <c r="H3824" s="465">
        <v>1</v>
      </c>
    </row>
    <row r="3825" spans="1:8" ht="13.8" thickBot="1">
      <c r="A3825" s="467" t="s">
        <v>9045</v>
      </c>
      <c r="B3825" s="465" t="s">
        <v>3471</v>
      </c>
      <c r="C3825" s="466">
        <v>6.25</v>
      </c>
      <c r="D3825" s="465"/>
      <c r="E3825" s="466" t="s">
        <v>3452</v>
      </c>
      <c r="F3825" s="466" t="s">
        <v>1226</v>
      </c>
      <c r="G3825" s="465"/>
      <c r="H3825" s="465">
        <v>2</v>
      </c>
    </row>
    <row r="3826" spans="1:8" ht="13.8" thickBot="1">
      <c r="A3826" s="465" t="s">
        <v>9046</v>
      </c>
      <c r="B3826" s="465" t="s">
        <v>3472</v>
      </c>
      <c r="C3826" s="466">
        <v>6.25</v>
      </c>
      <c r="D3826" s="467" t="s">
        <v>614</v>
      </c>
      <c r="E3826" s="466" t="s">
        <v>3452</v>
      </c>
      <c r="F3826" s="466"/>
      <c r="G3826" s="465"/>
      <c r="H3826" s="465">
        <v>1</v>
      </c>
    </row>
    <row r="3827" spans="1:8" ht="13.8" thickBot="1">
      <c r="A3827" s="465" t="s">
        <v>574</v>
      </c>
      <c r="B3827" s="465" t="s">
        <v>3473</v>
      </c>
      <c r="C3827" s="466">
        <v>6.25</v>
      </c>
      <c r="D3827" s="467" t="s">
        <v>614</v>
      </c>
      <c r="E3827" s="466" t="s">
        <v>3452</v>
      </c>
      <c r="F3827" s="466"/>
      <c r="G3827" s="465">
        <v>1</v>
      </c>
      <c r="H3827" s="465">
        <v>4</v>
      </c>
    </row>
    <row r="3828" spans="1:8" ht="13.8" thickBot="1">
      <c r="A3828" s="465" t="s">
        <v>9047</v>
      </c>
      <c r="B3828" s="465" t="s">
        <v>3565</v>
      </c>
      <c r="C3828" s="466">
        <v>6.25</v>
      </c>
      <c r="D3828" s="467" t="s">
        <v>614</v>
      </c>
      <c r="E3828" s="466" t="s">
        <v>3517</v>
      </c>
      <c r="F3828" s="466" t="s">
        <v>2319</v>
      </c>
      <c r="G3828" s="465">
        <v>1</v>
      </c>
      <c r="H3828" s="465">
        <v>14</v>
      </c>
    </row>
    <row r="3829" spans="1:8" ht="13.8" thickBot="1">
      <c r="A3829" s="465" t="s">
        <v>9048</v>
      </c>
      <c r="B3829" s="465" t="s">
        <v>3566</v>
      </c>
      <c r="C3829" s="466">
        <v>6.25</v>
      </c>
      <c r="D3829" s="467" t="s">
        <v>614</v>
      </c>
      <c r="E3829" s="466" t="s">
        <v>3517</v>
      </c>
      <c r="F3829" s="466" t="s">
        <v>2319</v>
      </c>
      <c r="G3829" s="465"/>
      <c r="H3829" s="465">
        <v>10</v>
      </c>
    </row>
    <row r="3830" spans="1:8" ht="13.8" thickBot="1">
      <c r="A3830" s="465" t="s">
        <v>9049</v>
      </c>
      <c r="B3830" s="465" t="s">
        <v>3567</v>
      </c>
      <c r="C3830" s="466">
        <v>6.25</v>
      </c>
      <c r="D3830" s="467" t="s">
        <v>3568</v>
      </c>
      <c r="E3830" s="466" t="s">
        <v>3517</v>
      </c>
      <c r="F3830" s="466" t="s">
        <v>1251</v>
      </c>
      <c r="G3830" s="465"/>
      <c r="H3830" s="465">
        <v>9</v>
      </c>
    </row>
    <row r="3831" spans="1:8" ht="13.8" thickBot="1">
      <c r="A3831" s="465" t="s">
        <v>9050</v>
      </c>
      <c r="B3831" s="465" t="s">
        <v>3569</v>
      </c>
      <c r="C3831" s="466">
        <v>6.25</v>
      </c>
      <c r="D3831" s="467" t="s">
        <v>614</v>
      </c>
      <c r="E3831" s="466" t="s">
        <v>3517</v>
      </c>
      <c r="F3831" s="466" t="s">
        <v>1251</v>
      </c>
      <c r="G3831" s="465"/>
      <c r="H3831" s="465">
        <v>5</v>
      </c>
    </row>
    <row r="3832" spans="1:8" ht="13.8" thickBot="1">
      <c r="A3832" s="465" t="s">
        <v>9051</v>
      </c>
      <c r="B3832" s="465" t="s">
        <v>3570</v>
      </c>
      <c r="C3832" s="466">
        <v>6.25</v>
      </c>
      <c r="D3832" s="467" t="s">
        <v>614</v>
      </c>
      <c r="E3832" s="466" t="s">
        <v>3517</v>
      </c>
      <c r="F3832" s="466" t="s">
        <v>1226</v>
      </c>
      <c r="G3832" s="465"/>
      <c r="H3832" s="465">
        <v>1</v>
      </c>
    </row>
    <row r="3833" spans="1:8" ht="13.8" thickBot="1">
      <c r="A3833" s="465" t="s">
        <v>9052</v>
      </c>
      <c r="B3833" s="465" t="s">
        <v>3571</v>
      </c>
      <c r="C3833" s="466">
        <v>6.25</v>
      </c>
      <c r="D3833" s="465" t="s">
        <v>3572</v>
      </c>
      <c r="E3833" s="466" t="s">
        <v>3517</v>
      </c>
      <c r="F3833" s="466" t="s">
        <v>1226</v>
      </c>
      <c r="G3833" s="465"/>
      <c r="H3833" s="465">
        <v>5</v>
      </c>
    </row>
    <row r="3834" spans="1:8" ht="13.8" thickBot="1">
      <c r="A3834" s="465" t="s">
        <v>9053</v>
      </c>
      <c r="B3834" s="465" t="s">
        <v>1458</v>
      </c>
      <c r="C3834" s="466">
        <v>6.25</v>
      </c>
      <c r="D3834" s="465"/>
      <c r="E3834" s="466" t="s">
        <v>3517</v>
      </c>
      <c r="F3834" s="466"/>
      <c r="G3834" s="465"/>
      <c r="H3834" s="465">
        <v>1</v>
      </c>
    </row>
    <row r="3835" spans="1:8" ht="13.8" thickBot="1">
      <c r="A3835" s="467" t="s">
        <v>9054</v>
      </c>
      <c r="B3835" s="465" t="s">
        <v>3573</v>
      </c>
      <c r="C3835" s="466">
        <v>6.25</v>
      </c>
      <c r="D3835" s="467" t="s">
        <v>614</v>
      </c>
      <c r="E3835" s="466" t="s">
        <v>3517</v>
      </c>
      <c r="F3835" s="466"/>
      <c r="G3835" s="465"/>
      <c r="H3835" s="465">
        <v>2</v>
      </c>
    </row>
    <row r="3836" spans="1:8" ht="13.8" thickBot="1">
      <c r="A3836" s="465" t="s">
        <v>9055</v>
      </c>
      <c r="B3836" s="465" t="s">
        <v>3533</v>
      </c>
      <c r="C3836" s="466">
        <v>6.25</v>
      </c>
      <c r="D3836" s="465"/>
      <c r="E3836" s="466" t="s">
        <v>3517</v>
      </c>
      <c r="F3836" s="466"/>
      <c r="G3836" s="465"/>
      <c r="H3836" s="465">
        <v>1</v>
      </c>
    </row>
    <row r="3837" spans="1:8" ht="13.8" thickBot="1">
      <c r="A3837" s="465" t="s">
        <v>9056</v>
      </c>
      <c r="B3837" s="465" t="s">
        <v>3647</v>
      </c>
      <c r="C3837" s="466">
        <v>6.25</v>
      </c>
      <c r="D3837" s="467" t="s">
        <v>614</v>
      </c>
      <c r="E3837" s="466" t="s">
        <v>3641</v>
      </c>
      <c r="F3837" s="466" t="s">
        <v>1251</v>
      </c>
      <c r="G3837" s="465"/>
      <c r="H3837" s="465">
        <v>13</v>
      </c>
    </row>
    <row r="3838" spans="1:8" ht="13.8" thickBot="1">
      <c r="A3838" s="467" t="s">
        <v>9057</v>
      </c>
      <c r="B3838" s="465" t="s">
        <v>3671</v>
      </c>
      <c r="C3838" s="466">
        <v>6.25</v>
      </c>
      <c r="D3838" s="465"/>
      <c r="E3838" s="466" t="s">
        <v>3652</v>
      </c>
      <c r="F3838" s="466" t="s">
        <v>1226</v>
      </c>
      <c r="G3838" s="465"/>
      <c r="H3838" s="465">
        <v>7</v>
      </c>
    </row>
    <row r="3839" spans="1:8" ht="13.8" thickBot="1">
      <c r="A3839" s="465" t="s">
        <v>9058</v>
      </c>
      <c r="B3839" s="465" t="s">
        <v>3672</v>
      </c>
      <c r="C3839" s="466">
        <v>6.25</v>
      </c>
      <c r="D3839" s="465"/>
      <c r="E3839" s="466" t="s">
        <v>3652</v>
      </c>
      <c r="F3839" s="466" t="s">
        <v>1224</v>
      </c>
      <c r="G3839" s="465"/>
      <c r="H3839" s="465">
        <v>3</v>
      </c>
    </row>
    <row r="3840" spans="1:8" ht="13.8" thickBot="1">
      <c r="A3840" s="467" t="s">
        <v>9059</v>
      </c>
      <c r="B3840" s="465" t="s">
        <v>3673</v>
      </c>
      <c r="C3840" s="466">
        <v>6.25</v>
      </c>
      <c r="D3840" s="465"/>
      <c r="E3840" s="466" t="s">
        <v>3652</v>
      </c>
      <c r="F3840" s="466" t="s">
        <v>1224</v>
      </c>
      <c r="G3840" s="465"/>
      <c r="H3840" s="465">
        <v>1</v>
      </c>
    </row>
    <row r="3841" spans="1:8" ht="13.8" thickBot="1">
      <c r="A3841" s="467" t="s">
        <v>9060</v>
      </c>
      <c r="B3841" s="465" t="s">
        <v>3674</v>
      </c>
      <c r="C3841" s="466">
        <v>6.25</v>
      </c>
      <c r="D3841" s="465"/>
      <c r="E3841" s="466" t="s">
        <v>3652</v>
      </c>
      <c r="F3841" s="466"/>
      <c r="G3841" s="465"/>
      <c r="H3841" s="465"/>
    </row>
    <row r="3842" spans="1:8" ht="13.8" thickBot="1">
      <c r="A3842" s="465" t="s">
        <v>9061</v>
      </c>
      <c r="B3842" s="465" t="s">
        <v>3675</v>
      </c>
      <c r="C3842" s="466">
        <v>6.25</v>
      </c>
      <c r="D3842" s="465"/>
      <c r="E3842" s="466" t="s">
        <v>3652</v>
      </c>
      <c r="F3842" s="466"/>
      <c r="G3842" s="465"/>
      <c r="H3842" s="465"/>
    </row>
    <row r="3843" spans="1:8" ht="13.8" thickBot="1">
      <c r="A3843" s="465" t="s">
        <v>8959</v>
      </c>
      <c r="B3843" s="465" t="s">
        <v>2095</v>
      </c>
      <c r="C3843" s="466">
        <v>6.25</v>
      </c>
      <c r="D3843" s="465"/>
      <c r="E3843" s="466" t="s">
        <v>2087</v>
      </c>
      <c r="F3843" s="466" t="s">
        <v>1251</v>
      </c>
      <c r="G3843" s="465"/>
      <c r="H3843" s="465">
        <v>8</v>
      </c>
    </row>
    <row r="3844" spans="1:8" ht="13.8" thickBot="1">
      <c r="A3844" s="465" t="s">
        <v>8960</v>
      </c>
      <c r="B3844" s="465" t="s">
        <v>2096</v>
      </c>
      <c r="C3844" s="466">
        <v>6.25</v>
      </c>
      <c r="D3844" s="465"/>
      <c r="E3844" s="466" t="s">
        <v>2087</v>
      </c>
      <c r="F3844" s="466"/>
      <c r="G3844" s="465"/>
      <c r="H3844" s="465"/>
    </row>
    <row r="3845" spans="1:8" ht="13.8" thickBot="1">
      <c r="A3845" s="467" t="s">
        <v>9062</v>
      </c>
      <c r="B3845" s="465" t="s">
        <v>3764</v>
      </c>
      <c r="C3845" s="466">
        <v>6.25</v>
      </c>
      <c r="D3845" s="465"/>
      <c r="E3845" s="466" t="s">
        <v>3734</v>
      </c>
      <c r="F3845" s="466" t="s">
        <v>1251</v>
      </c>
      <c r="G3845" s="465">
        <v>2</v>
      </c>
      <c r="H3845" s="465">
        <v>5</v>
      </c>
    </row>
    <row r="3846" spans="1:8" ht="13.8" thickBot="1">
      <c r="A3846" s="465" t="s">
        <v>1138</v>
      </c>
      <c r="B3846" s="465" t="s">
        <v>3765</v>
      </c>
      <c r="C3846" s="466">
        <v>6.25</v>
      </c>
      <c r="D3846" s="465" t="s">
        <v>3766</v>
      </c>
      <c r="E3846" s="466" t="s">
        <v>3734</v>
      </c>
      <c r="F3846" s="466" t="s">
        <v>1226</v>
      </c>
      <c r="G3846" s="465"/>
      <c r="H3846" s="465">
        <v>4</v>
      </c>
    </row>
    <row r="3847" spans="1:8" ht="13.8" thickBot="1">
      <c r="A3847" s="465" t="s">
        <v>9063</v>
      </c>
      <c r="B3847" s="465" t="s">
        <v>3823</v>
      </c>
      <c r="C3847" s="466">
        <v>6.25</v>
      </c>
      <c r="D3847" s="465"/>
      <c r="E3847" s="466" t="s">
        <v>3807</v>
      </c>
      <c r="F3847" s="466" t="s">
        <v>1224</v>
      </c>
      <c r="G3847" s="465">
        <v>1</v>
      </c>
      <c r="H3847" s="465">
        <v>6</v>
      </c>
    </row>
    <row r="3848" spans="1:8" ht="13.8" thickBot="1">
      <c r="A3848" s="465" t="s">
        <v>1115</v>
      </c>
      <c r="B3848" s="465" t="s">
        <v>3876</v>
      </c>
      <c r="C3848" s="466">
        <v>6.25</v>
      </c>
      <c r="D3848" s="465"/>
      <c r="E3848" s="466" t="s">
        <v>3856</v>
      </c>
      <c r="F3848" s="466" t="s">
        <v>1251</v>
      </c>
      <c r="G3848" s="465"/>
      <c r="H3848" s="465">
        <v>5</v>
      </c>
    </row>
    <row r="3849" spans="1:8" ht="13.8" thickBot="1">
      <c r="A3849" s="467" t="s">
        <v>9064</v>
      </c>
      <c r="B3849" s="465" t="s">
        <v>3877</v>
      </c>
      <c r="C3849" s="466">
        <v>6.25</v>
      </c>
      <c r="D3849" s="465"/>
      <c r="E3849" s="466" t="s">
        <v>3856</v>
      </c>
      <c r="F3849" s="466" t="s">
        <v>1841</v>
      </c>
      <c r="G3849" s="465">
        <v>1</v>
      </c>
      <c r="H3849" s="465">
        <v>3</v>
      </c>
    </row>
    <row r="3850" spans="1:8" ht="13.8" thickBot="1">
      <c r="A3850" s="467" t="s">
        <v>9065</v>
      </c>
      <c r="B3850" s="465" t="s">
        <v>3878</v>
      </c>
      <c r="C3850" s="466">
        <v>6.25</v>
      </c>
      <c r="D3850" s="467" t="s">
        <v>614</v>
      </c>
      <c r="E3850" s="466" t="s">
        <v>3856</v>
      </c>
      <c r="F3850" s="466" t="s">
        <v>1224</v>
      </c>
      <c r="G3850" s="465"/>
      <c r="H3850" s="465">
        <v>1</v>
      </c>
    </row>
    <row r="3851" spans="1:8" ht="13.8" thickBot="1">
      <c r="A3851" s="467" t="s">
        <v>9066</v>
      </c>
      <c r="B3851" s="465" t="s">
        <v>1507</v>
      </c>
      <c r="C3851" s="466">
        <v>6.25</v>
      </c>
      <c r="D3851" s="465"/>
      <c r="E3851" s="466" t="s">
        <v>3856</v>
      </c>
      <c r="F3851" s="466"/>
      <c r="G3851" s="465"/>
      <c r="H3851" s="465">
        <v>2</v>
      </c>
    </row>
    <row r="3852" spans="1:8" ht="13.8" thickBot="1">
      <c r="A3852" s="467" t="s">
        <v>9067</v>
      </c>
      <c r="B3852" s="465" t="s">
        <v>3913</v>
      </c>
      <c r="C3852" s="466">
        <v>6.25</v>
      </c>
      <c r="D3852" s="465"/>
      <c r="E3852" s="466" t="s">
        <v>3903</v>
      </c>
      <c r="F3852" s="466" t="s">
        <v>1251</v>
      </c>
      <c r="G3852" s="465"/>
      <c r="H3852" s="465">
        <v>9</v>
      </c>
    </row>
    <row r="3853" spans="1:8" ht="13.8" thickBot="1">
      <c r="A3853" s="465" t="s">
        <v>9068</v>
      </c>
      <c r="B3853" s="468" t="s">
        <v>3914</v>
      </c>
      <c r="C3853" s="466">
        <v>6.25</v>
      </c>
      <c r="D3853" s="465"/>
      <c r="E3853" s="466" t="s">
        <v>3903</v>
      </c>
      <c r="F3853" s="466" t="s">
        <v>1251</v>
      </c>
      <c r="G3853" s="465"/>
      <c r="H3853" s="465">
        <v>5</v>
      </c>
    </row>
    <row r="3854" spans="1:8" ht="13.8" thickBot="1">
      <c r="A3854" s="465" t="s">
        <v>1088</v>
      </c>
      <c r="B3854" s="465" t="s">
        <v>3934</v>
      </c>
      <c r="C3854" s="466">
        <v>6.25</v>
      </c>
      <c r="D3854" s="465"/>
      <c r="E3854" s="466" t="s">
        <v>3932</v>
      </c>
      <c r="F3854" s="466"/>
      <c r="G3854" s="465"/>
      <c r="H3854" s="465">
        <v>2</v>
      </c>
    </row>
    <row r="3855" spans="1:8" ht="13.8" thickBot="1">
      <c r="A3855" s="467" t="s">
        <v>9069</v>
      </c>
      <c r="B3855" s="465" t="s">
        <v>3979</v>
      </c>
      <c r="C3855" s="466">
        <v>6.25</v>
      </c>
      <c r="D3855" s="467" t="s">
        <v>614</v>
      </c>
      <c r="E3855" s="466" t="s">
        <v>3957</v>
      </c>
      <c r="F3855" s="466" t="s">
        <v>1226</v>
      </c>
      <c r="G3855" s="465"/>
      <c r="H3855" s="465">
        <v>5</v>
      </c>
    </row>
    <row r="3856" spans="1:8" ht="13.8" thickBot="1">
      <c r="A3856" s="465" t="s">
        <v>9070</v>
      </c>
      <c r="B3856" s="465" t="s">
        <v>1519</v>
      </c>
      <c r="C3856" s="466">
        <v>6.25</v>
      </c>
      <c r="D3856" s="465"/>
      <c r="E3856" s="466" t="s">
        <v>3957</v>
      </c>
      <c r="F3856" s="466"/>
      <c r="G3856" s="465"/>
      <c r="H3856" s="465">
        <v>1</v>
      </c>
    </row>
    <row r="3857" spans="1:8" ht="13.8" thickBot="1">
      <c r="A3857" s="467" t="s">
        <v>9071</v>
      </c>
      <c r="B3857" s="465" t="s">
        <v>4013</v>
      </c>
      <c r="C3857" s="466">
        <v>6.25</v>
      </c>
      <c r="D3857" s="467" t="s">
        <v>614</v>
      </c>
      <c r="E3857" s="466" t="s">
        <v>3996</v>
      </c>
      <c r="F3857" s="466" t="s">
        <v>1251</v>
      </c>
      <c r="G3857" s="465">
        <v>1</v>
      </c>
      <c r="H3857" s="465">
        <v>6</v>
      </c>
    </row>
    <row r="3858" spans="1:8" ht="13.8" thickBot="1">
      <c r="A3858" s="465" t="s">
        <v>9072</v>
      </c>
      <c r="B3858" s="465" t="s">
        <v>1525</v>
      </c>
      <c r="C3858" s="466">
        <v>6.25</v>
      </c>
      <c r="D3858" s="467" t="s">
        <v>614</v>
      </c>
      <c r="E3858" s="466" t="s">
        <v>3996</v>
      </c>
      <c r="F3858" s="466" t="s">
        <v>1226</v>
      </c>
      <c r="G3858" s="465">
        <v>1</v>
      </c>
      <c r="H3858" s="465">
        <v>2</v>
      </c>
    </row>
    <row r="3859" spans="1:8" ht="13.8" thickBot="1">
      <c r="A3859" s="467" t="s">
        <v>9073</v>
      </c>
      <c r="B3859" s="465" t="s">
        <v>4014</v>
      </c>
      <c r="C3859" s="466">
        <v>6.25</v>
      </c>
      <c r="D3859" s="465"/>
      <c r="E3859" s="466" t="s">
        <v>3996</v>
      </c>
      <c r="F3859" s="466"/>
      <c r="G3859" s="465"/>
      <c r="H3859" s="465"/>
    </row>
    <row r="3860" spans="1:8" ht="13.8" thickBot="1">
      <c r="A3860" s="465" t="s">
        <v>9074</v>
      </c>
      <c r="B3860" s="465" t="s">
        <v>4086</v>
      </c>
      <c r="C3860" s="466">
        <v>6.25</v>
      </c>
      <c r="D3860" s="465"/>
      <c r="E3860" s="466" t="s">
        <v>4067</v>
      </c>
      <c r="F3860" s="466" t="s">
        <v>1251</v>
      </c>
      <c r="G3860" s="465">
        <v>3</v>
      </c>
      <c r="H3860" s="465">
        <v>8</v>
      </c>
    </row>
    <row r="3861" spans="1:8" ht="13.8" thickBot="1">
      <c r="A3861" s="467" t="s">
        <v>9075</v>
      </c>
      <c r="B3861" s="465" t="s">
        <v>1537</v>
      </c>
      <c r="C3861" s="466">
        <v>6.25</v>
      </c>
      <c r="D3861" s="467" t="s">
        <v>614</v>
      </c>
      <c r="E3861" s="466" t="s">
        <v>4067</v>
      </c>
      <c r="F3861" s="466" t="s">
        <v>1224</v>
      </c>
      <c r="G3861" s="465"/>
      <c r="H3861" s="465">
        <v>2</v>
      </c>
    </row>
    <row r="3862" spans="1:8" ht="13.8" thickBot="1">
      <c r="A3862" s="467" t="s">
        <v>9076</v>
      </c>
      <c r="B3862" s="465" t="s">
        <v>4105</v>
      </c>
      <c r="C3862" s="466">
        <v>6.25</v>
      </c>
      <c r="D3862" s="465"/>
      <c r="E3862" s="466" t="s">
        <v>4102</v>
      </c>
      <c r="F3862" s="466" t="s">
        <v>2312</v>
      </c>
      <c r="G3862" s="465">
        <v>4</v>
      </c>
      <c r="H3862" s="465">
        <v>26</v>
      </c>
    </row>
    <row r="3863" spans="1:8" ht="13.8" thickBot="1">
      <c r="A3863" s="467" t="s">
        <v>9077</v>
      </c>
      <c r="B3863" s="465" t="s">
        <v>1550</v>
      </c>
      <c r="C3863" s="466">
        <v>6.25</v>
      </c>
      <c r="D3863" s="465"/>
      <c r="E3863" s="466" t="s">
        <v>4102</v>
      </c>
      <c r="F3863" s="466" t="s">
        <v>1841</v>
      </c>
      <c r="G3863" s="465">
        <v>2</v>
      </c>
      <c r="H3863" s="465">
        <v>11</v>
      </c>
    </row>
    <row r="3864" spans="1:8" ht="13.8" thickBot="1">
      <c r="A3864" s="465" t="s">
        <v>9078</v>
      </c>
      <c r="B3864" s="465" t="s">
        <v>4125</v>
      </c>
      <c r="C3864" s="466">
        <v>6.25</v>
      </c>
      <c r="D3864" s="465"/>
      <c r="E3864" s="466" t="s">
        <v>4121</v>
      </c>
      <c r="F3864" s="466"/>
      <c r="G3864" s="465"/>
      <c r="H3864" s="465">
        <v>1</v>
      </c>
    </row>
    <row r="3865" spans="1:8" ht="13.8" thickBot="1">
      <c r="A3865" s="465" t="s">
        <v>9079</v>
      </c>
      <c r="B3865" s="465" t="s">
        <v>4136</v>
      </c>
      <c r="C3865" s="466">
        <v>6.25</v>
      </c>
      <c r="D3865" s="465" t="s">
        <v>2419</v>
      </c>
      <c r="E3865" s="466" t="s">
        <v>4134</v>
      </c>
      <c r="F3865" s="466" t="s">
        <v>1226</v>
      </c>
      <c r="G3865" s="465"/>
      <c r="H3865" s="465">
        <v>1</v>
      </c>
    </row>
    <row r="3866" spans="1:8" ht="13.8" thickBot="1">
      <c r="A3866" s="467" t="s">
        <v>9080</v>
      </c>
      <c r="B3866" s="465" t="s">
        <v>4173</v>
      </c>
      <c r="C3866" s="466">
        <v>6.25</v>
      </c>
      <c r="D3866" s="465"/>
      <c r="E3866" s="466" t="s">
        <v>4160</v>
      </c>
      <c r="F3866" s="466" t="s">
        <v>1910</v>
      </c>
      <c r="G3866" s="465"/>
      <c r="H3866" s="465">
        <v>5</v>
      </c>
    </row>
    <row r="3867" spans="1:8" ht="13.8" thickBot="1">
      <c r="A3867" s="465" t="s">
        <v>9081</v>
      </c>
      <c r="B3867" s="465" t="s">
        <v>4174</v>
      </c>
      <c r="C3867" s="466">
        <v>6.25</v>
      </c>
      <c r="D3867" s="465"/>
      <c r="E3867" s="466" t="s">
        <v>4160</v>
      </c>
      <c r="F3867" s="466" t="s">
        <v>1226</v>
      </c>
      <c r="G3867" s="465"/>
      <c r="H3867" s="465">
        <v>8</v>
      </c>
    </row>
    <row r="3868" spans="1:8" ht="13.8" thickBot="1">
      <c r="A3868" s="465" t="s">
        <v>9082</v>
      </c>
      <c r="B3868" s="465" t="s">
        <v>4175</v>
      </c>
      <c r="C3868" s="466">
        <v>6.25</v>
      </c>
      <c r="D3868" s="465"/>
      <c r="E3868" s="466" t="s">
        <v>4160</v>
      </c>
      <c r="F3868" s="466" t="s">
        <v>1224</v>
      </c>
      <c r="G3868" s="465">
        <v>1</v>
      </c>
      <c r="H3868" s="465">
        <v>14</v>
      </c>
    </row>
    <row r="3869" spans="1:8" ht="13.8" thickBot="1">
      <c r="A3869" s="467" t="s">
        <v>9083</v>
      </c>
      <c r="B3869" s="465" t="s">
        <v>4260</v>
      </c>
      <c r="C3869" s="466">
        <v>6.25</v>
      </c>
      <c r="D3869" s="467" t="s">
        <v>4261</v>
      </c>
      <c r="E3869" s="466" t="s">
        <v>4214</v>
      </c>
      <c r="F3869" s="466" t="s">
        <v>1229</v>
      </c>
      <c r="G3869" s="465"/>
      <c r="H3869" s="465">
        <v>5</v>
      </c>
    </row>
    <row r="3870" spans="1:8" ht="13.8" thickBot="1">
      <c r="A3870" s="467" t="s">
        <v>9084</v>
      </c>
      <c r="B3870" s="465" t="s">
        <v>4262</v>
      </c>
      <c r="C3870" s="466">
        <v>6.25</v>
      </c>
      <c r="D3870" s="465"/>
      <c r="E3870" s="466" t="s">
        <v>4214</v>
      </c>
      <c r="F3870" s="466" t="s">
        <v>1251</v>
      </c>
      <c r="G3870" s="465">
        <v>2</v>
      </c>
      <c r="H3870" s="465">
        <v>15</v>
      </c>
    </row>
    <row r="3871" spans="1:8" ht="13.8" thickBot="1">
      <c r="A3871" s="467" t="s">
        <v>9085</v>
      </c>
      <c r="B3871" s="465" t="s">
        <v>4263</v>
      </c>
      <c r="C3871" s="466">
        <v>6.25</v>
      </c>
      <c r="D3871" s="465"/>
      <c r="E3871" s="466" t="s">
        <v>4214</v>
      </c>
      <c r="F3871" s="466" t="s">
        <v>1251</v>
      </c>
      <c r="G3871" s="465"/>
      <c r="H3871" s="465">
        <v>2</v>
      </c>
    </row>
    <row r="3872" spans="1:8" ht="13.8" thickBot="1">
      <c r="A3872" s="465" t="s">
        <v>9086</v>
      </c>
      <c r="B3872" s="465" t="s">
        <v>4264</v>
      </c>
      <c r="C3872" s="466">
        <v>6.25</v>
      </c>
      <c r="D3872" s="465"/>
      <c r="E3872" s="466" t="s">
        <v>4214</v>
      </c>
      <c r="F3872" s="466" t="s">
        <v>1251</v>
      </c>
      <c r="G3872" s="465"/>
      <c r="H3872" s="465">
        <v>2</v>
      </c>
    </row>
    <row r="3873" spans="1:8" ht="13.8" thickBot="1">
      <c r="A3873" s="465" t="s">
        <v>9087</v>
      </c>
      <c r="B3873" s="465" t="s">
        <v>4265</v>
      </c>
      <c r="C3873" s="466">
        <v>6.25</v>
      </c>
      <c r="D3873" s="465"/>
      <c r="E3873" s="466" t="s">
        <v>4214</v>
      </c>
      <c r="F3873" s="466" t="s">
        <v>1226</v>
      </c>
      <c r="G3873" s="465"/>
      <c r="H3873" s="465">
        <v>2</v>
      </c>
    </row>
    <row r="3874" spans="1:8" ht="13.8" thickBot="1">
      <c r="A3874" s="465" t="s">
        <v>9088</v>
      </c>
      <c r="B3874" s="465" t="s">
        <v>1607</v>
      </c>
      <c r="C3874" s="466">
        <v>6.25</v>
      </c>
      <c r="D3874" s="465"/>
      <c r="E3874" s="466" t="s">
        <v>4214</v>
      </c>
      <c r="F3874" s="466"/>
      <c r="G3874" s="465">
        <v>1</v>
      </c>
      <c r="H3874" s="465">
        <v>1</v>
      </c>
    </row>
    <row r="3875" spans="1:8" ht="13.8" thickBot="1">
      <c r="A3875" s="465" t="s">
        <v>9089</v>
      </c>
      <c r="B3875" s="465" t="s">
        <v>4266</v>
      </c>
      <c r="C3875" s="466">
        <v>6.25</v>
      </c>
      <c r="D3875" s="465"/>
      <c r="E3875" s="466" t="s">
        <v>4214</v>
      </c>
      <c r="F3875" s="466"/>
      <c r="G3875" s="465">
        <v>1</v>
      </c>
      <c r="H3875" s="465">
        <v>3</v>
      </c>
    </row>
    <row r="3876" spans="1:8" ht="13.8" thickBot="1">
      <c r="A3876" s="467" t="s">
        <v>8961</v>
      </c>
      <c r="B3876" s="465" t="s">
        <v>2137</v>
      </c>
      <c r="C3876" s="466">
        <v>6.25</v>
      </c>
      <c r="D3876" s="465"/>
      <c r="E3876" s="466" t="s">
        <v>2123</v>
      </c>
      <c r="F3876" s="466"/>
      <c r="G3876" s="465"/>
      <c r="H3876" s="465"/>
    </row>
    <row r="3877" spans="1:8" ht="13.8" thickBot="1">
      <c r="A3877" s="467" t="s">
        <v>9090</v>
      </c>
      <c r="B3877" s="465" t="s">
        <v>4366</v>
      </c>
      <c r="C3877" s="466">
        <v>6.25</v>
      </c>
      <c r="D3877" s="465"/>
      <c r="E3877" s="466" t="s">
        <v>4364</v>
      </c>
      <c r="F3877" s="466" t="s">
        <v>1251</v>
      </c>
      <c r="G3877" s="465"/>
      <c r="H3877" s="465">
        <v>3</v>
      </c>
    </row>
    <row r="3878" spans="1:8" ht="13.8" thickBot="1">
      <c r="A3878" s="467" t="s">
        <v>9091</v>
      </c>
      <c r="B3878" s="465" t="s">
        <v>4365</v>
      </c>
      <c r="C3878" s="466">
        <v>6.25</v>
      </c>
      <c r="D3878" s="465"/>
      <c r="E3878" s="466" t="s">
        <v>4364</v>
      </c>
      <c r="F3878" s="466"/>
      <c r="G3878" s="465"/>
      <c r="H3878" s="465">
        <v>1</v>
      </c>
    </row>
    <row r="3879" spans="1:8" ht="13.8" thickBot="1">
      <c r="A3879" s="465" t="s">
        <v>9092</v>
      </c>
      <c r="B3879" s="465" t="s">
        <v>4411</v>
      </c>
      <c r="C3879" s="466">
        <v>6.25</v>
      </c>
      <c r="D3879" s="465"/>
      <c r="E3879" s="466" t="s">
        <v>4403</v>
      </c>
      <c r="F3879" s="466"/>
      <c r="G3879" s="465"/>
      <c r="H3879" s="465"/>
    </row>
    <row r="3880" spans="1:8" ht="13.8" thickBot="1">
      <c r="A3880" s="465" t="s">
        <v>9093</v>
      </c>
      <c r="B3880" s="465" t="s">
        <v>1666</v>
      </c>
      <c r="C3880" s="466">
        <v>6.25</v>
      </c>
      <c r="D3880" s="465"/>
      <c r="E3880" s="466" t="s">
        <v>4425</v>
      </c>
      <c r="F3880" s="466"/>
      <c r="G3880" s="465"/>
      <c r="H3880" s="465"/>
    </row>
    <row r="3881" spans="1:8" ht="13.8" thickBot="1">
      <c r="A3881" s="467" t="s">
        <v>9094</v>
      </c>
      <c r="B3881" s="465" t="s">
        <v>4457</v>
      </c>
      <c r="C3881" s="466">
        <v>6.25</v>
      </c>
      <c r="D3881" s="465"/>
      <c r="E3881" s="466" t="s">
        <v>4438</v>
      </c>
      <c r="F3881" s="466" t="s">
        <v>1841</v>
      </c>
      <c r="G3881" s="465"/>
      <c r="H3881" s="465">
        <v>4</v>
      </c>
    </row>
    <row r="3882" spans="1:8" ht="13.8" thickBot="1">
      <c r="A3882" s="465" t="s">
        <v>9095</v>
      </c>
      <c r="B3882" s="465" t="s">
        <v>4458</v>
      </c>
      <c r="C3882" s="466">
        <v>6.25</v>
      </c>
      <c r="D3882" s="467" t="s">
        <v>614</v>
      </c>
      <c r="E3882" s="466" t="s">
        <v>4438</v>
      </c>
      <c r="F3882" s="466"/>
      <c r="G3882" s="465"/>
      <c r="H3882" s="465">
        <v>4</v>
      </c>
    </row>
    <row r="3883" spans="1:8" ht="13.8" thickBot="1">
      <c r="A3883" s="465" t="s">
        <v>9096</v>
      </c>
      <c r="B3883" s="465" t="s">
        <v>4459</v>
      </c>
      <c r="C3883" s="466">
        <v>6.25</v>
      </c>
      <c r="D3883" s="465"/>
      <c r="E3883" s="466" t="s">
        <v>4438</v>
      </c>
      <c r="F3883" s="466"/>
      <c r="G3883" s="465"/>
      <c r="H3883" s="465"/>
    </row>
    <row r="3884" spans="1:8" ht="13.8" thickBot="1">
      <c r="A3884" s="465" t="s">
        <v>9097</v>
      </c>
      <c r="B3884" s="465" t="s">
        <v>1647</v>
      </c>
      <c r="C3884" s="466">
        <v>6.25</v>
      </c>
      <c r="D3884" s="465"/>
      <c r="E3884" s="466" t="s">
        <v>4509</v>
      </c>
      <c r="F3884" s="466"/>
      <c r="G3884" s="465"/>
      <c r="H3884" s="465"/>
    </row>
    <row r="3885" spans="1:8" ht="13.8" thickBot="1">
      <c r="A3885" s="465" t="s">
        <v>9098</v>
      </c>
      <c r="B3885" s="465" t="s">
        <v>4515</v>
      </c>
      <c r="C3885" s="466">
        <v>6.25</v>
      </c>
      <c r="D3885" s="465"/>
      <c r="E3885" s="466" t="s">
        <v>4509</v>
      </c>
      <c r="F3885" s="466"/>
      <c r="G3885" s="465"/>
      <c r="H3885" s="465"/>
    </row>
    <row r="3886" spans="1:8" ht="13.8" thickBot="1">
      <c r="A3886" s="465" t="s">
        <v>9099</v>
      </c>
      <c r="B3886" s="465" t="s">
        <v>4549</v>
      </c>
      <c r="C3886" s="466">
        <v>6.25</v>
      </c>
      <c r="D3886" s="467" t="s">
        <v>614</v>
      </c>
      <c r="E3886" s="466" t="s">
        <v>4536</v>
      </c>
      <c r="F3886" s="466" t="s">
        <v>1251</v>
      </c>
      <c r="G3886" s="465"/>
      <c r="H3886" s="465">
        <v>16</v>
      </c>
    </row>
    <row r="3887" spans="1:8" ht="13.8" thickBot="1">
      <c r="A3887" s="467" t="s">
        <v>9100</v>
      </c>
      <c r="B3887" s="465" t="s">
        <v>4569</v>
      </c>
      <c r="C3887" s="466">
        <v>6.25</v>
      </c>
      <c r="D3887" s="465"/>
      <c r="E3887" s="466" t="s">
        <v>4557</v>
      </c>
      <c r="F3887" s="466" t="s">
        <v>1224</v>
      </c>
      <c r="G3887" s="465">
        <v>1</v>
      </c>
      <c r="H3887" s="465">
        <v>3</v>
      </c>
    </row>
    <row r="3888" spans="1:8" ht="13.8" thickBot="1">
      <c r="A3888" s="467" t="s">
        <v>9101</v>
      </c>
      <c r="B3888" s="465" t="s">
        <v>4563</v>
      </c>
      <c r="C3888" s="466">
        <v>6.25</v>
      </c>
      <c r="D3888" s="465"/>
      <c r="E3888" s="466" t="s">
        <v>4557</v>
      </c>
      <c r="F3888" s="466"/>
      <c r="G3888" s="465"/>
      <c r="H3888" s="465"/>
    </row>
    <row r="3889" spans="1:8" ht="13.8" thickBot="1">
      <c r="A3889" s="467" t="s">
        <v>9102</v>
      </c>
      <c r="B3889" s="465" t="s">
        <v>4563</v>
      </c>
      <c r="C3889" s="466">
        <v>6.25</v>
      </c>
      <c r="D3889" s="465"/>
      <c r="E3889" s="466" t="s">
        <v>4557</v>
      </c>
      <c r="F3889" s="466"/>
      <c r="G3889" s="465"/>
      <c r="H3889" s="465"/>
    </row>
    <row r="3890" spans="1:8" ht="13.8" thickBot="1">
      <c r="A3890" s="467" t="s">
        <v>9103</v>
      </c>
      <c r="B3890" s="465" t="s">
        <v>4570</v>
      </c>
      <c r="C3890" s="466">
        <v>6.25</v>
      </c>
      <c r="D3890" s="465"/>
      <c r="E3890" s="466" t="s">
        <v>4557</v>
      </c>
      <c r="F3890" s="466"/>
      <c r="G3890" s="465"/>
      <c r="H3890" s="465"/>
    </row>
    <row r="3891" spans="1:8" ht="13.8" thickBot="1">
      <c r="A3891" s="465" t="s">
        <v>9104</v>
      </c>
      <c r="B3891" s="465" t="s">
        <v>4571</v>
      </c>
      <c r="C3891" s="466">
        <v>6.25</v>
      </c>
      <c r="D3891" s="465"/>
      <c r="E3891" s="466" t="s">
        <v>4557</v>
      </c>
      <c r="F3891" s="466"/>
      <c r="G3891" s="465"/>
      <c r="H3891" s="465"/>
    </row>
    <row r="3892" spans="1:8" ht="13.8" thickBot="1">
      <c r="A3892" s="465" t="s">
        <v>8962</v>
      </c>
      <c r="B3892" s="465" t="s">
        <v>2174</v>
      </c>
      <c r="C3892" s="466">
        <v>6.25</v>
      </c>
      <c r="D3892" s="467" t="s">
        <v>614</v>
      </c>
      <c r="E3892" s="466" t="s">
        <v>2152</v>
      </c>
      <c r="F3892" s="466" t="s">
        <v>1251</v>
      </c>
      <c r="G3892" s="465">
        <v>2</v>
      </c>
      <c r="H3892" s="465">
        <v>11</v>
      </c>
    </row>
    <row r="3893" spans="1:8" ht="13.8" thickBot="1">
      <c r="A3893" s="465" t="s">
        <v>8963</v>
      </c>
      <c r="B3893" s="465" t="s">
        <v>2175</v>
      </c>
      <c r="C3893" s="466">
        <v>6.25</v>
      </c>
      <c r="D3893" s="465"/>
      <c r="E3893" s="466" t="s">
        <v>2152</v>
      </c>
      <c r="F3893" s="466"/>
      <c r="G3893" s="465"/>
      <c r="H3893" s="465">
        <v>1</v>
      </c>
    </row>
    <row r="3894" spans="1:8" ht="13.8" thickBot="1">
      <c r="A3894" s="465" t="s">
        <v>8964</v>
      </c>
      <c r="B3894" s="465" t="s">
        <v>1276</v>
      </c>
      <c r="C3894" s="466">
        <v>6.25</v>
      </c>
      <c r="D3894" s="465"/>
      <c r="E3894" s="466" t="s">
        <v>2152</v>
      </c>
      <c r="F3894" s="466"/>
      <c r="G3894" s="465"/>
      <c r="H3894" s="465">
        <v>3</v>
      </c>
    </row>
    <row r="3895" spans="1:8" ht="13.8" thickBot="1">
      <c r="A3895" s="465" t="s">
        <v>9105</v>
      </c>
      <c r="B3895" s="465" t="s">
        <v>1678</v>
      </c>
      <c r="C3895" s="466">
        <v>6.25</v>
      </c>
      <c r="D3895" s="465"/>
      <c r="E3895" s="466" t="s">
        <v>4644</v>
      </c>
      <c r="F3895" s="466"/>
      <c r="G3895" s="465">
        <v>1</v>
      </c>
      <c r="H3895" s="465">
        <v>3</v>
      </c>
    </row>
    <row r="3896" spans="1:8" ht="13.8" thickBot="1">
      <c r="A3896" s="465" t="s">
        <v>9106</v>
      </c>
      <c r="B3896" s="465" t="s">
        <v>1678</v>
      </c>
      <c r="C3896" s="466">
        <v>6.25</v>
      </c>
      <c r="D3896" s="465"/>
      <c r="E3896" s="466" t="s">
        <v>4644</v>
      </c>
      <c r="F3896" s="466"/>
      <c r="G3896" s="465"/>
      <c r="H3896" s="465"/>
    </row>
    <row r="3897" spans="1:8" ht="13.8" thickBot="1">
      <c r="A3897" s="465" t="s">
        <v>9107</v>
      </c>
      <c r="B3897" s="465" t="s">
        <v>1694</v>
      </c>
      <c r="C3897" s="466">
        <v>6.25</v>
      </c>
      <c r="D3897" s="465"/>
      <c r="E3897" s="466" t="s">
        <v>4644</v>
      </c>
      <c r="F3897" s="466"/>
      <c r="G3897" s="465">
        <v>1</v>
      </c>
      <c r="H3897" s="465">
        <v>4</v>
      </c>
    </row>
    <row r="3898" spans="1:8" ht="13.8" thickBot="1">
      <c r="A3898" s="465" t="s">
        <v>9108</v>
      </c>
      <c r="B3898" s="465" t="s">
        <v>4712</v>
      </c>
      <c r="C3898" s="466">
        <v>6.25</v>
      </c>
      <c r="D3898" s="467" t="s">
        <v>614</v>
      </c>
      <c r="E3898" s="466" t="s">
        <v>4709</v>
      </c>
      <c r="F3898" s="466"/>
      <c r="G3898" s="465"/>
      <c r="H3898" s="465">
        <v>2</v>
      </c>
    </row>
    <row r="3899" spans="1:8" ht="13.8" thickBot="1">
      <c r="A3899" s="465" t="s">
        <v>9109</v>
      </c>
      <c r="B3899" s="465" t="s">
        <v>4736</v>
      </c>
      <c r="C3899" s="466">
        <v>6.25</v>
      </c>
      <c r="D3899" s="467" t="s">
        <v>4737</v>
      </c>
      <c r="E3899" s="466" t="s">
        <v>4717</v>
      </c>
      <c r="F3899" s="466" t="s">
        <v>2312</v>
      </c>
      <c r="G3899" s="465">
        <v>1</v>
      </c>
      <c r="H3899" s="465">
        <v>19</v>
      </c>
    </row>
    <row r="3900" spans="1:8" ht="13.8" thickBot="1">
      <c r="A3900" s="467" t="s">
        <v>9110</v>
      </c>
      <c r="B3900" s="465" t="s">
        <v>4738</v>
      </c>
      <c r="C3900" s="466">
        <v>6.25</v>
      </c>
      <c r="D3900" s="465"/>
      <c r="E3900" s="466" t="s">
        <v>4717</v>
      </c>
      <c r="F3900" s="466" t="s">
        <v>1251</v>
      </c>
      <c r="G3900" s="465"/>
      <c r="H3900" s="465">
        <v>7</v>
      </c>
    </row>
    <row r="3901" spans="1:8" ht="13.8" thickBot="1">
      <c r="A3901" s="467" t="s">
        <v>9111</v>
      </c>
      <c r="B3901" s="465" t="s">
        <v>4766</v>
      </c>
      <c r="C3901" s="466">
        <v>6.25</v>
      </c>
      <c r="D3901" s="465"/>
      <c r="E3901" s="466" t="s">
        <v>4753</v>
      </c>
      <c r="F3901" s="466" t="s">
        <v>1224</v>
      </c>
      <c r="G3901" s="465"/>
      <c r="H3901" s="465">
        <v>1</v>
      </c>
    </row>
    <row r="3902" spans="1:8" ht="13.8" thickBot="1">
      <c r="A3902" s="467" t="s">
        <v>9112</v>
      </c>
      <c r="B3902" s="465" t="s">
        <v>4766</v>
      </c>
      <c r="C3902" s="466">
        <v>6.25</v>
      </c>
      <c r="D3902" s="465"/>
      <c r="E3902" s="466" t="s">
        <v>4753</v>
      </c>
      <c r="F3902" s="466"/>
      <c r="G3902" s="465"/>
      <c r="H3902" s="465">
        <v>1</v>
      </c>
    </row>
    <row r="3903" spans="1:8" ht="13.8" thickBot="1">
      <c r="A3903" s="467" t="s">
        <v>9113</v>
      </c>
      <c r="B3903" s="465" t="s">
        <v>4767</v>
      </c>
      <c r="C3903" s="466">
        <v>6.25</v>
      </c>
      <c r="D3903" s="465"/>
      <c r="E3903" s="466" t="s">
        <v>4753</v>
      </c>
      <c r="F3903" s="466"/>
      <c r="G3903" s="465">
        <v>1</v>
      </c>
      <c r="H3903" s="465">
        <v>2</v>
      </c>
    </row>
    <row r="3904" spans="1:8" ht="13.8" thickBot="1">
      <c r="A3904" s="465" t="s">
        <v>9114</v>
      </c>
      <c r="B3904" s="465" t="s">
        <v>4777</v>
      </c>
      <c r="C3904" s="466">
        <v>6.25</v>
      </c>
      <c r="D3904" s="467" t="s">
        <v>614</v>
      </c>
      <c r="E3904" s="466" t="s">
        <v>4773</v>
      </c>
      <c r="F3904" s="466" t="s">
        <v>1251</v>
      </c>
      <c r="G3904" s="465"/>
      <c r="H3904" s="465">
        <v>6</v>
      </c>
    </row>
    <row r="3905" spans="1:8" ht="13.8" thickBot="1">
      <c r="A3905" s="465" t="s">
        <v>9115</v>
      </c>
      <c r="B3905" s="465" t="s">
        <v>4777</v>
      </c>
      <c r="C3905" s="466">
        <v>6.25</v>
      </c>
      <c r="D3905" s="465"/>
      <c r="E3905" s="466" t="s">
        <v>4773</v>
      </c>
      <c r="F3905" s="466" t="s">
        <v>1226</v>
      </c>
      <c r="G3905" s="465"/>
      <c r="H3905" s="465">
        <v>3</v>
      </c>
    </row>
    <row r="3906" spans="1:8" ht="13.8" thickBot="1">
      <c r="A3906" s="467" t="s">
        <v>9157</v>
      </c>
      <c r="B3906" s="465" t="s">
        <v>1831</v>
      </c>
      <c r="C3906" s="466">
        <v>6.3</v>
      </c>
      <c r="D3906" s="465"/>
      <c r="E3906" s="466" t="s">
        <v>1793</v>
      </c>
      <c r="F3906" s="466" t="s">
        <v>1226</v>
      </c>
      <c r="G3906" s="465">
        <v>1</v>
      </c>
      <c r="H3906" s="465">
        <v>5</v>
      </c>
    </row>
    <row r="3907" spans="1:8" ht="13.8" thickBot="1">
      <c r="A3907" s="467" t="s">
        <v>9160</v>
      </c>
      <c r="B3907" s="465" t="s">
        <v>2222</v>
      </c>
      <c r="C3907" s="466">
        <v>6.3</v>
      </c>
      <c r="D3907" s="467" t="s">
        <v>2223</v>
      </c>
      <c r="E3907" s="466" t="s">
        <v>2216</v>
      </c>
      <c r="F3907" s="466" t="s">
        <v>1251</v>
      </c>
      <c r="G3907" s="465"/>
      <c r="H3907" s="465">
        <v>1</v>
      </c>
    </row>
    <row r="3908" spans="1:8" ht="13.8" thickBot="1">
      <c r="A3908" s="467" t="s">
        <v>9161</v>
      </c>
      <c r="B3908" s="465" t="s">
        <v>2224</v>
      </c>
      <c r="C3908" s="466">
        <v>6.3</v>
      </c>
      <c r="D3908" s="465"/>
      <c r="E3908" s="466" t="s">
        <v>2216</v>
      </c>
      <c r="F3908" s="466"/>
      <c r="G3908" s="465"/>
      <c r="H3908" s="465"/>
    </row>
    <row r="3909" spans="1:8" ht="13.8" thickBot="1">
      <c r="A3909" s="467" t="s">
        <v>9162</v>
      </c>
      <c r="B3909" s="465" t="s">
        <v>2225</v>
      </c>
      <c r="C3909" s="466">
        <v>6.3</v>
      </c>
      <c r="D3909" s="465"/>
      <c r="E3909" s="466" t="s">
        <v>2216</v>
      </c>
      <c r="F3909" s="466"/>
      <c r="G3909" s="465">
        <v>1</v>
      </c>
      <c r="H3909" s="465">
        <v>4</v>
      </c>
    </row>
    <row r="3910" spans="1:8" ht="13.8" thickBot="1">
      <c r="A3910" s="465" t="s">
        <v>9186</v>
      </c>
      <c r="B3910" s="465" t="s">
        <v>4874</v>
      </c>
      <c r="C3910" s="466">
        <v>6.3</v>
      </c>
      <c r="D3910" s="465"/>
      <c r="E3910" s="466" t="s">
        <v>4865</v>
      </c>
      <c r="F3910" s="466" t="s">
        <v>1251</v>
      </c>
      <c r="G3910" s="465"/>
      <c r="H3910" s="465">
        <v>1</v>
      </c>
    </row>
    <row r="3911" spans="1:8" ht="13.8" thickBot="1">
      <c r="A3911" s="465" t="s">
        <v>9187</v>
      </c>
      <c r="B3911" s="465" t="s">
        <v>4907</v>
      </c>
      <c r="C3911" s="466">
        <v>6.3</v>
      </c>
      <c r="D3911" s="465"/>
      <c r="E3911" s="466" t="s">
        <v>4905</v>
      </c>
      <c r="F3911" s="466" t="s">
        <v>1224</v>
      </c>
      <c r="G3911" s="465"/>
      <c r="H3911" s="465">
        <v>5</v>
      </c>
    </row>
    <row r="3912" spans="1:8" ht="13.8" thickBot="1">
      <c r="A3912" s="465" t="s">
        <v>9188</v>
      </c>
      <c r="B3912" s="465" t="s">
        <v>4952</v>
      </c>
      <c r="C3912" s="466">
        <v>6.3</v>
      </c>
      <c r="D3912" s="465"/>
      <c r="E3912" s="466" t="s">
        <v>4943</v>
      </c>
      <c r="F3912" s="466" t="s">
        <v>1226</v>
      </c>
      <c r="G3912" s="465"/>
      <c r="H3912" s="465">
        <v>2</v>
      </c>
    </row>
    <row r="3913" spans="1:8" ht="13.8" thickBot="1">
      <c r="A3913" s="467" t="s">
        <v>9163</v>
      </c>
      <c r="B3913" s="465" t="s">
        <v>2251</v>
      </c>
      <c r="C3913" s="466">
        <v>6.3</v>
      </c>
      <c r="D3913" s="465"/>
      <c r="E3913" s="466" t="s">
        <v>2242</v>
      </c>
      <c r="F3913" s="466" t="s">
        <v>1229</v>
      </c>
      <c r="G3913" s="465">
        <v>2</v>
      </c>
      <c r="H3913" s="465">
        <v>12</v>
      </c>
    </row>
    <row r="3914" spans="1:8" ht="13.8" thickBot="1">
      <c r="A3914" s="467" t="s">
        <v>9164</v>
      </c>
      <c r="B3914" s="465" t="s">
        <v>2252</v>
      </c>
      <c r="C3914" s="466">
        <v>6.3</v>
      </c>
      <c r="D3914" s="465"/>
      <c r="E3914" s="466" t="s">
        <v>2242</v>
      </c>
      <c r="F3914" s="466" t="s">
        <v>1226</v>
      </c>
      <c r="G3914" s="465"/>
      <c r="H3914" s="465">
        <v>4</v>
      </c>
    </row>
    <row r="3915" spans="1:8" ht="13.8" thickBot="1">
      <c r="A3915" s="467" t="s">
        <v>9165</v>
      </c>
      <c r="B3915" s="465" t="s">
        <v>2253</v>
      </c>
      <c r="C3915" s="466">
        <v>6.3</v>
      </c>
      <c r="D3915" s="465"/>
      <c r="E3915" s="466" t="s">
        <v>2242</v>
      </c>
      <c r="F3915" s="466" t="s">
        <v>1226</v>
      </c>
      <c r="G3915" s="465"/>
      <c r="H3915" s="465">
        <v>3</v>
      </c>
    </row>
    <row r="3916" spans="1:8" ht="13.8" thickBot="1">
      <c r="A3916" s="465" t="s">
        <v>9189</v>
      </c>
      <c r="B3916" s="465" t="s">
        <v>5195</v>
      </c>
      <c r="C3916" s="466">
        <v>6.3</v>
      </c>
      <c r="D3916" s="467" t="s">
        <v>614</v>
      </c>
      <c r="E3916" s="466" t="s">
        <v>5196</v>
      </c>
      <c r="F3916" s="466" t="s">
        <v>1226</v>
      </c>
      <c r="G3916" s="465"/>
      <c r="H3916" s="465">
        <v>3</v>
      </c>
    </row>
    <row r="3917" spans="1:8" ht="13.8" thickBot="1">
      <c r="A3917" s="465" t="s">
        <v>9190</v>
      </c>
      <c r="B3917" s="465" t="s">
        <v>5301</v>
      </c>
      <c r="C3917" s="466">
        <v>6.3</v>
      </c>
      <c r="D3917" s="465"/>
      <c r="E3917" s="466" t="s">
        <v>5286</v>
      </c>
      <c r="F3917" s="466" t="s">
        <v>1226</v>
      </c>
      <c r="G3917" s="465"/>
      <c r="H3917" s="465">
        <v>2</v>
      </c>
    </row>
    <row r="3918" spans="1:8" ht="13.8" thickBot="1">
      <c r="A3918" s="467" t="s">
        <v>9166</v>
      </c>
      <c r="B3918" s="465" t="s">
        <v>2602</v>
      </c>
      <c r="C3918" s="466">
        <v>6.3</v>
      </c>
      <c r="D3918" s="465" t="s">
        <v>2377</v>
      </c>
      <c r="E3918" s="466" t="s">
        <v>2523</v>
      </c>
      <c r="F3918" s="466" t="s">
        <v>1251</v>
      </c>
      <c r="G3918" s="465">
        <v>1</v>
      </c>
      <c r="H3918" s="465">
        <v>2</v>
      </c>
    </row>
    <row r="3919" spans="1:8" ht="13.8" thickBot="1">
      <c r="A3919" s="467" t="s">
        <v>9167</v>
      </c>
      <c r="B3919" s="465" t="s">
        <v>2603</v>
      </c>
      <c r="C3919" s="466">
        <v>6.3</v>
      </c>
      <c r="D3919" s="467" t="s">
        <v>614</v>
      </c>
      <c r="E3919" s="466" t="s">
        <v>2523</v>
      </c>
      <c r="F3919" s="466" t="s">
        <v>1251</v>
      </c>
      <c r="G3919" s="465"/>
      <c r="H3919" s="465">
        <v>14</v>
      </c>
    </row>
    <row r="3920" spans="1:8" ht="13.8" thickBot="1">
      <c r="A3920" s="467" t="s">
        <v>9168</v>
      </c>
      <c r="B3920" s="465" t="s">
        <v>2604</v>
      </c>
      <c r="C3920" s="466">
        <v>6.3</v>
      </c>
      <c r="D3920" s="465"/>
      <c r="E3920" s="466" t="s">
        <v>2523</v>
      </c>
      <c r="F3920" s="466" t="s">
        <v>1226</v>
      </c>
      <c r="G3920" s="465"/>
      <c r="H3920" s="465">
        <v>3</v>
      </c>
    </row>
    <row r="3921" spans="1:8" ht="13.8" thickBot="1">
      <c r="A3921" s="465" t="s">
        <v>9169</v>
      </c>
      <c r="B3921" s="465" t="s">
        <v>2605</v>
      </c>
      <c r="C3921" s="466">
        <v>6.3</v>
      </c>
      <c r="D3921" s="467" t="s">
        <v>614</v>
      </c>
      <c r="E3921" s="466" t="s">
        <v>2523</v>
      </c>
      <c r="F3921" s="466" t="s">
        <v>1226</v>
      </c>
      <c r="G3921" s="465"/>
      <c r="H3921" s="465">
        <v>3</v>
      </c>
    </row>
    <row r="3922" spans="1:8" ht="13.8" thickBot="1">
      <c r="A3922" s="467" t="s">
        <v>9170</v>
      </c>
      <c r="B3922" s="465" t="s">
        <v>2606</v>
      </c>
      <c r="C3922" s="466">
        <v>6.3</v>
      </c>
      <c r="D3922" s="465"/>
      <c r="E3922" s="466" t="s">
        <v>2523</v>
      </c>
      <c r="F3922" s="466"/>
      <c r="G3922" s="465"/>
      <c r="H3922" s="465">
        <v>3</v>
      </c>
    </row>
    <row r="3923" spans="1:8" ht="13.8" thickBot="1">
      <c r="A3923" s="467" t="s">
        <v>9171</v>
      </c>
      <c r="B3923" s="465" t="s">
        <v>2735</v>
      </c>
      <c r="C3923" s="466">
        <v>6.3</v>
      </c>
      <c r="D3923" s="467" t="s">
        <v>2736</v>
      </c>
      <c r="E3923" s="466" t="s">
        <v>2733</v>
      </c>
      <c r="F3923" s="466" t="s">
        <v>1229</v>
      </c>
      <c r="G3923" s="465"/>
      <c r="H3923" s="465">
        <v>5</v>
      </c>
    </row>
    <row r="3924" spans="1:8" ht="13.8" thickBot="1">
      <c r="A3924" s="467" t="s">
        <v>9172</v>
      </c>
      <c r="B3924" s="465" t="s">
        <v>2748</v>
      </c>
      <c r="C3924" s="466">
        <v>6.3</v>
      </c>
      <c r="D3924" s="465"/>
      <c r="E3924" s="466" t="s">
        <v>2747</v>
      </c>
      <c r="F3924" s="466" t="s">
        <v>1251</v>
      </c>
      <c r="G3924" s="465"/>
      <c r="H3924" s="465">
        <v>6</v>
      </c>
    </row>
    <row r="3925" spans="1:8" ht="13.8" thickBot="1">
      <c r="A3925" s="467" t="s">
        <v>9173</v>
      </c>
      <c r="B3925" s="465" t="s">
        <v>2786</v>
      </c>
      <c r="C3925" s="466">
        <v>6.3</v>
      </c>
      <c r="D3925" s="465"/>
      <c r="E3925" s="466" t="s">
        <v>2779</v>
      </c>
      <c r="F3925" s="466" t="s">
        <v>2319</v>
      </c>
      <c r="G3925" s="465">
        <v>1</v>
      </c>
      <c r="H3925" s="465">
        <v>11</v>
      </c>
    </row>
    <row r="3926" spans="1:8" ht="13.8" thickBot="1">
      <c r="A3926" s="467" t="s">
        <v>9174</v>
      </c>
      <c r="B3926" s="465" t="s">
        <v>2787</v>
      </c>
      <c r="C3926" s="466">
        <v>6.3</v>
      </c>
      <c r="D3926" s="465"/>
      <c r="E3926" s="466" t="s">
        <v>2779</v>
      </c>
      <c r="F3926" s="466" t="s">
        <v>1226</v>
      </c>
      <c r="G3926" s="465"/>
      <c r="H3926" s="465">
        <v>3</v>
      </c>
    </row>
    <row r="3927" spans="1:8" ht="13.8" thickBot="1">
      <c r="A3927" s="467" t="s">
        <v>9175</v>
      </c>
      <c r="B3927" s="465" t="s">
        <v>1340</v>
      </c>
      <c r="C3927" s="466">
        <v>6.3</v>
      </c>
      <c r="D3927" s="465"/>
      <c r="E3927" s="466" t="s">
        <v>2841</v>
      </c>
      <c r="F3927" s="466" t="s">
        <v>1226</v>
      </c>
      <c r="G3927" s="465"/>
      <c r="H3927" s="465">
        <v>3</v>
      </c>
    </row>
    <row r="3928" spans="1:8" ht="13.8" thickBot="1">
      <c r="A3928" s="467" t="s">
        <v>9176</v>
      </c>
      <c r="B3928" s="465" t="s">
        <v>1557</v>
      </c>
      <c r="C3928" s="466">
        <v>6.3</v>
      </c>
      <c r="D3928" s="465"/>
      <c r="E3928" s="466" t="s">
        <v>2957</v>
      </c>
      <c r="F3928" s="466" t="s">
        <v>1224</v>
      </c>
      <c r="G3928" s="465">
        <v>1</v>
      </c>
      <c r="H3928" s="465">
        <v>3</v>
      </c>
    </row>
    <row r="3929" spans="1:8" ht="13.8" thickBot="1">
      <c r="A3929" s="465" t="s">
        <v>9177</v>
      </c>
      <c r="B3929" s="465" t="s">
        <v>3469</v>
      </c>
      <c r="C3929" s="466">
        <v>6.3</v>
      </c>
      <c r="D3929" s="467" t="s">
        <v>614</v>
      </c>
      <c r="E3929" s="466" t="s">
        <v>3452</v>
      </c>
      <c r="F3929" s="466" t="s">
        <v>1226</v>
      </c>
      <c r="G3929" s="465"/>
      <c r="H3929" s="465">
        <v>1</v>
      </c>
    </row>
    <row r="3930" spans="1:8" ht="13.8" thickBot="1">
      <c r="A3930" s="467" t="s">
        <v>9178</v>
      </c>
      <c r="B3930" s="465" t="s">
        <v>3563</v>
      </c>
      <c r="C3930" s="466">
        <v>6.3</v>
      </c>
      <c r="D3930" s="467" t="s">
        <v>3564</v>
      </c>
      <c r="E3930" s="466" t="s">
        <v>3517</v>
      </c>
      <c r="F3930" s="466" t="s">
        <v>1229</v>
      </c>
      <c r="G3930" s="465"/>
      <c r="H3930" s="465">
        <v>5</v>
      </c>
    </row>
    <row r="3931" spans="1:8" ht="13.8" thickBot="1">
      <c r="A3931" s="467" t="s">
        <v>9179</v>
      </c>
      <c r="B3931" s="465" t="s">
        <v>1457</v>
      </c>
      <c r="C3931" s="466">
        <v>6.3</v>
      </c>
      <c r="D3931" s="465"/>
      <c r="E3931" s="466" t="s">
        <v>3517</v>
      </c>
      <c r="F3931" s="466" t="s">
        <v>1226</v>
      </c>
      <c r="G3931" s="465"/>
      <c r="H3931" s="465">
        <v>3</v>
      </c>
    </row>
    <row r="3932" spans="1:8" ht="13.8" thickBot="1">
      <c r="A3932" s="467" t="s">
        <v>9158</v>
      </c>
      <c r="B3932" s="465" t="s">
        <v>2094</v>
      </c>
      <c r="C3932" s="466">
        <v>6.3</v>
      </c>
      <c r="D3932" s="465"/>
      <c r="E3932" s="466" t="s">
        <v>2087</v>
      </c>
      <c r="F3932" s="466" t="s">
        <v>1226</v>
      </c>
      <c r="G3932" s="465"/>
      <c r="H3932" s="465">
        <v>3</v>
      </c>
    </row>
    <row r="3933" spans="1:8" ht="13.8" thickBot="1">
      <c r="A3933" s="465" t="s">
        <v>9180</v>
      </c>
      <c r="B3933" s="465" t="s">
        <v>3875</v>
      </c>
      <c r="C3933" s="466">
        <v>6.3</v>
      </c>
      <c r="D3933" s="465"/>
      <c r="E3933" s="466" t="s">
        <v>3856</v>
      </c>
      <c r="F3933" s="466" t="s">
        <v>1229</v>
      </c>
      <c r="G3933" s="465">
        <v>1</v>
      </c>
      <c r="H3933" s="465">
        <v>8</v>
      </c>
    </row>
    <row r="3934" spans="1:8" ht="13.8" thickBot="1">
      <c r="A3934" s="467" t="s">
        <v>9181</v>
      </c>
      <c r="B3934" s="465" t="s">
        <v>4052</v>
      </c>
      <c r="C3934" s="466">
        <v>6.3</v>
      </c>
      <c r="D3934" s="465"/>
      <c r="E3934" s="466" t="s">
        <v>4046</v>
      </c>
      <c r="F3934" s="466"/>
      <c r="G3934" s="465"/>
      <c r="H3934" s="465">
        <v>1</v>
      </c>
    </row>
    <row r="3935" spans="1:8" ht="13.8" thickBot="1">
      <c r="A3935" s="467" t="s">
        <v>9182</v>
      </c>
      <c r="B3935" s="465" t="s">
        <v>4104</v>
      </c>
      <c r="C3935" s="466">
        <v>6.3</v>
      </c>
      <c r="D3935" s="467" t="s">
        <v>614</v>
      </c>
      <c r="E3935" s="466" t="s">
        <v>4102</v>
      </c>
      <c r="F3935" s="466" t="s">
        <v>1251</v>
      </c>
      <c r="G3935" s="465">
        <v>2</v>
      </c>
      <c r="H3935" s="465">
        <v>3</v>
      </c>
    </row>
    <row r="3936" spans="1:8" ht="13.8" thickBot="1">
      <c r="A3936" s="467" t="s">
        <v>9183</v>
      </c>
      <c r="B3936" s="468" t="s">
        <v>4259</v>
      </c>
      <c r="C3936" s="466">
        <v>6.3</v>
      </c>
      <c r="D3936" s="465"/>
      <c r="E3936" s="466" t="s">
        <v>4214</v>
      </c>
      <c r="F3936" s="466" t="s">
        <v>1251</v>
      </c>
      <c r="G3936" s="465"/>
      <c r="H3936" s="465">
        <v>3</v>
      </c>
    </row>
    <row r="3937" spans="1:8" ht="13.8" thickBot="1">
      <c r="A3937" s="467" t="s">
        <v>9184</v>
      </c>
      <c r="B3937" s="465" t="s">
        <v>4548</v>
      </c>
      <c r="C3937" s="466">
        <v>6.3</v>
      </c>
      <c r="D3937" s="467" t="s">
        <v>614</v>
      </c>
      <c r="E3937" s="466" t="s">
        <v>4536</v>
      </c>
      <c r="F3937" s="466" t="s">
        <v>1251</v>
      </c>
      <c r="G3937" s="465"/>
      <c r="H3937" s="465">
        <v>5</v>
      </c>
    </row>
    <row r="3938" spans="1:8" ht="13.8" thickBot="1">
      <c r="A3938" s="465" t="s">
        <v>9185</v>
      </c>
      <c r="B3938" s="465" t="s">
        <v>4608</v>
      </c>
      <c r="C3938" s="466">
        <v>6.3</v>
      </c>
      <c r="D3938" s="465"/>
      <c r="E3938" s="466" t="s">
        <v>4596</v>
      </c>
      <c r="F3938" s="466" t="s">
        <v>1226</v>
      </c>
      <c r="G3938" s="465">
        <v>1</v>
      </c>
      <c r="H3938" s="465">
        <v>4</v>
      </c>
    </row>
    <row r="3939" spans="1:8" ht="13.8" thickBot="1">
      <c r="A3939" s="467" t="s">
        <v>9159</v>
      </c>
      <c r="B3939" s="465" t="s">
        <v>2173</v>
      </c>
      <c r="C3939" s="466">
        <v>6.3</v>
      </c>
      <c r="D3939" s="465"/>
      <c r="E3939" s="466" t="s">
        <v>2152</v>
      </c>
      <c r="F3939" s="466" t="s">
        <v>1226</v>
      </c>
      <c r="G3939" s="465"/>
      <c r="H3939" s="465">
        <v>3</v>
      </c>
    </row>
    <row r="3940" spans="1:8" ht="13.8" thickBot="1">
      <c r="A3940" s="465" t="s">
        <v>9191</v>
      </c>
      <c r="B3940" s="465" t="s">
        <v>1797</v>
      </c>
      <c r="C3940" s="466">
        <v>6.4</v>
      </c>
      <c r="D3940" s="465"/>
      <c r="E3940" s="466" t="s">
        <v>1793</v>
      </c>
      <c r="F3940" s="466" t="s">
        <v>1226</v>
      </c>
      <c r="G3940" s="465"/>
      <c r="H3940" s="465">
        <v>2</v>
      </c>
    </row>
    <row r="3941" spans="1:8" ht="13.8" thickBot="1">
      <c r="A3941" s="465" t="s">
        <v>9192</v>
      </c>
      <c r="B3941" s="465" t="s">
        <v>1830</v>
      </c>
      <c r="C3941" s="466">
        <v>6.4</v>
      </c>
      <c r="D3941" s="465"/>
      <c r="E3941" s="466" t="s">
        <v>1793</v>
      </c>
      <c r="F3941" s="466" t="s">
        <v>1226</v>
      </c>
      <c r="G3941" s="465"/>
      <c r="H3941" s="465">
        <v>2</v>
      </c>
    </row>
    <row r="3942" spans="1:8" ht="13.8" thickBot="1">
      <c r="A3942" s="465" t="s">
        <v>9194</v>
      </c>
      <c r="B3942" s="465" t="s">
        <v>2221</v>
      </c>
      <c r="C3942" s="466">
        <v>6.4</v>
      </c>
      <c r="D3942" s="467" t="s">
        <v>614</v>
      </c>
      <c r="E3942" s="466" t="s">
        <v>2216</v>
      </c>
      <c r="F3942" s="466" t="s">
        <v>1251</v>
      </c>
      <c r="G3942" s="465"/>
      <c r="H3942" s="465">
        <v>9</v>
      </c>
    </row>
    <row r="3943" spans="1:8" ht="13.8" thickBot="1">
      <c r="A3943" s="465" t="s">
        <v>9195</v>
      </c>
      <c r="B3943" s="465" t="s">
        <v>2250</v>
      </c>
      <c r="C3943" s="466">
        <v>6.4</v>
      </c>
      <c r="D3943" s="465"/>
      <c r="E3943" s="466" t="s">
        <v>2242</v>
      </c>
      <c r="F3943" s="466" t="s">
        <v>1251</v>
      </c>
      <c r="G3943" s="465"/>
      <c r="H3943" s="465">
        <v>18</v>
      </c>
    </row>
    <row r="3944" spans="1:8" ht="13.8" thickBot="1">
      <c r="A3944" s="467" t="s">
        <v>9210</v>
      </c>
      <c r="B3944" s="465" t="s">
        <v>1536</v>
      </c>
      <c r="C3944" s="466">
        <v>6.4</v>
      </c>
      <c r="D3944" s="467" t="s">
        <v>614</v>
      </c>
      <c r="E3944" s="466" t="s">
        <v>5125</v>
      </c>
      <c r="F3944" s="466" t="s">
        <v>1251</v>
      </c>
      <c r="G3944" s="465"/>
      <c r="H3944" s="465">
        <v>4</v>
      </c>
    </row>
    <row r="3945" spans="1:8" ht="13.8" thickBot="1">
      <c r="A3945" s="465" t="s">
        <v>9211</v>
      </c>
      <c r="B3945" s="465" t="s">
        <v>5195</v>
      </c>
      <c r="C3945" s="466">
        <v>6.4</v>
      </c>
      <c r="D3945" s="465"/>
      <c r="E3945" s="466" t="s">
        <v>5196</v>
      </c>
      <c r="F3945" s="466" t="s">
        <v>1226</v>
      </c>
      <c r="G3945" s="465">
        <v>1</v>
      </c>
      <c r="H3945" s="465">
        <v>6</v>
      </c>
    </row>
    <row r="3946" spans="1:8" ht="13.8" thickBot="1">
      <c r="A3946" s="465" t="s">
        <v>9196</v>
      </c>
      <c r="B3946" s="465" t="s">
        <v>2308</v>
      </c>
      <c r="C3946" s="466">
        <v>6.4</v>
      </c>
      <c r="D3946" s="465"/>
      <c r="E3946" s="466" t="s">
        <v>2289</v>
      </c>
      <c r="F3946" s="466" t="s">
        <v>1226</v>
      </c>
      <c r="G3946" s="465"/>
      <c r="H3946" s="465">
        <v>2</v>
      </c>
    </row>
    <row r="3947" spans="1:8" ht="13.8" thickBot="1">
      <c r="A3947" s="465" t="s">
        <v>9197</v>
      </c>
      <c r="B3947" s="465" t="s">
        <v>2367</v>
      </c>
      <c r="C3947" s="466">
        <v>6.4</v>
      </c>
      <c r="D3947" s="465"/>
      <c r="E3947" s="466" t="s">
        <v>2289</v>
      </c>
      <c r="F3947" s="466" t="s">
        <v>1224</v>
      </c>
      <c r="G3947" s="465">
        <v>1</v>
      </c>
      <c r="H3947" s="465">
        <v>5</v>
      </c>
    </row>
    <row r="3948" spans="1:8" ht="13.8" thickBot="1">
      <c r="A3948" s="467" t="s">
        <v>9212</v>
      </c>
      <c r="B3948" s="465" t="s">
        <v>5280</v>
      </c>
      <c r="C3948" s="466">
        <v>6.4</v>
      </c>
      <c r="D3948" s="467" t="s">
        <v>614</v>
      </c>
      <c r="E3948" s="466" t="s">
        <v>5269</v>
      </c>
      <c r="F3948" s="466" t="s">
        <v>1226</v>
      </c>
      <c r="G3948" s="465"/>
      <c r="H3948" s="465">
        <v>3</v>
      </c>
    </row>
    <row r="3949" spans="1:8" ht="13.8" thickBot="1">
      <c r="A3949" s="467" t="s">
        <v>9213</v>
      </c>
      <c r="B3949" s="465" t="s">
        <v>1381</v>
      </c>
      <c r="C3949" s="466">
        <v>6.4</v>
      </c>
      <c r="D3949" s="465"/>
      <c r="E3949" s="466" t="s">
        <v>5286</v>
      </c>
      <c r="F3949" s="466" t="s">
        <v>2319</v>
      </c>
      <c r="G3949" s="465"/>
      <c r="H3949" s="465">
        <v>9</v>
      </c>
    </row>
    <row r="3950" spans="1:8" ht="13.8" thickBot="1">
      <c r="A3950" s="465" t="s">
        <v>9198</v>
      </c>
      <c r="B3950" s="465" t="s">
        <v>2470</v>
      </c>
      <c r="C3950" s="466">
        <v>6.4</v>
      </c>
      <c r="D3950" s="465"/>
      <c r="E3950" s="466" t="s">
        <v>2449</v>
      </c>
      <c r="F3950" s="466" t="s">
        <v>1251</v>
      </c>
      <c r="G3950" s="465"/>
      <c r="H3950" s="465">
        <v>9</v>
      </c>
    </row>
    <row r="3951" spans="1:8" ht="13.8" thickBot="1">
      <c r="A3951" s="465" t="s">
        <v>9199</v>
      </c>
      <c r="B3951" s="465" t="s">
        <v>2471</v>
      </c>
      <c r="C3951" s="466">
        <v>6.4</v>
      </c>
      <c r="D3951" s="467" t="s">
        <v>614</v>
      </c>
      <c r="E3951" s="466" t="s">
        <v>2449</v>
      </c>
      <c r="F3951" s="466" t="s">
        <v>1251</v>
      </c>
      <c r="G3951" s="465"/>
      <c r="H3951" s="465">
        <v>3</v>
      </c>
    </row>
    <row r="3952" spans="1:8" ht="13.8" thickBot="1">
      <c r="A3952" s="467" t="s">
        <v>9200</v>
      </c>
      <c r="B3952" s="465" t="s">
        <v>2601</v>
      </c>
      <c r="C3952" s="466">
        <v>6.4</v>
      </c>
      <c r="D3952" s="465"/>
      <c r="E3952" s="466" t="s">
        <v>2523</v>
      </c>
      <c r="F3952" s="466" t="s">
        <v>1251</v>
      </c>
      <c r="G3952" s="465"/>
      <c r="H3952" s="465">
        <v>3</v>
      </c>
    </row>
    <row r="3953" spans="1:8" ht="13.8" thickBot="1">
      <c r="A3953" s="465" t="s">
        <v>9201</v>
      </c>
      <c r="B3953" s="465" t="s">
        <v>2785</v>
      </c>
      <c r="C3953" s="466">
        <v>6.4</v>
      </c>
      <c r="D3953" s="465"/>
      <c r="E3953" s="466" t="s">
        <v>2779</v>
      </c>
      <c r="F3953" s="466" t="s">
        <v>1226</v>
      </c>
      <c r="G3953" s="465"/>
      <c r="H3953" s="465">
        <v>7</v>
      </c>
    </row>
    <row r="3954" spans="1:8" ht="13.8" thickBot="1">
      <c r="A3954" s="467" t="s">
        <v>9202</v>
      </c>
      <c r="B3954" s="472" t="s">
        <v>2813</v>
      </c>
      <c r="C3954" s="473">
        <v>6.4</v>
      </c>
      <c r="D3954" s="467" t="s">
        <v>614</v>
      </c>
      <c r="E3954" s="466" t="s">
        <v>2797</v>
      </c>
      <c r="F3954" s="466" t="s">
        <v>1251</v>
      </c>
      <c r="G3954" s="465">
        <v>1</v>
      </c>
      <c r="H3954" s="465">
        <v>5</v>
      </c>
    </row>
    <row r="3955" spans="1:8" ht="13.8" thickBot="1">
      <c r="A3955" s="465" t="s">
        <v>9203</v>
      </c>
      <c r="B3955" s="465" t="s">
        <v>3096</v>
      </c>
      <c r="C3955" s="466">
        <v>6.4</v>
      </c>
      <c r="D3955" s="467" t="s">
        <v>614</v>
      </c>
      <c r="E3955" s="466" t="s">
        <v>3085</v>
      </c>
      <c r="F3955" s="466" t="s">
        <v>1229</v>
      </c>
      <c r="G3955" s="465"/>
      <c r="H3955" s="465">
        <v>2</v>
      </c>
    </row>
    <row r="3956" spans="1:8" ht="13.8" thickBot="1">
      <c r="A3956" s="465" t="s">
        <v>9204</v>
      </c>
      <c r="B3956" s="465" t="s">
        <v>3097</v>
      </c>
      <c r="C3956" s="466">
        <v>6.4</v>
      </c>
      <c r="D3956" s="465"/>
      <c r="E3956" s="466" t="s">
        <v>3085</v>
      </c>
      <c r="F3956" s="466" t="s">
        <v>1224</v>
      </c>
      <c r="G3956" s="465">
        <v>2</v>
      </c>
      <c r="H3956" s="465">
        <v>8</v>
      </c>
    </row>
    <row r="3957" spans="1:8" ht="13.8" thickBot="1">
      <c r="A3957" s="465" t="s">
        <v>9205</v>
      </c>
      <c r="B3957" s="465" t="s">
        <v>3562</v>
      </c>
      <c r="C3957" s="466">
        <v>6.4</v>
      </c>
      <c r="D3957" s="467" t="s">
        <v>614</v>
      </c>
      <c r="E3957" s="466" t="s">
        <v>3517</v>
      </c>
      <c r="F3957" s="466" t="s">
        <v>1251</v>
      </c>
      <c r="G3957" s="465"/>
      <c r="H3957" s="465">
        <v>8</v>
      </c>
    </row>
    <row r="3958" spans="1:8" ht="13.8" thickBot="1">
      <c r="A3958" s="465" t="s">
        <v>9193</v>
      </c>
      <c r="B3958" s="465" t="s">
        <v>2093</v>
      </c>
      <c r="C3958" s="466">
        <v>6.4</v>
      </c>
      <c r="D3958" s="467" t="s">
        <v>614</v>
      </c>
      <c r="E3958" s="466" t="s">
        <v>2087</v>
      </c>
      <c r="F3958" s="466" t="s">
        <v>1226</v>
      </c>
      <c r="G3958" s="465">
        <v>1</v>
      </c>
      <c r="H3958" s="465">
        <v>4</v>
      </c>
    </row>
    <row r="3959" spans="1:8" ht="13.8" thickBot="1">
      <c r="A3959" s="467" t="s">
        <v>9206</v>
      </c>
      <c r="B3959" s="465" t="s">
        <v>3978</v>
      </c>
      <c r="C3959" s="466">
        <v>6.4</v>
      </c>
      <c r="D3959" s="467" t="s">
        <v>614</v>
      </c>
      <c r="E3959" s="466" t="s">
        <v>3957</v>
      </c>
      <c r="F3959" s="466" t="s">
        <v>3556</v>
      </c>
      <c r="G3959" s="465">
        <v>1</v>
      </c>
      <c r="H3959" s="465">
        <v>7</v>
      </c>
    </row>
    <row r="3960" spans="1:8" ht="13.8" thickBot="1">
      <c r="A3960" s="467" t="s">
        <v>9207</v>
      </c>
      <c r="B3960" s="465" t="s">
        <v>4162</v>
      </c>
      <c r="C3960" s="466">
        <v>6.4</v>
      </c>
      <c r="D3960" s="467" t="s">
        <v>614</v>
      </c>
      <c r="E3960" s="466" t="s">
        <v>4160</v>
      </c>
      <c r="F3960" s="466" t="s">
        <v>1226</v>
      </c>
      <c r="G3960" s="465">
        <v>1</v>
      </c>
      <c r="H3960" s="465">
        <v>6</v>
      </c>
    </row>
    <row r="3961" spans="1:8" ht="13.8" thickBot="1">
      <c r="A3961" s="465" t="s">
        <v>9208</v>
      </c>
      <c r="B3961" s="465" t="s">
        <v>1638</v>
      </c>
      <c r="C3961" s="466">
        <v>6.4</v>
      </c>
      <c r="D3961" s="465"/>
      <c r="E3961" s="466" t="s">
        <v>4438</v>
      </c>
      <c r="F3961" s="466" t="s">
        <v>1226</v>
      </c>
      <c r="G3961" s="465"/>
      <c r="H3961" s="465">
        <v>2</v>
      </c>
    </row>
    <row r="3962" spans="1:8" ht="13.8" thickBot="1">
      <c r="A3962" s="467" t="s">
        <v>9209</v>
      </c>
      <c r="B3962" s="465" t="s">
        <v>4657</v>
      </c>
      <c r="C3962" s="466">
        <v>6.4</v>
      </c>
      <c r="D3962" s="465"/>
      <c r="E3962" s="466" t="s">
        <v>4644</v>
      </c>
      <c r="F3962" s="466" t="s">
        <v>1226</v>
      </c>
      <c r="G3962" s="465">
        <v>2</v>
      </c>
      <c r="H3962" s="465">
        <v>10</v>
      </c>
    </row>
    <row r="3963" spans="1:8" ht="13.8" thickBot="1">
      <c r="A3963" s="467" t="s">
        <v>9214</v>
      </c>
      <c r="B3963" s="465" t="s">
        <v>1820</v>
      </c>
      <c r="C3963" s="466">
        <v>6.5</v>
      </c>
      <c r="D3963" s="467" t="s">
        <v>614</v>
      </c>
      <c r="E3963" s="466" t="s">
        <v>1793</v>
      </c>
      <c r="F3963" s="466" t="s">
        <v>1229</v>
      </c>
      <c r="G3963" s="465">
        <v>2</v>
      </c>
      <c r="H3963" s="465">
        <v>20</v>
      </c>
    </row>
    <row r="3964" spans="1:8" ht="13.8" thickBot="1">
      <c r="A3964" s="467" t="s">
        <v>9215</v>
      </c>
      <c r="B3964" s="465" t="s">
        <v>1821</v>
      </c>
      <c r="C3964" s="466">
        <v>6.5</v>
      </c>
      <c r="D3964" s="467" t="s">
        <v>1822</v>
      </c>
      <c r="E3964" s="466" t="s">
        <v>1793</v>
      </c>
      <c r="F3964" s="466" t="s">
        <v>1251</v>
      </c>
      <c r="G3964" s="465">
        <v>1</v>
      </c>
      <c r="H3964" s="465">
        <v>12</v>
      </c>
    </row>
    <row r="3965" spans="1:8" ht="13.8" thickBot="1">
      <c r="A3965" s="465" t="s">
        <v>9216</v>
      </c>
      <c r="B3965" s="465" t="s">
        <v>1823</v>
      </c>
      <c r="C3965" s="466">
        <v>6.5</v>
      </c>
      <c r="D3965" s="467" t="s">
        <v>614</v>
      </c>
      <c r="E3965" s="466" t="s">
        <v>1793</v>
      </c>
      <c r="F3965" s="466" t="s">
        <v>1251</v>
      </c>
      <c r="G3965" s="465"/>
      <c r="H3965" s="465"/>
    </row>
    <row r="3966" spans="1:8" ht="13.8" thickBot="1">
      <c r="A3966" s="465" t="s">
        <v>9217</v>
      </c>
      <c r="B3966" s="468" t="s">
        <v>1817</v>
      </c>
      <c r="C3966" s="466">
        <v>6.5</v>
      </c>
      <c r="D3966" s="465"/>
      <c r="E3966" s="466" t="s">
        <v>1793</v>
      </c>
      <c r="F3966" s="466" t="s">
        <v>1251</v>
      </c>
      <c r="G3966" s="465">
        <v>2</v>
      </c>
      <c r="H3966" s="465">
        <v>5</v>
      </c>
    </row>
    <row r="3967" spans="1:8" ht="13.8" thickBot="1">
      <c r="A3967" s="467" t="s">
        <v>9218</v>
      </c>
      <c r="B3967" s="465" t="s">
        <v>1824</v>
      </c>
      <c r="C3967" s="466">
        <v>6.5</v>
      </c>
      <c r="D3967" s="467" t="s">
        <v>614</v>
      </c>
      <c r="E3967" s="466" t="s">
        <v>1793</v>
      </c>
      <c r="F3967" s="466" t="s">
        <v>1251</v>
      </c>
      <c r="G3967" s="465"/>
      <c r="H3967" s="465">
        <v>2</v>
      </c>
    </row>
    <row r="3968" spans="1:8" ht="13.8" thickBot="1">
      <c r="A3968" s="467" t="s">
        <v>9219</v>
      </c>
      <c r="B3968" s="465" t="s">
        <v>1825</v>
      </c>
      <c r="C3968" s="466">
        <v>6.5</v>
      </c>
      <c r="D3968" s="467" t="s">
        <v>614</v>
      </c>
      <c r="E3968" s="466" t="s">
        <v>1793</v>
      </c>
      <c r="F3968" s="466" t="s">
        <v>1226</v>
      </c>
      <c r="G3968" s="465"/>
      <c r="H3968" s="465">
        <v>1</v>
      </c>
    </row>
    <row r="3969" spans="1:8" ht="13.8" thickBot="1">
      <c r="A3969" s="465" t="s">
        <v>9220</v>
      </c>
      <c r="B3969" s="465" t="s">
        <v>1826</v>
      </c>
      <c r="C3969" s="466">
        <v>6.5</v>
      </c>
      <c r="D3969" s="465"/>
      <c r="E3969" s="466" t="s">
        <v>1793</v>
      </c>
      <c r="F3969" s="466" t="s">
        <v>1226</v>
      </c>
      <c r="G3969" s="465">
        <v>1</v>
      </c>
      <c r="H3969" s="465">
        <v>4</v>
      </c>
    </row>
    <row r="3970" spans="1:8" ht="13.8" thickBot="1">
      <c r="A3970" s="465" t="s">
        <v>9221</v>
      </c>
      <c r="B3970" s="465" t="s">
        <v>1827</v>
      </c>
      <c r="C3970" s="466">
        <v>6.5</v>
      </c>
      <c r="D3970" s="465"/>
      <c r="E3970" s="466" t="s">
        <v>1793</v>
      </c>
      <c r="F3970" s="466" t="s">
        <v>1226</v>
      </c>
      <c r="G3970" s="465"/>
      <c r="H3970" s="465">
        <v>2</v>
      </c>
    </row>
    <row r="3971" spans="1:8" ht="13.8" thickBot="1">
      <c r="A3971" s="467" t="s">
        <v>9222</v>
      </c>
      <c r="B3971" s="465" t="s">
        <v>1828</v>
      </c>
      <c r="C3971" s="466">
        <v>6.5</v>
      </c>
      <c r="D3971" s="465"/>
      <c r="E3971" s="466" t="s">
        <v>1793</v>
      </c>
      <c r="F3971" s="466" t="s">
        <v>1226</v>
      </c>
      <c r="G3971" s="465"/>
      <c r="H3971" s="465">
        <v>1</v>
      </c>
    </row>
    <row r="3972" spans="1:8" ht="13.8" thickBot="1">
      <c r="A3972" s="465" t="s">
        <v>9223</v>
      </c>
      <c r="B3972" s="465" t="s">
        <v>1829</v>
      </c>
      <c r="C3972" s="466">
        <v>6.5</v>
      </c>
      <c r="D3972" s="465"/>
      <c r="E3972" s="466" t="s">
        <v>1793</v>
      </c>
      <c r="F3972" s="466"/>
      <c r="G3972" s="465"/>
      <c r="H3972" s="465">
        <v>1</v>
      </c>
    </row>
    <row r="3973" spans="1:8" ht="13.8" thickBot="1">
      <c r="A3973" s="465" t="s">
        <v>9241</v>
      </c>
      <c r="B3973" s="465" t="s">
        <v>2220</v>
      </c>
      <c r="C3973" s="466">
        <v>6.5</v>
      </c>
      <c r="D3973" s="467" t="s">
        <v>614</v>
      </c>
      <c r="E3973" s="466" t="s">
        <v>2216</v>
      </c>
      <c r="F3973" s="466"/>
      <c r="G3973" s="465">
        <v>1</v>
      </c>
      <c r="H3973" s="465">
        <v>2</v>
      </c>
    </row>
    <row r="3974" spans="1:8" ht="13.8" thickBot="1">
      <c r="A3974" s="465" t="s">
        <v>9518</v>
      </c>
      <c r="B3974" s="465" t="s">
        <v>4793</v>
      </c>
      <c r="C3974" s="466">
        <v>6.5</v>
      </c>
      <c r="D3974" s="465"/>
      <c r="E3974" s="466" t="s">
        <v>4789</v>
      </c>
      <c r="F3974" s="466"/>
      <c r="G3974" s="465"/>
      <c r="H3974" s="465"/>
    </row>
    <row r="3975" spans="1:8" ht="13.8" thickBot="1">
      <c r="A3975" s="465" t="s">
        <v>9519</v>
      </c>
      <c r="B3975" s="465" t="s">
        <v>4827</v>
      </c>
      <c r="C3975" s="466">
        <v>6.5</v>
      </c>
      <c r="D3975" s="465"/>
      <c r="E3975" s="466" t="s">
        <v>4822</v>
      </c>
      <c r="F3975" s="466" t="s">
        <v>1226</v>
      </c>
      <c r="G3975" s="465">
        <v>2</v>
      </c>
      <c r="H3975" s="465">
        <v>5</v>
      </c>
    </row>
    <row r="3976" spans="1:8" ht="13.8" thickBot="1">
      <c r="A3976" s="467" t="s">
        <v>9520</v>
      </c>
      <c r="B3976" s="465" t="s">
        <v>4885</v>
      </c>
      <c r="C3976" s="466">
        <v>6.5</v>
      </c>
      <c r="D3976" s="465"/>
      <c r="E3976" s="466" t="s">
        <v>4865</v>
      </c>
      <c r="F3976" s="466" t="s">
        <v>1251</v>
      </c>
      <c r="G3976" s="465">
        <v>2</v>
      </c>
      <c r="H3976" s="465">
        <v>4</v>
      </c>
    </row>
    <row r="3977" spans="1:8" ht="13.8" thickBot="1">
      <c r="A3977" s="467" t="s">
        <v>9521</v>
      </c>
      <c r="B3977" s="465" t="s">
        <v>4878</v>
      </c>
      <c r="C3977" s="466">
        <v>6.5</v>
      </c>
      <c r="D3977" s="467" t="s">
        <v>614</v>
      </c>
      <c r="E3977" s="466" t="s">
        <v>4865</v>
      </c>
      <c r="F3977" s="466" t="s">
        <v>1251</v>
      </c>
      <c r="G3977" s="465">
        <v>2</v>
      </c>
      <c r="H3977" s="465">
        <v>4</v>
      </c>
    </row>
    <row r="3978" spans="1:8" ht="13.8" thickBot="1">
      <c r="A3978" s="465" t="s">
        <v>9522</v>
      </c>
      <c r="B3978" s="465" t="s">
        <v>4886</v>
      </c>
      <c r="C3978" s="466">
        <v>6.5</v>
      </c>
      <c r="D3978" s="465"/>
      <c r="E3978" s="466" t="s">
        <v>4865</v>
      </c>
      <c r="F3978" s="466" t="s">
        <v>1251</v>
      </c>
      <c r="G3978" s="465"/>
      <c r="H3978" s="465">
        <v>7</v>
      </c>
    </row>
    <row r="3979" spans="1:8" ht="13.8" thickBot="1">
      <c r="A3979" s="467" t="s">
        <v>9523</v>
      </c>
      <c r="B3979" s="465" t="s">
        <v>4904</v>
      </c>
      <c r="C3979" s="466">
        <v>6.5</v>
      </c>
      <c r="D3979" s="467" t="s">
        <v>2628</v>
      </c>
      <c r="E3979" s="466" t="s">
        <v>4905</v>
      </c>
      <c r="F3979" s="466" t="s">
        <v>1251</v>
      </c>
      <c r="G3979" s="465"/>
      <c r="H3979" s="465">
        <v>4</v>
      </c>
    </row>
    <row r="3980" spans="1:8" ht="13.8" thickBot="1">
      <c r="A3980" s="465" t="s">
        <v>9524</v>
      </c>
      <c r="B3980" s="465" t="s">
        <v>4906</v>
      </c>
      <c r="C3980" s="466">
        <v>6.5</v>
      </c>
      <c r="D3980" s="465"/>
      <c r="E3980" s="466" t="s">
        <v>4905</v>
      </c>
      <c r="F3980" s="466" t="s">
        <v>1226</v>
      </c>
      <c r="G3980" s="465"/>
      <c r="H3980" s="465">
        <v>5</v>
      </c>
    </row>
    <row r="3981" spans="1:8" ht="13.8" thickBot="1">
      <c r="A3981" s="467" t="s">
        <v>9525</v>
      </c>
      <c r="B3981" s="465" t="s">
        <v>4923</v>
      </c>
      <c r="C3981" s="466">
        <v>6.5</v>
      </c>
      <c r="D3981" s="465"/>
      <c r="E3981" s="466" t="s">
        <v>4918</v>
      </c>
      <c r="F3981" s="466"/>
      <c r="G3981" s="465"/>
      <c r="H3981" s="465">
        <v>1</v>
      </c>
    </row>
    <row r="3982" spans="1:8" ht="13.8" thickBot="1">
      <c r="A3982" s="467" t="s">
        <v>9526</v>
      </c>
      <c r="B3982" s="465" t="s">
        <v>4924</v>
      </c>
      <c r="C3982" s="466">
        <v>6.5</v>
      </c>
      <c r="D3982" s="465"/>
      <c r="E3982" s="466" t="s">
        <v>4918</v>
      </c>
      <c r="F3982" s="466"/>
      <c r="G3982" s="465"/>
      <c r="H3982" s="465"/>
    </row>
    <row r="3983" spans="1:8" ht="13.8" thickBot="1">
      <c r="A3983" s="467" t="s">
        <v>9527</v>
      </c>
      <c r="B3983" s="465" t="s">
        <v>4925</v>
      </c>
      <c r="C3983" s="466">
        <v>6.5</v>
      </c>
      <c r="D3983" s="465"/>
      <c r="E3983" s="466" t="s">
        <v>4918</v>
      </c>
      <c r="F3983" s="466"/>
      <c r="G3983" s="465"/>
      <c r="H3983" s="465">
        <v>1</v>
      </c>
    </row>
    <row r="3984" spans="1:8" ht="13.8" thickBot="1">
      <c r="A3984" s="465" t="s">
        <v>9528</v>
      </c>
      <c r="B3984" s="465" t="s">
        <v>4948</v>
      </c>
      <c r="C3984" s="466">
        <v>6.5</v>
      </c>
      <c r="D3984" s="465" t="s">
        <v>4949</v>
      </c>
      <c r="E3984" s="466" t="s">
        <v>4943</v>
      </c>
      <c r="F3984" s="466" t="s">
        <v>1226</v>
      </c>
      <c r="G3984" s="465"/>
      <c r="H3984" s="465">
        <v>3</v>
      </c>
    </row>
    <row r="3985" spans="1:8" ht="13.8" thickBot="1">
      <c r="A3985" s="465" t="s">
        <v>9529</v>
      </c>
      <c r="B3985" s="465" t="s">
        <v>4950</v>
      </c>
      <c r="C3985" s="466">
        <v>6.5</v>
      </c>
      <c r="D3985" s="467" t="s">
        <v>614</v>
      </c>
      <c r="E3985" s="466" t="s">
        <v>4943</v>
      </c>
      <c r="F3985" s="466" t="s">
        <v>1224</v>
      </c>
      <c r="G3985" s="465"/>
      <c r="H3985" s="465">
        <v>2</v>
      </c>
    </row>
    <row r="3986" spans="1:8" ht="13.8" thickBot="1">
      <c r="A3986" s="467" t="s">
        <v>9530</v>
      </c>
      <c r="B3986" s="465" t="s">
        <v>4951</v>
      </c>
      <c r="C3986" s="466">
        <v>6.5</v>
      </c>
      <c r="D3986" s="465"/>
      <c r="E3986" s="466" t="s">
        <v>4943</v>
      </c>
      <c r="F3986" s="466" t="s">
        <v>1224</v>
      </c>
      <c r="G3986" s="465">
        <v>1</v>
      </c>
      <c r="H3986" s="465">
        <v>6</v>
      </c>
    </row>
    <row r="3987" spans="1:8" ht="13.8" thickBot="1">
      <c r="A3987" s="465" t="s">
        <v>9531</v>
      </c>
      <c r="B3987" s="465" t="s">
        <v>4962</v>
      </c>
      <c r="C3987" s="466">
        <v>6.5</v>
      </c>
      <c r="D3987" s="467" t="s">
        <v>2223</v>
      </c>
      <c r="E3987" s="466" t="s">
        <v>4963</v>
      </c>
      <c r="F3987" s="466"/>
      <c r="G3987" s="465"/>
      <c r="H3987" s="465"/>
    </row>
    <row r="3988" spans="1:8" ht="13.8" thickBot="1">
      <c r="A3988" s="467" t="s">
        <v>9532</v>
      </c>
      <c r="B3988" s="465" t="s">
        <v>4975</v>
      </c>
      <c r="C3988" s="466">
        <v>6.5</v>
      </c>
      <c r="D3988" s="465"/>
      <c r="E3988" s="466" t="s">
        <v>4970</v>
      </c>
      <c r="F3988" s="466" t="s">
        <v>1226</v>
      </c>
      <c r="G3988" s="465"/>
      <c r="H3988" s="465">
        <v>6</v>
      </c>
    </row>
    <row r="3989" spans="1:8" ht="13.8" thickBot="1">
      <c r="A3989" s="465" t="s">
        <v>9533</v>
      </c>
      <c r="B3989" s="465" t="s">
        <v>4976</v>
      </c>
      <c r="C3989" s="466">
        <v>6.5</v>
      </c>
      <c r="D3989" s="465"/>
      <c r="E3989" s="466" t="s">
        <v>4970</v>
      </c>
      <c r="F3989" s="466" t="s">
        <v>1224</v>
      </c>
      <c r="G3989" s="465"/>
      <c r="H3989" s="465">
        <v>3</v>
      </c>
    </row>
    <row r="3990" spans="1:8" ht="13.8" thickBot="1">
      <c r="A3990" s="465" t="s">
        <v>9534</v>
      </c>
      <c r="B3990" s="465" t="s">
        <v>4977</v>
      </c>
      <c r="C3990" s="466">
        <v>6.5</v>
      </c>
      <c r="D3990" s="465"/>
      <c r="E3990" s="466" t="s">
        <v>4970</v>
      </c>
      <c r="F3990" s="466" t="s">
        <v>1220</v>
      </c>
      <c r="G3990" s="465"/>
      <c r="H3990" s="465">
        <v>3</v>
      </c>
    </row>
    <row r="3991" spans="1:8" ht="13.8" thickBot="1">
      <c r="A3991" s="467" t="s">
        <v>9535</v>
      </c>
      <c r="B3991" s="465" t="s">
        <v>4978</v>
      </c>
      <c r="C3991" s="466">
        <v>6.5</v>
      </c>
      <c r="D3991" s="465"/>
      <c r="E3991" s="466" t="s">
        <v>4970</v>
      </c>
      <c r="F3991" s="466"/>
      <c r="G3991" s="465">
        <v>2</v>
      </c>
      <c r="H3991" s="465">
        <v>5</v>
      </c>
    </row>
    <row r="3992" spans="1:8" ht="13.8" thickBot="1">
      <c r="A3992" s="465" t="s">
        <v>9536</v>
      </c>
      <c r="B3992" s="465" t="s">
        <v>4979</v>
      </c>
      <c r="C3992" s="466">
        <v>6.5</v>
      </c>
      <c r="D3992" s="465"/>
      <c r="E3992" s="466" t="s">
        <v>4970</v>
      </c>
      <c r="F3992" s="466"/>
      <c r="G3992" s="465"/>
      <c r="H3992" s="465">
        <v>3</v>
      </c>
    </row>
    <row r="3993" spans="1:8" ht="13.8" thickBot="1">
      <c r="A3993" s="465" t="s">
        <v>9242</v>
      </c>
      <c r="B3993" s="465" t="s">
        <v>2247</v>
      </c>
      <c r="C3993" s="466">
        <v>6.5</v>
      </c>
      <c r="D3993" s="467" t="s">
        <v>614</v>
      </c>
      <c r="E3993" s="466" t="s">
        <v>2242</v>
      </c>
      <c r="F3993" s="466" t="s">
        <v>1251</v>
      </c>
      <c r="G3993" s="465"/>
      <c r="H3993" s="465">
        <v>6</v>
      </c>
    </row>
    <row r="3994" spans="1:8" ht="13.8" thickBot="1">
      <c r="A3994" s="465" t="s">
        <v>9243</v>
      </c>
      <c r="B3994" s="465" t="s">
        <v>2248</v>
      </c>
      <c r="C3994" s="466">
        <v>6.5</v>
      </c>
      <c r="D3994" s="467" t="s">
        <v>2158</v>
      </c>
      <c r="E3994" s="466" t="s">
        <v>2242</v>
      </c>
      <c r="F3994" s="466" t="s">
        <v>1251</v>
      </c>
      <c r="G3994" s="465">
        <v>2</v>
      </c>
      <c r="H3994" s="465">
        <v>11</v>
      </c>
    </row>
    <row r="3995" spans="1:8" ht="13.8" thickBot="1">
      <c r="A3995" s="465" t="s">
        <v>9244</v>
      </c>
      <c r="B3995" s="465" t="s">
        <v>2249</v>
      </c>
      <c r="C3995" s="466">
        <v>6.5</v>
      </c>
      <c r="D3995" s="467" t="s">
        <v>614</v>
      </c>
      <c r="E3995" s="466" t="s">
        <v>2242</v>
      </c>
      <c r="F3995" s="466" t="s">
        <v>1226</v>
      </c>
      <c r="G3995" s="465"/>
      <c r="H3995" s="465">
        <v>2</v>
      </c>
    </row>
    <row r="3996" spans="1:8" ht="13.8" thickBot="1">
      <c r="A3996" s="467" t="s">
        <v>9537</v>
      </c>
      <c r="B3996" s="465" t="s">
        <v>5011</v>
      </c>
      <c r="C3996" s="466">
        <v>6.5</v>
      </c>
      <c r="D3996" s="465"/>
      <c r="E3996" s="466" t="s">
        <v>5010</v>
      </c>
      <c r="F3996" s="466" t="s">
        <v>1226</v>
      </c>
      <c r="G3996" s="465"/>
      <c r="H3996" s="465">
        <v>2</v>
      </c>
    </row>
    <row r="3997" spans="1:8" ht="13.8" thickBot="1">
      <c r="A3997" s="467" t="s">
        <v>9538</v>
      </c>
      <c r="B3997" s="465" t="s">
        <v>5034</v>
      </c>
      <c r="C3997" s="466">
        <v>6.5</v>
      </c>
      <c r="D3997" s="465"/>
      <c r="E3997" s="466" t="s">
        <v>5031</v>
      </c>
      <c r="F3997" s="466" t="s">
        <v>1226</v>
      </c>
      <c r="G3997" s="465"/>
      <c r="H3997" s="465">
        <v>2</v>
      </c>
    </row>
    <row r="3998" spans="1:8" ht="13.8" thickBot="1">
      <c r="A3998" s="465" t="s">
        <v>9539</v>
      </c>
      <c r="B3998" s="465" t="s">
        <v>5032</v>
      </c>
      <c r="C3998" s="466">
        <v>6.5</v>
      </c>
      <c r="D3998" s="465"/>
      <c r="E3998" s="466" t="s">
        <v>5031</v>
      </c>
      <c r="F3998" s="466"/>
      <c r="G3998" s="465"/>
      <c r="H3998" s="465"/>
    </row>
    <row r="3999" spans="1:8" ht="13.8" thickBot="1">
      <c r="A3999" s="467" t="s">
        <v>9540</v>
      </c>
      <c r="B3999" s="465" t="s">
        <v>5062</v>
      </c>
      <c r="C3999" s="466">
        <v>6.5</v>
      </c>
      <c r="D3999" s="465"/>
      <c r="E3999" s="466" t="s">
        <v>5059</v>
      </c>
      <c r="F3999" s="466" t="s">
        <v>1226</v>
      </c>
      <c r="G3999" s="465"/>
      <c r="H3999" s="465">
        <v>2</v>
      </c>
    </row>
    <row r="4000" spans="1:8" ht="13.8" thickBot="1">
      <c r="A4000" s="465" t="s">
        <v>9541</v>
      </c>
      <c r="B4000" s="465" t="s">
        <v>5062</v>
      </c>
      <c r="C4000" s="466">
        <v>6.5</v>
      </c>
      <c r="D4000" s="465"/>
      <c r="E4000" s="466" t="s">
        <v>5059</v>
      </c>
      <c r="F4000" s="466"/>
      <c r="G4000" s="465"/>
      <c r="H4000" s="465">
        <v>2</v>
      </c>
    </row>
    <row r="4001" spans="1:8" ht="13.8" thickBot="1">
      <c r="A4001" s="465" t="s">
        <v>9542</v>
      </c>
      <c r="B4001" s="465" t="s">
        <v>5063</v>
      </c>
      <c r="C4001" s="466">
        <v>6.5</v>
      </c>
      <c r="D4001" s="465"/>
      <c r="E4001" s="466" t="s">
        <v>5059</v>
      </c>
      <c r="F4001" s="466"/>
      <c r="G4001" s="465">
        <v>2</v>
      </c>
      <c r="H4001" s="465">
        <v>4</v>
      </c>
    </row>
    <row r="4002" spans="1:8" ht="13.8" thickBot="1">
      <c r="A4002" s="467" t="s">
        <v>9543</v>
      </c>
      <c r="B4002" s="465" t="s">
        <v>5082</v>
      </c>
      <c r="C4002" s="466">
        <v>6.5</v>
      </c>
      <c r="D4002" s="467" t="s">
        <v>614</v>
      </c>
      <c r="E4002" s="466" t="s">
        <v>5079</v>
      </c>
      <c r="F4002" s="466" t="s">
        <v>1251</v>
      </c>
      <c r="G4002" s="465">
        <v>1</v>
      </c>
      <c r="H4002" s="465">
        <v>8</v>
      </c>
    </row>
    <row r="4003" spans="1:8" ht="13.8" thickBot="1">
      <c r="A4003" s="467" t="s">
        <v>9544</v>
      </c>
      <c r="B4003" s="465" t="s">
        <v>5083</v>
      </c>
      <c r="C4003" s="466">
        <v>6.5</v>
      </c>
      <c r="D4003" s="465"/>
      <c r="E4003" s="466" t="s">
        <v>5079</v>
      </c>
      <c r="F4003" s="466" t="s">
        <v>1224</v>
      </c>
      <c r="G4003" s="465"/>
      <c r="H4003" s="465">
        <v>5</v>
      </c>
    </row>
    <row r="4004" spans="1:8" ht="13.8" thickBot="1">
      <c r="A4004" s="465" t="s">
        <v>9545</v>
      </c>
      <c r="B4004" s="465" t="s">
        <v>5084</v>
      </c>
      <c r="C4004" s="466">
        <v>6.5</v>
      </c>
      <c r="D4004" s="465"/>
      <c r="E4004" s="466" t="s">
        <v>5079</v>
      </c>
      <c r="F4004" s="466"/>
      <c r="G4004" s="465"/>
      <c r="H4004" s="465"/>
    </row>
    <row r="4005" spans="1:8" ht="13.8" thickBot="1">
      <c r="A4005" s="467" t="s">
        <v>9546</v>
      </c>
      <c r="B4005" s="470" t="s">
        <v>5110</v>
      </c>
      <c r="C4005" s="471">
        <v>6.5</v>
      </c>
      <c r="D4005" s="465"/>
      <c r="E4005" s="471" t="s">
        <v>5109</v>
      </c>
      <c r="F4005" s="466"/>
      <c r="G4005" s="465">
        <v>2</v>
      </c>
      <c r="H4005" s="470">
        <v>2</v>
      </c>
    </row>
    <row r="4006" spans="1:8" ht="13.8" thickBot="1">
      <c r="A4006" s="465" t="s">
        <v>9245</v>
      </c>
      <c r="B4006" s="468" t="s">
        <v>2274</v>
      </c>
      <c r="C4006" s="466">
        <v>6.5</v>
      </c>
      <c r="D4006" s="465"/>
      <c r="E4006" s="466" t="s">
        <v>2273</v>
      </c>
      <c r="F4006" s="466" t="s">
        <v>1226</v>
      </c>
      <c r="G4006" s="465"/>
      <c r="H4006" s="465">
        <v>4</v>
      </c>
    </row>
    <row r="4007" spans="1:8" ht="13.8" thickBot="1">
      <c r="A4007" s="465" t="s">
        <v>9246</v>
      </c>
      <c r="B4007" s="465" t="s">
        <v>2275</v>
      </c>
      <c r="C4007" s="466">
        <v>6.5</v>
      </c>
      <c r="D4007" s="465"/>
      <c r="E4007" s="466" t="s">
        <v>2273</v>
      </c>
      <c r="F4007" s="466" t="s">
        <v>1226</v>
      </c>
      <c r="G4007" s="465"/>
      <c r="H4007" s="465">
        <v>6</v>
      </c>
    </row>
    <row r="4008" spans="1:8" ht="13.8" thickBot="1">
      <c r="A4008" s="467" t="s">
        <v>9547</v>
      </c>
      <c r="B4008" s="465" t="s">
        <v>1536</v>
      </c>
      <c r="C4008" s="466">
        <v>6.5</v>
      </c>
      <c r="D4008" s="465"/>
      <c r="E4008" s="466" t="s">
        <v>5125</v>
      </c>
      <c r="F4008" s="466" t="s">
        <v>1226</v>
      </c>
      <c r="G4008" s="465"/>
      <c r="H4008" s="465">
        <v>2</v>
      </c>
    </row>
    <row r="4009" spans="1:8" ht="13.8" thickBot="1">
      <c r="A4009" s="465" t="s">
        <v>9548</v>
      </c>
      <c r="B4009" s="465" t="s">
        <v>5128</v>
      </c>
      <c r="C4009" s="466">
        <v>6.5</v>
      </c>
      <c r="D4009" s="465"/>
      <c r="E4009" s="466" t="s">
        <v>5125</v>
      </c>
      <c r="F4009" s="466" t="s">
        <v>1226</v>
      </c>
      <c r="G4009" s="465"/>
      <c r="H4009" s="465">
        <v>5</v>
      </c>
    </row>
    <row r="4010" spans="1:8" ht="13.8" thickBot="1">
      <c r="A4010" s="465" t="s">
        <v>9549</v>
      </c>
      <c r="B4010" s="465" t="s">
        <v>5129</v>
      </c>
      <c r="C4010" s="466">
        <v>6.5</v>
      </c>
      <c r="D4010" s="465"/>
      <c r="E4010" s="466" t="s">
        <v>5125</v>
      </c>
      <c r="F4010" s="466" t="s">
        <v>1226</v>
      </c>
      <c r="G4010" s="465"/>
      <c r="H4010" s="465">
        <v>3</v>
      </c>
    </row>
    <row r="4011" spans="1:8" ht="13.8" thickBot="1">
      <c r="A4011" s="465" t="s">
        <v>9550</v>
      </c>
      <c r="B4011" s="465" t="s">
        <v>5130</v>
      </c>
      <c r="C4011" s="466">
        <v>6.5</v>
      </c>
      <c r="D4011" s="465"/>
      <c r="E4011" s="466" t="s">
        <v>5125</v>
      </c>
      <c r="F4011" s="466" t="s">
        <v>1224</v>
      </c>
      <c r="G4011" s="465">
        <v>2</v>
      </c>
      <c r="H4011" s="465">
        <v>2</v>
      </c>
    </row>
    <row r="4012" spans="1:8" ht="13.8" thickBot="1">
      <c r="A4012" s="465" t="s">
        <v>9551</v>
      </c>
      <c r="B4012" s="465" t="s">
        <v>1700</v>
      </c>
      <c r="C4012" s="466">
        <v>6.5</v>
      </c>
      <c r="D4012" s="465"/>
      <c r="E4012" s="466" t="s">
        <v>5139</v>
      </c>
      <c r="F4012" s="466" t="s">
        <v>1251</v>
      </c>
      <c r="G4012" s="465">
        <v>2</v>
      </c>
      <c r="H4012" s="465">
        <v>3</v>
      </c>
    </row>
    <row r="4013" spans="1:8" ht="13.8" thickBot="1">
      <c r="A4013" s="465" t="s">
        <v>9552</v>
      </c>
      <c r="B4013" s="465" t="s">
        <v>1703</v>
      </c>
      <c r="C4013" s="466">
        <v>6.5</v>
      </c>
      <c r="D4013" s="465"/>
      <c r="E4013" s="466" t="s">
        <v>5139</v>
      </c>
      <c r="F4013" s="466" t="s">
        <v>1226</v>
      </c>
      <c r="G4013" s="465"/>
      <c r="H4013" s="465">
        <v>7</v>
      </c>
    </row>
    <row r="4014" spans="1:8" ht="13.8" thickBot="1">
      <c r="A4014" s="465" t="s">
        <v>9553</v>
      </c>
      <c r="B4014" s="465" t="s">
        <v>1700</v>
      </c>
      <c r="C4014" s="466">
        <v>6.5</v>
      </c>
      <c r="D4014" s="465"/>
      <c r="E4014" s="466" t="s">
        <v>5139</v>
      </c>
      <c r="F4014" s="466"/>
      <c r="G4014" s="465"/>
      <c r="H4014" s="465"/>
    </row>
    <row r="4015" spans="1:8" ht="13.8" thickBot="1">
      <c r="A4015" s="467" t="s">
        <v>9554</v>
      </c>
      <c r="B4015" s="465" t="s">
        <v>5143</v>
      </c>
      <c r="C4015" s="466">
        <v>6.5</v>
      </c>
      <c r="D4015" s="465"/>
      <c r="E4015" s="466" t="s">
        <v>5139</v>
      </c>
      <c r="F4015" s="466"/>
      <c r="G4015" s="465"/>
      <c r="H4015" s="465">
        <v>2</v>
      </c>
    </row>
    <row r="4016" spans="1:8" ht="13.8" thickBot="1">
      <c r="A4016" s="465" t="s">
        <v>9555</v>
      </c>
      <c r="B4016" s="465" t="s">
        <v>5167</v>
      </c>
      <c r="C4016" s="466">
        <v>6.5</v>
      </c>
      <c r="D4016" s="465"/>
      <c r="E4016" s="466" t="s">
        <v>5155</v>
      </c>
      <c r="F4016" s="466" t="s">
        <v>1251</v>
      </c>
      <c r="G4016" s="465"/>
      <c r="H4016" s="465">
        <v>2</v>
      </c>
    </row>
    <row r="4017" spans="1:8" ht="13.8" thickBot="1">
      <c r="A4017" s="465" t="s">
        <v>9556</v>
      </c>
      <c r="B4017" s="465" t="s">
        <v>5163</v>
      </c>
      <c r="C4017" s="466">
        <v>6.5</v>
      </c>
      <c r="D4017" s="465"/>
      <c r="E4017" s="466" t="s">
        <v>5155</v>
      </c>
      <c r="F4017" s="466" t="s">
        <v>1226</v>
      </c>
      <c r="G4017" s="465"/>
      <c r="H4017" s="465">
        <v>1</v>
      </c>
    </row>
    <row r="4018" spans="1:8" ht="13.8" thickBot="1">
      <c r="A4018" s="465" t="s">
        <v>9557</v>
      </c>
      <c r="B4018" s="465" t="s">
        <v>5207</v>
      </c>
      <c r="C4018" s="466">
        <v>6.5</v>
      </c>
      <c r="D4018" s="467" t="s">
        <v>614</v>
      </c>
      <c r="E4018" s="466" t="s">
        <v>5196</v>
      </c>
      <c r="F4018" s="466" t="s">
        <v>1226</v>
      </c>
      <c r="G4018" s="465"/>
      <c r="H4018" s="465">
        <v>3</v>
      </c>
    </row>
    <row r="4019" spans="1:8" ht="13.8" thickBot="1">
      <c r="A4019" s="465" t="s">
        <v>9558</v>
      </c>
      <c r="B4019" s="465" t="s">
        <v>5208</v>
      </c>
      <c r="C4019" s="466">
        <v>6.5</v>
      </c>
      <c r="D4019" s="467" t="s">
        <v>614</v>
      </c>
      <c r="E4019" s="466" t="s">
        <v>5196</v>
      </c>
      <c r="F4019" s="466" t="s">
        <v>1226</v>
      </c>
      <c r="G4019" s="465"/>
      <c r="H4019" s="465">
        <v>5</v>
      </c>
    </row>
    <row r="4020" spans="1:8" ht="13.8" thickBot="1">
      <c r="A4020" s="465" t="s">
        <v>9559</v>
      </c>
      <c r="B4020" s="465" t="s">
        <v>5209</v>
      </c>
      <c r="C4020" s="466">
        <v>6.5</v>
      </c>
      <c r="D4020" s="467" t="s">
        <v>614</v>
      </c>
      <c r="E4020" s="466" t="s">
        <v>5196</v>
      </c>
      <c r="F4020" s="466" t="s">
        <v>1226</v>
      </c>
      <c r="G4020" s="465">
        <v>2</v>
      </c>
      <c r="H4020" s="465">
        <v>5</v>
      </c>
    </row>
    <row r="4021" spans="1:8" ht="13.8" thickBot="1">
      <c r="A4021" s="465" t="s">
        <v>9560</v>
      </c>
      <c r="B4021" s="465" t="s">
        <v>5210</v>
      </c>
      <c r="C4021" s="466">
        <v>6.5</v>
      </c>
      <c r="D4021" s="465"/>
      <c r="E4021" s="466" t="s">
        <v>5196</v>
      </c>
      <c r="F4021" s="466" t="s">
        <v>1224</v>
      </c>
      <c r="G4021" s="465"/>
      <c r="H4021" s="465">
        <v>12</v>
      </c>
    </row>
    <row r="4022" spans="1:8" ht="13.8" thickBot="1">
      <c r="A4022" s="467" t="s">
        <v>9561</v>
      </c>
      <c r="B4022" s="465" t="s">
        <v>5211</v>
      </c>
      <c r="C4022" s="466">
        <v>6.5</v>
      </c>
      <c r="D4022" s="465"/>
      <c r="E4022" s="466" t="s">
        <v>5196</v>
      </c>
      <c r="F4022" s="466"/>
      <c r="G4022" s="465">
        <v>1</v>
      </c>
      <c r="H4022" s="465">
        <v>2</v>
      </c>
    </row>
    <row r="4023" spans="1:8" ht="13.8" thickBot="1">
      <c r="A4023" s="467" t="s">
        <v>9562</v>
      </c>
      <c r="B4023" s="465" t="s">
        <v>5237</v>
      </c>
      <c r="C4023" s="466">
        <v>6.5</v>
      </c>
      <c r="D4023" s="465"/>
      <c r="E4023" s="466" t="s">
        <v>5226</v>
      </c>
      <c r="F4023" s="466" t="s">
        <v>1841</v>
      </c>
      <c r="G4023" s="465"/>
      <c r="H4023" s="465">
        <v>3</v>
      </c>
    </row>
    <row r="4024" spans="1:8" ht="13.8" thickBot="1">
      <c r="A4024" s="467" t="s">
        <v>9563</v>
      </c>
      <c r="B4024" s="465" t="s">
        <v>5238</v>
      </c>
      <c r="C4024" s="466">
        <v>6.5</v>
      </c>
      <c r="D4024" s="465"/>
      <c r="E4024" s="466" t="s">
        <v>5226</v>
      </c>
      <c r="F4024" s="466" t="s">
        <v>1226</v>
      </c>
      <c r="G4024" s="465"/>
      <c r="H4024" s="465">
        <v>2</v>
      </c>
    </row>
    <row r="4025" spans="1:8" ht="13.8" thickBot="1">
      <c r="A4025" s="465" t="s">
        <v>9564</v>
      </c>
      <c r="B4025" s="465" t="s">
        <v>5253</v>
      </c>
      <c r="C4025" s="466">
        <v>6.5</v>
      </c>
      <c r="D4025" s="465"/>
      <c r="E4025" s="466" t="s">
        <v>5252</v>
      </c>
      <c r="F4025" s="466" t="s">
        <v>2319</v>
      </c>
      <c r="G4025" s="465"/>
      <c r="H4025" s="465">
        <v>14</v>
      </c>
    </row>
    <row r="4026" spans="1:8" ht="13.8" thickBot="1">
      <c r="A4026" s="467" t="s">
        <v>9565</v>
      </c>
      <c r="B4026" s="465" t="s">
        <v>5254</v>
      </c>
      <c r="C4026" s="466">
        <v>6.5</v>
      </c>
      <c r="D4026" s="467" t="s">
        <v>5255</v>
      </c>
      <c r="E4026" s="466" t="s">
        <v>5252</v>
      </c>
      <c r="F4026" s="466" t="s">
        <v>1251</v>
      </c>
      <c r="G4026" s="465"/>
      <c r="H4026" s="465">
        <v>7</v>
      </c>
    </row>
    <row r="4027" spans="1:8" ht="13.8" thickBot="1">
      <c r="A4027" s="465" t="s">
        <v>9247</v>
      </c>
      <c r="B4027" s="465" t="s">
        <v>2351</v>
      </c>
      <c r="C4027" s="466">
        <v>6.5</v>
      </c>
      <c r="D4027" s="467" t="s">
        <v>614</v>
      </c>
      <c r="E4027" s="466" t="s">
        <v>2289</v>
      </c>
      <c r="F4027" s="466" t="s">
        <v>2319</v>
      </c>
      <c r="G4027" s="465">
        <v>1</v>
      </c>
      <c r="H4027" s="465">
        <v>8</v>
      </c>
    </row>
    <row r="4028" spans="1:8" ht="13.8" thickBot="1">
      <c r="A4028" s="465" t="s">
        <v>9248</v>
      </c>
      <c r="B4028" s="465" t="s">
        <v>2352</v>
      </c>
      <c r="C4028" s="466">
        <v>6.5</v>
      </c>
      <c r="D4028" s="467" t="s">
        <v>614</v>
      </c>
      <c r="E4028" s="466" t="s">
        <v>2289</v>
      </c>
      <c r="F4028" s="466" t="s">
        <v>1251</v>
      </c>
      <c r="G4028" s="465"/>
      <c r="H4028" s="465">
        <v>6</v>
      </c>
    </row>
    <row r="4029" spans="1:8" ht="13.8" thickBot="1">
      <c r="A4029" s="465" t="s">
        <v>9249</v>
      </c>
      <c r="B4029" s="465" t="s">
        <v>2308</v>
      </c>
      <c r="C4029" s="466">
        <v>6.5</v>
      </c>
      <c r="D4029" s="465"/>
      <c r="E4029" s="466" t="s">
        <v>2289</v>
      </c>
      <c r="F4029" s="466" t="s">
        <v>1251</v>
      </c>
      <c r="G4029" s="465">
        <v>1</v>
      </c>
      <c r="H4029" s="465">
        <v>4</v>
      </c>
    </row>
    <row r="4030" spans="1:8" ht="13.8" thickBot="1">
      <c r="A4030" s="465" t="s">
        <v>9250</v>
      </c>
      <c r="B4030" s="465" t="s">
        <v>2353</v>
      </c>
      <c r="C4030" s="466">
        <v>6.5</v>
      </c>
      <c r="D4030" s="467" t="s">
        <v>614</v>
      </c>
      <c r="E4030" s="466" t="s">
        <v>2289</v>
      </c>
      <c r="F4030" s="466" t="s">
        <v>1251</v>
      </c>
      <c r="G4030" s="465">
        <v>2</v>
      </c>
      <c r="H4030" s="465">
        <v>13</v>
      </c>
    </row>
    <row r="4031" spans="1:8" ht="13.8" thickBot="1">
      <c r="A4031" s="465" t="s">
        <v>9251</v>
      </c>
      <c r="B4031" s="465" t="s">
        <v>1726</v>
      </c>
      <c r="C4031" s="466">
        <v>6.5</v>
      </c>
      <c r="D4031" s="465"/>
      <c r="E4031" s="466" t="s">
        <v>2289</v>
      </c>
      <c r="F4031" s="466" t="s">
        <v>1226</v>
      </c>
      <c r="G4031" s="465"/>
      <c r="H4031" s="465">
        <v>4</v>
      </c>
    </row>
    <row r="4032" spans="1:8" ht="13.8" thickBot="1">
      <c r="A4032" s="467" t="s">
        <v>9252</v>
      </c>
      <c r="B4032" s="465" t="s">
        <v>2354</v>
      </c>
      <c r="C4032" s="466">
        <v>6.5</v>
      </c>
      <c r="D4032" s="465"/>
      <c r="E4032" s="466" t="s">
        <v>2289</v>
      </c>
      <c r="F4032" s="466" t="s">
        <v>1226</v>
      </c>
      <c r="G4032" s="465"/>
      <c r="H4032" s="465">
        <v>3</v>
      </c>
    </row>
    <row r="4033" spans="1:8" ht="13.8" thickBot="1">
      <c r="A4033" s="467" t="s">
        <v>9253</v>
      </c>
      <c r="B4033" s="465" t="s">
        <v>2355</v>
      </c>
      <c r="C4033" s="466">
        <v>6.5</v>
      </c>
      <c r="D4033" s="465"/>
      <c r="E4033" s="466" t="s">
        <v>2289</v>
      </c>
      <c r="F4033" s="466" t="s">
        <v>1226</v>
      </c>
      <c r="G4033" s="465"/>
      <c r="H4033" s="465">
        <v>2</v>
      </c>
    </row>
    <row r="4034" spans="1:8" ht="13.8" thickBot="1">
      <c r="A4034" s="467" t="s">
        <v>9254</v>
      </c>
      <c r="B4034" s="465" t="s">
        <v>2356</v>
      </c>
      <c r="C4034" s="466">
        <v>6.5</v>
      </c>
      <c r="D4034" s="465"/>
      <c r="E4034" s="466" t="s">
        <v>2289</v>
      </c>
      <c r="F4034" s="466" t="s">
        <v>2067</v>
      </c>
      <c r="G4034" s="465"/>
      <c r="H4034" s="465">
        <v>9</v>
      </c>
    </row>
    <row r="4035" spans="1:8" ht="13.8" thickBot="1">
      <c r="A4035" s="467" t="s">
        <v>9255</v>
      </c>
      <c r="B4035" s="465" t="s">
        <v>2357</v>
      </c>
      <c r="C4035" s="466">
        <v>6.5</v>
      </c>
      <c r="D4035" s="465"/>
      <c r="E4035" s="466" t="s">
        <v>2289</v>
      </c>
      <c r="F4035" s="466" t="s">
        <v>1224</v>
      </c>
      <c r="G4035" s="465"/>
      <c r="H4035" s="465">
        <v>5</v>
      </c>
    </row>
    <row r="4036" spans="1:8" ht="13.8" thickBot="1">
      <c r="A4036" s="467" t="s">
        <v>9256</v>
      </c>
      <c r="B4036" s="465" t="s">
        <v>2358</v>
      </c>
      <c r="C4036" s="466">
        <v>6.5</v>
      </c>
      <c r="D4036" s="467" t="s">
        <v>614</v>
      </c>
      <c r="E4036" s="466" t="s">
        <v>2289</v>
      </c>
      <c r="F4036" s="466" t="s">
        <v>1220</v>
      </c>
      <c r="G4036" s="465">
        <v>2</v>
      </c>
      <c r="H4036" s="465">
        <v>4</v>
      </c>
    </row>
    <row r="4037" spans="1:8" ht="13.8" thickBot="1">
      <c r="A4037" s="465" t="s">
        <v>9257</v>
      </c>
      <c r="B4037" s="465" t="s">
        <v>2359</v>
      </c>
      <c r="C4037" s="466">
        <v>6.5</v>
      </c>
      <c r="D4037" s="465"/>
      <c r="E4037" s="466" t="s">
        <v>2289</v>
      </c>
      <c r="F4037" s="466"/>
      <c r="G4037" s="465"/>
      <c r="H4037" s="465">
        <v>1</v>
      </c>
    </row>
    <row r="4038" spans="1:8" ht="13.8" thickBot="1">
      <c r="A4038" s="467" t="s">
        <v>9258</v>
      </c>
      <c r="B4038" s="465" t="s">
        <v>2360</v>
      </c>
      <c r="C4038" s="466">
        <v>6.5</v>
      </c>
      <c r="D4038" s="465"/>
      <c r="E4038" s="466" t="s">
        <v>2289</v>
      </c>
      <c r="F4038" s="466"/>
      <c r="G4038" s="465">
        <v>1</v>
      </c>
      <c r="H4038" s="465">
        <v>1</v>
      </c>
    </row>
    <row r="4039" spans="1:8" ht="13.8" thickBot="1">
      <c r="A4039" s="467" t="s">
        <v>9259</v>
      </c>
      <c r="B4039" s="465" t="s">
        <v>2361</v>
      </c>
      <c r="C4039" s="466">
        <v>6.5</v>
      </c>
      <c r="D4039" s="465"/>
      <c r="E4039" s="466" t="s">
        <v>2289</v>
      </c>
      <c r="F4039" s="466"/>
      <c r="G4039" s="465"/>
      <c r="H4039" s="465">
        <v>1</v>
      </c>
    </row>
    <row r="4040" spans="1:8" ht="13.8" thickBot="1">
      <c r="A4040" s="467" t="s">
        <v>9260</v>
      </c>
      <c r="B4040" s="465" t="s">
        <v>2362</v>
      </c>
      <c r="C4040" s="466">
        <v>6.5</v>
      </c>
      <c r="D4040" s="467" t="s">
        <v>614</v>
      </c>
      <c r="E4040" s="466" t="s">
        <v>2289</v>
      </c>
      <c r="F4040" s="466"/>
      <c r="G4040" s="465"/>
      <c r="H4040" s="465">
        <v>2</v>
      </c>
    </row>
    <row r="4041" spans="1:8" ht="13.8" thickBot="1">
      <c r="A4041" s="465" t="s">
        <v>9261</v>
      </c>
      <c r="B4041" s="465" t="s">
        <v>2308</v>
      </c>
      <c r="C4041" s="466">
        <v>6.5</v>
      </c>
      <c r="D4041" s="465"/>
      <c r="E4041" s="466" t="s">
        <v>2289</v>
      </c>
      <c r="F4041" s="466"/>
      <c r="G4041" s="465"/>
      <c r="H4041" s="465">
        <v>4</v>
      </c>
    </row>
    <row r="4042" spans="1:8" ht="13.8" thickBot="1">
      <c r="A4042" s="465" t="s">
        <v>9262</v>
      </c>
      <c r="B4042" s="465" t="s">
        <v>2363</v>
      </c>
      <c r="C4042" s="466">
        <v>6.5</v>
      </c>
      <c r="D4042" s="467" t="s">
        <v>614</v>
      </c>
      <c r="E4042" s="466" t="s">
        <v>2289</v>
      </c>
      <c r="F4042" s="466"/>
      <c r="G4042" s="465"/>
      <c r="H4042" s="465">
        <v>1</v>
      </c>
    </row>
    <row r="4043" spans="1:8" ht="13.8" thickBot="1">
      <c r="A4043" s="465" t="s">
        <v>9263</v>
      </c>
      <c r="B4043" s="465" t="s">
        <v>2364</v>
      </c>
      <c r="C4043" s="466">
        <v>6.5</v>
      </c>
      <c r="D4043" s="465"/>
      <c r="E4043" s="466" t="s">
        <v>2289</v>
      </c>
      <c r="F4043" s="466"/>
      <c r="G4043" s="465"/>
      <c r="H4043" s="465">
        <v>1</v>
      </c>
    </row>
    <row r="4044" spans="1:8" ht="13.8" thickBot="1">
      <c r="A4044" s="467" t="s">
        <v>9264</v>
      </c>
      <c r="B4044" s="465" t="s">
        <v>2365</v>
      </c>
      <c r="C4044" s="466">
        <v>6.5</v>
      </c>
      <c r="D4044" s="465"/>
      <c r="E4044" s="466" t="s">
        <v>2289</v>
      </c>
      <c r="F4044" s="466"/>
      <c r="G4044" s="465"/>
      <c r="H4044" s="465">
        <v>3</v>
      </c>
    </row>
    <row r="4045" spans="1:8" ht="13.8" thickBot="1">
      <c r="A4045" s="467" t="s">
        <v>9265</v>
      </c>
      <c r="B4045" s="465" t="s">
        <v>2366</v>
      </c>
      <c r="C4045" s="466">
        <v>6.5</v>
      </c>
      <c r="D4045" s="465"/>
      <c r="E4045" s="466" t="s">
        <v>2289</v>
      </c>
      <c r="F4045" s="466"/>
      <c r="G4045" s="465"/>
      <c r="H4045" s="465">
        <v>1</v>
      </c>
    </row>
    <row r="4046" spans="1:8" ht="13.8" thickBot="1">
      <c r="A4046" s="465" t="s">
        <v>9566</v>
      </c>
      <c r="B4046" s="465" t="s">
        <v>5256</v>
      </c>
      <c r="C4046" s="466">
        <v>6.5</v>
      </c>
      <c r="D4046" s="467" t="s">
        <v>614</v>
      </c>
      <c r="E4046" s="466" t="s">
        <v>5257</v>
      </c>
      <c r="F4046" s="466" t="s">
        <v>1251</v>
      </c>
      <c r="G4046" s="465">
        <v>1</v>
      </c>
      <c r="H4046" s="465">
        <v>3</v>
      </c>
    </row>
    <row r="4047" spans="1:8" ht="13.8" thickBot="1">
      <c r="A4047" s="467" t="s">
        <v>9567</v>
      </c>
      <c r="B4047" s="465" t="s">
        <v>5272</v>
      </c>
      <c r="C4047" s="466">
        <v>6.5</v>
      </c>
      <c r="D4047" s="467" t="s">
        <v>614</v>
      </c>
      <c r="E4047" s="466" t="s">
        <v>5269</v>
      </c>
      <c r="F4047" s="466" t="s">
        <v>1226</v>
      </c>
      <c r="G4047" s="465"/>
      <c r="H4047" s="465">
        <v>2</v>
      </c>
    </row>
    <row r="4048" spans="1:8" ht="13.8" thickBot="1">
      <c r="A4048" s="467" t="s">
        <v>9568</v>
      </c>
      <c r="B4048" s="465" t="s">
        <v>5278</v>
      </c>
      <c r="C4048" s="466">
        <v>6.5</v>
      </c>
      <c r="D4048" s="465" t="s">
        <v>5279</v>
      </c>
      <c r="E4048" s="466" t="s">
        <v>5269</v>
      </c>
      <c r="F4048" s="466" t="s">
        <v>1226</v>
      </c>
      <c r="G4048" s="465"/>
      <c r="H4048" s="465">
        <v>1</v>
      </c>
    </row>
    <row r="4049" spans="1:8" ht="13.8" thickBot="1">
      <c r="A4049" s="465" t="s">
        <v>9569</v>
      </c>
      <c r="B4049" s="465" t="s">
        <v>5295</v>
      </c>
      <c r="C4049" s="466">
        <v>6.5</v>
      </c>
      <c r="D4049" s="467" t="s">
        <v>1854</v>
      </c>
      <c r="E4049" s="466" t="s">
        <v>5286</v>
      </c>
      <c r="F4049" s="466" t="s">
        <v>1251</v>
      </c>
      <c r="G4049" s="465">
        <v>2</v>
      </c>
      <c r="H4049" s="465">
        <v>2</v>
      </c>
    </row>
    <row r="4050" spans="1:8" ht="13.8" thickBot="1">
      <c r="A4050" s="467" t="s">
        <v>9570</v>
      </c>
      <c r="B4050" s="465" t="s">
        <v>5296</v>
      </c>
      <c r="C4050" s="466">
        <v>6.5</v>
      </c>
      <c r="D4050" s="465"/>
      <c r="E4050" s="466" t="s">
        <v>5286</v>
      </c>
      <c r="F4050" s="466" t="s">
        <v>1226</v>
      </c>
      <c r="G4050" s="465"/>
      <c r="H4050" s="465">
        <v>5</v>
      </c>
    </row>
    <row r="4051" spans="1:8" ht="13.8" thickBot="1">
      <c r="A4051" s="465" t="s">
        <v>9571</v>
      </c>
      <c r="B4051" s="465" t="s">
        <v>5297</v>
      </c>
      <c r="C4051" s="466">
        <v>6.5</v>
      </c>
      <c r="D4051" s="465"/>
      <c r="E4051" s="466" t="s">
        <v>5286</v>
      </c>
      <c r="F4051" s="466" t="s">
        <v>1226</v>
      </c>
      <c r="G4051" s="465"/>
      <c r="H4051" s="465">
        <v>2</v>
      </c>
    </row>
    <row r="4052" spans="1:8" ht="13.8" thickBot="1">
      <c r="A4052" s="467" t="s">
        <v>9572</v>
      </c>
      <c r="B4052" s="465" t="s">
        <v>5298</v>
      </c>
      <c r="C4052" s="466">
        <v>6.5</v>
      </c>
      <c r="D4052" s="465"/>
      <c r="E4052" s="466" t="s">
        <v>5286</v>
      </c>
      <c r="F4052" s="466" t="s">
        <v>1226</v>
      </c>
      <c r="G4052" s="465"/>
      <c r="H4052" s="465">
        <v>6</v>
      </c>
    </row>
    <row r="4053" spans="1:8" ht="13.8" thickBot="1">
      <c r="A4053" s="465" t="s">
        <v>9573</v>
      </c>
      <c r="B4053" s="465" t="s">
        <v>5299</v>
      </c>
      <c r="C4053" s="466">
        <v>6.5</v>
      </c>
      <c r="D4053" s="465"/>
      <c r="E4053" s="466" t="s">
        <v>5286</v>
      </c>
      <c r="F4053" s="466"/>
      <c r="G4053" s="465"/>
      <c r="H4053" s="465">
        <v>1</v>
      </c>
    </row>
    <row r="4054" spans="1:8" ht="13.8" thickBot="1">
      <c r="A4054" s="465" t="s">
        <v>9574</v>
      </c>
      <c r="B4054" s="465" t="s">
        <v>5300</v>
      </c>
      <c r="C4054" s="466">
        <v>6.5</v>
      </c>
      <c r="D4054" s="465"/>
      <c r="E4054" s="466" t="s">
        <v>5286</v>
      </c>
      <c r="F4054" s="466"/>
      <c r="G4054" s="465"/>
      <c r="H4054" s="465"/>
    </row>
    <row r="4055" spans="1:8" ht="13.8" thickBot="1">
      <c r="A4055" s="465" t="s">
        <v>9575</v>
      </c>
      <c r="B4055" s="465" t="s">
        <v>5320</v>
      </c>
      <c r="C4055" s="466">
        <v>6.5</v>
      </c>
      <c r="D4055" s="465"/>
      <c r="E4055" s="466" t="s">
        <v>5319</v>
      </c>
      <c r="F4055" s="466" t="s">
        <v>1226</v>
      </c>
      <c r="G4055" s="465">
        <v>1</v>
      </c>
      <c r="H4055" s="465">
        <v>3</v>
      </c>
    </row>
    <row r="4056" spans="1:8" ht="13.8" thickBot="1">
      <c r="A4056" s="465" t="s">
        <v>9576</v>
      </c>
      <c r="B4056" s="465" t="s">
        <v>5337</v>
      </c>
      <c r="C4056" s="466">
        <v>6.5</v>
      </c>
      <c r="D4056" s="467" t="s">
        <v>5338</v>
      </c>
      <c r="E4056" s="466" t="s">
        <v>5325</v>
      </c>
      <c r="F4056" s="466" t="s">
        <v>1251</v>
      </c>
      <c r="G4056" s="465"/>
      <c r="H4056" s="465">
        <v>5</v>
      </c>
    </row>
    <row r="4057" spans="1:8" ht="13.8" thickBot="1">
      <c r="A4057" s="465" t="s">
        <v>9577</v>
      </c>
      <c r="B4057" s="468" t="s">
        <v>5328</v>
      </c>
      <c r="C4057" s="466">
        <v>6.5</v>
      </c>
      <c r="D4057" s="465"/>
      <c r="E4057" s="466" t="s">
        <v>5325</v>
      </c>
      <c r="F4057" s="466" t="s">
        <v>1224</v>
      </c>
      <c r="G4057" s="465"/>
      <c r="H4057" s="465">
        <v>1</v>
      </c>
    </row>
    <row r="4058" spans="1:8" ht="13.8" thickBot="1">
      <c r="A4058" s="467" t="s">
        <v>9266</v>
      </c>
      <c r="B4058" s="465" t="s">
        <v>2448</v>
      </c>
      <c r="C4058" s="466">
        <v>6.5</v>
      </c>
      <c r="D4058" s="467" t="s">
        <v>614</v>
      </c>
      <c r="E4058" s="466" t="s">
        <v>2449</v>
      </c>
      <c r="F4058" s="466" t="s">
        <v>1251</v>
      </c>
      <c r="G4058" s="465"/>
      <c r="H4058" s="465">
        <v>1</v>
      </c>
    </row>
    <row r="4059" spans="1:8" ht="13.8" thickBot="1">
      <c r="A4059" s="467" t="s">
        <v>9267</v>
      </c>
      <c r="B4059" s="465" t="s">
        <v>2455</v>
      </c>
      <c r="C4059" s="466">
        <v>6.5</v>
      </c>
      <c r="D4059" s="465"/>
      <c r="E4059" s="466" t="s">
        <v>2449</v>
      </c>
      <c r="F4059" s="466" t="s">
        <v>1251</v>
      </c>
      <c r="G4059" s="465"/>
      <c r="H4059" s="465">
        <v>1</v>
      </c>
    </row>
    <row r="4060" spans="1:8" ht="13.8" thickBot="1">
      <c r="A4060" s="467" t="s">
        <v>9268</v>
      </c>
      <c r="B4060" s="465" t="s">
        <v>2460</v>
      </c>
      <c r="C4060" s="466">
        <v>6.5</v>
      </c>
      <c r="D4060" s="465"/>
      <c r="E4060" s="466" t="s">
        <v>2449</v>
      </c>
      <c r="F4060" s="466" t="s">
        <v>1251</v>
      </c>
      <c r="G4060" s="465"/>
      <c r="H4060" s="465">
        <v>1</v>
      </c>
    </row>
    <row r="4061" spans="1:8" ht="13.8" thickBot="1">
      <c r="A4061" s="467" t="s">
        <v>9269</v>
      </c>
      <c r="B4061" s="465" t="s">
        <v>2461</v>
      </c>
      <c r="C4061" s="466">
        <v>6.5</v>
      </c>
      <c r="D4061" s="467" t="s">
        <v>614</v>
      </c>
      <c r="E4061" s="466" t="s">
        <v>2449</v>
      </c>
      <c r="F4061" s="466" t="s">
        <v>1251</v>
      </c>
      <c r="G4061" s="465">
        <v>1</v>
      </c>
      <c r="H4061" s="465">
        <v>5</v>
      </c>
    </row>
    <row r="4062" spans="1:8" ht="13.8" thickBot="1">
      <c r="A4062" s="465" t="s">
        <v>9270</v>
      </c>
      <c r="B4062" s="465" t="s">
        <v>2462</v>
      </c>
      <c r="C4062" s="466">
        <v>6.5</v>
      </c>
      <c r="D4062" s="467" t="s">
        <v>614</v>
      </c>
      <c r="E4062" s="466" t="s">
        <v>2449</v>
      </c>
      <c r="F4062" s="466" t="s">
        <v>1251</v>
      </c>
      <c r="G4062" s="465"/>
      <c r="H4062" s="465">
        <v>16</v>
      </c>
    </row>
    <row r="4063" spans="1:8" ht="13.8" thickBot="1">
      <c r="A4063" s="467" t="s">
        <v>9271</v>
      </c>
      <c r="B4063" s="465" t="s">
        <v>2463</v>
      </c>
      <c r="C4063" s="466">
        <v>6.5</v>
      </c>
      <c r="D4063" s="467" t="s">
        <v>614</v>
      </c>
      <c r="E4063" s="466" t="s">
        <v>2449</v>
      </c>
      <c r="F4063" s="466" t="s">
        <v>1841</v>
      </c>
      <c r="G4063" s="465"/>
      <c r="H4063" s="465">
        <v>9</v>
      </c>
    </row>
    <row r="4064" spans="1:8" ht="13.8" thickBot="1">
      <c r="A4064" s="467" t="s">
        <v>9272</v>
      </c>
      <c r="B4064" s="465" t="s">
        <v>2464</v>
      </c>
      <c r="C4064" s="466">
        <v>6.5</v>
      </c>
      <c r="D4064" s="465"/>
      <c r="E4064" s="466" t="s">
        <v>2449</v>
      </c>
      <c r="F4064" s="466" t="s">
        <v>2374</v>
      </c>
      <c r="G4064" s="465">
        <v>4</v>
      </c>
      <c r="H4064" s="465">
        <v>9</v>
      </c>
    </row>
    <row r="4065" spans="1:8" ht="13.8" thickBot="1">
      <c r="A4065" s="465" t="s">
        <v>9273</v>
      </c>
      <c r="B4065" s="465" t="s">
        <v>2465</v>
      </c>
      <c r="C4065" s="466">
        <v>6.5</v>
      </c>
      <c r="D4065" s="465"/>
      <c r="E4065" s="466" t="s">
        <v>2449</v>
      </c>
      <c r="F4065" s="466" t="s">
        <v>1226</v>
      </c>
      <c r="G4065" s="465"/>
      <c r="H4065" s="465">
        <v>6</v>
      </c>
    </row>
    <row r="4066" spans="1:8" ht="13.8" thickBot="1">
      <c r="A4066" s="467" t="s">
        <v>9274</v>
      </c>
      <c r="B4066" s="465" t="s">
        <v>2466</v>
      </c>
      <c r="C4066" s="466">
        <v>6.5</v>
      </c>
      <c r="D4066" s="465"/>
      <c r="E4066" s="466" t="s">
        <v>2449</v>
      </c>
      <c r="F4066" s="466" t="s">
        <v>1224</v>
      </c>
      <c r="G4066" s="465"/>
      <c r="H4066" s="465">
        <v>4</v>
      </c>
    </row>
    <row r="4067" spans="1:8" ht="13.8" thickBot="1">
      <c r="A4067" s="467" t="s">
        <v>9275</v>
      </c>
      <c r="B4067" s="465" t="s">
        <v>2467</v>
      </c>
      <c r="C4067" s="466">
        <v>6.5</v>
      </c>
      <c r="D4067" s="465"/>
      <c r="E4067" s="466" t="s">
        <v>2449</v>
      </c>
      <c r="F4067" s="466" t="s">
        <v>1224</v>
      </c>
      <c r="G4067" s="465"/>
      <c r="H4067" s="465">
        <v>4</v>
      </c>
    </row>
    <row r="4068" spans="1:8" ht="13.8" thickBot="1">
      <c r="A4068" s="467" t="s">
        <v>9276</v>
      </c>
      <c r="B4068" s="465" t="s">
        <v>2448</v>
      </c>
      <c r="C4068" s="466">
        <v>6.5</v>
      </c>
      <c r="D4068" s="465"/>
      <c r="E4068" s="466" t="s">
        <v>2449</v>
      </c>
      <c r="F4068" s="466"/>
      <c r="G4068" s="465"/>
      <c r="H4068" s="465">
        <v>1</v>
      </c>
    </row>
    <row r="4069" spans="1:8" ht="13.8" thickBot="1">
      <c r="A4069" s="467" t="s">
        <v>9277</v>
      </c>
      <c r="B4069" s="465" t="s">
        <v>2448</v>
      </c>
      <c r="C4069" s="466">
        <v>6.5</v>
      </c>
      <c r="D4069" s="465"/>
      <c r="E4069" s="466" t="s">
        <v>2449</v>
      </c>
      <c r="F4069" s="466"/>
      <c r="G4069" s="465"/>
      <c r="H4069" s="465">
        <v>4</v>
      </c>
    </row>
    <row r="4070" spans="1:8" ht="13.8" thickBot="1">
      <c r="A4070" s="467" t="s">
        <v>9278</v>
      </c>
      <c r="B4070" s="470" t="s">
        <v>2468</v>
      </c>
      <c r="C4070" s="471">
        <v>6.5</v>
      </c>
      <c r="D4070" s="465"/>
      <c r="E4070" s="471" t="s">
        <v>2449</v>
      </c>
      <c r="F4070" s="466"/>
      <c r="G4070" s="465"/>
      <c r="H4070" s="470">
        <v>7</v>
      </c>
    </row>
    <row r="4071" spans="1:8" ht="13.8" thickBot="1">
      <c r="A4071" s="467" t="s">
        <v>9279</v>
      </c>
      <c r="B4071" s="465" t="s">
        <v>2469</v>
      </c>
      <c r="C4071" s="466">
        <v>6.5</v>
      </c>
      <c r="D4071" s="465"/>
      <c r="E4071" s="466" t="s">
        <v>2449</v>
      </c>
      <c r="F4071" s="466"/>
      <c r="G4071" s="465">
        <v>1</v>
      </c>
      <c r="H4071" s="465">
        <v>4</v>
      </c>
    </row>
    <row r="4072" spans="1:8" ht="13.8" thickBot="1">
      <c r="A4072" s="465" t="s">
        <v>9280</v>
      </c>
      <c r="B4072" s="465" t="s">
        <v>2581</v>
      </c>
      <c r="C4072" s="466">
        <v>6.5</v>
      </c>
      <c r="D4072" s="467" t="s">
        <v>614</v>
      </c>
      <c r="E4072" s="466" t="s">
        <v>2523</v>
      </c>
      <c r="F4072" s="466" t="s">
        <v>1229</v>
      </c>
      <c r="G4072" s="465"/>
      <c r="H4072" s="465">
        <v>7</v>
      </c>
    </row>
    <row r="4073" spans="1:8" ht="13.8" thickBot="1">
      <c r="A4073" s="467" t="s">
        <v>9281</v>
      </c>
      <c r="B4073" s="465" t="s">
        <v>2582</v>
      </c>
      <c r="C4073" s="466">
        <v>6.5</v>
      </c>
      <c r="D4073" s="467" t="s">
        <v>614</v>
      </c>
      <c r="E4073" s="466" t="s">
        <v>2523</v>
      </c>
      <c r="F4073" s="466" t="s">
        <v>1229</v>
      </c>
      <c r="G4073" s="465">
        <v>1</v>
      </c>
      <c r="H4073" s="465">
        <v>10</v>
      </c>
    </row>
    <row r="4074" spans="1:8" ht="13.8" thickBot="1">
      <c r="A4074" s="467" t="s">
        <v>9282</v>
      </c>
      <c r="B4074" s="465" t="s">
        <v>2583</v>
      </c>
      <c r="C4074" s="466">
        <v>6.5</v>
      </c>
      <c r="D4074" s="465"/>
      <c r="E4074" s="466" t="s">
        <v>2523</v>
      </c>
      <c r="F4074" s="466" t="s">
        <v>2584</v>
      </c>
      <c r="G4074" s="465"/>
      <c r="H4074" s="465">
        <v>8</v>
      </c>
    </row>
    <row r="4075" spans="1:8" ht="13.8" thickBot="1">
      <c r="A4075" s="467" t="s">
        <v>9283</v>
      </c>
      <c r="B4075" s="465" t="s">
        <v>1300</v>
      </c>
      <c r="C4075" s="466">
        <v>6.5</v>
      </c>
      <c r="D4075" s="465"/>
      <c r="E4075" s="466" t="s">
        <v>2523</v>
      </c>
      <c r="F4075" s="466" t="s">
        <v>1251</v>
      </c>
      <c r="G4075" s="465">
        <v>2</v>
      </c>
      <c r="H4075" s="465">
        <v>2</v>
      </c>
    </row>
    <row r="4076" spans="1:8" ht="13.8" thickBot="1">
      <c r="A4076" s="467" t="s">
        <v>9284</v>
      </c>
      <c r="B4076" s="465" t="s">
        <v>1300</v>
      </c>
      <c r="C4076" s="466">
        <v>6.5</v>
      </c>
      <c r="D4076" s="465"/>
      <c r="E4076" s="466" t="s">
        <v>2523</v>
      </c>
      <c r="F4076" s="466" t="s">
        <v>1251</v>
      </c>
      <c r="G4076" s="465"/>
      <c r="H4076" s="465">
        <v>2</v>
      </c>
    </row>
    <row r="4077" spans="1:8" ht="13.8" thickBot="1">
      <c r="A4077" s="467" t="s">
        <v>9285</v>
      </c>
      <c r="B4077" s="465" t="s">
        <v>2585</v>
      </c>
      <c r="C4077" s="466">
        <v>6.5</v>
      </c>
      <c r="D4077" s="467" t="s">
        <v>614</v>
      </c>
      <c r="E4077" s="466" t="s">
        <v>2523</v>
      </c>
      <c r="F4077" s="466" t="s">
        <v>1251</v>
      </c>
      <c r="G4077" s="465"/>
      <c r="H4077" s="465">
        <v>6</v>
      </c>
    </row>
    <row r="4078" spans="1:8" ht="13.8" thickBot="1">
      <c r="A4078" s="467" t="s">
        <v>9286</v>
      </c>
      <c r="B4078" s="465" t="s">
        <v>1300</v>
      </c>
      <c r="C4078" s="466">
        <v>6.5</v>
      </c>
      <c r="D4078" s="465"/>
      <c r="E4078" s="466" t="s">
        <v>2523</v>
      </c>
      <c r="F4078" s="466" t="s">
        <v>1226</v>
      </c>
      <c r="G4078" s="465"/>
      <c r="H4078" s="465">
        <v>2</v>
      </c>
    </row>
    <row r="4079" spans="1:8" ht="13.8" thickBot="1">
      <c r="A4079" s="467" t="s">
        <v>9287</v>
      </c>
      <c r="B4079" s="465" t="s">
        <v>1300</v>
      </c>
      <c r="C4079" s="466">
        <v>6.5</v>
      </c>
      <c r="D4079" s="465"/>
      <c r="E4079" s="466" t="s">
        <v>2523</v>
      </c>
      <c r="F4079" s="466" t="s">
        <v>1226</v>
      </c>
      <c r="G4079" s="465"/>
      <c r="H4079" s="465">
        <v>3</v>
      </c>
    </row>
    <row r="4080" spans="1:8" ht="13.8" thickBot="1">
      <c r="A4080" s="465" t="s">
        <v>9288</v>
      </c>
      <c r="B4080" s="465" t="s">
        <v>1300</v>
      </c>
      <c r="C4080" s="466">
        <v>6.5</v>
      </c>
      <c r="D4080" s="465"/>
      <c r="E4080" s="466" t="s">
        <v>2523</v>
      </c>
      <c r="F4080" s="466" t="s">
        <v>1226</v>
      </c>
      <c r="G4080" s="465"/>
      <c r="H4080" s="465">
        <v>3</v>
      </c>
    </row>
    <row r="4081" spans="1:8" ht="13.8" thickBot="1">
      <c r="A4081" s="465" t="s">
        <v>9289</v>
      </c>
      <c r="B4081" s="465" t="s">
        <v>1300</v>
      </c>
      <c r="C4081" s="466">
        <v>6.5</v>
      </c>
      <c r="D4081" s="465"/>
      <c r="E4081" s="466" t="s">
        <v>2523</v>
      </c>
      <c r="F4081" s="466" t="s">
        <v>1226</v>
      </c>
      <c r="G4081" s="465"/>
      <c r="H4081" s="465">
        <v>1</v>
      </c>
    </row>
    <row r="4082" spans="1:8" ht="13.8" thickBot="1">
      <c r="A4082" s="465" t="s">
        <v>9290</v>
      </c>
      <c r="B4082" s="465" t="s">
        <v>2586</v>
      </c>
      <c r="C4082" s="466">
        <v>6.5</v>
      </c>
      <c r="D4082" s="465"/>
      <c r="E4082" s="466" t="s">
        <v>2523</v>
      </c>
      <c r="F4082" s="466" t="s">
        <v>1226</v>
      </c>
      <c r="G4082" s="465"/>
      <c r="H4082" s="465">
        <v>4</v>
      </c>
    </row>
    <row r="4083" spans="1:8" ht="13.8" thickBot="1">
      <c r="A4083" s="465" t="s">
        <v>9291</v>
      </c>
      <c r="B4083" s="465" t="s">
        <v>2587</v>
      </c>
      <c r="C4083" s="466">
        <v>6.5</v>
      </c>
      <c r="D4083" s="465"/>
      <c r="E4083" s="466" t="s">
        <v>2523</v>
      </c>
      <c r="F4083" s="466" t="s">
        <v>1226</v>
      </c>
      <c r="G4083" s="465"/>
      <c r="H4083" s="465">
        <v>5</v>
      </c>
    </row>
    <row r="4084" spans="1:8" ht="13.8" thickBot="1">
      <c r="A4084" s="465" t="s">
        <v>9292</v>
      </c>
      <c r="B4084" s="465" t="s">
        <v>2588</v>
      </c>
      <c r="C4084" s="466">
        <v>6.5</v>
      </c>
      <c r="D4084" s="465"/>
      <c r="E4084" s="466" t="s">
        <v>2523</v>
      </c>
      <c r="F4084" s="466" t="s">
        <v>1226</v>
      </c>
      <c r="G4084" s="465"/>
      <c r="H4084" s="465">
        <v>3</v>
      </c>
    </row>
    <row r="4085" spans="1:8" ht="13.8" thickBot="1">
      <c r="A4085" s="465" t="s">
        <v>9293</v>
      </c>
      <c r="B4085" s="465" t="s">
        <v>1321</v>
      </c>
      <c r="C4085" s="466">
        <v>6.5</v>
      </c>
      <c r="D4085" s="465"/>
      <c r="E4085" s="466" t="s">
        <v>2523</v>
      </c>
      <c r="F4085" s="466" t="s">
        <v>1226</v>
      </c>
      <c r="G4085" s="465"/>
      <c r="H4085" s="465">
        <v>3</v>
      </c>
    </row>
    <row r="4086" spans="1:8" ht="13.8" thickBot="1">
      <c r="A4086" s="465" t="s">
        <v>9294</v>
      </c>
      <c r="B4086" s="465" t="s">
        <v>2589</v>
      </c>
      <c r="C4086" s="466">
        <v>6.5</v>
      </c>
      <c r="D4086" s="467" t="s">
        <v>614</v>
      </c>
      <c r="E4086" s="466" t="s">
        <v>2523</v>
      </c>
      <c r="F4086" s="466" t="s">
        <v>1226</v>
      </c>
      <c r="G4086" s="465"/>
      <c r="H4086" s="465">
        <v>8</v>
      </c>
    </row>
    <row r="4087" spans="1:8" ht="13.8" thickBot="1">
      <c r="A4087" s="465" t="s">
        <v>9295</v>
      </c>
      <c r="B4087" s="465" t="s">
        <v>2590</v>
      </c>
      <c r="C4087" s="466">
        <v>6.5</v>
      </c>
      <c r="D4087" s="467" t="s">
        <v>2591</v>
      </c>
      <c r="E4087" s="466" t="s">
        <v>2523</v>
      </c>
      <c r="F4087" s="466" t="s">
        <v>1226</v>
      </c>
      <c r="G4087" s="465"/>
      <c r="H4087" s="465">
        <v>4</v>
      </c>
    </row>
    <row r="4088" spans="1:8" ht="13.8" thickBot="1">
      <c r="A4088" s="467" t="s">
        <v>9296</v>
      </c>
      <c r="B4088" s="465" t="s">
        <v>2592</v>
      </c>
      <c r="C4088" s="466">
        <v>6.5</v>
      </c>
      <c r="D4088" s="465"/>
      <c r="E4088" s="466" t="s">
        <v>2523</v>
      </c>
      <c r="F4088" s="466" t="s">
        <v>1226</v>
      </c>
      <c r="G4088" s="465"/>
      <c r="H4088" s="465">
        <v>1</v>
      </c>
    </row>
    <row r="4089" spans="1:8" ht="13.8" thickBot="1">
      <c r="A4089" s="467" t="s">
        <v>9297</v>
      </c>
      <c r="B4089" s="465" t="s">
        <v>2593</v>
      </c>
      <c r="C4089" s="466">
        <v>6.5</v>
      </c>
      <c r="D4089" s="465"/>
      <c r="E4089" s="466" t="s">
        <v>2523</v>
      </c>
      <c r="F4089" s="466" t="s">
        <v>1226</v>
      </c>
      <c r="G4089" s="465"/>
      <c r="H4089" s="465">
        <v>3</v>
      </c>
    </row>
    <row r="4090" spans="1:8" ht="13.8" thickBot="1">
      <c r="A4090" s="465" t="s">
        <v>9298</v>
      </c>
      <c r="B4090" s="465" t="s">
        <v>2594</v>
      </c>
      <c r="C4090" s="466">
        <v>6.5</v>
      </c>
      <c r="D4090" s="467" t="s">
        <v>2512</v>
      </c>
      <c r="E4090" s="466" t="s">
        <v>2523</v>
      </c>
      <c r="F4090" s="466" t="s">
        <v>1226</v>
      </c>
      <c r="G4090" s="465"/>
      <c r="H4090" s="465">
        <v>2</v>
      </c>
    </row>
    <row r="4091" spans="1:8" ht="13.8" thickBot="1">
      <c r="A4091" s="465" t="s">
        <v>9299</v>
      </c>
      <c r="B4091" s="465" t="s">
        <v>2595</v>
      </c>
      <c r="C4091" s="466">
        <v>6.5</v>
      </c>
      <c r="D4091" s="465"/>
      <c r="E4091" s="466" t="s">
        <v>2523</v>
      </c>
      <c r="F4091" s="466" t="s">
        <v>1226</v>
      </c>
      <c r="G4091" s="465">
        <v>1</v>
      </c>
      <c r="H4091" s="465">
        <v>2</v>
      </c>
    </row>
    <row r="4092" spans="1:8" ht="13.8" thickBot="1">
      <c r="A4092" s="467" t="s">
        <v>9300</v>
      </c>
      <c r="B4092" s="465" t="s">
        <v>1300</v>
      </c>
      <c r="C4092" s="466">
        <v>6.5</v>
      </c>
      <c r="D4092" s="465"/>
      <c r="E4092" s="466" t="s">
        <v>2523</v>
      </c>
      <c r="F4092" s="466"/>
      <c r="G4092" s="465"/>
      <c r="H4092" s="465">
        <v>1</v>
      </c>
    </row>
    <row r="4093" spans="1:8" ht="13.8" thickBot="1">
      <c r="A4093" s="467" t="s">
        <v>9301</v>
      </c>
      <c r="B4093" s="465" t="s">
        <v>1300</v>
      </c>
      <c r="C4093" s="466">
        <v>6.5</v>
      </c>
      <c r="D4093" s="465"/>
      <c r="E4093" s="466" t="s">
        <v>2523</v>
      </c>
      <c r="F4093" s="466"/>
      <c r="G4093" s="465"/>
      <c r="H4093" s="465">
        <v>2</v>
      </c>
    </row>
    <row r="4094" spans="1:8" ht="13.8" thickBot="1">
      <c r="A4094" s="467" t="s">
        <v>9302</v>
      </c>
      <c r="B4094" s="465" t="s">
        <v>1300</v>
      </c>
      <c r="C4094" s="466">
        <v>6.5</v>
      </c>
      <c r="D4094" s="465"/>
      <c r="E4094" s="466" t="s">
        <v>2523</v>
      </c>
      <c r="F4094" s="466"/>
      <c r="G4094" s="465"/>
      <c r="H4094" s="465">
        <v>1</v>
      </c>
    </row>
    <row r="4095" spans="1:8" ht="13.8" thickBot="1">
      <c r="A4095" s="467" t="s">
        <v>9303</v>
      </c>
      <c r="B4095" s="465" t="s">
        <v>1300</v>
      </c>
      <c r="C4095" s="466">
        <v>6.5</v>
      </c>
      <c r="D4095" s="465"/>
      <c r="E4095" s="466" t="s">
        <v>2523</v>
      </c>
      <c r="F4095" s="466"/>
      <c r="G4095" s="465"/>
      <c r="H4095" s="465">
        <v>1</v>
      </c>
    </row>
    <row r="4096" spans="1:8" ht="13.8" thickBot="1">
      <c r="A4096" s="467" t="s">
        <v>9304</v>
      </c>
      <c r="B4096" s="465" t="s">
        <v>1300</v>
      </c>
      <c r="C4096" s="466">
        <v>6.5</v>
      </c>
      <c r="D4096" s="465"/>
      <c r="E4096" s="466" t="s">
        <v>2523</v>
      </c>
      <c r="F4096" s="466"/>
      <c r="G4096" s="465"/>
      <c r="H4096" s="465">
        <v>2</v>
      </c>
    </row>
    <row r="4097" spans="1:8" ht="13.8" thickBot="1">
      <c r="A4097" s="467" t="s">
        <v>9305</v>
      </c>
      <c r="B4097" s="465" t="s">
        <v>1300</v>
      </c>
      <c r="C4097" s="466">
        <v>6.5</v>
      </c>
      <c r="D4097" s="465"/>
      <c r="E4097" s="466" t="s">
        <v>2523</v>
      </c>
      <c r="F4097" s="466"/>
      <c r="G4097" s="465"/>
      <c r="H4097" s="465">
        <v>1</v>
      </c>
    </row>
    <row r="4098" spans="1:8" ht="13.8" thickBot="1">
      <c r="A4098" s="467" t="s">
        <v>9306</v>
      </c>
      <c r="B4098" s="465" t="s">
        <v>1300</v>
      </c>
      <c r="C4098" s="466">
        <v>6.5</v>
      </c>
      <c r="D4098" s="465"/>
      <c r="E4098" s="466" t="s">
        <v>2523</v>
      </c>
      <c r="F4098" s="466"/>
      <c r="G4098" s="465"/>
      <c r="H4098" s="465">
        <v>1</v>
      </c>
    </row>
    <row r="4099" spans="1:8" ht="13.8" thickBot="1">
      <c r="A4099" s="467" t="s">
        <v>9307</v>
      </c>
      <c r="B4099" s="465" t="s">
        <v>1300</v>
      </c>
      <c r="C4099" s="466">
        <v>6.5</v>
      </c>
      <c r="D4099" s="465"/>
      <c r="E4099" s="466" t="s">
        <v>2523</v>
      </c>
      <c r="F4099" s="466"/>
      <c r="G4099" s="465"/>
      <c r="H4099" s="465">
        <v>1</v>
      </c>
    </row>
    <row r="4100" spans="1:8" ht="13.8" thickBot="1">
      <c r="A4100" s="467" t="s">
        <v>9308</v>
      </c>
      <c r="B4100" s="465" t="s">
        <v>2596</v>
      </c>
      <c r="C4100" s="466">
        <v>6.5</v>
      </c>
      <c r="D4100" s="465"/>
      <c r="E4100" s="466" t="s">
        <v>2523</v>
      </c>
      <c r="F4100" s="466"/>
      <c r="G4100" s="465"/>
      <c r="H4100" s="465">
        <v>1</v>
      </c>
    </row>
    <row r="4101" spans="1:8" ht="13.8" thickBot="1">
      <c r="A4101" s="467" t="s">
        <v>9309</v>
      </c>
      <c r="B4101" s="465" t="s">
        <v>2597</v>
      </c>
      <c r="C4101" s="466">
        <v>6.5</v>
      </c>
      <c r="D4101" s="465"/>
      <c r="E4101" s="466" t="s">
        <v>2523</v>
      </c>
      <c r="F4101" s="466"/>
      <c r="G4101" s="465"/>
      <c r="H4101" s="465">
        <v>1</v>
      </c>
    </row>
    <row r="4102" spans="1:8" ht="13.8" thickBot="1">
      <c r="A4102" s="467" t="s">
        <v>9310</v>
      </c>
      <c r="B4102" s="465" t="s">
        <v>2598</v>
      </c>
      <c r="C4102" s="466">
        <v>6.5</v>
      </c>
      <c r="D4102" s="465"/>
      <c r="E4102" s="466" t="s">
        <v>2523</v>
      </c>
      <c r="F4102" s="466"/>
      <c r="G4102" s="465"/>
      <c r="H4102" s="465"/>
    </row>
    <row r="4103" spans="1:8" ht="13.8" thickBot="1">
      <c r="A4103" s="465" t="s">
        <v>9311</v>
      </c>
      <c r="B4103" s="465" t="s">
        <v>1302</v>
      </c>
      <c r="C4103" s="466">
        <v>6.5</v>
      </c>
      <c r="D4103" s="465"/>
      <c r="E4103" s="466" t="s">
        <v>2523</v>
      </c>
      <c r="F4103" s="466"/>
      <c r="G4103" s="465"/>
      <c r="H4103" s="465">
        <v>1</v>
      </c>
    </row>
    <row r="4104" spans="1:8" ht="13.8" thickBot="1">
      <c r="A4104" s="467" t="s">
        <v>9312</v>
      </c>
      <c r="B4104" s="465" t="s">
        <v>2599</v>
      </c>
      <c r="C4104" s="466">
        <v>6.5</v>
      </c>
      <c r="D4104" s="465"/>
      <c r="E4104" s="466" t="s">
        <v>2523</v>
      </c>
      <c r="F4104" s="466"/>
      <c r="G4104" s="465"/>
      <c r="H4104" s="465">
        <v>1</v>
      </c>
    </row>
    <row r="4105" spans="1:8" ht="13.8" thickBot="1">
      <c r="A4105" s="467" t="s">
        <v>9313</v>
      </c>
      <c r="B4105" s="465" t="s">
        <v>2600</v>
      </c>
      <c r="C4105" s="466">
        <v>6.5</v>
      </c>
      <c r="D4105" s="465"/>
      <c r="E4105" s="466" t="s">
        <v>2523</v>
      </c>
      <c r="F4105" s="466"/>
      <c r="G4105" s="465"/>
      <c r="H4105" s="465">
        <v>1</v>
      </c>
    </row>
    <row r="4106" spans="1:8" ht="13.8" thickBot="1">
      <c r="A4106" s="467" t="s">
        <v>9314</v>
      </c>
      <c r="B4106" s="465" t="s">
        <v>2722</v>
      </c>
      <c r="C4106" s="466">
        <v>6.5</v>
      </c>
      <c r="D4106" s="467" t="s">
        <v>614</v>
      </c>
      <c r="E4106" s="466" t="s">
        <v>2717</v>
      </c>
      <c r="F4106" s="466" t="s">
        <v>1251</v>
      </c>
      <c r="G4106" s="465">
        <v>2</v>
      </c>
      <c r="H4106" s="465">
        <v>11</v>
      </c>
    </row>
    <row r="4107" spans="1:8" ht="13.8" thickBot="1">
      <c r="A4107" s="465" t="s">
        <v>9315</v>
      </c>
      <c r="B4107" s="465" t="s">
        <v>2723</v>
      </c>
      <c r="C4107" s="466">
        <v>6.5</v>
      </c>
      <c r="D4107" s="465"/>
      <c r="E4107" s="466" t="s">
        <v>2717</v>
      </c>
      <c r="F4107" s="466" t="s">
        <v>1226</v>
      </c>
      <c r="G4107" s="465">
        <v>1</v>
      </c>
      <c r="H4107" s="465">
        <v>5</v>
      </c>
    </row>
    <row r="4108" spans="1:8" ht="13.8" thickBot="1">
      <c r="A4108" s="467" t="s">
        <v>9316</v>
      </c>
      <c r="B4108" s="465" t="s">
        <v>2724</v>
      </c>
      <c r="C4108" s="466">
        <v>6.5</v>
      </c>
      <c r="D4108" s="465"/>
      <c r="E4108" s="466" t="s">
        <v>2717</v>
      </c>
      <c r="F4108" s="466"/>
      <c r="G4108" s="465"/>
      <c r="H4108" s="465"/>
    </row>
    <row r="4109" spans="1:8" ht="13.8" thickBot="1">
      <c r="A4109" s="465" t="s">
        <v>9224</v>
      </c>
      <c r="B4109" s="465" t="s">
        <v>1937</v>
      </c>
      <c r="C4109" s="466">
        <v>6.5</v>
      </c>
      <c r="D4109" s="465"/>
      <c r="E4109" s="466" t="s">
        <v>1922</v>
      </c>
      <c r="F4109" s="466" t="s">
        <v>1251</v>
      </c>
      <c r="G4109" s="465"/>
      <c r="H4109" s="465">
        <v>1</v>
      </c>
    </row>
    <row r="4110" spans="1:8" ht="13.8" thickBot="1">
      <c r="A4110" s="467" t="s">
        <v>9225</v>
      </c>
      <c r="B4110" s="465" t="s">
        <v>1938</v>
      </c>
      <c r="C4110" s="466">
        <v>6.5</v>
      </c>
      <c r="D4110" s="465"/>
      <c r="E4110" s="466" t="s">
        <v>1922</v>
      </c>
      <c r="F4110" s="466" t="s">
        <v>1226</v>
      </c>
      <c r="G4110" s="465"/>
      <c r="H4110" s="465">
        <v>3</v>
      </c>
    </row>
    <row r="4111" spans="1:8" ht="13.8" thickBot="1">
      <c r="A4111" s="467" t="s">
        <v>9226</v>
      </c>
      <c r="B4111" s="465" t="s">
        <v>1939</v>
      </c>
      <c r="C4111" s="466">
        <v>6.5</v>
      </c>
      <c r="D4111" s="467" t="s">
        <v>614</v>
      </c>
      <c r="E4111" s="466" t="s">
        <v>1922</v>
      </c>
      <c r="F4111" s="466" t="s">
        <v>1226</v>
      </c>
      <c r="G4111" s="465">
        <v>1</v>
      </c>
      <c r="H4111" s="465">
        <v>5</v>
      </c>
    </row>
    <row r="4112" spans="1:8" ht="13.8" thickBot="1">
      <c r="A4112" s="467" t="s">
        <v>9227</v>
      </c>
      <c r="B4112" s="465" t="s">
        <v>1926</v>
      </c>
      <c r="C4112" s="466">
        <v>6.5</v>
      </c>
      <c r="D4112" s="465"/>
      <c r="E4112" s="466" t="s">
        <v>1922</v>
      </c>
      <c r="F4112" s="466"/>
      <c r="G4112" s="465">
        <v>1</v>
      </c>
      <c r="H4112" s="465">
        <v>1</v>
      </c>
    </row>
    <row r="4113" spans="1:8" ht="13.8" thickBot="1">
      <c r="A4113" s="467" t="s">
        <v>9317</v>
      </c>
      <c r="B4113" s="465" t="s">
        <v>2755</v>
      </c>
      <c r="C4113" s="466">
        <v>6.5</v>
      </c>
      <c r="D4113" s="465" t="s">
        <v>2756</v>
      </c>
      <c r="E4113" s="466" t="s">
        <v>2754</v>
      </c>
      <c r="F4113" s="466" t="s">
        <v>1226</v>
      </c>
      <c r="G4113" s="465"/>
      <c r="H4113" s="465">
        <v>4</v>
      </c>
    </row>
    <row r="4114" spans="1:8" ht="13.8" thickBot="1">
      <c r="A4114" s="467" t="s">
        <v>9318</v>
      </c>
      <c r="B4114" s="465" t="s">
        <v>2757</v>
      </c>
      <c r="C4114" s="466">
        <v>6.5</v>
      </c>
      <c r="D4114" s="465"/>
      <c r="E4114" s="466" t="s">
        <v>2754</v>
      </c>
      <c r="F4114" s="466"/>
      <c r="G4114" s="465">
        <v>1</v>
      </c>
      <c r="H4114" s="465">
        <v>1</v>
      </c>
    </row>
    <row r="4115" spans="1:8" ht="13.8" thickBot="1">
      <c r="A4115" s="467" t="s">
        <v>9319</v>
      </c>
      <c r="B4115" s="465" t="s">
        <v>2765</v>
      </c>
      <c r="C4115" s="466">
        <v>6.5</v>
      </c>
      <c r="D4115" s="465"/>
      <c r="E4115" s="466" t="s">
        <v>2764</v>
      </c>
      <c r="F4115" s="466"/>
      <c r="G4115" s="465"/>
      <c r="H4115" s="465"/>
    </row>
    <row r="4116" spans="1:8" ht="13.8" thickBot="1">
      <c r="A4116" s="467" t="s">
        <v>9320</v>
      </c>
      <c r="B4116" s="465" t="s">
        <v>2783</v>
      </c>
      <c r="C4116" s="466">
        <v>6.5</v>
      </c>
      <c r="D4116" s="465"/>
      <c r="E4116" s="466" t="s">
        <v>2779</v>
      </c>
      <c r="F4116" s="466" t="s">
        <v>1226</v>
      </c>
      <c r="G4116" s="465">
        <v>1</v>
      </c>
      <c r="H4116" s="465">
        <v>2</v>
      </c>
    </row>
    <row r="4117" spans="1:8" ht="13.8" thickBot="1">
      <c r="A4117" s="467" t="s">
        <v>9321</v>
      </c>
      <c r="B4117" s="465" t="s">
        <v>2784</v>
      </c>
      <c r="C4117" s="466">
        <v>6.5</v>
      </c>
      <c r="D4117" s="467" t="s">
        <v>614</v>
      </c>
      <c r="E4117" s="466" t="s">
        <v>2779</v>
      </c>
      <c r="F4117" s="466" t="s">
        <v>1226</v>
      </c>
      <c r="G4117" s="465"/>
      <c r="H4117" s="465">
        <v>7</v>
      </c>
    </row>
    <row r="4118" spans="1:8" ht="13.8" thickBot="1">
      <c r="A4118" s="467" t="s">
        <v>9322</v>
      </c>
      <c r="B4118" s="465" t="s">
        <v>1331</v>
      </c>
      <c r="C4118" s="466">
        <v>6.5</v>
      </c>
      <c r="D4118" s="465"/>
      <c r="E4118" s="466" t="s">
        <v>2797</v>
      </c>
      <c r="F4118" s="466" t="s">
        <v>1226</v>
      </c>
      <c r="G4118" s="465"/>
      <c r="H4118" s="465">
        <v>3</v>
      </c>
    </row>
    <row r="4119" spans="1:8" ht="13.8" thickBot="1">
      <c r="A4119" s="467" t="s">
        <v>9323</v>
      </c>
      <c r="B4119" s="465" t="s">
        <v>2808</v>
      </c>
      <c r="C4119" s="466">
        <v>6.5</v>
      </c>
      <c r="D4119" s="467" t="s">
        <v>614</v>
      </c>
      <c r="E4119" s="466" t="s">
        <v>2797</v>
      </c>
      <c r="F4119" s="466" t="s">
        <v>1226</v>
      </c>
      <c r="G4119" s="465">
        <v>1</v>
      </c>
      <c r="H4119" s="465">
        <v>3</v>
      </c>
    </row>
    <row r="4120" spans="1:8" ht="13.8" thickBot="1">
      <c r="A4120" s="467" t="s">
        <v>9324</v>
      </c>
      <c r="B4120" s="465" t="s">
        <v>2809</v>
      </c>
      <c r="C4120" s="466">
        <v>6.5</v>
      </c>
      <c r="D4120" s="465"/>
      <c r="E4120" s="466" t="s">
        <v>2797</v>
      </c>
      <c r="F4120" s="466" t="s">
        <v>1226</v>
      </c>
      <c r="G4120" s="465"/>
      <c r="H4120" s="465">
        <v>1</v>
      </c>
    </row>
    <row r="4121" spans="1:8" ht="13.8" thickBot="1">
      <c r="A4121" s="467" t="s">
        <v>9325</v>
      </c>
      <c r="B4121" s="465" t="s">
        <v>2810</v>
      </c>
      <c r="C4121" s="466">
        <v>6.5</v>
      </c>
      <c r="D4121" s="467" t="s">
        <v>614</v>
      </c>
      <c r="E4121" s="466" t="s">
        <v>2797</v>
      </c>
      <c r="F4121" s="466" t="s">
        <v>1226</v>
      </c>
      <c r="G4121" s="465">
        <v>2</v>
      </c>
      <c r="H4121" s="465">
        <v>5</v>
      </c>
    </row>
    <row r="4122" spans="1:8" ht="13.8" thickBot="1">
      <c r="A4122" s="467" t="s">
        <v>9326</v>
      </c>
      <c r="B4122" s="465" t="s">
        <v>1331</v>
      </c>
      <c r="C4122" s="466">
        <v>6.5</v>
      </c>
      <c r="D4122" s="465"/>
      <c r="E4122" s="466" t="s">
        <v>2797</v>
      </c>
      <c r="F4122" s="466"/>
      <c r="G4122" s="465"/>
      <c r="H4122" s="465">
        <v>2</v>
      </c>
    </row>
    <row r="4123" spans="1:8" ht="13.8" thickBot="1">
      <c r="A4123" s="467" t="s">
        <v>9327</v>
      </c>
      <c r="B4123" s="465" t="s">
        <v>1331</v>
      </c>
      <c r="C4123" s="466">
        <v>6.5</v>
      </c>
      <c r="D4123" s="465"/>
      <c r="E4123" s="466" t="s">
        <v>2797</v>
      </c>
      <c r="F4123" s="466"/>
      <c r="G4123" s="465"/>
      <c r="H4123" s="465">
        <v>19</v>
      </c>
    </row>
    <row r="4124" spans="1:8" ht="13.8" thickBot="1">
      <c r="A4124" s="467" t="s">
        <v>9328</v>
      </c>
      <c r="B4124" s="465" t="s">
        <v>2811</v>
      </c>
      <c r="C4124" s="466">
        <v>6.5</v>
      </c>
      <c r="D4124" s="465"/>
      <c r="E4124" s="466" t="s">
        <v>2797</v>
      </c>
      <c r="F4124" s="466"/>
      <c r="G4124" s="465">
        <v>1</v>
      </c>
      <c r="H4124" s="465">
        <v>2</v>
      </c>
    </row>
    <row r="4125" spans="1:8" ht="13.8" thickBot="1">
      <c r="A4125" s="467" t="s">
        <v>9329</v>
      </c>
      <c r="B4125" s="465" t="s">
        <v>2812</v>
      </c>
      <c r="C4125" s="466">
        <v>6.5</v>
      </c>
      <c r="D4125" s="465"/>
      <c r="E4125" s="466" t="s">
        <v>2797</v>
      </c>
      <c r="F4125" s="466"/>
      <c r="G4125" s="465">
        <v>1</v>
      </c>
      <c r="H4125" s="465">
        <v>3</v>
      </c>
    </row>
    <row r="4126" spans="1:8" ht="13.8" thickBot="1">
      <c r="A4126" s="467" t="s">
        <v>9330</v>
      </c>
      <c r="B4126" s="465" t="s">
        <v>1340</v>
      </c>
      <c r="C4126" s="466">
        <v>6.5</v>
      </c>
      <c r="D4126" s="467" t="s">
        <v>614</v>
      </c>
      <c r="E4126" s="466" t="s">
        <v>2841</v>
      </c>
      <c r="F4126" s="466" t="s">
        <v>1229</v>
      </c>
      <c r="G4126" s="465">
        <v>2</v>
      </c>
      <c r="H4126" s="465">
        <v>6</v>
      </c>
    </row>
    <row r="4127" spans="1:8" ht="13.8" thickBot="1">
      <c r="A4127" s="467" t="s">
        <v>9331</v>
      </c>
      <c r="B4127" s="465" t="s">
        <v>1340</v>
      </c>
      <c r="C4127" s="466">
        <v>6.5</v>
      </c>
      <c r="D4127" s="465"/>
      <c r="E4127" s="466" t="s">
        <v>2841</v>
      </c>
      <c r="F4127" s="466" t="s">
        <v>1226</v>
      </c>
      <c r="G4127" s="465"/>
      <c r="H4127" s="465">
        <v>3</v>
      </c>
    </row>
    <row r="4128" spans="1:8" ht="13.8" thickBot="1">
      <c r="A4128" s="467" t="s">
        <v>9332</v>
      </c>
      <c r="B4128" s="465" t="s">
        <v>1340</v>
      </c>
      <c r="C4128" s="466">
        <v>6.5</v>
      </c>
      <c r="D4128" s="465"/>
      <c r="E4128" s="466" t="s">
        <v>2841</v>
      </c>
      <c r="F4128" s="466" t="s">
        <v>1226</v>
      </c>
      <c r="G4128" s="465"/>
      <c r="H4128" s="465">
        <v>4</v>
      </c>
    </row>
    <row r="4129" spans="1:8" ht="13.8" thickBot="1">
      <c r="A4129" s="467" t="s">
        <v>9333</v>
      </c>
      <c r="B4129" s="465" t="s">
        <v>1340</v>
      </c>
      <c r="C4129" s="466">
        <v>6.5</v>
      </c>
      <c r="D4129" s="465"/>
      <c r="E4129" s="466" t="s">
        <v>2841</v>
      </c>
      <c r="F4129" s="466" t="s">
        <v>1226</v>
      </c>
      <c r="G4129" s="465"/>
      <c r="H4129" s="465">
        <v>2</v>
      </c>
    </row>
    <row r="4130" spans="1:8" ht="13.8" thickBot="1">
      <c r="A4130" s="467" t="s">
        <v>9334</v>
      </c>
      <c r="B4130" s="465" t="s">
        <v>1340</v>
      </c>
      <c r="C4130" s="466">
        <v>6.5</v>
      </c>
      <c r="D4130" s="465"/>
      <c r="E4130" s="466" t="s">
        <v>2841</v>
      </c>
      <c r="F4130" s="466" t="s">
        <v>1226</v>
      </c>
      <c r="G4130" s="465"/>
      <c r="H4130" s="465">
        <v>2</v>
      </c>
    </row>
    <row r="4131" spans="1:8" ht="13.8" thickBot="1">
      <c r="A4131" s="467" t="s">
        <v>9335</v>
      </c>
      <c r="B4131" s="465" t="s">
        <v>2859</v>
      </c>
      <c r="C4131" s="466">
        <v>6.5</v>
      </c>
      <c r="D4131" s="467" t="s">
        <v>614</v>
      </c>
      <c r="E4131" s="466" t="s">
        <v>2841</v>
      </c>
      <c r="F4131" s="466" t="s">
        <v>1226</v>
      </c>
      <c r="G4131" s="465"/>
      <c r="H4131" s="465">
        <v>2</v>
      </c>
    </row>
    <row r="4132" spans="1:8" ht="13.8" thickBot="1">
      <c r="A4132" s="467" t="s">
        <v>9336</v>
      </c>
      <c r="B4132" s="465" t="s">
        <v>2860</v>
      </c>
      <c r="C4132" s="466">
        <v>6.5</v>
      </c>
      <c r="D4132" s="465"/>
      <c r="E4132" s="466" t="s">
        <v>2841</v>
      </c>
      <c r="F4132" s="466" t="s">
        <v>1226</v>
      </c>
      <c r="G4132" s="465"/>
      <c r="H4132" s="465">
        <v>6</v>
      </c>
    </row>
    <row r="4133" spans="1:8" ht="13.8" thickBot="1">
      <c r="A4133" s="467" t="s">
        <v>9337</v>
      </c>
      <c r="B4133" s="465" t="s">
        <v>2861</v>
      </c>
      <c r="C4133" s="466">
        <v>6.5</v>
      </c>
      <c r="D4133" s="467" t="s">
        <v>614</v>
      </c>
      <c r="E4133" s="466" t="s">
        <v>2841</v>
      </c>
      <c r="F4133" s="466" t="s">
        <v>1226</v>
      </c>
      <c r="G4133" s="465"/>
      <c r="H4133" s="465">
        <v>14</v>
      </c>
    </row>
    <row r="4134" spans="1:8" ht="13.8" thickBot="1">
      <c r="A4134" s="467" t="s">
        <v>9338</v>
      </c>
      <c r="B4134" s="465" t="s">
        <v>1340</v>
      </c>
      <c r="C4134" s="466">
        <v>6.5</v>
      </c>
      <c r="D4134" s="465"/>
      <c r="E4134" s="466" t="s">
        <v>2841</v>
      </c>
      <c r="F4134" s="466"/>
      <c r="G4134" s="465"/>
      <c r="H4134" s="465">
        <v>3</v>
      </c>
    </row>
    <row r="4135" spans="1:8" ht="13.8" thickBot="1">
      <c r="A4135" s="467" t="s">
        <v>9339</v>
      </c>
      <c r="B4135" s="465" t="s">
        <v>1340</v>
      </c>
      <c r="C4135" s="466">
        <v>6.5</v>
      </c>
      <c r="D4135" s="465"/>
      <c r="E4135" s="466" t="s">
        <v>2841</v>
      </c>
      <c r="F4135" s="466"/>
      <c r="G4135" s="465">
        <v>1</v>
      </c>
      <c r="H4135" s="465">
        <v>4</v>
      </c>
    </row>
    <row r="4136" spans="1:8" ht="13.8" thickBot="1">
      <c r="A4136" s="467" t="s">
        <v>9340</v>
      </c>
      <c r="B4136" s="465" t="s">
        <v>2885</v>
      </c>
      <c r="C4136" s="466">
        <v>6.5</v>
      </c>
      <c r="D4136" s="465"/>
      <c r="E4136" s="466" t="s">
        <v>2884</v>
      </c>
      <c r="F4136" s="466" t="s">
        <v>1226</v>
      </c>
      <c r="G4136" s="465"/>
      <c r="H4136" s="465">
        <v>4</v>
      </c>
    </row>
    <row r="4137" spans="1:8" ht="13.8" thickBot="1">
      <c r="A4137" s="467" t="s">
        <v>9341</v>
      </c>
      <c r="B4137" s="465" t="s">
        <v>2905</v>
      </c>
      <c r="C4137" s="466">
        <v>6.5</v>
      </c>
      <c r="D4137" s="465"/>
      <c r="E4137" s="466" t="s">
        <v>2899</v>
      </c>
      <c r="F4137" s="466" t="s">
        <v>1251</v>
      </c>
      <c r="G4137" s="465"/>
      <c r="H4137" s="465">
        <v>2</v>
      </c>
    </row>
    <row r="4138" spans="1:8" ht="13.8" thickBot="1">
      <c r="A4138" s="467" t="s">
        <v>9342</v>
      </c>
      <c r="B4138" s="465" t="s">
        <v>2906</v>
      </c>
      <c r="C4138" s="466">
        <v>6.5</v>
      </c>
      <c r="D4138" s="465"/>
      <c r="E4138" s="466" t="s">
        <v>2899</v>
      </c>
      <c r="F4138" s="466" t="s">
        <v>1226</v>
      </c>
      <c r="G4138" s="465"/>
      <c r="H4138" s="465">
        <v>4</v>
      </c>
    </row>
    <row r="4139" spans="1:8" ht="13.8" thickBot="1">
      <c r="A4139" s="467" t="s">
        <v>9343</v>
      </c>
      <c r="B4139" s="468" t="s">
        <v>1356</v>
      </c>
      <c r="C4139" s="466">
        <v>6.5</v>
      </c>
      <c r="D4139" s="465"/>
      <c r="E4139" s="466" t="s">
        <v>2899</v>
      </c>
      <c r="F4139" s="466"/>
      <c r="G4139" s="465"/>
      <c r="H4139" s="465">
        <v>1</v>
      </c>
    </row>
    <row r="4140" spans="1:8" ht="13.8" thickBot="1">
      <c r="A4140" s="467" t="s">
        <v>9344</v>
      </c>
      <c r="B4140" s="465" t="s">
        <v>2907</v>
      </c>
      <c r="C4140" s="466">
        <v>6.5</v>
      </c>
      <c r="D4140" s="467" t="s">
        <v>1854</v>
      </c>
      <c r="E4140" s="466" t="s">
        <v>2899</v>
      </c>
      <c r="F4140" s="466"/>
      <c r="G4140" s="465">
        <v>2</v>
      </c>
      <c r="H4140" s="465">
        <v>4</v>
      </c>
    </row>
    <row r="4141" spans="1:8" ht="13.8" thickBot="1">
      <c r="A4141" s="467" t="s">
        <v>9345</v>
      </c>
      <c r="B4141" s="465" t="s">
        <v>2908</v>
      </c>
      <c r="C4141" s="466">
        <v>6.5</v>
      </c>
      <c r="D4141" s="465"/>
      <c r="E4141" s="466" t="s">
        <v>2899</v>
      </c>
      <c r="F4141" s="466"/>
      <c r="G4141" s="465"/>
      <c r="H4141" s="465">
        <v>2</v>
      </c>
    </row>
    <row r="4142" spans="1:8" ht="13.8" thickBot="1">
      <c r="A4142" s="467" t="s">
        <v>7270</v>
      </c>
      <c r="B4142" s="465" t="s">
        <v>2004</v>
      </c>
      <c r="C4142" s="466">
        <v>6.5</v>
      </c>
      <c r="D4142" s="467" t="s">
        <v>2005</v>
      </c>
      <c r="E4142" s="466" t="s">
        <v>1997</v>
      </c>
      <c r="F4142" s="466" t="s">
        <v>1841</v>
      </c>
      <c r="G4142" s="465">
        <v>3</v>
      </c>
      <c r="H4142" s="465">
        <v>7</v>
      </c>
    </row>
    <row r="4143" spans="1:8" ht="13.8" thickBot="1">
      <c r="A4143" s="467" t="s">
        <v>9228</v>
      </c>
      <c r="B4143" s="465" t="s">
        <v>1752</v>
      </c>
      <c r="C4143" s="466">
        <v>6.5</v>
      </c>
      <c r="D4143" s="465"/>
      <c r="E4143" s="466" t="s">
        <v>1997</v>
      </c>
      <c r="F4143" s="466"/>
      <c r="G4143" s="465">
        <v>1</v>
      </c>
      <c r="H4143" s="465">
        <v>1</v>
      </c>
    </row>
    <row r="4144" spans="1:8" ht="13.8" thickBot="1">
      <c r="A4144" s="467" t="s">
        <v>9229</v>
      </c>
      <c r="B4144" s="465" t="s">
        <v>1752</v>
      </c>
      <c r="C4144" s="466">
        <v>6.5</v>
      </c>
      <c r="D4144" s="465"/>
      <c r="E4144" s="466" t="s">
        <v>1997</v>
      </c>
      <c r="F4144" s="466"/>
      <c r="G4144" s="465"/>
      <c r="H4144" s="465">
        <v>1</v>
      </c>
    </row>
    <row r="4145" spans="1:8" ht="13.8" thickBot="1">
      <c r="A4145" s="467" t="s">
        <v>9346</v>
      </c>
      <c r="B4145" s="465" t="s">
        <v>2930</v>
      </c>
      <c r="C4145" s="466">
        <v>6.5</v>
      </c>
      <c r="D4145" s="467" t="s">
        <v>614</v>
      </c>
      <c r="E4145" s="466" t="s">
        <v>2922</v>
      </c>
      <c r="F4145" s="466" t="s">
        <v>1251</v>
      </c>
      <c r="G4145" s="465">
        <v>1</v>
      </c>
      <c r="H4145" s="465">
        <v>3</v>
      </c>
    </row>
    <row r="4146" spans="1:8" ht="13.8" thickBot="1">
      <c r="A4146" s="467" t="s">
        <v>9347</v>
      </c>
      <c r="B4146" s="465" t="s">
        <v>2976</v>
      </c>
      <c r="C4146" s="466">
        <v>6.5</v>
      </c>
      <c r="D4146" s="465"/>
      <c r="E4146" s="466" t="s">
        <v>2957</v>
      </c>
      <c r="F4146" s="466" t="s">
        <v>1251</v>
      </c>
      <c r="G4146" s="465"/>
      <c r="H4146" s="465">
        <v>9</v>
      </c>
    </row>
    <row r="4147" spans="1:8" ht="13.8" thickBot="1">
      <c r="A4147" s="467" t="s">
        <v>9348</v>
      </c>
      <c r="B4147" s="465" t="s">
        <v>2977</v>
      </c>
      <c r="C4147" s="466">
        <v>6.5</v>
      </c>
      <c r="D4147" s="465"/>
      <c r="E4147" s="466" t="s">
        <v>2957</v>
      </c>
      <c r="F4147" s="466" t="s">
        <v>1226</v>
      </c>
      <c r="G4147" s="465"/>
      <c r="H4147" s="465">
        <v>12</v>
      </c>
    </row>
    <row r="4148" spans="1:8" ht="13.8" thickBot="1">
      <c r="A4148" s="467" t="s">
        <v>9349</v>
      </c>
      <c r="B4148" s="465" t="s">
        <v>2978</v>
      </c>
      <c r="C4148" s="466">
        <v>6.5</v>
      </c>
      <c r="D4148" s="465"/>
      <c r="E4148" s="466" t="s">
        <v>2957</v>
      </c>
      <c r="F4148" s="466" t="s">
        <v>1226</v>
      </c>
      <c r="G4148" s="465">
        <v>1</v>
      </c>
      <c r="H4148" s="465">
        <v>4</v>
      </c>
    </row>
    <row r="4149" spans="1:8" ht="13.8" thickBot="1">
      <c r="A4149" s="465" t="s">
        <v>9350</v>
      </c>
      <c r="B4149" s="465" t="s">
        <v>1552</v>
      </c>
      <c r="C4149" s="466">
        <v>6.5</v>
      </c>
      <c r="D4149" s="465"/>
      <c r="E4149" s="466" t="s">
        <v>2957</v>
      </c>
      <c r="F4149" s="466" t="s">
        <v>1224</v>
      </c>
      <c r="G4149" s="465">
        <v>1</v>
      </c>
      <c r="H4149" s="465">
        <v>5</v>
      </c>
    </row>
    <row r="4150" spans="1:8" ht="13.8" thickBot="1">
      <c r="A4150" s="465" t="s">
        <v>9351</v>
      </c>
      <c r="B4150" s="465" t="s">
        <v>1552</v>
      </c>
      <c r="C4150" s="466">
        <v>6.5</v>
      </c>
      <c r="D4150" s="465"/>
      <c r="E4150" s="466" t="s">
        <v>2957</v>
      </c>
      <c r="F4150" s="466" t="s">
        <v>1224</v>
      </c>
      <c r="G4150" s="465"/>
      <c r="H4150" s="465">
        <v>4</v>
      </c>
    </row>
    <row r="4151" spans="1:8" ht="13.8" thickBot="1">
      <c r="A4151" s="465" t="s">
        <v>9352</v>
      </c>
      <c r="B4151" s="465" t="s">
        <v>2968</v>
      </c>
      <c r="C4151" s="466">
        <v>6.5</v>
      </c>
      <c r="D4151" s="465"/>
      <c r="E4151" s="466" t="s">
        <v>2957</v>
      </c>
      <c r="F4151" s="466"/>
      <c r="G4151" s="465"/>
      <c r="H4151" s="465">
        <v>1</v>
      </c>
    </row>
    <row r="4152" spans="1:8" ht="13.8" thickBot="1">
      <c r="A4152" s="465" t="s">
        <v>9353</v>
      </c>
      <c r="B4152" s="465" t="s">
        <v>2979</v>
      </c>
      <c r="C4152" s="466">
        <v>6.5</v>
      </c>
      <c r="D4152" s="465"/>
      <c r="E4152" s="466" t="s">
        <v>2957</v>
      </c>
      <c r="F4152" s="466"/>
      <c r="G4152" s="465">
        <v>1</v>
      </c>
      <c r="H4152" s="465">
        <v>2</v>
      </c>
    </row>
    <row r="4153" spans="1:8" ht="13.8" thickBot="1">
      <c r="A4153" s="467" t="s">
        <v>9354</v>
      </c>
      <c r="B4153" s="465" t="s">
        <v>1576</v>
      </c>
      <c r="C4153" s="466">
        <v>6.5</v>
      </c>
      <c r="D4153" s="465"/>
      <c r="E4153" s="466" t="s">
        <v>2957</v>
      </c>
      <c r="F4153" s="466"/>
      <c r="G4153" s="465"/>
      <c r="H4153" s="465">
        <v>1</v>
      </c>
    </row>
    <row r="4154" spans="1:8" ht="13.8" thickBot="1">
      <c r="A4154" s="465" t="s">
        <v>9355</v>
      </c>
      <c r="B4154" s="465" t="s">
        <v>2980</v>
      </c>
      <c r="C4154" s="466">
        <v>6.5</v>
      </c>
      <c r="D4154" s="465"/>
      <c r="E4154" s="466" t="s">
        <v>2957</v>
      </c>
      <c r="F4154" s="466"/>
      <c r="G4154" s="465"/>
      <c r="H4154" s="465">
        <v>2</v>
      </c>
    </row>
    <row r="4155" spans="1:8" ht="13.8" thickBot="1">
      <c r="A4155" s="465" t="s">
        <v>9356</v>
      </c>
      <c r="B4155" s="465" t="s">
        <v>2981</v>
      </c>
      <c r="C4155" s="466">
        <v>6.5</v>
      </c>
      <c r="D4155" s="465"/>
      <c r="E4155" s="466" t="s">
        <v>2957</v>
      </c>
      <c r="F4155" s="466"/>
      <c r="G4155" s="465"/>
      <c r="H4155" s="465">
        <v>2</v>
      </c>
    </row>
    <row r="4156" spans="1:8" ht="13.8" thickBot="1">
      <c r="A4156" s="467" t="s">
        <v>9357</v>
      </c>
      <c r="B4156" s="465" t="s">
        <v>2982</v>
      </c>
      <c r="C4156" s="466">
        <v>6.5</v>
      </c>
      <c r="D4156" s="465"/>
      <c r="E4156" s="466" t="s">
        <v>2957</v>
      </c>
      <c r="F4156" s="466"/>
      <c r="G4156" s="465">
        <v>1</v>
      </c>
      <c r="H4156" s="465">
        <v>3</v>
      </c>
    </row>
    <row r="4157" spans="1:8" ht="13.8" thickBot="1">
      <c r="A4157" s="467" t="s">
        <v>9358</v>
      </c>
      <c r="B4157" s="465" t="s">
        <v>3094</v>
      </c>
      <c r="C4157" s="466">
        <v>6.5</v>
      </c>
      <c r="D4157" s="467" t="s">
        <v>614</v>
      </c>
      <c r="E4157" s="466" t="s">
        <v>3085</v>
      </c>
      <c r="F4157" s="466" t="s">
        <v>1251</v>
      </c>
      <c r="G4157" s="465">
        <v>1</v>
      </c>
      <c r="H4157" s="465">
        <v>3</v>
      </c>
    </row>
    <row r="4158" spans="1:8" ht="13.8" thickBot="1">
      <c r="A4158" s="465" t="s">
        <v>9359</v>
      </c>
      <c r="B4158" s="465" t="s">
        <v>3095</v>
      </c>
      <c r="C4158" s="466">
        <v>6.5</v>
      </c>
      <c r="D4158" s="467" t="s">
        <v>614</v>
      </c>
      <c r="E4158" s="466" t="s">
        <v>3085</v>
      </c>
      <c r="F4158" s="466" t="s">
        <v>1226</v>
      </c>
      <c r="G4158" s="465"/>
      <c r="H4158" s="465">
        <v>1</v>
      </c>
    </row>
    <row r="4159" spans="1:8" ht="13.8" thickBot="1">
      <c r="A4159" s="465" t="s">
        <v>9360</v>
      </c>
      <c r="B4159" s="465" t="s">
        <v>3120</v>
      </c>
      <c r="C4159" s="466">
        <v>6.5</v>
      </c>
      <c r="D4159" s="465"/>
      <c r="E4159" s="466" t="s">
        <v>3116</v>
      </c>
      <c r="F4159" s="466" t="s">
        <v>1251</v>
      </c>
      <c r="G4159" s="465"/>
      <c r="H4159" s="465">
        <v>4</v>
      </c>
    </row>
    <row r="4160" spans="1:8" ht="13.8" thickBot="1">
      <c r="A4160" s="467" t="s">
        <v>9361</v>
      </c>
      <c r="B4160" s="465" t="s">
        <v>3121</v>
      </c>
      <c r="C4160" s="466">
        <v>6.5</v>
      </c>
      <c r="D4160" s="467" t="s">
        <v>614</v>
      </c>
      <c r="E4160" s="466" t="s">
        <v>3116</v>
      </c>
      <c r="F4160" s="466" t="s">
        <v>2417</v>
      </c>
      <c r="G4160" s="465">
        <v>3</v>
      </c>
      <c r="H4160" s="465">
        <v>9</v>
      </c>
    </row>
    <row r="4161" spans="1:8" ht="13.8" thickBot="1">
      <c r="A4161" s="467" t="s">
        <v>9362</v>
      </c>
      <c r="B4161" s="465" t="s">
        <v>3122</v>
      </c>
      <c r="C4161" s="466">
        <v>6.5</v>
      </c>
      <c r="D4161" s="465"/>
      <c r="E4161" s="466" t="s">
        <v>3116</v>
      </c>
      <c r="F4161" s="466" t="s">
        <v>1226</v>
      </c>
      <c r="G4161" s="465">
        <v>1</v>
      </c>
      <c r="H4161" s="465">
        <v>8</v>
      </c>
    </row>
    <row r="4162" spans="1:8" ht="13.8" thickBot="1">
      <c r="A4162" s="465" t="s">
        <v>9363</v>
      </c>
      <c r="B4162" s="465" t="s">
        <v>3131</v>
      </c>
      <c r="C4162" s="466">
        <v>6.5</v>
      </c>
      <c r="D4162" s="465"/>
      <c r="E4162" s="466" t="s">
        <v>3130</v>
      </c>
      <c r="F4162" s="466" t="s">
        <v>1251</v>
      </c>
      <c r="G4162" s="465"/>
      <c r="H4162" s="465">
        <v>1</v>
      </c>
    </row>
    <row r="4163" spans="1:8" ht="13.8" thickBot="1">
      <c r="A4163" s="467" t="s">
        <v>9364</v>
      </c>
      <c r="B4163" s="465" t="s">
        <v>3131</v>
      </c>
      <c r="C4163" s="466">
        <v>6.5</v>
      </c>
      <c r="D4163" s="467" t="s">
        <v>614</v>
      </c>
      <c r="E4163" s="466" t="s">
        <v>3130</v>
      </c>
      <c r="F4163" s="466" t="s">
        <v>1251</v>
      </c>
      <c r="G4163" s="465"/>
      <c r="H4163" s="465">
        <v>3</v>
      </c>
    </row>
    <row r="4164" spans="1:8" ht="13.8" thickBot="1">
      <c r="A4164" s="467" t="s">
        <v>9365</v>
      </c>
      <c r="B4164" s="465" t="s">
        <v>3137</v>
      </c>
      <c r="C4164" s="466">
        <v>6.5</v>
      </c>
      <c r="D4164" s="467" t="s">
        <v>614</v>
      </c>
      <c r="E4164" s="466" t="s">
        <v>3130</v>
      </c>
      <c r="F4164" s="466" t="s">
        <v>1251</v>
      </c>
      <c r="G4164" s="465"/>
      <c r="H4164" s="465">
        <v>4</v>
      </c>
    </row>
    <row r="4165" spans="1:8" ht="13.8" thickBot="1">
      <c r="A4165" s="465" t="s">
        <v>9366</v>
      </c>
      <c r="B4165" s="465" t="s">
        <v>3138</v>
      </c>
      <c r="C4165" s="466">
        <v>6.5</v>
      </c>
      <c r="D4165" s="465"/>
      <c r="E4165" s="466" t="s">
        <v>3130</v>
      </c>
      <c r="F4165" s="466" t="s">
        <v>1251</v>
      </c>
      <c r="G4165" s="465"/>
      <c r="H4165" s="465">
        <v>2</v>
      </c>
    </row>
    <row r="4166" spans="1:8" ht="13.8" thickBot="1">
      <c r="A4166" s="467" t="s">
        <v>9367</v>
      </c>
      <c r="B4166" s="465" t="s">
        <v>3131</v>
      </c>
      <c r="C4166" s="466">
        <v>6.5</v>
      </c>
      <c r="D4166" s="465"/>
      <c r="E4166" s="466" t="s">
        <v>3130</v>
      </c>
      <c r="F4166" s="466" t="s">
        <v>1226</v>
      </c>
      <c r="G4166" s="465"/>
      <c r="H4166" s="465">
        <v>5</v>
      </c>
    </row>
    <row r="4167" spans="1:8" ht="13.8" thickBot="1">
      <c r="A4167" s="465" t="s">
        <v>9368</v>
      </c>
      <c r="B4167" s="465" t="s">
        <v>3139</v>
      </c>
      <c r="C4167" s="466">
        <v>6.5</v>
      </c>
      <c r="D4167" s="467" t="s">
        <v>614</v>
      </c>
      <c r="E4167" s="466" t="s">
        <v>3130</v>
      </c>
      <c r="F4167" s="466" t="s">
        <v>1226</v>
      </c>
      <c r="G4167" s="465"/>
      <c r="H4167" s="465">
        <v>1</v>
      </c>
    </row>
    <row r="4168" spans="1:8" ht="13.8" thickBot="1">
      <c r="A4168" s="465" t="s">
        <v>9369</v>
      </c>
      <c r="B4168" s="465" t="s">
        <v>3203</v>
      </c>
      <c r="C4168" s="466">
        <v>6.5</v>
      </c>
      <c r="D4168" s="467" t="s">
        <v>614</v>
      </c>
      <c r="E4168" s="466" t="s">
        <v>3161</v>
      </c>
      <c r="F4168" s="466" t="s">
        <v>1880</v>
      </c>
      <c r="G4168" s="465">
        <v>1</v>
      </c>
      <c r="H4168" s="465">
        <v>4</v>
      </c>
    </row>
    <row r="4169" spans="1:8" ht="13.8" thickBot="1">
      <c r="A4169" s="465" t="s">
        <v>9370</v>
      </c>
      <c r="B4169" s="465" t="s">
        <v>3204</v>
      </c>
      <c r="C4169" s="466">
        <v>6.5</v>
      </c>
      <c r="D4169" s="465" t="s">
        <v>3205</v>
      </c>
      <c r="E4169" s="466" t="s">
        <v>3161</v>
      </c>
      <c r="F4169" s="466" t="s">
        <v>1251</v>
      </c>
      <c r="G4169" s="465"/>
      <c r="H4169" s="465"/>
    </row>
    <row r="4170" spans="1:8" ht="13.8" thickBot="1">
      <c r="A4170" s="467" t="s">
        <v>9371</v>
      </c>
      <c r="B4170" s="465" t="s">
        <v>3200</v>
      </c>
      <c r="C4170" s="466">
        <v>6.5</v>
      </c>
      <c r="D4170" s="465"/>
      <c r="E4170" s="466" t="s">
        <v>3161</v>
      </c>
      <c r="F4170" s="466" t="s">
        <v>1224</v>
      </c>
      <c r="G4170" s="465">
        <v>1</v>
      </c>
      <c r="H4170" s="465">
        <v>1</v>
      </c>
    </row>
    <row r="4171" spans="1:8" ht="13.8" thickBot="1">
      <c r="A4171" s="465" t="s">
        <v>9372</v>
      </c>
      <c r="B4171" s="465" t="s">
        <v>1390</v>
      </c>
      <c r="C4171" s="466">
        <v>6.5</v>
      </c>
      <c r="D4171" s="465"/>
      <c r="E4171" s="466" t="s">
        <v>3161</v>
      </c>
      <c r="F4171" s="466"/>
      <c r="G4171" s="465"/>
      <c r="H4171" s="465"/>
    </row>
    <row r="4172" spans="1:8" ht="13.8" thickBot="1">
      <c r="A4172" s="467" t="s">
        <v>9373</v>
      </c>
      <c r="B4172" s="465" t="s">
        <v>1390</v>
      </c>
      <c r="C4172" s="466">
        <v>6.5</v>
      </c>
      <c r="D4172" s="465"/>
      <c r="E4172" s="466" t="s">
        <v>3161</v>
      </c>
      <c r="F4172" s="466"/>
      <c r="G4172" s="465"/>
      <c r="H4172" s="465"/>
    </row>
    <row r="4173" spans="1:8" ht="13.8" thickBot="1">
      <c r="A4173" s="467" t="s">
        <v>9374</v>
      </c>
      <c r="B4173" s="465" t="s">
        <v>1390</v>
      </c>
      <c r="C4173" s="466">
        <v>6.5</v>
      </c>
      <c r="D4173" s="465"/>
      <c r="E4173" s="466" t="s">
        <v>3161</v>
      </c>
      <c r="F4173" s="466"/>
      <c r="G4173" s="465"/>
      <c r="H4173" s="465"/>
    </row>
    <row r="4174" spans="1:8" ht="13.8" thickBot="1">
      <c r="A4174" s="465" t="s">
        <v>9375</v>
      </c>
      <c r="B4174" s="465" t="s">
        <v>1390</v>
      </c>
      <c r="C4174" s="466">
        <v>6.5</v>
      </c>
      <c r="D4174" s="465"/>
      <c r="E4174" s="466" t="s">
        <v>3161</v>
      </c>
      <c r="F4174" s="466"/>
      <c r="G4174" s="465"/>
      <c r="H4174" s="465"/>
    </row>
    <row r="4175" spans="1:8" ht="13.8" thickBot="1">
      <c r="A4175" s="465" t="s">
        <v>9376</v>
      </c>
      <c r="B4175" s="465" t="s">
        <v>3164</v>
      </c>
      <c r="C4175" s="466">
        <v>6.5</v>
      </c>
      <c r="D4175" s="465"/>
      <c r="E4175" s="466" t="s">
        <v>3161</v>
      </c>
      <c r="F4175" s="466"/>
      <c r="G4175" s="465"/>
      <c r="H4175" s="465"/>
    </row>
    <row r="4176" spans="1:8" ht="13.8" thickBot="1">
      <c r="A4176" s="467" t="s">
        <v>9377</v>
      </c>
      <c r="B4176" s="465" t="s">
        <v>1399</v>
      </c>
      <c r="C4176" s="466">
        <v>6.5</v>
      </c>
      <c r="D4176" s="467" t="s">
        <v>614</v>
      </c>
      <c r="E4176" s="466" t="s">
        <v>3161</v>
      </c>
      <c r="F4176" s="466"/>
      <c r="G4176" s="465"/>
      <c r="H4176" s="465"/>
    </row>
    <row r="4177" spans="1:8" ht="13.8" thickBot="1">
      <c r="A4177" s="467" t="s">
        <v>9378</v>
      </c>
      <c r="B4177" s="465" t="s">
        <v>3206</v>
      </c>
      <c r="C4177" s="466">
        <v>6.5</v>
      </c>
      <c r="D4177" s="465"/>
      <c r="E4177" s="466" t="s">
        <v>3161</v>
      </c>
      <c r="F4177" s="466"/>
      <c r="G4177" s="465"/>
      <c r="H4177" s="465"/>
    </row>
    <row r="4178" spans="1:8" ht="13.8" thickBot="1">
      <c r="A4178" s="467" t="s">
        <v>9379</v>
      </c>
      <c r="B4178" s="465" t="s">
        <v>1393</v>
      </c>
      <c r="C4178" s="466">
        <v>6.5</v>
      </c>
      <c r="D4178" s="465"/>
      <c r="E4178" s="466" t="s">
        <v>3161</v>
      </c>
      <c r="F4178" s="466"/>
      <c r="G4178" s="465"/>
      <c r="H4178" s="465">
        <v>1</v>
      </c>
    </row>
    <row r="4179" spans="1:8" ht="13.8" thickBot="1">
      <c r="A4179" s="467" t="s">
        <v>9380</v>
      </c>
      <c r="B4179" s="465" t="s">
        <v>3178</v>
      </c>
      <c r="C4179" s="466">
        <v>6.5</v>
      </c>
      <c r="D4179" s="465"/>
      <c r="E4179" s="466" t="s">
        <v>3161</v>
      </c>
      <c r="F4179" s="466"/>
      <c r="G4179" s="465"/>
      <c r="H4179" s="465"/>
    </row>
    <row r="4180" spans="1:8" ht="13.8" thickBot="1">
      <c r="A4180" s="465" t="s">
        <v>9381</v>
      </c>
      <c r="B4180" s="465" t="s">
        <v>3196</v>
      </c>
      <c r="C4180" s="466">
        <v>6.5</v>
      </c>
      <c r="D4180" s="465"/>
      <c r="E4180" s="466" t="s">
        <v>3161</v>
      </c>
      <c r="F4180" s="466"/>
      <c r="G4180" s="465"/>
      <c r="H4180" s="465"/>
    </row>
    <row r="4181" spans="1:8" ht="13.8" thickBot="1">
      <c r="A4181" s="467" t="s">
        <v>9382</v>
      </c>
      <c r="B4181" s="465" t="s">
        <v>3207</v>
      </c>
      <c r="C4181" s="466">
        <v>6.5</v>
      </c>
      <c r="D4181" s="465"/>
      <c r="E4181" s="466" t="s">
        <v>3161</v>
      </c>
      <c r="F4181" s="466"/>
      <c r="G4181" s="465"/>
      <c r="H4181" s="465">
        <v>1</v>
      </c>
    </row>
    <row r="4182" spans="1:8" ht="13.8" thickBot="1">
      <c r="A4182" s="467" t="s">
        <v>9383</v>
      </c>
      <c r="B4182" s="465" t="s">
        <v>3299</v>
      </c>
      <c r="C4182" s="466">
        <v>6.5</v>
      </c>
      <c r="D4182" s="467" t="s">
        <v>614</v>
      </c>
      <c r="E4182" s="466" t="s">
        <v>3285</v>
      </c>
      <c r="F4182" s="466" t="s">
        <v>2417</v>
      </c>
      <c r="G4182" s="465">
        <v>4</v>
      </c>
      <c r="H4182" s="465">
        <v>9</v>
      </c>
    </row>
    <row r="4183" spans="1:8" ht="13.8" thickBot="1">
      <c r="A4183" s="467" t="s">
        <v>9384</v>
      </c>
      <c r="B4183" s="465" t="s">
        <v>3300</v>
      </c>
      <c r="C4183" s="466">
        <v>6.5</v>
      </c>
      <c r="D4183" s="465"/>
      <c r="E4183" s="466" t="s">
        <v>3285</v>
      </c>
      <c r="F4183" s="466" t="s">
        <v>1226</v>
      </c>
      <c r="G4183" s="465">
        <v>1</v>
      </c>
      <c r="H4183" s="465">
        <v>1</v>
      </c>
    </row>
    <row r="4184" spans="1:8" ht="13.8" thickBot="1">
      <c r="A4184" s="465" t="s">
        <v>9385</v>
      </c>
      <c r="B4184" s="465" t="s">
        <v>3327</v>
      </c>
      <c r="C4184" s="466">
        <v>6.5</v>
      </c>
      <c r="D4184" s="467" t="s">
        <v>614</v>
      </c>
      <c r="E4184" s="466" t="s">
        <v>3315</v>
      </c>
      <c r="F4184" s="466" t="s">
        <v>1226</v>
      </c>
      <c r="G4184" s="465">
        <v>1</v>
      </c>
      <c r="H4184" s="465">
        <v>2</v>
      </c>
    </row>
    <row r="4185" spans="1:8" ht="13.8" thickBot="1">
      <c r="A4185" s="467" t="s">
        <v>9230</v>
      </c>
      <c r="B4185" s="465" t="s">
        <v>2038</v>
      </c>
      <c r="C4185" s="466">
        <v>6.5</v>
      </c>
      <c r="D4185" s="465"/>
      <c r="E4185" s="466" t="s">
        <v>2032</v>
      </c>
      <c r="F4185" s="466" t="s">
        <v>1251</v>
      </c>
      <c r="G4185" s="465"/>
      <c r="H4185" s="465">
        <v>3</v>
      </c>
    </row>
    <row r="4186" spans="1:8" ht="13.8" thickBot="1">
      <c r="A4186" s="467" t="s">
        <v>9231</v>
      </c>
      <c r="B4186" s="465" t="s">
        <v>2039</v>
      </c>
      <c r="C4186" s="466">
        <v>6.5</v>
      </c>
      <c r="D4186" s="467" t="s">
        <v>614</v>
      </c>
      <c r="E4186" s="466" t="s">
        <v>2032</v>
      </c>
      <c r="F4186" s="466" t="s">
        <v>1251</v>
      </c>
      <c r="G4186" s="465"/>
      <c r="H4186" s="465">
        <v>5</v>
      </c>
    </row>
    <row r="4187" spans="1:8" ht="13.8" thickBot="1">
      <c r="A4187" s="467" t="s">
        <v>9232</v>
      </c>
      <c r="B4187" s="465" t="s">
        <v>2040</v>
      </c>
      <c r="C4187" s="466">
        <v>6.5</v>
      </c>
      <c r="D4187" s="467" t="s">
        <v>614</v>
      </c>
      <c r="E4187" s="466" t="s">
        <v>2032</v>
      </c>
      <c r="F4187" s="466" t="s">
        <v>1226</v>
      </c>
      <c r="G4187" s="465">
        <v>3</v>
      </c>
      <c r="H4187" s="465">
        <v>8</v>
      </c>
    </row>
    <row r="4188" spans="1:8" ht="13.8" thickBot="1">
      <c r="A4188" s="465" t="s">
        <v>9386</v>
      </c>
      <c r="B4188" s="465" t="s">
        <v>3380</v>
      </c>
      <c r="C4188" s="466">
        <v>6.5</v>
      </c>
      <c r="D4188" s="465"/>
      <c r="E4188" s="466" t="s">
        <v>3351</v>
      </c>
      <c r="F4188" s="466" t="s">
        <v>1226</v>
      </c>
      <c r="G4188" s="465"/>
      <c r="H4188" s="465">
        <v>2</v>
      </c>
    </row>
    <row r="4189" spans="1:8" ht="13.8" thickBot="1">
      <c r="A4189" s="465" t="s">
        <v>9387</v>
      </c>
      <c r="B4189" s="465" t="s">
        <v>3359</v>
      </c>
      <c r="C4189" s="466">
        <v>6.5</v>
      </c>
      <c r="D4189" s="467" t="s">
        <v>614</v>
      </c>
      <c r="E4189" s="466" t="s">
        <v>3351</v>
      </c>
      <c r="F4189" s="466" t="s">
        <v>1226</v>
      </c>
      <c r="G4189" s="465">
        <v>2</v>
      </c>
      <c r="H4189" s="465">
        <v>6</v>
      </c>
    </row>
    <row r="4190" spans="1:8" ht="13.8" thickBot="1">
      <c r="A4190" s="465" t="s">
        <v>9388</v>
      </c>
      <c r="B4190" s="465" t="s">
        <v>3381</v>
      </c>
      <c r="C4190" s="466">
        <v>6.5</v>
      </c>
      <c r="D4190" s="465"/>
      <c r="E4190" s="466" t="s">
        <v>3351</v>
      </c>
      <c r="F4190" s="466"/>
      <c r="G4190" s="465"/>
      <c r="H4190" s="465">
        <v>1</v>
      </c>
    </row>
    <row r="4191" spans="1:8" ht="13.8" thickBot="1">
      <c r="A4191" s="467" t="s">
        <v>9389</v>
      </c>
      <c r="B4191" s="465" t="s">
        <v>3373</v>
      </c>
      <c r="C4191" s="466">
        <v>6.5</v>
      </c>
      <c r="D4191" s="465"/>
      <c r="E4191" s="466" t="s">
        <v>3351</v>
      </c>
      <c r="F4191" s="466"/>
      <c r="G4191" s="465"/>
      <c r="H4191" s="465"/>
    </row>
    <row r="4192" spans="1:8" ht="13.8" thickBot="1">
      <c r="A4192" s="467" t="s">
        <v>9390</v>
      </c>
      <c r="B4192" s="465" t="s">
        <v>3382</v>
      </c>
      <c r="C4192" s="466">
        <v>6.5</v>
      </c>
      <c r="D4192" s="465"/>
      <c r="E4192" s="466" t="s">
        <v>3351</v>
      </c>
      <c r="F4192" s="466"/>
      <c r="G4192" s="465"/>
      <c r="H4192" s="465"/>
    </row>
    <row r="4193" spans="1:8" ht="13.8" thickBot="1">
      <c r="A4193" s="467" t="s">
        <v>9391</v>
      </c>
      <c r="B4193" s="465" t="s">
        <v>3405</v>
      </c>
      <c r="C4193" s="466">
        <v>6.5</v>
      </c>
      <c r="D4193" s="467" t="s">
        <v>614</v>
      </c>
      <c r="E4193" s="466" t="s">
        <v>3400</v>
      </c>
      <c r="F4193" s="466" t="s">
        <v>1226</v>
      </c>
      <c r="G4193" s="465"/>
      <c r="H4193" s="465">
        <v>3</v>
      </c>
    </row>
    <row r="4194" spans="1:8" ht="13.8" thickBot="1">
      <c r="A4194" s="467" t="s">
        <v>9392</v>
      </c>
      <c r="B4194" s="465" t="s">
        <v>3406</v>
      </c>
      <c r="C4194" s="466">
        <v>6.5</v>
      </c>
      <c r="D4194" s="467" t="s">
        <v>614</v>
      </c>
      <c r="E4194" s="466" t="s">
        <v>3400</v>
      </c>
      <c r="F4194" s="466"/>
      <c r="G4194" s="465">
        <v>1</v>
      </c>
      <c r="H4194" s="465">
        <v>2</v>
      </c>
    </row>
    <row r="4195" spans="1:8" ht="13.8" thickBot="1">
      <c r="A4195" s="467" t="s">
        <v>9393</v>
      </c>
      <c r="B4195" s="465" t="s">
        <v>3434</v>
      </c>
      <c r="C4195" s="466">
        <v>6.5</v>
      </c>
      <c r="D4195" s="465"/>
      <c r="E4195" s="466" t="s">
        <v>3414</v>
      </c>
      <c r="F4195" s="466" t="s">
        <v>1226</v>
      </c>
      <c r="G4195" s="465"/>
      <c r="H4195" s="465">
        <v>1</v>
      </c>
    </row>
    <row r="4196" spans="1:8" ht="13.8" thickBot="1">
      <c r="A4196" s="467" t="s">
        <v>9394</v>
      </c>
      <c r="B4196" s="465" t="s">
        <v>3435</v>
      </c>
      <c r="C4196" s="466">
        <v>6.5</v>
      </c>
      <c r="D4196" s="467" t="s">
        <v>614</v>
      </c>
      <c r="E4196" s="466" t="s">
        <v>3414</v>
      </c>
      <c r="F4196" s="466" t="s">
        <v>1224</v>
      </c>
      <c r="G4196" s="465"/>
      <c r="H4196" s="465">
        <v>3</v>
      </c>
    </row>
    <row r="4197" spans="1:8" ht="13.8" thickBot="1">
      <c r="A4197" s="467" t="s">
        <v>9395</v>
      </c>
      <c r="B4197" s="465" t="s">
        <v>3421</v>
      </c>
      <c r="C4197" s="466">
        <v>6.5</v>
      </c>
      <c r="D4197" s="465"/>
      <c r="E4197" s="466" t="s">
        <v>3414</v>
      </c>
      <c r="F4197" s="466"/>
      <c r="G4197" s="465"/>
      <c r="H4197" s="465"/>
    </row>
    <row r="4198" spans="1:8" ht="13.8" thickBot="1">
      <c r="A4198" s="467" t="s">
        <v>9396</v>
      </c>
      <c r="B4198" s="465" t="s">
        <v>3434</v>
      </c>
      <c r="C4198" s="466">
        <v>6.5</v>
      </c>
      <c r="D4198" s="465"/>
      <c r="E4198" s="466" t="s">
        <v>3414</v>
      </c>
      <c r="F4198" s="466"/>
      <c r="G4198" s="465"/>
      <c r="H4198" s="465">
        <v>1</v>
      </c>
    </row>
    <row r="4199" spans="1:8" ht="13.8" thickBot="1">
      <c r="A4199" s="467" t="s">
        <v>9397</v>
      </c>
      <c r="B4199" s="465" t="s">
        <v>3436</v>
      </c>
      <c r="C4199" s="466">
        <v>6.5</v>
      </c>
      <c r="D4199" s="467" t="s">
        <v>614</v>
      </c>
      <c r="E4199" s="466" t="s">
        <v>3414</v>
      </c>
      <c r="F4199" s="466"/>
      <c r="G4199" s="465"/>
      <c r="H4199" s="465"/>
    </row>
    <row r="4200" spans="1:8" ht="13.8" thickBot="1">
      <c r="A4200" s="467" t="s">
        <v>9398</v>
      </c>
      <c r="B4200" s="465" t="s">
        <v>3463</v>
      </c>
      <c r="C4200" s="466">
        <v>6.5</v>
      </c>
      <c r="D4200" s="467" t="s">
        <v>614</v>
      </c>
      <c r="E4200" s="466" t="s">
        <v>3452</v>
      </c>
      <c r="F4200" s="466" t="s">
        <v>1251</v>
      </c>
      <c r="G4200" s="465">
        <v>1</v>
      </c>
      <c r="H4200" s="465">
        <v>5</v>
      </c>
    </row>
    <row r="4201" spans="1:8" ht="13.8" thickBot="1">
      <c r="A4201" s="467" t="s">
        <v>9399</v>
      </c>
      <c r="B4201" s="465" t="s">
        <v>3464</v>
      </c>
      <c r="C4201" s="466">
        <v>6.5</v>
      </c>
      <c r="D4201" s="467" t="s">
        <v>1854</v>
      </c>
      <c r="E4201" s="466" t="s">
        <v>3452</v>
      </c>
      <c r="F4201" s="466" t="s">
        <v>1251</v>
      </c>
      <c r="G4201" s="465"/>
      <c r="H4201" s="465">
        <v>1</v>
      </c>
    </row>
    <row r="4202" spans="1:8" ht="13.8" thickBot="1">
      <c r="A4202" s="467" t="s">
        <v>9400</v>
      </c>
      <c r="B4202" s="465" t="s">
        <v>3465</v>
      </c>
      <c r="C4202" s="466">
        <v>6.5</v>
      </c>
      <c r="D4202" s="467" t="s">
        <v>614</v>
      </c>
      <c r="E4202" s="466" t="s">
        <v>3452</v>
      </c>
      <c r="F4202" s="466" t="s">
        <v>1251</v>
      </c>
      <c r="G4202" s="465"/>
      <c r="H4202" s="465">
        <v>1</v>
      </c>
    </row>
    <row r="4203" spans="1:8" ht="13.8" thickBot="1">
      <c r="A4203" s="467" t="s">
        <v>9401</v>
      </c>
      <c r="B4203" s="465" t="s">
        <v>3466</v>
      </c>
      <c r="C4203" s="466">
        <v>6.5</v>
      </c>
      <c r="D4203" s="465"/>
      <c r="E4203" s="466" t="s">
        <v>3452</v>
      </c>
      <c r="F4203" s="466" t="s">
        <v>1226</v>
      </c>
      <c r="G4203" s="465"/>
      <c r="H4203" s="465">
        <v>3</v>
      </c>
    </row>
    <row r="4204" spans="1:8" ht="13.8" thickBot="1">
      <c r="A4204" s="467" t="s">
        <v>9402</v>
      </c>
      <c r="B4204" s="465" t="s">
        <v>3467</v>
      </c>
      <c r="C4204" s="466">
        <v>6.5</v>
      </c>
      <c r="D4204" s="467" t="s">
        <v>614</v>
      </c>
      <c r="E4204" s="466" t="s">
        <v>3452</v>
      </c>
      <c r="F4204" s="466" t="s">
        <v>1863</v>
      </c>
      <c r="G4204" s="465">
        <v>2</v>
      </c>
      <c r="H4204" s="465">
        <v>4</v>
      </c>
    </row>
    <row r="4205" spans="1:8" ht="13.8" thickBot="1">
      <c r="A4205" s="467" t="s">
        <v>9403</v>
      </c>
      <c r="B4205" s="465" t="s">
        <v>3468</v>
      </c>
      <c r="C4205" s="466">
        <v>6.5</v>
      </c>
      <c r="D4205" s="467" t="s">
        <v>2223</v>
      </c>
      <c r="E4205" s="466" t="s">
        <v>3452</v>
      </c>
      <c r="F4205" s="466"/>
      <c r="G4205" s="465"/>
      <c r="H4205" s="465"/>
    </row>
    <row r="4206" spans="1:8" ht="13.8" thickBot="1">
      <c r="A4206" s="467" t="s">
        <v>9404</v>
      </c>
      <c r="B4206" s="465" t="s">
        <v>3557</v>
      </c>
      <c r="C4206" s="466">
        <v>6.5</v>
      </c>
      <c r="D4206" s="467" t="s">
        <v>614</v>
      </c>
      <c r="E4206" s="466" t="s">
        <v>3517</v>
      </c>
      <c r="F4206" s="466" t="s">
        <v>1229</v>
      </c>
      <c r="G4206" s="465"/>
      <c r="H4206" s="465">
        <v>2</v>
      </c>
    </row>
    <row r="4207" spans="1:8" ht="13.8" thickBot="1">
      <c r="A4207" s="467" t="s">
        <v>9405</v>
      </c>
      <c r="B4207" s="465" t="s">
        <v>3558</v>
      </c>
      <c r="C4207" s="466">
        <v>6.5</v>
      </c>
      <c r="D4207" s="467" t="s">
        <v>614</v>
      </c>
      <c r="E4207" s="466" t="s">
        <v>3517</v>
      </c>
      <c r="F4207" s="466" t="s">
        <v>1226</v>
      </c>
      <c r="G4207" s="465"/>
      <c r="H4207" s="465">
        <v>9</v>
      </c>
    </row>
    <row r="4208" spans="1:8" ht="13.8" thickBot="1">
      <c r="A4208" s="467" t="s">
        <v>9406</v>
      </c>
      <c r="B4208" s="468" t="s">
        <v>3559</v>
      </c>
      <c r="C4208" s="466">
        <v>6.5</v>
      </c>
      <c r="D4208" s="465"/>
      <c r="E4208" s="466" t="s">
        <v>3517</v>
      </c>
      <c r="F4208" s="466" t="s">
        <v>1226</v>
      </c>
      <c r="G4208" s="465"/>
      <c r="H4208" s="465">
        <v>2</v>
      </c>
    </row>
    <row r="4209" spans="1:8" ht="13.8" thickBot="1">
      <c r="A4209" s="467" t="s">
        <v>9407</v>
      </c>
      <c r="B4209" s="465" t="s">
        <v>3560</v>
      </c>
      <c r="C4209" s="466">
        <v>6.5</v>
      </c>
      <c r="D4209" s="465"/>
      <c r="E4209" s="466" t="s">
        <v>3517</v>
      </c>
      <c r="F4209" s="466" t="s">
        <v>1226</v>
      </c>
      <c r="G4209" s="465"/>
      <c r="H4209" s="465">
        <v>2</v>
      </c>
    </row>
    <row r="4210" spans="1:8" ht="13.8" thickBot="1">
      <c r="A4210" s="467" t="s">
        <v>9408</v>
      </c>
      <c r="B4210" s="468" t="s">
        <v>3561</v>
      </c>
      <c r="C4210" s="466">
        <v>6.5</v>
      </c>
      <c r="D4210" s="465"/>
      <c r="E4210" s="466" t="s">
        <v>3517</v>
      </c>
      <c r="F4210" s="466" t="s">
        <v>1224</v>
      </c>
      <c r="G4210" s="465"/>
      <c r="H4210" s="465">
        <v>3</v>
      </c>
    </row>
    <row r="4211" spans="1:8" ht="13.8" thickBot="1">
      <c r="A4211" s="467" t="s">
        <v>9409</v>
      </c>
      <c r="B4211" s="465" t="s">
        <v>3548</v>
      </c>
      <c r="C4211" s="466">
        <v>6.5</v>
      </c>
      <c r="D4211" s="467" t="s">
        <v>614</v>
      </c>
      <c r="E4211" s="466" t="s">
        <v>3517</v>
      </c>
      <c r="F4211" s="466"/>
      <c r="G4211" s="465"/>
      <c r="H4211" s="465">
        <v>1</v>
      </c>
    </row>
    <row r="4212" spans="1:8" ht="13.8" thickBot="1">
      <c r="A4212" s="465" t="s">
        <v>9410</v>
      </c>
      <c r="B4212" s="465" t="s">
        <v>3668</v>
      </c>
      <c r="C4212" s="466">
        <v>6.5</v>
      </c>
      <c r="D4212" s="467" t="s">
        <v>614</v>
      </c>
      <c r="E4212" s="466" t="s">
        <v>3652</v>
      </c>
      <c r="F4212" s="466" t="s">
        <v>1226</v>
      </c>
      <c r="G4212" s="465">
        <v>1</v>
      </c>
      <c r="H4212" s="465">
        <v>4</v>
      </c>
    </row>
    <row r="4213" spans="1:8" ht="13.8" thickBot="1">
      <c r="A4213" s="467" t="s">
        <v>9411</v>
      </c>
      <c r="B4213" s="465" t="s">
        <v>1466</v>
      </c>
      <c r="C4213" s="466">
        <v>6.5</v>
      </c>
      <c r="D4213" s="465"/>
      <c r="E4213" s="466" t="s">
        <v>3652</v>
      </c>
      <c r="F4213" s="466"/>
      <c r="G4213" s="465">
        <v>1</v>
      </c>
      <c r="H4213" s="465">
        <v>1</v>
      </c>
    </row>
    <row r="4214" spans="1:8" ht="13.8" thickBot="1">
      <c r="A4214" s="465" t="s">
        <v>9412</v>
      </c>
      <c r="B4214" s="465" t="s">
        <v>3669</v>
      </c>
      <c r="C4214" s="466">
        <v>6.5</v>
      </c>
      <c r="D4214" s="465"/>
      <c r="E4214" s="466" t="s">
        <v>3652</v>
      </c>
      <c r="F4214" s="466"/>
      <c r="G4214" s="465"/>
      <c r="H4214" s="465">
        <v>1</v>
      </c>
    </row>
    <row r="4215" spans="1:8" ht="13.8" thickBot="1">
      <c r="A4215" s="467" t="s">
        <v>9413</v>
      </c>
      <c r="B4215" s="465" t="s">
        <v>3670</v>
      </c>
      <c r="C4215" s="466">
        <v>6.5</v>
      </c>
      <c r="D4215" s="465"/>
      <c r="E4215" s="466" t="s">
        <v>3652</v>
      </c>
      <c r="F4215" s="466"/>
      <c r="G4215" s="465"/>
      <c r="H4215" s="465"/>
    </row>
    <row r="4216" spans="1:8" ht="13.8" thickBot="1">
      <c r="A4216" s="467" t="s">
        <v>9414</v>
      </c>
      <c r="B4216" s="465" t="s">
        <v>3723</v>
      </c>
      <c r="C4216" s="466">
        <v>6.5</v>
      </c>
      <c r="D4216" s="465"/>
      <c r="E4216" s="466" t="s">
        <v>3724</v>
      </c>
      <c r="F4216" s="466" t="s">
        <v>1251</v>
      </c>
      <c r="G4216" s="465"/>
      <c r="H4216" s="465">
        <v>5</v>
      </c>
    </row>
    <row r="4217" spans="1:8" ht="13.8" thickBot="1">
      <c r="A4217" s="465" t="s">
        <v>9233</v>
      </c>
      <c r="B4217" s="465" t="s">
        <v>1246</v>
      </c>
      <c r="C4217" s="466">
        <v>6.5</v>
      </c>
      <c r="D4217" s="465"/>
      <c r="E4217" s="466" t="s">
        <v>2087</v>
      </c>
      <c r="F4217" s="466"/>
      <c r="G4217" s="465"/>
      <c r="H4217" s="465">
        <v>1</v>
      </c>
    </row>
    <row r="4218" spans="1:8" ht="13.8" thickBot="1">
      <c r="A4218" s="467" t="s">
        <v>9234</v>
      </c>
      <c r="B4218" s="465" t="s">
        <v>2092</v>
      </c>
      <c r="C4218" s="466">
        <v>6.5</v>
      </c>
      <c r="D4218" s="467" t="s">
        <v>614</v>
      </c>
      <c r="E4218" s="466" t="s">
        <v>2087</v>
      </c>
      <c r="F4218" s="466"/>
      <c r="G4218" s="465"/>
      <c r="H4218" s="465"/>
    </row>
    <row r="4219" spans="1:8" ht="13.8" thickBot="1">
      <c r="A4219" s="467" t="s">
        <v>9415</v>
      </c>
      <c r="B4219" s="465" t="s">
        <v>3757</v>
      </c>
      <c r="C4219" s="466">
        <v>6.5</v>
      </c>
      <c r="D4219" s="467" t="s">
        <v>614</v>
      </c>
      <c r="E4219" s="466" t="s">
        <v>3734</v>
      </c>
      <c r="F4219" s="466" t="s">
        <v>1251</v>
      </c>
      <c r="G4219" s="465">
        <v>5</v>
      </c>
      <c r="H4219" s="465">
        <v>10</v>
      </c>
    </row>
    <row r="4220" spans="1:8" ht="13.8" thickBot="1">
      <c r="A4220" s="465" t="s">
        <v>9416</v>
      </c>
      <c r="B4220" s="465" t="s">
        <v>3758</v>
      </c>
      <c r="C4220" s="466">
        <v>6.5</v>
      </c>
      <c r="D4220" s="465"/>
      <c r="E4220" s="466" t="s">
        <v>3734</v>
      </c>
      <c r="F4220" s="466" t="s">
        <v>1226</v>
      </c>
      <c r="G4220" s="465"/>
      <c r="H4220" s="465">
        <v>8</v>
      </c>
    </row>
    <row r="4221" spans="1:8" ht="13.8" thickBot="1">
      <c r="A4221" s="467" t="s">
        <v>9417</v>
      </c>
      <c r="B4221" s="465" t="s">
        <v>3759</v>
      </c>
      <c r="C4221" s="466">
        <v>6.5</v>
      </c>
      <c r="D4221" s="465"/>
      <c r="E4221" s="466" t="s">
        <v>3734</v>
      </c>
      <c r="F4221" s="466" t="s">
        <v>1226</v>
      </c>
      <c r="G4221" s="465"/>
      <c r="H4221" s="465">
        <v>3</v>
      </c>
    </row>
    <row r="4222" spans="1:8" ht="13.8" thickBot="1">
      <c r="A4222" s="465" t="s">
        <v>9418</v>
      </c>
      <c r="B4222" s="465" t="s">
        <v>3760</v>
      </c>
      <c r="C4222" s="475">
        <v>6.5</v>
      </c>
      <c r="D4222" s="465"/>
      <c r="E4222" s="466" t="s">
        <v>3734</v>
      </c>
      <c r="F4222" s="466" t="s">
        <v>1226</v>
      </c>
      <c r="G4222" s="465"/>
      <c r="H4222" s="465">
        <v>4</v>
      </c>
    </row>
    <row r="4223" spans="1:8" ht="13.8" thickBot="1">
      <c r="A4223" s="465" t="s">
        <v>9419</v>
      </c>
      <c r="B4223" s="465" t="s">
        <v>3761</v>
      </c>
      <c r="C4223" s="466">
        <v>6.5</v>
      </c>
      <c r="D4223" s="467" t="s">
        <v>614</v>
      </c>
      <c r="E4223" s="466" t="s">
        <v>3734</v>
      </c>
      <c r="F4223" s="466" t="s">
        <v>1226</v>
      </c>
      <c r="G4223" s="465"/>
      <c r="H4223" s="465">
        <v>3</v>
      </c>
    </row>
    <row r="4224" spans="1:8" ht="13.8" thickBot="1">
      <c r="A4224" s="467" t="s">
        <v>9420</v>
      </c>
      <c r="B4224" s="465" t="s">
        <v>1480</v>
      </c>
      <c r="C4224" s="466">
        <v>6.5</v>
      </c>
      <c r="D4224" s="465"/>
      <c r="E4224" s="466" t="s">
        <v>3734</v>
      </c>
      <c r="F4224" s="466"/>
      <c r="G4224" s="465">
        <v>1</v>
      </c>
      <c r="H4224" s="465">
        <v>1</v>
      </c>
    </row>
    <row r="4225" spans="1:8" ht="13.8" thickBot="1">
      <c r="A4225" s="465" t="s">
        <v>9421</v>
      </c>
      <c r="B4225" s="465" t="s">
        <v>1480</v>
      </c>
      <c r="C4225" s="466">
        <v>6.5</v>
      </c>
      <c r="D4225" s="465"/>
      <c r="E4225" s="466" t="s">
        <v>3734</v>
      </c>
      <c r="F4225" s="466"/>
      <c r="G4225" s="465">
        <v>1</v>
      </c>
      <c r="H4225" s="465">
        <v>1</v>
      </c>
    </row>
    <row r="4226" spans="1:8" ht="13.8" thickBot="1">
      <c r="A4226" s="465" t="s">
        <v>9422</v>
      </c>
      <c r="B4226" s="468" t="s">
        <v>1480</v>
      </c>
      <c r="C4226" s="466">
        <v>6.5</v>
      </c>
      <c r="D4226" s="465"/>
      <c r="E4226" s="466" t="s">
        <v>3734</v>
      </c>
      <c r="F4226" s="466"/>
      <c r="G4226" s="465"/>
      <c r="H4226" s="465">
        <v>1</v>
      </c>
    </row>
    <row r="4227" spans="1:8" ht="13.8" thickBot="1">
      <c r="A4227" s="467" t="s">
        <v>9423</v>
      </c>
      <c r="B4227" s="465" t="s">
        <v>3762</v>
      </c>
      <c r="C4227" s="466">
        <v>6.5</v>
      </c>
      <c r="D4227" s="465"/>
      <c r="E4227" s="466" t="s">
        <v>3734</v>
      </c>
      <c r="F4227" s="466"/>
      <c r="G4227" s="465"/>
      <c r="H4227" s="465">
        <v>1</v>
      </c>
    </row>
    <row r="4228" spans="1:8" ht="13.8" thickBot="1">
      <c r="A4228" s="467" t="s">
        <v>9424</v>
      </c>
      <c r="B4228" s="465" t="s">
        <v>3763</v>
      </c>
      <c r="C4228" s="466">
        <v>6.5</v>
      </c>
      <c r="D4228" s="465"/>
      <c r="E4228" s="466" t="s">
        <v>3734</v>
      </c>
      <c r="F4228" s="466"/>
      <c r="G4228" s="465"/>
      <c r="H4228" s="465">
        <v>4</v>
      </c>
    </row>
    <row r="4229" spans="1:8" ht="13.8" thickBot="1">
      <c r="A4229" s="465" t="s">
        <v>9425</v>
      </c>
      <c r="B4229" s="465" t="s">
        <v>3818</v>
      </c>
      <c r="C4229" s="466">
        <v>6.5</v>
      </c>
      <c r="D4229" s="465"/>
      <c r="E4229" s="466" t="s">
        <v>3807</v>
      </c>
      <c r="F4229" s="466" t="s">
        <v>1224</v>
      </c>
      <c r="G4229" s="465">
        <v>1</v>
      </c>
      <c r="H4229" s="465">
        <v>6</v>
      </c>
    </row>
    <row r="4230" spans="1:8" ht="13.8" thickBot="1">
      <c r="A4230" s="467" t="s">
        <v>9426</v>
      </c>
      <c r="B4230" s="465" t="s">
        <v>3819</v>
      </c>
      <c r="C4230" s="466">
        <v>6.5</v>
      </c>
      <c r="D4230" s="465"/>
      <c r="E4230" s="466" t="s">
        <v>3807</v>
      </c>
      <c r="F4230" s="466" t="s">
        <v>1220</v>
      </c>
      <c r="G4230" s="465"/>
      <c r="H4230" s="465">
        <v>2</v>
      </c>
    </row>
    <row r="4231" spans="1:8" ht="13.8" thickBot="1">
      <c r="A4231" s="467" t="s">
        <v>9427</v>
      </c>
      <c r="B4231" s="465" t="s">
        <v>3820</v>
      </c>
      <c r="C4231" s="466">
        <v>6.5</v>
      </c>
      <c r="D4231" s="465"/>
      <c r="E4231" s="466" t="s">
        <v>3807</v>
      </c>
      <c r="F4231" s="466"/>
      <c r="G4231" s="465"/>
      <c r="H4231" s="465"/>
    </row>
    <row r="4232" spans="1:8" ht="13.8" thickBot="1">
      <c r="A4232" s="467" t="s">
        <v>9428</v>
      </c>
      <c r="B4232" s="465" t="s">
        <v>3821</v>
      </c>
      <c r="C4232" s="466">
        <v>6.5</v>
      </c>
      <c r="D4232" s="465"/>
      <c r="E4232" s="466" t="s">
        <v>3807</v>
      </c>
      <c r="F4232" s="466"/>
      <c r="G4232" s="465"/>
      <c r="H4232" s="465"/>
    </row>
    <row r="4233" spans="1:8" ht="13.8" thickBot="1">
      <c r="A4233" s="465" t="s">
        <v>9429</v>
      </c>
      <c r="B4233" s="465" t="s">
        <v>3822</v>
      </c>
      <c r="C4233" s="466">
        <v>6.5</v>
      </c>
      <c r="D4233" s="465"/>
      <c r="E4233" s="466" t="s">
        <v>3807</v>
      </c>
      <c r="F4233" s="466"/>
      <c r="G4233" s="465"/>
      <c r="H4233" s="465"/>
    </row>
    <row r="4234" spans="1:8" ht="13.8" thickBot="1">
      <c r="A4234" s="465" t="s">
        <v>9430</v>
      </c>
      <c r="B4234" s="465" t="s">
        <v>3867</v>
      </c>
      <c r="C4234" s="466">
        <v>6.5</v>
      </c>
      <c r="D4234" s="465"/>
      <c r="E4234" s="466" t="s">
        <v>3856</v>
      </c>
      <c r="F4234" s="466" t="s">
        <v>1251</v>
      </c>
      <c r="G4234" s="465"/>
      <c r="H4234" s="465">
        <v>4</v>
      </c>
    </row>
    <row r="4235" spans="1:8" ht="13.8" thickBot="1">
      <c r="A4235" s="465" t="s">
        <v>9431</v>
      </c>
      <c r="B4235" s="465" t="s">
        <v>3868</v>
      </c>
      <c r="C4235" s="466">
        <v>6.5</v>
      </c>
      <c r="D4235" s="465"/>
      <c r="E4235" s="466" t="s">
        <v>3856</v>
      </c>
      <c r="F4235" s="466" t="s">
        <v>1226</v>
      </c>
      <c r="G4235" s="465"/>
      <c r="H4235" s="465">
        <v>2</v>
      </c>
    </row>
    <row r="4236" spans="1:8" ht="13.8" thickBot="1">
      <c r="A4236" s="465" t="s">
        <v>9432</v>
      </c>
      <c r="B4236" s="465" t="s">
        <v>3869</v>
      </c>
      <c r="C4236" s="466">
        <v>6.5</v>
      </c>
      <c r="D4236" s="467" t="s">
        <v>614</v>
      </c>
      <c r="E4236" s="466" t="s">
        <v>3856</v>
      </c>
      <c r="F4236" s="466" t="s">
        <v>1226</v>
      </c>
      <c r="G4236" s="465"/>
      <c r="H4236" s="465">
        <v>5</v>
      </c>
    </row>
    <row r="4237" spans="1:8" ht="13.8" thickBot="1">
      <c r="A4237" s="467" t="s">
        <v>9433</v>
      </c>
      <c r="B4237" s="465" t="s">
        <v>3870</v>
      </c>
      <c r="C4237" s="466">
        <v>6.5</v>
      </c>
      <c r="D4237" s="465"/>
      <c r="E4237" s="466" t="s">
        <v>3856</v>
      </c>
      <c r="F4237" s="466" t="s">
        <v>1226</v>
      </c>
      <c r="G4237" s="465"/>
      <c r="H4237" s="465">
        <v>1</v>
      </c>
    </row>
    <row r="4238" spans="1:8" ht="13.8" thickBot="1">
      <c r="A4238" s="465" t="s">
        <v>9434</v>
      </c>
      <c r="B4238" s="465" t="s">
        <v>3871</v>
      </c>
      <c r="C4238" s="466">
        <v>6.5</v>
      </c>
      <c r="D4238" s="467" t="s">
        <v>3872</v>
      </c>
      <c r="E4238" s="466" t="s">
        <v>3856</v>
      </c>
      <c r="F4238" s="466" t="s">
        <v>1226</v>
      </c>
      <c r="G4238" s="465"/>
      <c r="H4238" s="465">
        <v>3</v>
      </c>
    </row>
    <row r="4239" spans="1:8" ht="13.8" thickBot="1">
      <c r="A4239" s="465" t="s">
        <v>9435</v>
      </c>
      <c r="B4239" s="465" t="s">
        <v>3873</v>
      </c>
      <c r="C4239" s="466">
        <v>6.5</v>
      </c>
      <c r="D4239" s="467" t="s">
        <v>614</v>
      </c>
      <c r="E4239" s="466" t="s">
        <v>3856</v>
      </c>
      <c r="F4239" s="466"/>
      <c r="G4239" s="465"/>
      <c r="H4239" s="465">
        <v>1</v>
      </c>
    </row>
    <row r="4240" spans="1:8" ht="13.8" thickBot="1">
      <c r="A4240" s="467" t="s">
        <v>9436</v>
      </c>
      <c r="B4240" s="465" t="s">
        <v>3874</v>
      </c>
      <c r="C4240" s="466">
        <v>6.5</v>
      </c>
      <c r="D4240" s="465"/>
      <c r="E4240" s="466" t="s">
        <v>3856</v>
      </c>
      <c r="F4240" s="466"/>
      <c r="G4240" s="465"/>
      <c r="H4240" s="465">
        <v>5</v>
      </c>
    </row>
    <row r="4241" spans="1:8" ht="13.8" thickBot="1">
      <c r="A4241" s="467" t="s">
        <v>9437</v>
      </c>
      <c r="B4241" s="465" t="s">
        <v>3910</v>
      </c>
      <c r="C4241" s="466">
        <v>6.5</v>
      </c>
      <c r="D4241" s="465"/>
      <c r="E4241" s="466" t="s">
        <v>3903</v>
      </c>
      <c r="F4241" s="466" t="s">
        <v>1251</v>
      </c>
      <c r="G4241" s="465"/>
      <c r="H4241" s="465">
        <v>3</v>
      </c>
    </row>
    <row r="4242" spans="1:8" ht="13.8" thickBot="1">
      <c r="A4242" s="465" t="s">
        <v>9438</v>
      </c>
      <c r="B4242" s="465" t="s">
        <v>3911</v>
      </c>
      <c r="C4242" s="466">
        <v>6.5</v>
      </c>
      <c r="D4242" s="467" t="s">
        <v>614</v>
      </c>
      <c r="E4242" s="466" t="s">
        <v>3903</v>
      </c>
      <c r="F4242" s="466" t="s">
        <v>1226</v>
      </c>
      <c r="G4242" s="465"/>
      <c r="H4242" s="465">
        <v>1</v>
      </c>
    </row>
    <row r="4243" spans="1:8" ht="13.8" thickBot="1">
      <c r="A4243" s="467" t="s">
        <v>9439</v>
      </c>
      <c r="B4243" s="465" t="s">
        <v>3912</v>
      </c>
      <c r="C4243" s="466">
        <v>6.5</v>
      </c>
      <c r="D4243" s="465"/>
      <c r="E4243" s="466" t="s">
        <v>3903</v>
      </c>
      <c r="F4243" s="466" t="s">
        <v>1226</v>
      </c>
      <c r="G4243" s="465">
        <v>1</v>
      </c>
      <c r="H4243" s="465">
        <v>3</v>
      </c>
    </row>
    <row r="4244" spans="1:8" ht="13.8" thickBot="1">
      <c r="A4244" s="465" t="s">
        <v>9440</v>
      </c>
      <c r="B4244" s="465" t="s">
        <v>3976</v>
      </c>
      <c r="C4244" s="466">
        <v>6.5</v>
      </c>
      <c r="D4244" s="467" t="s">
        <v>614</v>
      </c>
      <c r="E4244" s="466" t="s">
        <v>3957</v>
      </c>
      <c r="F4244" s="466" t="s">
        <v>1226</v>
      </c>
      <c r="G4244" s="465">
        <v>1</v>
      </c>
      <c r="H4244" s="465">
        <v>3</v>
      </c>
    </row>
    <row r="4245" spans="1:8" ht="13.8" thickBot="1">
      <c r="A4245" s="467" t="s">
        <v>9441</v>
      </c>
      <c r="B4245" s="465" t="s">
        <v>3977</v>
      </c>
      <c r="C4245" s="466">
        <v>6.5</v>
      </c>
      <c r="D4245" s="465"/>
      <c r="E4245" s="466" t="s">
        <v>3957</v>
      </c>
      <c r="F4245" s="466"/>
      <c r="G4245" s="465"/>
      <c r="H4245" s="465"/>
    </row>
    <row r="4246" spans="1:8" ht="13.8" thickBot="1">
      <c r="A4246" s="467" t="s">
        <v>9442</v>
      </c>
      <c r="B4246" s="465" t="s">
        <v>1525</v>
      </c>
      <c r="C4246" s="466">
        <v>6.5</v>
      </c>
      <c r="D4246" s="465"/>
      <c r="E4246" s="466" t="s">
        <v>3996</v>
      </c>
      <c r="F4246" s="466" t="s">
        <v>1226</v>
      </c>
      <c r="G4246" s="465"/>
      <c r="H4246" s="465">
        <v>4</v>
      </c>
    </row>
    <row r="4247" spans="1:8" ht="13.8" thickBot="1">
      <c r="A4247" s="467" t="s">
        <v>9443</v>
      </c>
      <c r="B4247" s="465" t="s">
        <v>4007</v>
      </c>
      <c r="C4247" s="466">
        <v>6.5</v>
      </c>
      <c r="D4247" s="465"/>
      <c r="E4247" s="466" t="s">
        <v>3996</v>
      </c>
      <c r="F4247" s="466" t="s">
        <v>1226</v>
      </c>
      <c r="G4247" s="465">
        <v>1</v>
      </c>
      <c r="H4247" s="465">
        <v>4</v>
      </c>
    </row>
    <row r="4248" spans="1:8" ht="13.8" thickBot="1">
      <c r="A4248" s="465" t="s">
        <v>9444</v>
      </c>
      <c r="B4248" s="465" t="s">
        <v>1525</v>
      </c>
      <c r="C4248" s="466">
        <v>6.5</v>
      </c>
      <c r="D4248" s="465"/>
      <c r="E4248" s="466" t="s">
        <v>3996</v>
      </c>
      <c r="F4248" s="466"/>
      <c r="G4248" s="465"/>
      <c r="H4248" s="465">
        <v>2</v>
      </c>
    </row>
    <row r="4249" spans="1:8" ht="13.8" thickBot="1">
      <c r="A4249" s="465" t="s">
        <v>9445</v>
      </c>
      <c r="B4249" s="465" t="s">
        <v>1525</v>
      </c>
      <c r="C4249" s="466">
        <v>6.5</v>
      </c>
      <c r="D4249" s="465"/>
      <c r="E4249" s="466" t="s">
        <v>3996</v>
      </c>
      <c r="F4249" s="466"/>
      <c r="G4249" s="465"/>
      <c r="H4249" s="465">
        <v>5</v>
      </c>
    </row>
    <row r="4250" spans="1:8" ht="13.8" thickBot="1">
      <c r="A4250" s="467" t="s">
        <v>9446</v>
      </c>
      <c r="B4250" s="465" t="s">
        <v>4012</v>
      </c>
      <c r="C4250" s="466">
        <v>6.5</v>
      </c>
      <c r="D4250" s="465"/>
      <c r="E4250" s="466" t="s">
        <v>3996</v>
      </c>
      <c r="F4250" s="466"/>
      <c r="G4250" s="465"/>
      <c r="H4250" s="465">
        <v>2</v>
      </c>
    </row>
    <row r="4251" spans="1:8" ht="13.8" thickBot="1">
      <c r="A4251" s="465" t="s">
        <v>9447</v>
      </c>
      <c r="B4251" s="465" t="s">
        <v>4052</v>
      </c>
      <c r="C4251" s="466">
        <v>6.5</v>
      </c>
      <c r="D4251" s="465"/>
      <c r="E4251" s="466" t="s">
        <v>4046</v>
      </c>
      <c r="F4251" s="466" t="s">
        <v>1226</v>
      </c>
      <c r="G4251" s="465"/>
      <c r="H4251" s="465">
        <v>1</v>
      </c>
    </row>
    <row r="4252" spans="1:8" ht="13.8" thickBot="1">
      <c r="A4252" s="465" t="s">
        <v>9448</v>
      </c>
      <c r="B4252" s="465" t="s">
        <v>4055</v>
      </c>
      <c r="C4252" s="466">
        <v>6.5</v>
      </c>
      <c r="D4252" s="465"/>
      <c r="E4252" s="466" t="s">
        <v>4046</v>
      </c>
      <c r="F4252" s="466" t="s">
        <v>1226</v>
      </c>
      <c r="G4252" s="465">
        <v>1</v>
      </c>
      <c r="H4252" s="465">
        <v>3</v>
      </c>
    </row>
    <row r="4253" spans="1:8" ht="13.8" thickBot="1">
      <c r="A4253" s="467" t="s">
        <v>9449</v>
      </c>
      <c r="B4253" s="465" t="s">
        <v>4056</v>
      </c>
      <c r="C4253" s="466">
        <v>6.5</v>
      </c>
      <c r="D4253" s="467" t="s">
        <v>614</v>
      </c>
      <c r="E4253" s="466" t="s">
        <v>4046</v>
      </c>
      <c r="F4253" s="466"/>
      <c r="G4253" s="465"/>
      <c r="H4253" s="465">
        <v>1</v>
      </c>
    </row>
    <row r="4254" spans="1:8" ht="13.8" thickBot="1">
      <c r="A4254" s="465" t="s">
        <v>9235</v>
      </c>
      <c r="B4254" s="465" t="s">
        <v>1249</v>
      </c>
      <c r="C4254" s="466">
        <v>6.5</v>
      </c>
      <c r="D4254" s="465"/>
      <c r="E4254" s="466" t="s">
        <v>2114</v>
      </c>
      <c r="F4254" s="466"/>
      <c r="G4254" s="465"/>
      <c r="H4254" s="465"/>
    </row>
    <row r="4255" spans="1:8" ht="13.8" thickBot="1">
      <c r="A4255" s="465" t="s">
        <v>9236</v>
      </c>
      <c r="B4255" s="465" t="s">
        <v>2116</v>
      </c>
      <c r="C4255" s="466">
        <v>6.5</v>
      </c>
      <c r="D4255" s="465"/>
      <c r="E4255" s="466" t="s">
        <v>2114</v>
      </c>
      <c r="F4255" s="466"/>
      <c r="G4255" s="465"/>
      <c r="H4255" s="465"/>
    </row>
    <row r="4256" spans="1:8" ht="13.8" thickBot="1">
      <c r="A4256" s="465" t="s">
        <v>9450</v>
      </c>
      <c r="B4256" s="465" t="s">
        <v>4083</v>
      </c>
      <c r="C4256" s="466">
        <v>6.5</v>
      </c>
      <c r="D4256" s="465"/>
      <c r="E4256" s="466" t="s">
        <v>4067</v>
      </c>
      <c r="F4256" s="466" t="s">
        <v>1251</v>
      </c>
      <c r="G4256" s="465"/>
      <c r="H4256" s="465">
        <v>8</v>
      </c>
    </row>
    <row r="4257" spans="1:8" ht="13.8" thickBot="1">
      <c r="A4257" s="465" t="s">
        <v>9451</v>
      </c>
      <c r="B4257" s="465" t="s">
        <v>4084</v>
      </c>
      <c r="C4257" s="466">
        <v>6.5</v>
      </c>
      <c r="D4257" s="467" t="s">
        <v>614</v>
      </c>
      <c r="E4257" s="466" t="s">
        <v>4067</v>
      </c>
      <c r="F4257" s="466" t="s">
        <v>1841</v>
      </c>
      <c r="G4257" s="465"/>
      <c r="H4257" s="465">
        <v>3</v>
      </c>
    </row>
    <row r="4258" spans="1:8" ht="13.8" thickBot="1">
      <c r="A4258" s="465" t="s">
        <v>9452</v>
      </c>
      <c r="B4258" s="465" t="s">
        <v>4085</v>
      </c>
      <c r="C4258" s="466">
        <v>6.5</v>
      </c>
      <c r="D4258" s="465"/>
      <c r="E4258" s="466" t="s">
        <v>4067</v>
      </c>
      <c r="F4258" s="466"/>
      <c r="G4258" s="465"/>
      <c r="H4258" s="465">
        <v>2</v>
      </c>
    </row>
    <row r="4259" spans="1:8" ht="13.8" thickBot="1">
      <c r="A4259" s="465" t="s">
        <v>9453</v>
      </c>
      <c r="B4259" s="465" t="s">
        <v>4126</v>
      </c>
      <c r="C4259" s="466">
        <v>6.5</v>
      </c>
      <c r="D4259" s="465"/>
      <c r="E4259" s="466" t="s">
        <v>4121</v>
      </c>
      <c r="F4259" s="466" t="s">
        <v>1220</v>
      </c>
      <c r="G4259" s="465"/>
      <c r="H4259" s="465">
        <v>2</v>
      </c>
    </row>
    <row r="4260" spans="1:8" ht="13.8" thickBot="1">
      <c r="A4260" s="467" t="s">
        <v>9454</v>
      </c>
      <c r="B4260" s="468" t="s">
        <v>4125</v>
      </c>
      <c r="C4260" s="466">
        <v>6.5</v>
      </c>
      <c r="D4260" s="467" t="s">
        <v>614</v>
      </c>
      <c r="E4260" s="466" t="s">
        <v>4121</v>
      </c>
      <c r="F4260" s="466"/>
      <c r="G4260" s="465"/>
      <c r="H4260" s="465">
        <v>1</v>
      </c>
    </row>
    <row r="4261" spans="1:8" ht="13.8" thickBot="1">
      <c r="A4261" s="467" t="s">
        <v>9455</v>
      </c>
      <c r="B4261" s="465" t="s">
        <v>4125</v>
      </c>
      <c r="C4261" s="466">
        <v>6.5</v>
      </c>
      <c r="D4261" s="467" t="s">
        <v>614</v>
      </c>
      <c r="E4261" s="466" t="s">
        <v>4121</v>
      </c>
      <c r="F4261" s="466"/>
      <c r="G4261" s="465"/>
      <c r="H4261" s="465">
        <v>1</v>
      </c>
    </row>
    <row r="4262" spans="1:8" ht="13.8" thickBot="1">
      <c r="A4262" s="467" t="s">
        <v>9456</v>
      </c>
      <c r="B4262" s="465" t="s">
        <v>4135</v>
      </c>
      <c r="C4262" s="466">
        <v>6.5</v>
      </c>
      <c r="D4262" s="465"/>
      <c r="E4262" s="466" t="s">
        <v>4134</v>
      </c>
      <c r="F4262" s="466" t="s">
        <v>1226</v>
      </c>
      <c r="G4262" s="465">
        <v>1</v>
      </c>
      <c r="H4262" s="465">
        <v>5</v>
      </c>
    </row>
    <row r="4263" spans="1:8" ht="13.8" thickBot="1">
      <c r="A4263" s="465" t="s">
        <v>9457</v>
      </c>
      <c r="B4263" s="465" t="s">
        <v>4142</v>
      </c>
      <c r="C4263" s="466">
        <v>6.5</v>
      </c>
      <c r="D4263" s="465"/>
      <c r="E4263" s="466" t="s">
        <v>4140</v>
      </c>
      <c r="F4263" s="466"/>
      <c r="G4263" s="465"/>
      <c r="H4263" s="465">
        <v>1</v>
      </c>
    </row>
    <row r="4264" spans="1:8" ht="13.8" thickBot="1">
      <c r="A4264" s="465" t="s">
        <v>9458</v>
      </c>
      <c r="B4264" s="465" t="s">
        <v>4148</v>
      </c>
      <c r="C4264" s="466">
        <v>6.5</v>
      </c>
      <c r="D4264" s="467" t="s">
        <v>614</v>
      </c>
      <c r="E4264" s="466" t="s">
        <v>4140</v>
      </c>
      <c r="F4264" s="466"/>
      <c r="G4264" s="465"/>
      <c r="H4264" s="465">
        <v>1</v>
      </c>
    </row>
    <row r="4265" spans="1:8" ht="13.8" thickBot="1">
      <c r="A4265" s="465" t="s">
        <v>9459</v>
      </c>
      <c r="B4265" s="465" t="s">
        <v>4169</v>
      </c>
      <c r="C4265" s="466">
        <v>6.5</v>
      </c>
      <c r="D4265" s="465"/>
      <c r="E4265" s="466" t="s">
        <v>4160</v>
      </c>
      <c r="F4265" s="466" t="s">
        <v>1226</v>
      </c>
      <c r="G4265" s="465"/>
      <c r="H4265" s="465">
        <v>4</v>
      </c>
    </row>
    <row r="4266" spans="1:8" ht="13.8" thickBot="1">
      <c r="A4266" s="465" t="s">
        <v>9460</v>
      </c>
      <c r="B4266" s="465" t="s">
        <v>4170</v>
      </c>
      <c r="C4266" s="466">
        <v>6.5</v>
      </c>
      <c r="D4266" s="465"/>
      <c r="E4266" s="466" t="s">
        <v>4160</v>
      </c>
      <c r="F4266" s="466" t="s">
        <v>1226</v>
      </c>
      <c r="G4266" s="465"/>
      <c r="H4266" s="465">
        <v>2</v>
      </c>
    </row>
    <row r="4267" spans="1:8" ht="13.8" thickBot="1">
      <c r="A4267" s="467" t="s">
        <v>9461</v>
      </c>
      <c r="B4267" s="465" t="s">
        <v>4171</v>
      </c>
      <c r="C4267" s="466">
        <v>6.5</v>
      </c>
      <c r="D4267" s="467" t="s">
        <v>614</v>
      </c>
      <c r="E4267" s="466" t="s">
        <v>4160</v>
      </c>
      <c r="F4267" s="466" t="s">
        <v>1226</v>
      </c>
      <c r="G4267" s="465"/>
      <c r="H4267" s="465">
        <v>5</v>
      </c>
    </row>
    <row r="4268" spans="1:8" ht="13.8" thickBot="1">
      <c r="A4268" s="467" t="s">
        <v>9462</v>
      </c>
      <c r="B4268" s="465" t="s">
        <v>4172</v>
      </c>
      <c r="C4268" s="466">
        <v>6.5</v>
      </c>
      <c r="D4268" s="465"/>
      <c r="E4268" s="466" t="s">
        <v>4160</v>
      </c>
      <c r="F4268" s="466" t="s">
        <v>1220</v>
      </c>
      <c r="G4268" s="465"/>
      <c r="H4268" s="465">
        <v>1</v>
      </c>
    </row>
    <row r="4269" spans="1:8" ht="13.8" thickBot="1">
      <c r="A4269" s="465" t="s">
        <v>9463</v>
      </c>
      <c r="B4269" s="465" t="s">
        <v>4200</v>
      </c>
      <c r="C4269" s="466">
        <v>6.5</v>
      </c>
      <c r="D4269" s="465"/>
      <c r="E4269" s="466" t="s">
        <v>4201</v>
      </c>
      <c r="F4269" s="466"/>
      <c r="G4269" s="465"/>
      <c r="H4269" s="465"/>
    </row>
    <row r="4270" spans="1:8" ht="13.8" thickBot="1">
      <c r="A4270" s="465" t="s">
        <v>9464</v>
      </c>
      <c r="B4270" s="465" t="s">
        <v>4209</v>
      </c>
      <c r="C4270" s="466">
        <v>6.5</v>
      </c>
      <c r="D4270" s="467" t="s">
        <v>614</v>
      </c>
      <c r="E4270" s="466" t="s">
        <v>4204</v>
      </c>
      <c r="F4270" s="466" t="s">
        <v>1226</v>
      </c>
      <c r="G4270" s="465">
        <v>1</v>
      </c>
      <c r="H4270" s="465">
        <v>7</v>
      </c>
    </row>
    <row r="4271" spans="1:8" ht="13.8" thickBot="1">
      <c r="A4271" s="465" t="s">
        <v>9465</v>
      </c>
      <c r="B4271" s="465" t="s">
        <v>4210</v>
      </c>
      <c r="C4271" s="466">
        <v>6.5</v>
      </c>
      <c r="D4271" s="465"/>
      <c r="E4271" s="466" t="s">
        <v>4204</v>
      </c>
      <c r="F4271" s="466" t="s">
        <v>1224</v>
      </c>
      <c r="G4271" s="465"/>
      <c r="H4271" s="465">
        <v>5</v>
      </c>
    </row>
    <row r="4272" spans="1:8" ht="13.8" thickBot="1">
      <c r="A4272" s="465" t="s">
        <v>9466</v>
      </c>
      <c r="B4272" s="465" t="s">
        <v>4249</v>
      </c>
      <c r="C4272" s="466">
        <v>6.5</v>
      </c>
      <c r="D4272" s="465"/>
      <c r="E4272" s="466" t="s">
        <v>4214</v>
      </c>
      <c r="F4272" s="466" t="s">
        <v>1251</v>
      </c>
      <c r="G4272" s="465"/>
      <c r="H4272" s="465">
        <v>7</v>
      </c>
    </row>
    <row r="4273" spans="1:8" ht="13.8" thickBot="1">
      <c r="A4273" s="465" t="s">
        <v>9467</v>
      </c>
      <c r="B4273" s="465" t="s">
        <v>4250</v>
      </c>
      <c r="C4273" s="466">
        <v>6.5</v>
      </c>
      <c r="D4273" s="465"/>
      <c r="E4273" s="466" t="s">
        <v>4214</v>
      </c>
      <c r="F4273" s="466" t="s">
        <v>1226</v>
      </c>
      <c r="G4273" s="465"/>
      <c r="H4273" s="465">
        <v>1</v>
      </c>
    </row>
    <row r="4274" spans="1:8" ht="13.8" thickBot="1">
      <c r="A4274" s="465" t="s">
        <v>9468</v>
      </c>
      <c r="B4274" s="465" t="s">
        <v>4251</v>
      </c>
      <c r="C4274" s="466">
        <v>6.5</v>
      </c>
      <c r="D4274" s="467" t="s">
        <v>614</v>
      </c>
      <c r="E4274" s="466" t="s">
        <v>4214</v>
      </c>
      <c r="F4274" s="466" t="s">
        <v>1226</v>
      </c>
      <c r="G4274" s="465"/>
      <c r="H4274" s="465">
        <v>4</v>
      </c>
    </row>
    <row r="4275" spans="1:8" ht="13.8" thickBot="1">
      <c r="A4275" s="465" t="s">
        <v>9469</v>
      </c>
      <c r="B4275" s="465" t="s">
        <v>4252</v>
      </c>
      <c r="C4275" s="466">
        <v>6.5</v>
      </c>
      <c r="D4275" s="465"/>
      <c r="E4275" s="466" t="s">
        <v>4214</v>
      </c>
      <c r="F4275" s="466" t="s">
        <v>1226</v>
      </c>
      <c r="G4275" s="465"/>
      <c r="H4275" s="465">
        <v>2</v>
      </c>
    </row>
    <row r="4276" spans="1:8" ht="13.8" thickBot="1">
      <c r="A4276" s="465" t="s">
        <v>9470</v>
      </c>
      <c r="B4276" s="465" t="s">
        <v>4253</v>
      </c>
      <c r="C4276" s="466">
        <v>6.5</v>
      </c>
      <c r="D4276" s="465"/>
      <c r="E4276" s="466" t="s">
        <v>4214</v>
      </c>
      <c r="F4276" s="466" t="s">
        <v>1226</v>
      </c>
      <c r="G4276" s="465"/>
      <c r="H4276" s="465">
        <v>2</v>
      </c>
    </row>
    <row r="4277" spans="1:8" ht="13.8" thickBot="1">
      <c r="A4277" s="465" t="s">
        <v>872</v>
      </c>
      <c r="B4277" s="465" t="s">
        <v>4254</v>
      </c>
      <c r="C4277" s="466">
        <v>6.5</v>
      </c>
      <c r="D4277" s="467" t="s">
        <v>614</v>
      </c>
      <c r="E4277" s="466" t="s">
        <v>4214</v>
      </c>
      <c r="F4277" s="466" t="s">
        <v>1226</v>
      </c>
      <c r="G4277" s="465"/>
      <c r="H4277" s="465">
        <v>1</v>
      </c>
    </row>
    <row r="4278" spans="1:8" ht="13.8" thickBot="1">
      <c r="A4278" s="467" t="s">
        <v>9471</v>
      </c>
      <c r="B4278" s="465" t="s">
        <v>4255</v>
      </c>
      <c r="C4278" s="466">
        <v>6.5</v>
      </c>
      <c r="D4278" s="465"/>
      <c r="E4278" s="466" t="s">
        <v>4214</v>
      </c>
      <c r="F4278" s="466" t="s">
        <v>1224</v>
      </c>
      <c r="G4278" s="465"/>
      <c r="H4278" s="465">
        <v>2</v>
      </c>
    </row>
    <row r="4279" spans="1:8" ht="13.8" thickBot="1">
      <c r="A4279" s="465" t="s">
        <v>9472</v>
      </c>
      <c r="B4279" s="465" t="s">
        <v>4256</v>
      </c>
      <c r="C4279" s="466">
        <v>6.5</v>
      </c>
      <c r="D4279" s="465"/>
      <c r="E4279" s="466" t="s">
        <v>4214</v>
      </c>
      <c r="F4279" s="466"/>
      <c r="G4279" s="465">
        <v>2</v>
      </c>
      <c r="H4279" s="465">
        <v>3</v>
      </c>
    </row>
    <row r="4280" spans="1:8" ht="13.8" thickBot="1">
      <c r="A4280" s="465" t="s">
        <v>9473</v>
      </c>
      <c r="B4280" s="465" t="s">
        <v>4257</v>
      </c>
      <c r="C4280" s="466">
        <v>6.5</v>
      </c>
      <c r="D4280" s="465"/>
      <c r="E4280" s="466" t="s">
        <v>4214</v>
      </c>
      <c r="F4280" s="466"/>
      <c r="G4280" s="465"/>
      <c r="H4280" s="465">
        <v>2</v>
      </c>
    </row>
    <row r="4281" spans="1:8" ht="13.8" thickBot="1">
      <c r="A4281" s="465" t="s">
        <v>9474</v>
      </c>
      <c r="B4281" s="465" t="s">
        <v>4258</v>
      </c>
      <c r="C4281" s="466">
        <v>6.5</v>
      </c>
      <c r="D4281" s="465"/>
      <c r="E4281" s="466" t="s">
        <v>4214</v>
      </c>
      <c r="F4281" s="466"/>
      <c r="G4281" s="465"/>
      <c r="H4281" s="465">
        <v>2</v>
      </c>
    </row>
    <row r="4282" spans="1:8" ht="13.8" thickBot="1">
      <c r="A4282" s="465" t="s">
        <v>9475</v>
      </c>
      <c r="B4282" s="465" t="s">
        <v>4220</v>
      </c>
      <c r="C4282" s="466">
        <v>6.5</v>
      </c>
      <c r="D4282" s="465"/>
      <c r="E4282" s="466" t="s">
        <v>4214</v>
      </c>
      <c r="F4282" s="466"/>
      <c r="G4282" s="465"/>
      <c r="H4282" s="465">
        <v>1</v>
      </c>
    </row>
    <row r="4283" spans="1:8" ht="13.8" thickBot="1">
      <c r="A4283" s="465" t="s">
        <v>9476</v>
      </c>
      <c r="B4283" s="468" t="s">
        <v>4346</v>
      </c>
      <c r="C4283" s="466">
        <v>6.5</v>
      </c>
      <c r="D4283" s="465"/>
      <c r="E4283" s="466" t="s">
        <v>4347</v>
      </c>
      <c r="F4283" s="466" t="s">
        <v>1224</v>
      </c>
      <c r="G4283" s="465"/>
      <c r="H4283" s="465">
        <v>1</v>
      </c>
    </row>
    <row r="4284" spans="1:8" ht="13.8" thickBot="1">
      <c r="A4284" s="467" t="s">
        <v>9477</v>
      </c>
      <c r="B4284" s="465" t="s">
        <v>4392</v>
      </c>
      <c r="C4284" s="466">
        <v>6.5</v>
      </c>
      <c r="D4284" s="467" t="s">
        <v>614</v>
      </c>
      <c r="E4284" s="466" t="s">
        <v>4391</v>
      </c>
      <c r="F4284" s="466" t="s">
        <v>1220</v>
      </c>
      <c r="G4284" s="465">
        <v>1</v>
      </c>
      <c r="H4284" s="465">
        <v>2</v>
      </c>
    </row>
    <row r="4285" spans="1:8" ht="13.8" thickBot="1">
      <c r="A4285" s="465" t="s">
        <v>9478</v>
      </c>
      <c r="B4285" s="465" t="s">
        <v>4393</v>
      </c>
      <c r="C4285" s="466">
        <v>6.5</v>
      </c>
      <c r="D4285" s="465"/>
      <c r="E4285" s="466" t="s">
        <v>4391</v>
      </c>
      <c r="F4285" s="466"/>
      <c r="G4285" s="465"/>
      <c r="H4285" s="465"/>
    </row>
    <row r="4286" spans="1:8" ht="13.8" thickBot="1">
      <c r="A4286" s="465" t="s">
        <v>9479</v>
      </c>
      <c r="B4286" s="465" t="s">
        <v>4396</v>
      </c>
      <c r="C4286" s="466">
        <v>6.5</v>
      </c>
      <c r="D4286" s="465"/>
      <c r="E4286" s="466" t="s">
        <v>4395</v>
      </c>
      <c r="F4286" s="466"/>
      <c r="G4286" s="465"/>
      <c r="H4286" s="465"/>
    </row>
    <row r="4287" spans="1:8" ht="13.8" thickBot="1">
      <c r="A4287" s="465" t="s">
        <v>9480</v>
      </c>
      <c r="B4287" s="465" t="s">
        <v>4399</v>
      </c>
      <c r="C4287" s="466">
        <v>6.5</v>
      </c>
      <c r="D4287" s="465"/>
      <c r="E4287" s="466" t="s">
        <v>4400</v>
      </c>
      <c r="F4287" s="466"/>
      <c r="G4287" s="465">
        <v>1</v>
      </c>
      <c r="H4287" s="465">
        <v>1</v>
      </c>
    </row>
    <row r="4288" spans="1:8" ht="13.8" thickBot="1">
      <c r="A4288" s="465" t="s">
        <v>9481</v>
      </c>
      <c r="B4288" s="465" t="s">
        <v>4399</v>
      </c>
      <c r="C4288" s="466">
        <v>6.5</v>
      </c>
      <c r="D4288" s="465"/>
      <c r="E4288" s="466" t="s">
        <v>4400</v>
      </c>
      <c r="F4288" s="466"/>
      <c r="G4288" s="465"/>
      <c r="H4288" s="465">
        <v>1</v>
      </c>
    </row>
    <row r="4289" spans="1:8" ht="13.8" thickBot="1">
      <c r="A4289" s="465" t="s">
        <v>9482</v>
      </c>
      <c r="B4289" s="465" t="s">
        <v>4409</v>
      </c>
      <c r="C4289" s="466">
        <v>6.5</v>
      </c>
      <c r="D4289" s="467" t="s">
        <v>4410</v>
      </c>
      <c r="E4289" s="466" t="s">
        <v>4403</v>
      </c>
      <c r="F4289" s="466" t="s">
        <v>1251</v>
      </c>
      <c r="G4289" s="465"/>
      <c r="H4289" s="465">
        <v>7</v>
      </c>
    </row>
    <row r="4290" spans="1:8" ht="13.8" thickBot="1">
      <c r="A4290" s="467" t="s">
        <v>9483</v>
      </c>
      <c r="B4290" s="465" t="s">
        <v>1638</v>
      </c>
      <c r="C4290" s="466">
        <v>6.5</v>
      </c>
      <c r="D4290" s="465"/>
      <c r="E4290" s="466" t="s">
        <v>4438</v>
      </c>
      <c r="F4290" s="466" t="s">
        <v>1226</v>
      </c>
      <c r="G4290" s="465"/>
      <c r="H4290" s="465">
        <v>6</v>
      </c>
    </row>
    <row r="4291" spans="1:8" ht="13.8" thickBot="1">
      <c r="A4291" s="467" t="s">
        <v>9484</v>
      </c>
      <c r="B4291" s="465" t="s">
        <v>4456</v>
      </c>
      <c r="C4291" s="466">
        <v>6.5</v>
      </c>
      <c r="D4291" s="465"/>
      <c r="E4291" s="466" t="s">
        <v>4438</v>
      </c>
      <c r="F4291" s="466"/>
      <c r="G4291" s="465"/>
      <c r="H4291" s="465">
        <v>1</v>
      </c>
    </row>
    <row r="4292" spans="1:8" ht="13.8" thickBot="1">
      <c r="A4292" s="465" t="s">
        <v>9485</v>
      </c>
      <c r="B4292" s="465" t="s">
        <v>1640</v>
      </c>
      <c r="C4292" s="466">
        <v>6.5</v>
      </c>
      <c r="D4292" s="465"/>
      <c r="E4292" s="466" t="s">
        <v>4438</v>
      </c>
      <c r="F4292" s="466"/>
      <c r="G4292" s="465"/>
      <c r="H4292" s="465">
        <v>3</v>
      </c>
    </row>
    <row r="4293" spans="1:8" ht="13.8" thickBot="1">
      <c r="A4293" s="465" t="s">
        <v>9486</v>
      </c>
      <c r="B4293" s="465" t="s">
        <v>4496</v>
      </c>
      <c r="C4293" s="466">
        <v>6.5</v>
      </c>
      <c r="D4293" s="465"/>
      <c r="E4293" s="466" t="s">
        <v>4491</v>
      </c>
      <c r="F4293" s="466" t="s">
        <v>1226</v>
      </c>
      <c r="G4293" s="465"/>
      <c r="H4293" s="465">
        <v>4</v>
      </c>
    </row>
    <row r="4294" spans="1:8" ht="13.8" thickBot="1">
      <c r="A4294" s="465" t="s">
        <v>9487</v>
      </c>
      <c r="B4294" s="465" t="s">
        <v>4497</v>
      </c>
      <c r="C4294" s="466">
        <v>6.5</v>
      </c>
      <c r="D4294" s="465"/>
      <c r="E4294" s="466" t="s">
        <v>4491</v>
      </c>
      <c r="F4294" s="466"/>
      <c r="G4294" s="465"/>
      <c r="H4294" s="465">
        <v>1</v>
      </c>
    </row>
    <row r="4295" spans="1:8" ht="13.8" thickBot="1">
      <c r="A4295" s="467" t="s">
        <v>9488</v>
      </c>
      <c r="B4295" s="465" t="s">
        <v>4498</v>
      </c>
      <c r="C4295" s="466">
        <v>6.5</v>
      </c>
      <c r="D4295" s="465"/>
      <c r="E4295" s="466" t="s">
        <v>4491</v>
      </c>
      <c r="F4295" s="466"/>
      <c r="G4295" s="465"/>
      <c r="H4295" s="465"/>
    </row>
    <row r="4296" spans="1:8" ht="13.8" thickBot="1">
      <c r="A4296" s="467" t="s">
        <v>9489</v>
      </c>
      <c r="B4296" s="465" t="s">
        <v>1665</v>
      </c>
      <c r="C4296" s="466">
        <v>6.5</v>
      </c>
      <c r="D4296" s="467" t="s">
        <v>614</v>
      </c>
      <c r="E4296" s="466" t="s">
        <v>4536</v>
      </c>
      <c r="F4296" s="466" t="s">
        <v>1226</v>
      </c>
      <c r="G4296" s="465"/>
      <c r="H4296" s="465">
        <v>4</v>
      </c>
    </row>
    <row r="4297" spans="1:8" ht="13.8" thickBot="1">
      <c r="A4297" s="465" t="s">
        <v>9490</v>
      </c>
      <c r="B4297" s="465" t="s">
        <v>4546</v>
      </c>
      <c r="C4297" s="466">
        <v>6.5</v>
      </c>
      <c r="D4297" s="467" t="s">
        <v>2768</v>
      </c>
      <c r="E4297" s="466" t="s">
        <v>4536</v>
      </c>
      <c r="F4297" s="466" t="s">
        <v>1226</v>
      </c>
      <c r="G4297" s="465"/>
      <c r="H4297" s="465">
        <v>10</v>
      </c>
    </row>
    <row r="4298" spans="1:8" ht="13.8" thickBot="1">
      <c r="A4298" s="465" t="s">
        <v>9491</v>
      </c>
      <c r="B4298" s="465" t="s">
        <v>4547</v>
      </c>
      <c r="C4298" s="466">
        <v>6.5</v>
      </c>
      <c r="D4298" s="465"/>
      <c r="E4298" s="466" t="s">
        <v>4536</v>
      </c>
      <c r="F4298" s="466" t="s">
        <v>1226</v>
      </c>
      <c r="G4298" s="465"/>
      <c r="H4298" s="465">
        <v>2</v>
      </c>
    </row>
    <row r="4299" spans="1:8" ht="13.8" thickBot="1">
      <c r="A4299" s="467" t="s">
        <v>9492</v>
      </c>
      <c r="B4299" s="465" t="s">
        <v>1665</v>
      </c>
      <c r="C4299" s="466">
        <v>6.5</v>
      </c>
      <c r="D4299" s="465"/>
      <c r="E4299" s="466" t="s">
        <v>4536</v>
      </c>
      <c r="F4299" s="466"/>
      <c r="G4299" s="465"/>
      <c r="H4299" s="465">
        <v>2</v>
      </c>
    </row>
    <row r="4300" spans="1:8" ht="13.8" thickBot="1">
      <c r="A4300" s="467" t="s">
        <v>9493</v>
      </c>
      <c r="B4300" s="465" t="s">
        <v>4563</v>
      </c>
      <c r="C4300" s="466">
        <v>6.5</v>
      </c>
      <c r="D4300" s="465"/>
      <c r="E4300" s="466" t="s">
        <v>4557</v>
      </c>
      <c r="F4300" s="466"/>
      <c r="G4300" s="465">
        <v>2</v>
      </c>
      <c r="H4300" s="465">
        <v>2</v>
      </c>
    </row>
    <row r="4301" spans="1:8" ht="13.8" thickBot="1">
      <c r="A4301" s="467" t="s">
        <v>9494</v>
      </c>
      <c r="B4301" s="465" t="s">
        <v>4568</v>
      </c>
      <c r="C4301" s="466">
        <v>6.5</v>
      </c>
      <c r="D4301" s="465"/>
      <c r="E4301" s="466" t="s">
        <v>4557</v>
      </c>
      <c r="F4301" s="466"/>
      <c r="G4301" s="465"/>
      <c r="H4301" s="465"/>
    </row>
    <row r="4302" spans="1:8" ht="13.8" thickBot="1">
      <c r="A4302" s="467" t="s">
        <v>9495</v>
      </c>
      <c r="B4302" s="465" t="s">
        <v>1675</v>
      </c>
      <c r="C4302" s="466">
        <v>6.5</v>
      </c>
      <c r="D4302" s="465"/>
      <c r="E4302" s="466" t="s">
        <v>4589</v>
      </c>
      <c r="F4302" s="466"/>
      <c r="G4302" s="465"/>
      <c r="H4302" s="465">
        <v>2</v>
      </c>
    </row>
    <row r="4303" spans="1:8" ht="13.8" thickBot="1">
      <c r="A4303" s="467" t="s">
        <v>9496</v>
      </c>
      <c r="B4303" s="465" t="s">
        <v>4590</v>
      </c>
      <c r="C4303" s="466">
        <v>6.5</v>
      </c>
      <c r="D4303" s="465"/>
      <c r="E4303" s="466" t="s">
        <v>4589</v>
      </c>
      <c r="F4303" s="466"/>
      <c r="G4303" s="465">
        <v>2</v>
      </c>
      <c r="H4303" s="465">
        <v>3</v>
      </c>
    </row>
    <row r="4304" spans="1:8" ht="13.8" thickBot="1">
      <c r="A4304" s="465" t="s">
        <v>9497</v>
      </c>
      <c r="B4304" s="465" t="s">
        <v>4605</v>
      </c>
      <c r="C4304" s="466">
        <v>6.5</v>
      </c>
      <c r="D4304" s="467" t="s">
        <v>614</v>
      </c>
      <c r="E4304" s="466" t="s">
        <v>4596</v>
      </c>
      <c r="F4304" s="466" t="s">
        <v>1251</v>
      </c>
      <c r="G4304" s="465"/>
      <c r="H4304" s="465">
        <v>1</v>
      </c>
    </row>
    <row r="4305" spans="1:8" ht="13.8" thickBot="1">
      <c r="A4305" s="465" t="s">
        <v>9498</v>
      </c>
      <c r="B4305" s="465" t="s">
        <v>4606</v>
      </c>
      <c r="C4305" s="466">
        <v>6.5</v>
      </c>
      <c r="D4305" s="467" t="s">
        <v>614</v>
      </c>
      <c r="E4305" s="466" t="s">
        <v>4596</v>
      </c>
      <c r="F4305" s="466" t="s">
        <v>1251</v>
      </c>
      <c r="G4305" s="465">
        <v>1</v>
      </c>
      <c r="H4305" s="465">
        <v>5</v>
      </c>
    </row>
    <row r="4306" spans="1:8" ht="13.8" thickBot="1">
      <c r="A4306" s="467" t="s">
        <v>9499</v>
      </c>
      <c r="B4306" s="465" t="s">
        <v>4607</v>
      </c>
      <c r="C4306" s="466">
        <v>6.5</v>
      </c>
      <c r="D4306" s="465"/>
      <c r="E4306" s="466" t="s">
        <v>4596</v>
      </c>
      <c r="F4306" s="466" t="s">
        <v>1226</v>
      </c>
      <c r="G4306" s="465">
        <v>1</v>
      </c>
      <c r="H4306" s="465">
        <v>5</v>
      </c>
    </row>
    <row r="4307" spans="1:8" ht="13.8" thickBot="1">
      <c r="A4307" s="465" t="s">
        <v>9237</v>
      </c>
      <c r="B4307" s="465" t="s">
        <v>2168</v>
      </c>
      <c r="C4307" s="466">
        <v>6.5</v>
      </c>
      <c r="D4307" s="467" t="s">
        <v>2169</v>
      </c>
      <c r="E4307" s="466" t="s">
        <v>2152</v>
      </c>
      <c r="F4307" s="466" t="s">
        <v>1251</v>
      </c>
      <c r="G4307" s="465"/>
      <c r="H4307" s="465">
        <v>18</v>
      </c>
    </row>
    <row r="4308" spans="1:8" ht="13.8" thickBot="1">
      <c r="A4308" s="465" t="s">
        <v>9238</v>
      </c>
      <c r="B4308" s="465" t="s">
        <v>2170</v>
      </c>
      <c r="C4308" s="466">
        <v>6.5</v>
      </c>
      <c r="D4308" s="467" t="s">
        <v>614</v>
      </c>
      <c r="E4308" s="466" t="s">
        <v>2152</v>
      </c>
      <c r="F4308" s="466" t="s">
        <v>1841</v>
      </c>
      <c r="G4308" s="465">
        <v>1</v>
      </c>
      <c r="H4308" s="465">
        <v>6</v>
      </c>
    </row>
    <row r="4309" spans="1:8" ht="13.8" thickBot="1">
      <c r="A4309" s="465" t="s">
        <v>9239</v>
      </c>
      <c r="B4309" s="465" t="s">
        <v>2171</v>
      </c>
      <c r="C4309" s="466">
        <v>6.5</v>
      </c>
      <c r="D4309" s="465"/>
      <c r="E4309" s="466" t="s">
        <v>2152</v>
      </c>
      <c r="F4309" s="466" t="s">
        <v>1226</v>
      </c>
      <c r="G4309" s="465"/>
      <c r="H4309" s="465">
        <v>4</v>
      </c>
    </row>
    <row r="4310" spans="1:8" ht="13.8" thickBot="1">
      <c r="A4310" s="467" t="s">
        <v>9240</v>
      </c>
      <c r="B4310" s="465" t="s">
        <v>2172</v>
      </c>
      <c r="C4310" s="466">
        <v>6.5</v>
      </c>
      <c r="D4310" s="465"/>
      <c r="E4310" s="466" t="s">
        <v>2152</v>
      </c>
      <c r="F4310" s="466" t="s">
        <v>1226</v>
      </c>
      <c r="G4310" s="465">
        <v>1</v>
      </c>
      <c r="H4310" s="465">
        <v>5</v>
      </c>
    </row>
    <row r="4311" spans="1:8" ht="13.8" thickBot="1">
      <c r="A4311" s="465" t="s">
        <v>9500</v>
      </c>
      <c r="B4311" s="465" t="s">
        <v>4636</v>
      </c>
      <c r="C4311" s="466">
        <v>6.5</v>
      </c>
      <c r="D4311" s="465"/>
      <c r="E4311" s="466" t="s">
        <v>4628</v>
      </c>
      <c r="F4311" s="466" t="s">
        <v>1226</v>
      </c>
      <c r="G4311" s="465">
        <v>2</v>
      </c>
      <c r="H4311" s="465">
        <v>4</v>
      </c>
    </row>
    <row r="4312" spans="1:8" ht="13.8" thickBot="1">
      <c r="A4312" s="465" t="s">
        <v>9501</v>
      </c>
      <c r="B4312" s="465" t="s">
        <v>4627</v>
      </c>
      <c r="C4312" s="466">
        <v>6.5</v>
      </c>
      <c r="D4312" s="465"/>
      <c r="E4312" s="466" t="s">
        <v>4628</v>
      </c>
      <c r="F4312" s="466"/>
      <c r="G4312" s="465"/>
      <c r="H4312" s="465"/>
    </row>
    <row r="4313" spans="1:8" ht="13.8" thickBot="1">
      <c r="A4313" s="465" t="s">
        <v>9502</v>
      </c>
      <c r="B4313" s="465" t="s">
        <v>4637</v>
      </c>
      <c r="C4313" s="466">
        <v>6.5</v>
      </c>
      <c r="D4313" s="465"/>
      <c r="E4313" s="466" t="s">
        <v>4628</v>
      </c>
      <c r="F4313" s="466"/>
      <c r="G4313" s="465"/>
      <c r="H4313" s="465">
        <v>1</v>
      </c>
    </row>
    <row r="4314" spans="1:8" ht="13.8" thickBot="1">
      <c r="A4314" s="465" t="s">
        <v>9503</v>
      </c>
      <c r="B4314" s="465" t="s">
        <v>4656</v>
      </c>
      <c r="C4314" s="466">
        <v>6.5</v>
      </c>
      <c r="D4314" s="467" t="s">
        <v>614</v>
      </c>
      <c r="E4314" s="466" t="s">
        <v>4644</v>
      </c>
      <c r="F4314" s="466" t="s">
        <v>1224</v>
      </c>
      <c r="G4314" s="465">
        <v>1</v>
      </c>
      <c r="H4314" s="465">
        <v>3</v>
      </c>
    </row>
    <row r="4315" spans="1:8" ht="13.8" thickBot="1">
      <c r="A4315" s="467" t="s">
        <v>9504</v>
      </c>
      <c r="B4315" s="465" t="s">
        <v>1678</v>
      </c>
      <c r="C4315" s="466">
        <v>6.5</v>
      </c>
      <c r="D4315" s="465"/>
      <c r="E4315" s="466" t="s">
        <v>4644</v>
      </c>
      <c r="F4315" s="466"/>
      <c r="G4315" s="465"/>
      <c r="H4315" s="465">
        <v>1</v>
      </c>
    </row>
    <row r="4316" spans="1:8" ht="13.8" thickBot="1">
      <c r="A4316" s="465" t="s">
        <v>9505</v>
      </c>
      <c r="B4316" s="465" t="s">
        <v>1693</v>
      </c>
      <c r="C4316" s="466">
        <v>6.5</v>
      </c>
      <c r="D4316" s="465"/>
      <c r="E4316" s="466" t="s">
        <v>4644</v>
      </c>
      <c r="F4316" s="466"/>
      <c r="G4316" s="465">
        <v>1</v>
      </c>
      <c r="H4316" s="465">
        <v>1</v>
      </c>
    </row>
    <row r="4317" spans="1:8" ht="13.8" thickBot="1">
      <c r="A4317" s="467" t="s">
        <v>9506</v>
      </c>
      <c r="B4317" s="465" t="s">
        <v>4682</v>
      </c>
      <c r="C4317" s="466">
        <v>6.5</v>
      </c>
      <c r="D4317" s="465"/>
      <c r="E4317" s="466" t="s">
        <v>4672</v>
      </c>
      <c r="F4317" s="466" t="s">
        <v>1251</v>
      </c>
      <c r="G4317" s="465"/>
      <c r="H4317" s="465">
        <v>10</v>
      </c>
    </row>
    <row r="4318" spans="1:8" ht="13.8" thickBot="1">
      <c r="A4318" s="467" t="s">
        <v>9507</v>
      </c>
      <c r="B4318" s="465" t="s">
        <v>4683</v>
      </c>
      <c r="C4318" s="466">
        <v>6.5</v>
      </c>
      <c r="D4318" s="465"/>
      <c r="E4318" s="466" t="s">
        <v>4672</v>
      </c>
      <c r="F4318" s="466"/>
      <c r="G4318" s="465"/>
      <c r="H4318" s="465"/>
    </row>
    <row r="4319" spans="1:8" ht="13.8" thickBot="1">
      <c r="A4319" s="465" t="s">
        <v>9508</v>
      </c>
      <c r="B4319" s="465" t="s">
        <v>4711</v>
      </c>
      <c r="C4319" s="466">
        <v>6.5</v>
      </c>
      <c r="D4319" s="465"/>
      <c r="E4319" s="466" t="s">
        <v>4709</v>
      </c>
      <c r="F4319" s="466"/>
      <c r="G4319" s="465"/>
      <c r="H4319" s="465">
        <v>1</v>
      </c>
    </row>
    <row r="4320" spans="1:8" ht="13.8" thickBot="1">
      <c r="A4320" s="465" t="s">
        <v>9509</v>
      </c>
      <c r="B4320" s="465" t="s">
        <v>4732</v>
      </c>
      <c r="C4320" s="466">
        <v>6.5</v>
      </c>
      <c r="D4320" s="467" t="s">
        <v>614</v>
      </c>
      <c r="E4320" s="466" t="s">
        <v>4717</v>
      </c>
      <c r="F4320" s="466" t="s">
        <v>1251</v>
      </c>
      <c r="G4320" s="465">
        <v>1</v>
      </c>
      <c r="H4320" s="465">
        <v>3</v>
      </c>
    </row>
    <row r="4321" spans="1:8" ht="13.8" thickBot="1">
      <c r="A4321" s="465" t="s">
        <v>9510</v>
      </c>
      <c r="B4321" s="465" t="s">
        <v>4733</v>
      </c>
      <c r="C4321" s="466">
        <v>6.5</v>
      </c>
      <c r="D4321" s="465"/>
      <c r="E4321" s="466" t="s">
        <v>4717</v>
      </c>
      <c r="F4321" s="466" t="s">
        <v>1226</v>
      </c>
      <c r="G4321" s="465">
        <v>1</v>
      </c>
      <c r="H4321" s="465">
        <v>3</v>
      </c>
    </row>
    <row r="4322" spans="1:8" ht="13.8" thickBot="1">
      <c r="A4322" s="465" t="s">
        <v>9511</v>
      </c>
      <c r="B4322" s="465" t="s">
        <v>4734</v>
      </c>
      <c r="C4322" s="466">
        <v>6.5</v>
      </c>
      <c r="D4322" s="465"/>
      <c r="E4322" s="466" t="s">
        <v>4717</v>
      </c>
      <c r="F4322" s="466"/>
      <c r="G4322" s="465">
        <v>2</v>
      </c>
      <c r="H4322" s="465">
        <v>2</v>
      </c>
    </row>
    <row r="4323" spans="1:8" ht="13.8" thickBot="1">
      <c r="A4323" s="467" t="s">
        <v>9512</v>
      </c>
      <c r="B4323" s="465" t="s">
        <v>4735</v>
      </c>
      <c r="C4323" s="466">
        <v>6.5</v>
      </c>
      <c r="D4323" s="465"/>
      <c r="E4323" s="466" t="s">
        <v>4717</v>
      </c>
      <c r="F4323" s="466"/>
      <c r="G4323" s="465"/>
      <c r="H4323" s="465">
        <v>1</v>
      </c>
    </row>
    <row r="4324" spans="1:8" ht="13.8" thickBot="1">
      <c r="A4324" s="467" t="s">
        <v>9513</v>
      </c>
      <c r="B4324" s="465" t="s">
        <v>4765</v>
      </c>
      <c r="C4324" s="466">
        <v>6.5</v>
      </c>
      <c r="D4324" s="467" t="s">
        <v>614</v>
      </c>
      <c r="E4324" s="466" t="s">
        <v>4753</v>
      </c>
      <c r="F4324" s="466" t="s">
        <v>1865</v>
      </c>
      <c r="G4324" s="465">
        <v>1</v>
      </c>
      <c r="H4324" s="465">
        <v>3</v>
      </c>
    </row>
    <row r="4325" spans="1:8" ht="13.8" thickBot="1">
      <c r="A4325" s="467" t="s">
        <v>9514</v>
      </c>
      <c r="B4325" s="465" t="s">
        <v>4766</v>
      </c>
      <c r="C4325" s="466">
        <v>6.5</v>
      </c>
      <c r="D4325" s="465"/>
      <c r="E4325" s="466" t="s">
        <v>4753</v>
      </c>
      <c r="F4325" s="466"/>
      <c r="G4325" s="465"/>
      <c r="H4325" s="465"/>
    </row>
    <row r="4326" spans="1:8" ht="13.8" thickBot="1">
      <c r="A4326" s="465" t="s">
        <v>9515</v>
      </c>
      <c r="B4326" s="465" t="s">
        <v>4776</v>
      </c>
      <c r="C4326" s="466">
        <v>6.5</v>
      </c>
      <c r="D4326" s="465"/>
      <c r="E4326" s="466" t="s">
        <v>4773</v>
      </c>
      <c r="F4326" s="466"/>
      <c r="G4326" s="465"/>
      <c r="H4326" s="465">
        <v>1</v>
      </c>
    </row>
    <row r="4327" spans="1:8" ht="13.8" thickBot="1">
      <c r="A4327" s="467" t="s">
        <v>9516</v>
      </c>
      <c r="B4327" s="465" t="s">
        <v>4785</v>
      </c>
      <c r="C4327" s="466">
        <v>6.5</v>
      </c>
      <c r="D4327" s="465" t="s">
        <v>614</v>
      </c>
      <c r="E4327" s="466" t="s">
        <v>4780</v>
      </c>
      <c r="F4327" s="466"/>
      <c r="G4327" s="465"/>
      <c r="H4327" s="465">
        <v>2</v>
      </c>
    </row>
    <row r="4328" spans="1:8" ht="13.8" thickBot="1">
      <c r="A4328" s="465" t="s">
        <v>9517</v>
      </c>
      <c r="B4328" s="465" t="s">
        <v>4786</v>
      </c>
      <c r="C4328" s="466">
        <v>6.5</v>
      </c>
      <c r="D4328" s="465"/>
      <c r="E4328" s="466" t="s">
        <v>4780</v>
      </c>
      <c r="F4328" s="466"/>
      <c r="G4328" s="465"/>
      <c r="H4328" s="465"/>
    </row>
    <row r="4329" spans="1:8" ht="13.8" thickBot="1">
      <c r="A4329" s="465" t="s">
        <v>9580</v>
      </c>
      <c r="B4329" s="465" t="s">
        <v>2219</v>
      </c>
      <c r="C4329" s="466">
        <v>6.6</v>
      </c>
      <c r="D4329" s="467" t="s">
        <v>1854</v>
      </c>
      <c r="E4329" s="466" t="s">
        <v>2216</v>
      </c>
      <c r="F4329" s="466" t="s">
        <v>1251</v>
      </c>
      <c r="G4329" s="465">
        <v>1</v>
      </c>
      <c r="H4329" s="465">
        <v>2</v>
      </c>
    </row>
    <row r="4330" spans="1:8" ht="13.8" thickBot="1">
      <c r="A4330" s="467" t="s">
        <v>9595</v>
      </c>
      <c r="B4330" s="465" t="s">
        <v>4947</v>
      </c>
      <c r="C4330" s="466">
        <v>6.6</v>
      </c>
      <c r="D4330" s="467" t="s">
        <v>614</v>
      </c>
      <c r="E4330" s="466" t="s">
        <v>4943</v>
      </c>
      <c r="F4330" s="466" t="s">
        <v>1229</v>
      </c>
      <c r="G4330" s="465"/>
      <c r="H4330" s="465">
        <v>11</v>
      </c>
    </row>
    <row r="4331" spans="1:8" ht="13.8" thickBot="1">
      <c r="A4331" s="467" t="s">
        <v>9596</v>
      </c>
      <c r="B4331" s="465" t="s">
        <v>5080</v>
      </c>
      <c r="C4331" s="466">
        <v>6.6</v>
      </c>
      <c r="D4331" s="467" t="s">
        <v>5081</v>
      </c>
      <c r="E4331" s="466" t="s">
        <v>5079</v>
      </c>
      <c r="F4331" s="466" t="s">
        <v>1229</v>
      </c>
      <c r="G4331" s="465">
        <v>2</v>
      </c>
      <c r="H4331" s="465">
        <v>16</v>
      </c>
    </row>
    <row r="4332" spans="1:8" ht="13.8" thickBot="1">
      <c r="A4332" s="467" t="s">
        <v>9581</v>
      </c>
      <c r="B4332" s="465" t="s">
        <v>2350</v>
      </c>
      <c r="C4332" s="466">
        <v>6.6</v>
      </c>
      <c r="D4332" s="465"/>
      <c r="E4332" s="466" t="s">
        <v>2289</v>
      </c>
      <c r="F4332" s="466" t="s">
        <v>1251</v>
      </c>
      <c r="G4332" s="465"/>
      <c r="H4332" s="465">
        <v>3</v>
      </c>
    </row>
    <row r="4333" spans="1:8" ht="13.8" thickBot="1">
      <c r="A4333" s="465" t="s">
        <v>9597</v>
      </c>
      <c r="B4333" s="465" t="s">
        <v>5294</v>
      </c>
      <c r="C4333" s="466">
        <v>6.6</v>
      </c>
      <c r="D4333" s="467" t="s">
        <v>614</v>
      </c>
      <c r="E4333" s="466" t="s">
        <v>5286</v>
      </c>
      <c r="F4333" s="466" t="s">
        <v>1226</v>
      </c>
      <c r="G4333" s="465"/>
      <c r="H4333" s="465">
        <v>2</v>
      </c>
    </row>
    <row r="4334" spans="1:8" ht="13.8" thickBot="1">
      <c r="A4334" s="465" t="s">
        <v>9582</v>
      </c>
      <c r="B4334" s="465" t="s">
        <v>1300</v>
      </c>
      <c r="C4334" s="466">
        <v>6.6</v>
      </c>
      <c r="D4334" s="465"/>
      <c r="E4334" s="466" t="s">
        <v>2523</v>
      </c>
      <c r="F4334" s="466" t="s">
        <v>1224</v>
      </c>
      <c r="G4334" s="465"/>
      <c r="H4334" s="465">
        <v>1</v>
      </c>
    </row>
    <row r="4335" spans="1:8" ht="13.8" thickBot="1">
      <c r="A4335" s="465" t="s">
        <v>9583</v>
      </c>
      <c r="B4335" s="465" t="s">
        <v>2743</v>
      </c>
      <c r="C4335" s="466">
        <v>6.6</v>
      </c>
      <c r="D4335" s="465"/>
      <c r="E4335" s="466" t="s">
        <v>2744</v>
      </c>
      <c r="F4335" s="466" t="s">
        <v>1226</v>
      </c>
      <c r="G4335" s="465"/>
      <c r="H4335" s="465">
        <v>5</v>
      </c>
    </row>
    <row r="4336" spans="1:8" ht="13.8" thickBot="1">
      <c r="A4336" s="465" t="s">
        <v>9584</v>
      </c>
      <c r="B4336" s="465" t="s">
        <v>2858</v>
      </c>
      <c r="C4336" s="466">
        <v>6.6</v>
      </c>
      <c r="D4336" s="467" t="s">
        <v>614</v>
      </c>
      <c r="E4336" s="466" t="s">
        <v>2841</v>
      </c>
      <c r="F4336" s="466" t="s">
        <v>1229</v>
      </c>
      <c r="G4336" s="465">
        <v>1</v>
      </c>
      <c r="H4336" s="465">
        <v>9</v>
      </c>
    </row>
    <row r="4337" spans="1:8" ht="13.8" thickBot="1">
      <c r="A4337" s="465" t="s">
        <v>9585</v>
      </c>
      <c r="B4337" s="465" t="s">
        <v>2929</v>
      </c>
      <c r="C4337" s="466">
        <v>6.6</v>
      </c>
      <c r="D4337" s="467" t="s">
        <v>614</v>
      </c>
      <c r="E4337" s="466" t="s">
        <v>2922</v>
      </c>
      <c r="F4337" s="466" t="s">
        <v>1226</v>
      </c>
      <c r="G4337" s="465"/>
      <c r="H4337" s="465">
        <v>2</v>
      </c>
    </row>
    <row r="4338" spans="1:8" ht="13.8" thickBot="1">
      <c r="A4338" s="465" t="s">
        <v>9586</v>
      </c>
      <c r="B4338" s="465" t="s">
        <v>2975</v>
      </c>
      <c r="C4338" s="466">
        <v>6.6</v>
      </c>
      <c r="D4338" s="465"/>
      <c r="E4338" s="466" t="s">
        <v>2957</v>
      </c>
      <c r="F4338" s="466" t="s">
        <v>1224</v>
      </c>
      <c r="G4338" s="465"/>
      <c r="H4338" s="465">
        <v>2</v>
      </c>
    </row>
    <row r="4339" spans="1:8" ht="13.8" thickBot="1">
      <c r="A4339" s="465" t="s">
        <v>9587</v>
      </c>
      <c r="B4339" s="465" t="s">
        <v>1388</v>
      </c>
      <c r="C4339" s="466">
        <v>6.6</v>
      </c>
      <c r="D4339" s="465"/>
      <c r="E4339" s="466" t="s">
        <v>3085</v>
      </c>
      <c r="F4339" s="466" t="s">
        <v>1226</v>
      </c>
      <c r="G4339" s="465"/>
      <c r="H4339" s="465">
        <v>3</v>
      </c>
    </row>
    <row r="4340" spans="1:8" ht="13.8" thickBot="1">
      <c r="A4340" s="465" t="s">
        <v>9588</v>
      </c>
      <c r="B4340" s="465" t="s">
        <v>1449</v>
      </c>
      <c r="C4340" s="466">
        <v>6.6</v>
      </c>
      <c r="D4340" s="467" t="s">
        <v>614</v>
      </c>
      <c r="E4340" s="466" t="s">
        <v>3400</v>
      </c>
      <c r="F4340" s="466" t="s">
        <v>1224</v>
      </c>
      <c r="G4340" s="465">
        <v>1</v>
      </c>
      <c r="H4340" s="465">
        <v>2</v>
      </c>
    </row>
    <row r="4341" spans="1:8" ht="13.8" thickBot="1">
      <c r="A4341" s="465" t="s">
        <v>9589</v>
      </c>
      <c r="B4341" s="465" t="s">
        <v>3432</v>
      </c>
      <c r="C4341" s="466">
        <v>6.6</v>
      </c>
      <c r="D4341" s="465"/>
      <c r="E4341" s="466" t="s">
        <v>3414</v>
      </c>
      <c r="F4341" s="466" t="s">
        <v>1226</v>
      </c>
      <c r="G4341" s="465"/>
      <c r="H4341" s="465">
        <v>2</v>
      </c>
    </row>
    <row r="4342" spans="1:8" ht="13.8" thickBot="1">
      <c r="A4342" s="465" t="s">
        <v>9590</v>
      </c>
      <c r="B4342" s="465" t="s">
        <v>3433</v>
      </c>
      <c r="C4342" s="466">
        <v>6.6</v>
      </c>
      <c r="D4342" s="465"/>
      <c r="E4342" s="466" t="s">
        <v>3414</v>
      </c>
      <c r="F4342" s="466"/>
      <c r="G4342" s="465"/>
      <c r="H4342" s="465"/>
    </row>
    <row r="4343" spans="1:8" ht="13.8" thickBot="1">
      <c r="A4343" s="465" t="s">
        <v>9591</v>
      </c>
      <c r="B4343" s="465" t="s">
        <v>3462</v>
      </c>
      <c r="C4343" s="466">
        <v>6.6</v>
      </c>
      <c r="D4343" s="467" t="s">
        <v>614</v>
      </c>
      <c r="E4343" s="466" t="s">
        <v>3452</v>
      </c>
      <c r="F4343" s="466" t="s">
        <v>2417</v>
      </c>
      <c r="G4343" s="465">
        <v>3</v>
      </c>
      <c r="H4343" s="465">
        <v>5</v>
      </c>
    </row>
    <row r="4344" spans="1:8" ht="13.8" thickBot="1">
      <c r="A4344" s="467" t="s">
        <v>9592</v>
      </c>
      <c r="B4344" s="465" t="s">
        <v>3555</v>
      </c>
      <c r="C4344" s="466">
        <v>6.6</v>
      </c>
      <c r="D4344" s="465"/>
      <c r="E4344" s="466" t="s">
        <v>3517</v>
      </c>
      <c r="F4344" s="466" t="s">
        <v>3556</v>
      </c>
      <c r="G4344" s="465"/>
      <c r="H4344" s="465">
        <v>14</v>
      </c>
    </row>
    <row r="4345" spans="1:8" ht="13.8" thickBot="1">
      <c r="A4345" s="467" t="s">
        <v>9593</v>
      </c>
      <c r="B4345" s="465" t="s">
        <v>1544</v>
      </c>
      <c r="C4345" s="466">
        <v>6.6</v>
      </c>
      <c r="D4345" s="465"/>
      <c r="E4345" s="466" t="s">
        <v>4102</v>
      </c>
      <c r="F4345" s="466" t="s">
        <v>1226</v>
      </c>
      <c r="G4345" s="465"/>
      <c r="H4345" s="465">
        <v>3</v>
      </c>
    </row>
    <row r="4346" spans="1:8" ht="13.8" thickBot="1">
      <c r="A4346" s="467" t="s">
        <v>9594</v>
      </c>
      <c r="B4346" s="465" t="s">
        <v>1619</v>
      </c>
      <c r="C4346" s="466">
        <v>6.6</v>
      </c>
      <c r="D4346" s="467" t="s">
        <v>2628</v>
      </c>
      <c r="E4346" s="466" t="s">
        <v>4214</v>
      </c>
      <c r="F4346" s="466" t="s">
        <v>1251</v>
      </c>
      <c r="G4346" s="465"/>
      <c r="H4346" s="465">
        <v>2</v>
      </c>
    </row>
    <row r="4347" spans="1:8" ht="13.8" thickBot="1">
      <c r="A4347" s="465" t="s">
        <v>9578</v>
      </c>
      <c r="B4347" s="465" t="s">
        <v>2167</v>
      </c>
      <c r="C4347" s="466">
        <v>6.6</v>
      </c>
      <c r="D4347" s="465"/>
      <c r="E4347" s="466" t="s">
        <v>2152</v>
      </c>
      <c r="F4347" s="466" t="s">
        <v>1226</v>
      </c>
      <c r="G4347" s="465"/>
      <c r="H4347" s="465">
        <v>3</v>
      </c>
    </row>
    <row r="4348" spans="1:8" ht="13.8" thickBot="1">
      <c r="A4348" s="465" t="s">
        <v>9579</v>
      </c>
      <c r="B4348" s="468" t="s">
        <v>1276</v>
      </c>
      <c r="C4348" s="466">
        <v>6.6</v>
      </c>
      <c r="D4348" s="465"/>
      <c r="E4348" s="466" t="s">
        <v>2152</v>
      </c>
      <c r="F4348" s="466" t="s">
        <v>1226</v>
      </c>
      <c r="G4348" s="465">
        <v>1</v>
      </c>
      <c r="H4348" s="465">
        <v>3</v>
      </c>
    </row>
    <row r="4349" spans="1:8" ht="13.8" thickBot="1">
      <c r="A4349" s="467" t="s">
        <v>9598</v>
      </c>
      <c r="B4349" s="465" t="s">
        <v>1819</v>
      </c>
      <c r="C4349" s="466">
        <v>6.7</v>
      </c>
      <c r="D4349" s="465"/>
      <c r="E4349" s="466" t="s">
        <v>1793</v>
      </c>
      <c r="F4349" s="466" t="s">
        <v>1226</v>
      </c>
      <c r="G4349" s="465">
        <v>2</v>
      </c>
      <c r="H4349" s="465">
        <v>10</v>
      </c>
    </row>
    <row r="4350" spans="1:8" ht="13.8" thickBot="1">
      <c r="A4350" s="467" t="s">
        <v>9599</v>
      </c>
      <c r="B4350" s="465" t="s">
        <v>2857</v>
      </c>
      <c r="C4350" s="466">
        <v>6.7</v>
      </c>
      <c r="D4350" s="467" t="s">
        <v>614</v>
      </c>
      <c r="E4350" s="466" t="s">
        <v>2841</v>
      </c>
      <c r="F4350" s="466" t="s">
        <v>1251</v>
      </c>
      <c r="G4350" s="465">
        <v>1</v>
      </c>
      <c r="H4350" s="465">
        <v>7</v>
      </c>
    </row>
    <row r="4351" spans="1:8" ht="13.8" thickBot="1">
      <c r="A4351" s="467" t="s">
        <v>9600</v>
      </c>
      <c r="B4351" s="465" t="s">
        <v>3553</v>
      </c>
      <c r="C4351" s="466">
        <v>6.7</v>
      </c>
      <c r="D4351" s="465" t="s">
        <v>3030</v>
      </c>
      <c r="E4351" s="466" t="s">
        <v>3517</v>
      </c>
      <c r="F4351" s="466" t="s">
        <v>1229</v>
      </c>
      <c r="G4351" s="465">
        <v>1</v>
      </c>
      <c r="H4351" s="465">
        <v>9</v>
      </c>
    </row>
    <row r="4352" spans="1:8" ht="13.8" thickBot="1">
      <c r="A4352" s="467" t="s">
        <v>9601</v>
      </c>
      <c r="B4352" s="465" t="s">
        <v>3554</v>
      </c>
      <c r="C4352" s="466">
        <v>6.7</v>
      </c>
      <c r="D4352" s="465"/>
      <c r="E4352" s="466" t="s">
        <v>3517</v>
      </c>
      <c r="F4352" s="466" t="s">
        <v>1226</v>
      </c>
      <c r="G4352" s="465"/>
      <c r="H4352" s="465">
        <v>4</v>
      </c>
    </row>
    <row r="4353" spans="1:8" ht="13.8" thickBot="1">
      <c r="A4353" s="467" t="s">
        <v>9602</v>
      </c>
      <c r="B4353" s="465" t="s">
        <v>4655</v>
      </c>
      <c r="C4353" s="466">
        <v>6.7</v>
      </c>
      <c r="D4353" s="465"/>
      <c r="E4353" s="466" t="s">
        <v>4644</v>
      </c>
      <c r="F4353" s="466" t="s">
        <v>1226</v>
      </c>
      <c r="G4353" s="465"/>
      <c r="H4353" s="465">
        <v>6</v>
      </c>
    </row>
    <row r="4354" spans="1:8" ht="13.8" thickBot="1">
      <c r="A4354" s="467" t="s">
        <v>9603</v>
      </c>
      <c r="B4354" s="465" t="s">
        <v>1816</v>
      </c>
      <c r="C4354" s="466">
        <v>6.75</v>
      </c>
      <c r="D4354" s="465"/>
      <c r="E4354" s="466" t="s">
        <v>1793</v>
      </c>
      <c r="F4354" s="466" t="s">
        <v>1226</v>
      </c>
      <c r="G4354" s="465">
        <v>1</v>
      </c>
      <c r="H4354" s="465">
        <v>6</v>
      </c>
    </row>
    <row r="4355" spans="1:8" ht="13.8" thickBot="1">
      <c r="A4355" s="467" t="s">
        <v>9604</v>
      </c>
      <c r="B4355" s="465" t="s">
        <v>1817</v>
      </c>
      <c r="C4355" s="466">
        <v>6.75</v>
      </c>
      <c r="D4355" s="465"/>
      <c r="E4355" s="466" t="s">
        <v>1793</v>
      </c>
      <c r="F4355" s="466" t="s">
        <v>1226</v>
      </c>
      <c r="G4355" s="465"/>
      <c r="H4355" s="465">
        <v>1</v>
      </c>
    </row>
    <row r="4356" spans="1:8" ht="13.8" thickBot="1">
      <c r="A4356" s="467" t="s">
        <v>9605</v>
      </c>
      <c r="B4356" s="465" t="s">
        <v>1818</v>
      </c>
      <c r="C4356" s="466">
        <v>6.75</v>
      </c>
      <c r="D4356" s="465"/>
      <c r="E4356" s="466" t="s">
        <v>1793</v>
      </c>
      <c r="F4356" s="466" t="s">
        <v>1226</v>
      </c>
      <c r="G4356" s="465">
        <v>1</v>
      </c>
      <c r="H4356" s="465">
        <v>4</v>
      </c>
    </row>
    <row r="4357" spans="1:8" ht="13.8" thickBot="1">
      <c r="A4357" s="467" t="s">
        <v>9624</v>
      </c>
      <c r="B4357" s="465" t="s">
        <v>2218</v>
      </c>
      <c r="C4357" s="466">
        <v>6.75</v>
      </c>
      <c r="D4357" s="467" t="s">
        <v>614</v>
      </c>
      <c r="E4357" s="466" t="s">
        <v>2216</v>
      </c>
      <c r="F4357" s="466" t="s">
        <v>1226</v>
      </c>
      <c r="G4357" s="465">
        <v>3</v>
      </c>
      <c r="H4357" s="465">
        <v>6</v>
      </c>
    </row>
    <row r="4358" spans="1:8" ht="13.8" thickBot="1">
      <c r="A4358" s="465" t="s">
        <v>981</v>
      </c>
      <c r="B4358" s="465" t="s">
        <v>4791</v>
      </c>
      <c r="C4358" s="466">
        <v>6.75</v>
      </c>
      <c r="D4358" s="465"/>
      <c r="E4358" s="466" t="s">
        <v>4789</v>
      </c>
      <c r="F4358" s="466" t="s">
        <v>1226</v>
      </c>
      <c r="G4358" s="465"/>
      <c r="H4358" s="465"/>
    </row>
    <row r="4359" spans="1:8" ht="13.8" thickBot="1">
      <c r="A4359" s="467" t="s">
        <v>9774</v>
      </c>
      <c r="B4359" s="465" t="s">
        <v>4792</v>
      </c>
      <c r="C4359" s="466">
        <v>6.75</v>
      </c>
      <c r="D4359" s="465"/>
      <c r="E4359" s="466" t="s">
        <v>4789</v>
      </c>
      <c r="F4359" s="466"/>
      <c r="G4359" s="465"/>
      <c r="H4359" s="465"/>
    </row>
    <row r="4360" spans="1:8" ht="13.8" thickBot="1">
      <c r="A4360" s="467" t="s">
        <v>9775</v>
      </c>
      <c r="B4360" s="465" t="s">
        <v>4826</v>
      </c>
      <c r="C4360" s="466">
        <v>6.75</v>
      </c>
      <c r="D4360" s="467" t="s">
        <v>2223</v>
      </c>
      <c r="E4360" s="466" t="s">
        <v>4822</v>
      </c>
      <c r="F4360" s="466"/>
      <c r="G4360" s="465">
        <v>2</v>
      </c>
      <c r="H4360" s="465">
        <v>2</v>
      </c>
    </row>
    <row r="4361" spans="1:8" ht="13.8" thickBot="1">
      <c r="A4361" s="467" t="s">
        <v>9776</v>
      </c>
      <c r="B4361" s="465" t="s">
        <v>4858</v>
      </c>
      <c r="C4361" s="466">
        <v>6.75</v>
      </c>
      <c r="D4361" s="465"/>
      <c r="E4361" s="466" t="s">
        <v>4850</v>
      </c>
      <c r="F4361" s="466"/>
      <c r="G4361" s="465">
        <v>1</v>
      </c>
      <c r="H4361" s="465">
        <v>1</v>
      </c>
    </row>
    <row r="4362" spans="1:8" ht="13.8" thickBot="1">
      <c r="A4362" s="467" t="s">
        <v>9777</v>
      </c>
      <c r="B4362" s="465" t="s">
        <v>4884</v>
      </c>
      <c r="C4362" s="466">
        <v>6.75</v>
      </c>
      <c r="D4362" s="467" t="s">
        <v>2628</v>
      </c>
      <c r="E4362" s="466" t="s">
        <v>4865</v>
      </c>
      <c r="F4362" s="466" t="s">
        <v>1251</v>
      </c>
      <c r="G4362" s="465"/>
      <c r="H4362" s="465">
        <v>2</v>
      </c>
    </row>
    <row r="4363" spans="1:8" ht="13.8" thickBot="1">
      <c r="A4363" s="465" t="s">
        <v>9778</v>
      </c>
      <c r="B4363" s="465" t="s">
        <v>4922</v>
      </c>
      <c r="C4363" s="466">
        <v>6.75</v>
      </c>
      <c r="D4363" s="465"/>
      <c r="E4363" s="466" t="s">
        <v>4918</v>
      </c>
      <c r="F4363" s="466"/>
      <c r="G4363" s="465"/>
      <c r="H4363" s="465"/>
    </row>
    <row r="4364" spans="1:8" ht="13.8" thickBot="1">
      <c r="A4364" s="467" t="s">
        <v>9779</v>
      </c>
      <c r="B4364" s="465" t="s">
        <v>4974</v>
      </c>
      <c r="C4364" s="466">
        <v>6.75</v>
      </c>
      <c r="D4364" s="465"/>
      <c r="E4364" s="466" t="s">
        <v>4970</v>
      </c>
      <c r="F4364" s="466"/>
      <c r="G4364" s="465">
        <v>1</v>
      </c>
      <c r="H4364" s="465">
        <v>2</v>
      </c>
    </row>
    <row r="4365" spans="1:8" ht="13.8" thickBot="1">
      <c r="A4365" s="467" t="s">
        <v>9780</v>
      </c>
      <c r="B4365" s="465" t="s">
        <v>5048</v>
      </c>
      <c r="C4365" s="466">
        <v>6.75</v>
      </c>
      <c r="D4365" s="467" t="s">
        <v>614</v>
      </c>
      <c r="E4365" s="466" t="s">
        <v>5042</v>
      </c>
      <c r="F4365" s="466" t="s">
        <v>1226</v>
      </c>
      <c r="G4365" s="465">
        <v>1</v>
      </c>
      <c r="H4365" s="465">
        <v>2</v>
      </c>
    </row>
    <row r="4366" spans="1:8" ht="13.8" thickBot="1">
      <c r="A4366" s="467" t="s">
        <v>9781</v>
      </c>
      <c r="B4366" s="465" t="s">
        <v>5078</v>
      </c>
      <c r="C4366" s="466">
        <v>6.75</v>
      </c>
      <c r="D4366" s="467" t="s">
        <v>614</v>
      </c>
      <c r="E4366" s="466" t="s">
        <v>5079</v>
      </c>
      <c r="F4366" s="466" t="s">
        <v>1229</v>
      </c>
      <c r="G4366" s="465"/>
      <c r="H4366" s="465">
        <v>6</v>
      </c>
    </row>
    <row r="4367" spans="1:8" ht="13.8" thickBot="1">
      <c r="A4367" s="465" t="s">
        <v>9782</v>
      </c>
      <c r="B4367" s="465" t="s">
        <v>5091</v>
      </c>
      <c r="C4367" s="466">
        <v>6.75</v>
      </c>
      <c r="D4367" s="467" t="s">
        <v>614</v>
      </c>
      <c r="E4367" s="466" t="s">
        <v>5086</v>
      </c>
      <c r="F4367" s="466"/>
      <c r="G4367" s="465">
        <v>1</v>
      </c>
      <c r="H4367" s="465">
        <v>2</v>
      </c>
    </row>
    <row r="4368" spans="1:8" ht="13.8" thickBot="1">
      <c r="A4368" s="467" t="s">
        <v>9783</v>
      </c>
      <c r="B4368" s="465" t="s">
        <v>1491</v>
      </c>
      <c r="C4368" s="466">
        <v>6.75</v>
      </c>
      <c r="D4368" s="465"/>
      <c r="E4368" s="466" t="s">
        <v>5094</v>
      </c>
      <c r="F4368" s="466"/>
      <c r="G4368" s="465"/>
      <c r="H4368" s="465"/>
    </row>
    <row r="4369" spans="1:8" ht="13.8" thickBot="1">
      <c r="A4369" s="465" t="s">
        <v>9784</v>
      </c>
      <c r="B4369" s="465" t="s">
        <v>1700</v>
      </c>
      <c r="C4369" s="466">
        <v>6.75</v>
      </c>
      <c r="D4369" s="465"/>
      <c r="E4369" s="466" t="s">
        <v>5139</v>
      </c>
      <c r="F4369" s="466" t="s">
        <v>1226</v>
      </c>
      <c r="G4369" s="465"/>
      <c r="H4369" s="465">
        <v>6</v>
      </c>
    </row>
    <row r="4370" spans="1:8" ht="13.8" thickBot="1">
      <c r="A4370" s="465" t="s">
        <v>9785</v>
      </c>
      <c r="B4370" s="465" t="s">
        <v>5142</v>
      </c>
      <c r="C4370" s="466">
        <v>6.75</v>
      </c>
      <c r="D4370" s="465"/>
      <c r="E4370" s="466" t="s">
        <v>5139</v>
      </c>
      <c r="F4370" s="466"/>
      <c r="G4370" s="465"/>
      <c r="H4370" s="465">
        <v>1</v>
      </c>
    </row>
    <row r="4371" spans="1:8" ht="13.8" thickBot="1">
      <c r="A4371" s="465" t="s">
        <v>9786</v>
      </c>
      <c r="B4371" s="465" t="s">
        <v>1703</v>
      </c>
      <c r="C4371" s="466">
        <v>6.75</v>
      </c>
      <c r="D4371" s="465"/>
      <c r="E4371" s="466" t="s">
        <v>5139</v>
      </c>
      <c r="F4371" s="466"/>
      <c r="G4371" s="465"/>
      <c r="H4371" s="465">
        <v>2</v>
      </c>
    </row>
    <row r="4372" spans="1:8" ht="13.8" thickBot="1">
      <c r="A4372" s="467" t="s">
        <v>9787</v>
      </c>
      <c r="B4372" s="465" t="s">
        <v>1703</v>
      </c>
      <c r="C4372" s="466">
        <v>6.75</v>
      </c>
      <c r="D4372" s="465"/>
      <c r="E4372" s="466" t="s">
        <v>5139</v>
      </c>
      <c r="F4372" s="466"/>
      <c r="G4372" s="465"/>
      <c r="H4372" s="465">
        <v>1</v>
      </c>
    </row>
    <row r="4373" spans="1:8" ht="13.8" thickBot="1">
      <c r="A4373" s="465" t="s">
        <v>9788</v>
      </c>
      <c r="B4373" s="465" t="s">
        <v>5168</v>
      </c>
      <c r="C4373" s="466">
        <v>6.75</v>
      </c>
      <c r="D4373" s="465"/>
      <c r="E4373" s="466" t="s">
        <v>5155</v>
      </c>
      <c r="F4373" s="466" t="s">
        <v>1251</v>
      </c>
      <c r="G4373" s="465"/>
      <c r="H4373" s="465">
        <v>1</v>
      </c>
    </row>
    <row r="4374" spans="1:8" ht="13.8" thickBot="1">
      <c r="A4374" s="465" t="s">
        <v>9789</v>
      </c>
      <c r="B4374" s="465" t="s">
        <v>5181</v>
      </c>
      <c r="C4374" s="466">
        <v>6.75</v>
      </c>
      <c r="D4374" s="465"/>
      <c r="E4374" s="466" t="s">
        <v>5180</v>
      </c>
      <c r="F4374" s="466" t="s">
        <v>1251</v>
      </c>
      <c r="G4374" s="465"/>
      <c r="H4374" s="465">
        <v>2</v>
      </c>
    </row>
    <row r="4375" spans="1:8" ht="13.8" thickBot="1">
      <c r="A4375" s="465" t="s">
        <v>9790</v>
      </c>
      <c r="B4375" s="465" t="s">
        <v>5182</v>
      </c>
      <c r="C4375" s="466">
        <v>6.75</v>
      </c>
      <c r="D4375" s="467" t="s">
        <v>614</v>
      </c>
      <c r="E4375" s="466" t="s">
        <v>5180</v>
      </c>
      <c r="F4375" s="466" t="s">
        <v>1224</v>
      </c>
      <c r="G4375" s="465">
        <v>1</v>
      </c>
      <c r="H4375" s="465">
        <v>2</v>
      </c>
    </row>
    <row r="4376" spans="1:8" ht="13.8" thickBot="1">
      <c r="A4376" s="465" t="s">
        <v>9791</v>
      </c>
      <c r="B4376" s="465" t="s">
        <v>5236</v>
      </c>
      <c r="C4376" s="466">
        <v>6.75</v>
      </c>
      <c r="D4376" s="465"/>
      <c r="E4376" s="466" t="s">
        <v>5226</v>
      </c>
      <c r="F4376" s="466" t="s">
        <v>1226</v>
      </c>
      <c r="G4376" s="465"/>
      <c r="H4376" s="465">
        <v>4</v>
      </c>
    </row>
    <row r="4377" spans="1:8" ht="13.8" thickBot="1">
      <c r="A4377" s="467" t="s">
        <v>9625</v>
      </c>
      <c r="B4377" s="465" t="s">
        <v>2335</v>
      </c>
      <c r="C4377" s="466">
        <v>6.75</v>
      </c>
      <c r="D4377" s="467" t="s">
        <v>614</v>
      </c>
      <c r="E4377" s="466" t="s">
        <v>2289</v>
      </c>
      <c r="F4377" s="466" t="s">
        <v>1229</v>
      </c>
      <c r="G4377" s="465">
        <v>4</v>
      </c>
      <c r="H4377" s="465">
        <v>12</v>
      </c>
    </row>
    <row r="4378" spans="1:8" ht="13.8" thickBot="1">
      <c r="A4378" s="467" t="s">
        <v>9626</v>
      </c>
      <c r="B4378" s="465" t="s">
        <v>2336</v>
      </c>
      <c r="C4378" s="466">
        <v>6.75</v>
      </c>
      <c r="D4378" s="467" t="s">
        <v>614</v>
      </c>
      <c r="E4378" s="466" t="s">
        <v>2289</v>
      </c>
      <c r="F4378" s="466" t="s">
        <v>1251</v>
      </c>
      <c r="G4378" s="465"/>
      <c r="H4378" s="465">
        <v>4</v>
      </c>
    </row>
    <row r="4379" spans="1:8" ht="13.8" thickBot="1">
      <c r="A4379" s="467" t="s">
        <v>9627</v>
      </c>
      <c r="B4379" s="465" t="s">
        <v>2337</v>
      </c>
      <c r="C4379" s="466">
        <v>6.75</v>
      </c>
      <c r="D4379" s="465"/>
      <c r="E4379" s="466" t="s">
        <v>2289</v>
      </c>
      <c r="F4379" s="466" t="s">
        <v>1251</v>
      </c>
      <c r="G4379" s="465"/>
      <c r="H4379" s="465">
        <v>9</v>
      </c>
    </row>
    <row r="4380" spans="1:8" ht="13.8" thickBot="1">
      <c r="A4380" s="467" t="s">
        <v>9628</v>
      </c>
      <c r="B4380" s="465" t="s">
        <v>2338</v>
      </c>
      <c r="C4380" s="466">
        <v>6.75</v>
      </c>
      <c r="D4380" s="465"/>
      <c r="E4380" s="466" t="s">
        <v>2289</v>
      </c>
      <c r="F4380" s="466" t="s">
        <v>1251</v>
      </c>
      <c r="G4380" s="465"/>
      <c r="H4380" s="465">
        <v>9</v>
      </c>
    </row>
    <row r="4381" spans="1:8" ht="13.8" thickBot="1">
      <c r="A4381" s="467" t="s">
        <v>9629</v>
      </c>
      <c r="B4381" s="465" t="s">
        <v>2339</v>
      </c>
      <c r="C4381" s="466">
        <v>6.75</v>
      </c>
      <c r="D4381" s="467" t="s">
        <v>614</v>
      </c>
      <c r="E4381" s="466" t="s">
        <v>2289</v>
      </c>
      <c r="F4381" s="466" t="s">
        <v>1251</v>
      </c>
      <c r="G4381" s="465">
        <v>2</v>
      </c>
      <c r="H4381" s="465">
        <v>8</v>
      </c>
    </row>
    <row r="4382" spans="1:8" ht="13.8" thickBot="1">
      <c r="A4382" s="465" t="s">
        <v>9630</v>
      </c>
      <c r="B4382" s="465" t="s">
        <v>2340</v>
      </c>
      <c r="C4382" s="466">
        <v>6.75</v>
      </c>
      <c r="D4382" s="467" t="s">
        <v>2341</v>
      </c>
      <c r="E4382" s="466" t="s">
        <v>2289</v>
      </c>
      <c r="F4382" s="466" t="s">
        <v>1226</v>
      </c>
      <c r="G4382" s="465"/>
      <c r="H4382" s="465">
        <v>5</v>
      </c>
    </row>
    <row r="4383" spans="1:8" ht="13.8" thickBot="1">
      <c r="A4383" s="467" t="s">
        <v>9631</v>
      </c>
      <c r="B4383" s="465" t="s">
        <v>2342</v>
      </c>
      <c r="C4383" s="466">
        <v>6.75</v>
      </c>
      <c r="D4383" s="467" t="s">
        <v>614</v>
      </c>
      <c r="E4383" s="466" t="s">
        <v>2289</v>
      </c>
      <c r="F4383" s="466" t="s">
        <v>1226</v>
      </c>
      <c r="G4383" s="465"/>
      <c r="H4383" s="465">
        <v>4</v>
      </c>
    </row>
    <row r="4384" spans="1:8" ht="13.8" thickBot="1">
      <c r="A4384" s="467" t="s">
        <v>9632</v>
      </c>
      <c r="B4384" s="465" t="s">
        <v>2343</v>
      </c>
      <c r="C4384" s="466">
        <v>6.75</v>
      </c>
      <c r="D4384" s="467" t="s">
        <v>2344</v>
      </c>
      <c r="E4384" s="466" t="s">
        <v>2289</v>
      </c>
      <c r="F4384" s="466" t="s">
        <v>1226</v>
      </c>
      <c r="G4384" s="465"/>
      <c r="H4384" s="465">
        <v>9</v>
      </c>
    </row>
    <row r="4385" spans="1:8" ht="13.8" thickBot="1">
      <c r="A4385" s="465" t="s">
        <v>9633</v>
      </c>
      <c r="B4385" s="465" t="s">
        <v>2345</v>
      </c>
      <c r="C4385" s="466">
        <v>6.75</v>
      </c>
      <c r="D4385" s="465"/>
      <c r="E4385" s="466" t="s">
        <v>2289</v>
      </c>
      <c r="F4385" s="466" t="s">
        <v>1226</v>
      </c>
      <c r="G4385" s="465"/>
      <c r="H4385" s="465">
        <v>5</v>
      </c>
    </row>
    <row r="4386" spans="1:8" ht="13.8" thickBot="1">
      <c r="A4386" s="465" t="s">
        <v>9634</v>
      </c>
      <c r="B4386" s="465" t="s">
        <v>2308</v>
      </c>
      <c r="C4386" s="466">
        <v>6.75</v>
      </c>
      <c r="D4386" s="465"/>
      <c r="E4386" s="466" t="s">
        <v>2289</v>
      </c>
      <c r="F4386" s="466" t="s">
        <v>1224</v>
      </c>
      <c r="G4386" s="465"/>
      <c r="H4386" s="465">
        <v>2</v>
      </c>
    </row>
    <row r="4387" spans="1:8" ht="13.8" thickBot="1">
      <c r="A4387" s="465" t="s">
        <v>9635</v>
      </c>
      <c r="B4387" s="465" t="s">
        <v>2346</v>
      </c>
      <c r="C4387" s="466">
        <v>6.75</v>
      </c>
      <c r="D4387" s="465"/>
      <c r="E4387" s="466" t="s">
        <v>2289</v>
      </c>
      <c r="F4387" s="466"/>
      <c r="G4387" s="465"/>
      <c r="H4387" s="465">
        <v>5</v>
      </c>
    </row>
    <row r="4388" spans="1:8" ht="13.8" thickBot="1">
      <c r="A4388" s="465" t="s">
        <v>9636</v>
      </c>
      <c r="B4388" s="465" t="s">
        <v>1726</v>
      </c>
      <c r="C4388" s="466">
        <v>6.75</v>
      </c>
      <c r="D4388" s="465"/>
      <c r="E4388" s="466" t="s">
        <v>2289</v>
      </c>
      <c r="F4388" s="466"/>
      <c r="G4388" s="465"/>
      <c r="H4388" s="465">
        <v>2</v>
      </c>
    </row>
    <row r="4389" spans="1:8" ht="13.8" thickBot="1">
      <c r="A4389" s="467" t="s">
        <v>9637</v>
      </c>
      <c r="B4389" s="465" t="s">
        <v>1726</v>
      </c>
      <c r="C4389" s="466">
        <v>6.75</v>
      </c>
      <c r="D4389" s="465"/>
      <c r="E4389" s="466" t="s">
        <v>2289</v>
      </c>
      <c r="F4389" s="466"/>
      <c r="G4389" s="465"/>
      <c r="H4389" s="465">
        <v>6</v>
      </c>
    </row>
    <row r="4390" spans="1:8" ht="13.8" thickBot="1">
      <c r="A4390" s="467" t="s">
        <v>9638</v>
      </c>
      <c r="B4390" s="465" t="s">
        <v>2297</v>
      </c>
      <c r="C4390" s="466">
        <v>6.75</v>
      </c>
      <c r="D4390" s="465"/>
      <c r="E4390" s="466" t="s">
        <v>2289</v>
      </c>
      <c r="F4390" s="466"/>
      <c r="G4390" s="465"/>
      <c r="H4390" s="465">
        <v>1</v>
      </c>
    </row>
    <row r="4391" spans="1:8" ht="13.8" thickBot="1">
      <c r="A4391" s="465" t="s">
        <v>9639</v>
      </c>
      <c r="B4391" s="465" t="s">
        <v>2347</v>
      </c>
      <c r="C4391" s="466">
        <v>6.75</v>
      </c>
      <c r="D4391" s="465"/>
      <c r="E4391" s="466" t="s">
        <v>2289</v>
      </c>
      <c r="F4391" s="466"/>
      <c r="G4391" s="465"/>
      <c r="H4391" s="465">
        <v>2</v>
      </c>
    </row>
    <row r="4392" spans="1:8" ht="13.8" thickBot="1">
      <c r="A4392" s="467" t="s">
        <v>9640</v>
      </c>
      <c r="B4392" s="465" t="s">
        <v>2308</v>
      </c>
      <c r="C4392" s="466">
        <v>6.75</v>
      </c>
      <c r="D4392" s="465"/>
      <c r="E4392" s="466" t="s">
        <v>2289</v>
      </c>
      <c r="F4392" s="466"/>
      <c r="G4392" s="465"/>
      <c r="H4392" s="465">
        <v>1</v>
      </c>
    </row>
    <row r="4393" spans="1:8" ht="13.8" thickBot="1">
      <c r="A4393" s="467" t="s">
        <v>9641</v>
      </c>
      <c r="B4393" s="465" t="s">
        <v>2348</v>
      </c>
      <c r="C4393" s="466">
        <v>6.75</v>
      </c>
      <c r="D4393" s="467" t="s">
        <v>2349</v>
      </c>
      <c r="E4393" s="466" t="s">
        <v>2289</v>
      </c>
      <c r="F4393" s="466"/>
      <c r="G4393" s="465"/>
      <c r="H4393" s="465">
        <v>1</v>
      </c>
    </row>
    <row r="4394" spans="1:8" ht="13.8" thickBot="1">
      <c r="A4394" s="465" t="s">
        <v>9792</v>
      </c>
      <c r="B4394" s="465" t="s">
        <v>5264</v>
      </c>
      <c r="C4394" s="466">
        <v>6.75</v>
      </c>
      <c r="D4394" s="467" t="s">
        <v>614</v>
      </c>
      <c r="E4394" s="466" t="s">
        <v>5265</v>
      </c>
      <c r="F4394" s="466"/>
      <c r="G4394" s="465"/>
      <c r="H4394" s="465">
        <v>1</v>
      </c>
    </row>
    <row r="4395" spans="1:8" ht="13.8" thickBot="1">
      <c r="A4395" s="465" t="s">
        <v>9793</v>
      </c>
      <c r="B4395" s="465" t="s">
        <v>5277</v>
      </c>
      <c r="C4395" s="466">
        <v>6.75</v>
      </c>
      <c r="D4395" s="465"/>
      <c r="E4395" s="466" t="s">
        <v>5269</v>
      </c>
      <c r="F4395" s="466" t="s">
        <v>2319</v>
      </c>
      <c r="G4395" s="465"/>
      <c r="H4395" s="465">
        <v>14</v>
      </c>
    </row>
    <row r="4396" spans="1:8" ht="13.8" thickBot="1">
      <c r="A4396" s="465" t="s">
        <v>9794</v>
      </c>
      <c r="B4396" s="465" t="s">
        <v>5335</v>
      </c>
      <c r="C4396" s="466">
        <v>6.75</v>
      </c>
      <c r="D4396" s="465"/>
      <c r="E4396" s="466" t="s">
        <v>5325</v>
      </c>
      <c r="F4396" s="466" t="s">
        <v>1226</v>
      </c>
      <c r="G4396" s="465"/>
      <c r="H4396" s="465">
        <v>1</v>
      </c>
    </row>
    <row r="4397" spans="1:8" ht="13.8" thickBot="1">
      <c r="A4397" s="465" t="s">
        <v>9795</v>
      </c>
      <c r="B4397" s="465" t="s">
        <v>5336</v>
      </c>
      <c r="C4397" s="466">
        <v>6.75</v>
      </c>
      <c r="D4397" s="465"/>
      <c r="E4397" s="466" t="s">
        <v>5325</v>
      </c>
      <c r="F4397" s="466"/>
      <c r="G4397" s="465"/>
      <c r="H4397" s="465">
        <v>2</v>
      </c>
    </row>
    <row r="4398" spans="1:8" ht="13.8" thickBot="1">
      <c r="A4398" s="467" t="s">
        <v>9642</v>
      </c>
      <c r="B4398" s="465" t="s">
        <v>2459</v>
      </c>
      <c r="C4398" s="466">
        <v>6.75</v>
      </c>
      <c r="D4398" s="467" t="s">
        <v>614</v>
      </c>
      <c r="E4398" s="466" t="s">
        <v>2449</v>
      </c>
      <c r="F4398" s="466" t="s">
        <v>1251</v>
      </c>
      <c r="G4398" s="465"/>
      <c r="H4398" s="465">
        <v>20</v>
      </c>
    </row>
    <row r="4399" spans="1:8" ht="13.8" thickBot="1">
      <c r="A4399" s="467" t="s">
        <v>9643</v>
      </c>
      <c r="B4399" s="465" t="s">
        <v>2455</v>
      </c>
      <c r="C4399" s="466">
        <v>6.75</v>
      </c>
      <c r="D4399" s="465"/>
      <c r="E4399" s="466" t="s">
        <v>2449</v>
      </c>
      <c r="F4399" s="466" t="s">
        <v>1224</v>
      </c>
      <c r="G4399" s="465"/>
      <c r="H4399" s="465">
        <v>1</v>
      </c>
    </row>
    <row r="4400" spans="1:8" ht="13.8" thickBot="1">
      <c r="A4400" s="467" t="s">
        <v>9644</v>
      </c>
      <c r="B4400" s="465" t="s">
        <v>1300</v>
      </c>
      <c r="C4400" s="466">
        <v>6.75</v>
      </c>
      <c r="D4400" s="465"/>
      <c r="E4400" s="466" t="s">
        <v>2523</v>
      </c>
      <c r="F4400" s="466" t="s">
        <v>1251</v>
      </c>
      <c r="G4400" s="465">
        <v>1</v>
      </c>
      <c r="H4400" s="465">
        <v>2</v>
      </c>
    </row>
    <row r="4401" spans="1:8" ht="13.8" thickBot="1">
      <c r="A4401" s="467" t="s">
        <v>9645</v>
      </c>
      <c r="B4401" s="465" t="s">
        <v>1300</v>
      </c>
      <c r="C4401" s="466">
        <v>6.75</v>
      </c>
      <c r="D4401" s="465"/>
      <c r="E4401" s="466" t="s">
        <v>2523</v>
      </c>
      <c r="F4401" s="466" t="s">
        <v>1251</v>
      </c>
      <c r="G4401" s="465"/>
      <c r="H4401" s="465">
        <v>3</v>
      </c>
    </row>
    <row r="4402" spans="1:8" ht="13.8" thickBot="1">
      <c r="A4402" s="467" t="s">
        <v>9646</v>
      </c>
      <c r="B4402" s="465" t="s">
        <v>2575</v>
      </c>
      <c r="C4402" s="466">
        <v>6.75</v>
      </c>
      <c r="D4402" s="465"/>
      <c r="E4402" s="466" t="s">
        <v>2523</v>
      </c>
      <c r="F4402" s="466" t="s">
        <v>1251</v>
      </c>
      <c r="G4402" s="465"/>
      <c r="H4402" s="465">
        <v>2</v>
      </c>
    </row>
    <row r="4403" spans="1:8" ht="13.8" thickBot="1">
      <c r="A4403" s="467" t="s">
        <v>9647</v>
      </c>
      <c r="B4403" s="465" t="s">
        <v>2576</v>
      </c>
      <c r="C4403" s="466">
        <v>6.75</v>
      </c>
      <c r="D4403" s="465"/>
      <c r="E4403" s="466" t="s">
        <v>2523</v>
      </c>
      <c r="F4403" s="466" t="s">
        <v>1251</v>
      </c>
      <c r="G4403" s="465"/>
      <c r="H4403" s="465">
        <v>2</v>
      </c>
    </row>
    <row r="4404" spans="1:8" ht="13.8" thickBot="1">
      <c r="A4404" s="467" t="s">
        <v>9648</v>
      </c>
      <c r="B4404" s="465" t="s">
        <v>2531</v>
      </c>
      <c r="C4404" s="466">
        <v>6.75</v>
      </c>
      <c r="D4404" s="465"/>
      <c r="E4404" s="466" t="s">
        <v>2523</v>
      </c>
      <c r="F4404" s="466" t="s">
        <v>1226</v>
      </c>
      <c r="G4404" s="465"/>
      <c r="H4404" s="465">
        <v>3</v>
      </c>
    </row>
    <row r="4405" spans="1:8" ht="13.8" thickBot="1">
      <c r="A4405" s="467" t="s">
        <v>9649</v>
      </c>
      <c r="B4405" s="465" t="s">
        <v>2577</v>
      </c>
      <c r="C4405" s="466">
        <v>6.75</v>
      </c>
      <c r="D4405" s="465"/>
      <c r="E4405" s="466" t="s">
        <v>2523</v>
      </c>
      <c r="F4405" s="466" t="s">
        <v>1226</v>
      </c>
      <c r="G4405" s="465"/>
      <c r="H4405" s="465">
        <v>4</v>
      </c>
    </row>
    <row r="4406" spans="1:8" ht="13.8" thickBot="1">
      <c r="A4406" s="467" t="s">
        <v>9650</v>
      </c>
      <c r="B4406" s="465" t="s">
        <v>2578</v>
      </c>
      <c r="C4406" s="466">
        <v>6.75</v>
      </c>
      <c r="D4406" s="465"/>
      <c r="E4406" s="466" t="s">
        <v>2523</v>
      </c>
      <c r="F4406" s="466" t="s">
        <v>1226</v>
      </c>
      <c r="G4406" s="465"/>
      <c r="H4406" s="465">
        <v>4</v>
      </c>
    </row>
    <row r="4407" spans="1:8" ht="13.8" thickBot="1">
      <c r="A4407" s="467" t="s">
        <v>9651</v>
      </c>
      <c r="B4407" s="465" t="s">
        <v>2579</v>
      </c>
      <c r="C4407" s="466">
        <v>6.75</v>
      </c>
      <c r="D4407" s="467" t="s">
        <v>614</v>
      </c>
      <c r="E4407" s="466" t="s">
        <v>2523</v>
      </c>
      <c r="F4407" s="466" t="s">
        <v>1226</v>
      </c>
      <c r="G4407" s="465"/>
      <c r="H4407" s="465">
        <v>3</v>
      </c>
    </row>
    <row r="4408" spans="1:8" ht="13.8" thickBot="1">
      <c r="A4408" s="465" t="s">
        <v>9652</v>
      </c>
      <c r="B4408" s="465" t="s">
        <v>1327</v>
      </c>
      <c r="C4408" s="466">
        <v>6.75</v>
      </c>
      <c r="D4408" s="465"/>
      <c r="E4408" s="466" t="s">
        <v>2523</v>
      </c>
      <c r="F4408" s="466" t="s">
        <v>1220</v>
      </c>
      <c r="G4408" s="465"/>
      <c r="H4408" s="465">
        <v>1</v>
      </c>
    </row>
    <row r="4409" spans="1:8" ht="13.8" thickBot="1">
      <c r="A4409" s="465" t="s">
        <v>9653</v>
      </c>
      <c r="B4409" s="465" t="s">
        <v>2580</v>
      </c>
      <c r="C4409" s="466">
        <v>6.75</v>
      </c>
      <c r="D4409" s="465"/>
      <c r="E4409" s="466" t="s">
        <v>2523</v>
      </c>
      <c r="F4409" s="466"/>
      <c r="G4409" s="465"/>
      <c r="H4409" s="465">
        <v>1</v>
      </c>
    </row>
    <row r="4410" spans="1:8" ht="13.8" thickBot="1">
      <c r="A4410" s="467" t="s">
        <v>9654</v>
      </c>
      <c r="B4410" s="465" t="s">
        <v>1302</v>
      </c>
      <c r="C4410" s="466">
        <v>6.75</v>
      </c>
      <c r="D4410" s="465"/>
      <c r="E4410" s="466" t="s">
        <v>2523</v>
      </c>
      <c r="F4410" s="466"/>
      <c r="G4410" s="465"/>
      <c r="H4410" s="465">
        <v>1</v>
      </c>
    </row>
    <row r="4411" spans="1:8" ht="13.8" thickBot="1">
      <c r="A4411" s="467" t="s">
        <v>9655</v>
      </c>
      <c r="B4411" s="465" t="s">
        <v>2721</v>
      </c>
      <c r="C4411" s="466">
        <v>6.75</v>
      </c>
      <c r="D4411" s="467" t="s">
        <v>614</v>
      </c>
      <c r="E4411" s="466" t="s">
        <v>2717</v>
      </c>
      <c r="F4411" s="466" t="s">
        <v>1226</v>
      </c>
      <c r="G4411" s="465">
        <v>3</v>
      </c>
      <c r="H4411" s="465">
        <v>8</v>
      </c>
    </row>
    <row r="4412" spans="1:8" ht="13.8" thickBot="1">
      <c r="A4412" s="465" t="s">
        <v>9656</v>
      </c>
      <c r="B4412" s="465" t="s">
        <v>2734</v>
      </c>
      <c r="C4412" s="466">
        <v>6.75</v>
      </c>
      <c r="D4412" s="467" t="s">
        <v>614</v>
      </c>
      <c r="E4412" s="466" t="s">
        <v>2733</v>
      </c>
      <c r="F4412" s="466" t="s">
        <v>1226</v>
      </c>
      <c r="G4412" s="465">
        <v>1</v>
      </c>
      <c r="H4412" s="465">
        <v>5</v>
      </c>
    </row>
    <row r="4413" spans="1:8" ht="13.8" thickBot="1">
      <c r="A4413" s="465" t="s">
        <v>9606</v>
      </c>
      <c r="B4413" s="465" t="s">
        <v>1934</v>
      </c>
      <c r="C4413" s="466">
        <v>6.75</v>
      </c>
      <c r="D4413" s="467" t="s">
        <v>614</v>
      </c>
      <c r="E4413" s="466" t="s">
        <v>1922</v>
      </c>
      <c r="F4413" s="466" t="s">
        <v>1226</v>
      </c>
      <c r="G4413" s="465">
        <v>1</v>
      </c>
      <c r="H4413" s="465">
        <v>10</v>
      </c>
    </row>
    <row r="4414" spans="1:8" ht="13.8" thickBot="1">
      <c r="A4414" s="467" t="s">
        <v>9607</v>
      </c>
      <c r="B4414" s="465" t="s">
        <v>1935</v>
      </c>
      <c r="C4414" s="466">
        <v>6.75</v>
      </c>
      <c r="D4414" s="465"/>
      <c r="E4414" s="466" t="s">
        <v>1922</v>
      </c>
      <c r="F4414" s="466" t="s">
        <v>1936</v>
      </c>
      <c r="G4414" s="465"/>
      <c r="H4414" s="465">
        <v>2</v>
      </c>
    </row>
    <row r="4415" spans="1:8" ht="13.8" thickBot="1">
      <c r="A4415" s="465" t="s">
        <v>9608</v>
      </c>
      <c r="B4415" s="465" t="s">
        <v>1252</v>
      </c>
      <c r="C4415" s="466">
        <v>6.75</v>
      </c>
      <c r="D4415" s="465"/>
      <c r="E4415" s="466" t="s">
        <v>1922</v>
      </c>
      <c r="F4415" s="466"/>
      <c r="G4415" s="465"/>
      <c r="H4415" s="465"/>
    </row>
    <row r="4416" spans="1:8" ht="13.8" thickBot="1">
      <c r="A4416" s="467" t="s">
        <v>9609</v>
      </c>
      <c r="B4416" s="465" t="s">
        <v>1259</v>
      </c>
      <c r="C4416" s="466">
        <v>6.75</v>
      </c>
      <c r="D4416" s="465"/>
      <c r="E4416" s="466" t="s">
        <v>1922</v>
      </c>
      <c r="F4416" s="466"/>
      <c r="G4416" s="465"/>
      <c r="H4416" s="465">
        <v>1</v>
      </c>
    </row>
    <row r="4417" spans="1:8" ht="13.8" thickBot="1">
      <c r="A4417" s="465" t="s">
        <v>9657</v>
      </c>
      <c r="B4417" s="465" t="s">
        <v>2782</v>
      </c>
      <c r="C4417" s="466">
        <v>6.75</v>
      </c>
      <c r="D4417" s="467" t="s">
        <v>614</v>
      </c>
      <c r="E4417" s="466" t="s">
        <v>2779</v>
      </c>
      <c r="F4417" s="466" t="s">
        <v>2584</v>
      </c>
      <c r="G4417" s="465">
        <v>2</v>
      </c>
      <c r="H4417" s="465">
        <v>18</v>
      </c>
    </row>
    <row r="4418" spans="1:8" ht="13.8" thickBot="1">
      <c r="A4418" s="467" t="s">
        <v>9658</v>
      </c>
      <c r="B4418" s="465" t="s">
        <v>1375</v>
      </c>
      <c r="C4418" s="466">
        <v>6.75</v>
      </c>
      <c r="D4418" s="465"/>
      <c r="E4418" s="466" t="s">
        <v>2779</v>
      </c>
      <c r="F4418" s="466" t="s">
        <v>1226</v>
      </c>
      <c r="G4418" s="465"/>
      <c r="H4418" s="465">
        <v>7</v>
      </c>
    </row>
    <row r="4419" spans="1:8" ht="13.8" thickBot="1">
      <c r="A4419" s="465" t="s">
        <v>9659</v>
      </c>
      <c r="B4419" s="465" t="s">
        <v>1375</v>
      </c>
      <c r="C4419" s="466">
        <v>6.75</v>
      </c>
      <c r="D4419" s="467" t="s">
        <v>614</v>
      </c>
      <c r="E4419" s="466" t="s">
        <v>2779</v>
      </c>
      <c r="F4419" s="466"/>
      <c r="G4419" s="465"/>
      <c r="H4419" s="465">
        <v>1</v>
      </c>
    </row>
    <row r="4420" spans="1:8" ht="13.8" thickBot="1">
      <c r="A4420" s="465" t="s">
        <v>9660</v>
      </c>
      <c r="B4420" s="465" t="s">
        <v>2805</v>
      </c>
      <c r="C4420" s="466">
        <v>6.75</v>
      </c>
      <c r="D4420" s="465"/>
      <c r="E4420" s="466" t="s">
        <v>2797</v>
      </c>
      <c r="F4420" s="466" t="s">
        <v>1251</v>
      </c>
      <c r="G4420" s="465"/>
      <c r="H4420" s="465">
        <v>7</v>
      </c>
    </row>
    <row r="4421" spans="1:8" ht="13.8" thickBot="1">
      <c r="A4421" s="465" t="s">
        <v>9661</v>
      </c>
      <c r="B4421" s="465" t="s">
        <v>2806</v>
      </c>
      <c r="C4421" s="466">
        <v>6.75</v>
      </c>
      <c r="D4421" s="465"/>
      <c r="E4421" s="466" t="s">
        <v>2797</v>
      </c>
      <c r="F4421" s="466" t="s">
        <v>1226</v>
      </c>
      <c r="G4421" s="465"/>
      <c r="H4421" s="465">
        <v>4</v>
      </c>
    </row>
    <row r="4422" spans="1:8" ht="13.8" thickBot="1">
      <c r="A4422" s="465" t="s">
        <v>9662</v>
      </c>
      <c r="B4422" s="465" t="s">
        <v>2807</v>
      </c>
      <c r="C4422" s="466">
        <v>6.75</v>
      </c>
      <c r="D4422" s="465"/>
      <c r="E4422" s="466" t="s">
        <v>2797</v>
      </c>
      <c r="F4422" s="466"/>
      <c r="G4422" s="465"/>
      <c r="H4422" s="465">
        <v>1</v>
      </c>
    </row>
    <row r="4423" spans="1:8" ht="13.8" thickBot="1">
      <c r="A4423" s="465" t="s">
        <v>9663</v>
      </c>
      <c r="B4423" s="465" t="s">
        <v>2856</v>
      </c>
      <c r="C4423" s="466">
        <v>6.75</v>
      </c>
      <c r="D4423" s="465"/>
      <c r="E4423" s="466" t="s">
        <v>2841</v>
      </c>
      <c r="F4423" s="466" t="s">
        <v>1251</v>
      </c>
      <c r="G4423" s="465"/>
      <c r="H4423" s="465">
        <v>5</v>
      </c>
    </row>
    <row r="4424" spans="1:8" ht="13.8" thickBot="1">
      <c r="A4424" s="467" t="s">
        <v>9664</v>
      </c>
      <c r="B4424" s="465" t="s">
        <v>1340</v>
      </c>
      <c r="C4424" s="466">
        <v>6.75</v>
      </c>
      <c r="D4424" s="465"/>
      <c r="E4424" s="466" t="s">
        <v>2841</v>
      </c>
      <c r="F4424" s="466" t="s">
        <v>1226</v>
      </c>
      <c r="G4424" s="465"/>
      <c r="H4424" s="465">
        <v>1</v>
      </c>
    </row>
    <row r="4425" spans="1:8" ht="13.8" thickBot="1">
      <c r="A4425" s="465" t="s">
        <v>9665</v>
      </c>
      <c r="B4425" s="465" t="s">
        <v>1356</v>
      </c>
      <c r="C4425" s="466">
        <v>6.75</v>
      </c>
      <c r="D4425" s="465"/>
      <c r="E4425" s="466" t="s">
        <v>2899</v>
      </c>
      <c r="F4425" s="466" t="s">
        <v>1251</v>
      </c>
      <c r="G4425" s="465">
        <v>2</v>
      </c>
      <c r="H4425" s="465">
        <v>2</v>
      </c>
    </row>
    <row r="4426" spans="1:8" ht="13.8" thickBot="1">
      <c r="A4426" s="467" t="s">
        <v>9666</v>
      </c>
      <c r="B4426" s="465" t="s">
        <v>1356</v>
      </c>
      <c r="C4426" s="466">
        <v>6.75</v>
      </c>
      <c r="D4426" s="465"/>
      <c r="E4426" s="466" t="s">
        <v>2899</v>
      </c>
      <c r="F4426" s="466"/>
      <c r="G4426" s="465"/>
      <c r="H4426" s="465">
        <v>1</v>
      </c>
    </row>
    <row r="4427" spans="1:8" ht="13.8" thickBot="1">
      <c r="A4427" s="467" t="s">
        <v>9610</v>
      </c>
      <c r="B4427" s="465" t="s">
        <v>2002</v>
      </c>
      <c r="C4427" s="466">
        <v>6.75</v>
      </c>
      <c r="D4427" s="467" t="s">
        <v>2003</v>
      </c>
      <c r="E4427" s="466" t="s">
        <v>1997</v>
      </c>
      <c r="F4427" s="466" t="s">
        <v>1251</v>
      </c>
      <c r="G4427" s="465"/>
      <c r="H4427" s="465">
        <v>5</v>
      </c>
    </row>
    <row r="4428" spans="1:8" ht="13.8" thickBot="1">
      <c r="A4428" s="465" t="s">
        <v>9611</v>
      </c>
      <c r="B4428" s="465" t="s">
        <v>1752</v>
      </c>
      <c r="C4428" s="466">
        <v>6.75</v>
      </c>
      <c r="D4428" s="465"/>
      <c r="E4428" s="466" t="s">
        <v>1997</v>
      </c>
      <c r="F4428" s="466"/>
      <c r="G4428" s="465"/>
      <c r="H4428" s="465">
        <v>1</v>
      </c>
    </row>
    <row r="4429" spans="1:8" ht="13.8" thickBot="1">
      <c r="A4429" s="465" t="s">
        <v>9667</v>
      </c>
      <c r="B4429" s="465" t="s">
        <v>2928</v>
      </c>
      <c r="C4429" s="466">
        <v>6.75</v>
      </c>
      <c r="D4429" s="465"/>
      <c r="E4429" s="466" t="s">
        <v>2922</v>
      </c>
      <c r="F4429" s="466"/>
      <c r="G4429" s="465">
        <v>2</v>
      </c>
      <c r="H4429" s="465">
        <v>3</v>
      </c>
    </row>
    <row r="4430" spans="1:8" ht="13.8" thickBot="1">
      <c r="A4430" s="465" t="s">
        <v>9668</v>
      </c>
      <c r="B4430" s="465" t="s">
        <v>2923</v>
      </c>
      <c r="C4430" s="466">
        <v>6.75</v>
      </c>
      <c r="D4430" s="465"/>
      <c r="E4430" s="466" t="s">
        <v>2922</v>
      </c>
      <c r="F4430" s="466"/>
      <c r="G4430" s="465"/>
      <c r="H4430" s="465">
        <v>2</v>
      </c>
    </row>
    <row r="4431" spans="1:8" ht="13.8" thickBot="1">
      <c r="A4431" s="465" t="s">
        <v>9669</v>
      </c>
      <c r="B4431" s="465" t="s">
        <v>1365</v>
      </c>
      <c r="C4431" s="466">
        <v>6.75</v>
      </c>
      <c r="D4431" s="465"/>
      <c r="E4431" s="466" t="s">
        <v>2943</v>
      </c>
      <c r="F4431" s="466"/>
      <c r="G4431" s="465"/>
      <c r="H4431" s="465"/>
    </row>
    <row r="4432" spans="1:8" ht="13.8" thickBot="1">
      <c r="A4432" s="467" t="s">
        <v>9670</v>
      </c>
      <c r="B4432" s="465" t="s">
        <v>2972</v>
      </c>
      <c r="C4432" s="466">
        <v>6.75</v>
      </c>
      <c r="D4432" s="467" t="s">
        <v>614</v>
      </c>
      <c r="E4432" s="466" t="s">
        <v>2957</v>
      </c>
      <c r="F4432" s="466" t="s">
        <v>1229</v>
      </c>
      <c r="G4432" s="465">
        <v>1</v>
      </c>
      <c r="H4432" s="465">
        <v>10</v>
      </c>
    </row>
    <row r="4433" spans="1:8" ht="13.8" thickBot="1">
      <c r="A4433" s="467" t="s">
        <v>9671</v>
      </c>
      <c r="B4433" s="465" t="s">
        <v>1552</v>
      </c>
      <c r="C4433" s="466">
        <v>6.75</v>
      </c>
      <c r="D4433" s="465"/>
      <c r="E4433" s="466" t="s">
        <v>2957</v>
      </c>
      <c r="F4433" s="466" t="s">
        <v>1251</v>
      </c>
      <c r="G4433" s="465"/>
      <c r="H4433" s="465">
        <v>1</v>
      </c>
    </row>
    <row r="4434" spans="1:8" ht="13.8" thickBot="1">
      <c r="A4434" s="467" t="s">
        <v>9672</v>
      </c>
      <c r="B4434" s="465" t="s">
        <v>1552</v>
      </c>
      <c r="C4434" s="466">
        <v>6.75</v>
      </c>
      <c r="D4434" s="465" t="s">
        <v>2973</v>
      </c>
      <c r="E4434" s="466" t="s">
        <v>2957</v>
      </c>
      <c r="F4434" s="466" t="s">
        <v>1251</v>
      </c>
      <c r="G4434" s="465"/>
      <c r="H4434" s="465">
        <v>4</v>
      </c>
    </row>
    <row r="4435" spans="1:8" ht="13.8" thickBot="1">
      <c r="A4435" s="467" t="s">
        <v>9673</v>
      </c>
      <c r="B4435" s="465" t="s">
        <v>2974</v>
      </c>
      <c r="C4435" s="466">
        <v>6.75</v>
      </c>
      <c r="D4435" s="465"/>
      <c r="E4435" s="466" t="s">
        <v>2957</v>
      </c>
      <c r="F4435" s="466"/>
      <c r="G4435" s="465"/>
      <c r="H4435" s="465">
        <v>1</v>
      </c>
    </row>
    <row r="4436" spans="1:8" ht="13.8" thickBot="1">
      <c r="A4436" s="467" t="s">
        <v>9674</v>
      </c>
      <c r="B4436" s="465" t="s">
        <v>3093</v>
      </c>
      <c r="C4436" s="466">
        <v>6.75</v>
      </c>
      <c r="D4436" s="465"/>
      <c r="E4436" s="466" t="s">
        <v>3085</v>
      </c>
      <c r="F4436" s="466"/>
      <c r="G4436" s="465"/>
      <c r="H4436" s="465"/>
    </row>
    <row r="4437" spans="1:8" ht="13.8" thickBot="1">
      <c r="A4437" s="467" t="s">
        <v>9675</v>
      </c>
      <c r="B4437" s="465" t="s">
        <v>3115</v>
      </c>
      <c r="C4437" s="466">
        <v>6.75</v>
      </c>
      <c r="D4437" s="467" t="s">
        <v>614</v>
      </c>
      <c r="E4437" s="466" t="s">
        <v>3116</v>
      </c>
      <c r="F4437" s="466" t="s">
        <v>1226</v>
      </c>
      <c r="G4437" s="465"/>
      <c r="H4437" s="465">
        <v>1</v>
      </c>
    </row>
    <row r="4438" spans="1:8" ht="13.8" thickBot="1">
      <c r="A4438" s="467" t="s">
        <v>9676</v>
      </c>
      <c r="B4438" s="465" t="s">
        <v>3136</v>
      </c>
      <c r="C4438" s="466">
        <v>6.75</v>
      </c>
      <c r="D4438" s="467" t="s">
        <v>614</v>
      </c>
      <c r="E4438" s="466" t="s">
        <v>3130</v>
      </c>
      <c r="F4438" s="466" t="s">
        <v>1224</v>
      </c>
      <c r="G4438" s="465"/>
      <c r="H4438" s="465">
        <v>4</v>
      </c>
    </row>
    <row r="4439" spans="1:8" ht="13.8" thickBot="1">
      <c r="A4439" s="465" t="s">
        <v>9677</v>
      </c>
      <c r="B4439" s="465" t="s">
        <v>3197</v>
      </c>
      <c r="C4439" s="466">
        <v>6.75</v>
      </c>
      <c r="D4439" s="467" t="s">
        <v>614</v>
      </c>
      <c r="E4439" s="466" t="s">
        <v>3161</v>
      </c>
      <c r="F4439" s="466" t="s">
        <v>1251</v>
      </c>
      <c r="G4439" s="465"/>
      <c r="H4439" s="465">
        <v>1</v>
      </c>
    </row>
    <row r="4440" spans="1:8" ht="13.8" thickBot="1">
      <c r="A4440" s="467" t="s">
        <v>9678</v>
      </c>
      <c r="B4440" s="465" t="s">
        <v>1390</v>
      </c>
      <c r="C4440" s="466">
        <v>6.75</v>
      </c>
      <c r="D4440" s="465"/>
      <c r="E4440" s="466" t="s">
        <v>3161</v>
      </c>
      <c r="F4440" s="466" t="s">
        <v>1226</v>
      </c>
      <c r="G4440" s="465"/>
      <c r="H4440" s="465">
        <v>2</v>
      </c>
    </row>
    <row r="4441" spans="1:8" ht="13.8" thickBot="1">
      <c r="A4441" s="467" t="s">
        <v>9679</v>
      </c>
      <c r="B4441" s="465" t="s">
        <v>3198</v>
      </c>
      <c r="C4441" s="466">
        <v>6.75</v>
      </c>
      <c r="D4441" s="467" t="s">
        <v>614</v>
      </c>
      <c r="E4441" s="466" t="s">
        <v>3161</v>
      </c>
      <c r="F4441" s="466" t="s">
        <v>1226</v>
      </c>
      <c r="G4441" s="465">
        <v>2</v>
      </c>
      <c r="H4441" s="465">
        <v>4</v>
      </c>
    </row>
    <row r="4442" spans="1:8" ht="13.8" thickBot="1">
      <c r="A4442" s="465" t="s">
        <v>9680</v>
      </c>
      <c r="B4442" s="468" t="s">
        <v>3199</v>
      </c>
      <c r="C4442" s="466">
        <v>6.75</v>
      </c>
      <c r="D4442" s="467" t="s">
        <v>614</v>
      </c>
      <c r="E4442" s="466" t="s">
        <v>3161</v>
      </c>
      <c r="F4442" s="466" t="s">
        <v>1226</v>
      </c>
      <c r="G4442" s="465"/>
      <c r="H4442" s="465">
        <v>2</v>
      </c>
    </row>
    <row r="4443" spans="1:8" ht="13.8" thickBot="1">
      <c r="A4443" s="465" t="s">
        <v>9681</v>
      </c>
      <c r="B4443" s="465" t="s">
        <v>1390</v>
      </c>
      <c r="C4443" s="466">
        <v>6.75</v>
      </c>
      <c r="D4443" s="465"/>
      <c r="E4443" s="466" t="s">
        <v>3161</v>
      </c>
      <c r="F4443" s="466"/>
      <c r="G4443" s="465"/>
      <c r="H4443" s="465"/>
    </row>
    <row r="4444" spans="1:8" ht="13.8" thickBot="1">
      <c r="A4444" s="467" t="s">
        <v>9682</v>
      </c>
      <c r="B4444" s="465" t="s">
        <v>1390</v>
      </c>
      <c r="C4444" s="466">
        <v>6.75</v>
      </c>
      <c r="D4444" s="465"/>
      <c r="E4444" s="466" t="s">
        <v>3161</v>
      </c>
      <c r="F4444" s="466"/>
      <c r="G4444" s="465"/>
      <c r="H4444" s="465"/>
    </row>
    <row r="4445" spans="1:8" ht="13.8" thickBot="1">
      <c r="A4445" s="467" t="s">
        <v>9683</v>
      </c>
      <c r="B4445" s="465" t="s">
        <v>1390</v>
      </c>
      <c r="C4445" s="466">
        <v>6.75</v>
      </c>
      <c r="D4445" s="465"/>
      <c r="E4445" s="466" t="s">
        <v>3161</v>
      </c>
      <c r="F4445" s="466"/>
      <c r="G4445" s="465"/>
      <c r="H4445" s="465"/>
    </row>
    <row r="4446" spans="1:8" ht="13.8" thickBot="1">
      <c r="A4446" s="465" t="s">
        <v>9684</v>
      </c>
      <c r="B4446" s="465" t="s">
        <v>1390</v>
      </c>
      <c r="C4446" s="466">
        <v>6.75</v>
      </c>
      <c r="D4446" s="465"/>
      <c r="E4446" s="466" t="s">
        <v>3161</v>
      </c>
      <c r="F4446" s="466"/>
      <c r="G4446" s="465"/>
      <c r="H4446" s="465"/>
    </row>
    <row r="4447" spans="1:8" ht="13.8" thickBot="1">
      <c r="A4447" s="465" t="s">
        <v>9685</v>
      </c>
      <c r="B4447" s="465" t="s">
        <v>1390</v>
      </c>
      <c r="C4447" s="466">
        <v>6.75</v>
      </c>
      <c r="D4447" s="465"/>
      <c r="E4447" s="466" t="s">
        <v>3161</v>
      </c>
      <c r="F4447" s="466"/>
      <c r="G4447" s="465"/>
      <c r="H4447" s="465"/>
    </row>
    <row r="4448" spans="1:8" ht="13.8" thickBot="1">
      <c r="A4448" s="465" t="s">
        <v>9686</v>
      </c>
      <c r="B4448" s="465" t="s">
        <v>1390</v>
      </c>
      <c r="C4448" s="466">
        <v>6.75</v>
      </c>
      <c r="D4448" s="465"/>
      <c r="E4448" s="466" t="s">
        <v>3161</v>
      </c>
      <c r="F4448" s="466"/>
      <c r="G4448" s="465"/>
      <c r="H4448" s="465"/>
    </row>
    <row r="4449" spans="1:8" ht="13.8" thickBot="1">
      <c r="A4449" s="465" t="s">
        <v>9687</v>
      </c>
      <c r="B4449" s="465" t="s">
        <v>1399</v>
      </c>
      <c r="C4449" s="466">
        <v>6.75</v>
      </c>
      <c r="D4449" s="465"/>
      <c r="E4449" s="466" t="s">
        <v>3161</v>
      </c>
      <c r="F4449" s="466"/>
      <c r="G4449" s="465"/>
      <c r="H4449" s="465"/>
    </row>
    <row r="4450" spans="1:8" ht="13.8" thickBot="1">
      <c r="A4450" s="465" t="s">
        <v>9688</v>
      </c>
      <c r="B4450" s="465" t="s">
        <v>1399</v>
      </c>
      <c r="C4450" s="466">
        <v>6.75</v>
      </c>
      <c r="D4450" s="465"/>
      <c r="E4450" s="466" t="s">
        <v>3161</v>
      </c>
      <c r="F4450" s="466"/>
      <c r="G4450" s="465"/>
      <c r="H4450" s="465"/>
    </row>
    <row r="4451" spans="1:8" ht="13.8" thickBot="1">
      <c r="A4451" s="465" t="s">
        <v>9689</v>
      </c>
      <c r="B4451" s="465" t="s">
        <v>3200</v>
      </c>
      <c r="C4451" s="466">
        <v>6.75</v>
      </c>
      <c r="D4451" s="465"/>
      <c r="E4451" s="466" t="s">
        <v>3161</v>
      </c>
      <c r="F4451" s="466"/>
      <c r="G4451" s="465"/>
      <c r="H4451" s="465"/>
    </row>
    <row r="4452" spans="1:8" ht="13.8" thickBot="1">
      <c r="A4452" s="465" t="s">
        <v>9690</v>
      </c>
      <c r="B4452" s="465" t="s">
        <v>3200</v>
      </c>
      <c r="C4452" s="466">
        <v>6.75</v>
      </c>
      <c r="D4452" s="465"/>
      <c r="E4452" s="466" t="s">
        <v>3161</v>
      </c>
      <c r="F4452" s="466"/>
      <c r="G4452" s="465"/>
      <c r="H4452" s="465"/>
    </row>
    <row r="4453" spans="1:8" ht="13.8" thickBot="1">
      <c r="A4453" s="467" t="s">
        <v>9691</v>
      </c>
      <c r="B4453" s="465" t="s">
        <v>3201</v>
      </c>
      <c r="C4453" s="466">
        <v>6.75</v>
      </c>
      <c r="D4453" s="465"/>
      <c r="E4453" s="466" t="s">
        <v>3161</v>
      </c>
      <c r="F4453" s="466"/>
      <c r="G4453" s="465"/>
      <c r="H4453" s="465"/>
    </row>
    <row r="4454" spans="1:8" ht="13.8" thickBot="1">
      <c r="A4454" s="465" t="s">
        <v>9692</v>
      </c>
      <c r="B4454" s="465" t="s">
        <v>3172</v>
      </c>
      <c r="C4454" s="466">
        <v>6.75</v>
      </c>
      <c r="D4454" s="467" t="s">
        <v>3202</v>
      </c>
      <c r="E4454" s="466" t="s">
        <v>3161</v>
      </c>
      <c r="F4454" s="466"/>
      <c r="G4454" s="465"/>
      <c r="H4454" s="465"/>
    </row>
    <row r="4455" spans="1:8" ht="13.8" thickBot="1">
      <c r="A4455" s="465" t="s">
        <v>9693</v>
      </c>
      <c r="B4455" s="465" t="s">
        <v>3181</v>
      </c>
      <c r="C4455" s="466">
        <v>6.75</v>
      </c>
      <c r="D4455" s="465"/>
      <c r="E4455" s="466" t="s">
        <v>3161</v>
      </c>
      <c r="F4455" s="466"/>
      <c r="G4455" s="465">
        <v>1</v>
      </c>
      <c r="H4455" s="465">
        <v>1</v>
      </c>
    </row>
    <row r="4456" spans="1:8" ht="13.8" thickBot="1">
      <c r="A4456" s="467" t="s">
        <v>9694</v>
      </c>
      <c r="B4456" s="465" t="s">
        <v>1419</v>
      </c>
      <c r="C4456" s="466">
        <v>6.75</v>
      </c>
      <c r="D4456" s="465"/>
      <c r="E4456" s="466" t="s">
        <v>3285</v>
      </c>
      <c r="F4456" s="466"/>
      <c r="G4456" s="465"/>
      <c r="H4456" s="465"/>
    </row>
    <row r="4457" spans="1:8" ht="13.8" thickBot="1">
      <c r="A4457" s="465" t="s">
        <v>9695</v>
      </c>
      <c r="B4457" s="465" t="s">
        <v>3298</v>
      </c>
      <c r="C4457" s="466">
        <v>6.75</v>
      </c>
      <c r="D4457" s="465"/>
      <c r="E4457" s="466" t="s">
        <v>3285</v>
      </c>
      <c r="F4457" s="466"/>
      <c r="G4457" s="465"/>
      <c r="H4457" s="465"/>
    </row>
    <row r="4458" spans="1:8" ht="13.8" thickBot="1">
      <c r="A4458" s="467" t="s">
        <v>9696</v>
      </c>
      <c r="B4458" s="465" t="s">
        <v>1433</v>
      </c>
      <c r="C4458" s="466">
        <v>6.75</v>
      </c>
      <c r="D4458" s="465"/>
      <c r="E4458" s="466" t="s">
        <v>3315</v>
      </c>
      <c r="F4458" s="466"/>
      <c r="G4458" s="465"/>
      <c r="H4458" s="465"/>
    </row>
    <row r="4459" spans="1:8" ht="13.8" thickBot="1">
      <c r="A4459" s="465" t="s">
        <v>9697</v>
      </c>
      <c r="B4459" s="465" t="s">
        <v>3321</v>
      </c>
      <c r="C4459" s="466">
        <v>6.75</v>
      </c>
      <c r="D4459" s="465"/>
      <c r="E4459" s="466" t="s">
        <v>3315</v>
      </c>
      <c r="F4459" s="466"/>
      <c r="G4459" s="465"/>
      <c r="H4459" s="465"/>
    </row>
    <row r="4460" spans="1:8" ht="13.8" thickBot="1">
      <c r="A4460" s="465" t="s">
        <v>9612</v>
      </c>
      <c r="B4460" s="465" t="s">
        <v>2037</v>
      </c>
      <c r="C4460" s="466">
        <v>6.75</v>
      </c>
      <c r="D4460" s="465"/>
      <c r="E4460" s="466" t="s">
        <v>2032</v>
      </c>
      <c r="F4460" s="466" t="s">
        <v>1226</v>
      </c>
      <c r="G4460" s="465"/>
      <c r="H4460" s="465">
        <v>2</v>
      </c>
    </row>
    <row r="4461" spans="1:8" ht="13.8" thickBot="1">
      <c r="A4461" s="465" t="s">
        <v>9698</v>
      </c>
      <c r="B4461" s="465" t="s">
        <v>1440</v>
      </c>
      <c r="C4461" s="466">
        <v>6.75</v>
      </c>
      <c r="D4461" s="465"/>
      <c r="E4461" s="466" t="s">
        <v>3351</v>
      </c>
      <c r="F4461" s="466"/>
      <c r="G4461" s="465"/>
      <c r="H4461" s="465">
        <v>1</v>
      </c>
    </row>
    <row r="4462" spans="1:8" ht="13.8" thickBot="1">
      <c r="A4462" s="465" t="s">
        <v>9699</v>
      </c>
      <c r="B4462" s="465" t="s">
        <v>3377</v>
      </c>
      <c r="C4462" s="466">
        <v>6.75</v>
      </c>
      <c r="D4462" s="465"/>
      <c r="E4462" s="466" t="s">
        <v>3351</v>
      </c>
      <c r="F4462" s="466"/>
      <c r="G4462" s="465">
        <v>1</v>
      </c>
      <c r="H4462" s="465">
        <v>1</v>
      </c>
    </row>
    <row r="4463" spans="1:8" ht="13.8" thickBot="1">
      <c r="A4463" s="465" t="s">
        <v>9700</v>
      </c>
      <c r="B4463" s="465" t="s">
        <v>3378</v>
      </c>
      <c r="C4463" s="466">
        <v>6.75</v>
      </c>
      <c r="D4463" s="465"/>
      <c r="E4463" s="466" t="s">
        <v>3351</v>
      </c>
      <c r="F4463" s="466"/>
      <c r="G4463" s="465"/>
      <c r="H4463" s="465"/>
    </row>
    <row r="4464" spans="1:8" ht="13.8" thickBot="1">
      <c r="A4464" s="465" t="s">
        <v>9701</v>
      </c>
      <c r="B4464" s="465" t="s">
        <v>3379</v>
      </c>
      <c r="C4464" s="466">
        <v>6.75</v>
      </c>
      <c r="D4464" s="465"/>
      <c r="E4464" s="466" t="s">
        <v>3351</v>
      </c>
      <c r="F4464" s="466"/>
      <c r="G4464" s="465"/>
      <c r="H4464" s="465"/>
    </row>
    <row r="4465" spans="1:8" ht="13.8" thickBot="1">
      <c r="A4465" s="467" t="s">
        <v>9702</v>
      </c>
      <c r="B4465" s="465" t="s">
        <v>3402</v>
      </c>
      <c r="C4465" s="466">
        <v>6.75</v>
      </c>
      <c r="D4465" s="465"/>
      <c r="E4465" s="466" t="s">
        <v>3400</v>
      </c>
      <c r="F4465" s="466"/>
      <c r="G4465" s="465"/>
      <c r="H4465" s="465"/>
    </row>
    <row r="4466" spans="1:8" ht="13.8" thickBot="1">
      <c r="A4466" s="467" t="s">
        <v>9703</v>
      </c>
      <c r="B4466" s="465" t="s">
        <v>3403</v>
      </c>
      <c r="C4466" s="466">
        <v>6.75</v>
      </c>
      <c r="D4466" s="465"/>
      <c r="E4466" s="466" t="s">
        <v>3400</v>
      </c>
      <c r="F4466" s="466"/>
      <c r="G4466" s="465"/>
      <c r="H4466" s="465"/>
    </row>
    <row r="4467" spans="1:8" ht="13.8" thickBot="1">
      <c r="A4467" s="465" t="s">
        <v>9704</v>
      </c>
      <c r="B4467" s="465" t="s">
        <v>3404</v>
      </c>
      <c r="C4467" s="466">
        <v>6.75</v>
      </c>
      <c r="D4467" s="465"/>
      <c r="E4467" s="466" t="s">
        <v>3400</v>
      </c>
      <c r="F4467" s="466"/>
      <c r="G4467" s="465"/>
      <c r="H4467" s="465"/>
    </row>
    <row r="4468" spans="1:8" ht="13.8" thickBot="1">
      <c r="A4468" s="465" t="s">
        <v>9705</v>
      </c>
      <c r="B4468" s="465" t="s">
        <v>3430</v>
      </c>
      <c r="C4468" s="466">
        <v>6.75</v>
      </c>
      <c r="D4468" s="467" t="s">
        <v>614</v>
      </c>
      <c r="E4468" s="466" t="s">
        <v>3414</v>
      </c>
      <c r="F4468" s="466" t="s">
        <v>1229</v>
      </c>
      <c r="G4468" s="465"/>
      <c r="H4468" s="465">
        <v>1</v>
      </c>
    </row>
    <row r="4469" spans="1:8" ht="13.8" thickBot="1">
      <c r="A4469" s="465" t="s">
        <v>9706</v>
      </c>
      <c r="B4469" s="465" t="s">
        <v>3431</v>
      </c>
      <c r="C4469" s="466">
        <v>6.75</v>
      </c>
      <c r="D4469" s="465"/>
      <c r="E4469" s="466" t="s">
        <v>3414</v>
      </c>
      <c r="F4469" s="466"/>
      <c r="G4469" s="465"/>
      <c r="H4469" s="465"/>
    </row>
    <row r="4470" spans="1:8" ht="13.8" thickBot="1">
      <c r="A4470" s="465" t="s">
        <v>9707</v>
      </c>
      <c r="B4470" s="465" t="s">
        <v>3500</v>
      </c>
      <c r="C4470" s="466">
        <v>6.75</v>
      </c>
      <c r="D4470" s="465"/>
      <c r="E4470" s="466" t="s">
        <v>3496</v>
      </c>
      <c r="F4470" s="466"/>
      <c r="G4470" s="465"/>
      <c r="H4470" s="465"/>
    </row>
    <row r="4471" spans="1:8" ht="13.8" thickBot="1">
      <c r="A4471" s="465" t="s">
        <v>9708</v>
      </c>
      <c r="B4471" s="465" t="s">
        <v>3506</v>
      </c>
      <c r="C4471" s="466">
        <v>6.75</v>
      </c>
      <c r="D4471" s="465"/>
      <c r="E4471" s="466" t="s">
        <v>3496</v>
      </c>
      <c r="F4471" s="466"/>
      <c r="G4471" s="465"/>
      <c r="H4471" s="465"/>
    </row>
    <row r="4472" spans="1:8" ht="13.8" thickBot="1">
      <c r="A4472" s="467" t="s">
        <v>9709</v>
      </c>
      <c r="B4472" s="465" t="s">
        <v>3552</v>
      </c>
      <c r="C4472" s="466">
        <v>6.75</v>
      </c>
      <c r="D4472" s="467" t="s">
        <v>614</v>
      </c>
      <c r="E4472" s="466" t="s">
        <v>3517</v>
      </c>
      <c r="F4472" s="466" t="s">
        <v>1224</v>
      </c>
      <c r="G4472" s="465"/>
      <c r="H4472" s="465">
        <v>2</v>
      </c>
    </row>
    <row r="4473" spans="1:8" ht="13.8" thickBot="1">
      <c r="A4473" s="467" t="s">
        <v>9710</v>
      </c>
      <c r="B4473" s="465" t="s">
        <v>3646</v>
      </c>
      <c r="C4473" s="466">
        <v>6.75</v>
      </c>
      <c r="D4473" s="465"/>
      <c r="E4473" s="466" t="s">
        <v>3641</v>
      </c>
      <c r="F4473" s="466"/>
      <c r="G4473" s="465"/>
      <c r="H4473" s="465"/>
    </row>
    <row r="4474" spans="1:8" ht="13.8" thickBot="1">
      <c r="A4474" s="467" t="s">
        <v>9711</v>
      </c>
      <c r="B4474" s="465" t="s">
        <v>1466</v>
      </c>
      <c r="C4474" s="466">
        <v>6.75</v>
      </c>
      <c r="D4474" s="467" t="s">
        <v>614</v>
      </c>
      <c r="E4474" s="466" t="s">
        <v>3652</v>
      </c>
      <c r="F4474" s="466" t="s">
        <v>1226</v>
      </c>
      <c r="G4474" s="465"/>
      <c r="H4474" s="465">
        <v>3</v>
      </c>
    </row>
    <row r="4475" spans="1:8" ht="13.8" thickBot="1">
      <c r="A4475" s="467" t="s">
        <v>9712</v>
      </c>
      <c r="B4475" s="465" t="s">
        <v>3667</v>
      </c>
      <c r="C4475" s="466">
        <v>6.75</v>
      </c>
      <c r="D4475" s="465"/>
      <c r="E4475" s="466" t="s">
        <v>3652</v>
      </c>
      <c r="F4475" s="466"/>
      <c r="G4475" s="465"/>
      <c r="H4475" s="465"/>
    </row>
    <row r="4476" spans="1:8" ht="13.8" thickBot="1">
      <c r="A4476" s="467" t="s">
        <v>9613</v>
      </c>
      <c r="B4476" s="465" t="s">
        <v>2088</v>
      </c>
      <c r="C4476" s="466">
        <v>6.75</v>
      </c>
      <c r="D4476" s="465" t="s">
        <v>2089</v>
      </c>
      <c r="E4476" s="466" t="s">
        <v>2087</v>
      </c>
      <c r="F4476" s="466" t="s">
        <v>1224</v>
      </c>
      <c r="G4476" s="465"/>
      <c r="H4476" s="465">
        <v>2</v>
      </c>
    </row>
    <row r="4477" spans="1:8" ht="13.8" thickBot="1">
      <c r="A4477" s="467" t="s">
        <v>9614</v>
      </c>
      <c r="B4477" s="465" t="s">
        <v>1246</v>
      </c>
      <c r="C4477" s="466">
        <v>6.75</v>
      </c>
      <c r="D4477" s="465"/>
      <c r="E4477" s="466" t="s">
        <v>2087</v>
      </c>
      <c r="F4477" s="466"/>
      <c r="G4477" s="465"/>
      <c r="H4477" s="465">
        <v>1</v>
      </c>
    </row>
    <row r="4478" spans="1:8" ht="13.8" thickBot="1">
      <c r="A4478" s="467" t="s">
        <v>9615</v>
      </c>
      <c r="B4478" s="465" t="s">
        <v>2090</v>
      </c>
      <c r="C4478" s="466">
        <v>6.75</v>
      </c>
      <c r="D4478" s="465"/>
      <c r="E4478" s="466" t="s">
        <v>2087</v>
      </c>
      <c r="F4478" s="466"/>
      <c r="G4478" s="465"/>
      <c r="H4478" s="465">
        <v>1</v>
      </c>
    </row>
    <row r="4479" spans="1:8" ht="13.8" thickBot="1">
      <c r="A4479" s="467" t="s">
        <v>9616</v>
      </c>
      <c r="B4479" s="465" t="s">
        <v>2091</v>
      </c>
      <c r="C4479" s="466">
        <v>6.75</v>
      </c>
      <c r="D4479" s="467" t="s">
        <v>614</v>
      </c>
      <c r="E4479" s="466" t="s">
        <v>2087</v>
      </c>
      <c r="F4479" s="466"/>
      <c r="G4479" s="465"/>
      <c r="H4479" s="465"/>
    </row>
    <row r="4480" spans="1:8" ht="13.8" thickBot="1">
      <c r="A4480" s="467" t="s">
        <v>9713</v>
      </c>
      <c r="B4480" s="465" t="s">
        <v>3752</v>
      </c>
      <c r="C4480" s="466">
        <v>6.75</v>
      </c>
      <c r="D4480" s="467" t="s">
        <v>614</v>
      </c>
      <c r="E4480" s="466" t="s">
        <v>3734</v>
      </c>
      <c r="F4480" s="466" t="s">
        <v>1226</v>
      </c>
      <c r="G4480" s="465">
        <v>1</v>
      </c>
      <c r="H4480" s="465">
        <v>4</v>
      </c>
    </row>
    <row r="4481" spans="1:8" ht="13.8" thickBot="1">
      <c r="A4481" s="467" t="s">
        <v>9714</v>
      </c>
      <c r="B4481" s="465" t="s">
        <v>3753</v>
      </c>
      <c r="C4481" s="466">
        <v>6.75</v>
      </c>
      <c r="D4481" s="465"/>
      <c r="E4481" s="466" t="s">
        <v>3734</v>
      </c>
      <c r="F4481" s="466" t="s">
        <v>1226</v>
      </c>
      <c r="G4481" s="465"/>
      <c r="H4481" s="465">
        <v>1</v>
      </c>
    </row>
    <row r="4482" spans="1:8" ht="13.8" thickBot="1">
      <c r="A4482" s="467" t="s">
        <v>9715</v>
      </c>
      <c r="B4482" s="465" t="s">
        <v>3754</v>
      </c>
      <c r="C4482" s="466">
        <v>6.75</v>
      </c>
      <c r="D4482" s="465"/>
      <c r="E4482" s="466" t="s">
        <v>3734</v>
      </c>
      <c r="F4482" s="466" t="s">
        <v>1226</v>
      </c>
      <c r="G4482" s="465"/>
      <c r="H4482" s="465">
        <v>3</v>
      </c>
    </row>
    <row r="4483" spans="1:8" ht="13.8" thickBot="1">
      <c r="A4483" s="467" t="s">
        <v>9716</v>
      </c>
      <c r="B4483" s="465" t="s">
        <v>1482</v>
      </c>
      <c r="C4483" s="466">
        <v>6.75</v>
      </c>
      <c r="D4483" s="467" t="s">
        <v>614</v>
      </c>
      <c r="E4483" s="466" t="s">
        <v>3734</v>
      </c>
      <c r="F4483" s="466" t="s">
        <v>1226</v>
      </c>
      <c r="G4483" s="465"/>
      <c r="H4483" s="465">
        <v>1</v>
      </c>
    </row>
    <row r="4484" spans="1:8" ht="13.8" thickBot="1">
      <c r="A4484" s="467" t="s">
        <v>9717</v>
      </c>
      <c r="B4484" s="465" t="s">
        <v>1480</v>
      </c>
      <c r="C4484" s="466">
        <v>6.75</v>
      </c>
      <c r="D4484" s="467" t="s">
        <v>614</v>
      </c>
      <c r="E4484" s="466" t="s">
        <v>3734</v>
      </c>
      <c r="F4484" s="466" t="s">
        <v>1224</v>
      </c>
      <c r="G4484" s="465"/>
      <c r="H4484" s="465">
        <v>2</v>
      </c>
    </row>
    <row r="4485" spans="1:8" ht="13.8" thickBot="1">
      <c r="A4485" s="465" t="s">
        <v>9718</v>
      </c>
      <c r="B4485" s="465" t="s">
        <v>3755</v>
      </c>
      <c r="C4485" s="466">
        <v>6.75</v>
      </c>
      <c r="D4485" s="465"/>
      <c r="E4485" s="466" t="s">
        <v>3734</v>
      </c>
      <c r="F4485" s="466"/>
      <c r="G4485" s="465"/>
      <c r="H4485" s="465"/>
    </row>
    <row r="4486" spans="1:8" ht="13.8" thickBot="1">
      <c r="A4486" s="465" t="s">
        <v>9719</v>
      </c>
      <c r="B4486" s="465" t="s">
        <v>3737</v>
      </c>
      <c r="C4486" s="466">
        <v>6.75</v>
      </c>
      <c r="D4486" s="465"/>
      <c r="E4486" s="466" t="s">
        <v>3734</v>
      </c>
      <c r="F4486" s="466"/>
      <c r="G4486" s="465"/>
      <c r="H4486" s="465">
        <v>4</v>
      </c>
    </row>
    <row r="4487" spans="1:8" ht="13.8" thickBot="1">
      <c r="A4487" s="467" t="s">
        <v>9720</v>
      </c>
      <c r="B4487" s="465" t="s">
        <v>3756</v>
      </c>
      <c r="C4487" s="466">
        <v>6.75</v>
      </c>
      <c r="D4487" s="465"/>
      <c r="E4487" s="466" t="s">
        <v>3734</v>
      </c>
      <c r="F4487" s="466"/>
      <c r="G4487" s="465">
        <v>1</v>
      </c>
      <c r="H4487" s="465">
        <v>1</v>
      </c>
    </row>
    <row r="4488" spans="1:8" ht="13.8" thickBot="1">
      <c r="A4488" s="465" t="s">
        <v>9721</v>
      </c>
      <c r="B4488" s="465" t="s">
        <v>3816</v>
      </c>
      <c r="C4488" s="466">
        <v>6.75</v>
      </c>
      <c r="D4488" s="465" t="s">
        <v>3817</v>
      </c>
      <c r="E4488" s="466" t="s">
        <v>3807</v>
      </c>
      <c r="F4488" s="466"/>
      <c r="G4488" s="465"/>
      <c r="H4488" s="465"/>
    </row>
    <row r="4489" spans="1:8" ht="13.8" thickBot="1">
      <c r="A4489" s="467" t="s">
        <v>9722</v>
      </c>
      <c r="B4489" s="465" t="s">
        <v>3909</v>
      </c>
      <c r="C4489" s="466">
        <v>6.75</v>
      </c>
      <c r="D4489" s="465"/>
      <c r="E4489" s="466" t="s">
        <v>3903</v>
      </c>
      <c r="F4489" s="466"/>
      <c r="G4489" s="465"/>
      <c r="H4489" s="465">
        <v>1</v>
      </c>
    </row>
    <row r="4490" spans="1:8" ht="13.8" thickBot="1">
      <c r="A4490" s="467" t="s">
        <v>9723</v>
      </c>
      <c r="B4490" s="465" t="s">
        <v>3933</v>
      </c>
      <c r="C4490" s="466">
        <v>6.75</v>
      </c>
      <c r="D4490" s="465"/>
      <c r="E4490" s="466" t="s">
        <v>3932</v>
      </c>
      <c r="F4490" s="466" t="s">
        <v>1226</v>
      </c>
      <c r="G4490" s="465"/>
      <c r="H4490" s="465">
        <v>3</v>
      </c>
    </row>
    <row r="4491" spans="1:8" ht="13.8" thickBot="1">
      <c r="A4491" s="465" t="s">
        <v>9724</v>
      </c>
      <c r="B4491" s="465" t="s">
        <v>4009</v>
      </c>
      <c r="C4491" s="466">
        <v>6.75</v>
      </c>
      <c r="D4491" s="465"/>
      <c r="E4491" s="466" t="s">
        <v>3996</v>
      </c>
      <c r="F4491" s="466" t="s">
        <v>1251</v>
      </c>
      <c r="G4491" s="465">
        <v>1</v>
      </c>
      <c r="H4491" s="465">
        <v>6</v>
      </c>
    </row>
    <row r="4492" spans="1:8" ht="13.8" thickBot="1">
      <c r="A4492" s="467" t="s">
        <v>9725</v>
      </c>
      <c r="B4492" s="465" t="s">
        <v>4010</v>
      </c>
      <c r="C4492" s="466">
        <v>6.75</v>
      </c>
      <c r="D4492" s="465"/>
      <c r="E4492" s="466" t="s">
        <v>3996</v>
      </c>
      <c r="F4492" s="466"/>
      <c r="G4492" s="465"/>
      <c r="H4492" s="465">
        <v>1</v>
      </c>
    </row>
    <row r="4493" spans="1:8" ht="13.8" thickBot="1">
      <c r="A4493" s="467" t="s">
        <v>9726</v>
      </c>
      <c r="B4493" s="465" t="s">
        <v>4009</v>
      </c>
      <c r="C4493" s="466">
        <v>6.75</v>
      </c>
      <c r="D4493" s="465"/>
      <c r="E4493" s="466" t="s">
        <v>3996</v>
      </c>
      <c r="F4493" s="466"/>
      <c r="G4493" s="465">
        <v>2</v>
      </c>
      <c r="H4493" s="465">
        <v>2</v>
      </c>
    </row>
    <row r="4494" spans="1:8" ht="13.8" thickBot="1">
      <c r="A4494" s="467" t="s">
        <v>9727</v>
      </c>
      <c r="B4494" s="465" t="s">
        <v>4011</v>
      </c>
      <c r="C4494" s="466">
        <v>6.75</v>
      </c>
      <c r="D4494" s="465"/>
      <c r="E4494" s="466" t="s">
        <v>3996</v>
      </c>
      <c r="F4494" s="466"/>
      <c r="G4494" s="465"/>
      <c r="H4494" s="465">
        <v>1</v>
      </c>
    </row>
    <row r="4495" spans="1:8" ht="13.8" thickBot="1">
      <c r="A4495" s="465" t="s">
        <v>979</v>
      </c>
      <c r="B4495" s="465" t="s">
        <v>4052</v>
      </c>
      <c r="C4495" s="466">
        <v>6.75</v>
      </c>
      <c r="D4495" s="465"/>
      <c r="E4495" s="466" t="s">
        <v>4046</v>
      </c>
      <c r="F4495" s="466" t="s">
        <v>1251</v>
      </c>
      <c r="G4495" s="465"/>
      <c r="H4495" s="465"/>
    </row>
    <row r="4496" spans="1:8" ht="13.8" thickBot="1">
      <c r="A4496" s="467" t="s">
        <v>9728</v>
      </c>
      <c r="B4496" s="465" t="s">
        <v>4054</v>
      </c>
      <c r="C4496" s="466">
        <v>6.75</v>
      </c>
      <c r="D4496" s="465"/>
      <c r="E4496" s="466" t="s">
        <v>4046</v>
      </c>
      <c r="F4496" s="466" t="s">
        <v>1226</v>
      </c>
      <c r="G4496" s="465"/>
      <c r="H4496" s="465">
        <v>5</v>
      </c>
    </row>
    <row r="4497" spans="1:8" ht="13.8" thickBot="1">
      <c r="A4497" s="465" t="s">
        <v>9729</v>
      </c>
      <c r="B4497" s="465" t="s">
        <v>4052</v>
      </c>
      <c r="C4497" s="466">
        <v>6.75</v>
      </c>
      <c r="D4497" s="465"/>
      <c r="E4497" s="466" t="s">
        <v>4046</v>
      </c>
      <c r="F4497" s="466"/>
      <c r="G4497" s="465"/>
      <c r="H4497" s="465">
        <v>4</v>
      </c>
    </row>
    <row r="4498" spans="1:8" ht="13.8" thickBot="1">
      <c r="A4498" s="467" t="s">
        <v>9617</v>
      </c>
      <c r="B4498" s="465" t="s">
        <v>1249</v>
      </c>
      <c r="C4498" s="466">
        <v>6.75</v>
      </c>
      <c r="D4498" s="465"/>
      <c r="E4498" s="466" t="s">
        <v>2114</v>
      </c>
      <c r="F4498" s="466"/>
      <c r="G4498" s="465"/>
      <c r="H4498" s="465"/>
    </row>
    <row r="4499" spans="1:8" ht="13.8" thickBot="1">
      <c r="A4499" s="465" t="s">
        <v>9730</v>
      </c>
      <c r="B4499" s="465" t="s">
        <v>4081</v>
      </c>
      <c r="C4499" s="466">
        <v>6.75</v>
      </c>
      <c r="D4499" s="467" t="s">
        <v>614</v>
      </c>
      <c r="E4499" s="466" t="s">
        <v>4067</v>
      </c>
      <c r="F4499" s="466" t="s">
        <v>1251</v>
      </c>
      <c r="G4499" s="465">
        <v>1</v>
      </c>
      <c r="H4499" s="465">
        <v>7</v>
      </c>
    </row>
    <row r="4500" spans="1:8" ht="13.8" thickBot="1">
      <c r="A4500" s="467" t="s">
        <v>9731</v>
      </c>
      <c r="B4500" s="465" t="s">
        <v>4082</v>
      </c>
      <c r="C4500" s="466">
        <v>6.75</v>
      </c>
      <c r="D4500" s="465"/>
      <c r="E4500" s="466" t="s">
        <v>4067</v>
      </c>
      <c r="F4500" s="466" t="s">
        <v>1251</v>
      </c>
      <c r="G4500" s="465"/>
      <c r="H4500" s="465">
        <v>4</v>
      </c>
    </row>
    <row r="4501" spans="1:8" ht="13.8" thickBot="1">
      <c r="A4501" s="465" t="s">
        <v>9732</v>
      </c>
      <c r="B4501" s="465" t="s">
        <v>4103</v>
      </c>
      <c r="C4501" s="466">
        <v>6.75</v>
      </c>
      <c r="D4501" s="465"/>
      <c r="E4501" s="466" t="s">
        <v>4102</v>
      </c>
      <c r="F4501" s="466" t="s">
        <v>1226</v>
      </c>
      <c r="G4501" s="465"/>
      <c r="H4501" s="465">
        <v>5</v>
      </c>
    </row>
    <row r="4502" spans="1:8" ht="13.8" thickBot="1">
      <c r="A4502" s="467" t="s">
        <v>9733</v>
      </c>
      <c r="B4502" s="465" t="s">
        <v>4125</v>
      </c>
      <c r="C4502" s="466">
        <v>6.75</v>
      </c>
      <c r="D4502" s="465"/>
      <c r="E4502" s="466" t="s">
        <v>4121</v>
      </c>
      <c r="F4502" s="466" t="s">
        <v>1251</v>
      </c>
      <c r="G4502" s="465"/>
      <c r="H4502" s="465">
        <v>2</v>
      </c>
    </row>
    <row r="4503" spans="1:8" ht="13.8" thickBot="1">
      <c r="A4503" s="465" t="s">
        <v>9734</v>
      </c>
      <c r="B4503" s="465" t="s">
        <v>4126</v>
      </c>
      <c r="C4503" s="466">
        <v>6.75</v>
      </c>
      <c r="D4503" s="467" t="s">
        <v>614</v>
      </c>
      <c r="E4503" s="466" t="s">
        <v>4121</v>
      </c>
      <c r="F4503" s="466" t="s">
        <v>1251</v>
      </c>
      <c r="G4503" s="465"/>
      <c r="H4503" s="465">
        <v>6</v>
      </c>
    </row>
    <row r="4504" spans="1:8" ht="13.8" thickBot="1">
      <c r="A4504" s="465" t="s">
        <v>9735</v>
      </c>
      <c r="B4504" s="465" t="s">
        <v>4133</v>
      </c>
      <c r="C4504" s="466">
        <v>6.75</v>
      </c>
      <c r="D4504" s="467" t="s">
        <v>614</v>
      </c>
      <c r="E4504" s="466" t="s">
        <v>4134</v>
      </c>
      <c r="F4504" s="466" t="s">
        <v>1251</v>
      </c>
      <c r="G4504" s="465">
        <v>2</v>
      </c>
      <c r="H4504" s="465">
        <v>14</v>
      </c>
    </row>
    <row r="4505" spans="1:8" ht="13.8" thickBot="1">
      <c r="A4505" s="467" t="s">
        <v>9736</v>
      </c>
      <c r="B4505" s="465" t="s">
        <v>4146</v>
      </c>
      <c r="C4505" s="466">
        <v>6.75</v>
      </c>
      <c r="D4505" s="467" t="s">
        <v>4147</v>
      </c>
      <c r="E4505" s="466" t="s">
        <v>4140</v>
      </c>
      <c r="F4505" s="466" t="s">
        <v>1229</v>
      </c>
      <c r="G4505" s="465">
        <v>1</v>
      </c>
      <c r="H4505" s="465">
        <v>10</v>
      </c>
    </row>
    <row r="4506" spans="1:8" ht="13.8" thickBot="1">
      <c r="A4506" s="467" t="s">
        <v>9737</v>
      </c>
      <c r="B4506" s="465" t="s">
        <v>4167</v>
      </c>
      <c r="C4506" s="466">
        <v>6.75</v>
      </c>
      <c r="D4506" s="465"/>
      <c r="E4506" s="466" t="s">
        <v>4160</v>
      </c>
      <c r="F4506" s="466" t="s">
        <v>1226</v>
      </c>
      <c r="G4506" s="465"/>
      <c r="H4506" s="465">
        <v>6</v>
      </c>
    </row>
    <row r="4507" spans="1:8" ht="13.8" thickBot="1">
      <c r="A4507" s="467" t="s">
        <v>9738</v>
      </c>
      <c r="B4507" s="465" t="s">
        <v>4168</v>
      </c>
      <c r="C4507" s="466">
        <v>6.75</v>
      </c>
      <c r="D4507" s="465"/>
      <c r="E4507" s="466" t="s">
        <v>4160</v>
      </c>
      <c r="F4507" s="466"/>
      <c r="G4507" s="465"/>
      <c r="H4507" s="465"/>
    </row>
    <row r="4508" spans="1:8" ht="13.8" thickBot="1">
      <c r="A4508" s="465" t="s">
        <v>9739</v>
      </c>
      <c r="B4508" s="465" t="s">
        <v>4244</v>
      </c>
      <c r="C4508" s="466">
        <v>6.75</v>
      </c>
      <c r="D4508" s="467" t="s">
        <v>614</v>
      </c>
      <c r="E4508" s="466" t="s">
        <v>4214</v>
      </c>
      <c r="F4508" s="466" t="s">
        <v>1226</v>
      </c>
      <c r="G4508" s="465">
        <v>1</v>
      </c>
      <c r="H4508" s="465">
        <v>2</v>
      </c>
    </row>
    <row r="4509" spans="1:8" ht="13.8" thickBot="1">
      <c r="A4509" s="465" t="s">
        <v>9740</v>
      </c>
      <c r="B4509" s="465" t="s">
        <v>4245</v>
      </c>
      <c r="C4509" s="466">
        <v>6.75</v>
      </c>
      <c r="D4509" s="465"/>
      <c r="E4509" s="466" t="s">
        <v>4214</v>
      </c>
      <c r="F4509" s="466" t="s">
        <v>1226</v>
      </c>
      <c r="G4509" s="465"/>
      <c r="H4509" s="465">
        <v>2</v>
      </c>
    </row>
    <row r="4510" spans="1:8" ht="13.8" thickBot="1">
      <c r="A4510" s="465" t="s">
        <v>9741</v>
      </c>
      <c r="B4510" s="465" t="s">
        <v>4246</v>
      </c>
      <c r="C4510" s="466">
        <v>6.75</v>
      </c>
      <c r="D4510" s="465"/>
      <c r="E4510" s="466" t="s">
        <v>4214</v>
      </c>
      <c r="F4510" s="466" t="s">
        <v>1226</v>
      </c>
      <c r="G4510" s="465"/>
      <c r="H4510" s="465"/>
    </row>
    <row r="4511" spans="1:8" ht="13.8" thickBot="1">
      <c r="A4511" s="467" t="s">
        <v>9742</v>
      </c>
      <c r="B4511" s="465" t="s">
        <v>1607</v>
      </c>
      <c r="C4511" s="466">
        <v>6.75</v>
      </c>
      <c r="D4511" s="467" t="s">
        <v>4247</v>
      </c>
      <c r="E4511" s="466" t="s">
        <v>4214</v>
      </c>
      <c r="F4511" s="466"/>
      <c r="G4511" s="465"/>
      <c r="H4511" s="465">
        <v>1</v>
      </c>
    </row>
    <row r="4512" spans="1:8" ht="13.8" thickBot="1">
      <c r="A4512" s="465" t="s">
        <v>9743</v>
      </c>
      <c r="B4512" s="465" t="s">
        <v>1607</v>
      </c>
      <c r="C4512" s="466">
        <v>6.75</v>
      </c>
      <c r="D4512" s="465"/>
      <c r="E4512" s="466" t="s">
        <v>4214</v>
      </c>
      <c r="F4512" s="466"/>
      <c r="G4512" s="465"/>
      <c r="H4512" s="465"/>
    </row>
    <row r="4513" spans="1:8" ht="13.8" thickBot="1">
      <c r="A4513" s="465" t="s">
        <v>9744</v>
      </c>
      <c r="B4513" s="465" t="s">
        <v>4248</v>
      </c>
      <c r="C4513" s="466">
        <v>6.75</v>
      </c>
      <c r="D4513" s="465" t="s">
        <v>3166</v>
      </c>
      <c r="E4513" s="466" t="s">
        <v>4214</v>
      </c>
      <c r="F4513" s="466"/>
      <c r="G4513" s="465"/>
      <c r="H4513" s="465"/>
    </row>
    <row r="4514" spans="1:8" ht="13.8" thickBot="1">
      <c r="A4514" s="465" t="s">
        <v>9618</v>
      </c>
      <c r="B4514" s="465" t="s">
        <v>2136</v>
      </c>
      <c r="C4514" s="466">
        <v>6.75</v>
      </c>
      <c r="D4514" s="465" t="s">
        <v>614</v>
      </c>
      <c r="E4514" s="466" t="s">
        <v>2123</v>
      </c>
      <c r="F4514" s="466" t="s">
        <v>1224</v>
      </c>
      <c r="G4514" s="465"/>
      <c r="H4514" s="465">
        <v>1</v>
      </c>
    </row>
    <row r="4515" spans="1:8" ht="13.8" thickBot="1">
      <c r="A4515" s="467" t="s">
        <v>9745</v>
      </c>
      <c r="B4515" s="465" t="s">
        <v>4353</v>
      </c>
      <c r="C4515" s="466">
        <v>6.75</v>
      </c>
      <c r="D4515" s="467" t="s">
        <v>614</v>
      </c>
      <c r="E4515" s="466" t="s">
        <v>4354</v>
      </c>
      <c r="F4515" s="466"/>
      <c r="G4515" s="465">
        <v>1</v>
      </c>
      <c r="H4515" s="465">
        <v>1</v>
      </c>
    </row>
    <row r="4516" spans="1:8" ht="13.8" thickBot="1">
      <c r="A4516" s="467" t="s">
        <v>9746</v>
      </c>
      <c r="B4516" s="465" t="s">
        <v>4365</v>
      </c>
      <c r="C4516" s="466">
        <v>6.75</v>
      </c>
      <c r="D4516" s="465"/>
      <c r="E4516" s="466" t="s">
        <v>4364</v>
      </c>
      <c r="F4516" s="466" t="s">
        <v>1226</v>
      </c>
      <c r="G4516" s="465"/>
      <c r="H4516" s="465">
        <v>2</v>
      </c>
    </row>
    <row r="4517" spans="1:8" ht="13.8" thickBot="1">
      <c r="A4517" s="467" t="s">
        <v>9747</v>
      </c>
      <c r="B4517" s="465" t="s">
        <v>4399</v>
      </c>
      <c r="C4517" s="466">
        <v>6.75</v>
      </c>
      <c r="D4517" s="465"/>
      <c r="E4517" s="466" t="s">
        <v>4400</v>
      </c>
      <c r="F4517" s="466"/>
      <c r="G4517" s="465"/>
      <c r="H4517" s="465">
        <v>1</v>
      </c>
    </row>
    <row r="4518" spans="1:8" ht="13.8" thickBot="1">
      <c r="A4518" s="465" t="s">
        <v>9748</v>
      </c>
      <c r="B4518" s="465" t="s">
        <v>4407</v>
      </c>
      <c r="C4518" s="466">
        <v>6.75</v>
      </c>
      <c r="D4518" s="467" t="s">
        <v>614</v>
      </c>
      <c r="E4518" s="466" t="s">
        <v>4403</v>
      </c>
      <c r="F4518" s="466" t="s">
        <v>1251</v>
      </c>
      <c r="G4518" s="465">
        <v>1</v>
      </c>
      <c r="H4518" s="465">
        <v>4</v>
      </c>
    </row>
    <row r="4519" spans="1:8" ht="13.8" thickBot="1">
      <c r="A4519" s="465" t="s">
        <v>9749</v>
      </c>
      <c r="B4519" s="465" t="s">
        <v>4408</v>
      </c>
      <c r="C4519" s="466">
        <v>6.75</v>
      </c>
      <c r="D4519" s="465"/>
      <c r="E4519" s="466" t="s">
        <v>4403</v>
      </c>
      <c r="F4519" s="466"/>
      <c r="G4519" s="465"/>
      <c r="H4519" s="465"/>
    </row>
    <row r="4520" spans="1:8" ht="13.8" thickBot="1">
      <c r="A4520" s="465" t="s">
        <v>9619</v>
      </c>
      <c r="B4520" s="465" t="s">
        <v>2148</v>
      </c>
      <c r="C4520" s="466">
        <v>6.75</v>
      </c>
      <c r="D4520" s="465"/>
      <c r="E4520" s="466" t="s">
        <v>2149</v>
      </c>
      <c r="F4520" s="466"/>
      <c r="G4520" s="465"/>
      <c r="H4520" s="465"/>
    </row>
    <row r="4521" spans="1:8" ht="13.8" thickBot="1">
      <c r="A4521" s="465" t="s">
        <v>9750</v>
      </c>
      <c r="B4521" s="468" t="s">
        <v>4453</v>
      </c>
      <c r="C4521" s="466">
        <v>6.75</v>
      </c>
      <c r="D4521" s="465"/>
      <c r="E4521" s="466" t="s">
        <v>4438</v>
      </c>
      <c r="F4521" s="466" t="s">
        <v>1251</v>
      </c>
      <c r="G4521" s="465"/>
      <c r="H4521" s="465">
        <v>3</v>
      </c>
    </row>
    <row r="4522" spans="1:8" ht="13.8" thickBot="1">
      <c r="A4522" s="467" t="s">
        <v>9751</v>
      </c>
      <c r="B4522" s="465" t="s">
        <v>4454</v>
      </c>
      <c r="C4522" s="466">
        <v>6.75</v>
      </c>
      <c r="D4522" s="465" t="s">
        <v>4455</v>
      </c>
      <c r="E4522" s="466" t="s">
        <v>4438</v>
      </c>
      <c r="F4522" s="466" t="s">
        <v>1226</v>
      </c>
      <c r="G4522" s="465"/>
      <c r="H4522" s="465">
        <v>5</v>
      </c>
    </row>
    <row r="4523" spans="1:8" ht="13.8" thickBot="1">
      <c r="A4523" s="465" t="s">
        <v>9752</v>
      </c>
      <c r="B4523" s="465" t="s">
        <v>1638</v>
      </c>
      <c r="C4523" s="466">
        <v>6.75</v>
      </c>
      <c r="D4523" s="465"/>
      <c r="E4523" s="466" t="s">
        <v>4438</v>
      </c>
      <c r="F4523" s="466"/>
      <c r="G4523" s="465"/>
      <c r="H4523" s="465"/>
    </row>
    <row r="4524" spans="1:8" ht="13.8" thickBot="1">
      <c r="A4524" s="467" t="s">
        <v>9753</v>
      </c>
      <c r="B4524" s="465" t="s">
        <v>1647</v>
      </c>
      <c r="C4524" s="466">
        <v>6.75</v>
      </c>
      <c r="D4524" s="465"/>
      <c r="E4524" s="466" t="s">
        <v>4509</v>
      </c>
      <c r="F4524" s="466" t="s">
        <v>1226</v>
      </c>
      <c r="G4524" s="465"/>
      <c r="H4524" s="465"/>
    </row>
    <row r="4525" spans="1:8" ht="13.8" thickBot="1">
      <c r="A4525" s="467" t="s">
        <v>9754</v>
      </c>
      <c r="B4525" s="465" t="s">
        <v>4544</v>
      </c>
      <c r="C4525" s="466">
        <v>6.75</v>
      </c>
      <c r="D4525" s="465"/>
      <c r="E4525" s="466" t="s">
        <v>4536</v>
      </c>
      <c r="F4525" s="466" t="s">
        <v>1251</v>
      </c>
      <c r="G4525" s="465"/>
      <c r="H4525" s="465">
        <v>10</v>
      </c>
    </row>
    <row r="4526" spans="1:8" ht="13.8" thickBot="1">
      <c r="A4526" s="465" t="s">
        <v>9755</v>
      </c>
      <c r="B4526" s="465" t="s">
        <v>4545</v>
      </c>
      <c r="C4526" s="466">
        <v>6.75</v>
      </c>
      <c r="D4526" s="465"/>
      <c r="E4526" s="466" t="s">
        <v>4536</v>
      </c>
      <c r="F4526" s="466" t="s">
        <v>1224</v>
      </c>
      <c r="G4526" s="465"/>
      <c r="H4526" s="465">
        <v>5</v>
      </c>
    </row>
    <row r="4527" spans="1:8" ht="13.8" thickBot="1">
      <c r="A4527" s="467" t="s">
        <v>9756</v>
      </c>
      <c r="B4527" s="465" t="s">
        <v>4563</v>
      </c>
      <c r="C4527" s="466">
        <v>6.75</v>
      </c>
      <c r="D4527" s="465"/>
      <c r="E4527" s="466" t="s">
        <v>4557</v>
      </c>
      <c r="F4527" s="466"/>
      <c r="G4527" s="465"/>
      <c r="H4527" s="465"/>
    </row>
    <row r="4528" spans="1:8" ht="13.8" thickBot="1">
      <c r="A4528" s="465" t="s">
        <v>9757</v>
      </c>
      <c r="B4528" s="465" t="s">
        <v>4563</v>
      </c>
      <c r="C4528" s="466">
        <v>6.75</v>
      </c>
      <c r="D4528" s="465"/>
      <c r="E4528" s="466" t="s">
        <v>4557</v>
      </c>
      <c r="F4528" s="466"/>
      <c r="G4528" s="465"/>
      <c r="H4528" s="465"/>
    </row>
    <row r="4529" spans="1:8" ht="13.8" thickBot="1">
      <c r="A4529" s="467" t="s">
        <v>9758</v>
      </c>
      <c r="B4529" s="465" t="s">
        <v>4564</v>
      </c>
      <c r="C4529" s="466">
        <v>6.75</v>
      </c>
      <c r="D4529" s="465"/>
      <c r="E4529" s="466" t="s">
        <v>4557</v>
      </c>
      <c r="F4529" s="466"/>
      <c r="G4529" s="465"/>
      <c r="H4529" s="465"/>
    </row>
    <row r="4530" spans="1:8" ht="13.8" thickBot="1">
      <c r="A4530" s="467" t="s">
        <v>9759</v>
      </c>
      <c r="B4530" s="465" t="s">
        <v>4565</v>
      </c>
      <c r="C4530" s="466">
        <v>6.75</v>
      </c>
      <c r="D4530" s="465"/>
      <c r="E4530" s="466" t="s">
        <v>4557</v>
      </c>
      <c r="F4530" s="466"/>
      <c r="G4530" s="465"/>
      <c r="H4530" s="465"/>
    </row>
    <row r="4531" spans="1:8" ht="13.8" thickBot="1">
      <c r="A4531" s="467" t="s">
        <v>9760</v>
      </c>
      <c r="B4531" s="465" t="s">
        <v>4566</v>
      </c>
      <c r="C4531" s="466">
        <v>6.75</v>
      </c>
      <c r="D4531" s="465"/>
      <c r="E4531" s="466" t="s">
        <v>4557</v>
      </c>
      <c r="F4531" s="466"/>
      <c r="G4531" s="465"/>
      <c r="H4531" s="465"/>
    </row>
    <row r="4532" spans="1:8" ht="13.8" thickBot="1">
      <c r="A4532" s="465" t="s">
        <v>9761</v>
      </c>
      <c r="B4532" s="465" t="s">
        <v>4567</v>
      </c>
      <c r="C4532" s="466">
        <v>6.75</v>
      </c>
      <c r="D4532" s="465"/>
      <c r="E4532" s="466" t="s">
        <v>4557</v>
      </c>
      <c r="F4532" s="466"/>
      <c r="G4532" s="465"/>
      <c r="H4532" s="465"/>
    </row>
    <row r="4533" spans="1:8" ht="13.8" thickBot="1">
      <c r="A4533" s="465" t="s">
        <v>9762</v>
      </c>
      <c r="B4533" s="465" t="s">
        <v>4604</v>
      </c>
      <c r="C4533" s="466">
        <v>6.75</v>
      </c>
      <c r="D4533" s="465"/>
      <c r="E4533" s="466" t="s">
        <v>4596</v>
      </c>
      <c r="F4533" s="466"/>
      <c r="G4533" s="465">
        <v>1</v>
      </c>
      <c r="H4533" s="465">
        <v>3</v>
      </c>
    </row>
    <row r="4534" spans="1:8" ht="13.8" thickBot="1">
      <c r="A4534" s="467" t="s">
        <v>9620</v>
      </c>
      <c r="B4534" s="465" t="s">
        <v>2163</v>
      </c>
      <c r="C4534" s="466">
        <v>6.75</v>
      </c>
      <c r="D4534" s="465"/>
      <c r="E4534" s="466" t="s">
        <v>2152</v>
      </c>
      <c r="F4534" s="466" t="s">
        <v>1251</v>
      </c>
      <c r="G4534" s="465"/>
      <c r="H4534" s="465">
        <v>4</v>
      </c>
    </row>
    <row r="4535" spans="1:8" ht="13.8" thickBot="1">
      <c r="A4535" s="467" t="s">
        <v>9621</v>
      </c>
      <c r="B4535" s="468" t="s">
        <v>2164</v>
      </c>
      <c r="C4535" s="466">
        <v>6.75</v>
      </c>
      <c r="D4535" s="467" t="s">
        <v>614</v>
      </c>
      <c r="E4535" s="466" t="s">
        <v>2152</v>
      </c>
      <c r="F4535" s="466" t="s">
        <v>1251</v>
      </c>
      <c r="G4535" s="465"/>
      <c r="H4535" s="465">
        <v>6</v>
      </c>
    </row>
    <row r="4536" spans="1:8" ht="13.8" thickBot="1">
      <c r="A4536" s="467" t="s">
        <v>9622</v>
      </c>
      <c r="B4536" s="465" t="s">
        <v>2165</v>
      </c>
      <c r="C4536" s="466">
        <v>6.75</v>
      </c>
      <c r="D4536" s="465"/>
      <c r="E4536" s="466" t="s">
        <v>2152</v>
      </c>
      <c r="F4536" s="466" t="s">
        <v>1841</v>
      </c>
      <c r="G4536" s="465"/>
      <c r="H4536" s="465">
        <v>6</v>
      </c>
    </row>
    <row r="4537" spans="1:8" ht="13.8" thickBot="1">
      <c r="A4537" s="465" t="s">
        <v>9623</v>
      </c>
      <c r="B4537" s="465" t="s">
        <v>2166</v>
      </c>
      <c r="C4537" s="466">
        <v>6.75</v>
      </c>
      <c r="D4537" s="467" t="s">
        <v>614</v>
      </c>
      <c r="E4537" s="466" t="s">
        <v>2152</v>
      </c>
      <c r="F4537" s="466"/>
      <c r="G4537" s="465"/>
      <c r="H4537" s="465">
        <v>1</v>
      </c>
    </row>
    <row r="4538" spans="1:8" ht="13.8" thickBot="1">
      <c r="A4538" s="467" t="s">
        <v>9763</v>
      </c>
      <c r="B4538" s="465" t="s">
        <v>4627</v>
      </c>
      <c r="C4538" s="466">
        <v>6.75</v>
      </c>
      <c r="D4538" s="465"/>
      <c r="E4538" s="466" t="s">
        <v>4628</v>
      </c>
      <c r="F4538" s="466"/>
      <c r="G4538" s="465"/>
      <c r="H4538" s="465"/>
    </row>
    <row r="4539" spans="1:8" ht="13.8" thickBot="1">
      <c r="A4539" s="465" t="s">
        <v>9764</v>
      </c>
      <c r="B4539" s="465" t="s">
        <v>1678</v>
      </c>
      <c r="C4539" s="466">
        <v>6.75</v>
      </c>
      <c r="D4539" s="465"/>
      <c r="E4539" s="466" t="s">
        <v>4644</v>
      </c>
      <c r="F4539" s="466"/>
      <c r="G4539" s="465"/>
      <c r="H4539" s="465"/>
    </row>
    <row r="4540" spans="1:8" ht="13.8" thickBot="1">
      <c r="A4540" s="467" t="s">
        <v>9765</v>
      </c>
      <c r="B4540" s="465" t="s">
        <v>4653</v>
      </c>
      <c r="C4540" s="466">
        <v>6.75</v>
      </c>
      <c r="D4540" s="465"/>
      <c r="E4540" s="466" t="s">
        <v>4644</v>
      </c>
      <c r="F4540" s="466"/>
      <c r="G4540" s="465"/>
      <c r="H4540" s="465"/>
    </row>
    <row r="4541" spans="1:8" ht="13.8" thickBot="1">
      <c r="A4541" s="467" t="s">
        <v>9766</v>
      </c>
      <c r="B4541" s="465" t="s">
        <v>4654</v>
      </c>
      <c r="C4541" s="466">
        <v>6.75</v>
      </c>
      <c r="D4541" s="465"/>
      <c r="E4541" s="466" t="s">
        <v>4644</v>
      </c>
      <c r="F4541" s="466"/>
      <c r="G4541" s="465"/>
      <c r="H4541" s="465">
        <v>1</v>
      </c>
    </row>
    <row r="4542" spans="1:8" ht="13.8" thickBot="1">
      <c r="A4542" s="467" t="s">
        <v>9767</v>
      </c>
      <c r="B4542" s="465" t="s">
        <v>4679</v>
      </c>
      <c r="C4542" s="466">
        <v>6.75</v>
      </c>
      <c r="D4542" s="467" t="s">
        <v>614</v>
      </c>
      <c r="E4542" s="466" t="s">
        <v>4672</v>
      </c>
      <c r="F4542" s="466" t="s">
        <v>2319</v>
      </c>
      <c r="G4542" s="465">
        <v>2</v>
      </c>
      <c r="H4542" s="465">
        <v>12</v>
      </c>
    </row>
    <row r="4543" spans="1:8" ht="13.8" thickBot="1">
      <c r="A4543" s="465" t="s">
        <v>9768</v>
      </c>
      <c r="B4543" s="465" t="s">
        <v>4680</v>
      </c>
      <c r="C4543" s="466">
        <v>6.75</v>
      </c>
      <c r="D4543" s="467" t="s">
        <v>614</v>
      </c>
      <c r="E4543" s="466" t="s">
        <v>4672</v>
      </c>
      <c r="F4543" s="466" t="s">
        <v>1251</v>
      </c>
      <c r="G4543" s="465">
        <v>2</v>
      </c>
      <c r="H4543" s="465">
        <v>3</v>
      </c>
    </row>
    <row r="4544" spans="1:8" ht="13.8" thickBot="1">
      <c r="A4544" s="467" t="s">
        <v>9769</v>
      </c>
      <c r="B4544" s="465" t="s">
        <v>1713</v>
      </c>
      <c r="C4544" s="466">
        <v>6.75</v>
      </c>
      <c r="D4544" s="465"/>
      <c r="E4544" s="466" t="s">
        <v>4672</v>
      </c>
      <c r="F4544" s="466"/>
      <c r="G4544" s="465"/>
      <c r="H4544" s="465"/>
    </row>
    <row r="4545" spans="1:8" ht="13.8" thickBot="1">
      <c r="A4545" s="467" t="s">
        <v>9770</v>
      </c>
      <c r="B4545" s="465" t="s">
        <v>4681</v>
      </c>
      <c r="C4545" s="466">
        <v>6.75</v>
      </c>
      <c r="D4545" s="465"/>
      <c r="E4545" s="466" t="s">
        <v>4672</v>
      </c>
      <c r="F4545" s="466"/>
      <c r="G4545" s="465"/>
      <c r="H4545" s="465"/>
    </row>
    <row r="4546" spans="1:8" ht="13.8" thickBot="1">
      <c r="A4546" s="467" t="s">
        <v>9771</v>
      </c>
      <c r="B4546" s="465" t="s">
        <v>4701</v>
      </c>
      <c r="C4546" s="466">
        <v>6.75</v>
      </c>
      <c r="D4546" s="465"/>
      <c r="E4546" s="466" t="s">
        <v>4702</v>
      </c>
      <c r="F4546" s="466"/>
      <c r="G4546" s="465"/>
      <c r="H4546" s="465">
        <v>1</v>
      </c>
    </row>
    <row r="4547" spans="1:8" ht="13.8" thickBot="1">
      <c r="A4547" s="467" t="s">
        <v>9772</v>
      </c>
      <c r="B4547" s="465" t="s">
        <v>4731</v>
      </c>
      <c r="C4547" s="466">
        <v>6.75</v>
      </c>
      <c r="D4547" s="465"/>
      <c r="E4547" s="466" t="s">
        <v>4717</v>
      </c>
      <c r="F4547" s="466"/>
      <c r="G4547" s="465"/>
      <c r="H4547" s="465">
        <v>2</v>
      </c>
    </row>
    <row r="4548" spans="1:8" ht="13.8" thickBot="1">
      <c r="A4548" s="467" t="s">
        <v>9773</v>
      </c>
      <c r="B4548" s="465" t="s">
        <v>4783</v>
      </c>
      <c r="C4548" s="466">
        <v>6.75</v>
      </c>
      <c r="D4548" s="465" t="s">
        <v>4784</v>
      </c>
      <c r="E4548" s="466" t="s">
        <v>4780</v>
      </c>
      <c r="F4548" s="466"/>
      <c r="G4548" s="465"/>
      <c r="H4548" s="465"/>
    </row>
    <row r="4549" spans="1:8" ht="13.8" thickBot="1">
      <c r="A4549" s="465" t="s">
        <v>9809</v>
      </c>
      <c r="B4549" s="465" t="s">
        <v>4883</v>
      </c>
      <c r="C4549" s="466">
        <v>6.8</v>
      </c>
      <c r="D4549" s="465"/>
      <c r="E4549" s="466" t="s">
        <v>4865</v>
      </c>
      <c r="F4549" s="466"/>
      <c r="G4549" s="465">
        <v>1</v>
      </c>
      <c r="H4549" s="465">
        <v>1</v>
      </c>
    </row>
    <row r="4550" spans="1:8" ht="13.8" thickBot="1">
      <c r="A4550" s="465" t="s">
        <v>9796</v>
      </c>
      <c r="B4550" s="465" t="s">
        <v>2333</v>
      </c>
      <c r="C4550" s="466">
        <v>6.8</v>
      </c>
      <c r="D4550" s="465"/>
      <c r="E4550" s="466" t="s">
        <v>2289</v>
      </c>
      <c r="F4550" s="466" t="s">
        <v>2312</v>
      </c>
      <c r="G4550" s="465">
        <v>2</v>
      </c>
      <c r="H4550" s="465">
        <v>7</v>
      </c>
    </row>
    <row r="4551" spans="1:8" ht="13.8" thickBot="1">
      <c r="A4551" s="465" t="s">
        <v>9797</v>
      </c>
      <c r="B4551" s="465" t="s">
        <v>2334</v>
      </c>
      <c r="C4551" s="466">
        <v>6.8</v>
      </c>
      <c r="D4551" s="465"/>
      <c r="E4551" s="466" t="s">
        <v>2289</v>
      </c>
      <c r="F4551" s="466" t="s">
        <v>1226</v>
      </c>
      <c r="G4551" s="465"/>
      <c r="H4551" s="465">
        <v>4</v>
      </c>
    </row>
    <row r="4552" spans="1:8" ht="13.8" thickBot="1">
      <c r="A4552" s="465" t="s">
        <v>9810</v>
      </c>
      <c r="B4552" s="472" t="s">
        <v>5334</v>
      </c>
      <c r="C4552" s="473">
        <v>6.8</v>
      </c>
      <c r="D4552" s="465"/>
      <c r="E4552" s="466" t="s">
        <v>5325</v>
      </c>
      <c r="F4552" s="466" t="s">
        <v>1226</v>
      </c>
      <c r="G4552" s="465"/>
      <c r="H4552" s="465">
        <v>1</v>
      </c>
    </row>
    <row r="4553" spans="1:8" ht="13.8" thickBot="1">
      <c r="A4553" s="465" t="s">
        <v>9798</v>
      </c>
      <c r="B4553" s="465" t="s">
        <v>2458</v>
      </c>
      <c r="C4553" s="466">
        <v>6.8</v>
      </c>
      <c r="D4553" s="465"/>
      <c r="E4553" s="466" t="s">
        <v>2449</v>
      </c>
      <c r="F4553" s="466" t="s">
        <v>1226</v>
      </c>
      <c r="G4553" s="465"/>
      <c r="H4553" s="465">
        <v>4</v>
      </c>
    </row>
    <row r="4554" spans="1:8" ht="13.8" thickBot="1">
      <c r="A4554" s="465" t="s">
        <v>9799</v>
      </c>
      <c r="B4554" s="465" t="s">
        <v>2854</v>
      </c>
      <c r="C4554" s="466">
        <v>6.8</v>
      </c>
      <c r="D4554" s="465"/>
      <c r="E4554" s="466" t="s">
        <v>2841</v>
      </c>
      <c r="F4554" s="466" t="s">
        <v>1251</v>
      </c>
      <c r="G4554" s="465"/>
      <c r="H4554" s="465">
        <v>7</v>
      </c>
    </row>
    <row r="4555" spans="1:8" ht="13.8" thickBot="1">
      <c r="A4555" s="465" t="s">
        <v>9800</v>
      </c>
      <c r="B4555" s="465" t="s">
        <v>2855</v>
      </c>
      <c r="C4555" s="466">
        <v>6.8</v>
      </c>
      <c r="D4555" s="465"/>
      <c r="E4555" s="466" t="s">
        <v>2841</v>
      </c>
      <c r="F4555" s="466" t="s">
        <v>1226</v>
      </c>
      <c r="G4555" s="465"/>
      <c r="H4555" s="465">
        <v>2</v>
      </c>
    </row>
    <row r="4556" spans="1:8" ht="13.8" thickBot="1">
      <c r="A4556" s="465" t="s">
        <v>9801</v>
      </c>
      <c r="B4556" s="465" t="s">
        <v>2970</v>
      </c>
      <c r="C4556" s="466">
        <v>6.8</v>
      </c>
      <c r="D4556" s="467" t="s">
        <v>614</v>
      </c>
      <c r="E4556" s="466" t="s">
        <v>2957</v>
      </c>
      <c r="F4556" s="466" t="s">
        <v>1251</v>
      </c>
      <c r="G4556" s="465">
        <v>1</v>
      </c>
      <c r="H4556" s="465">
        <v>5</v>
      </c>
    </row>
    <row r="4557" spans="1:8" ht="13.8" thickBot="1">
      <c r="A4557" s="465" t="s">
        <v>9802</v>
      </c>
      <c r="B4557" s="468" t="s">
        <v>2971</v>
      </c>
      <c r="C4557" s="466">
        <v>6.8</v>
      </c>
      <c r="D4557" s="465"/>
      <c r="E4557" s="466" t="s">
        <v>2957</v>
      </c>
      <c r="F4557" s="466" t="s">
        <v>1226</v>
      </c>
      <c r="G4557" s="465"/>
      <c r="H4557" s="465">
        <v>3</v>
      </c>
    </row>
    <row r="4558" spans="1:8" ht="13.8" thickBot="1">
      <c r="A4558" s="465" t="s">
        <v>9803</v>
      </c>
      <c r="B4558" s="465" t="s">
        <v>3135</v>
      </c>
      <c r="C4558" s="466">
        <v>6.8</v>
      </c>
      <c r="D4558" s="467" t="s">
        <v>614</v>
      </c>
      <c r="E4558" s="466" t="s">
        <v>3130</v>
      </c>
      <c r="F4558" s="466" t="s">
        <v>1251</v>
      </c>
      <c r="G4558" s="465"/>
      <c r="H4558" s="465">
        <v>4</v>
      </c>
    </row>
    <row r="4559" spans="1:8" ht="13.8" thickBot="1">
      <c r="A4559" s="467" t="s">
        <v>9804</v>
      </c>
      <c r="B4559" s="465" t="s">
        <v>3550</v>
      </c>
      <c r="C4559" s="466">
        <v>6.8</v>
      </c>
      <c r="D4559" s="465"/>
      <c r="E4559" s="466" t="s">
        <v>3517</v>
      </c>
      <c r="F4559" s="466" t="s">
        <v>2319</v>
      </c>
      <c r="G4559" s="465">
        <v>3</v>
      </c>
      <c r="H4559" s="465">
        <v>12</v>
      </c>
    </row>
    <row r="4560" spans="1:8" ht="13.8" thickBot="1">
      <c r="A4560" s="465" t="s">
        <v>9805</v>
      </c>
      <c r="B4560" s="472" t="s">
        <v>3551</v>
      </c>
      <c r="C4560" s="473">
        <v>6.8</v>
      </c>
      <c r="D4560" s="465"/>
      <c r="E4560" s="466" t="s">
        <v>3517</v>
      </c>
      <c r="F4560" s="466" t="s">
        <v>1226</v>
      </c>
      <c r="G4560" s="465"/>
      <c r="H4560" s="465">
        <v>2</v>
      </c>
    </row>
    <row r="4561" spans="1:8" ht="13.8" thickBot="1">
      <c r="A4561" s="465" t="s">
        <v>9806</v>
      </c>
      <c r="B4561" s="465" t="s">
        <v>3666</v>
      </c>
      <c r="C4561" s="466">
        <v>6.8</v>
      </c>
      <c r="D4561" s="467" t="s">
        <v>614</v>
      </c>
      <c r="E4561" s="466" t="s">
        <v>3652</v>
      </c>
      <c r="F4561" s="466" t="s">
        <v>1226</v>
      </c>
      <c r="G4561" s="465"/>
      <c r="H4561" s="465">
        <v>7</v>
      </c>
    </row>
    <row r="4562" spans="1:8" ht="13.8" thickBot="1">
      <c r="A4562" s="465" t="s">
        <v>9807</v>
      </c>
      <c r="B4562" s="468" t="s">
        <v>4080</v>
      </c>
      <c r="C4562" s="466">
        <v>6.8</v>
      </c>
      <c r="D4562" s="467" t="s">
        <v>614</v>
      </c>
      <c r="E4562" s="466" t="s">
        <v>4067</v>
      </c>
      <c r="F4562" s="466" t="s">
        <v>1251</v>
      </c>
      <c r="G4562" s="465"/>
      <c r="H4562" s="465">
        <v>5</v>
      </c>
    </row>
    <row r="4563" spans="1:8" ht="13.8" thickBot="1">
      <c r="A4563" s="465" t="s">
        <v>9808</v>
      </c>
      <c r="B4563" s="465" t="s">
        <v>4452</v>
      </c>
      <c r="C4563" s="466">
        <v>6.8</v>
      </c>
      <c r="D4563" s="465"/>
      <c r="E4563" s="466" t="s">
        <v>4438</v>
      </c>
      <c r="F4563" s="466" t="s">
        <v>1251</v>
      </c>
      <c r="G4563" s="465"/>
      <c r="H4563" s="465">
        <v>5</v>
      </c>
    </row>
    <row r="4564" spans="1:8" ht="13.8" thickBot="1">
      <c r="A4564" s="465" t="s">
        <v>9811</v>
      </c>
      <c r="B4564" s="465" t="s">
        <v>5275</v>
      </c>
      <c r="C4564" s="466">
        <v>6.9</v>
      </c>
      <c r="D4564" s="465" t="s">
        <v>5276</v>
      </c>
      <c r="E4564" s="466" t="s">
        <v>5269</v>
      </c>
      <c r="F4564" s="466" t="s">
        <v>1251</v>
      </c>
      <c r="G4564" s="465"/>
      <c r="H4564" s="465">
        <v>8</v>
      </c>
    </row>
    <row r="4565" spans="1:8" ht="13.8" thickBot="1">
      <c r="A4565" s="467" t="s">
        <v>9812</v>
      </c>
      <c r="B4565" s="465" t="s">
        <v>1797</v>
      </c>
      <c r="C4565" s="466">
        <v>7</v>
      </c>
      <c r="D4565" s="465"/>
      <c r="E4565" s="466" t="s">
        <v>1793</v>
      </c>
      <c r="F4565" s="466" t="s">
        <v>1226</v>
      </c>
      <c r="G4565" s="465"/>
      <c r="H4565" s="465">
        <v>1</v>
      </c>
    </row>
    <row r="4566" spans="1:8" ht="13.8" thickBot="1">
      <c r="A4566" s="465" t="s">
        <v>9813</v>
      </c>
      <c r="B4566" s="465" t="s">
        <v>1813</v>
      </c>
      <c r="C4566" s="466">
        <v>7</v>
      </c>
      <c r="D4566" s="465"/>
      <c r="E4566" s="466" t="s">
        <v>1793</v>
      </c>
      <c r="F4566" s="466" t="s">
        <v>1226</v>
      </c>
      <c r="G4566" s="465"/>
      <c r="H4566" s="465">
        <v>2</v>
      </c>
    </row>
    <row r="4567" spans="1:8" ht="13.8" thickBot="1">
      <c r="A4567" s="467" t="s">
        <v>9814</v>
      </c>
      <c r="B4567" s="465" t="s">
        <v>1792</v>
      </c>
      <c r="C4567" s="466">
        <v>7</v>
      </c>
      <c r="D4567" s="465"/>
      <c r="E4567" s="466" t="s">
        <v>1793</v>
      </c>
      <c r="F4567" s="466"/>
      <c r="G4567" s="465"/>
      <c r="H4567" s="465"/>
    </row>
    <row r="4568" spans="1:8" ht="13.8" thickBot="1">
      <c r="A4568" s="467" t="s">
        <v>9815</v>
      </c>
      <c r="B4568" s="465" t="s">
        <v>1814</v>
      </c>
      <c r="C4568" s="466">
        <v>7</v>
      </c>
      <c r="D4568" s="465"/>
      <c r="E4568" s="466" t="s">
        <v>1793</v>
      </c>
      <c r="F4568" s="466"/>
      <c r="G4568" s="465">
        <v>2</v>
      </c>
      <c r="H4568" s="465">
        <v>4</v>
      </c>
    </row>
    <row r="4569" spans="1:8" ht="13.8" thickBot="1">
      <c r="A4569" s="467" t="s">
        <v>9816</v>
      </c>
      <c r="B4569" s="465" t="s">
        <v>1815</v>
      </c>
      <c r="C4569" s="466">
        <v>7</v>
      </c>
      <c r="D4569" s="465"/>
      <c r="E4569" s="466" t="s">
        <v>1793</v>
      </c>
      <c r="F4569" s="466"/>
      <c r="G4569" s="465"/>
      <c r="H4569" s="465">
        <v>1</v>
      </c>
    </row>
    <row r="4570" spans="1:8" ht="13.8" thickBot="1">
      <c r="A4570" s="465" t="s">
        <v>9843</v>
      </c>
      <c r="B4570" s="465" t="s">
        <v>2217</v>
      </c>
      <c r="C4570" s="466">
        <v>7</v>
      </c>
      <c r="D4570" s="465"/>
      <c r="E4570" s="466" t="s">
        <v>2216</v>
      </c>
      <c r="F4570" s="466"/>
      <c r="G4570" s="465"/>
      <c r="H4570" s="465"/>
    </row>
    <row r="4571" spans="1:8" ht="13.8" thickBot="1">
      <c r="A4571" s="467" t="s">
        <v>10186</v>
      </c>
      <c r="B4571" s="465" t="s">
        <v>4790</v>
      </c>
      <c r="C4571" s="466">
        <v>7</v>
      </c>
      <c r="D4571" s="465"/>
      <c r="E4571" s="466" t="s">
        <v>4789</v>
      </c>
      <c r="F4571" s="466"/>
      <c r="G4571" s="465"/>
      <c r="H4571" s="465">
        <v>2</v>
      </c>
    </row>
    <row r="4572" spans="1:8" ht="13.8" thickBot="1">
      <c r="A4572" s="465" t="s">
        <v>10187</v>
      </c>
      <c r="B4572" s="465" t="s">
        <v>4824</v>
      </c>
      <c r="C4572" s="466">
        <v>7</v>
      </c>
      <c r="D4572" s="465"/>
      <c r="E4572" s="466" t="s">
        <v>4822</v>
      </c>
      <c r="F4572" s="466"/>
      <c r="G4572" s="465">
        <v>1</v>
      </c>
      <c r="H4572" s="465">
        <v>3</v>
      </c>
    </row>
    <row r="4573" spans="1:8" ht="13.8" thickBot="1">
      <c r="A4573" s="465" t="s">
        <v>10188</v>
      </c>
      <c r="B4573" s="465" t="s">
        <v>4825</v>
      </c>
      <c r="C4573" s="466">
        <v>7</v>
      </c>
      <c r="D4573" s="465"/>
      <c r="E4573" s="466" t="s">
        <v>4822</v>
      </c>
      <c r="F4573" s="466"/>
      <c r="G4573" s="465"/>
      <c r="H4573" s="465"/>
    </row>
    <row r="4574" spans="1:8" ht="13.8" thickBot="1">
      <c r="A4574" s="465" t="s">
        <v>10189</v>
      </c>
      <c r="B4574" s="465" t="s">
        <v>4851</v>
      </c>
      <c r="C4574" s="466">
        <v>7</v>
      </c>
      <c r="D4574" s="465"/>
      <c r="E4574" s="466" t="s">
        <v>4850</v>
      </c>
      <c r="F4574" s="466" t="s">
        <v>1226</v>
      </c>
      <c r="G4574" s="465"/>
      <c r="H4574" s="465">
        <v>3</v>
      </c>
    </row>
    <row r="4575" spans="1:8" ht="13.8" thickBot="1">
      <c r="A4575" s="467" t="s">
        <v>10190</v>
      </c>
      <c r="B4575" s="465" t="s">
        <v>4852</v>
      </c>
      <c r="C4575" s="466">
        <v>7</v>
      </c>
      <c r="D4575" s="465"/>
      <c r="E4575" s="466" t="s">
        <v>4850</v>
      </c>
      <c r="F4575" s="466" t="s">
        <v>1226</v>
      </c>
      <c r="G4575" s="465"/>
      <c r="H4575" s="465">
        <v>2</v>
      </c>
    </row>
    <row r="4576" spans="1:8" ht="13.8" thickBot="1">
      <c r="A4576" s="465" t="s">
        <v>10191</v>
      </c>
      <c r="B4576" s="465" t="s">
        <v>4853</v>
      </c>
      <c r="C4576" s="466">
        <v>7</v>
      </c>
      <c r="D4576" s="467" t="s">
        <v>614</v>
      </c>
      <c r="E4576" s="466" t="s">
        <v>4850</v>
      </c>
      <c r="F4576" s="466" t="s">
        <v>1224</v>
      </c>
      <c r="G4576" s="465"/>
      <c r="H4576" s="465">
        <v>1</v>
      </c>
    </row>
    <row r="4577" spans="1:8" ht="13.8" thickBot="1">
      <c r="A4577" s="465" t="s">
        <v>10192</v>
      </c>
      <c r="B4577" s="465" t="s">
        <v>4851</v>
      </c>
      <c r="C4577" s="466">
        <v>7</v>
      </c>
      <c r="D4577" s="465"/>
      <c r="E4577" s="466" t="s">
        <v>4850</v>
      </c>
      <c r="F4577" s="466"/>
      <c r="G4577" s="465"/>
      <c r="H4577" s="465"/>
    </row>
    <row r="4578" spans="1:8" ht="13.8" thickBot="1">
      <c r="A4578" s="467" t="s">
        <v>10193</v>
      </c>
      <c r="B4578" s="465" t="s">
        <v>4854</v>
      </c>
      <c r="C4578" s="466">
        <v>7</v>
      </c>
      <c r="D4578" s="465"/>
      <c r="E4578" s="466" t="s">
        <v>4850</v>
      </c>
      <c r="F4578" s="466"/>
      <c r="G4578" s="465"/>
      <c r="H4578" s="465">
        <v>1</v>
      </c>
    </row>
    <row r="4579" spans="1:8" ht="13.8" thickBot="1">
      <c r="A4579" s="467" t="s">
        <v>10194</v>
      </c>
      <c r="B4579" s="465" t="s">
        <v>4853</v>
      </c>
      <c r="C4579" s="466">
        <v>7</v>
      </c>
      <c r="D4579" s="465"/>
      <c r="E4579" s="466" t="s">
        <v>4850</v>
      </c>
      <c r="F4579" s="466"/>
      <c r="G4579" s="465"/>
      <c r="H4579" s="465"/>
    </row>
    <row r="4580" spans="1:8" ht="13.8" thickBot="1">
      <c r="A4580" s="467" t="s">
        <v>10195</v>
      </c>
      <c r="B4580" s="465" t="s">
        <v>4855</v>
      </c>
      <c r="C4580" s="466">
        <v>7</v>
      </c>
      <c r="D4580" s="467" t="s">
        <v>614</v>
      </c>
      <c r="E4580" s="466" t="s">
        <v>4850</v>
      </c>
      <c r="F4580" s="466"/>
      <c r="G4580" s="465"/>
      <c r="H4580" s="465">
        <v>1</v>
      </c>
    </row>
    <row r="4581" spans="1:8" ht="13.8" thickBot="1">
      <c r="A4581" s="465" t="s">
        <v>10196</v>
      </c>
      <c r="B4581" s="465" t="s">
        <v>4856</v>
      </c>
      <c r="C4581" s="466">
        <v>7</v>
      </c>
      <c r="D4581" s="465"/>
      <c r="E4581" s="466" t="s">
        <v>4850</v>
      </c>
      <c r="F4581" s="466"/>
      <c r="G4581" s="465"/>
      <c r="H4581" s="465"/>
    </row>
    <row r="4582" spans="1:8" ht="13.8" thickBot="1">
      <c r="A4582" s="465" t="s">
        <v>10197</v>
      </c>
      <c r="B4582" s="465" t="s">
        <v>4857</v>
      </c>
      <c r="C4582" s="466">
        <v>7</v>
      </c>
      <c r="D4582" s="465"/>
      <c r="E4582" s="466" t="s">
        <v>4850</v>
      </c>
      <c r="F4582" s="466"/>
      <c r="G4582" s="465"/>
      <c r="H4582" s="465"/>
    </row>
    <row r="4583" spans="1:8" ht="13.8" thickBot="1">
      <c r="A4583" s="465" t="s">
        <v>10198</v>
      </c>
      <c r="B4583" s="465" t="s">
        <v>4880</v>
      </c>
      <c r="C4583" s="466">
        <v>7</v>
      </c>
      <c r="D4583" s="465"/>
      <c r="E4583" s="466" t="s">
        <v>4865</v>
      </c>
      <c r="F4583" s="466" t="s">
        <v>1226</v>
      </c>
      <c r="G4583" s="465"/>
      <c r="H4583" s="465">
        <v>2</v>
      </c>
    </row>
    <row r="4584" spans="1:8" ht="13.8" thickBot="1">
      <c r="A4584" s="465" t="s">
        <v>10199</v>
      </c>
      <c r="B4584" s="465" t="s">
        <v>4867</v>
      </c>
      <c r="C4584" s="466">
        <v>7</v>
      </c>
      <c r="D4584" s="465"/>
      <c r="E4584" s="466" t="s">
        <v>4865</v>
      </c>
      <c r="F4584" s="466"/>
      <c r="G4584" s="465"/>
      <c r="H4584" s="465">
        <v>1</v>
      </c>
    </row>
    <row r="4585" spans="1:8" ht="13.8" thickBot="1">
      <c r="A4585" s="467" t="s">
        <v>10200</v>
      </c>
      <c r="B4585" s="465" t="s">
        <v>4867</v>
      </c>
      <c r="C4585" s="466">
        <v>7</v>
      </c>
      <c r="D4585" s="465"/>
      <c r="E4585" s="466" t="s">
        <v>4865</v>
      </c>
      <c r="F4585" s="466"/>
      <c r="G4585" s="465"/>
      <c r="H4585" s="465"/>
    </row>
    <row r="4586" spans="1:8" ht="13.8" thickBot="1">
      <c r="A4586" s="467" t="s">
        <v>10201</v>
      </c>
      <c r="B4586" s="465" t="s">
        <v>4867</v>
      </c>
      <c r="C4586" s="466">
        <v>7</v>
      </c>
      <c r="D4586" s="465"/>
      <c r="E4586" s="466" t="s">
        <v>4865</v>
      </c>
      <c r="F4586" s="466"/>
      <c r="G4586" s="465">
        <v>2</v>
      </c>
      <c r="H4586" s="465">
        <v>3</v>
      </c>
    </row>
    <row r="4587" spans="1:8" ht="13.8" thickBot="1">
      <c r="A4587" s="467" t="s">
        <v>10202</v>
      </c>
      <c r="B4587" s="465" t="s">
        <v>4881</v>
      </c>
      <c r="C4587" s="466">
        <v>7</v>
      </c>
      <c r="D4587" s="465" t="s">
        <v>4882</v>
      </c>
      <c r="E4587" s="466" t="s">
        <v>4865</v>
      </c>
      <c r="F4587" s="466"/>
      <c r="G4587" s="465"/>
      <c r="H4587" s="465"/>
    </row>
    <row r="4588" spans="1:8" ht="13.8" thickBot="1">
      <c r="A4588" s="465" t="s">
        <v>10203</v>
      </c>
      <c r="B4588" s="465" t="s">
        <v>4881</v>
      </c>
      <c r="C4588" s="466">
        <v>7</v>
      </c>
      <c r="D4588" s="465" t="s">
        <v>4882</v>
      </c>
      <c r="E4588" s="466" t="s">
        <v>4865</v>
      </c>
      <c r="F4588" s="466"/>
      <c r="G4588" s="465"/>
      <c r="H4588" s="465"/>
    </row>
    <row r="4589" spans="1:8" ht="13.8" thickBot="1">
      <c r="A4589" s="465" t="s">
        <v>1122</v>
      </c>
      <c r="B4589" s="465" t="s">
        <v>4921</v>
      </c>
      <c r="C4589" s="466">
        <v>7</v>
      </c>
      <c r="D4589" s="465"/>
      <c r="E4589" s="466" t="s">
        <v>4918</v>
      </c>
      <c r="F4589" s="466" t="s">
        <v>1226</v>
      </c>
      <c r="G4589" s="465">
        <v>1</v>
      </c>
      <c r="H4589" s="465">
        <v>1</v>
      </c>
    </row>
    <row r="4590" spans="1:8" ht="13.8" thickBot="1">
      <c r="A4590" s="465" t="s">
        <v>10204</v>
      </c>
      <c r="B4590" s="465" t="s">
        <v>4945</v>
      </c>
      <c r="C4590" s="466">
        <v>7</v>
      </c>
      <c r="D4590" s="465"/>
      <c r="E4590" s="466" t="s">
        <v>4943</v>
      </c>
      <c r="F4590" s="466" t="s">
        <v>1226</v>
      </c>
      <c r="G4590" s="465">
        <v>2</v>
      </c>
      <c r="H4590" s="465">
        <v>4</v>
      </c>
    </row>
    <row r="4591" spans="1:8" ht="13.8" thickBot="1">
      <c r="A4591" s="467" t="s">
        <v>10205</v>
      </c>
      <c r="B4591" s="465" t="s">
        <v>4946</v>
      </c>
      <c r="C4591" s="466">
        <v>7</v>
      </c>
      <c r="D4591" s="465"/>
      <c r="E4591" s="466" t="s">
        <v>4943</v>
      </c>
      <c r="F4591" s="466" t="s">
        <v>1224</v>
      </c>
      <c r="G4591" s="465"/>
      <c r="H4591" s="465">
        <v>3</v>
      </c>
    </row>
    <row r="4592" spans="1:8" ht="13.8" thickBot="1">
      <c r="A4592" s="467" t="s">
        <v>10206</v>
      </c>
      <c r="B4592" s="465" t="s">
        <v>4942</v>
      </c>
      <c r="C4592" s="466">
        <v>7</v>
      </c>
      <c r="D4592" s="465"/>
      <c r="E4592" s="466" t="s">
        <v>4943</v>
      </c>
      <c r="F4592" s="466"/>
      <c r="G4592" s="465"/>
      <c r="H4592" s="465">
        <v>1</v>
      </c>
    </row>
    <row r="4593" spans="1:8" ht="13.8" thickBot="1">
      <c r="A4593" s="467" t="s">
        <v>10207</v>
      </c>
      <c r="B4593" s="465" t="s">
        <v>4971</v>
      </c>
      <c r="C4593" s="466">
        <v>7</v>
      </c>
      <c r="D4593" s="465"/>
      <c r="E4593" s="466" t="s">
        <v>4970</v>
      </c>
      <c r="F4593" s="466" t="s">
        <v>1226</v>
      </c>
      <c r="G4593" s="465">
        <v>1</v>
      </c>
      <c r="H4593" s="465">
        <v>3</v>
      </c>
    </row>
    <row r="4594" spans="1:8" ht="13.8" thickBot="1">
      <c r="A4594" s="467" t="s">
        <v>10208</v>
      </c>
      <c r="B4594" s="465" t="s">
        <v>1593</v>
      </c>
      <c r="C4594" s="466">
        <v>7</v>
      </c>
      <c r="D4594" s="465"/>
      <c r="E4594" s="466" t="s">
        <v>4970</v>
      </c>
      <c r="F4594" s="466"/>
      <c r="G4594" s="465"/>
      <c r="H4594" s="465">
        <v>1</v>
      </c>
    </row>
    <row r="4595" spans="1:8" ht="13.8" thickBot="1">
      <c r="A4595" s="467" t="s">
        <v>10209</v>
      </c>
      <c r="B4595" s="465" t="s">
        <v>1606</v>
      </c>
      <c r="C4595" s="466">
        <v>7</v>
      </c>
      <c r="D4595" s="465"/>
      <c r="E4595" s="466" t="s">
        <v>4970</v>
      </c>
      <c r="F4595" s="466"/>
      <c r="G4595" s="465"/>
      <c r="H4595" s="465">
        <v>1</v>
      </c>
    </row>
    <row r="4596" spans="1:8" ht="13.8" thickBot="1">
      <c r="A4596" s="465" t="s">
        <v>10210</v>
      </c>
      <c r="B4596" s="465" t="s">
        <v>4972</v>
      </c>
      <c r="C4596" s="466">
        <v>7</v>
      </c>
      <c r="D4596" s="465"/>
      <c r="E4596" s="466" t="s">
        <v>4970</v>
      </c>
      <c r="F4596" s="466"/>
      <c r="G4596" s="465">
        <v>1</v>
      </c>
      <c r="H4596" s="465">
        <v>1</v>
      </c>
    </row>
    <row r="4597" spans="1:8" ht="13.8" thickBot="1">
      <c r="A4597" s="465" t="s">
        <v>10211</v>
      </c>
      <c r="B4597" s="465" t="s">
        <v>4973</v>
      </c>
      <c r="C4597" s="466">
        <v>7</v>
      </c>
      <c r="D4597" s="465"/>
      <c r="E4597" s="466" t="s">
        <v>4970</v>
      </c>
      <c r="F4597" s="466"/>
      <c r="G4597" s="465"/>
      <c r="H4597" s="465">
        <v>2</v>
      </c>
    </row>
    <row r="4598" spans="1:8" ht="13.8" thickBot="1">
      <c r="A4598" s="465" t="s">
        <v>9844</v>
      </c>
      <c r="B4598" s="465" t="s">
        <v>2246</v>
      </c>
      <c r="C4598" s="466">
        <v>7</v>
      </c>
      <c r="D4598" s="465"/>
      <c r="E4598" s="466" t="s">
        <v>2242</v>
      </c>
      <c r="F4598" s="466"/>
      <c r="G4598" s="465"/>
      <c r="H4598" s="465">
        <v>1</v>
      </c>
    </row>
    <row r="4599" spans="1:8" ht="13.8" thickBot="1">
      <c r="A4599" s="465" t="s">
        <v>10212</v>
      </c>
      <c r="B4599" s="465" t="s">
        <v>5041</v>
      </c>
      <c r="C4599" s="466">
        <v>7</v>
      </c>
      <c r="D4599" s="467" t="s">
        <v>614</v>
      </c>
      <c r="E4599" s="466" t="s">
        <v>5042</v>
      </c>
      <c r="F4599" s="466" t="s">
        <v>1251</v>
      </c>
      <c r="G4599" s="465"/>
      <c r="H4599" s="465">
        <v>4</v>
      </c>
    </row>
    <row r="4600" spans="1:8" ht="13.8" thickBot="1">
      <c r="A4600" s="467" t="s">
        <v>10213</v>
      </c>
      <c r="B4600" s="465" t="s">
        <v>5043</v>
      </c>
      <c r="C4600" s="466">
        <v>7</v>
      </c>
      <c r="D4600" s="465"/>
      <c r="E4600" s="466" t="s">
        <v>5042</v>
      </c>
      <c r="F4600" s="466" t="s">
        <v>1841</v>
      </c>
      <c r="G4600" s="465"/>
      <c r="H4600" s="465">
        <v>13</v>
      </c>
    </row>
    <row r="4601" spans="1:8" ht="13.8" thickBot="1">
      <c r="A4601" s="467" t="s">
        <v>10214</v>
      </c>
      <c r="B4601" s="465" t="s">
        <v>5044</v>
      </c>
      <c r="C4601" s="466">
        <v>7</v>
      </c>
      <c r="D4601" s="467" t="s">
        <v>614</v>
      </c>
      <c r="E4601" s="466" t="s">
        <v>5042</v>
      </c>
      <c r="F4601" s="466" t="s">
        <v>1226</v>
      </c>
      <c r="G4601" s="465"/>
      <c r="H4601" s="465">
        <v>2</v>
      </c>
    </row>
    <row r="4602" spans="1:8" ht="13.8" thickBot="1">
      <c r="A4602" s="465" t="s">
        <v>10215</v>
      </c>
      <c r="B4602" s="465" t="s">
        <v>5045</v>
      </c>
      <c r="C4602" s="466">
        <v>7</v>
      </c>
      <c r="D4602" s="467" t="s">
        <v>614</v>
      </c>
      <c r="E4602" s="466" t="s">
        <v>5042</v>
      </c>
      <c r="F4602" s="466" t="s">
        <v>1226</v>
      </c>
      <c r="G4602" s="465"/>
      <c r="H4602" s="465">
        <v>2</v>
      </c>
    </row>
    <row r="4603" spans="1:8" ht="13.8" thickBot="1">
      <c r="A4603" s="467" t="s">
        <v>10216</v>
      </c>
      <c r="B4603" s="465" t="s">
        <v>5046</v>
      </c>
      <c r="C4603" s="466">
        <v>7</v>
      </c>
      <c r="D4603" s="465"/>
      <c r="E4603" s="466" t="s">
        <v>5042</v>
      </c>
      <c r="F4603" s="466"/>
      <c r="G4603" s="465"/>
      <c r="H4603" s="465">
        <v>1</v>
      </c>
    </row>
    <row r="4604" spans="1:8" ht="13.8" thickBot="1">
      <c r="A4604" s="467" t="s">
        <v>10217</v>
      </c>
      <c r="B4604" s="465" t="s">
        <v>5047</v>
      </c>
      <c r="C4604" s="466">
        <v>7</v>
      </c>
      <c r="D4604" s="467" t="s">
        <v>4193</v>
      </c>
      <c r="E4604" s="466" t="s">
        <v>5042</v>
      </c>
      <c r="F4604" s="466"/>
      <c r="G4604" s="465"/>
      <c r="H4604" s="465">
        <v>2</v>
      </c>
    </row>
    <row r="4605" spans="1:8" ht="13.8" thickBot="1">
      <c r="A4605" s="465" t="s">
        <v>10218</v>
      </c>
      <c r="B4605" s="465" t="s">
        <v>5058</v>
      </c>
      <c r="C4605" s="466">
        <v>7</v>
      </c>
      <c r="D4605" s="465"/>
      <c r="E4605" s="466" t="s">
        <v>5059</v>
      </c>
      <c r="F4605" s="466" t="s">
        <v>1251</v>
      </c>
      <c r="G4605" s="465"/>
      <c r="H4605" s="465">
        <v>5</v>
      </c>
    </row>
    <row r="4606" spans="1:8" ht="13.8" thickBot="1">
      <c r="A4606" s="465" t="s">
        <v>10219</v>
      </c>
      <c r="B4606" s="465" t="s">
        <v>5060</v>
      </c>
      <c r="C4606" s="466">
        <v>7</v>
      </c>
      <c r="D4606" s="467" t="s">
        <v>614</v>
      </c>
      <c r="E4606" s="466" t="s">
        <v>5059</v>
      </c>
      <c r="F4606" s="466" t="s">
        <v>1226</v>
      </c>
      <c r="G4606" s="465"/>
      <c r="H4606" s="465">
        <v>3</v>
      </c>
    </row>
    <row r="4607" spans="1:8" ht="13.8" thickBot="1">
      <c r="A4607" s="467" t="s">
        <v>10220</v>
      </c>
      <c r="B4607" s="465" t="s">
        <v>5061</v>
      </c>
      <c r="C4607" s="466">
        <v>7</v>
      </c>
      <c r="D4607" s="465"/>
      <c r="E4607" s="466" t="s">
        <v>5059</v>
      </c>
      <c r="F4607" s="466"/>
      <c r="G4607" s="465"/>
      <c r="H4607" s="465">
        <v>1</v>
      </c>
    </row>
    <row r="4608" spans="1:8" ht="13.8" thickBot="1">
      <c r="A4608" s="465" t="s">
        <v>10221</v>
      </c>
      <c r="B4608" s="465" t="s">
        <v>5090</v>
      </c>
      <c r="C4608" s="466">
        <v>7</v>
      </c>
      <c r="D4608" s="465"/>
      <c r="E4608" s="466" t="s">
        <v>5086</v>
      </c>
      <c r="F4608" s="466"/>
      <c r="G4608" s="465"/>
      <c r="H4608" s="465"/>
    </row>
    <row r="4609" spans="1:8" ht="13.8" thickBot="1">
      <c r="A4609" s="465" t="s">
        <v>10222</v>
      </c>
      <c r="B4609" s="465" t="s">
        <v>1491</v>
      </c>
      <c r="C4609" s="466">
        <v>7</v>
      </c>
      <c r="D4609" s="465"/>
      <c r="E4609" s="466" t="s">
        <v>5094</v>
      </c>
      <c r="F4609" s="466"/>
      <c r="G4609" s="465"/>
      <c r="H4609" s="465"/>
    </row>
    <row r="4610" spans="1:8" ht="13.8" thickBot="1">
      <c r="A4610" s="465" t="s">
        <v>9845</v>
      </c>
      <c r="B4610" s="465" t="s">
        <v>2272</v>
      </c>
      <c r="C4610" s="466">
        <v>7</v>
      </c>
      <c r="D4610" s="465"/>
      <c r="E4610" s="466" t="s">
        <v>2273</v>
      </c>
      <c r="F4610" s="466" t="s">
        <v>1226</v>
      </c>
      <c r="G4610" s="465"/>
      <c r="H4610" s="465">
        <v>2</v>
      </c>
    </row>
    <row r="4611" spans="1:8" ht="13.8" thickBot="1">
      <c r="A4611" s="467" t="s">
        <v>10223</v>
      </c>
      <c r="B4611" s="465" t="s">
        <v>5127</v>
      </c>
      <c r="C4611" s="466">
        <v>7</v>
      </c>
      <c r="D4611" s="465"/>
      <c r="E4611" s="466" t="s">
        <v>5125</v>
      </c>
      <c r="F4611" s="466" t="s">
        <v>1251</v>
      </c>
      <c r="G4611" s="465"/>
      <c r="H4611" s="465">
        <v>5</v>
      </c>
    </row>
    <row r="4612" spans="1:8" ht="13.8" thickBot="1">
      <c r="A4612" s="465" t="s">
        <v>10224</v>
      </c>
      <c r="B4612" s="465" t="s">
        <v>1536</v>
      </c>
      <c r="C4612" s="466">
        <v>7</v>
      </c>
      <c r="D4612" s="465"/>
      <c r="E4612" s="466" t="s">
        <v>5125</v>
      </c>
      <c r="F4612" s="466"/>
      <c r="G4612" s="465"/>
      <c r="H4612" s="465">
        <v>1</v>
      </c>
    </row>
    <row r="4613" spans="1:8" ht="13.8" thickBot="1">
      <c r="A4613" s="465" t="s">
        <v>10225</v>
      </c>
      <c r="B4613" s="465" t="s">
        <v>5140</v>
      </c>
      <c r="C4613" s="466">
        <v>7</v>
      </c>
      <c r="D4613" s="465"/>
      <c r="E4613" s="466" t="s">
        <v>5139</v>
      </c>
      <c r="F4613" s="466" t="s">
        <v>1226</v>
      </c>
      <c r="G4613" s="465">
        <v>1</v>
      </c>
      <c r="H4613" s="465">
        <v>3</v>
      </c>
    </row>
    <row r="4614" spans="1:8" ht="13.8" thickBot="1">
      <c r="A4614" s="465" t="s">
        <v>10226</v>
      </c>
      <c r="B4614" s="465" t="s">
        <v>5141</v>
      </c>
      <c r="C4614" s="466">
        <v>7</v>
      </c>
      <c r="D4614" s="465"/>
      <c r="E4614" s="466" t="s">
        <v>5139</v>
      </c>
      <c r="F4614" s="466" t="s">
        <v>1226</v>
      </c>
      <c r="G4614" s="465">
        <v>1</v>
      </c>
      <c r="H4614" s="465">
        <v>2</v>
      </c>
    </row>
    <row r="4615" spans="1:8" ht="13.8" thickBot="1">
      <c r="A4615" s="465" t="s">
        <v>10227</v>
      </c>
      <c r="B4615" s="465" t="s">
        <v>5164</v>
      </c>
      <c r="C4615" s="466">
        <v>7</v>
      </c>
      <c r="D4615" s="465"/>
      <c r="E4615" s="466" t="s">
        <v>5155</v>
      </c>
      <c r="F4615" s="466" t="s">
        <v>1226</v>
      </c>
      <c r="G4615" s="465"/>
      <c r="H4615" s="465">
        <v>2</v>
      </c>
    </row>
    <row r="4616" spans="1:8" ht="13.8" thickBot="1">
      <c r="A4616" s="465" t="s">
        <v>10228</v>
      </c>
      <c r="B4616" s="465" t="s">
        <v>5165</v>
      </c>
      <c r="C4616" s="466">
        <v>7</v>
      </c>
      <c r="D4616" s="465"/>
      <c r="E4616" s="466" t="s">
        <v>5155</v>
      </c>
      <c r="F4616" s="466" t="s">
        <v>1224</v>
      </c>
      <c r="G4616" s="465"/>
      <c r="H4616" s="465">
        <v>2</v>
      </c>
    </row>
    <row r="4617" spans="1:8" ht="13.8" thickBot="1">
      <c r="A4617" s="465" t="s">
        <v>10229</v>
      </c>
      <c r="B4617" s="465" t="s">
        <v>5166</v>
      </c>
      <c r="C4617" s="466">
        <v>7</v>
      </c>
      <c r="D4617" s="465"/>
      <c r="E4617" s="466" t="s">
        <v>5155</v>
      </c>
      <c r="F4617" s="466"/>
      <c r="G4617" s="465"/>
      <c r="H4617" s="465">
        <v>2</v>
      </c>
    </row>
    <row r="4618" spans="1:8" ht="13.8" thickBot="1">
      <c r="A4618" s="465" t="s">
        <v>10230</v>
      </c>
      <c r="B4618" s="465" t="s">
        <v>5167</v>
      </c>
      <c r="C4618" s="466">
        <v>7</v>
      </c>
      <c r="D4618" s="465"/>
      <c r="E4618" s="466" t="s">
        <v>5155</v>
      </c>
      <c r="F4618" s="466"/>
      <c r="G4618" s="465">
        <v>1</v>
      </c>
      <c r="H4618" s="465">
        <v>2</v>
      </c>
    </row>
    <row r="4619" spans="1:8" ht="13.8" thickBot="1">
      <c r="A4619" s="465" t="s">
        <v>10231</v>
      </c>
      <c r="B4619" s="465" t="s">
        <v>5203</v>
      </c>
      <c r="C4619" s="466">
        <v>7</v>
      </c>
      <c r="D4619" s="465"/>
      <c r="E4619" s="466" t="s">
        <v>5196</v>
      </c>
      <c r="F4619" s="466" t="s">
        <v>1251</v>
      </c>
      <c r="G4619" s="465"/>
      <c r="H4619" s="465">
        <v>3</v>
      </c>
    </row>
    <row r="4620" spans="1:8" ht="13.8" thickBot="1">
      <c r="A4620" s="467" t="s">
        <v>10232</v>
      </c>
      <c r="B4620" s="465" t="s">
        <v>5204</v>
      </c>
      <c r="C4620" s="466">
        <v>7</v>
      </c>
      <c r="D4620" s="465" t="s">
        <v>614</v>
      </c>
      <c r="E4620" s="466" t="s">
        <v>5196</v>
      </c>
      <c r="F4620" s="466" t="s">
        <v>1251</v>
      </c>
      <c r="G4620" s="465"/>
      <c r="H4620" s="465">
        <v>4</v>
      </c>
    </row>
    <row r="4621" spans="1:8" ht="13.8" thickBot="1">
      <c r="A4621" s="465" t="s">
        <v>10233</v>
      </c>
      <c r="B4621" s="465" t="s">
        <v>5205</v>
      </c>
      <c r="C4621" s="466">
        <v>7</v>
      </c>
      <c r="D4621" s="465"/>
      <c r="E4621" s="466" t="s">
        <v>5196</v>
      </c>
      <c r="F4621" s="466" t="s">
        <v>1226</v>
      </c>
      <c r="G4621" s="465"/>
      <c r="H4621" s="465">
        <v>3</v>
      </c>
    </row>
    <row r="4622" spans="1:8" ht="13.8" thickBot="1">
      <c r="A4622" s="465" t="s">
        <v>10234</v>
      </c>
      <c r="B4622" s="465" t="s">
        <v>5206</v>
      </c>
      <c r="C4622" s="466">
        <v>7</v>
      </c>
      <c r="D4622" s="465"/>
      <c r="E4622" s="466" t="s">
        <v>5196</v>
      </c>
      <c r="F4622" s="466" t="s">
        <v>1226</v>
      </c>
      <c r="G4622" s="465">
        <v>1</v>
      </c>
      <c r="H4622" s="465">
        <v>6</v>
      </c>
    </row>
    <row r="4623" spans="1:8" ht="13.8" thickBot="1">
      <c r="A4623" s="467" t="s">
        <v>10235</v>
      </c>
      <c r="B4623" s="465" t="s">
        <v>5195</v>
      </c>
      <c r="C4623" s="466">
        <v>7</v>
      </c>
      <c r="D4623" s="465"/>
      <c r="E4623" s="466" t="s">
        <v>5196</v>
      </c>
      <c r="F4623" s="466"/>
      <c r="G4623" s="465"/>
      <c r="H4623" s="465"/>
    </row>
    <row r="4624" spans="1:8" ht="13.8" thickBot="1">
      <c r="A4624" s="467" t="s">
        <v>10236</v>
      </c>
      <c r="B4624" s="465" t="s">
        <v>5195</v>
      </c>
      <c r="C4624" s="466">
        <v>7</v>
      </c>
      <c r="D4624" s="465"/>
      <c r="E4624" s="466" t="s">
        <v>5196</v>
      </c>
      <c r="F4624" s="466"/>
      <c r="G4624" s="465"/>
      <c r="H4624" s="465"/>
    </row>
    <row r="4625" spans="1:8" ht="13.8" thickBot="1">
      <c r="A4625" s="465" t="s">
        <v>10237</v>
      </c>
      <c r="B4625" s="465" t="s">
        <v>5229</v>
      </c>
      <c r="C4625" s="466">
        <v>7</v>
      </c>
      <c r="D4625" s="465"/>
      <c r="E4625" s="466" t="s">
        <v>5226</v>
      </c>
      <c r="F4625" s="466" t="s">
        <v>1251</v>
      </c>
      <c r="G4625" s="465">
        <v>2</v>
      </c>
      <c r="H4625" s="465">
        <v>3</v>
      </c>
    </row>
    <row r="4626" spans="1:8" ht="13.8" thickBot="1">
      <c r="A4626" s="465" t="s">
        <v>10238</v>
      </c>
      <c r="B4626" s="465" t="s">
        <v>5230</v>
      </c>
      <c r="C4626" s="466">
        <v>7</v>
      </c>
      <c r="D4626" s="467" t="s">
        <v>614</v>
      </c>
      <c r="E4626" s="466" t="s">
        <v>5226</v>
      </c>
      <c r="F4626" s="466" t="s">
        <v>1251</v>
      </c>
      <c r="G4626" s="465"/>
      <c r="H4626" s="465">
        <v>2</v>
      </c>
    </row>
    <row r="4627" spans="1:8" ht="13.8" thickBot="1">
      <c r="A4627" s="465" t="s">
        <v>10239</v>
      </c>
      <c r="B4627" s="465" t="s">
        <v>5231</v>
      </c>
      <c r="C4627" s="466">
        <v>7</v>
      </c>
      <c r="D4627" s="465"/>
      <c r="E4627" s="466" t="s">
        <v>5226</v>
      </c>
      <c r="F4627" s="466" t="s">
        <v>1224</v>
      </c>
      <c r="G4627" s="465"/>
      <c r="H4627" s="465">
        <v>2</v>
      </c>
    </row>
    <row r="4628" spans="1:8" ht="13.8" thickBot="1">
      <c r="A4628" s="465" t="s">
        <v>10240</v>
      </c>
      <c r="B4628" s="465" t="s">
        <v>5232</v>
      </c>
      <c r="C4628" s="466">
        <v>7</v>
      </c>
      <c r="D4628" s="465"/>
      <c r="E4628" s="466" t="s">
        <v>5226</v>
      </c>
      <c r="F4628" s="466"/>
      <c r="G4628" s="465"/>
      <c r="H4628" s="465">
        <v>7</v>
      </c>
    </row>
    <row r="4629" spans="1:8" ht="13.8" thickBot="1">
      <c r="A4629" s="467" t="s">
        <v>10241</v>
      </c>
      <c r="B4629" s="465" t="s">
        <v>5233</v>
      </c>
      <c r="C4629" s="466">
        <v>7</v>
      </c>
      <c r="D4629" s="467" t="s">
        <v>614</v>
      </c>
      <c r="E4629" s="466" t="s">
        <v>5226</v>
      </c>
      <c r="F4629" s="466"/>
      <c r="G4629" s="465"/>
      <c r="H4629" s="465">
        <v>1</v>
      </c>
    </row>
    <row r="4630" spans="1:8" ht="13.8" thickBot="1">
      <c r="A4630" s="467" t="s">
        <v>10242</v>
      </c>
      <c r="B4630" s="465" t="s">
        <v>5234</v>
      </c>
      <c r="C4630" s="466">
        <v>7</v>
      </c>
      <c r="D4630" s="465"/>
      <c r="E4630" s="466" t="s">
        <v>5226</v>
      </c>
      <c r="F4630" s="466"/>
      <c r="G4630" s="465"/>
      <c r="H4630" s="465">
        <v>9</v>
      </c>
    </row>
    <row r="4631" spans="1:8" ht="13.8" thickBot="1">
      <c r="A4631" s="465" t="s">
        <v>10243</v>
      </c>
      <c r="B4631" s="465" t="s">
        <v>5235</v>
      </c>
      <c r="C4631" s="466">
        <v>7</v>
      </c>
      <c r="D4631" s="465"/>
      <c r="E4631" s="466" t="s">
        <v>5226</v>
      </c>
      <c r="F4631" s="466"/>
      <c r="G4631" s="465">
        <v>3</v>
      </c>
      <c r="H4631" s="465">
        <v>4</v>
      </c>
    </row>
    <row r="4632" spans="1:8" ht="13.8" thickBot="1">
      <c r="A4632" s="467" t="s">
        <v>9846</v>
      </c>
      <c r="B4632" s="465" t="s">
        <v>2318</v>
      </c>
      <c r="C4632" s="466">
        <v>7</v>
      </c>
      <c r="D4632" s="467" t="s">
        <v>614</v>
      </c>
      <c r="E4632" s="466" t="s">
        <v>2289</v>
      </c>
      <c r="F4632" s="466" t="s">
        <v>2319</v>
      </c>
      <c r="G4632" s="465">
        <v>3</v>
      </c>
      <c r="H4632" s="465">
        <v>12</v>
      </c>
    </row>
    <row r="4633" spans="1:8" ht="13.8" thickBot="1">
      <c r="A4633" s="467" t="s">
        <v>9847</v>
      </c>
      <c r="B4633" s="465" t="s">
        <v>1726</v>
      </c>
      <c r="C4633" s="466">
        <v>7</v>
      </c>
      <c r="D4633" s="465"/>
      <c r="E4633" s="466" t="s">
        <v>2289</v>
      </c>
      <c r="F4633" s="466" t="s">
        <v>1226</v>
      </c>
      <c r="G4633" s="465"/>
      <c r="H4633" s="465">
        <v>5</v>
      </c>
    </row>
    <row r="4634" spans="1:8" ht="13.8" thickBot="1">
      <c r="A4634" s="467" t="s">
        <v>9848</v>
      </c>
      <c r="B4634" s="465" t="s">
        <v>2320</v>
      </c>
      <c r="C4634" s="466">
        <v>7</v>
      </c>
      <c r="D4634" s="467" t="s">
        <v>614</v>
      </c>
      <c r="E4634" s="466" t="s">
        <v>2289</v>
      </c>
      <c r="F4634" s="466" t="s">
        <v>1226</v>
      </c>
      <c r="G4634" s="465"/>
      <c r="H4634" s="465">
        <v>3</v>
      </c>
    </row>
    <row r="4635" spans="1:8" ht="13.8" thickBot="1">
      <c r="A4635" s="465" t="s">
        <v>9849</v>
      </c>
      <c r="B4635" s="465" t="s">
        <v>2321</v>
      </c>
      <c r="C4635" s="466">
        <v>7</v>
      </c>
      <c r="D4635" s="465"/>
      <c r="E4635" s="466" t="s">
        <v>2289</v>
      </c>
      <c r="F4635" s="466" t="s">
        <v>1226</v>
      </c>
      <c r="G4635" s="465"/>
      <c r="H4635" s="465">
        <v>1</v>
      </c>
    </row>
    <row r="4636" spans="1:8" ht="13.8" thickBot="1">
      <c r="A4636" s="465" t="s">
        <v>9850</v>
      </c>
      <c r="B4636" s="465" t="s">
        <v>2322</v>
      </c>
      <c r="C4636" s="466">
        <v>7</v>
      </c>
      <c r="D4636" s="465"/>
      <c r="E4636" s="466" t="s">
        <v>2289</v>
      </c>
      <c r="F4636" s="466" t="s">
        <v>1226</v>
      </c>
      <c r="G4636" s="465"/>
      <c r="H4636" s="465">
        <v>1</v>
      </c>
    </row>
    <row r="4637" spans="1:8" ht="13.8" thickBot="1">
      <c r="A4637" s="465" t="s">
        <v>9851</v>
      </c>
      <c r="B4637" s="465" t="s">
        <v>1726</v>
      </c>
      <c r="C4637" s="466">
        <v>7</v>
      </c>
      <c r="D4637" s="465"/>
      <c r="E4637" s="466" t="s">
        <v>2289</v>
      </c>
      <c r="F4637" s="466" t="s">
        <v>1224</v>
      </c>
      <c r="G4637" s="465"/>
      <c r="H4637" s="465">
        <v>1</v>
      </c>
    </row>
    <row r="4638" spans="1:8" ht="13.8" thickBot="1">
      <c r="A4638" s="465" t="s">
        <v>9852</v>
      </c>
      <c r="B4638" s="465" t="s">
        <v>1726</v>
      </c>
      <c r="C4638" s="466">
        <v>7</v>
      </c>
      <c r="D4638" s="465"/>
      <c r="E4638" s="466" t="s">
        <v>2289</v>
      </c>
      <c r="F4638" s="466" t="s">
        <v>1224</v>
      </c>
      <c r="G4638" s="465"/>
      <c r="H4638" s="465">
        <v>1</v>
      </c>
    </row>
    <row r="4639" spans="1:8" ht="13.8" thickBot="1">
      <c r="A4639" s="465" t="s">
        <v>9853</v>
      </c>
      <c r="B4639" s="465" t="s">
        <v>2323</v>
      </c>
      <c r="C4639" s="466">
        <v>7</v>
      </c>
      <c r="D4639" s="465"/>
      <c r="E4639" s="466" t="s">
        <v>2289</v>
      </c>
      <c r="F4639" s="466" t="s">
        <v>1224</v>
      </c>
      <c r="G4639" s="465">
        <v>1</v>
      </c>
      <c r="H4639" s="465">
        <v>2</v>
      </c>
    </row>
    <row r="4640" spans="1:8" ht="13.8" thickBot="1">
      <c r="A4640" s="467" t="s">
        <v>9854</v>
      </c>
      <c r="B4640" s="465" t="s">
        <v>2324</v>
      </c>
      <c r="C4640" s="466">
        <v>7</v>
      </c>
      <c r="D4640" s="465"/>
      <c r="E4640" s="466" t="s">
        <v>2289</v>
      </c>
      <c r="F4640" s="466" t="s">
        <v>1224</v>
      </c>
      <c r="G4640" s="465"/>
      <c r="H4640" s="465">
        <v>3</v>
      </c>
    </row>
    <row r="4641" spans="1:8" ht="13.8" thickBot="1">
      <c r="A4641" s="465" t="s">
        <v>9855</v>
      </c>
      <c r="B4641" s="465" t="s">
        <v>2325</v>
      </c>
      <c r="C4641" s="466">
        <v>7</v>
      </c>
      <c r="D4641" s="465"/>
      <c r="E4641" s="466" t="s">
        <v>2289</v>
      </c>
      <c r="F4641" s="466"/>
      <c r="G4641" s="465"/>
      <c r="H4641" s="465"/>
    </row>
    <row r="4642" spans="1:8" ht="13.8" thickBot="1">
      <c r="A4642" s="465" t="s">
        <v>9856</v>
      </c>
      <c r="B4642" s="465" t="s">
        <v>2326</v>
      </c>
      <c r="C4642" s="466">
        <v>7</v>
      </c>
      <c r="D4642" s="465"/>
      <c r="E4642" s="466" t="s">
        <v>2289</v>
      </c>
      <c r="F4642" s="466"/>
      <c r="G4642" s="465"/>
      <c r="H4642" s="465">
        <v>2</v>
      </c>
    </row>
    <row r="4643" spans="1:8" ht="13.8" thickBot="1">
      <c r="A4643" s="465" t="s">
        <v>9857</v>
      </c>
      <c r="B4643" s="465" t="s">
        <v>2327</v>
      </c>
      <c r="C4643" s="466">
        <v>7</v>
      </c>
      <c r="D4643" s="467" t="s">
        <v>614</v>
      </c>
      <c r="E4643" s="466" t="s">
        <v>2289</v>
      </c>
      <c r="F4643" s="466"/>
      <c r="G4643" s="465"/>
      <c r="H4643" s="465"/>
    </row>
    <row r="4644" spans="1:8" ht="13.8" thickBot="1">
      <c r="A4644" s="467" t="s">
        <v>9858</v>
      </c>
      <c r="B4644" s="465" t="s">
        <v>2328</v>
      </c>
      <c r="C4644" s="466">
        <v>7</v>
      </c>
      <c r="D4644" s="467" t="s">
        <v>614</v>
      </c>
      <c r="E4644" s="466" t="s">
        <v>2289</v>
      </c>
      <c r="F4644" s="466"/>
      <c r="G4644" s="465"/>
      <c r="H4644" s="465"/>
    </row>
    <row r="4645" spans="1:8" ht="13.8" thickBot="1">
      <c r="A4645" s="467" t="s">
        <v>9859</v>
      </c>
      <c r="B4645" s="465" t="s">
        <v>2299</v>
      </c>
      <c r="C4645" s="466">
        <v>7</v>
      </c>
      <c r="D4645" s="465"/>
      <c r="E4645" s="466" t="s">
        <v>2289</v>
      </c>
      <c r="F4645" s="466"/>
      <c r="G4645" s="465"/>
      <c r="H4645" s="465">
        <v>1</v>
      </c>
    </row>
    <row r="4646" spans="1:8" ht="13.8" thickBot="1">
      <c r="A4646" s="465" t="s">
        <v>9860</v>
      </c>
      <c r="B4646" s="465" t="s">
        <v>2329</v>
      </c>
      <c r="C4646" s="466">
        <v>7</v>
      </c>
      <c r="D4646" s="465"/>
      <c r="E4646" s="466" t="s">
        <v>2289</v>
      </c>
      <c r="F4646" s="466"/>
      <c r="G4646" s="465"/>
      <c r="H4646" s="465">
        <v>2</v>
      </c>
    </row>
    <row r="4647" spans="1:8" ht="13.8" thickBot="1">
      <c r="A4647" s="467" t="s">
        <v>9861</v>
      </c>
      <c r="B4647" s="465" t="s">
        <v>2330</v>
      </c>
      <c r="C4647" s="466">
        <v>7</v>
      </c>
      <c r="D4647" s="465"/>
      <c r="E4647" s="466" t="s">
        <v>2289</v>
      </c>
      <c r="F4647" s="466"/>
      <c r="G4647" s="465"/>
      <c r="H4647" s="465">
        <v>2</v>
      </c>
    </row>
    <row r="4648" spans="1:8" ht="13.8" thickBot="1">
      <c r="A4648" s="467" t="s">
        <v>9862</v>
      </c>
      <c r="B4648" s="465" t="s">
        <v>2308</v>
      </c>
      <c r="C4648" s="466">
        <v>7</v>
      </c>
      <c r="D4648" s="465"/>
      <c r="E4648" s="466" t="s">
        <v>2289</v>
      </c>
      <c r="F4648" s="466"/>
      <c r="G4648" s="465"/>
      <c r="H4648" s="465">
        <v>2</v>
      </c>
    </row>
    <row r="4649" spans="1:8" ht="13.8" thickBot="1">
      <c r="A4649" s="467" t="s">
        <v>9863</v>
      </c>
      <c r="B4649" s="465" t="s">
        <v>2331</v>
      </c>
      <c r="C4649" s="466">
        <v>7</v>
      </c>
      <c r="D4649" s="465"/>
      <c r="E4649" s="466" t="s">
        <v>2289</v>
      </c>
      <c r="F4649" s="466"/>
      <c r="G4649" s="465"/>
      <c r="H4649" s="465">
        <v>1</v>
      </c>
    </row>
    <row r="4650" spans="1:8" ht="13.8" thickBot="1">
      <c r="A4650" s="465" t="s">
        <v>9864</v>
      </c>
      <c r="B4650" s="465" t="s">
        <v>2332</v>
      </c>
      <c r="C4650" s="466">
        <v>7</v>
      </c>
      <c r="D4650" s="465"/>
      <c r="E4650" s="466" t="s">
        <v>2289</v>
      </c>
      <c r="F4650" s="466"/>
      <c r="G4650" s="465"/>
      <c r="H4650" s="465">
        <v>1</v>
      </c>
    </row>
    <row r="4651" spans="1:8" ht="13.8" thickBot="1">
      <c r="A4651" s="465" t="s">
        <v>10244</v>
      </c>
      <c r="B4651" s="465" t="s">
        <v>5271</v>
      </c>
      <c r="C4651" s="466">
        <v>7</v>
      </c>
      <c r="D4651" s="467" t="s">
        <v>614</v>
      </c>
      <c r="E4651" s="466" t="s">
        <v>5269</v>
      </c>
      <c r="F4651" s="466" t="s">
        <v>1251</v>
      </c>
      <c r="G4651" s="465"/>
      <c r="H4651" s="465">
        <v>3</v>
      </c>
    </row>
    <row r="4652" spans="1:8" ht="13.8" thickBot="1">
      <c r="A4652" s="465" t="s">
        <v>10245</v>
      </c>
      <c r="B4652" s="465" t="s">
        <v>5272</v>
      </c>
      <c r="C4652" s="466">
        <v>7</v>
      </c>
      <c r="D4652" s="465"/>
      <c r="E4652" s="466" t="s">
        <v>5269</v>
      </c>
      <c r="F4652" s="466"/>
      <c r="G4652" s="465"/>
      <c r="H4652" s="465"/>
    </row>
    <row r="4653" spans="1:8" ht="13.8" thickBot="1">
      <c r="A4653" s="467" t="s">
        <v>10246</v>
      </c>
      <c r="B4653" s="470" t="s">
        <v>5273</v>
      </c>
      <c r="C4653" s="471">
        <v>7</v>
      </c>
      <c r="D4653" s="465"/>
      <c r="E4653" s="471" t="s">
        <v>5269</v>
      </c>
      <c r="F4653" s="466"/>
      <c r="G4653" s="465"/>
      <c r="H4653" s="470">
        <v>2</v>
      </c>
    </row>
    <row r="4654" spans="1:8" ht="13.8" thickBot="1">
      <c r="A4654" s="465" t="s">
        <v>10247</v>
      </c>
      <c r="B4654" s="465" t="s">
        <v>5274</v>
      </c>
      <c r="C4654" s="466">
        <v>7</v>
      </c>
      <c r="D4654" s="465"/>
      <c r="E4654" s="466" t="s">
        <v>5269</v>
      </c>
      <c r="F4654" s="466"/>
      <c r="G4654" s="465"/>
      <c r="H4654" s="465"/>
    </row>
    <row r="4655" spans="1:8" ht="13.8" thickBot="1">
      <c r="A4655" s="465" t="s">
        <v>10248</v>
      </c>
      <c r="B4655" s="465" t="s">
        <v>5268</v>
      </c>
      <c r="C4655" s="466">
        <v>7</v>
      </c>
      <c r="D4655" s="465"/>
      <c r="E4655" s="466" t="s">
        <v>5269</v>
      </c>
      <c r="F4655" s="466"/>
      <c r="G4655" s="465"/>
      <c r="H4655" s="465"/>
    </row>
    <row r="4656" spans="1:8" ht="13.8" thickBot="1">
      <c r="A4656" s="465" t="s">
        <v>10249</v>
      </c>
      <c r="B4656" s="465" t="s">
        <v>5292</v>
      </c>
      <c r="C4656" s="466">
        <v>7</v>
      </c>
      <c r="D4656" s="467" t="s">
        <v>5293</v>
      </c>
      <c r="E4656" s="466" t="s">
        <v>5286</v>
      </c>
      <c r="F4656" s="466" t="s">
        <v>1251</v>
      </c>
      <c r="G4656" s="465"/>
      <c r="H4656" s="465">
        <v>5</v>
      </c>
    </row>
    <row r="4657" spans="1:8" ht="13.8" thickBot="1">
      <c r="A4657" s="465" t="s">
        <v>10250</v>
      </c>
      <c r="B4657" s="465" t="s">
        <v>1381</v>
      </c>
      <c r="C4657" s="466">
        <v>7</v>
      </c>
      <c r="D4657" s="465"/>
      <c r="E4657" s="466" t="s">
        <v>5286</v>
      </c>
      <c r="F4657" s="466" t="s">
        <v>1226</v>
      </c>
      <c r="G4657" s="465"/>
      <c r="H4657" s="465">
        <v>1</v>
      </c>
    </row>
    <row r="4658" spans="1:8" ht="14.4" thickBot="1">
      <c r="A4658" s="465" t="s">
        <v>10251</v>
      </c>
      <c r="B4658" s="469" t="s">
        <v>1381</v>
      </c>
      <c r="C4658" s="466">
        <v>7</v>
      </c>
      <c r="D4658" s="465"/>
      <c r="E4658" s="466" t="s">
        <v>5286</v>
      </c>
      <c r="F4658" s="466" t="s">
        <v>1226</v>
      </c>
      <c r="G4658" s="465"/>
      <c r="H4658" s="465">
        <v>1</v>
      </c>
    </row>
    <row r="4659" spans="1:8" ht="13.8" thickBot="1">
      <c r="A4659" s="465" t="s">
        <v>10252</v>
      </c>
      <c r="B4659" s="465" t="s">
        <v>1381</v>
      </c>
      <c r="C4659" s="466">
        <v>7</v>
      </c>
      <c r="D4659" s="465"/>
      <c r="E4659" s="466" t="s">
        <v>5286</v>
      </c>
      <c r="F4659" s="466"/>
      <c r="G4659" s="465"/>
      <c r="H4659" s="465">
        <v>1</v>
      </c>
    </row>
    <row r="4660" spans="1:8" ht="13.8" thickBot="1">
      <c r="A4660" s="465" t="s">
        <v>10253</v>
      </c>
      <c r="B4660" s="465" t="s">
        <v>5318</v>
      </c>
      <c r="C4660" s="466">
        <v>7</v>
      </c>
      <c r="D4660" s="467" t="s">
        <v>614</v>
      </c>
      <c r="E4660" s="466" t="s">
        <v>5319</v>
      </c>
      <c r="F4660" s="466" t="s">
        <v>1226</v>
      </c>
      <c r="G4660" s="465"/>
      <c r="H4660" s="465">
        <v>4</v>
      </c>
    </row>
    <row r="4661" spans="1:8" ht="13.8" thickBot="1">
      <c r="A4661" s="465" t="s">
        <v>10254</v>
      </c>
      <c r="B4661" s="465" t="s">
        <v>5329</v>
      </c>
      <c r="C4661" s="466">
        <v>7</v>
      </c>
      <c r="D4661" s="467" t="s">
        <v>614</v>
      </c>
      <c r="E4661" s="466" t="s">
        <v>5325</v>
      </c>
      <c r="F4661" s="466" t="s">
        <v>1229</v>
      </c>
      <c r="G4661" s="465"/>
      <c r="H4661" s="465">
        <v>1</v>
      </c>
    </row>
    <row r="4662" spans="1:8" ht="13.8" thickBot="1">
      <c r="A4662" s="467" t="s">
        <v>10255</v>
      </c>
      <c r="B4662" s="465" t="s">
        <v>5330</v>
      </c>
      <c r="C4662" s="466">
        <v>7</v>
      </c>
      <c r="D4662" s="467" t="s">
        <v>614</v>
      </c>
      <c r="E4662" s="466" t="s">
        <v>5325</v>
      </c>
      <c r="F4662" s="466" t="s">
        <v>1226</v>
      </c>
      <c r="G4662" s="465"/>
      <c r="H4662" s="465">
        <v>2</v>
      </c>
    </row>
    <row r="4663" spans="1:8" ht="13.8" thickBot="1">
      <c r="A4663" s="465" t="s">
        <v>10256</v>
      </c>
      <c r="B4663" s="465" t="s">
        <v>5331</v>
      </c>
      <c r="C4663" s="466">
        <v>7</v>
      </c>
      <c r="D4663" s="465"/>
      <c r="E4663" s="466" t="s">
        <v>5325</v>
      </c>
      <c r="F4663" s="466" t="s">
        <v>1226</v>
      </c>
      <c r="G4663" s="465"/>
      <c r="H4663" s="465">
        <v>5</v>
      </c>
    </row>
    <row r="4664" spans="1:8" ht="13.8" thickBot="1">
      <c r="A4664" s="465" t="s">
        <v>10257</v>
      </c>
      <c r="B4664" s="465" t="s">
        <v>5332</v>
      </c>
      <c r="C4664" s="466">
        <v>7</v>
      </c>
      <c r="D4664" s="465"/>
      <c r="E4664" s="466" t="s">
        <v>5325</v>
      </c>
      <c r="F4664" s="466"/>
      <c r="G4664" s="465"/>
      <c r="H4664" s="465">
        <v>4</v>
      </c>
    </row>
    <row r="4665" spans="1:8" ht="13.8" thickBot="1">
      <c r="A4665" s="465" t="s">
        <v>10258</v>
      </c>
      <c r="B4665" s="465" t="s">
        <v>5333</v>
      </c>
      <c r="C4665" s="466">
        <v>7</v>
      </c>
      <c r="D4665" s="465"/>
      <c r="E4665" s="466" t="s">
        <v>5325</v>
      </c>
      <c r="F4665" s="466"/>
      <c r="G4665" s="465"/>
      <c r="H4665" s="465"/>
    </row>
    <row r="4666" spans="1:8" ht="13.8" thickBot="1">
      <c r="A4666" s="465" t="s">
        <v>9865</v>
      </c>
      <c r="B4666" s="465" t="s">
        <v>2452</v>
      </c>
      <c r="C4666" s="466">
        <v>7</v>
      </c>
      <c r="D4666" s="467" t="s">
        <v>614</v>
      </c>
      <c r="E4666" s="466" t="s">
        <v>2449</v>
      </c>
      <c r="F4666" s="466" t="s">
        <v>1229</v>
      </c>
      <c r="G4666" s="465">
        <v>1</v>
      </c>
      <c r="H4666" s="465">
        <v>7</v>
      </c>
    </row>
    <row r="4667" spans="1:8" ht="13.8" thickBot="1">
      <c r="A4667" s="465" t="s">
        <v>9866</v>
      </c>
      <c r="B4667" s="465" t="s">
        <v>2453</v>
      </c>
      <c r="C4667" s="466">
        <v>7</v>
      </c>
      <c r="D4667" s="465" t="s">
        <v>2377</v>
      </c>
      <c r="E4667" s="466" t="s">
        <v>2449</v>
      </c>
      <c r="F4667" s="466" t="s">
        <v>1226</v>
      </c>
      <c r="G4667" s="465">
        <v>1</v>
      </c>
      <c r="H4667" s="465">
        <v>5</v>
      </c>
    </row>
    <row r="4668" spans="1:8" ht="13.8" thickBot="1">
      <c r="A4668" s="467" t="s">
        <v>9867</v>
      </c>
      <c r="B4668" s="465" t="s">
        <v>2454</v>
      </c>
      <c r="C4668" s="466">
        <v>7</v>
      </c>
      <c r="D4668" s="467" t="s">
        <v>614</v>
      </c>
      <c r="E4668" s="466" t="s">
        <v>2449</v>
      </c>
      <c r="F4668" s="466" t="s">
        <v>1226</v>
      </c>
      <c r="G4668" s="465">
        <v>2</v>
      </c>
      <c r="H4668" s="465">
        <v>6</v>
      </c>
    </row>
    <row r="4669" spans="1:8" ht="13.8" thickBot="1">
      <c r="A4669" s="467" t="s">
        <v>9868</v>
      </c>
      <c r="B4669" s="465" t="s">
        <v>2455</v>
      </c>
      <c r="C4669" s="466">
        <v>7</v>
      </c>
      <c r="D4669" s="465"/>
      <c r="E4669" s="466" t="s">
        <v>2449</v>
      </c>
      <c r="F4669" s="466"/>
      <c r="G4669" s="465"/>
      <c r="H4669" s="465">
        <v>3</v>
      </c>
    </row>
    <row r="4670" spans="1:8" ht="13.8" thickBot="1">
      <c r="A4670" s="465" t="s">
        <v>9869</v>
      </c>
      <c r="B4670" s="465" t="s">
        <v>2456</v>
      </c>
      <c r="C4670" s="466">
        <v>7</v>
      </c>
      <c r="D4670" s="465"/>
      <c r="E4670" s="466" t="s">
        <v>2449</v>
      </c>
      <c r="F4670" s="466"/>
      <c r="G4670" s="465"/>
      <c r="H4670" s="465">
        <v>2</v>
      </c>
    </row>
    <row r="4671" spans="1:8" ht="13.8" thickBot="1">
      <c r="A4671" s="467" t="s">
        <v>9870</v>
      </c>
      <c r="B4671" s="465" t="s">
        <v>2457</v>
      </c>
      <c r="C4671" s="466">
        <v>7</v>
      </c>
      <c r="D4671" s="465"/>
      <c r="E4671" s="466" t="s">
        <v>2449</v>
      </c>
      <c r="F4671" s="466"/>
      <c r="G4671" s="465">
        <v>1</v>
      </c>
      <c r="H4671" s="465">
        <v>2</v>
      </c>
    </row>
    <row r="4672" spans="1:8" ht="13.8" thickBot="1">
      <c r="A4672" s="467" t="s">
        <v>9871</v>
      </c>
      <c r="B4672" s="465" t="s">
        <v>2548</v>
      </c>
      <c r="C4672" s="466">
        <v>7</v>
      </c>
      <c r="D4672" s="467" t="s">
        <v>2549</v>
      </c>
      <c r="E4672" s="466" t="s">
        <v>2523</v>
      </c>
      <c r="F4672" s="466" t="s">
        <v>1229</v>
      </c>
      <c r="G4672" s="465">
        <v>1</v>
      </c>
      <c r="H4672" s="465">
        <v>5</v>
      </c>
    </row>
    <row r="4673" spans="1:8" ht="13.8" thickBot="1">
      <c r="A4673" s="465" t="s">
        <v>9872</v>
      </c>
      <c r="B4673" s="465" t="s">
        <v>1300</v>
      </c>
      <c r="C4673" s="466">
        <v>7</v>
      </c>
      <c r="D4673" s="465"/>
      <c r="E4673" s="466" t="s">
        <v>2523</v>
      </c>
      <c r="F4673" s="466" t="s">
        <v>1226</v>
      </c>
      <c r="G4673" s="465"/>
      <c r="H4673" s="465">
        <v>1</v>
      </c>
    </row>
    <row r="4674" spans="1:8" ht="13.8" thickBot="1">
      <c r="A4674" s="467" t="s">
        <v>9873</v>
      </c>
      <c r="B4674" s="465" t="s">
        <v>1300</v>
      </c>
      <c r="C4674" s="466">
        <v>7</v>
      </c>
      <c r="D4674" s="465"/>
      <c r="E4674" s="466" t="s">
        <v>2523</v>
      </c>
      <c r="F4674" s="466" t="s">
        <v>1226</v>
      </c>
      <c r="G4674" s="465">
        <v>2</v>
      </c>
      <c r="H4674" s="465">
        <v>2</v>
      </c>
    </row>
    <row r="4675" spans="1:8" ht="13.8" thickBot="1">
      <c r="A4675" s="465" t="s">
        <v>9874</v>
      </c>
      <c r="B4675" s="465" t="s">
        <v>1300</v>
      </c>
      <c r="C4675" s="466">
        <v>7</v>
      </c>
      <c r="D4675" s="465"/>
      <c r="E4675" s="466" t="s">
        <v>2523</v>
      </c>
      <c r="F4675" s="466" t="s">
        <v>1226</v>
      </c>
      <c r="G4675" s="465"/>
      <c r="H4675" s="465">
        <v>1</v>
      </c>
    </row>
    <row r="4676" spans="1:8" ht="13.8" thickBot="1">
      <c r="A4676" s="465" t="s">
        <v>9875</v>
      </c>
      <c r="B4676" s="465" t="s">
        <v>2550</v>
      </c>
      <c r="C4676" s="466">
        <v>7</v>
      </c>
      <c r="D4676" s="465"/>
      <c r="E4676" s="466" t="s">
        <v>2523</v>
      </c>
      <c r="F4676" s="466" t="s">
        <v>1226</v>
      </c>
      <c r="G4676" s="465"/>
      <c r="H4676" s="465">
        <v>2</v>
      </c>
    </row>
    <row r="4677" spans="1:8" ht="13.8" thickBot="1">
      <c r="A4677" s="467" t="s">
        <v>9876</v>
      </c>
      <c r="B4677" s="468" t="s">
        <v>2551</v>
      </c>
      <c r="C4677" s="466">
        <v>7</v>
      </c>
      <c r="D4677" s="465"/>
      <c r="E4677" s="466" t="s">
        <v>2523</v>
      </c>
      <c r="F4677" s="466" t="s">
        <v>1226</v>
      </c>
      <c r="G4677" s="465"/>
      <c r="H4677" s="465">
        <v>2</v>
      </c>
    </row>
    <row r="4678" spans="1:8" ht="13.8" thickBot="1">
      <c r="A4678" s="465" t="s">
        <v>9877</v>
      </c>
      <c r="B4678" s="465" t="s">
        <v>2552</v>
      </c>
      <c r="C4678" s="466">
        <v>7</v>
      </c>
      <c r="D4678" s="465"/>
      <c r="E4678" s="466" t="s">
        <v>2523</v>
      </c>
      <c r="F4678" s="466" t="s">
        <v>1226</v>
      </c>
      <c r="G4678" s="465"/>
      <c r="H4678" s="465">
        <v>1</v>
      </c>
    </row>
    <row r="4679" spans="1:8" ht="13.8" thickBot="1">
      <c r="A4679" s="467" t="s">
        <v>9878</v>
      </c>
      <c r="B4679" s="468" t="s">
        <v>2553</v>
      </c>
      <c r="C4679" s="466">
        <v>7</v>
      </c>
      <c r="D4679" s="465"/>
      <c r="E4679" s="466" t="s">
        <v>2523</v>
      </c>
      <c r="F4679" s="466" t="s">
        <v>1226</v>
      </c>
      <c r="G4679" s="465">
        <v>1</v>
      </c>
      <c r="H4679" s="465">
        <v>5</v>
      </c>
    </row>
    <row r="4680" spans="1:8" ht="13.8" thickBot="1">
      <c r="A4680" s="465" t="s">
        <v>9879</v>
      </c>
      <c r="B4680" s="465" t="s">
        <v>2554</v>
      </c>
      <c r="C4680" s="466">
        <v>7</v>
      </c>
      <c r="D4680" s="465"/>
      <c r="E4680" s="466" t="s">
        <v>2523</v>
      </c>
      <c r="F4680" s="466" t="s">
        <v>1226</v>
      </c>
      <c r="G4680" s="465"/>
      <c r="H4680" s="465">
        <v>1</v>
      </c>
    </row>
    <row r="4681" spans="1:8" ht="13.8" thickBot="1">
      <c r="A4681" s="465" t="s">
        <v>9880</v>
      </c>
      <c r="B4681" s="468" t="s">
        <v>1302</v>
      </c>
      <c r="C4681" s="466">
        <v>7</v>
      </c>
      <c r="D4681" s="465"/>
      <c r="E4681" s="466" t="s">
        <v>2523</v>
      </c>
      <c r="F4681" s="466" t="s">
        <v>1226</v>
      </c>
      <c r="G4681" s="465">
        <v>1</v>
      </c>
      <c r="H4681" s="465">
        <v>2</v>
      </c>
    </row>
    <row r="4682" spans="1:8" ht="13.8" thickBot="1">
      <c r="A4682" s="465" t="s">
        <v>9881</v>
      </c>
      <c r="B4682" s="465" t="s">
        <v>2555</v>
      </c>
      <c r="C4682" s="466">
        <v>7</v>
      </c>
      <c r="D4682" s="465"/>
      <c r="E4682" s="466" t="s">
        <v>2523</v>
      </c>
      <c r="F4682" s="466" t="s">
        <v>1226</v>
      </c>
      <c r="G4682" s="465"/>
      <c r="H4682" s="465">
        <v>2</v>
      </c>
    </row>
    <row r="4683" spans="1:8" ht="13.8" thickBot="1">
      <c r="A4683" s="467" t="s">
        <v>9882</v>
      </c>
      <c r="B4683" s="465" t="s">
        <v>2556</v>
      </c>
      <c r="C4683" s="466">
        <v>7</v>
      </c>
      <c r="D4683" s="467" t="s">
        <v>614</v>
      </c>
      <c r="E4683" s="466" t="s">
        <v>2523</v>
      </c>
      <c r="F4683" s="466" t="s">
        <v>1226</v>
      </c>
      <c r="G4683" s="465"/>
      <c r="H4683" s="465">
        <v>2</v>
      </c>
    </row>
    <row r="4684" spans="1:8" ht="13.8" thickBot="1">
      <c r="A4684" s="467" t="s">
        <v>9883</v>
      </c>
      <c r="B4684" s="465" t="s">
        <v>2557</v>
      </c>
      <c r="C4684" s="466">
        <v>7</v>
      </c>
      <c r="D4684" s="465"/>
      <c r="E4684" s="466" t="s">
        <v>2523</v>
      </c>
      <c r="F4684" s="466" t="s">
        <v>1226</v>
      </c>
      <c r="G4684" s="465"/>
      <c r="H4684" s="465">
        <v>2</v>
      </c>
    </row>
    <row r="4685" spans="1:8" ht="13.8" thickBot="1">
      <c r="A4685" s="465" t="s">
        <v>9884</v>
      </c>
      <c r="B4685" s="465" t="s">
        <v>2552</v>
      </c>
      <c r="C4685" s="466">
        <v>7</v>
      </c>
      <c r="D4685" s="465"/>
      <c r="E4685" s="466" t="s">
        <v>2523</v>
      </c>
      <c r="F4685" s="466" t="s">
        <v>1224</v>
      </c>
      <c r="G4685" s="465">
        <v>1</v>
      </c>
      <c r="H4685" s="465">
        <v>2</v>
      </c>
    </row>
    <row r="4686" spans="1:8" ht="13.8" thickBot="1">
      <c r="A4686" s="465" t="s">
        <v>9885</v>
      </c>
      <c r="B4686" s="465" t="s">
        <v>2558</v>
      </c>
      <c r="C4686" s="466">
        <v>7</v>
      </c>
      <c r="D4686" s="467" t="s">
        <v>614</v>
      </c>
      <c r="E4686" s="466" t="s">
        <v>2523</v>
      </c>
      <c r="F4686" s="466" t="s">
        <v>1224</v>
      </c>
      <c r="G4686" s="465"/>
      <c r="H4686" s="465">
        <v>2</v>
      </c>
    </row>
    <row r="4687" spans="1:8" ht="13.8" thickBot="1">
      <c r="A4687" s="465" t="s">
        <v>9886</v>
      </c>
      <c r="B4687" s="465" t="s">
        <v>2559</v>
      </c>
      <c r="C4687" s="466">
        <v>7</v>
      </c>
      <c r="D4687" s="465"/>
      <c r="E4687" s="466" t="s">
        <v>2523</v>
      </c>
      <c r="F4687" s="466" t="s">
        <v>1224</v>
      </c>
      <c r="G4687" s="465"/>
      <c r="H4687" s="465">
        <v>1</v>
      </c>
    </row>
    <row r="4688" spans="1:8" ht="13.8" thickBot="1">
      <c r="A4688" s="465" t="s">
        <v>9887</v>
      </c>
      <c r="B4688" s="465" t="s">
        <v>2560</v>
      </c>
      <c r="C4688" s="466">
        <v>7</v>
      </c>
      <c r="D4688" s="465" t="s">
        <v>2561</v>
      </c>
      <c r="E4688" s="466" t="s">
        <v>2523</v>
      </c>
      <c r="F4688" s="466" t="s">
        <v>1224</v>
      </c>
      <c r="G4688" s="465"/>
      <c r="H4688" s="465">
        <v>1</v>
      </c>
    </row>
    <row r="4689" spans="1:8" ht="13.8" thickBot="1">
      <c r="A4689" s="465" t="s">
        <v>9888</v>
      </c>
      <c r="B4689" s="465" t="s">
        <v>2562</v>
      </c>
      <c r="C4689" s="466">
        <v>7</v>
      </c>
      <c r="D4689" s="465"/>
      <c r="E4689" s="466" t="s">
        <v>2523</v>
      </c>
      <c r="F4689" s="466" t="s">
        <v>1220</v>
      </c>
      <c r="G4689" s="465">
        <v>1</v>
      </c>
      <c r="H4689" s="465">
        <v>2</v>
      </c>
    </row>
    <row r="4690" spans="1:8" ht="13.8" thickBot="1">
      <c r="A4690" s="467" t="s">
        <v>9889</v>
      </c>
      <c r="B4690" s="465" t="s">
        <v>1300</v>
      </c>
      <c r="C4690" s="466">
        <v>7</v>
      </c>
      <c r="D4690" s="465"/>
      <c r="E4690" s="466" t="s">
        <v>2523</v>
      </c>
      <c r="F4690" s="466"/>
      <c r="G4690" s="465"/>
      <c r="H4690" s="465">
        <v>1</v>
      </c>
    </row>
    <row r="4691" spans="1:8" ht="13.8" thickBot="1">
      <c r="A4691" s="465" t="s">
        <v>9890</v>
      </c>
      <c r="B4691" s="465" t="s">
        <v>1300</v>
      </c>
      <c r="C4691" s="466">
        <v>7</v>
      </c>
      <c r="D4691" s="465"/>
      <c r="E4691" s="466" t="s">
        <v>2523</v>
      </c>
      <c r="F4691" s="466"/>
      <c r="G4691" s="465"/>
      <c r="H4691" s="465"/>
    </row>
    <row r="4692" spans="1:8" ht="13.8" thickBot="1">
      <c r="A4692" s="465" t="s">
        <v>9891</v>
      </c>
      <c r="B4692" s="465" t="s">
        <v>1300</v>
      </c>
      <c r="C4692" s="466">
        <v>7</v>
      </c>
      <c r="D4692" s="465"/>
      <c r="E4692" s="466" t="s">
        <v>2523</v>
      </c>
      <c r="F4692" s="466"/>
      <c r="G4692" s="465">
        <v>2</v>
      </c>
      <c r="H4692" s="465">
        <v>3</v>
      </c>
    </row>
    <row r="4693" spans="1:8" ht="13.8" thickBot="1">
      <c r="A4693" s="465" t="s">
        <v>9892</v>
      </c>
      <c r="B4693" s="465" t="s">
        <v>1300</v>
      </c>
      <c r="C4693" s="466">
        <v>7</v>
      </c>
      <c r="D4693" s="465"/>
      <c r="E4693" s="466" t="s">
        <v>2523</v>
      </c>
      <c r="F4693" s="466"/>
      <c r="G4693" s="465"/>
      <c r="H4693" s="465"/>
    </row>
    <row r="4694" spans="1:8" ht="13.8" thickBot="1">
      <c r="A4694" s="465" t="s">
        <v>9893</v>
      </c>
      <c r="B4694" s="465" t="s">
        <v>1300</v>
      </c>
      <c r="C4694" s="466">
        <v>7</v>
      </c>
      <c r="D4694" s="465"/>
      <c r="E4694" s="466" t="s">
        <v>2523</v>
      </c>
      <c r="F4694" s="466"/>
      <c r="G4694" s="465">
        <v>1</v>
      </c>
      <c r="H4694" s="465">
        <v>2</v>
      </c>
    </row>
    <row r="4695" spans="1:8" ht="13.8" thickBot="1">
      <c r="A4695" s="465" t="s">
        <v>9894</v>
      </c>
      <c r="B4695" s="465" t="s">
        <v>1300</v>
      </c>
      <c r="C4695" s="466">
        <v>7</v>
      </c>
      <c r="D4695" s="465"/>
      <c r="E4695" s="466" t="s">
        <v>2523</v>
      </c>
      <c r="F4695" s="466"/>
      <c r="G4695" s="465"/>
      <c r="H4695" s="465">
        <v>2</v>
      </c>
    </row>
    <row r="4696" spans="1:8" ht="13.8" thickBot="1">
      <c r="A4696" s="465" t="s">
        <v>9895</v>
      </c>
      <c r="B4696" s="465" t="s">
        <v>1300</v>
      </c>
      <c r="C4696" s="466">
        <v>7</v>
      </c>
      <c r="D4696" s="465"/>
      <c r="E4696" s="466" t="s">
        <v>2523</v>
      </c>
      <c r="F4696" s="466"/>
      <c r="G4696" s="465"/>
      <c r="H4696" s="465">
        <v>1</v>
      </c>
    </row>
    <row r="4697" spans="1:8" ht="13.8" thickBot="1">
      <c r="A4697" s="467" t="s">
        <v>9896</v>
      </c>
      <c r="B4697" s="465" t="s">
        <v>1300</v>
      </c>
      <c r="C4697" s="466">
        <v>7</v>
      </c>
      <c r="D4697" s="465"/>
      <c r="E4697" s="466" t="s">
        <v>2523</v>
      </c>
      <c r="F4697" s="466"/>
      <c r="G4697" s="465"/>
      <c r="H4697" s="465">
        <v>1</v>
      </c>
    </row>
    <row r="4698" spans="1:8" ht="13.8" thickBot="1">
      <c r="A4698" s="467" t="s">
        <v>9897</v>
      </c>
      <c r="B4698" s="465" t="s">
        <v>2563</v>
      </c>
      <c r="C4698" s="466">
        <v>7</v>
      </c>
      <c r="D4698" s="465"/>
      <c r="E4698" s="466" t="s">
        <v>2523</v>
      </c>
      <c r="F4698" s="466"/>
      <c r="G4698" s="465"/>
      <c r="H4698" s="465">
        <v>1</v>
      </c>
    </row>
    <row r="4699" spans="1:8" ht="13.8" thickBot="1">
      <c r="A4699" s="467" t="s">
        <v>9898</v>
      </c>
      <c r="B4699" s="465" t="s">
        <v>2564</v>
      </c>
      <c r="C4699" s="466">
        <v>7</v>
      </c>
      <c r="D4699" s="467" t="s">
        <v>2565</v>
      </c>
      <c r="E4699" s="466" t="s">
        <v>2523</v>
      </c>
      <c r="F4699" s="466"/>
      <c r="G4699" s="465"/>
      <c r="H4699" s="465"/>
    </row>
    <row r="4700" spans="1:8" ht="13.8" thickBot="1">
      <c r="A4700" s="465" t="s">
        <v>9899</v>
      </c>
      <c r="B4700" s="465" t="s">
        <v>2566</v>
      </c>
      <c r="C4700" s="466">
        <v>7</v>
      </c>
      <c r="D4700" s="465"/>
      <c r="E4700" s="466" t="s">
        <v>2523</v>
      </c>
      <c r="F4700" s="466"/>
      <c r="G4700" s="465"/>
      <c r="H4700" s="465">
        <v>1</v>
      </c>
    </row>
    <row r="4701" spans="1:8" ht="13.8" thickBot="1">
      <c r="A4701" s="467" t="s">
        <v>9900</v>
      </c>
      <c r="B4701" s="465" t="s">
        <v>2567</v>
      </c>
      <c r="C4701" s="466">
        <v>7</v>
      </c>
      <c r="D4701" s="465"/>
      <c r="E4701" s="466" t="s">
        <v>2523</v>
      </c>
      <c r="F4701" s="466"/>
      <c r="G4701" s="465"/>
      <c r="H4701" s="465">
        <v>1</v>
      </c>
    </row>
    <row r="4702" spans="1:8" ht="13.8" thickBot="1">
      <c r="A4702" s="467" t="s">
        <v>9901</v>
      </c>
      <c r="B4702" s="465" t="s">
        <v>2551</v>
      </c>
      <c r="C4702" s="466">
        <v>7</v>
      </c>
      <c r="D4702" s="465"/>
      <c r="E4702" s="466" t="s">
        <v>2523</v>
      </c>
      <c r="F4702" s="466"/>
      <c r="G4702" s="465"/>
      <c r="H4702" s="465">
        <v>1</v>
      </c>
    </row>
    <row r="4703" spans="1:8" ht="13.8" thickBot="1">
      <c r="A4703" s="467" t="s">
        <v>9902</v>
      </c>
      <c r="B4703" s="465" t="s">
        <v>2568</v>
      </c>
      <c r="C4703" s="466">
        <v>7</v>
      </c>
      <c r="D4703" s="465"/>
      <c r="E4703" s="466" t="s">
        <v>2523</v>
      </c>
      <c r="F4703" s="466"/>
      <c r="G4703" s="465"/>
      <c r="H4703" s="465">
        <v>1</v>
      </c>
    </row>
    <row r="4704" spans="1:8" ht="13.8" thickBot="1">
      <c r="A4704" s="465" t="s">
        <v>9903</v>
      </c>
      <c r="B4704" s="465" t="s">
        <v>2569</v>
      </c>
      <c r="C4704" s="466">
        <v>7</v>
      </c>
      <c r="D4704" s="465"/>
      <c r="E4704" s="466" t="s">
        <v>2523</v>
      </c>
      <c r="F4704" s="466"/>
      <c r="G4704" s="465"/>
      <c r="H4704" s="465">
        <v>4</v>
      </c>
    </row>
    <row r="4705" spans="1:8" ht="13.8" thickBot="1">
      <c r="A4705" s="465" t="s">
        <v>9904</v>
      </c>
      <c r="B4705" s="465" t="s">
        <v>2570</v>
      </c>
      <c r="C4705" s="466">
        <v>7</v>
      </c>
      <c r="D4705" s="465"/>
      <c r="E4705" s="466" t="s">
        <v>2523</v>
      </c>
      <c r="F4705" s="466"/>
      <c r="G4705" s="465"/>
      <c r="H4705" s="465"/>
    </row>
    <row r="4706" spans="1:8" ht="13.8" thickBot="1">
      <c r="A4706" s="465" t="s">
        <v>9905</v>
      </c>
      <c r="B4706" s="465" t="s">
        <v>2537</v>
      </c>
      <c r="C4706" s="466">
        <v>7</v>
      </c>
      <c r="D4706" s="465"/>
      <c r="E4706" s="466" t="s">
        <v>2523</v>
      </c>
      <c r="F4706" s="466"/>
      <c r="G4706" s="465"/>
      <c r="H4706" s="465">
        <v>1</v>
      </c>
    </row>
    <row r="4707" spans="1:8" ht="13.8" thickBot="1">
      <c r="A4707" s="465" t="s">
        <v>9906</v>
      </c>
      <c r="B4707" s="465" t="s">
        <v>2537</v>
      </c>
      <c r="C4707" s="466">
        <v>7</v>
      </c>
      <c r="D4707" s="465"/>
      <c r="E4707" s="466" t="s">
        <v>2523</v>
      </c>
      <c r="F4707" s="466"/>
      <c r="G4707" s="465"/>
      <c r="H4707" s="465">
        <v>1</v>
      </c>
    </row>
    <row r="4708" spans="1:8" ht="13.8" thickBot="1">
      <c r="A4708" s="465" t="s">
        <v>9907</v>
      </c>
      <c r="B4708" s="465" t="s">
        <v>2571</v>
      </c>
      <c r="C4708" s="466">
        <v>7</v>
      </c>
      <c r="D4708" s="465"/>
      <c r="E4708" s="466" t="s">
        <v>2523</v>
      </c>
      <c r="F4708" s="466"/>
      <c r="G4708" s="465"/>
      <c r="H4708" s="465">
        <v>1</v>
      </c>
    </row>
    <row r="4709" spans="1:8" ht="13.8" thickBot="1">
      <c r="A4709" s="467" t="s">
        <v>9908</v>
      </c>
      <c r="B4709" s="465" t="s">
        <v>2572</v>
      </c>
      <c r="C4709" s="466">
        <v>7</v>
      </c>
      <c r="D4709" s="465"/>
      <c r="E4709" s="466" t="s">
        <v>2523</v>
      </c>
      <c r="F4709" s="466"/>
      <c r="G4709" s="465"/>
      <c r="H4709" s="465">
        <v>1</v>
      </c>
    </row>
    <row r="4710" spans="1:8" ht="13.8" thickBot="1">
      <c r="A4710" s="465" t="s">
        <v>9909</v>
      </c>
      <c r="B4710" s="465" t="s">
        <v>2534</v>
      </c>
      <c r="C4710" s="466">
        <v>7</v>
      </c>
      <c r="D4710" s="465"/>
      <c r="E4710" s="466" t="s">
        <v>2523</v>
      </c>
      <c r="F4710" s="466"/>
      <c r="G4710" s="465"/>
      <c r="H4710" s="465">
        <v>1</v>
      </c>
    </row>
    <row r="4711" spans="1:8" ht="13.8" thickBot="1">
      <c r="A4711" s="467" t="s">
        <v>9910</v>
      </c>
      <c r="B4711" s="465" t="s">
        <v>2573</v>
      </c>
      <c r="C4711" s="466">
        <v>7</v>
      </c>
      <c r="D4711" s="465"/>
      <c r="E4711" s="466" t="s">
        <v>2523</v>
      </c>
      <c r="F4711" s="466"/>
      <c r="G4711" s="465"/>
      <c r="H4711" s="465">
        <v>1</v>
      </c>
    </row>
    <row r="4712" spans="1:8" ht="13.8" thickBot="1">
      <c r="A4712" s="465" t="s">
        <v>9911</v>
      </c>
      <c r="B4712" s="465" t="s">
        <v>1302</v>
      </c>
      <c r="C4712" s="466">
        <v>7</v>
      </c>
      <c r="D4712" s="465"/>
      <c r="E4712" s="466" t="s">
        <v>2523</v>
      </c>
      <c r="F4712" s="466"/>
      <c r="G4712" s="465"/>
      <c r="H4712" s="465">
        <v>1</v>
      </c>
    </row>
    <row r="4713" spans="1:8" ht="13.8" thickBot="1">
      <c r="A4713" s="465" t="s">
        <v>9912</v>
      </c>
      <c r="B4713" s="465" t="s">
        <v>2574</v>
      </c>
      <c r="C4713" s="466">
        <v>7</v>
      </c>
      <c r="D4713" s="467" t="s">
        <v>614</v>
      </c>
      <c r="E4713" s="466" t="s">
        <v>2523</v>
      </c>
      <c r="F4713" s="466"/>
      <c r="G4713" s="465">
        <v>1</v>
      </c>
      <c r="H4713" s="465">
        <v>2</v>
      </c>
    </row>
    <row r="4714" spans="1:8" ht="13.8" thickBot="1">
      <c r="A4714" s="467" t="s">
        <v>9913</v>
      </c>
      <c r="B4714" s="465" t="s">
        <v>2720</v>
      </c>
      <c r="C4714" s="466">
        <v>7</v>
      </c>
      <c r="D4714" s="465"/>
      <c r="E4714" s="466" t="s">
        <v>2717</v>
      </c>
      <c r="F4714" s="466"/>
      <c r="G4714" s="465"/>
      <c r="H4714" s="465"/>
    </row>
    <row r="4715" spans="1:8" ht="13.8" thickBot="1">
      <c r="A4715" s="465" t="s">
        <v>9817</v>
      </c>
      <c r="B4715" s="465" t="s">
        <v>1929</v>
      </c>
      <c r="C4715" s="466">
        <v>7</v>
      </c>
      <c r="D4715" s="465"/>
      <c r="E4715" s="466" t="s">
        <v>1922</v>
      </c>
      <c r="F4715" s="466" t="s">
        <v>1226</v>
      </c>
      <c r="G4715" s="465">
        <v>1</v>
      </c>
      <c r="H4715" s="465">
        <v>2</v>
      </c>
    </row>
    <row r="4716" spans="1:8" ht="13.8" thickBot="1">
      <c r="A4716" s="465" t="s">
        <v>9818</v>
      </c>
      <c r="B4716" s="465" t="s">
        <v>1930</v>
      </c>
      <c r="C4716" s="466">
        <v>7</v>
      </c>
      <c r="D4716" s="465"/>
      <c r="E4716" s="466" t="s">
        <v>1922</v>
      </c>
      <c r="F4716" s="466"/>
      <c r="G4716" s="465"/>
      <c r="H4716" s="465">
        <v>1</v>
      </c>
    </row>
    <row r="4717" spans="1:8" ht="13.8" thickBot="1">
      <c r="A4717" s="465" t="s">
        <v>9819</v>
      </c>
      <c r="B4717" s="465" t="s">
        <v>1931</v>
      </c>
      <c r="C4717" s="466">
        <v>7</v>
      </c>
      <c r="D4717" s="465"/>
      <c r="E4717" s="466" t="s">
        <v>1922</v>
      </c>
      <c r="F4717" s="466"/>
      <c r="G4717" s="465">
        <v>2</v>
      </c>
      <c r="H4717" s="465">
        <v>5</v>
      </c>
    </row>
    <row r="4718" spans="1:8" ht="13.8" thickBot="1">
      <c r="A4718" s="465" t="s">
        <v>9820</v>
      </c>
      <c r="B4718" s="465" t="s">
        <v>1932</v>
      </c>
      <c r="C4718" s="466">
        <v>7</v>
      </c>
      <c r="D4718" s="465"/>
      <c r="E4718" s="466" t="s">
        <v>1922</v>
      </c>
      <c r="F4718" s="466"/>
      <c r="G4718" s="465"/>
      <c r="H4718" s="465">
        <v>1</v>
      </c>
    </row>
    <row r="4719" spans="1:8" ht="13.8" thickBot="1">
      <c r="A4719" s="465" t="s">
        <v>9821</v>
      </c>
      <c r="B4719" s="465" t="s">
        <v>1933</v>
      </c>
      <c r="C4719" s="466">
        <v>7</v>
      </c>
      <c r="D4719" s="465"/>
      <c r="E4719" s="466" t="s">
        <v>1922</v>
      </c>
      <c r="F4719" s="466"/>
      <c r="G4719" s="465"/>
      <c r="H4719" s="465">
        <v>2</v>
      </c>
    </row>
    <row r="4720" spans="1:8" ht="13.8" thickBot="1">
      <c r="A4720" s="465" t="s">
        <v>9914</v>
      </c>
      <c r="B4720" s="465" t="s">
        <v>2746</v>
      </c>
      <c r="C4720" s="466">
        <v>7</v>
      </c>
      <c r="D4720" s="465"/>
      <c r="E4720" s="466" t="s">
        <v>2747</v>
      </c>
      <c r="F4720" s="466" t="s">
        <v>1229</v>
      </c>
      <c r="G4720" s="465"/>
      <c r="H4720" s="465">
        <v>4</v>
      </c>
    </row>
    <row r="4721" spans="1:8" ht="13.8" thickBot="1">
      <c r="A4721" s="465" t="s">
        <v>9915</v>
      </c>
      <c r="B4721" s="465" t="s">
        <v>2781</v>
      </c>
      <c r="C4721" s="466">
        <v>7</v>
      </c>
      <c r="D4721" s="467" t="s">
        <v>614</v>
      </c>
      <c r="E4721" s="466" t="s">
        <v>2779</v>
      </c>
      <c r="F4721" s="466"/>
      <c r="G4721" s="465"/>
      <c r="H4721" s="465">
        <v>1</v>
      </c>
    </row>
    <row r="4722" spans="1:8" ht="13.8" thickBot="1">
      <c r="A4722" s="465" t="s">
        <v>9916</v>
      </c>
      <c r="B4722" s="465" t="s">
        <v>2802</v>
      </c>
      <c r="C4722" s="466">
        <v>7</v>
      </c>
      <c r="D4722" s="465"/>
      <c r="E4722" s="466" t="s">
        <v>2797</v>
      </c>
      <c r="F4722" s="466" t="s">
        <v>1229</v>
      </c>
      <c r="G4722" s="465">
        <v>1</v>
      </c>
      <c r="H4722" s="465">
        <v>3</v>
      </c>
    </row>
    <row r="4723" spans="1:8" ht="13.8" thickBot="1">
      <c r="A4723" s="467" t="s">
        <v>9917</v>
      </c>
      <c r="B4723" s="465" t="s">
        <v>2803</v>
      </c>
      <c r="C4723" s="466">
        <v>7</v>
      </c>
      <c r="D4723" s="465"/>
      <c r="E4723" s="466" t="s">
        <v>2797</v>
      </c>
      <c r="F4723" s="466" t="s">
        <v>1226</v>
      </c>
      <c r="G4723" s="465"/>
      <c r="H4723" s="465">
        <v>3</v>
      </c>
    </row>
    <row r="4724" spans="1:8" ht="13.8" thickBot="1">
      <c r="A4724" s="467" t="s">
        <v>9918</v>
      </c>
      <c r="B4724" s="465" t="s">
        <v>2804</v>
      </c>
      <c r="C4724" s="466">
        <v>7</v>
      </c>
      <c r="D4724" s="465"/>
      <c r="E4724" s="466" t="s">
        <v>2797</v>
      </c>
      <c r="F4724" s="466"/>
      <c r="G4724" s="465"/>
      <c r="H4724" s="465">
        <v>1</v>
      </c>
    </row>
    <row r="4725" spans="1:8" ht="13.8" thickBot="1">
      <c r="A4725" s="465" t="s">
        <v>9919</v>
      </c>
      <c r="B4725" s="465" t="s">
        <v>2851</v>
      </c>
      <c r="C4725" s="466">
        <v>7</v>
      </c>
      <c r="D4725" s="465"/>
      <c r="E4725" s="466" t="s">
        <v>2841</v>
      </c>
      <c r="F4725" s="466" t="s">
        <v>1226</v>
      </c>
      <c r="G4725" s="465"/>
      <c r="H4725" s="465">
        <v>2</v>
      </c>
    </row>
    <row r="4726" spans="1:8" ht="13.8" thickBot="1">
      <c r="A4726" s="465" t="s">
        <v>9920</v>
      </c>
      <c r="B4726" s="465" t="s">
        <v>2852</v>
      </c>
      <c r="C4726" s="466">
        <v>7</v>
      </c>
      <c r="D4726" s="465"/>
      <c r="E4726" s="466" t="s">
        <v>2841</v>
      </c>
      <c r="F4726" s="466" t="s">
        <v>1226</v>
      </c>
      <c r="G4726" s="465">
        <v>2</v>
      </c>
      <c r="H4726" s="465">
        <v>4</v>
      </c>
    </row>
    <row r="4727" spans="1:8" ht="13.8" thickBot="1">
      <c r="A4727" s="465" t="s">
        <v>9921</v>
      </c>
      <c r="B4727" s="465" t="s">
        <v>1340</v>
      </c>
      <c r="C4727" s="466">
        <v>7</v>
      </c>
      <c r="D4727" s="467" t="s">
        <v>614</v>
      </c>
      <c r="E4727" s="466" t="s">
        <v>2841</v>
      </c>
      <c r="F4727" s="466" t="s">
        <v>1220</v>
      </c>
      <c r="G4727" s="465"/>
      <c r="H4727" s="465">
        <v>1</v>
      </c>
    </row>
    <row r="4728" spans="1:8" ht="13.8" thickBot="1">
      <c r="A4728" s="465" t="s">
        <v>9922</v>
      </c>
      <c r="B4728" s="465" t="s">
        <v>1340</v>
      </c>
      <c r="C4728" s="466">
        <v>7</v>
      </c>
      <c r="D4728" s="465"/>
      <c r="E4728" s="466" t="s">
        <v>2841</v>
      </c>
      <c r="F4728" s="466"/>
      <c r="G4728" s="465"/>
      <c r="H4728" s="465">
        <v>2</v>
      </c>
    </row>
    <row r="4729" spans="1:8" ht="13.8" thickBot="1">
      <c r="A4729" s="465" t="s">
        <v>9923</v>
      </c>
      <c r="B4729" s="465" t="s">
        <v>1340</v>
      </c>
      <c r="C4729" s="466">
        <v>7</v>
      </c>
      <c r="D4729" s="465"/>
      <c r="E4729" s="466" t="s">
        <v>2841</v>
      </c>
      <c r="F4729" s="466"/>
      <c r="G4729" s="465"/>
      <c r="H4729" s="465">
        <v>1</v>
      </c>
    </row>
    <row r="4730" spans="1:8" ht="13.8" thickBot="1">
      <c r="A4730" s="467" t="s">
        <v>9924</v>
      </c>
      <c r="B4730" s="465" t="s">
        <v>2853</v>
      </c>
      <c r="C4730" s="466">
        <v>7</v>
      </c>
      <c r="D4730" s="465"/>
      <c r="E4730" s="466" t="s">
        <v>2841</v>
      </c>
      <c r="F4730" s="466"/>
      <c r="G4730" s="465">
        <v>1</v>
      </c>
      <c r="H4730" s="465">
        <v>2</v>
      </c>
    </row>
    <row r="4731" spans="1:8" ht="13.8" thickBot="1">
      <c r="A4731" s="465" t="s">
        <v>9925</v>
      </c>
      <c r="B4731" s="465" t="s">
        <v>2901</v>
      </c>
      <c r="C4731" s="466">
        <v>7</v>
      </c>
      <c r="D4731" s="465"/>
      <c r="E4731" s="466" t="s">
        <v>2899</v>
      </c>
      <c r="F4731" s="466" t="s">
        <v>1251</v>
      </c>
      <c r="G4731" s="465"/>
      <c r="H4731" s="465">
        <v>4</v>
      </c>
    </row>
    <row r="4732" spans="1:8" ht="13.8" thickBot="1">
      <c r="A4732" s="465" t="s">
        <v>9926</v>
      </c>
      <c r="B4732" s="465" t="s">
        <v>2902</v>
      </c>
      <c r="C4732" s="466">
        <v>7</v>
      </c>
      <c r="D4732" s="467" t="s">
        <v>614</v>
      </c>
      <c r="E4732" s="466" t="s">
        <v>2899</v>
      </c>
      <c r="F4732" s="466"/>
      <c r="G4732" s="465"/>
      <c r="H4732" s="465">
        <v>1</v>
      </c>
    </row>
    <row r="4733" spans="1:8" ht="13.8" thickBot="1">
      <c r="A4733" s="465" t="s">
        <v>9927</v>
      </c>
      <c r="B4733" s="465" t="s">
        <v>2903</v>
      </c>
      <c r="C4733" s="466">
        <v>7</v>
      </c>
      <c r="D4733" s="465"/>
      <c r="E4733" s="466" t="s">
        <v>2899</v>
      </c>
      <c r="F4733" s="466"/>
      <c r="G4733" s="465"/>
      <c r="H4733" s="465"/>
    </row>
    <row r="4734" spans="1:8" ht="13.8" thickBot="1">
      <c r="A4734" s="467" t="s">
        <v>9928</v>
      </c>
      <c r="B4734" s="465" t="s">
        <v>2904</v>
      </c>
      <c r="C4734" s="466">
        <v>7</v>
      </c>
      <c r="D4734" s="465"/>
      <c r="E4734" s="466" t="s">
        <v>2899</v>
      </c>
      <c r="F4734" s="466"/>
      <c r="G4734" s="465"/>
      <c r="H4734" s="465">
        <v>1</v>
      </c>
    </row>
    <row r="4735" spans="1:8" ht="13.8" thickBot="1">
      <c r="A4735" s="465" t="s">
        <v>9822</v>
      </c>
      <c r="B4735" s="465" t="s">
        <v>2000</v>
      </c>
      <c r="C4735" s="466">
        <v>7</v>
      </c>
      <c r="D4735" s="465"/>
      <c r="E4735" s="466" t="s">
        <v>1997</v>
      </c>
      <c r="F4735" s="466"/>
      <c r="G4735" s="465">
        <v>1</v>
      </c>
      <c r="H4735" s="465">
        <v>2</v>
      </c>
    </row>
    <row r="4736" spans="1:8" ht="13.8" thickBot="1">
      <c r="A4736" s="465" t="s">
        <v>9823</v>
      </c>
      <c r="B4736" s="465" t="s">
        <v>2001</v>
      </c>
      <c r="C4736" s="466">
        <v>7</v>
      </c>
      <c r="D4736" s="465"/>
      <c r="E4736" s="466" t="s">
        <v>1997</v>
      </c>
      <c r="F4736" s="466"/>
      <c r="G4736" s="465">
        <v>1</v>
      </c>
      <c r="H4736" s="465">
        <v>1</v>
      </c>
    </row>
    <row r="4737" spans="1:8" ht="13.8" thickBot="1">
      <c r="A4737" s="467" t="s">
        <v>9929</v>
      </c>
      <c r="B4737" s="465" t="s">
        <v>2927</v>
      </c>
      <c r="C4737" s="466">
        <v>7</v>
      </c>
      <c r="D4737" s="465"/>
      <c r="E4737" s="466" t="s">
        <v>2922</v>
      </c>
      <c r="F4737" s="466" t="s">
        <v>2319</v>
      </c>
      <c r="G4737" s="465">
        <v>1</v>
      </c>
      <c r="H4737" s="465">
        <v>4</v>
      </c>
    </row>
    <row r="4738" spans="1:8" ht="13.8" thickBot="1">
      <c r="A4738" s="465" t="s">
        <v>9930</v>
      </c>
      <c r="B4738" s="465" t="s">
        <v>2965</v>
      </c>
      <c r="C4738" s="466">
        <v>7</v>
      </c>
      <c r="D4738" s="465"/>
      <c r="E4738" s="466" t="s">
        <v>2957</v>
      </c>
      <c r="F4738" s="466" t="s">
        <v>1251</v>
      </c>
      <c r="G4738" s="465"/>
      <c r="H4738" s="465">
        <v>3</v>
      </c>
    </row>
    <row r="4739" spans="1:8" ht="13.8" thickBot="1">
      <c r="A4739" s="467" t="s">
        <v>9931</v>
      </c>
      <c r="B4739" s="465" t="s">
        <v>1552</v>
      </c>
      <c r="C4739" s="466">
        <v>7</v>
      </c>
      <c r="D4739" s="465"/>
      <c r="E4739" s="466" t="s">
        <v>2957</v>
      </c>
      <c r="F4739" s="466" t="s">
        <v>1226</v>
      </c>
      <c r="G4739" s="465"/>
      <c r="H4739" s="465">
        <v>2</v>
      </c>
    </row>
    <row r="4740" spans="1:8" ht="13.8" thickBot="1">
      <c r="A4740" s="467" t="s">
        <v>9932</v>
      </c>
      <c r="B4740" s="465" t="s">
        <v>2966</v>
      </c>
      <c r="C4740" s="466">
        <v>7</v>
      </c>
      <c r="D4740" s="465" t="s">
        <v>2967</v>
      </c>
      <c r="E4740" s="466" t="s">
        <v>2957</v>
      </c>
      <c r="F4740" s="466"/>
      <c r="G4740" s="465">
        <v>1</v>
      </c>
      <c r="H4740" s="465">
        <v>3</v>
      </c>
    </row>
    <row r="4741" spans="1:8" ht="13.8" thickBot="1">
      <c r="A4741" s="465" t="s">
        <v>9933</v>
      </c>
      <c r="B4741" s="465" t="s">
        <v>2968</v>
      </c>
      <c r="C4741" s="466">
        <v>7</v>
      </c>
      <c r="D4741" s="467" t="s">
        <v>2969</v>
      </c>
      <c r="E4741" s="466" t="s">
        <v>2957</v>
      </c>
      <c r="F4741" s="466"/>
      <c r="G4741" s="465"/>
      <c r="H4741" s="465">
        <v>1</v>
      </c>
    </row>
    <row r="4742" spans="1:8" ht="13.8" thickBot="1">
      <c r="A4742" s="467" t="s">
        <v>9934</v>
      </c>
      <c r="B4742" s="465" t="s">
        <v>3092</v>
      </c>
      <c r="C4742" s="466">
        <v>7</v>
      </c>
      <c r="D4742" s="467" t="s">
        <v>614</v>
      </c>
      <c r="E4742" s="466" t="s">
        <v>3085</v>
      </c>
      <c r="F4742" s="466"/>
      <c r="G4742" s="465"/>
      <c r="H4742" s="465">
        <v>2</v>
      </c>
    </row>
    <row r="4743" spans="1:8" ht="13.8" thickBot="1">
      <c r="A4743" s="465" t="s">
        <v>9935</v>
      </c>
      <c r="B4743" s="465" t="s">
        <v>3119</v>
      </c>
      <c r="C4743" s="466">
        <v>7</v>
      </c>
      <c r="D4743" s="465"/>
      <c r="E4743" s="466" t="s">
        <v>3116</v>
      </c>
      <c r="F4743" s="466"/>
      <c r="G4743" s="465"/>
      <c r="H4743" s="465"/>
    </row>
    <row r="4744" spans="1:8" ht="13.8" thickBot="1">
      <c r="A4744" s="467" t="s">
        <v>9936</v>
      </c>
      <c r="B4744" s="465" t="s">
        <v>3182</v>
      </c>
      <c r="C4744" s="466">
        <v>7</v>
      </c>
      <c r="D4744" s="465"/>
      <c r="E4744" s="466" t="s">
        <v>3161</v>
      </c>
      <c r="F4744" s="466" t="s">
        <v>1251</v>
      </c>
      <c r="G4744" s="465"/>
      <c r="H4744" s="465"/>
    </row>
    <row r="4745" spans="1:8" ht="13.8" thickBot="1">
      <c r="A4745" s="465" t="s">
        <v>9937</v>
      </c>
      <c r="B4745" s="465" t="s">
        <v>3183</v>
      </c>
      <c r="C4745" s="466">
        <v>7</v>
      </c>
      <c r="D4745" s="465"/>
      <c r="E4745" s="466" t="s">
        <v>3161</v>
      </c>
      <c r="F4745" s="466" t="s">
        <v>1226</v>
      </c>
      <c r="G4745" s="465"/>
      <c r="H4745" s="465">
        <v>1</v>
      </c>
    </row>
    <row r="4746" spans="1:8" ht="13.8" thickBot="1">
      <c r="A4746" s="465" t="s">
        <v>9938</v>
      </c>
      <c r="B4746" s="465" t="s">
        <v>1390</v>
      </c>
      <c r="C4746" s="466">
        <v>7</v>
      </c>
      <c r="D4746" s="465"/>
      <c r="E4746" s="466" t="s">
        <v>3161</v>
      </c>
      <c r="F4746" s="466"/>
      <c r="G4746" s="465">
        <v>1</v>
      </c>
      <c r="H4746" s="465">
        <v>2</v>
      </c>
    </row>
    <row r="4747" spans="1:8" ht="13.8" thickBot="1">
      <c r="A4747" s="465" t="s">
        <v>9939</v>
      </c>
      <c r="B4747" s="465" t="s">
        <v>1390</v>
      </c>
      <c r="C4747" s="466">
        <v>7</v>
      </c>
      <c r="D4747" s="465"/>
      <c r="E4747" s="466" t="s">
        <v>3161</v>
      </c>
      <c r="F4747" s="466"/>
      <c r="G4747" s="465"/>
      <c r="H4747" s="465"/>
    </row>
    <row r="4748" spans="1:8" ht="13.8" thickBot="1">
      <c r="A4748" s="467" t="s">
        <v>9940</v>
      </c>
      <c r="B4748" s="465" t="s">
        <v>1390</v>
      </c>
      <c r="C4748" s="466">
        <v>7</v>
      </c>
      <c r="D4748" s="465"/>
      <c r="E4748" s="466" t="s">
        <v>3161</v>
      </c>
      <c r="F4748" s="466"/>
      <c r="G4748" s="465"/>
      <c r="H4748" s="465"/>
    </row>
    <row r="4749" spans="1:8" ht="13.8" thickBot="1">
      <c r="A4749" s="465" t="s">
        <v>9941</v>
      </c>
      <c r="B4749" s="465" t="s">
        <v>1390</v>
      </c>
      <c r="C4749" s="466">
        <v>7</v>
      </c>
      <c r="D4749" s="465"/>
      <c r="E4749" s="466" t="s">
        <v>3161</v>
      </c>
      <c r="F4749" s="466"/>
      <c r="G4749" s="465"/>
      <c r="H4749" s="465"/>
    </row>
    <row r="4750" spans="1:8" ht="13.8" thickBot="1">
      <c r="A4750" s="467" t="s">
        <v>9942</v>
      </c>
      <c r="B4750" s="465" t="s">
        <v>1390</v>
      </c>
      <c r="C4750" s="466">
        <v>7</v>
      </c>
      <c r="D4750" s="465"/>
      <c r="E4750" s="466" t="s">
        <v>3161</v>
      </c>
      <c r="F4750" s="466"/>
      <c r="G4750" s="465"/>
      <c r="H4750" s="465"/>
    </row>
    <row r="4751" spans="1:8" ht="13.8" thickBot="1">
      <c r="A4751" s="465" t="s">
        <v>9943</v>
      </c>
      <c r="B4751" s="465" t="s">
        <v>3184</v>
      </c>
      <c r="C4751" s="466">
        <v>7</v>
      </c>
      <c r="D4751" s="465"/>
      <c r="E4751" s="466" t="s">
        <v>3161</v>
      </c>
      <c r="F4751" s="466"/>
      <c r="G4751" s="465"/>
      <c r="H4751" s="465"/>
    </row>
    <row r="4752" spans="1:8" ht="13.8" thickBot="1">
      <c r="A4752" s="465" t="s">
        <v>9944</v>
      </c>
      <c r="B4752" s="465" t="s">
        <v>3185</v>
      </c>
      <c r="C4752" s="466">
        <v>7</v>
      </c>
      <c r="D4752" s="465"/>
      <c r="E4752" s="466" t="s">
        <v>3161</v>
      </c>
      <c r="F4752" s="466"/>
      <c r="G4752" s="465"/>
      <c r="H4752" s="465"/>
    </row>
    <row r="4753" spans="1:8" ht="13.8" thickBot="1">
      <c r="A4753" s="467" t="s">
        <v>9945</v>
      </c>
      <c r="B4753" s="465" t="s">
        <v>1399</v>
      </c>
      <c r="C4753" s="466">
        <v>7</v>
      </c>
      <c r="D4753" s="465"/>
      <c r="E4753" s="466" t="s">
        <v>3161</v>
      </c>
      <c r="F4753" s="466"/>
      <c r="G4753" s="465"/>
      <c r="H4753" s="465"/>
    </row>
    <row r="4754" spans="1:8" ht="13.8" thickBot="1">
      <c r="A4754" s="465" t="s">
        <v>9946</v>
      </c>
      <c r="B4754" s="465" t="s">
        <v>1399</v>
      </c>
      <c r="C4754" s="466">
        <v>7</v>
      </c>
      <c r="D4754" s="465"/>
      <c r="E4754" s="466" t="s">
        <v>3161</v>
      </c>
      <c r="F4754" s="466"/>
      <c r="G4754" s="465"/>
      <c r="H4754" s="465"/>
    </row>
    <row r="4755" spans="1:8" ht="13.8" thickBot="1">
      <c r="A4755" s="467" t="s">
        <v>9947</v>
      </c>
      <c r="B4755" s="465" t="s">
        <v>1399</v>
      </c>
      <c r="C4755" s="466">
        <v>7</v>
      </c>
      <c r="D4755" s="465"/>
      <c r="E4755" s="466" t="s">
        <v>3161</v>
      </c>
      <c r="F4755" s="466"/>
      <c r="G4755" s="465"/>
      <c r="H4755" s="465"/>
    </row>
    <row r="4756" spans="1:8" ht="13.8" thickBot="1">
      <c r="A4756" s="465" t="s">
        <v>1057</v>
      </c>
      <c r="B4756" s="465" t="s">
        <v>1392</v>
      </c>
      <c r="C4756" s="466">
        <v>7</v>
      </c>
      <c r="D4756" s="465"/>
      <c r="E4756" s="466" t="s">
        <v>3161</v>
      </c>
      <c r="F4756" s="466"/>
      <c r="G4756" s="465">
        <v>1</v>
      </c>
      <c r="H4756" s="465">
        <v>2</v>
      </c>
    </row>
    <row r="4757" spans="1:8" ht="13.8" thickBot="1">
      <c r="A4757" s="467" t="s">
        <v>9948</v>
      </c>
      <c r="B4757" s="465" t="s">
        <v>3186</v>
      </c>
      <c r="C4757" s="466">
        <v>7</v>
      </c>
      <c r="D4757" s="465"/>
      <c r="E4757" s="466" t="s">
        <v>3161</v>
      </c>
      <c r="F4757" s="466"/>
      <c r="G4757" s="465"/>
      <c r="H4757" s="465">
        <v>1</v>
      </c>
    </row>
    <row r="4758" spans="1:8" ht="13.8" thickBot="1">
      <c r="A4758" s="465" t="s">
        <v>9949</v>
      </c>
      <c r="B4758" s="465" t="s">
        <v>3187</v>
      </c>
      <c r="C4758" s="466">
        <v>7</v>
      </c>
      <c r="D4758" s="465"/>
      <c r="E4758" s="466" t="s">
        <v>3161</v>
      </c>
      <c r="F4758" s="466"/>
      <c r="G4758" s="465"/>
      <c r="H4758" s="465"/>
    </row>
    <row r="4759" spans="1:8" ht="13.8" thickBot="1">
      <c r="A4759" s="465" t="s">
        <v>599</v>
      </c>
      <c r="B4759" s="465" t="s">
        <v>3188</v>
      </c>
      <c r="C4759" s="466">
        <v>7</v>
      </c>
      <c r="D4759" s="467" t="s">
        <v>614</v>
      </c>
      <c r="E4759" s="466" t="s">
        <v>3161</v>
      </c>
      <c r="F4759" s="466"/>
      <c r="G4759" s="465">
        <v>2</v>
      </c>
      <c r="H4759" s="465">
        <v>3</v>
      </c>
    </row>
    <row r="4760" spans="1:8" ht="13.8" thickBot="1">
      <c r="A4760" s="465" t="s">
        <v>1058</v>
      </c>
      <c r="B4760" s="465" t="s">
        <v>3189</v>
      </c>
      <c r="C4760" s="466">
        <v>7</v>
      </c>
      <c r="D4760" s="465"/>
      <c r="E4760" s="466" t="s">
        <v>3161</v>
      </c>
      <c r="F4760" s="466"/>
      <c r="G4760" s="465"/>
      <c r="H4760" s="465"/>
    </row>
    <row r="4761" spans="1:8" ht="13.8" thickBot="1">
      <c r="A4761" s="467" t="s">
        <v>9950</v>
      </c>
      <c r="B4761" s="465" t="s">
        <v>3190</v>
      </c>
      <c r="C4761" s="466">
        <v>7</v>
      </c>
      <c r="D4761" s="465"/>
      <c r="E4761" s="466" t="s">
        <v>3161</v>
      </c>
      <c r="F4761" s="466"/>
      <c r="G4761" s="465"/>
      <c r="H4761" s="465"/>
    </row>
    <row r="4762" spans="1:8" ht="13.8" thickBot="1">
      <c r="A4762" s="467" t="s">
        <v>9951</v>
      </c>
      <c r="B4762" s="465" t="s">
        <v>3191</v>
      </c>
      <c r="C4762" s="466">
        <v>7</v>
      </c>
      <c r="D4762" s="465"/>
      <c r="E4762" s="466" t="s">
        <v>3161</v>
      </c>
      <c r="F4762" s="466"/>
      <c r="G4762" s="465"/>
      <c r="H4762" s="465"/>
    </row>
    <row r="4763" spans="1:8" ht="13.8" thickBot="1">
      <c r="A4763" s="467" t="s">
        <v>9952</v>
      </c>
      <c r="B4763" s="465" t="s">
        <v>3192</v>
      </c>
      <c r="C4763" s="466">
        <v>7</v>
      </c>
      <c r="D4763" s="465"/>
      <c r="E4763" s="466" t="s">
        <v>3161</v>
      </c>
      <c r="F4763" s="466"/>
      <c r="G4763" s="465"/>
      <c r="H4763" s="465"/>
    </row>
    <row r="4764" spans="1:8" ht="13.8" thickBot="1">
      <c r="A4764" s="465" t="s">
        <v>1092</v>
      </c>
      <c r="B4764" s="465" t="s">
        <v>3193</v>
      </c>
      <c r="C4764" s="466">
        <v>7</v>
      </c>
      <c r="D4764" s="465"/>
      <c r="E4764" s="466" t="s">
        <v>3161</v>
      </c>
      <c r="F4764" s="466"/>
      <c r="G4764" s="465"/>
      <c r="H4764" s="465"/>
    </row>
    <row r="4765" spans="1:8" ht="13.8" thickBot="1">
      <c r="A4765" s="467" t="s">
        <v>9953</v>
      </c>
      <c r="B4765" s="465" t="s">
        <v>3194</v>
      </c>
      <c r="C4765" s="466">
        <v>7</v>
      </c>
      <c r="D4765" s="465"/>
      <c r="E4765" s="466" t="s">
        <v>3161</v>
      </c>
      <c r="F4765" s="466"/>
      <c r="G4765" s="465"/>
      <c r="H4765" s="465"/>
    </row>
    <row r="4766" spans="1:8" ht="13.8" thickBot="1">
      <c r="A4766" s="467" t="s">
        <v>9954</v>
      </c>
      <c r="B4766" s="465" t="s">
        <v>3195</v>
      </c>
      <c r="C4766" s="466">
        <v>7</v>
      </c>
      <c r="D4766" s="465"/>
      <c r="E4766" s="466" t="s">
        <v>3161</v>
      </c>
      <c r="F4766" s="466"/>
      <c r="G4766" s="465"/>
      <c r="H4766" s="465"/>
    </row>
    <row r="4767" spans="1:8" ht="13.8" thickBot="1">
      <c r="A4767" s="467" t="s">
        <v>9955</v>
      </c>
      <c r="B4767" s="465" t="s">
        <v>3181</v>
      </c>
      <c r="C4767" s="466">
        <v>7</v>
      </c>
      <c r="D4767" s="465"/>
      <c r="E4767" s="466" t="s">
        <v>3161</v>
      </c>
      <c r="F4767" s="466"/>
      <c r="G4767" s="465"/>
      <c r="H4767" s="465"/>
    </row>
    <row r="4768" spans="1:8" ht="13.8" thickBot="1">
      <c r="A4768" s="465" t="s">
        <v>1020</v>
      </c>
      <c r="B4768" s="465" t="s">
        <v>3181</v>
      </c>
      <c r="C4768" s="466">
        <v>7</v>
      </c>
      <c r="D4768" s="465"/>
      <c r="E4768" s="466" t="s">
        <v>3161</v>
      </c>
      <c r="F4768" s="466"/>
      <c r="G4768" s="465"/>
      <c r="H4768" s="465"/>
    </row>
    <row r="4769" spans="1:8" ht="13.8" thickBot="1">
      <c r="A4769" s="465" t="s">
        <v>9956</v>
      </c>
      <c r="B4769" s="465" t="s">
        <v>3181</v>
      </c>
      <c r="C4769" s="466">
        <v>7</v>
      </c>
      <c r="D4769" s="465"/>
      <c r="E4769" s="466" t="s">
        <v>3161</v>
      </c>
      <c r="F4769" s="466"/>
      <c r="G4769" s="465"/>
      <c r="H4769" s="465"/>
    </row>
    <row r="4770" spans="1:8" ht="13.8" thickBot="1">
      <c r="A4770" s="467" t="s">
        <v>9957</v>
      </c>
      <c r="B4770" s="465" t="s">
        <v>3181</v>
      </c>
      <c r="C4770" s="466">
        <v>7</v>
      </c>
      <c r="D4770" s="465"/>
      <c r="E4770" s="466" t="s">
        <v>3161</v>
      </c>
      <c r="F4770" s="466"/>
      <c r="G4770" s="465"/>
      <c r="H4770" s="465"/>
    </row>
    <row r="4771" spans="1:8" ht="13.8" thickBot="1">
      <c r="A4771" s="467" t="s">
        <v>9958</v>
      </c>
      <c r="B4771" s="465" t="s">
        <v>3196</v>
      </c>
      <c r="C4771" s="466">
        <v>7</v>
      </c>
      <c r="D4771" s="465"/>
      <c r="E4771" s="466" t="s">
        <v>3161</v>
      </c>
      <c r="F4771" s="466"/>
      <c r="G4771" s="465"/>
      <c r="H4771" s="465"/>
    </row>
    <row r="4772" spans="1:8" ht="13.8" thickBot="1">
      <c r="A4772" s="467" t="s">
        <v>9959</v>
      </c>
      <c r="B4772" s="465" t="s">
        <v>3292</v>
      </c>
      <c r="C4772" s="466">
        <v>7</v>
      </c>
      <c r="D4772" s="467" t="s">
        <v>614</v>
      </c>
      <c r="E4772" s="466" t="s">
        <v>3285</v>
      </c>
      <c r="F4772" s="466" t="s">
        <v>1251</v>
      </c>
      <c r="G4772" s="465">
        <v>2</v>
      </c>
      <c r="H4772" s="465">
        <v>10</v>
      </c>
    </row>
    <row r="4773" spans="1:8" ht="13.8" thickBot="1">
      <c r="A4773" s="467" t="s">
        <v>9960</v>
      </c>
      <c r="B4773" s="465" t="s">
        <v>3293</v>
      </c>
      <c r="C4773" s="466">
        <v>7</v>
      </c>
      <c r="D4773" s="465"/>
      <c r="E4773" s="466" t="s">
        <v>3285</v>
      </c>
      <c r="F4773" s="466"/>
      <c r="G4773" s="465"/>
      <c r="H4773" s="465">
        <v>1</v>
      </c>
    </row>
    <row r="4774" spans="1:8" ht="13.8" thickBot="1">
      <c r="A4774" s="467" t="s">
        <v>9961</v>
      </c>
      <c r="B4774" s="465" t="s">
        <v>3294</v>
      </c>
      <c r="C4774" s="466">
        <v>7</v>
      </c>
      <c r="D4774" s="465"/>
      <c r="E4774" s="466" t="s">
        <v>3285</v>
      </c>
      <c r="F4774" s="466"/>
      <c r="G4774" s="465"/>
      <c r="H4774" s="465"/>
    </row>
    <row r="4775" spans="1:8" ht="13.8" thickBot="1">
      <c r="A4775" s="465" t="s">
        <v>9962</v>
      </c>
      <c r="B4775" s="465" t="s">
        <v>3295</v>
      </c>
      <c r="C4775" s="466">
        <v>7</v>
      </c>
      <c r="D4775" s="465"/>
      <c r="E4775" s="466" t="s">
        <v>3285</v>
      </c>
      <c r="F4775" s="466"/>
      <c r="G4775" s="465"/>
      <c r="H4775" s="465"/>
    </row>
    <row r="4776" spans="1:8" ht="13.8" thickBot="1">
      <c r="A4776" s="465" t="s">
        <v>9963</v>
      </c>
      <c r="B4776" s="465" t="s">
        <v>3296</v>
      </c>
      <c r="C4776" s="466">
        <v>7</v>
      </c>
      <c r="D4776" s="465"/>
      <c r="E4776" s="466" t="s">
        <v>3285</v>
      </c>
      <c r="F4776" s="466"/>
      <c r="G4776" s="465"/>
      <c r="H4776" s="465"/>
    </row>
    <row r="4777" spans="1:8" ht="13.8" thickBot="1">
      <c r="A4777" s="467" t="s">
        <v>9964</v>
      </c>
      <c r="B4777" s="465" t="s">
        <v>3297</v>
      </c>
      <c r="C4777" s="466">
        <v>7</v>
      </c>
      <c r="D4777" s="465"/>
      <c r="E4777" s="466" t="s">
        <v>3285</v>
      </c>
      <c r="F4777" s="466"/>
      <c r="G4777" s="465"/>
      <c r="H4777" s="465">
        <v>2</v>
      </c>
    </row>
    <row r="4778" spans="1:8" ht="13.8" thickBot="1">
      <c r="A4778" s="467" t="s">
        <v>9965</v>
      </c>
      <c r="B4778" s="465" t="s">
        <v>3298</v>
      </c>
      <c r="C4778" s="466">
        <v>7</v>
      </c>
      <c r="D4778" s="465"/>
      <c r="E4778" s="466" t="s">
        <v>3285</v>
      </c>
      <c r="F4778" s="466"/>
      <c r="G4778" s="465"/>
      <c r="H4778" s="465"/>
    </row>
    <row r="4779" spans="1:8" ht="13.8" thickBot="1">
      <c r="A4779" s="465" t="s">
        <v>616</v>
      </c>
      <c r="B4779" s="465" t="s">
        <v>3323</v>
      </c>
      <c r="C4779" s="466">
        <v>7</v>
      </c>
      <c r="D4779" s="465"/>
      <c r="E4779" s="466" t="s">
        <v>3315</v>
      </c>
      <c r="F4779" s="466"/>
      <c r="G4779" s="465"/>
      <c r="H4779" s="465"/>
    </row>
    <row r="4780" spans="1:8" ht="13.8" thickBot="1">
      <c r="A4780" s="465" t="s">
        <v>9966</v>
      </c>
      <c r="B4780" s="465" t="s">
        <v>3324</v>
      </c>
      <c r="C4780" s="466">
        <v>7</v>
      </c>
      <c r="D4780" s="465"/>
      <c r="E4780" s="466" t="s">
        <v>3315</v>
      </c>
      <c r="F4780" s="466"/>
      <c r="G4780" s="465"/>
      <c r="H4780" s="465">
        <v>1</v>
      </c>
    </row>
    <row r="4781" spans="1:8" ht="13.8" thickBot="1">
      <c r="A4781" s="465" t="s">
        <v>9967</v>
      </c>
      <c r="B4781" s="465" t="s">
        <v>1432</v>
      </c>
      <c r="C4781" s="466">
        <v>7</v>
      </c>
      <c r="D4781" s="465"/>
      <c r="E4781" s="466" t="s">
        <v>3315</v>
      </c>
      <c r="F4781" s="466"/>
      <c r="G4781" s="465"/>
      <c r="H4781" s="465"/>
    </row>
    <row r="4782" spans="1:8" ht="13.8" thickBot="1">
      <c r="A4782" s="465" t="s">
        <v>9968</v>
      </c>
      <c r="B4782" s="465" t="s">
        <v>3325</v>
      </c>
      <c r="C4782" s="466">
        <v>7</v>
      </c>
      <c r="D4782" s="467" t="s">
        <v>614</v>
      </c>
      <c r="E4782" s="466" t="s">
        <v>3315</v>
      </c>
      <c r="F4782" s="466"/>
      <c r="G4782" s="465"/>
      <c r="H4782" s="465">
        <v>1</v>
      </c>
    </row>
    <row r="4783" spans="1:8" ht="13.8" thickBot="1">
      <c r="A4783" s="467" t="s">
        <v>9969</v>
      </c>
      <c r="B4783" s="465" t="s">
        <v>3326</v>
      </c>
      <c r="C4783" s="466">
        <v>7</v>
      </c>
      <c r="D4783" s="465"/>
      <c r="E4783" s="466" t="s">
        <v>3315</v>
      </c>
      <c r="F4783" s="466"/>
      <c r="G4783" s="465"/>
      <c r="H4783" s="465"/>
    </row>
    <row r="4784" spans="1:8" ht="13.8" thickBot="1">
      <c r="A4784" s="467" t="s">
        <v>9824</v>
      </c>
      <c r="B4784" s="465" t="s">
        <v>2035</v>
      </c>
      <c r="C4784" s="466">
        <v>7</v>
      </c>
      <c r="D4784" s="465"/>
      <c r="E4784" s="466" t="s">
        <v>2032</v>
      </c>
      <c r="F4784" s="466" t="s">
        <v>1226</v>
      </c>
      <c r="G4784" s="465"/>
      <c r="H4784" s="465">
        <v>4</v>
      </c>
    </row>
    <row r="4785" spans="1:8" ht="13.8" thickBot="1">
      <c r="A4785" s="465" t="s">
        <v>9825</v>
      </c>
      <c r="B4785" s="465" t="s">
        <v>2036</v>
      </c>
      <c r="C4785" s="466">
        <v>7</v>
      </c>
      <c r="D4785" s="467" t="s">
        <v>1854</v>
      </c>
      <c r="E4785" s="466" t="s">
        <v>2032</v>
      </c>
      <c r="F4785" s="466" t="s">
        <v>1224</v>
      </c>
      <c r="G4785" s="465">
        <v>3</v>
      </c>
      <c r="H4785" s="465">
        <v>4</v>
      </c>
    </row>
    <row r="4786" spans="1:8" ht="13.8" thickBot="1">
      <c r="A4786" s="467" t="s">
        <v>9970</v>
      </c>
      <c r="B4786" s="465" t="s">
        <v>1440</v>
      </c>
      <c r="C4786" s="466">
        <v>7</v>
      </c>
      <c r="D4786" s="465"/>
      <c r="E4786" s="466" t="s">
        <v>3351</v>
      </c>
      <c r="F4786" s="466"/>
      <c r="G4786" s="465"/>
      <c r="H4786" s="465"/>
    </row>
    <row r="4787" spans="1:8" ht="13.8" thickBot="1">
      <c r="A4787" s="465" t="s">
        <v>9971</v>
      </c>
      <c r="B4787" s="465" t="s">
        <v>3366</v>
      </c>
      <c r="C4787" s="466">
        <v>7</v>
      </c>
      <c r="D4787" s="467" t="s">
        <v>614</v>
      </c>
      <c r="E4787" s="466" t="s">
        <v>3351</v>
      </c>
      <c r="F4787" s="466"/>
      <c r="G4787" s="465">
        <v>1</v>
      </c>
      <c r="H4787" s="465">
        <v>3</v>
      </c>
    </row>
    <row r="4788" spans="1:8" ht="13.8" thickBot="1">
      <c r="A4788" s="465" t="s">
        <v>9972</v>
      </c>
      <c r="B4788" s="465" t="s">
        <v>3367</v>
      </c>
      <c r="C4788" s="466">
        <v>7</v>
      </c>
      <c r="D4788" s="465"/>
      <c r="E4788" s="466" t="s">
        <v>3351</v>
      </c>
      <c r="F4788" s="466"/>
      <c r="G4788" s="465"/>
      <c r="H4788" s="465"/>
    </row>
    <row r="4789" spans="1:8" ht="13.8" thickBot="1">
      <c r="A4789" s="465" t="s">
        <v>9973</v>
      </c>
      <c r="B4789" s="465" t="s">
        <v>3368</v>
      </c>
      <c r="C4789" s="466">
        <v>7</v>
      </c>
      <c r="D4789" s="465"/>
      <c r="E4789" s="466" t="s">
        <v>3351</v>
      </c>
      <c r="F4789" s="466"/>
      <c r="G4789" s="465">
        <v>1</v>
      </c>
      <c r="H4789" s="465">
        <v>1</v>
      </c>
    </row>
    <row r="4790" spans="1:8" ht="13.8" thickBot="1">
      <c r="A4790" s="465" t="s">
        <v>9974</v>
      </c>
      <c r="B4790" s="465" t="s">
        <v>3369</v>
      </c>
      <c r="C4790" s="466">
        <v>7</v>
      </c>
      <c r="D4790" s="465"/>
      <c r="E4790" s="466" t="s">
        <v>3351</v>
      </c>
      <c r="F4790" s="466"/>
      <c r="G4790" s="465"/>
      <c r="H4790" s="465">
        <v>1</v>
      </c>
    </row>
    <row r="4791" spans="1:8" ht="13.8" thickBot="1">
      <c r="A4791" s="465" t="s">
        <v>9975</v>
      </c>
      <c r="B4791" s="465" t="s">
        <v>3370</v>
      </c>
      <c r="C4791" s="466">
        <v>7</v>
      </c>
      <c r="D4791" s="465"/>
      <c r="E4791" s="466" t="s">
        <v>3351</v>
      </c>
      <c r="F4791" s="466"/>
      <c r="G4791" s="465"/>
      <c r="H4791" s="465">
        <v>1</v>
      </c>
    </row>
    <row r="4792" spans="1:8" ht="13.8" thickBot="1">
      <c r="A4792" s="465" t="s">
        <v>9976</v>
      </c>
      <c r="B4792" s="465" t="s">
        <v>3371</v>
      </c>
      <c r="C4792" s="466">
        <v>7</v>
      </c>
      <c r="D4792" s="465"/>
      <c r="E4792" s="466" t="s">
        <v>3351</v>
      </c>
      <c r="F4792" s="466"/>
      <c r="G4792" s="465"/>
      <c r="H4792" s="465"/>
    </row>
    <row r="4793" spans="1:8" ht="13.8" thickBot="1">
      <c r="A4793" s="465" t="s">
        <v>9977</v>
      </c>
      <c r="B4793" s="465" t="s">
        <v>3372</v>
      </c>
      <c r="C4793" s="466">
        <v>7</v>
      </c>
      <c r="D4793" s="467" t="s">
        <v>614</v>
      </c>
      <c r="E4793" s="466" t="s">
        <v>3351</v>
      </c>
      <c r="F4793" s="466"/>
      <c r="G4793" s="465"/>
      <c r="H4793" s="465">
        <v>1</v>
      </c>
    </row>
    <row r="4794" spans="1:8" ht="13.8" thickBot="1">
      <c r="A4794" s="465" t="s">
        <v>9978</v>
      </c>
      <c r="B4794" s="465" t="s">
        <v>3373</v>
      </c>
      <c r="C4794" s="466">
        <v>7</v>
      </c>
      <c r="D4794" s="465"/>
      <c r="E4794" s="466" t="s">
        <v>3351</v>
      </c>
      <c r="F4794" s="466"/>
      <c r="G4794" s="465"/>
      <c r="H4794" s="465"/>
    </row>
    <row r="4795" spans="1:8" ht="13.8" thickBot="1">
      <c r="A4795" s="465" t="s">
        <v>9979</v>
      </c>
      <c r="B4795" s="465" t="s">
        <v>3374</v>
      </c>
      <c r="C4795" s="466">
        <v>7</v>
      </c>
      <c r="D4795" s="465"/>
      <c r="E4795" s="466" t="s">
        <v>3351</v>
      </c>
      <c r="F4795" s="466"/>
      <c r="G4795" s="465"/>
      <c r="H4795" s="465"/>
    </row>
    <row r="4796" spans="1:8" ht="13.8" thickBot="1">
      <c r="A4796" s="465" t="s">
        <v>9980</v>
      </c>
      <c r="B4796" s="465" t="s">
        <v>3375</v>
      </c>
      <c r="C4796" s="466">
        <v>7</v>
      </c>
      <c r="D4796" s="465"/>
      <c r="E4796" s="466" t="s">
        <v>3351</v>
      </c>
      <c r="F4796" s="466"/>
      <c r="G4796" s="465"/>
      <c r="H4796" s="465">
        <v>1</v>
      </c>
    </row>
    <row r="4797" spans="1:8" ht="13.8" thickBot="1">
      <c r="A4797" s="465" t="s">
        <v>9981</v>
      </c>
      <c r="B4797" s="465" t="s">
        <v>3376</v>
      </c>
      <c r="C4797" s="466">
        <v>7</v>
      </c>
      <c r="D4797" s="465"/>
      <c r="E4797" s="466" t="s">
        <v>3351</v>
      </c>
      <c r="F4797" s="466"/>
      <c r="G4797" s="465">
        <v>1</v>
      </c>
      <c r="H4797" s="465">
        <v>2</v>
      </c>
    </row>
    <row r="4798" spans="1:8" ht="13.8" thickBot="1">
      <c r="A4798" s="465" t="s">
        <v>9982</v>
      </c>
      <c r="B4798" s="465" t="s">
        <v>1449</v>
      </c>
      <c r="C4798" s="466">
        <v>7</v>
      </c>
      <c r="D4798" s="465" t="s">
        <v>3401</v>
      </c>
      <c r="E4798" s="466" t="s">
        <v>3400</v>
      </c>
      <c r="F4798" s="466"/>
      <c r="G4798" s="465">
        <v>1</v>
      </c>
      <c r="H4798" s="465">
        <v>1</v>
      </c>
    </row>
    <row r="4799" spans="1:8" ht="13.8" thickBot="1">
      <c r="A4799" s="465" t="s">
        <v>9983</v>
      </c>
      <c r="B4799" s="465" t="s">
        <v>3426</v>
      </c>
      <c r="C4799" s="466">
        <v>7</v>
      </c>
      <c r="D4799" s="467" t="s">
        <v>614</v>
      </c>
      <c r="E4799" s="466" t="s">
        <v>3414</v>
      </c>
      <c r="F4799" s="466" t="s">
        <v>1226</v>
      </c>
      <c r="G4799" s="465"/>
      <c r="H4799" s="465">
        <v>3</v>
      </c>
    </row>
    <row r="4800" spans="1:8" ht="13.8" thickBot="1">
      <c r="A4800" s="465" t="s">
        <v>9984</v>
      </c>
      <c r="B4800" s="465" t="s">
        <v>3421</v>
      </c>
      <c r="C4800" s="466">
        <v>7</v>
      </c>
      <c r="D4800" s="467" t="s">
        <v>614</v>
      </c>
      <c r="E4800" s="466" t="s">
        <v>3414</v>
      </c>
      <c r="F4800" s="466"/>
      <c r="G4800" s="465">
        <v>1</v>
      </c>
      <c r="H4800" s="465">
        <v>3</v>
      </c>
    </row>
    <row r="4801" spans="1:8" ht="13.8" thickBot="1">
      <c r="A4801" s="465" t="s">
        <v>9985</v>
      </c>
      <c r="B4801" s="465" t="s">
        <v>3421</v>
      </c>
      <c r="C4801" s="466">
        <v>7</v>
      </c>
      <c r="D4801" s="465"/>
      <c r="E4801" s="466" t="s">
        <v>3414</v>
      </c>
      <c r="F4801" s="466"/>
      <c r="G4801" s="465"/>
      <c r="H4801" s="465"/>
    </row>
    <row r="4802" spans="1:8" ht="13.8" thickBot="1">
      <c r="A4802" s="465" t="s">
        <v>9986</v>
      </c>
      <c r="B4802" s="465" t="s">
        <v>3421</v>
      </c>
      <c r="C4802" s="466">
        <v>7</v>
      </c>
      <c r="D4802" s="465"/>
      <c r="E4802" s="466" t="s">
        <v>3414</v>
      </c>
      <c r="F4802" s="466"/>
      <c r="G4802" s="465"/>
      <c r="H4802" s="465"/>
    </row>
    <row r="4803" spans="1:8" ht="13.8" thickBot="1">
      <c r="A4803" s="465" t="s">
        <v>9987</v>
      </c>
      <c r="B4803" s="465" t="s">
        <v>3427</v>
      </c>
      <c r="C4803" s="466">
        <v>7</v>
      </c>
      <c r="D4803" s="465"/>
      <c r="E4803" s="466" t="s">
        <v>3414</v>
      </c>
      <c r="F4803" s="466"/>
      <c r="G4803" s="465"/>
      <c r="H4803" s="465">
        <v>2</v>
      </c>
    </row>
    <row r="4804" spans="1:8" ht="13.8" thickBot="1">
      <c r="A4804" s="465" t="s">
        <v>9988</v>
      </c>
      <c r="B4804" s="465" t="s">
        <v>3428</v>
      </c>
      <c r="C4804" s="466">
        <v>7</v>
      </c>
      <c r="D4804" s="465"/>
      <c r="E4804" s="466" t="s">
        <v>3414</v>
      </c>
      <c r="F4804" s="466"/>
      <c r="G4804" s="465"/>
      <c r="H4804" s="465"/>
    </row>
    <row r="4805" spans="1:8" ht="13.8" thickBot="1">
      <c r="A4805" s="465" t="s">
        <v>9989</v>
      </c>
      <c r="B4805" s="465" t="s">
        <v>3429</v>
      </c>
      <c r="C4805" s="466">
        <v>7</v>
      </c>
      <c r="D4805" s="465"/>
      <c r="E4805" s="466" t="s">
        <v>3414</v>
      </c>
      <c r="F4805" s="466"/>
      <c r="G4805" s="465"/>
      <c r="H4805" s="465"/>
    </row>
    <row r="4806" spans="1:8" ht="13.8" thickBot="1">
      <c r="A4806" s="465" t="s">
        <v>9990</v>
      </c>
      <c r="B4806" s="465" t="s">
        <v>1447</v>
      </c>
      <c r="C4806" s="466">
        <v>7</v>
      </c>
      <c r="D4806" s="465"/>
      <c r="E4806" s="466" t="s">
        <v>3448</v>
      </c>
      <c r="F4806" s="466"/>
      <c r="G4806" s="465"/>
      <c r="H4806" s="465">
        <v>4</v>
      </c>
    </row>
    <row r="4807" spans="1:8" ht="13.8" thickBot="1">
      <c r="A4807" s="465" t="s">
        <v>9991</v>
      </c>
      <c r="B4807" s="465" t="s">
        <v>3449</v>
      </c>
      <c r="C4807" s="466">
        <v>7</v>
      </c>
      <c r="D4807" s="465" t="s">
        <v>3166</v>
      </c>
      <c r="E4807" s="466" t="s">
        <v>3448</v>
      </c>
      <c r="F4807" s="466"/>
      <c r="G4807" s="465"/>
      <c r="H4807" s="465"/>
    </row>
    <row r="4808" spans="1:8" ht="13.8" thickBot="1">
      <c r="A4808" s="465" t="s">
        <v>9992</v>
      </c>
      <c r="B4808" s="465" t="s">
        <v>3451</v>
      </c>
      <c r="C4808" s="466">
        <v>7</v>
      </c>
      <c r="D4808" s="465"/>
      <c r="E4808" s="466" t="s">
        <v>3452</v>
      </c>
      <c r="F4808" s="466"/>
      <c r="G4808" s="465"/>
      <c r="H4808" s="465">
        <v>1</v>
      </c>
    </row>
    <row r="4809" spans="1:8" ht="13.8" thickBot="1">
      <c r="A4809" s="467" t="s">
        <v>9993</v>
      </c>
      <c r="B4809" s="465" t="s">
        <v>3461</v>
      </c>
      <c r="C4809" s="466">
        <v>7</v>
      </c>
      <c r="D4809" s="465"/>
      <c r="E4809" s="466" t="s">
        <v>3452</v>
      </c>
      <c r="F4809" s="466"/>
      <c r="G4809" s="465"/>
      <c r="H4809" s="465">
        <v>1</v>
      </c>
    </row>
    <row r="4810" spans="1:8" ht="13.8" thickBot="1">
      <c r="A4810" s="465" t="s">
        <v>9994</v>
      </c>
      <c r="B4810" s="465" t="s">
        <v>3500</v>
      </c>
      <c r="C4810" s="466">
        <v>7</v>
      </c>
      <c r="D4810" s="465"/>
      <c r="E4810" s="466" t="s">
        <v>3496</v>
      </c>
      <c r="F4810" s="466"/>
      <c r="G4810" s="465"/>
      <c r="H4810" s="465"/>
    </row>
    <row r="4811" spans="1:8" ht="13.8" thickBot="1">
      <c r="A4811" s="467" t="s">
        <v>9995</v>
      </c>
      <c r="B4811" s="465" t="s">
        <v>3500</v>
      </c>
      <c r="C4811" s="466">
        <v>7</v>
      </c>
      <c r="D4811" s="465"/>
      <c r="E4811" s="466" t="s">
        <v>3496</v>
      </c>
      <c r="F4811" s="466"/>
      <c r="G4811" s="465"/>
      <c r="H4811" s="465"/>
    </row>
    <row r="4812" spans="1:8" ht="13.8" thickBot="1">
      <c r="A4812" s="465" t="s">
        <v>9996</v>
      </c>
      <c r="B4812" s="465" t="s">
        <v>3503</v>
      </c>
      <c r="C4812" s="466">
        <v>7</v>
      </c>
      <c r="D4812" s="465"/>
      <c r="E4812" s="466" t="s">
        <v>3496</v>
      </c>
      <c r="F4812" s="466"/>
      <c r="G4812" s="465"/>
      <c r="H4812" s="465"/>
    </row>
    <row r="4813" spans="1:8" ht="13.8" thickBot="1">
      <c r="A4813" s="465" t="s">
        <v>9997</v>
      </c>
      <c r="B4813" s="465" t="s">
        <v>3504</v>
      </c>
      <c r="C4813" s="466">
        <v>7</v>
      </c>
      <c r="D4813" s="465"/>
      <c r="E4813" s="466" t="s">
        <v>3496</v>
      </c>
      <c r="F4813" s="466"/>
      <c r="G4813" s="465"/>
      <c r="H4813" s="465"/>
    </row>
    <row r="4814" spans="1:8" ht="13.8" thickBot="1">
      <c r="A4814" s="465" t="s">
        <v>9998</v>
      </c>
      <c r="B4814" s="465" t="s">
        <v>3505</v>
      </c>
      <c r="C4814" s="466">
        <v>7</v>
      </c>
      <c r="D4814" s="465"/>
      <c r="E4814" s="466" t="s">
        <v>3496</v>
      </c>
      <c r="F4814" s="466"/>
      <c r="G4814" s="465"/>
      <c r="H4814" s="465"/>
    </row>
    <row r="4815" spans="1:8" ht="13.8" thickBot="1">
      <c r="A4815" s="465" t="s">
        <v>1119</v>
      </c>
      <c r="B4815" s="465" t="s">
        <v>3540</v>
      </c>
      <c r="C4815" s="466">
        <v>7</v>
      </c>
      <c r="D4815" s="467" t="s">
        <v>614</v>
      </c>
      <c r="E4815" s="466" t="s">
        <v>3517</v>
      </c>
      <c r="F4815" s="466" t="s">
        <v>1229</v>
      </c>
      <c r="G4815" s="465">
        <v>2</v>
      </c>
      <c r="H4815" s="465">
        <v>8</v>
      </c>
    </row>
    <row r="4816" spans="1:8" ht="13.8" thickBot="1">
      <c r="A4816" s="467" t="s">
        <v>9999</v>
      </c>
      <c r="B4816" s="465" t="s">
        <v>3541</v>
      </c>
      <c r="C4816" s="466">
        <v>7</v>
      </c>
      <c r="D4816" s="465"/>
      <c r="E4816" s="466" t="s">
        <v>3517</v>
      </c>
      <c r="F4816" s="466" t="s">
        <v>1251</v>
      </c>
      <c r="G4816" s="465"/>
      <c r="H4816" s="465">
        <v>5</v>
      </c>
    </row>
    <row r="4817" spans="1:8" ht="13.8" thickBot="1">
      <c r="A4817" s="465" t="s">
        <v>10000</v>
      </c>
      <c r="B4817" s="465" t="s">
        <v>3542</v>
      </c>
      <c r="C4817" s="466">
        <v>7</v>
      </c>
      <c r="D4817" s="465"/>
      <c r="E4817" s="466" t="s">
        <v>3517</v>
      </c>
      <c r="F4817" s="466" t="s">
        <v>1226</v>
      </c>
      <c r="G4817" s="465"/>
      <c r="H4817" s="465">
        <v>2</v>
      </c>
    </row>
    <row r="4818" spans="1:8" ht="13.8" thickBot="1">
      <c r="A4818" s="465" t="s">
        <v>10001</v>
      </c>
      <c r="B4818" s="465" t="s">
        <v>3543</v>
      </c>
      <c r="C4818" s="466">
        <v>7</v>
      </c>
      <c r="D4818" s="465"/>
      <c r="E4818" s="466" t="s">
        <v>3517</v>
      </c>
      <c r="F4818" s="466" t="s">
        <v>1226</v>
      </c>
      <c r="G4818" s="465">
        <v>1</v>
      </c>
      <c r="H4818" s="465">
        <v>2</v>
      </c>
    </row>
    <row r="4819" spans="1:8" ht="13.8" thickBot="1">
      <c r="A4819" s="465" t="s">
        <v>10002</v>
      </c>
      <c r="B4819" s="465" t="s">
        <v>1456</v>
      </c>
      <c r="C4819" s="466">
        <v>7</v>
      </c>
      <c r="D4819" s="465"/>
      <c r="E4819" s="466" t="s">
        <v>3517</v>
      </c>
      <c r="F4819" s="466" t="s">
        <v>1226</v>
      </c>
      <c r="G4819" s="465"/>
      <c r="H4819" s="465">
        <v>2</v>
      </c>
    </row>
    <row r="4820" spans="1:8" ht="13.8" thickBot="1">
      <c r="A4820" s="467" t="s">
        <v>10003</v>
      </c>
      <c r="B4820" s="465" t="s">
        <v>3544</v>
      </c>
      <c r="C4820" s="466">
        <v>7</v>
      </c>
      <c r="D4820" s="465"/>
      <c r="E4820" s="466" t="s">
        <v>3517</v>
      </c>
      <c r="F4820" s="466" t="s">
        <v>1226</v>
      </c>
      <c r="G4820" s="465"/>
      <c r="H4820" s="465">
        <v>1</v>
      </c>
    </row>
    <row r="4821" spans="1:8" ht="13.8" thickBot="1">
      <c r="A4821" s="465" t="s">
        <v>10004</v>
      </c>
      <c r="B4821" s="465" t="s">
        <v>3545</v>
      </c>
      <c r="C4821" s="466">
        <v>7</v>
      </c>
      <c r="D4821" s="465"/>
      <c r="E4821" s="466" t="s">
        <v>3517</v>
      </c>
      <c r="F4821" s="466"/>
      <c r="G4821" s="465"/>
      <c r="H4821" s="465"/>
    </row>
    <row r="4822" spans="1:8" ht="13.8" thickBot="1">
      <c r="A4822" s="467" t="s">
        <v>10005</v>
      </c>
      <c r="B4822" s="465" t="s">
        <v>3546</v>
      </c>
      <c r="C4822" s="466">
        <v>7</v>
      </c>
      <c r="D4822" s="465" t="s">
        <v>3547</v>
      </c>
      <c r="E4822" s="466" t="s">
        <v>3517</v>
      </c>
      <c r="F4822" s="466"/>
      <c r="G4822" s="465"/>
      <c r="H4822" s="465"/>
    </row>
    <row r="4823" spans="1:8" ht="13.8" thickBot="1">
      <c r="A4823" s="465" t="s">
        <v>10006</v>
      </c>
      <c r="B4823" s="465" t="s">
        <v>1456</v>
      </c>
      <c r="C4823" s="466">
        <v>7</v>
      </c>
      <c r="D4823" s="465"/>
      <c r="E4823" s="466" t="s">
        <v>3517</v>
      </c>
      <c r="F4823" s="466"/>
      <c r="G4823" s="465"/>
      <c r="H4823" s="465">
        <v>1</v>
      </c>
    </row>
    <row r="4824" spans="1:8" ht="13.8" thickBot="1">
      <c r="A4824" s="465" t="s">
        <v>10007</v>
      </c>
      <c r="B4824" s="465" t="s">
        <v>3548</v>
      </c>
      <c r="C4824" s="466">
        <v>7</v>
      </c>
      <c r="D4824" s="465"/>
      <c r="E4824" s="466" t="s">
        <v>3517</v>
      </c>
      <c r="F4824" s="466"/>
      <c r="G4824" s="465"/>
      <c r="H4824" s="465">
        <v>1</v>
      </c>
    </row>
    <row r="4825" spans="1:8" ht="13.8" thickBot="1">
      <c r="A4825" s="467" t="s">
        <v>10008</v>
      </c>
      <c r="B4825" s="465" t="s">
        <v>3549</v>
      </c>
      <c r="C4825" s="466">
        <v>7</v>
      </c>
      <c r="D4825" s="465"/>
      <c r="E4825" s="466" t="s">
        <v>3517</v>
      </c>
      <c r="F4825" s="466"/>
      <c r="G4825" s="465">
        <v>1</v>
      </c>
      <c r="H4825" s="465">
        <v>2</v>
      </c>
    </row>
    <row r="4826" spans="1:8" ht="13.8" thickBot="1">
      <c r="A4826" s="467" t="s">
        <v>10009</v>
      </c>
      <c r="B4826" s="465" t="s">
        <v>3644</v>
      </c>
      <c r="C4826" s="466">
        <v>7</v>
      </c>
      <c r="D4826" s="465"/>
      <c r="E4826" s="466" t="s">
        <v>3641</v>
      </c>
      <c r="F4826" s="466" t="s">
        <v>1224</v>
      </c>
      <c r="G4826" s="465"/>
      <c r="H4826" s="465"/>
    </row>
    <row r="4827" spans="1:8" ht="13.8" thickBot="1">
      <c r="A4827" s="465" t="s">
        <v>10010</v>
      </c>
      <c r="B4827" s="465" t="s">
        <v>3645</v>
      </c>
      <c r="C4827" s="466">
        <v>7</v>
      </c>
      <c r="D4827" s="465"/>
      <c r="E4827" s="466" t="s">
        <v>3641</v>
      </c>
      <c r="F4827" s="466"/>
      <c r="G4827" s="465"/>
      <c r="H4827" s="465"/>
    </row>
    <row r="4828" spans="1:8" ht="13.8" thickBot="1">
      <c r="A4828" s="465" t="s">
        <v>10011</v>
      </c>
      <c r="B4828" s="465" t="s">
        <v>3645</v>
      </c>
      <c r="C4828" s="466">
        <v>7</v>
      </c>
      <c r="D4828" s="465"/>
      <c r="E4828" s="466" t="s">
        <v>3641</v>
      </c>
      <c r="F4828" s="466"/>
      <c r="G4828" s="465"/>
      <c r="H4828" s="465"/>
    </row>
    <row r="4829" spans="1:8" ht="13.8" thickBot="1">
      <c r="A4829" s="467" t="s">
        <v>10012</v>
      </c>
      <c r="B4829" s="465" t="s">
        <v>3658</v>
      </c>
      <c r="C4829" s="466">
        <v>7</v>
      </c>
      <c r="D4829" s="465"/>
      <c r="E4829" s="466" t="s">
        <v>3652</v>
      </c>
      <c r="F4829" s="466" t="s">
        <v>1226</v>
      </c>
      <c r="G4829" s="465">
        <v>1</v>
      </c>
      <c r="H4829" s="465">
        <v>1</v>
      </c>
    </row>
    <row r="4830" spans="1:8" ht="13.8" thickBot="1">
      <c r="A4830" s="467" t="s">
        <v>10013</v>
      </c>
      <c r="B4830" s="465" t="s">
        <v>1466</v>
      </c>
      <c r="C4830" s="466">
        <v>7</v>
      </c>
      <c r="D4830" s="465"/>
      <c r="E4830" s="466" t="s">
        <v>3652</v>
      </c>
      <c r="F4830" s="466"/>
      <c r="G4830" s="465"/>
      <c r="H4830" s="465"/>
    </row>
    <row r="4831" spans="1:8" ht="13.8" thickBot="1">
      <c r="A4831" s="467" t="s">
        <v>10014</v>
      </c>
      <c r="B4831" s="465" t="s">
        <v>1466</v>
      </c>
      <c r="C4831" s="466">
        <v>7</v>
      </c>
      <c r="D4831" s="465"/>
      <c r="E4831" s="466" t="s">
        <v>3652</v>
      </c>
      <c r="F4831" s="466"/>
      <c r="G4831" s="465">
        <v>1</v>
      </c>
      <c r="H4831" s="465">
        <v>1</v>
      </c>
    </row>
    <row r="4832" spans="1:8" ht="13.8" thickBot="1">
      <c r="A4832" s="465" t="s">
        <v>10015</v>
      </c>
      <c r="B4832" s="465" t="s">
        <v>1466</v>
      </c>
      <c r="C4832" s="466">
        <v>7</v>
      </c>
      <c r="D4832" s="465"/>
      <c r="E4832" s="466" t="s">
        <v>3652</v>
      </c>
      <c r="F4832" s="466"/>
      <c r="G4832" s="465"/>
      <c r="H4832" s="465"/>
    </row>
    <row r="4833" spans="1:8" ht="13.8" thickBot="1">
      <c r="A4833" s="465" t="s">
        <v>10016</v>
      </c>
      <c r="B4833" s="465" t="s">
        <v>3659</v>
      </c>
      <c r="C4833" s="466">
        <v>7</v>
      </c>
      <c r="D4833" s="465"/>
      <c r="E4833" s="466" t="s">
        <v>3652</v>
      </c>
      <c r="F4833" s="466"/>
      <c r="G4833" s="465"/>
      <c r="H4833" s="465"/>
    </row>
    <row r="4834" spans="1:8" ht="13.8" thickBot="1">
      <c r="A4834" s="465" t="s">
        <v>10017</v>
      </c>
      <c r="B4834" s="465" t="s">
        <v>3660</v>
      </c>
      <c r="C4834" s="466">
        <v>7</v>
      </c>
      <c r="D4834" s="465"/>
      <c r="E4834" s="466" t="s">
        <v>3652</v>
      </c>
      <c r="F4834" s="466"/>
      <c r="G4834" s="465"/>
      <c r="H4834" s="465">
        <v>2</v>
      </c>
    </row>
    <row r="4835" spans="1:8" ht="13.8" thickBot="1">
      <c r="A4835" s="465" t="s">
        <v>10018</v>
      </c>
      <c r="B4835" s="465" t="s">
        <v>3661</v>
      </c>
      <c r="C4835" s="466">
        <v>7</v>
      </c>
      <c r="D4835" s="465"/>
      <c r="E4835" s="466" t="s">
        <v>3652</v>
      </c>
      <c r="F4835" s="466"/>
      <c r="G4835" s="465"/>
      <c r="H4835" s="465"/>
    </row>
    <row r="4836" spans="1:8" ht="13.8" thickBot="1">
      <c r="A4836" s="465" t="s">
        <v>10019</v>
      </c>
      <c r="B4836" s="465" t="s">
        <v>3662</v>
      </c>
      <c r="C4836" s="466">
        <v>7</v>
      </c>
      <c r="D4836" s="465"/>
      <c r="E4836" s="466" t="s">
        <v>3652</v>
      </c>
      <c r="F4836" s="466"/>
      <c r="G4836" s="465"/>
      <c r="H4836" s="465">
        <v>1</v>
      </c>
    </row>
    <row r="4837" spans="1:8" ht="13.8" thickBot="1">
      <c r="A4837" s="465" t="s">
        <v>10020</v>
      </c>
      <c r="B4837" s="465" t="s">
        <v>1468</v>
      </c>
      <c r="C4837" s="466">
        <v>7</v>
      </c>
      <c r="D4837" s="465"/>
      <c r="E4837" s="466" t="s">
        <v>3652</v>
      </c>
      <c r="F4837" s="466"/>
      <c r="G4837" s="465"/>
      <c r="H4837" s="465">
        <v>1</v>
      </c>
    </row>
    <row r="4838" spans="1:8" ht="13.8" thickBot="1">
      <c r="A4838" s="465" t="s">
        <v>10021</v>
      </c>
      <c r="B4838" s="465" t="s">
        <v>3663</v>
      </c>
      <c r="C4838" s="466">
        <v>7</v>
      </c>
      <c r="D4838" s="467" t="s">
        <v>3664</v>
      </c>
      <c r="E4838" s="466" t="s">
        <v>3652</v>
      </c>
      <c r="F4838" s="466"/>
      <c r="G4838" s="465"/>
      <c r="H4838" s="465">
        <v>1</v>
      </c>
    </row>
    <row r="4839" spans="1:8" ht="13.8" thickBot="1">
      <c r="A4839" s="465" t="s">
        <v>10022</v>
      </c>
      <c r="B4839" s="465" t="s">
        <v>3665</v>
      </c>
      <c r="C4839" s="466">
        <v>7</v>
      </c>
      <c r="D4839" s="465"/>
      <c r="E4839" s="466" t="s">
        <v>3652</v>
      </c>
      <c r="F4839" s="466"/>
      <c r="G4839" s="465">
        <v>1</v>
      </c>
      <c r="H4839" s="465">
        <v>1</v>
      </c>
    </row>
    <row r="4840" spans="1:8" ht="13.8" thickBot="1">
      <c r="A4840" s="465" t="s">
        <v>9826</v>
      </c>
      <c r="B4840" s="465" t="s">
        <v>2085</v>
      </c>
      <c r="C4840" s="466">
        <v>7</v>
      </c>
      <c r="D4840" s="467" t="s">
        <v>2086</v>
      </c>
      <c r="E4840" s="466" t="s">
        <v>2087</v>
      </c>
      <c r="F4840" s="466" t="s">
        <v>1220</v>
      </c>
      <c r="G4840" s="465"/>
      <c r="H4840" s="465">
        <v>2</v>
      </c>
    </row>
    <row r="4841" spans="1:8" ht="13.8" thickBot="1">
      <c r="A4841" s="467" t="s">
        <v>9827</v>
      </c>
      <c r="B4841" s="465" t="s">
        <v>1246</v>
      </c>
      <c r="C4841" s="466">
        <v>7</v>
      </c>
      <c r="D4841" s="465"/>
      <c r="E4841" s="466" t="s">
        <v>2087</v>
      </c>
      <c r="F4841" s="466"/>
      <c r="G4841" s="465"/>
      <c r="H4841" s="465">
        <v>1</v>
      </c>
    </row>
    <row r="4842" spans="1:8" ht="13.8" thickBot="1">
      <c r="A4842" s="465" t="s">
        <v>9828</v>
      </c>
      <c r="B4842" s="465" t="s">
        <v>1246</v>
      </c>
      <c r="C4842" s="466">
        <v>7</v>
      </c>
      <c r="D4842" s="465"/>
      <c r="E4842" s="466" t="s">
        <v>2087</v>
      </c>
      <c r="F4842" s="466"/>
      <c r="G4842" s="465"/>
      <c r="H4842" s="465">
        <v>1</v>
      </c>
    </row>
    <row r="4843" spans="1:8" ht="13.8" thickBot="1">
      <c r="A4843" s="467" t="s">
        <v>10023</v>
      </c>
      <c r="B4843" s="465" t="s">
        <v>1480</v>
      </c>
      <c r="C4843" s="466">
        <v>7</v>
      </c>
      <c r="D4843" s="465"/>
      <c r="E4843" s="466" t="s">
        <v>3734</v>
      </c>
      <c r="F4843" s="466" t="s">
        <v>1226</v>
      </c>
      <c r="G4843" s="465">
        <v>1</v>
      </c>
      <c r="H4843" s="465">
        <v>2</v>
      </c>
    </row>
    <row r="4844" spans="1:8" ht="13.8" thickBot="1">
      <c r="A4844" s="465" t="s">
        <v>10024</v>
      </c>
      <c r="B4844" s="465" t="s">
        <v>3743</v>
      </c>
      <c r="C4844" s="466">
        <v>7</v>
      </c>
      <c r="D4844" s="467" t="s">
        <v>3744</v>
      </c>
      <c r="E4844" s="466" t="s">
        <v>3734</v>
      </c>
      <c r="F4844" s="466" t="s">
        <v>1226</v>
      </c>
      <c r="G4844" s="465"/>
      <c r="H4844" s="465">
        <v>1</v>
      </c>
    </row>
    <row r="4845" spans="1:8" ht="13.8" thickBot="1">
      <c r="A4845" s="465" t="s">
        <v>10025</v>
      </c>
      <c r="B4845" s="465" t="s">
        <v>3745</v>
      </c>
      <c r="C4845" s="466">
        <v>7</v>
      </c>
      <c r="D4845" s="467" t="s">
        <v>614</v>
      </c>
      <c r="E4845" s="466" t="s">
        <v>3734</v>
      </c>
      <c r="F4845" s="466" t="s">
        <v>1226</v>
      </c>
      <c r="G4845" s="465">
        <v>1</v>
      </c>
      <c r="H4845" s="465">
        <v>3</v>
      </c>
    </row>
    <row r="4846" spans="1:8" ht="13.8" thickBot="1">
      <c r="A4846" s="465" t="s">
        <v>10026</v>
      </c>
      <c r="B4846" s="465" t="s">
        <v>1480</v>
      </c>
      <c r="C4846" s="466">
        <v>7</v>
      </c>
      <c r="D4846" s="465"/>
      <c r="E4846" s="466" t="s">
        <v>3734</v>
      </c>
      <c r="F4846" s="466"/>
      <c r="G4846" s="465"/>
      <c r="H4846" s="465">
        <v>1</v>
      </c>
    </row>
    <row r="4847" spans="1:8" ht="13.8" thickBot="1">
      <c r="A4847" s="467" t="s">
        <v>10027</v>
      </c>
      <c r="B4847" s="465" t="s">
        <v>1480</v>
      </c>
      <c r="C4847" s="466">
        <v>7</v>
      </c>
      <c r="D4847" s="467" t="s">
        <v>614</v>
      </c>
      <c r="E4847" s="466" t="s">
        <v>3734</v>
      </c>
      <c r="F4847" s="466"/>
      <c r="G4847" s="465"/>
      <c r="H4847" s="465">
        <v>2</v>
      </c>
    </row>
    <row r="4848" spans="1:8" ht="13.8" thickBot="1">
      <c r="A4848" s="465" t="s">
        <v>10028</v>
      </c>
      <c r="B4848" s="465" t="s">
        <v>3746</v>
      </c>
      <c r="C4848" s="466">
        <v>7</v>
      </c>
      <c r="D4848" s="465"/>
      <c r="E4848" s="466" t="s">
        <v>3734</v>
      </c>
      <c r="F4848" s="466"/>
      <c r="G4848" s="465"/>
      <c r="H4848" s="465">
        <v>1</v>
      </c>
    </row>
    <row r="4849" spans="1:8" ht="13.8" thickBot="1">
      <c r="A4849" s="465" t="s">
        <v>10029</v>
      </c>
      <c r="B4849" s="465" t="s">
        <v>3747</v>
      </c>
      <c r="C4849" s="466">
        <v>7</v>
      </c>
      <c r="D4849" s="465"/>
      <c r="E4849" s="466" t="s">
        <v>3734</v>
      </c>
      <c r="F4849" s="466"/>
      <c r="G4849" s="465"/>
      <c r="H4849" s="465">
        <v>1</v>
      </c>
    </row>
    <row r="4850" spans="1:8" ht="13.8" thickBot="1">
      <c r="A4850" s="467" t="s">
        <v>10030</v>
      </c>
      <c r="B4850" s="465" t="s">
        <v>3748</v>
      </c>
      <c r="C4850" s="466">
        <v>7</v>
      </c>
      <c r="D4850" s="465"/>
      <c r="E4850" s="466" t="s">
        <v>3734</v>
      </c>
      <c r="F4850" s="466"/>
      <c r="G4850" s="465"/>
      <c r="H4850" s="465"/>
    </row>
    <row r="4851" spans="1:8" ht="13.8" thickBot="1">
      <c r="A4851" s="465" t="s">
        <v>10031</v>
      </c>
      <c r="B4851" s="465" t="s">
        <v>3749</v>
      </c>
      <c r="C4851" s="466">
        <v>7</v>
      </c>
      <c r="D4851" s="465"/>
      <c r="E4851" s="466" t="s">
        <v>3734</v>
      </c>
      <c r="F4851" s="466"/>
      <c r="G4851" s="465">
        <v>1</v>
      </c>
      <c r="H4851" s="465">
        <v>1</v>
      </c>
    </row>
    <row r="4852" spans="1:8" ht="13.8" thickBot="1">
      <c r="A4852" s="465" t="s">
        <v>10032</v>
      </c>
      <c r="B4852" s="465" t="s">
        <v>3750</v>
      </c>
      <c r="C4852" s="466">
        <v>7</v>
      </c>
      <c r="D4852" s="465"/>
      <c r="E4852" s="466" t="s">
        <v>3734</v>
      </c>
      <c r="F4852" s="466"/>
      <c r="G4852" s="465"/>
      <c r="H4852" s="465">
        <v>3</v>
      </c>
    </row>
    <row r="4853" spans="1:8" ht="13.8" thickBot="1">
      <c r="A4853" s="465" t="s">
        <v>10033</v>
      </c>
      <c r="B4853" s="465" t="s">
        <v>3751</v>
      </c>
      <c r="C4853" s="466">
        <v>7</v>
      </c>
      <c r="D4853" s="465"/>
      <c r="E4853" s="466" t="s">
        <v>3734</v>
      </c>
      <c r="F4853" s="466"/>
      <c r="G4853" s="465"/>
      <c r="H4853" s="465">
        <v>2</v>
      </c>
    </row>
    <row r="4854" spans="1:8" ht="13.8" thickBot="1">
      <c r="A4854" s="465" t="s">
        <v>10034</v>
      </c>
      <c r="B4854" s="465" t="s">
        <v>1503</v>
      </c>
      <c r="C4854" s="466">
        <v>7</v>
      </c>
      <c r="D4854" s="465"/>
      <c r="E4854" s="466" t="s">
        <v>3807</v>
      </c>
      <c r="F4854" s="466"/>
      <c r="G4854" s="465"/>
      <c r="H4854" s="465"/>
    </row>
    <row r="4855" spans="1:8" ht="13.8" thickBot="1">
      <c r="A4855" s="465" t="s">
        <v>10035</v>
      </c>
      <c r="B4855" s="465" t="s">
        <v>3815</v>
      </c>
      <c r="C4855" s="466">
        <v>7</v>
      </c>
      <c r="D4855" s="465"/>
      <c r="E4855" s="466" t="s">
        <v>3807</v>
      </c>
      <c r="F4855" s="466"/>
      <c r="G4855" s="465"/>
      <c r="H4855" s="465">
        <v>2</v>
      </c>
    </row>
    <row r="4856" spans="1:8" ht="13.8" thickBot="1">
      <c r="A4856" s="465" t="s">
        <v>10036</v>
      </c>
      <c r="B4856" s="465" t="s">
        <v>3861</v>
      </c>
      <c r="C4856" s="466">
        <v>7</v>
      </c>
      <c r="D4856" s="465"/>
      <c r="E4856" s="466" t="s">
        <v>3856</v>
      </c>
      <c r="F4856" s="466" t="s">
        <v>1226</v>
      </c>
      <c r="G4856" s="465"/>
      <c r="H4856" s="465">
        <v>4</v>
      </c>
    </row>
    <row r="4857" spans="1:8" ht="13.8" thickBot="1">
      <c r="A4857" s="465" t="s">
        <v>10037</v>
      </c>
      <c r="B4857" s="465" t="s">
        <v>3862</v>
      </c>
      <c r="C4857" s="466">
        <v>7</v>
      </c>
      <c r="D4857" s="465"/>
      <c r="E4857" s="466" t="s">
        <v>3856</v>
      </c>
      <c r="F4857" s="466" t="s">
        <v>1226</v>
      </c>
      <c r="G4857" s="465"/>
      <c r="H4857" s="465">
        <v>2</v>
      </c>
    </row>
    <row r="4858" spans="1:8" ht="13.8" thickBot="1">
      <c r="A4858" s="467" t="s">
        <v>10038</v>
      </c>
      <c r="B4858" s="465" t="s">
        <v>3863</v>
      </c>
      <c r="C4858" s="466">
        <v>7</v>
      </c>
      <c r="D4858" s="467" t="s">
        <v>614</v>
      </c>
      <c r="E4858" s="466" t="s">
        <v>3856</v>
      </c>
      <c r="F4858" s="466" t="s">
        <v>1226</v>
      </c>
      <c r="G4858" s="465"/>
      <c r="H4858" s="465">
        <v>2</v>
      </c>
    </row>
    <row r="4859" spans="1:8" ht="13.8" thickBot="1">
      <c r="A4859" s="467" t="s">
        <v>10039</v>
      </c>
      <c r="B4859" s="465" t="s">
        <v>3864</v>
      </c>
      <c r="C4859" s="466">
        <v>7</v>
      </c>
      <c r="D4859" s="465"/>
      <c r="E4859" s="466" t="s">
        <v>3856</v>
      </c>
      <c r="F4859" s="466" t="s">
        <v>1224</v>
      </c>
      <c r="G4859" s="465">
        <v>1</v>
      </c>
      <c r="H4859" s="465">
        <v>1</v>
      </c>
    </row>
    <row r="4860" spans="1:8" ht="13.8" thickBot="1">
      <c r="A4860" s="465" t="s">
        <v>10040</v>
      </c>
      <c r="B4860" s="465" t="s">
        <v>1507</v>
      </c>
      <c r="C4860" s="466">
        <v>7</v>
      </c>
      <c r="D4860" s="465"/>
      <c r="E4860" s="466" t="s">
        <v>3856</v>
      </c>
      <c r="F4860" s="466"/>
      <c r="G4860" s="465"/>
      <c r="H4860" s="465">
        <v>1</v>
      </c>
    </row>
    <row r="4861" spans="1:8" ht="13.8" thickBot="1">
      <c r="A4861" s="465" t="s">
        <v>10041</v>
      </c>
      <c r="B4861" s="465" t="s">
        <v>1507</v>
      </c>
      <c r="C4861" s="466">
        <v>7</v>
      </c>
      <c r="D4861" s="465"/>
      <c r="E4861" s="466" t="s">
        <v>3856</v>
      </c>
      <c r="F4861" s="466"/>
      <c r="G4861" s="465"/>
      <c r="H4861" s="465">
        <v>1</v>
      </c>
    </row>
    <row r="4862" spans="1:8" ht="13.8" thickBot="1">
      <c r="A4862" s="465" t="s">
        <v>10042</v>
      </c>
      <c r="B4862" s="465" t="s">
        <v>3865</v>
      </c>
      <c r="C4862" s="466">
        <v>7</v>
      </c>
      <c r="D4862" s="465"/>
      <c r="E4862" s="466" t="s">
        <v>3856</v>
      </c>
      <c r="F4862" s="466"/>
      <c r="G4862" s="465"/>
      <c r="H4862" s="465">
        <v>1</v>
      </c>
    </row>
    <row r="4863" spans="1:8" ht="13.8" thickBot="1">
      <c r="A4863" s="465" t="s">
        <v>10043</v>
      </c>
      <c r="B4863" s="465" t="s">
        <v>3866</v>
      </c>
      <c r="C4863" s="466">
        <v>7</v>
      </c>
      <c r="D4863" s="465"/>
      <c r="E4863" s="466" t="s">
        <v>3856</v>
      </c>
      <c r="F4863" s="466"/>
      <c r="G4863" s="465"/>
      <c r="H4863" s="465">
        <v>1</v>
      </c>
    </row>
    <row r="4864" spans="1:8" ht="13.8" thickBot="1">
      <c r="A4864" s="465" t="s">
        <v>10044</v>
      </c>
      <c r="B4864" s="465" t="s">
        <v>3908</v>
      </c>
      <c r="C4864" s="466">
        <v>7</v>
      </c>
      <c r="D4864" s="465"/>
      <c r="E4864" s="466" t="s">
        <v>3903</v>
      </c>
      <c r="F4864" s="466"/>
      <c r="G4864" s="465"/>
      <c r="H4864" s="465"/>
    </row>
    <row r="4865" spans="1:8" ht="13.8" thickBot="1">
      <c r="A4865" s="465" t="s">
        <v>10045</v>
      </c>
      <c r="B4865" s="465" t="s">
        <v>3972</v>
      </c>
      <c r="C4865" s="466">
        <v>7</v>
      </c>
      <c r="D4865" s="465"/>
      <c r="E4865" s="466" t="s">
        <v>3957</v>
      </c>
      <c r="F4865" s="466" t="s">
        <v>1251</v>
      </c>
      <c r="G4865" s="465"/>
      <c r="H4865" s="465">
        <v>6</v>
      </c>
    </row>
    <row r="4866" spans="1:8" ht="13.8" thickBot="1">
      <c r="A4866" s="467" t="s">
        <v>10046</v>
      </c>
      <c r="B4866" s="465" t="s">
        <v>3973</v>
      </c>
      <c r="C4866" s="466">
        <v>7</v>
      </c>
      <c r="D4866" s="465"/>
      <c r="E4866" s="466" t="s">
        <v>3957</v>
      </c>
      <c r="F4866" s="466" t="s">
        <v>1251</v>
      </c>
      <c r="G4866" s="465"/>
      <c r="H4866" s="465">
        <v>3</v>
      </c>
    </row>
    <row r="4867" spans="1:8" ht="13.8" thickBot="1">
      <c r="A4867" s="465" t="s">
        <v>10047</v>
      </c>
      <c r="B4867" s="465" t="s">
        <v>1519</v>
      </c>
      <c r="C4867" s="466">
        <v>7</v>
      </c>
      <c r="D4867" s="467" t="s">
        <v>614</v>
      </c>
      <c r="E4867" s="466" t="s">
        <v>3957</v>
      </c>
      <c r="F4867" s="466" t="s">
        <v>1226</v>
      </c>
      <c r="G4867" s="465">
        <v>2</v>
      </c>
      <c r="H4867" s="465">
        <v>5</v>
      </c>
    </row>
    <row r="4868" spans="1:8" ht="13.8" thickBot="1">
      <c r="A4868" s="467" t="s">
        <v>10048</v>
      </c>
      <c r="B4868" s="465" t="s">
        <v>3970</v>
      </c>
      <c r="C4868" s="466">
        <v>7</v>
      </c>
      <c r="D4868" s="467" t="s">
        <v>614</v>
      </c>
      <c r="E4868" s="466" t="s">
        <v>3957</v>
      </c>
      <c r="F4868" s="466" t="s">
        <v>1224</v>
      </c>
      <c r="G4868" s="465"/>
      <c r="H4868" s="465">
        <v>3</v>
      </c>
    </row>
    <row r="4869" spans="1:8" ht="13.8" thickBot="1">
      <c r="A4869" s="467" t="s">
        <v>10049</v>
      </c>
      <c r="B4869" s="465" t="s">
        <v>1519</v>
      </c>
      <c r="C4869" s="466">
        <v>7</v>
      </c>
      <c r="D4869" s="467" t="s">
        <v>614</v>
      </c>
      <c r="E4869" s="466" t="s">
        <v>3957</v>
      </c>
      <c r="F4869" s="466"/>
      <c r="G4869" s="465"/>
      <c r="H4869" s="465">
        <v>2</v>
      </c>
    </row>
    <row r="4870" spans="1:8" ht="13.8" thickBot="1">
      <c r="A4870" s="465" t="s">
        <v>10050</v>
      </c>
      <c r="B4870" s="465" t="s">
        <v>1519</v>
      </c>
      <c r="C4870" s="466">
        <v>7</v>
      </c>
      <c r="D4870" s="467" t="s">
        <v>614</v>
      </c>
      <c r="E4870" s="466" t="s">
        <v>3957</v>
      </c>
      <c r="F4870" s="466"/>
      <c r="G4870" s="465"/>
      <c r="H4870" s="465">
        <v>2</v>
      </c>
    </row>
    <row r="4871" spans="1:8" ht="13.8" thickBot="1">
      <c r="A4871" s="465" t="s">
        <v>10051</v>
      </c>
      <c r="B4871" s="465" t="s">
        <v>1519</v>
      </c>
      <c r="C4871" s="466">
        <v>7</v>
      </c>
      <c r="D4871" s="465"/>
      <c r="E4871" s="466" t="s">
        <v>3957</v>
      </c>
      <c r="F4871" s="466"/>
      <c r="G4871" s="465"/>
      <c r="H4871" s="465">
        <v>1</v>
      </c>
    </row>
    <row r="4872" spans="1:8" ht="13.8" thickBot="1">
      <c r="A4872" s="467" t="s">
        <v>10052</v>
      </c>
      <c r="B4872" s="465" t="s">
        <v>3974</v>
      </c>
      <c r="C4872" s="466">
        <v>7</v>
      </c>
      <c r="D4872" s="467" t="s">
        <v>614</v>
      </c>
      <c r="E4872" s="466" t="s">
        <v>3957</v>
      </c>
      <c r="F4872" s="466"/>
      <c r="G4872" s="465"/>
      <c r="H4872" s="465">
        <v>1</v>
      </c>
    </row>
    <row r="4873" spans="1:8" ht="13.8" thickBot="1">
      <c r="A4873" s="467" t="s">
        <v>10053</v>
      </c>
      <c r="B4873" s="465" t="s">
        <v>3975</v>
      </c>
      <c r="C4873" s="466">
        <v>7</v>
      </c>
      <c r="D4873" s="465"/>
      <c r="E4873" s="466" t="s">
        <v>3957</v>
      </c>
      <c r="F4873" s="466"/>
      <c r="G4873" s="465"/>
      <c r="H4873" s="465">
        <v>1</v>
      </c>
    </row>
    <row r="4874" spans="1:8" ht="13.8" thickBot="1">
      <c r="A4874" s="467" t="s">
        <v>10054</v>
      </c>
      <c r="B4874" s="465" t="s">
        <v>1524</v>
      </c>
      <c r="C4874" s="466">
        <v>7</v>
      </c>
      <c r="D4874" s="465"/>
      <c r="E4874" s="466" t="s">
        <v>3957</v>
      </c>
      <c r="F4874" s="466"/>
      <c r="G4874" s="465"/>
      <c r="H4874" s="465">
        <v>4</v>
      </c>
    </row>
    <row r="4875" spans="1:8" ht="13.8" thickBot="1">
      <c r="A4875" s="467" t="s">
        <v>10055</v>
      </c>
      <c r="B4875" s="465" t="s">
        <v>4005</v>
      </c>
      <c r="C4875" s="466">
        <v>7</v>
      </c>
      <c r="D4875" s="465"/>
      <c r="E4875" s="466" t="s">
        <v>3996</v>
      </c>
      <c r="F4875" s="466" t="s">
        <v>1226</v>
      </c>
      <c r="G4875" s="465"/>
      <c r="H4875" s="465">
        <v>2</v>
      </c>
    </row>
    <row r="4876" spans="1:8" ht="13.8" thickBot="1">
      <c r="A4876" s="467" t="s">
        <v>10056</v>
      </c>
      <c r="B4876" s="465" t="s">
        <v>4006</v>
      </c>
      <c r="C4876" s="466">
        <v>7</v>
      </c>
      <c r="D4876" s="467" t="s">
        <v>614</v>
      </c>
      <c r="E4876" s="466" t="s">
        <v>3996</v>
      </c>
      <c r="F4876" s="466" t="s">
        <v>1226</v>
      </c>
      <c r="G4876" s="465"/>
      <c r="H4876" s="465">
        <v>2</v>
      </c>
    </row>
    <row r="4877" spans="1:8" ht="13.8" thickBot="1">
      <c r="A4877" s="467" t="s">
        <v>10057</v>
      </c>
      <c r="B4877" s="465" t="s">
        <v>4007</v>
      </c>
      <c r="C4877" s="466">
        <v>7</v>
      </c>
      <c r="D4877" s="465"/>
      <c r="E4877" s="466" t="s">
        <v>3996</v>
      </c>
      <c r="F4877" s="466" t="s">
        <v>1226</v>
      </c>
      <c r="G4877" s="465"/>
      <c r="H4877" s="465">
        <v>3</v>
      </c>
    </row>
    <row r="4878" spans="1:8" ht="13.8" thickBot="1">
      <c r="A4878" s="467" t="s">
        <v>10058</v>
      </c>
      <c r="B4878" s="465" t="s">
        <v>4008</v>
      </c>
      <c r="C4878" s="466">
        <v>7</v>
      </c>
      <c r="D4878" s="467" t="s">
        <v>614</v>
      </c>
      <c r="E4878" s="466" t="s">
        <v>3996</v>
      </c>
      <c r="F4878" s="466" t="s">
        <v>1226</v>
      </c>
      <c r="G4878" s="465"/>
      <c r="H4878" s="465">
        <v>2</v>
      </c>
    </row>
    <row r="4879" spans="1:8" ht="13.8" thickBot="1">
      <c r="A4879" s="465" t="s">
        <v>10059</v>
      </c>
      <c r="B4879" s="465" t="s">
        <v>4052</v>
      </c>
      <c r="C4879" s="466">
        <v>7</v>
      </c>
      <c r="D4879" s="467" t="s">
        <v>614</v>
      </c>
      <c r="E4879" s="466" t="s">
        <v>4046</v>
      </c>
      <c r="F4879" s="466" t="s">
        <v>1226</v>
      </c>
      <c r="G4879" s="465">
        <v>1</v>
      </c>
      <c r="H4879" s="465">
        <v>2</v>
      </c>
    </row>
    <row r="4880" spans="1:8" ht="13.8" thickBot="1">
      <c r="A4880" s="465" t="s">
        <v>10060</v>
      </c>
      <c r="B4880" s="465" t="s">
        <v>4052</v>
      </c>
      <c r="C4880" s="466">
        <v>7</v>
      </c>
      <c r="D4880" s="465"/>
      <c r="E4880" s="466" t="s">
        <v>4046</v>
      </c>
      <c r="F4880" s="466" t="s">
        <v>1226</v>
      </c>
      <c r="G4880" s="465"/>
      <c r="H4880" s="465">
        <v>1</v>
      </c>
    </row>
    <row r="4881" spans="1:8" ht="13.8" thickBot="1">
      <c r="A4881" s="467" t="s">
        <v>10061</v>
      </c>
      <c r="B4881" s="465" t="s">
        <v>4052</v>
      </c>
      <c r="C4881" s="466">
        <v>7</v>
      </c>
      <c r="D4881" s="465"/>
      <c r="E4881" s="466" t="s">
        <v>4046</v>
      </c>
      <c r="F4881" s="466"/>
      <c r="G4881" s="465"/>
      <c r="H4881" s="465">
        <v>1</v>
      </c>
    </row>
    <row r="4882" spans="1:8" ht="13.8" thickBot="1">
      <c r="A4882" s="467" t="s">
        <v>9829</v>
      </c>
      <c r="B4882" s="465" t="s">
        <v>1249</v>
      </c>
      <c r="C4882" s="466">
        <v>7</v>
      </c>
      <c r="D4882" s="465"/>
      <c r="E4882" s="466" t="s">
        <v>2114</v>
      </c>
      <c r="F4882" s="466"/>
      <c r="G4882" s="465"/>
      <c r="H4882" s="465"/>
    </row>
    <row r="4883" spans="1:8" ht="13.8" thickBot="1">
      <c r="A4883" s="467" t="s">
        <v>9830</v>
      </c>
      <c r="B4883" s="465" t="s">
        <v>2115</v>
      </c>
      <c r="C4883" s="466">
        <v>7</v>
      </c>
      <c r="D4883" s="465"/>
      <c r="E4883" s="466" t="s">
        <v>2114</v>
      </c>
      <c r="F4883" s="466"/>
      <c r="G4883" s="465">
        <v>1</v>
      </c>
      <c r="H4883" s="465">
        <v>3</v>
      </c>
    </row>
    <row r="4884" spans="1:8" ht="13.8" thickBot="1">
      <c r="A4884" s="467" t="s">
        <v>10062</v>
      </c>
      <c r="B4884" s="465" t="s">
        <v>4077</v>
      </c>
      <c r="C4884" s="466">
        <v>7</v>
      </c>
      <c r="D4884" s="465"/>
      <c r="E4884" s="466" t="s">
        <v>4067</v>
      </c>
      <c r="F4884" s="466" t="s">
        <v>1226</v>
      </c>
      <c r="G4884" s="465"/>
      <c r="H4884" s="465">
        <v>2</v>
      </c>
    </row>
    <row r="4885" spans="1:8" ht="13.8" thickBot="1">
      <c r="A4885" s="465" t="s">
        <v>10063</v>
      </c>
      <c r="B4885" s="465" t="s">
        <v>4078</v>
      </c>
      <c r="C4885" s="466">
        <v>7</v>
      </c>
      <c r="D4885" s="467" t="s">
        <v>614</v>
      </c>
      <c r="E4885" s="466" t="s">
        <v>4067</v>
      </c>
      <c r="F4885" s="466" t="s">
        <v>1226</v>
      </c>
      <c r="G4885" s="465"/>
      <c r="H4885" s="465">
        <v>1</v>
      </c>
    </row>
    <row r="4886" spans="1:8" ht="13.8" thickBot="1">
      <c r="A4886" s="467" t="s">
        <v>10064</v>
      </c>
      <c r="B4886" s="465" t="s">
        <v>4079</v>
      </c>
      <c r="C4886" s="466">
        <v>7</v>
      </c>
      <c r="D4886" s="465"/>
      <c r="E4886" s="466" t="s">
        <v>4067</v>
      </c>
      <c r="F4886" s="466"/>
      <c r="G4886" s="465"/>
      <c r="H4886" s="465">
        <v>1</v>
      </c>
    </row>
    <row r="4887" spans="1:8" ht="13.8" thickBot="1">
      <c r="A4887" s="467" t="s">
        <v>10065</v>
      </c>
      <c r="B4887" s="465" t="s">
        <v>4101</v>
      </c>
      <c r="C4887" s="466">
        <v>7</v>
      </c>
      <c r="D4887" s="467" t="s">
        <v>614</v>
      </c>
      <c r="E4887" s="466" t="s">
        <v>4102</v>
      </c>
      <c r="F4887" s="466" t="s">
        <v>1251</v>
      </c>
      <c r="G4887" s="465">
        <v>1</v>
      </c>
      <c r="H4887" s="465">
        <v>3</v>
      </c>
    </row>
    <row r="4888" spans="1:8" ht="13.8" thickBot="1">
      <c r="A4888" s="465" t="s">
        <v>10066</v>
      </c>
      <c r="B4888" s="465" t="s">
        <v>4123</v>
      </c>
      <c r="C4888" s="466">
        <v>7</v>
      </c>
      <c r="D4888" s="465"/>
      <c r="E4888" s="466" t="s">
        <v>4121</v>
      </c>
      <c r="F4888" s="466" t="s">
        <v>1251</v>
      </c>
      <c r="G4888" s="465"/>
      <c r="H4888" s="465">
        <v>5</v>
      </c>
    </row>
    <row r="4889" spans="1:8" ht="13.8" thickBot="1">
      <c r="A4889" s="465" t="s">
        <v>10067</v>
      </c>
      <c r="B4889" s="465" t="s">
        <v>4124</v>
      </c>
      <c r="C4889" s="466">
        <v>7</v>
      </c>
      <c r="D4889" s="465"/>
      <c r="E4889" s="466" t="s">
        <v>4121</v>
      </c>
      <c r="F4889" s="466" t="s">
        <v>1226</v>
      </c>
      <c r="G4889" s="465"/>
      <c r="H4889" s="465">
        <v>1</v>
      </c>
    </row>
    <row r="4890" spans="1:8" ht="13.8" thickBot="1">
      <c r="A4890" s="465" t="s">
        <v>10068</v>
      </c>
      <c r="B4890" s="465" t="s">
        <v>4125</v>
      </c>
      <c r="C4890" s="466">
        <v>7</v>
      </c>
      <c r="D4890" s="465"/>
      <c r="E4890" s="466" t="s">
        <v>4121</v>
      </c>
      <c r="F4890" s="466"/>
      <c r="G4890" s="465"/>
      <c r="H4890" s="465">
        <v>1</v>
      </c>
    </row>
    <row r="4891" spans="1:8" ht="13.8" thickBot="1">
      <c r="A4891" s="465" t="s">
        <v>10069</v>
      </c>
      <c r="B4891" s="465" t="s">
        <v>4125</v>
      </c>
      <c r="C4891" s="466">
        <v>7</v>
      </c>
      <c r="D4891" s="465"/>
      <c r="E4891" s="466" t="s">
        <v>4121</v>
      </c>
      <c r="F4891" s="466"/>
      <c r="G4891" s="465"/>
      <c r="H4891" s="465">
        <v>1</v>
      </c>
    </row>
    <row r="4892" spans="1:8" ht="13.8" thickBot="1">
      <c r="A4892" s="467" t="s">
        <v>10070</v>
      </c>
      <c r="B4892" s="465" t="s">
        <v>4125</v>
      </c>
      <c r="C4892" s="466">
        <v>7</v>
      </c>
      <c r="D4892" s="467" t="s">
        <v>614</v>
      </c>
      <c r="E4892" s="466" t="s">
        <v>4121</v>
      </c>
      <c r="F4892" s="466"/>
      <c r="G4892" s="465"/>
      <c r="H4892" s="465">
        <v>1</v>
      </c>
    </row>
    <row r="4893" spans="1:8" ht="13.8" thickBot="1">
      <c r="A4893" s="465" t="s">
        <v>10071</v>
      </c>
      <c r="B4893" s="468" t="s">
        <v>4126</v>
      </c>
      <c r="C4893" s="466">
        <v>7</v>
      </c>
      <c r="D4893" s="467" t="s">
        <v>614</v>
      </c>
      <c r="E4893" s="466" t="s">
        <v>4121</v>
      </c>
      <c r="F4893" s="466"/>
      <c r="G4893" s="465"/>
      <c r="H4893" s="465">
        <v>1</v>
      </c>
    </row>
    <row r="4894" spans="1:8" ht="13.8" thickBot="1">
      <c r="A4894" s="467" t="s">
        <v>10072</v>
      </c>
      <c r="B4894" s="468" t="s">
        <v>4126</v>
      </c>
      <c r="C4894" s="466">
        <v>7</v>
      </c>
      <c r="D4894" s="467" t="s">
        <v>614</v>
      </c>
      <c r="E4894" s="466" t="s">
        <v>4121</v>
      </c>
      <c r="F4894" s="466"/>
      <c r="G4894" s="465"/>
      <c r="H4894" s="465">
        <v>1</v>
      </c>
    </row>
    <row r="4895" spans="1:8" ht="13.8" thickBot="1">
      <c r="A4895" s="467" t="s">
        <v>10073</v>
      </c>
      <c r="B4895" s="468" t="s">
        <v>4126</v>
      </c>
      <c r="C4895" s="466">
        <v>7</v>
      </c>
      <c r="D4895" s="467" t="s">
        <v>614</v>
      </c>
      <c r="E4895" s="466" t="s">
        <v>4121</v>
      </c>
      <c r="F4895" s="466"/>
      <c r="G4895" s="465"/>
      <c r="H4895" s="465">
        <v>1</v>
      </c>
    </row>
    <row r="4896" spans="1:8" ht="13.8" thickBot="1">
      <c r="A4896" s="467" t="s">
        <v>10074</v>
      </c>
      <c r="B4896" s="465" t="s">
        <v>4127</v>
      </c>
      <c r="C4896" s="466">
        <v>7</v>
      </c>
      <c r="D4896" s="465"/>
      <c r="E4896" s="466" t="s">
        <v>4121</v>
      </c>
      <c r="F4896" s="466"/>
      <c r="G4896" s="465"/>
      <c r="H4896" s="465">
        <v>3</v>
      </c>
    </row>
    <row r="4897" spans="1:8" ht="13.8" thickBot="1">
      <c r="A4897" s="465" t="s">
        <v>10075</v>
      </c>
      <c r="B4897" s="465" t="s">
        <v>4144</v>
      </c>
      <c r="C4897" s="466">
        <v>7</v>
      </c>
      <c r="D4897" s="467" t="s">
        <v>614</v>
      </c>
      <c r="E4897" s="466" t="s">
        <v>4140</v>
      </c>
      <c r="F4897" s="466" t="s">
        <v>1226</v>
      </c>
      <c r="G4897" s="465"/>
      <c r="H4897" s="465">
        <v>1</v>
      </c>
    </row>
    <row r="4898" spans="1:8" ht="13.8" thickBot="1">
      <c r="A4898" s="467" t="s">
        <v>10076</v>
      </c>
      <c r="B4898" s="465" t="s">
        <v>4145</v>
      </c>
      <c r="C4898" s="466">
        <v>7</v>
      </c>
      <c r="D4898" s="465"/>
      <c r="E4898" s="466" t="s">
        <v>4140</v>
      </c>
      <c r="F4898" s="466" t="s">
        <v>1226</v>
      </c>
      <c r="G4898" s="465"/>
      <c r="H4898" s="465">
        <v>4</v>
      </c>
    </row>
    <row r="4899" spans="1:8" ht="13.8" thickBot="1">
      <c r="A4899" s="467" t="s">
        <v>10077</v>
      </c>
      <c r="B4899" s="465" t="s">
        <v>4142</v>
      </c>
      <c r="C4899" s="466">
        <v>7</v>
      </c>
      <c r="D4899" s="465"/>
      <c r="E4899" s="466" t="s">
        <v>4140</v>
      </c>
      <c r="F4899" s="466"/>
      <c r="G4899" s="465"/>
      <c r="H4899" s="465">
        <v>2</v>
      </c>
    </row>
    <row r="4900" spans="1:8" ht="13.8" thickBot="1">
      <c r="A4900" s="467" t="s">
        <v>10078</v>
      </c>
      <c r="B4900" s="465" t="s">
        <v>4163</v>
      </c>
      <c r="C4900" s="466">
        <v>7</v>
      </c>
      <c r="D4900" s="465"/>
      <c r="E4900" s="466" t="s">
        <v>4160</v>
      </c>
      <c r="F4900" s="466"/>
      <c r="G4900" s="465"/>
      <c r="H4900" s="465">
        <v>1</v>
      </c>
    </row>
    <row r="4901" spans="1:8" ht="13.8" thickBot="1">
      <c r="A4901" s="465" t="s">
        <v>10079</v>
      </c>
      <c r="B4901" s="465" t="s">
        <v>4164</v>
      </c>
      <c r="C4901" s="466">
        <v>7</v>
      </c>
      <c r="D4901" s="465"/>
      <c r="E4901" s="466" t="s">
        <v>4160</v>
      </c>
      <c r="F4901" s="466"/>
      <c r="G4901" s="465"/>
      <c r="H4901" s="465">
        <v>1</v>
      </c>
    </row>
    <row r="4902" spans="1:8" ht="13.8" thickBot="1">
      <c r="A4902" s="467" t="s">
        <v>10080</v>
      </c>
      <c r="B4902" s="465" t="s">
        <v>4165</v>
      </c>
      <c r="C4902" s="466">
        <v>7</v>
      </c>
      <c r="D4902" s="465"/>
      <c r="E4902" s="466" t="s">
        <v>4160</v>
      </c>
      <c r="F4902" s="466"/>
      <c r="G4902" s="465"/>
      <c r="H4902" s="465"/>
    </row>
    <row r="4903" spans="1:8" ht="13.8" thickBot="1">
      <c r="A4903" s="465" t="s">
        <v>10081</v>
      </c>
      <c r="B4903" s="465" t="s">
        <v>4166</v>
      </c>
      <c r="C4903" s="466">
        <v>7</v>
      </c>
      <c r="D4903" s="465"/>
      <c r="E4903" s="466" t="s">
        <v>4160</v>
      </c>
      <c r="F4903" s="466"/>
      <c r="G4903" s="465">
        <v>1</v>
      </c>
      <c r="H4903" s="465">
        <v>1</v>
      </c>
    </row>
    <row r="4904" spans="1:8" ht="13.8" thickBot="1">
      <c r="A4904" s="465" t="s">
        <v>10082</v>
      </c>
      <c r="B4904" s="465" t="s">
        <v>4209</v>
      </c>
      <c r="C4904" s="466">
        <v>7</v>
      </c>
      <c r="D4904" s="465"/>
      <c r="E4904" s="466" t="s">
        <v>4204</v>
      </c>
      <c r="F4904" s="466"/>
      <c r="G4904" s="465">
        <v>1</v>
      </c>
      <c r="H4904" s="465">
        <v>6</v>
      </c>
    </row>
    <row r="4905" spans="1:8" ht="13.8" thickBot="1">
      <c r="A4905" s="467" t="s">
        <v>10083</v>
      </c>
      <c r="B4905" s="465" t="s">
        <v>4209</v>
      </c>
      <c r="C4905" s="466">
        <v>7</v>
      </c>
      <c r="D4905" s="465"/>
      <c r="E4905" s="466" t="s">
        <v>4204</v>
      </c>
      <c r="F4905" s="466"/>
      <c r="G4905" s="465"/>
      <c r="H4905" s="465"/>
    </row>
    <row r="4906" spans="1:8" ht="13.8" thickBot="1">
      <c r="A4906" s="467" t="s">
        <v>10084</v>
      </c>
      <c r="B4906" s="465" t="s">
        <v>4233</v>
      </c>
      <c r="C4906" s="466">
        <v>7</v>
      </c>
      <c r="D4906" s="465"/>
      <c r="E4906" s="466" t="s">
        <v>4214</v>
      </c>
      <c r="F4906" s="466" t="s">
        <v>1226</v>
      </c>
      <c r="G4906" s="465">
        <v>1</v>
      </c>
      <c r="H4906" s="465">
        <v>4</v>
      </c>
    </row>
    <row r="4907" spans="1:8" ht="13.8" thickBot="1">
      <c r="A4907" s="467" t="s">
        <v>10085</v>
      </c>
      <c r="B4907" s="465" t="s">
        <v>1612</v>
      </c>
      <c r="C4907" s="466">
        <v>7</v>
      </c>
      <c r="D4907" s="465"/>
      <c r="E4907" s="466" t="s">
        <v>4214</v>
      </c>
      <c r="F4907" s="466" t="s">
        <v>1226</v>
      </c>
      <c r="G4907" s="465"/>
      <c r="H4907" s="465">
        <v>2</v>
      </c>
    </row>
    <row r="4908" spans="1:8" ht="13.8" thickBot="1">
      <c r="A4908" s="465" t="s">
        <v>10086</v>
      </c>
      <c r="B4908" s="465" t="s">
        <v>4234</v>
      </c>
      <c r="C4908" s="466">
        <v>7</v>
      </c>
      <c r="D4908" s="467" t="s">
        <v>4235</v>
      </c>
      <c r="E4908" s="466" t="s">
        <v>4214</v>
      </c>
      <c r="F4908" s="466" t="s">
        <v>1226</v>
      </c>
      <c r="G4908" s="465"/>
      <c r="H4908" s="465">
        <v>1</v>
      </c>
    </row>
    <row r="4909" spans="1:8" ht="13.8" thickBot="1">
      <c r="A4909" s="467" t="s">
        <v>10087</v>
      </c>
      <c r="B4909" s="468" t="s">
        <v>1617</v>
      </c>
      <c r="C4909" s="466">
        <v>7</v>
      </c>
      <c r="D4909" s="465"/>
      <c r="E4909" s="466" t="s">
        <v>4214</v>
      </c>
      <c r="F4909" s="466" t="s">
        <v>1226</v>
      </c>
      <c r="G4909" s="465"/>
      <c r="H4909" s="465">
        <v>1</v>
      </c>
    </row>
    <row r="4910" spans="1:8" ht="13.8" thickBot="1">
      <c r="A4910" s="467" t="s">
        <v>10088</v>
      </c>
      <c r="B4910" s="465" t="s">
        <v>4236</v>
      </c>
      <c r="C4910" s="466">
        <v>7</v>
      </c>
      <c r="D4910" s="465"/>
      <c r="E4910" s="466" t="s">
        <v>4214</v>
      </c>
      <c r="F4910" s="466" t="s">
        <v>1226</v>
      </c>
      <c r="G4910" s="465"/>
      <c r="H4910" s="465">
        <v>4</v>
      </c>
    </row>
    <row r="4911" spans="1:8" ht="13.8" thickBot="1">
      <c r="A4911" s="467" t="s">
        <v>10089</v>
      </c>
      <c r="B4911" s="465" t="s">
        <v>4237</v>
      </c>
      <c r="C4911" s="466">
        <v>7</v>
      </c>
      <c r="D4911" s="465"/>
      <c r="E4911" s="466" t="s">
        <v>4214</v>
      </c>
      <c r="F4911" s="466" t="s">
        <v>1226</v>
      </c>
      <c r="G4911" s="465"/>
      <c r="H4911" s="465">
        <v>2</v>
      </c>
    </row>
    <row r="4912" spans="1:8" ht="13.8" thickBot="1">
      <c r="A4912" s="465" t="s">
        <v>10090</v>
      </c>
      <c r="B4912" s="465" t="s">
        <v>4238</v>
      </c>
      <c r="C4912" s="466">
        <v>7</v>
      </c>
      <c r="D4912" s="465"/>
      <c r="E4912" s="466" t="s">
        <v>4214</v>
      </c>
      <c r="F4912" s="466" t="s">
        <v>1226</v>
      </c>
      <c r="G4912" s="465"/>
      <c r="H4912" s="465">
        <v>5</v>
      </c>
    </row>
    <row r="4913" spans="1:8" ht="13.8" thickBot="1">
      <c r="A4913" s="465" t="s">
        <v>10091</v>
      </c>
      <c r="B4913" s="465" t="s">
        <v>4239</v>
      </c>
      <c r="C4913" s="466">
        <v>7</v>
      </c>
      <c r="D4913" s="467" t="s">
        <v>614</v>
      </c>
      <c r="E4913" s="466" t="s">
        <v>4214</v>
      </c>
      <c r="F4913" s="466" t="s">
        <v>1224</v>
      </c>
      <c r="G4913" s="465"/>
      <c r="H4913" s="465">
        <v>2</v>
      </c>
    </row>
    <row r="4914" spans="1:8" ht="13.8" thickBot="1">
      <c r="A4914" s="465" t="s">
        <v>10092</v>
      </c>
      <c r="B4914" s="465" t="s">
        <v>1607</v>
      </c>
      <c r="C4914" s="466">
        <v>7</v>
      </c>
      <c r="D4914" s="465"/>
      <c r="E4914" s="466" t="s">
        <v>4214</v>
      </c>
      <c r="F4914" s="466"/>
      <c r="G4914" s="465"/>
      <c r="H4914" s="465"/>
    </row>
    <row r="4915" spans="1:8" ht="13.8" thickBot="1">
      <c r="A4915" s="467" t="s">
        <v>10093</v>
      </c>
      <c r="B4915" s="465" t="s">
        <v>1607</v>
      </c>
      <c r="C4915" s="466">
        <v>7</v>
      </c>
      <c r="D4915" s="465"/>
      <c r="E4915" s="466" t="s">
        <v>4214</v>
      </c>
      <c r="F4915" s="466"/>
      <c r="G4915" s="465">
        <v>1</v>
      </c>
      <c r="H4915" s="465">
        <v>3</v>
      </c>
    </row>
    <row r="4916" spans="1:8" ht="13.8" thickBot="1">
      <c r="A4916" s="465" t="s">
        <v>10094</v>
      </c>
      <c r="B4916" s="465" t="s">
        <v>1607</v>
      </c>
      <c r="C4916" s="466">
        <v>7</v>
      </c>
      <c r="D4916" s="465"/>
      <c r="E4916" s="466" t="s">
        <v>4214</v>
      </c>
      <c r="F4916" s="466"/>
      <c r="G4916" s="465"/>
      <c r="H4916" s="465">
        <v>1</v>
      </c>
    </row>
    <row r="4917" spans="1:8" ht="13.8" thickBot="1">
      <c r="A4917" s="467" t="s">
        <v>10095</v>
      </c>
      <c r="B4917" s="465" t="s">
        <v>1607</v>
      </c>
      <c r="C4917" s="466">
        <v>7</v>
      </c>
      <c r="D4917" s="465"/>
      <c r="E4917" s="466" t="s">
        <v>4214</v>
      </c>
      <c r="F4917" s="466"/>
      <c r="G4917" s="465"/>
      <c r="H4917" s="465">
        <v>1</v>
      </c>
    </row>
    <row r="4918" spans="1:8" ht="13.8" thickBot="1">
      <c r="A4918" s="467" t="s">
        <v>10096</v>
      </c>
      <c r="B4918" s="465" t="s">
        <v>1607</v>
      </c>
      <c r="C4918" s="466">
        <v>7</v>
      </c>
      <c r="D4918" s="465"/>
      <c r="E4918" s="466" t="s">
        <v>4214</v>
      </c>
      <c r="F4918" s="466"/>
      <c r="G4918" s="465">
        <v>1</v>
      </c>
      <c r="H4918" s="465">
        <v>1</v>
      </c>
    </row>
    <row r="4919" spans="1:8" ht="13.8" thickBot="1">
      <c r="A4919" s="465" t="s">
        <v>10097</v>
      </c>
      <c r="B4919" s="468" t="s">
        <v>4216</v>
      </c>
      <c r="C4919" s="466">
        <v>7</v>
      </c>
      <c r="D4919" s="465"/>
      <c r="E4919" s="466" t="s">
        <v>4214</v>
      </c>
      <c r="F4919" s="466"/>
      <c r="G4919" s="465"/>
      <c r="H4919" s="465">
        <v>1</v>
      </c>
    </row>
    <row r="4920" spans="1:8" ht="13.8" thickBot="1">
      <c r="A4920" s="465" t="s">
        <v>10098</v>
      </c>
      <c r="B4920" s="465" t="s">
        <v>4240</v>
      </c>
      <c r="C4920" s="466">
        <v>7</v>
      </c>
      <c r="D4920" s="465"/>
      <c r="E4920" s="466" t="s">
        <v>4214</v>
      </c>
      <c r="F4920" s="466"/>
      <c r="G4920" s="465"/>
      <c r="H4920" s="465">
        <v>3</v>
      </c>
    </row>
    <row r="4921" spans="1:8" ht="13.8" thickBot="1">
      <c r="A4921" s="465" t="s">
        <v>10099</v>
      </c>
      <c r="B4921" s="465" t="s">
        <v>1620</v>
      </c>
      <c r="C4921" s="466">
        <v>7</v>
      </c>
      <c r="D4921" s="465"/>
      <c r="E4921" s="466" t="s">
        <v>4214</v>
      </c>
      <c r="F4921" s="466"/>
      <c r="G4921" s="465"/>
      <c r="H4921" s="465">
        <v>1</v>
      </c>
    </row>
    <row r="4922" spans="1:8" ht="13.8" thickBot="1">
      <c r="A4922" s="465" t="s">
        <v>10100</v>
      </c>
      <c r="B4922" s="465" t="s">
        <v>4241</v>
      </c>
      <c r="C4922" s="466">
        <v>7</v>
      </c>
      <c r="D4922" s="465"/>
      <c r="E4922" s="466" t="s">
        <v>4214</v>
      </c>
      <c r="F4922" s="466"/>
      <c r="G4922" s="465"/>
      <c r="H4922" s="465"/>
    </row>
    <row r="4923" spans="1:8" ht="13.8" thickBot="1">
      <c r="A4923" s="465" t="s">
        <v>10101</v>
      </c>
      <c r="B4923" s="465" t="s">
        <v>4242</v>
      </c>
      <c r="C4923" s="466">
        <v>7</v>
      </c>
      <c r="D4923" s="465"/>
      <c r="E4923" s="466" t="s">
        <v>4214</v>
      </c>
      <c r="F4923" s="466"/>
      <c r="G4923" s="465"/>
      <c r="H4923" s="465"/>
    </row>
    <row r="4924" spans="1:8" ht="13.8" thickBot="1">
      <c r="A4924" s="465" t="s">
        <v>10102</v>
      </c>
      <c r="B4924" s="465" t="s">
        <v>4220</v>
      </c>
      <c r="C4924" s="466">
        <v>7</v>
      </c>
      <c r="D4924" s="465"/>
      <c r="E4924" s="466" t="s">
        <v>4214</v>
      </c>
      <c r="F4924" s="466"/>
      <c r="G4924" s="465"/>
      <c r="H4924" s="465">
        <v>2</v>
      </c>
    </row>
    <row r="4925" spans="1:8" ht="13.8" thickBot="1">
      <c r="A4925" s="465" t="s">
        <v>10103</v>
      </c>
      <c r="B4925" s="465" t="s">
        <v>4243</v>
      </c>
      <c r="C4925" s="466">
        <v>7</v>
      </c>
      <c r="D4925" s="465"/>
      <c r="E4925" s="466" t="s">
        <v>4214</v>
      </c>
      <c r="F4925" s="466"/>
      <c r="G4925" s="465">
        <v>1</v>
      </c>
      <c r="H4925" s="465">
        <v>1</v>
      </c>
    </row>
    <row r="4926" spans="1:8" ht="13.8" thickBot="1">
      <c r="A4926" s="467" t="s">
        <v>9831</v>
      </c>
      <c r="B4926" s="465" t="s">
        <v>2122</v>
      </c>
      <c r="C4926" s="466">
        <v>7</v>
      </c>
      <c r="D4926" s="465"/>
      <c r="E4926" s="466" t="s">
        <v>2123</v>
      </c>
      <c r="F4926" s="466"/>
      <c r="G4926" s="465"/>
      <c r="H4926" s="465">
        <v>1</v>
      </c>
    </row>
    <row r="4927" spans="1:8" ht="13.8" thickBot="1">
      <c r="A4927" s="467" t="s">
        <v>9832</v>
      </c>
      <c r="B4927" s="465" t="s">
        <v>2135</v>
      </c>
      <c r="C4927" s="466">
        <v>7</v>
      </c>
      <c r="D4927" s="465"/>
      <c r="E4927" s="466" t="s">
        <v>2123</v>
      </c>
      <c r="F4927" s="466"/>
      <c r="G4927" s="465"/>
      <c r="H4927" s="465">
        <v>2</v>
      </c>
    </row>
    <row r="4928" spans="1:8" ht="13.8" thickBot="1">
      <c r="A4928" s="467" t="s">
        <v>10104</v>
      </c>
      <c r="B4928" s="465" t="s">
        <v>1656</v>
      </c>
      <c r="C4928" s="466">
        <v>7</v>
      </c>
      <c r="D4928" s="465"/>
      <c r="E4928" s="466" t="s">
        <v>4364</v>
      </c>
      <c r="F4928" s="466"/>
      <c r="G4928" s="465"/>
      <c r="H4928" s="465">
        <v>1</v>
      </c>
    </row>
    <row r="4929" spans="1:8" ht="13.8" thickBot="1">
      <c r="A4929" s="465" t="s">
        <v>10105</v>
      </c>
      <c r="B4929" s="465" t="s">
        <v>1656</v>
      </c>
      <c r="C4929" s="466">
        <v>7</v>
      </c>
      <c r="D4929" s="465"/>
      <c r="E4929" s="466" t="s">
        <v>4364</v>
      </c>
      <c r="F4929" s="466"/>
      <c r="G4929" s="465"/>
      <c r="H4929" s="465"/>
    </row>
    <row r="4930" spans="1:8" ht="13.8" thickBot="1">
      <c r="A4930" s="465" t="s">
        <v>10106</v>
      </c>
      <c r="B4930" s="465" t="s">
        <v>1656</v>
      </c>
      <c r="C4930" s="466">
        <v>7</v>
      </c>
      <c r="D4930" s="465"/>
      <c r="E4930" s="466" t="s">
        <v>4364</v>
      </c>
      <c r="F4930" s="466"/>
      <c r="G4930" s="465"/>
      <c r="H4930" s="465"/>
    </row>
    <row r="4931" spans="1:8" ht="13.8" thickBot="1">
      <c r="A4931" s="467" t="s">
        <v>10107</v>
      </c>
      <c r="B4931" s="465" t="s">
        <v>4399</v>
      </c>
      <c r="C4931" s="466">
        <v>7</v>
      </c>
      <c r="D4931" s="465"/>
      <c r="E4931" s="466" t="s">
        <v>4400</v>
      </c>
      <c r="F4931" s="466"/>
      <c r="G4931" s="465">
        <v>1</v>
      </c>
      <c r="H4931" s="465">
        <v>1</v>
      </c>
    </row>
    <row r="4932" spans="1:8" ht="13.8" thickBot="1">
      <c r="A4932" s="467" t="s">
        <v>10108</v>
      </c>
      <c r="B4932" s="465" t="s">
        <v>4405</v>
      </c>
      <c r="C4932" s="466">
        <v>7</v>
      </c>
      <c r="D4932" s="465"/>
      <c r="E4932" s="466" t="s">
        <v>4403</v>
      </c>
      <c r="F4932" s="466"/>
      <c r="G4932" s="465"/>
      <c r="H4932" s="465"/>
    </row>
    <row r="4933" spans="1:8" ht="13.8" thickBot="1">
      <c r="A4933" s="465" t="s">
        <v>10109</v>
      </c>
      <c r="B4933" s="465" t="s">
        <v>4406</v>
      </c>
      <c r="C4933" s="466">
        <v>7</v>
      </c>
      <c r="D4933" s="467" t="s">
        <v>614</v>
      </c>
      <c r="E4933" s="466" t="s">
        <v>4403</v>
      </c>
      <c r="F4933" s="466"/>
      <c r="G4933" s="465"/>
      <c r="H4933" s="465">
        <v>1</v>
      </c>
    </row>
    <row r="4934" spans="1:8" ht="13.8" thickBot="1">
      <c r="A4934" s="465" t="s">
        <v>10110</v>
      </c>
      <c r="B4934" s="465" t="s">
        <v>1666</v>
      </c>
      <c r="C4934" s="466">
        <v>7</v>
      </c>
      <c r="D4934" s="465"/>
      <c r="E4934" s="466" t="s">
        <v>4425</v>
      </c>
      <c r="F4934" s="466"/>
      <c r="G4934" s="465">
        <v>1</v>
      </c>
      <c r="H4934" s="465">
        <v>1</v>
      </c>
    </row>
    <row r="4935" spans="1:8" ht="13.8" thickBot="1">
      <c r="A4935" s="465" t="s">
        <v>10111</v>
      </c>
      <c r="B4935" s="465" t="s">
        <v>1666</v>
      </c>
      <c r="C4935" s="466">
        <v>7</v>
      </c>
      <c r="D4935" s="465"/>
      <c r="E4935" s="466" t="s">
        <v>4425</v>
      </c>
      <c r="F4935" s="466"/>
      <c r="G4935" s="465"/>
      <c r="H4935" s="465"/>
    </row>
    <row r="4936" spans="1:8" ht="13.8" thickBot="1">
      <c r="A4936" s="467" t="s">
        <v>10112</v>
      </c>
      <c r="B4936" s="465" t="s">
        <v>1666</v>
      </c>
      <c r="C4936" s="466">
        <v>7</v>
      </c>
      <c r="D4936" s="465"/>
      <c r="E4936" s="466" t="s">
        <v>4425</v>
      </c>
      <c r="F4936" s="466"/>
      <c r="G4936" s="465">
        <v>1</v>
      </c>
      <c r="H4936" s="465">
        <v>1</v>
      </c>
    </row>
    <row r="4937" spans="1:8" ht="13.8" thickBot="1">
      <c r="A4937" s="465" t="s">
        <v>10113</v>
      </c>
      <c r="B4937" s="465" t="s">
        <v>4427</v>
      </c>
      <c r="C4937" s="466">
        <v>7</v>
      </c>
      <c r="D4937" s="465"/>
      <c r="E4937" s="466" t="s">
        <v>4428</v>
      </c>
      <c r="F4937" s="466"/>
      <c r="G4937" s="465"/>
      <c r="H4937" s="465">
        <v>1</v>
      </c>
    </row>
    <row r="4938" spans="1:8" ht="13.8" thickBot="1">
      <c r="A4938" s="465" t="s">
        <v>9833</v>
      </c>
      <c r="B4938" s="465" t="s">
        <v>2148</v>
      </c>
      <c r="C4938" s="466">
        <v>7</v>
      </c>
      <c r="D4938" s="465"/>
      <c r="E4938" s="466" t="s">
        <v>2149</v>
      </c>
      <c r="F4938" s="466"/>
      <c r="G4938" s="465"/>
      <c r="H4938" s="465"/>
    </row>
    <row r="4939" spans="1:8" ht="13.8" thickBot="1">
      <c r="A4939" s="467" t="s">
        <v>9834</v>
      </c>
      <c r="B4939" s="465" t="s">
        <v>2150</v>
      </c>
      <c r="C4939" s="466">
        <v>7</v>
      </c>
      <c r="D4939" s="465"/>
      <c r="E4939" s="466" t="s">
        <v>2149</v>
      </c>
      <c r="F4939" s="466"/>
      <c r="G4939" s="465">
        <v>3</v>
      </c>
      <c r="H4939" s="465">
        <v>3</v>
      </c>
    </row>
    <row r="4940" spans="1:8" ht="13.8" thickBot="1">
      <c r="A4940" s="465" t="s">
        <v>10114</v>
      </c>
      <c r="B4940" s="465" t="s">
        <v>1638</v>
      </c>
      <c r="C4940" s="466">
        <v>7</v>
      </c>
      <c r="D4940" s="465"/>
      <c r="E4940" s="466" t="s">
        <v>4438</v>
      </c>
      <c r="F4940" s="466" t="s">
        <v>1226</v>
      </c>
      <c r="G4940" s="465"/>
      <c r="H4940" s="465">
        <v>1</v>
      </c>
    </row>
    <row r="4941" spans="1:8" ht="13.8" thickBot="1">
      <c r="A4941" s="467" t="s">
        <v>10115</v>
      </c>
      <c r="B4941" s="465" t="s">
        <v>4449</v>
      </c>
      <c r="C4941" s="466">
        <v>7</v>
      </c>
      <c r="D4941" s="465"/>
      <c r="E4941" s="466" t="s">
        <v>4438</v>
      </c>
      <c r="F4941" s="466" t="s">
        <v>1226</v>
      </c>
      <c r="G4941" s="465">
        <v>1</v>
      </c>
      <c r="H4941" s="465">
        <v>2</v>
      </c>
    </row>
    <row r="4942" spans="1:8" ht="13.8" thickBot="1">
      <c r="A4942" s="465" t="s">
        <v>10116</v>
      </c>
      <c r="B4942" s="465" t="s">
        <v>4450</v>
      </c>
      <c r="C4942" s="466">
        <v>7</v>
      </c>
      <c r="D4942" s="465"/>
      <c r="E4942" s="466" t="s">
        <v>4438</v>
      </c>
      <c r="F4942" s="466"/>
      <c r="G4942" s="465"/>
      <c r="H4942" s="465"/>
    </row>
    <row r="4943" spans="1:8" ht="13.8" thickBot="1">
      <c r="A4943" s="465" t="s">
        <v>10117</v>
      </c>
      <c r="B4943" s="465" t="s">
        <v>4451</v>
      </c>
      <c r="C4943" s="466">
        <v>7</v>
      </c>
      <c r="D4943" s="465"/>
      <c r="E4943" s="466" t="s">
        <v>4438</v>
      </c>
      <c r="F4943" s="466"/>
      <c r="G4943" s="465"/>
      <c r="H4943" s="465">
        <v>1</v>
      </c>
    </row>
    <row r="4944" spans="1:8" ht="13.8" thickBot="1">
      <c r="A4944" s="467" t="s">
        <v>10118</v>
      </c>
      <c r="B4944" s="465" t="s">
        <v>4492</v>
      </c>
      <c r="C4944" s="466">
        <v>7</v>
      </c>
      <c r="D4944" s="465"/>
      <c r="E4944" s="466" t="s">
        <v>4491</v>
      </c>
      <c r="F4944" s="466"/>
      <c r="G4944" s="465">
        <v>2</v>
      </c>
      <c r="H4944" s="465">
        <v>2</v>
      </c>
    </row>
    <row r="4945" spans="1:8" ht="13.8" thickBot="1">
      <c r="A4945" s="465" t="s">
        <v>10119</v>
      </c>
      <c r="B4945" s="465" t="s">
        <v>4492</v>
      </c>
      <c r="C4945" s="466">
        <v>7</v>
      </c>
      <c r="D4945" s="465"/>
      <c r="E4945" s="466" t="s">
        <v>4491</v>
      </c>
      <c r="F4945" s="466"/>
      <c r="G4945" s="465">
        <v>1</v>
      </c>
      <c r="H4945" s="465">
        <v>2</v>
      </c>
    </row>
    <row r="4946" spans="1:8" ht="13.8" thickBot="1">
      <c r="A4946" s="465" t="s">
        <v>10120</v>
      </c>
      <c r="B4946" s="465" t="s">
        <v>4492</v>
      </c>
      <c r="C4946" s="466">
        <v>7</v>
      </c>
      <c r="D4946" s="465"/>
      <c r="E4946" s="466" t="s">
        <v>4491</v>
      </c>
      <c r="F4946" s="466"/>
      <c r="G4946" s="465"/>
      <c r="H4946" s="465"/>
    </row>
    <row r="4947" spans="1:8" ht="13.8" thickBot="1">
      <c r="A4947" s="465" t="s">
        <v>10121</v>
      </c>
      <c r="B4947" s="465" t="s">
        <v>4492</v>
      </c>
      <c r="C4947" s="466">
        <v>7</v>
      </c>
      <c r="D4947" s="465"/>
      <c r="E4947" s="466" t="s">
        <v>4491</v>
      </c>
      <c r="F4947" s="466"/>
      <c r="G4947" s="465"/>
      <c r="H4947" s="465"/>
    </row>
    <row r="4948" spans="1:8" ht="13.8" thickBot="1">
      <c r="A4948" s="465" t="s">
        <v>10122</v>
      </c>
      <c r="B4948" s="465" t="s">
        <v>4493</v>
      </c>
      <c r="C4948" s="466">
        <v>7</v>
      </c>
      <c r="D4948" s="467" t="s">
        <v>614</v>
      </c>
      <c r="E4948" s="466" t="s">
        <v>4491</v>
      </c>
      <c r="F4948" s="466"/>
      <c r="G4948" s="465"/>
      <c r="H4948" s="465">
        <v>1</v>
      </c>
    </row>
    <row r="4949" spans="1:8" ht="13.8" thickBot="1">
      <c r="A4949" s="465" t="s">
        <v>10123</v>
      </c>
      <c r="B4949" s="465" t="s">
        <v>4494</v>
      </c>
      <c r="C4949" s="466">
        <v>7</v>
      </c>
      <c r="D4949" s="465"/>
      <c r="E4949" s="466" t="s">
        <v>4491</v>
      </c>
      <c r="F4949" s="466"/>
      <c r="G4949" s="465"/>
      <c r="H4949" s="465"/>
    </row>
    <row r="4950" spans="1:8" ht="13.8" thickBot="1">
      <c r="A4950" s="465" t="s">
        <v>10124</v>
      </c>
      <c r="B4950" s="465" t="s">
        <v>4495</v>
      </c>
      <c r="C4950" s="466">
        <v>7</v>
      </c>
      <c r="D4950" s="465"/>
      <c r="E4950" s="466" t="s">
        <v>4491</v>
      </c>
      <c r="F4950" s="466"/>
      <c r="G4950" s="465">
        <v>2</v>
      </c>
      <c r="H4950" s="465">
        <v>2</v>
      </c>
    </row>
    <row r="4951" spans="1:8" ht="13.8" thickBot="1">
      <c r="A4951" s="467" t="s">
        <v>10125</v>
      </c>
      <c r="B4951" s="465" t="s">
        <v>4513</v>
      </c>
      <c r="C4951" s="466">
        <v>7</v>
      </c>
      <c r="D4951" s="467" t="s">
        <v>614</v>
      </c>
      <c r="E4951" s="466" t="s">
        <v>4509</v>
      </c>
      <c r="F4951" s="466" t="s">
        <v>1226</v>
      </c>
      <c r="G4951" s="465">
        <v>1</v>
      </c>
      <c r="H4951" s="465">
        <v>5</v>
      </c>
    </row>
    <row r="4952" spans="1:8" ht="13.8" thickBot="1">
      <c r="A4952" s="467" t="s">
        <v>10126</v>
      </c>
      <c r="B4952" s="465" t="s">
        <v>4514</v>
      </c>
      <c r="C4952" s="466">
        <v>7</v>
      </c>
      <c r="D4952" s="465"/>
      <c r="E4952" s="466" t="s">
        <v>4509</v>
      </c>
      <c r="F4952" s="466"/>
      <c r="G4952" s="465"/>
      <c r="H4952" s="465"/>
    </row>
    <row r="4953" spans="1:8" ht="13.8" thickBot="1">
      <c r="A4953" s="465" t="s">
        <v>10127</v>
      </c>
      <c r="B4953" s="465" t="s">
        <v>4537</v>
      </c>
      <c r="C4953" s="466">
        <v>7</v>
      </c>
      <c r="D4953" s="465"/>
      <c r="E4953" s="466" t="s">
        <v>4536</v>
      </c>
      <c r="F4953" s="466" t="s">
        <v>1226</v>
      </c>
      <c r="G4953" s="465"/>
      <c r="H4953" s="465">
        <v>3</v>
      </c>
    </row>
    <row r="4954" spans="1:8" ht="13.8" thickBot="1">
      <c r="A4954" s="467" t="s">
        <v>10128</v>
      </c>
      <c r="B4954" s="465" t="s">
        <v>4538</v>
      </c>
      <c r="C4954" s="466">
        <v>7</v>
      </c>
      <c r="D4954" s="465"/>
      <c r="E4954" s="466" t="s">
        <v>4536</v>
      </c>
      <c r="F4954" s="466" t="s">
        <v>1226</v>
      </c>
      <c r="G4954" s="465"/>
      <c r="H4954" s="465">
        <v>3</v>
      </c>
    </row>
    <row r="4955" spans="1:8" ht="13.8" thickBot="1">
      <c r="A4955" s="467" t="s">
        <v>10129</v>
      </c>
      <c r="B4955" s="465" t="s">
        <v>4539</v>
      </c>
      <c r="C4955" s="466">
        <v>7</v>
      </c>
      <c r="D4955" s="465"/>
      <c r="E4955" s="466" t="s">
        <v>4536</v>
      </c>
      <c r="F4955" s="466" t="s">
        <v>1220</v>
      </c>
      <c r="G4955" s="465"/>
      <c r="H4955" s="465">
        <v>6</v>
      </c>
    </row>
    <row r="4956" spans="1:8" ht="13.8" thickBot="1">
      <c r="A4956" s="467" t="s">
        <v>10130</v>
      </c>
      <c r="B4956" s="465" t="s">
        <v>1665</v>
      </c>
      <c r="C4956" s="466">
        <v>7</v>
      </c>
      <c r="D4956" s="467" t="s">
        <v>614</v>
      </c>
      <c r="E4956" s="466" t="s">
        <v>4536</v>
      </c>
      <c r="F4956" s="466"/>
      <c r="G4956" s="465"/>
      <c r="H4956" s="465">
        <v>1</v>
      </c>
    </row>
    <row r="4957" spans="1:8" ht="13.8" thickBot="1">
      <c r="A4957" s="467" t="s">
        <v>10131</v>
      </c>
      <c r="B4957" s="465" t="s">
        <v>4540</v>
      </c>
      <c r="C4957" s="466">
        <v>7</v>
      </c>
      <c r="D4957" s="465"/>
      <c r="E4957" s="466" t="s">
        <v>4536</v>
      </c>
      <c r="F4957" s="466"/>
      <c r="G4957" s="465"/>
      <c r="H4957" s="465"/>
    </row>
    <row r="4958" spans="1:8" ht="13.8" thickBot="1">
      <c r="A4958" s="467" t="s">
        <v>10132</v>
      </c>
      <c r="B4958" s="465" t="s">
        <v>4541</v>
      </c>
      <c r="C4958" s="466">
        <v>7</v>
      </c>
      <c r="D4958" s="465"/>
      <c r="E4958" s="466" t="s">
        <v>4536</v>
      </c>
      <c r="F4958" s="466"/>
      <c r="G4958" s="465"/>
      <c r="H4958" s="465"/>
    </row>
    <row r="4959" spans="1:8" ht="13.8" thickBot="1">
      <c r="A4959" s="465" t="s">
        <v>10133</v>
      </c>
      <c r="B4959" s="465" t="s">
        <v>4542</v>
      </c>
      <c r="C4959" s="466">
        <v>7</v>
      </c>
      <c r="D4959" s="465"/>
      <c r="E4959" s="466" t="s">
        <v>4536</v>
      </c>
      <c r="F4959" s="466"/>
      <c r="G4959" s="465"/>
      <c r="H4959" s="465"/>
    </row>
    <row r="4960" spans="1:8" ht="13.8" thickBot="1">
      <c r="A4960" s="465" t="s">
        <v>10134</v>
      </c>
      <c r="B4960" s="465" t="s">
        <v>4543</v>
      </c>
      <c r="C4960" s="466">
        <v>7</v>
      </c>
      <c r="D4960" s="465"/>
      <c r="E4960" s="466" t="s">
        <v>4536</v>
      </c>
      <c r="F4960" s="466"/>
      <c r="G4960" s="465"/>
      <c r="H4960" s="465">
        <v>2</v>
      </c>
    </row>
    <row r="4961" spans="1:8" ht="13.8" thickBot="1">
      <c r="A4961" s="465" t="s">
        <v>10135</v>
      </c>
      <c r="B4961" s="465" t="s">
        <v>4560</v>
      </c>
      <c r="C4961" s="466">
        <v>7</v>
      </c>
      <c r="D4961" s="465"/>
      <c r="E4961" s="466" t="s">
        <v>4557</v>
      </c>
      <c r="F4961" s="466"/>
      <c r="G4961" s="465"/>
      <c r="H4961" s="465"/>
    </row>
    <row r="4962" spans="1:8" ht="13.8" thickBot="1">
      <c r="A4962" s="465" t="s">
        <v>10136</v>
      </c>
      <c r="B4962" s="465" t="s">
        <v>4561</v>
      </c>
      <c r="C4962" s="466">
        <v>7</v>
      </c>
      <c r="D4962" s="465"/>
      <c r="E4962" s="466" t="s">
        <v>4557</v>
      </c>
      <c r="F4962" s="466"/>
      <c r="G4962" s="465"/>
      <c r="H4962" s="465"/>
    </row>
    <row r="4963" spans="1:8" ht="13.8" thickBot="1">
      <c r="A4963" s="465" t="s">
        <v>10137</v>
      </c>
      <c r="B4963" s="465" t="s">
        <v>4562</v>
      </c>
      <c r="C4963" s="466">
        <v>7</v>
      </c>
      <c r="D4963" s="465"/>
      <c r="E4963" s="466" t="s">
        <v>4557</v>
      </c>
      <c r="F4963" s="466"/>
      <c r="G4963" s="465"/>
      <c r="H4963" s="465">
        <v>2</v>
      </c>
    </row>
    <row r="4964" spans="1:8" ht="13.8" thickBot="1">
      <c r="A4964" s="465" t="s">
        <v>10138</v>
      </c>
      <c r="B4964" s="465" t="s">
        <v>4600</v>
      </c>
      <c r="C4964" s="466">
        <v>7</v>
      </c>
      <c r="D4964" s="465"/>
      <c r="E4964" s="466" t="s">
        <v>4596</v>
      </c>
      <c r="F4964" s="466" t="s">
        <v>1226</v>
      </c>
      <c r="G4964" s="465">
        <v>1</v>
      </c>
      <c r="H4964" s="465">
        <v>2</v>
      </c>
    </row>
    <row r="4965" spans="1:8" ht="13.8" thickBot="1">
      <c r="A4965" s="465" t="s">
        <v>10139</v>
      </c>
      <c r="B4965" s="465" t="s">
        <v>4597</v>
      </c>
      <c r="C4965" s="466">
        <v>7</v>
      </c>
      <c r="D4965" s="465"/>
      <c r="E4965" s="466" t="s">
        <v>4596</v>
      </c>
      <c r="F4965" s="466"/>
      <c r="G4965" s="465"/>
      <c r="H4965" s="465">
        <v>2</v>
      </c>
    </row>
    <row r="4966" spans="1:8" ht="13.8" thickBot="1">
      <c r="A4966" s="465" t="s">
        <v>10140</v>
      </c>
      <c r="B4966" s="465" t="s">
        <v>4597</v>
      </c>
      <c r="C4966" s="466">
        <v>7</v>
      </c>
      <c r="D4966" s="465"/>
      <c r="E4966" s="466" t="s">
        <v>4596</v>
      </c>
      <c r="F4966" s="466"/>
      <c r="G4966" s="465"/>
      <c r="H4966" s="465">
        <v>3</v>
      </c>
    </row>
    <row r="4967" spans="1:8" ht="13.8" thickBot="1">
      <c r="A4967" s="465" t="s">
        <v>10141</v>
      </c>
      <c r="B4967" s="465" t="s">
        <v>4597</v>
      </c>
      <c r="C4967" s="466">
        <v>7</v>
      </c>
      <c r="D4967" s="465"/>
      <c r="E4967" s="466" t="s">
        <v>4596</v>
      </c>
      <c r="F4967" s="466"/>
      <c r="G4967" s="465">
        <v>1</v>
      </c>
      <c r="H4967" s="465">
        <v>2</v>
      </c>
    </row>
    <row r="4968" spans="1:8" ht="13.8" thickBot="1">
      <c r="A4968" s="467" t="s">
        <v>10142</v>
      </c>
      <c r="B4968" s="465" t="s">
        <v>4597</v>
      </c>
      <c r="C4968" s="466">
        <v>7</v>
      </c>
      <c r="D4968" s="465"/>
      <c r="E4968" s="466" t="s">
        <v>4596</v>
      </c>
      <c r="F4968" s="466"/>
      <c r="G4968" s="465"/>
      <c r="H4968" s="465"/>
    </row>
    <row r="4969" spans="1:8" ht="13.8" thickBot="1">
      <c r="A4969" s="465" t="s">
        <v>10143</v>
      </c>
      <c r="B4969" s="465" t="s">
        <v>4597</v>
      </c>
      <c r="C4969" s="466">
        <v>7</v>
      </c>
      <c r="D4969" s="465"/>
      <c r="E4969" s="466" t="s">
        <v>4596</v>
      </c>
      <c r="F4969" s="466"/>
      <c r="G4969" s="465"/>
      <c r="H4969" s="465"/>
    </row>
    <row r="4970" spans="1:8" ht="13.8" thickBot="1">
      <c r="A4970" s="465" t="s">
        <v>10144</v>
      </c>
      <c r="B4970" s="465" t="s">
        <v>4597</v>
      </c>
      <c r="C4970" s="466">
        <v>7</v>
      </c>
      <c r="D4970" s="465"/>
      <c r="E4970" s="466" t="s">
        <v>4596</v>
      </c>
      <c r="F4970" s="466"/>
      <c r="G4970" s="465"/>
      <c r="H4970" s="465"/>
    </row>
    <row r="4971" spans="1:8" ht="13.8" thickBot="1">
      <c r="A4971" s="465" t="s">
        <v>10145</v>
      </c>
      <c r="B4971" s="465" t="s">
        <v>4597</v>
      </c>
      <c r="C4971" s="466">
        <v>7</v>
      </c>
      <c r="D4971" s="465"/>
      <c r="E4971" s="466" t="s">
        <v>4596</v>
      </c>
      <c r="F4971" s="466"/>
      <c r="G4971" s="465"/>
      <c r="H4971" s="465"/>
    </row>
    <row r="4972" spans="1:8" ht="13.8" thickBot="1">
      <c r="A4972" s="467" t="s">
        <v>10146</v>
      </c>
      <c r="B4972" s="465" t="s">
        <v>4601</v>
      </c>
      <c r="C4972" s="466">
        <v>7</v>
      </c>
      <c r="D4972" s="465"/>
      <c r="E4972" s="466" t="s">
        <v>4596</v>
      </c>
      <c r="F4972" s="466"/>
      <c r="G4972" s="465"/>
      <c r="H4972" s="465">
        <v>2</v>
      </c>
    </row>
    <row r="4973" spans="1:8" ht="13.8" thickBot="1">
      <c r="A4973" s="465" t="s">
        <v>10147</v>
      </c>
      <c r="B4973" s="465" t="s">
        <v>4602</v>
      </c>
      <c r="C4973" s="466">
        <v>7</v>
      </c>
      <c r="D4973" s="465"/>
      <c r="E4973" s="466" t="s">
        <v>4596</v>
      </c>
      <c r="F4973" s="466"/>
      <c r="G4973" s="465"/>
      <c r="H4973" s="465">
        <v>1</v>
      </c>
    </row>
    <row r="4974" spans="1:8" ht="13.8" thickBot="1">
      <c r="A4974" s="467" t="s">
        <v>10148</v>
      </c>
      <c r="B4974" s="465" t="s">
        <v>4603</v>
      </c>
      <c r="C4974" s="466">
        <v>7</v>
      </c>
      <c r="D4974" s="465"/>
      <c r="E4974" s="466" t="s">
        <v>4596</v>
      </c>
      <c r="F4974" s="466"/>
      <c r="G4974" s="465"/>
      <c r="H4974" s="465">
        <v>2</v>
      </c>
    </row>
    <row r="4975" spans="1:8" ht="13.8" thickBot="1">
      <c r="A4975" s="467" t="s">
        <v>10149</v>
      </c>
      <c r="B4975" s="465" t="s">
        <v>4599</v>
      </c>
      <c r="C4975" s="466">
        <v>7</v>
      </c>
      <c r="D4975" s="465"/>
      <c r="E4975" s="466" t="s">
        <v>4596</v>
      </c>
      <c r="F4975" s="466"/>
      <c r="G4975" s="465"/>
      <c r="H4975" s="465"/>
    </row>
    <row r="4976" spans="1:8" ht="13.8" thickBot="1">
      <c r="A4976" s="467" t="s">
        <v>9835</v>
      </c>
      <c r="B4976" s="465" t="s">
        <v>2157</v>
      </c>
      <c r="C4976" s="466">
        <v>7</v>
      </c>
      <c r="D4976" s="467" t="s">
        <v>2158</v>
      </c>
      <c r="E4976" s="466" t="s">
        <v>2152</v>
      </c>
      <c r="F4976" s="466" t="s">
        <v>1251</v>
      </c>
      <c r="G4976" s="465"/>
      <c r="H4976" s="465">
        <v>16</v>
      </c>
    </row>
    <row r="4977" spans="1:8" ht="13.8" thickBot="1">
      <c r="A4977" s="467" t="s">
        <v>9836</v>
      </c>
      <c r="B4977" s="465" t="s">
        <v>2159</v>
      </c>
      <c r="C4977" s="466">
        <v>7</v>
      </c>
      <c r="D4977" s="465"/>
      <c r="E4977" s="466" t="s">
        <v>2152</v>
      </c>
      <c r="F4977" s="466" t="s">
        <v>1226</v>
      </c>
      <c r="G4977" s="465"/>
      <c r="H4977" s="465">
        <v>2</v>
      </c>
    </row>
    <row r="4978" spans="1:8" ht="13.8" thickBot="1">
      <c r="A4978" s="465" t="s">
        <v>9837</v>
      </c>
      <c r="B4978" s="465" t="s">
        <v>2160</v>
      </c>
      <c r="C4978" s="466">
        <v>7</v>
      </c>
      <c r="D4978" s="465"/>
      <c r="E4978" s="466" t="s">
        <v>2152</v>
      </c>
      <c r="F4978" s="466" t="s">
        <v>1226</v>
      </c>
      <c r="G4978" s="465"/>
      <c r="H4978" s="465">
        <v>3</v>
      </c>
    </row>
    <row r="4979" spans="1:8" ht="13.8" thickBot="1">
      <c r="A4979" s="467" t="s">
        <v>9838</v>
      </c>
      <c r="B4979" s="465" t="s">
        <v>2161</v>
      </c>
      <c r="C4979" s="466">
        <v>7</v>
      </c>
      <c r="D4979" s="467" t="s">
        <v>614</v>
      </c>
      <c r="E4979" s="466" t="s">
        <v>2152</v>
      </c>
      <c r="F4979" s="466" t="s">
        <v>1226</v>
      </c>
      <c r="G4979" s="465"/>
      <c r="H4979" s="465">
        <v>4</v>
      </c>
    </row>
    <row r="4980" spans="1:8" ht="13.8" thickBot="1">
      <c r="A4980" s="467" t="s">
        <v>9839</v>
      </c>
      <c r="B4980" s="465" t="s">
        <v>1270</v>
      </c>
      <c r="C4980" s="466">
        <v>7</v>
      </c>
      <c r="D4980" s="465"/>
      <c r="E4980" s="466" t="s">
        <v>2152</v>
      </c>
      <c r="F4980" s="466"/>
      <c r="G4980" s="465"/>
      <c r="H4980" s="465"/>
    </row>
    <row r="4981" spans="1:8" ht="13.8" thickBot="1">
      <c r="A4981" s="465" t="s">
        <v>9840</v>
      </c>
      <c r="B4981" s="465" t="s">
        <v>1270</v>
      </c>
      <c r="C4981" s="466">
        <v>7</v>
      </c>
      <c r="D4981" s="465"/>
      <c r="E4981" s="466" t="s">
        <v>2152</v>
      </c>
      <c r="F4981" s="466"/>
      <c r="G4981" s="465">
        <v>2</v>
      </c>
      <c r="H4981" s="465">
        <v>2</v>
      </c>
    </row>
    <row r="4982" spans="1:8" ht="13.8" thickBot="1">
      <c r="A4982" s="467" t="s">
        <v>9841</v>
      </c>
      <c r="B4982" s="465" t="s">
        <v>2162</v>
      </c>
      <c r="C4982" s="466">
        <v>7</v>
      </c>
      <c r="D4982" s="465"/>
      <c r="E4982" s="466" t="s">
        <v>2152</v>
      </c>
      <c r="F4982" s="466"/>
      <c r="G4982" s="465"/>
      <c r="H4982" s="465">
        <v>2</v>
      </c>
    </row>
    <row r="4983" spans="1:8" ht="13.8" thickBot="1">
      <c r="A4983" s="465" t="s">
        <v>9842</v>
      </c>
      <c r="B4983" s="465" t="s">
        <v>1276</v>
      </c>
      <c r="C4983" s="466">
        <v>7</v>
      </c>
      <c r="D4983" s="465"/>
      <c r="E4983" s="466" t="s">
        <v>2152</v>
      </c>
      <c r="F4983" s="466"/>
      <c r="G4983" s="465"/>
      <c r="H4983" s="465">
        <v>1</v>
      </c>
    </row>
    <row r="4984" spans="1:8" ht="13.8" thickBot="1">
      <c r="A4984" s="467" t="s">
        <v>10150</v>
      </c>
      <c r="B4984" s="465" t="s">
        <v>4632</v>
      </c>
      <c r="C4984" s="466">
        <v>7</v>
      </c>
      <c r="D4984" s="467" t="s">
        <v>614</v>
      </c>
      <c r="E4984" s="466" t="s">
        <v>4628</v>
      </c>
      <c r="F4984" s="466" t="s">
        <v>1229</v>
      </c>
      <c r="G4984" s="465"/>
      <c r="H4984" s="465">
        <v>5</v>
      </c>
    </row>
    <row r="4985" spans="1:8" ht="13.8" thickBot="1">
      <c r="A4985" s="465" t="s">
        <v>10151</v>
      </c>
      <c r="B4985" s="468" t="s">
        <v>4633</v>
      </c>
      <c r="C4985" s="466">
        <v>7</v>
      </c>
      <c r="D4985" s="465"/>
      <c r="E4985" s="466" t="s">
        <v>4628</v>
      </c>
      <c r="F4985" s="466" t="s">
        <v>1251</v>
      </c>
      <c r="G4985" s="465"/>
      <c r="H4985" s="465">
        <v>4</v>
      </c>
    </row>
    <row r="4986" spans="1:8" ht="13.8" thickBot="1">
      <c r="A4986" s="467" t="s">
        <v>10152</v>
      </c>
      <c r="B4986" s="468" t="s">
        <v>4633</v>
      </c>
      <c r="C4986" s="466">
        <v>7</v>
      </c>
      <c r="D4986" s="465"/>
      <c r="E4986" s="466" t="s">
        <v>4628</v>
      </c>
      <c r="F4986" s="466" t="s">
        <v>1226</v>
      </c>
      <c r="G4986" s="465"/>
      <c r="H4986" s="465">
        <v>1</v>
      </c>
    </row>
    <row r="4987" spans="1:8" ht="13.8" thickBot="1">
      <c r="A4987" s="465" t="s">
        <v>10153</v>
      </c>
      <c r="B4987" s="465" t="s">
        <v>4627</v>
      </c>
      <c r="C4987" s="466">
        <v>7</v>
      </c>
      <c r="D4987" s="465"/>
      <c r="E4987" s="466" t="s">
        <v>4628</v>
      </c>
      <c r="F4987" s="466"/>
      <c r="G4987" s="465"/>
      <c r="H4987" s="465"/>
    </row>
    <row r="4988" spans="1:8" ht="13.8" thickBot="1">
      <c r="A4988" s="467" t="s">
        <v>10154</v>
      </c>
      <c r="B4988" s="465" t="s">
        <v>4627</v>
      </c>
      <c r="C4988" s="466">
        <v>7</v>
      </c>
      <c r="D4988" s="465"/>
      <c r="E4988" s="466" t="s">
        <v>4628</v>
      </c>
      <c r="F4988" s="466"/>
      <c r="G4988" s="465"/>
      <c r="H4988" s="465">
        <v>1</v>
      </c>
    </row>
    <row r="4989" spans="1:8" ht="13.8" thickBot="1">
      <c r="A4989" s="465" t="s">
        <v>10155</v>
      </c>
      <c r="B4989" s="465" t="s">
        <v>4627</v>
      </c>
      <c r="C4989" s="466">
        <v>7</v>
      </c>
      <c r="D4989" s="465"/>
      <c r="E4989" s="466" t="s">
        <v>4628</v>
      </c>
      <c r="F4989" s="466"/>
      <c r="G4989" s="465"/>
      <c r="H4989" s="465"/>
    </row>
    <row r="4990" spans="1:8" ht="13.8" thickBot="1">
      <c r="A4990" s="465" t="s">
        <v>10156</v>
      </c>
      <c r="B4990" s="465" t="s">
        <v>4627</v>
      </c>
      <c r="C4990" s="466">
        <v>7</v>
      </c>
      <c r="D4990" s="465"/>
      <c r="E4990" s="466" t="s">
        <v>4628</v>
      </c>
      <c r="F4990" s="466"/>
      <c r="G4990" s="465"/>
      <c r="H4990" s="465"/>
    </row>
    <row r="4991" spans="1:8" ht="13.8" thickBot="1">
      <c r="A4991" s="465" t="s">
        <v>10157</v>
      </c>
      <c r="B4991" s="465" t="s">
        <v>4634</v>
      </c>
      <c r="C4991" s="466">
        <v>7</v>
      </c>
      <c r="D4991" s="465"/>
      <c r="E4991" s="466" t="s">
        <v>4628</v>
      </c>
      <c r="F4991" s="466"/>
      <c r="G4991" s="465"/>
      <c r="H4991" s="465"/>
    </row>
    <row r="4992" spans="1:8" ht="13.8" thickBot="1">
      <c r="A4992" s="467" t="s">
        <v>10158</v>
      </c>
      <c r="B4992" s="465" t="s">
        <v>4635</v>
      </c>
      <c r="C4992" s="466">
        <v>7</v>
      </c>
      <c r="D4992" s="465"/>
      <c r="E4992" s="466" t="s">
        <v>4628</v>
      </c>
      <c r="F4992" s="466"/>
      <c r="G4992" s="465"/>
      <c r="H4992" s="465">
        <v>2</v>
      </c>
    </row>
    <row r="4993" spans="1:8" ht="13.8" thickBot="1">
      <c r="A4993" s="465" t="s">
        <v>10159</v>
      </c>
      <c r="B4993" s="465" t="s">
        <v>4649</v>
      </c>
      <c r="C4993" s="466">
        <v>7</v>
      </c>
      <c r="D4993" s="465"/>
      <c r="E4993" s="466" t="s">
        <v>4644</v>
      </c>
      <c r="F4993" s="466" t="s">
        <v>1226</v>
      </c>
      <c r="G4993" s="465"/>
      <c r="H4993" s="465">
        <v>1</v>
      </c>
    </row>
    <row r="4994" spans="1:8" ht="13.8" thickBot="1">
      <c r="A4994" s="467" t="s">
        <v>10160</v>
      </c>
      <c r="B4994" s="465" t="s">
        <v>1678</v>
      </c>
      <c r="C4994" s="466">
        <v>7</v>
      </c>
      <c r="D4994" s="465"/>
      <c r="E4994" s="466" t="s">
        <v>4644</v>
      </c>
      <c r="F4994" s="466"/>
      <c r="G4994" s="465"/>
      <c r="H4994" s="465"/>
    </row>
    <row r="4995" spans="1:8" ht="13.8" thickBot="1">
      <c r="A4995" s="467" t="s">
        <v>10161</v>
      </c>
      <c r="B4995" s="465" t="s">
        <v>1678</v>
      </c>
      <c r="C4995" s="466">
        <v>7</v>
      </c>
      <c r="D4995" s="465"/>
      <c r="E4995" s="466" t="s">
        <v>4644</v>
      </c>
      <c r="F4995" s="466"/>
      <c r="G4995" s="465"/>
      <c r="H4995" s="465"/>
    </row>
    <row r="4996" spans="1:8" ht="13.8" thickBot="1">
      <c r="A4996" s="467" t="s">
        <v>10162</v>
      </c>
      <c r="B4996" s="465" t="s">
        <v>4650</v>
      </c>
      <c r="C4996" s="466">
        <v>7</v>
      </c>
      <c r="D4996" s="465"/>
      <c r="E4996" s="466" t="s">
        <v>4644</v>
      </c>
      <c r="F4996" s="466"/>
      <c r="G4996" s="465"/>
      <c r="H4996" s="465">
        <v>1</v>
      </c>
    </row>
    <row r="4997" spans="1:8" ht="13.8" thickBot="1">
      <c r="A4997" s="467" t="s">
        <v>10163</v>
      </c>
      <c r="B4997" s="465" t="s">
        <v>4651</v>
      </c>
      <c r="C4997" s="466">
        <v>7</v>
      </c>
      <c r="D4997" s="465"/>
      <c r="E4997" s="466" t="s">
        <v>4644</v>
      </c>
      <c r="F4997" s="466"/>
      <c r="G4997" s="465"/>
      <c r="H4997" s="465">
        <v>1</v>
      </c>
    </row>
    <row r="4998" spans="1:8" ht="13.8" thickBot="1">
      <c r="A4998" s="465" t="s">
        <v>1762</v>
      </c>
      <c r="B4998" s="465" t="s">
        <v>4652</v>
      </c>
      <c r="C4998" s="466">
        <v>7</v>
      </c>
      <c r="D4998" s="465"/>
      <c r="E4998" s="466" t="s">
        <v>4644</v>
      </c>
      <c r="F4998" s="466"/>
      <c r="G4998" s="465"/>
      <c r="H4998" s="465">
        <v>3</v>
      </c>
    </row>
    <row r="4999" spans="1:8" ht="13.8" thickBot="1">
      <c r="A4999" s="467" t="s">
        <v>10164</v>
      </c>
      <c r="B4999" s="465" t="s">
        <v>1708</v>
      </c>
      <c r="C4999" s="466">
        <v>7</v>
      </c>
      <c r="D4999" s="465"/>
      <c r="E4999" s="466" t="s">
        <v>4672</v>
      </c>
      <c r="F4999" s="466"/>
      <c r="G4999" s="465"/>
      <c r="H4999" s="465"/>
    </row>
    <row r="5000" spans="1:8" ht="13.8" thickBot="1">
      <c r="A5000" s="465" t="s">
        <v>982</v>
      </c>
      <c r="B5000" s="465" t="s">
        <v>1708</v>
      </c>
      <c r="C5000" s="466">
        <v>7</v>
      </c>
      <c r="D5000" s="465"/>
      <c r="E5000" s="466" t="s">
        <v>4672</v>
      </c>
      <c r="F5000" s="466"/>
      <c r="G5000" s="465"/>
      <c r="H5000" s="465"/>
    </row>
    <row r="5001" spans="1:8" ht="13.8" thickBot="1">
      <c r="A5001" s="467" t="s">
        <v>10165</v>
      </c>
      <c r="B5001" s="465" t="s">
        <v>4676</v>
      </c>
      <c r="C5001" s="466">
        <v>7</v>
      </c>
      <c r="D5001" s="465"/>
      <c r="E5001" s="466" t="s">
        <v>4672</v>
      </c>
      <c r="F5001" s="466"/>
      <c r="G5001" s="465"/>
      <c r="H5001" s="465"/>
    </row>
    <row r="5002" spans="1:8" ht="13.8" thickBot="1">
      <c r="A5002" s="467" t="s">
        <v>10166</v>
      </c>
      <c r="B5002" s="465" t="s">
        <v>1709</v>
      </c>
      <c r="C5002" s="466">
        <v>7</v>
      </c>
      <c r="D5002" s="465"/>
      <c r="E5002" s="466" t="s">
        <v>4672</v>
      </c>
      <c r="F5002" s="466"/>
      <c r="G5002" s="465"/>
      <c r="H5002" s="465"/>
    </row>
    <row r="5003" spans="1:8" ht="13.8" thickBot="1">
      <c r="A5003" s="465" t="s">
        <v>10167</v>
      </c>
      <c r="B5003" s="465" t="s">
        <v>1709</v>
      </c>
      <c r="C5003" s="466">
        <v>7</v>
      </c>
      <c r="D5003" s="465"/>
      <c r="E5003" s="466" t="s">
        <v>4672</v>
      </c>
      <c r="F5003" s="466"/>
      <c r="G5003" s="465"/>
      <c r="H5003" s="465"/>
    </row>
    <row r="5004" spans="1:8" ht="13.8" thickBot="1">
      <c r="A5004" s="467" t="s">
        <v>10168</v>
      </c>
      <c r="B5004" s="465" t="s">
        <v>1709</v>
      </c>
      <c r="C5004" s="466">
        <v>7</v>
      </c>
      <c r="D5004" s="465"/>
      <c r="E5004" s="466" t="s">
        <v>4672</v>
      </c>
      <c r="F5004" s="466"/>
      <c r="G5004" s="465"/>
      <c r="H5004" s="465"/>
    </row>
    <row r="5005" spans="1:8" ht="13.8" thickBot="1">
      <c r="A5005" s="467" t="s">
        <v>10169</v>
      </c>
      <c r="B5005" s="465" t="s">
        <v>4677</v>
      </c>
      <c r="C5005" s="466">
        <v>7</v>
      </c>
      <c r="D5005" s="465"/>
      <c r="E5005" s="466" t="s">
        <v>4672</v>
      </c>
      <c r="F5005" s="466"/>
      <c r="G5005" s="465"/>
      <c r="H5005" s="465"/>
    </row>
    <row r="5006" spans="1:8" ht="13.8" thickBot="1">
      <c r="A5006" s="467" t="s">
        <v>10170</v>
      </c>
      <c r="B5006" s="465" t="s">
        <v>4678</v>
      </c>
      <c r="C5006" s="466">
        <v>7</v>
      </c>
      <c r="D5006" s="465"/>
      <c r="E5006" s="466" t="s">
        <v>4672</v>
      </c>
      <c r="F5006" s="466"/>
      <c r="G5006" s="465"/>
      <c r="H5006" s="465"/>
    </row>
    <row r="5007" spans="1:8" ht="13.8" thickBot="1">
      <c r="A5007" s="465" t="s">
        <v>10171</v>
      </c>
      <c r="B5007" s="465" t="s">
        <v>4710</v>
      </c>
      <c r="C5007" s="466">
        <v>7</v>
      </c>
      <c r="D5007" s="467" t="s">
        <v>614</v>
      </c>
      <c r="E5007" s="466" t="s">
        <v>4709</v>
      </c>
      <c r="F5007" s="466" t="s">
        <v>1226</v>
      </c>
      <c r="G5007" s="465"/>
      <c r="H5007" s="465">
        <v>2</v>
      </c>
    </row>
    <row r="5008" spans="1:8" ht="13.8" thickBot="1">
      <c r="A5008" s="465" t="s">
        <v>10172</v>
      </c>
      <c r="B5008" s="465" t="s">
        <v>4726</v>
      </c>
      <c r="C5008" s="466">
        <v>7</v>
      </c>
      <c r="D5008" s="465"/>
      <c r="E5008" s="466" t="s">
        <v>4717</v>
      </c>
      <c r="F5008" s="466" t="s">
        <v>1229</v>
      </c>
      <c r="G5008" s="465">
        <v>1</v>
      </c>
      <c r="H5008" s="465">
        <v>4</v>
      </c>
    </row>
    <row r="5009" spans="1:8" ht="13.8" thickBot="1">
      <c r="A5009" s="465" t="s">
        <v>10173</v>
      </c>
      <c r="B5009" s="465" t="s">
        <v>4727</v>
      </c>
      <c r="C5009" s="466">
        <v>7</v>
      </c>
      <c r="D5009" s="467" t="s">
        <v>614</v>
      </c>
      <c r="E5009" s="466" t="s">
        <v>4717</v>
      </c>
      <c r="F5009" s="466" t="s">
        <v>1224</v>
      </c>
      <c r="G5009" s="465"/>
      <c r="H5009" s="465">
        <v>2</v>
      </c>
    </row>
    <row r="5010" spans="1:8" ht="13.8" thickBot="1">
      <c r="A5010" s="465" t="s">
        <v>10174</v>
      </c>
      <c r="B5010" s="465" t="s">
        <v>4728</v>
      </c>
      <c r="C5010" s="466">
        <v>7</v>
      </c>
      <c r="D5010" s="465"/>
      <c r="E5010" s="466" t="s">
        <v>4717</v>
      </c>
      <c r="F5010" s="466"/>
      <c r="G5010" s="465"/>
      <c r="H5010" s="465"/>
    </row>
    <row r="5011" spans="1:8" ht="13.8" thickBot="1">
      <c r="A5011" s="465" t="s">
        <v>10175</v>
      </c>
      <c r="B5011" s="465" t="s">
        <v>4728</v>
      </c>
      <c r="C5011" s="466">
        <v>7</v>
      </c>
      <c r="D5011" s="465"/>
      <c r="E5011" s="466" t="s">
        <v>4717</v>
      </c>
      <c r="F5011" s="466"/>
      <c r="G5011" s="465"/>
      <c r="H5011" s="465"/>
    </row>
    <row r="5012" spans="1:8" ht="13.8" thickBot="1">
      <c r="A5012" s="465" t="s">
        <v>10176</v>
      </c>
      <c r="B5012" s="465" t="s">
        <v>4728</v>
      </c>
      <c r="C5012" s="466">
        <v>7</v>
      </c>
      <c r="D5012" s="465"/>
      <c r="E5012" s="466" t="s">
        <v>4717</v>
      </c>
      <c r="F5012" s="466"/>
      <c r="G5012" s="465"/>
      <c r="H5012" s="465"/>
    </row>
    <row r="5013" spans="1:8" ht="13.8" thickBot="1">
      <c r="A5013" s="465" t="s">
        <v>10177</v>
      </c>
      <c r="B5013" s="465" t="s">
        <v>4729</v>
      </c>
      <c r="C5013" s="466">
        <v>7</v>
      </c>
      <c r="D5013" s="465"/>
      <c r="E5013" s="466" t="s">
        <v>4717</v>
      </c>
      <c r="F5013" s="466"/>
      <c r="G5013" s="465"/>
      <c r="H5013" s="465">
        <v>1</v>
      </c>
    </row>
    <row r="5014" spans="1:8" ht="13.8" thickBot="1">
      <c r="A5014" s="467" t="s">
        <v>10178</v>
      </c>
      <c r="B5014" s="465" t="s">
        <v>4730</v>
      </c>
      <c r="C5014" s="466">
        <v>7</v>
      </c>
      <c r="D5014" s="465"/>
      <c r="E5014" s="466" t="s">
        <v>4717</v>
      </c>
      <c r="F5014" s="466"/>
      <c r="G5014" s="465"/>
      <c r="H5014" s="465"/>
    </row>
    <row r="5015" spans="1:8" ht="13.8" thickBot="1">
      <c r="A5015" s="467" t="s">
        <v>10179</v>
      </c>
      <c r="B5015" s="465" t="s">
        <v>4758</v>
      </c>
      <c r="C5015" s="466">
        <v>7</v>
      </c>
      <c r="D5015" s="467" t="s">
        <v>4759</v>
      </c>
      <c r="E5015" s="466" t="s">
        <v>4753</v>
      </c>
      <c r="F5015" s="466" t="s">
        <v>1251</v>
      </c>
      <c r="G5015" s="465"/>
      <c r="H5015" s="465">
        <v>1</v>
      </c>
    </row>
    <row r="5016" spans="1:8" ht="13.8" thickBot="1">
      <c r="A5016" s="467" t="s">
        <v>10180</v>
      </c>
      <c r="B5016" s="465" t="s">
        <v>4760</v>
      </c>
      <c r="C5016" s="466">
        <v>7</v>
      </c>
      <c r="D5016" s="465"/>
      <c r="E5016" s="466" t="s">
        <v>4753</v>
      </c>
      <c r="F5016" s="466" t="s">
        <v>1226</v>
      </c>
      <c r="G5016" s="465"/>
      <c r="H5016" s="465"/>
    </row>
    <row r="5017" spans="1:8" ht="13.8" thickBot="1">
      <c r="A5017" s="467" t="s">
        <v>10181</v>
      </c>
      <c r="B5017" s="465" t="s">
        <v>4761</v>
      </c>
      <c r="C5017" s="466">
        <v>7</v>
      </c>
      <c r="D5017" s="467" t="s">
        <v>614</v>
      </c>
      <c r="E5017" s="466" t="s">
        <v>4753</v>
      </c>
      <c r="F5017" s="466"/>
      <c r="G5017" s="465">
        <v>1</v>
      </c>
      <c r="H5017" s="465">
        <v>2</v>
      </c>
    </row>
    <row r="5018" spans="1:8" ht="13.8" thickBot="1">
      <c r="A5018" s="467" t="s">
        <v>10182</v>
      </c>
      <c r="B5018" s="465" t="s">
        <v>4762</v>
      </c>
      <c r="C5018" s="466">
        <v>7</v>
      </c>
      <c r="D5018" s="465"/>
      <c r="E5018" s="466" t="s">
        <v>4753</v>
      </c>
      <c r="F5018" s="466"/>
      <c r="G5018" s="465"/>
      <c r="H5018" s="465"/>
    </row>
    <row r="5019" spans="1:8" ht="13.8" thickBot="1">
      <c r="A5019" s="465" t="s">
        <v>10183</v>
      </c>
      <c r="B5019" s="465" t="s">
        <v>4763</v>
      </c>
      <c r="C5019" s="466">
        <v>7</v>
      </c>
      <c r="D5019" s="465"/>
      <c r="E5019" s="466" t="s">
        <v>4753</v>
      </c>
      <c r="F5019" s="466"/>
      <c r="G5019" s="465"/>
      <c r="H5019" s="465"/>
    </row>
    <row r="5020" spans="1:8" ht="13.8" thickBot="1">
      <c r="A5020" s="465" t="s">
        <v>10184</v>
      </c>
      <c r="B5020" s="465" t="s">
        <v>4764</v>
      </c>
      <c r="C5020" s="466">
        <v>7</v>
      </c>
      <c r="D5020" s="465"/>
      <c r="E5020" s="466" t="s">
        <v>4753</v>
      </c>
      <c r="F5020" s="466"/>
      <c r="G5020" s="465"/>
      <c r="H5020" s="465">
        <v>4</v>
      </c>
    </row>
    <row r="5021" spans="1:8" ht="13.8" thickBot="1">
      <c r="A5021" s="465" t="s">
        <v>10185</v>
      </c>
      <c r="B5021" s="465" t="s">
        <v>4775</v>
      </c>
      <c r="C5021" s="466">
        <v>7</v>
      </c>
      <c r="D5021" s="465"/>
      <c r="E5021" s="466" t="s">
        <v>4773</v>
      </c>
      <c r="F5021" s="466"/>
      <c r="G5021" s="465"/>
      <c r="H5021" s="465"/>
    </row>
    <row r="5022" spans="1:8" ht="13.8" thickBot="1">
      <c r="A5022" s="467" t="s">
        <v>10259</v>
      </c>
      <c r="B5022" s="465" t="s">
        <v>2244</v>
      </c>
      <c r="C5022" s="466">
        <v>7.1</v>
      </c>
      <c r="D5022" s="467" t="s">
        <v>614</v>
      </c>
      <c r="E5022" s="466" t="s">
        <v>2242</v>
      </c>
      <c r="F5022" s="466" t="s">
        <v>1251</v>
      </c>
      <c r="G5022" s="465">
        <v>1</v>
      </c>
      <c r="H5022" s="465">
        <v>2</v>
      </c>
    </row>
    <row r="5023" spans="1:8" ht="13.8" thickBot="1">
      <c r="A5023" s="467" t="s">
        <v>10260</v>
      </c>
      <c r="B5023" s="465" t="s">
        <v>2245</v>
      </c>
      <c r="C5023" s="466">
        <v>7.1</v>
      </c>
      <c r="D5023" s="467" t="s">
        <v>614</v>
      </c>
      <c r="E5023" s="466" t="s">
        <v>2242</v>
      </c>
      <c r="F5023" s="466"/>
      <c r="G5023" s="465"/>
      <c r="H5023" s="465">
        <v>2</v>
      </c>
    </row>
    <row r="5024" spans="1:8" ht="13.8" thickBot="1">
      <c r="A5024" s="465" t="s">
        <v>10277</v>
      </c>
      <c r="B5024" s="465" t="s">
        <v>5056</v>
      </c>
      <c r="C5024" s="466">
        <v>7.1</v>
      </c>
      <c r="D5024" s="465"/>
      <c r="E5024" s="466" t="s">
        <v>5057</v>
      </c>
      <c r="F5024" s="466" t="s">
        <v>1251</v>
      </c>
      <c r="G5024" s="465"/>
      <c r="H5024" s="465">
        <v>3</v>
      </c>
    </row>
    <row r="5025" spans="1:8" ht="13.8" thickBot="1">
      <c r="A5025" s="467" t="s">
        <v>10261</v>
      </c>
      <c r="B5025" s="465" t="s">
        <v>2317</v>
      </c>
      <c r="C5025" s="466">
        <v>7.1</v>
      </c>
      <c r="D5025" s="465"/>
      <c r="E5025" s="466" t="s">
        <v>2289</v>
      </c>
      <c r="F5025" s="466" t="s">
        <v>1251</v>
      </c>
      <c r="G5025" s="465">
        <v>1</v>
      </c>
      <c r="H5025" s="465">
        <v>4</v>
      </c>
    </row>
    <row r="5026" spans="1:8" ht="13.8" thickBot="1">
      <c r="A5026" s="465" t="s">
        <v>10262</v>
      </c>
      <c r="B5026" s="465" t="s">
        <v>2547</v>
      </c>
      <c r="C5026" s="466">
        <v>7.1</v>
      </c>
      <c r="D5026" s="467" t="s">
        <v>614</v>
      </c>
      <c r="E5026" s="466" t="s">
        <v>2523</v>
      </c>
      <c r="F5026" s="466" t="s">
        <v>1226</v>
      </c>
      <c r="G5026" s="465"/>
      <c r="H5026" s="465">
        <v>9</v>
      </c>
    </row>
    <row r="5027" spans="1:8" ht="13.8" thickBot="1">
      <c r="A5027" s="465" t="s">
        <v>10263</v>
      </c>
      <c r="B5027" s="465" t="s">
        <v>2780</v>
      </c>
      <c r="C5027" s="466">
        <v>7.1</v>
      </c>
      <c r="D5027" s="467" t="s">
        <v>614</v>
      </c>
      <c r="E5027" s="466" t="s">
        <v>2779</v>
      </c>
      <c r="F5027" s="466" t="s">
        <v>1229</v>
      </c>
      <c r="G5027" s="465"/>
      <c r="H5027" s="465">
        <v>13</v>
      </c>
    </row>
    <row r="5028" spans="1:8" ht="13.8" thickBot="1">
      <c r="A5028" s="467" t="s">
        <v>10264</v>
      </c>
      <c r="B5028" s="465" t="s">
        <v>2926</v>
      </c>
      <c r="C5028" s="466">
        <v>7.1</v>
      </c>
      <c r="D5028" s="465"/>
      <c r="E5028" s="466" t="s">
        <v>2922</v>
      </c>
      <c r="F5028" s="466" t="s">
        <v>2319</v>
      </c>
      <c r="G5028" s="465"/>
      <c r="H5028" s="465">
        <v>6</v>
      </c>
    </row>
    <row r="5029" spans="1:8" ht="13.8" thickBot="1">
      <c r="A5029" s="467" t="s">
        <v>10265</v>
      </c>
      <c r="B5029" s="465" t="s">
        <v>3091</v>
      </c>
      <c r="C5029" s="466">
        <v>7.1</v>
      </c>
      <c r="D5029" s="467" t="s">
        <v>614</v>
      </c>
      <c r="E5029" s="466" t="s">
        <v>3085</v>
      </c>
      <c r="F5029" s="466" t="s">
        <v>1251</v>
      </c>
      <c r="G5029" s="465"/>
      <c r="H5029" s="465">
        <v>3</v>
      </c>
    </row>
    <row r="5030" spans="1:8" ht="13.8" thickBot="1">
      <c r="A5030" s="465" t="s">
        <v>10266</v>
      </c>
      <c r="B5030" s="465" t="s">
        <v>3322</v>
      </c>
      <c r="C5030" s="466">
        <v>7.1</v>
      </c>
      <c r="D5030" s="465"/>
      <c r="E5030" s="466" t="s">
        <v>3315</v>
      </c>
      <c r="F5030" s="466" t="s">
        <v>1880</v>
      </c>
      <c r="G5030" s="465">
        <v>5</v>
      </c>
      <c r="H5030" s="465">
        <v>6</v>
      </c>
    </row>
    <row r="5031" spans="1:8" ht="13.8" thickBot="1">
      <c r="A5031" s="467" t="s">
        <v>10267</v>
      </c>
      <c r="B5031" s="465" t="s">
        <v>3421</v>
      </c>
      <c r="C5031" s="466">
        <v>7.1</v>
      </c>
      <c r="D5031" s="467" t="s">
        <v>614</v>
      </c>
      <c r="E5031" s="466" t="s">
        <v>3414</v>
      </c>
      <c r="F5031" s="466" t="s">
        <v>1251</v>
      </c>
      <c r="G5031" s="465"/>
      <c r="H5031" s="465">
        <v>2</v>
      </c>
    </row>
    <row r="5032" spans="1:8" ht="13.8" thickBot="1">
      <c r="A5032" s="465" t="s">
        <v>10268</v>
      </c>
      <c r="B5032" s="465" t="s">
        <v>3424</v>
      </c>
      <c r="C5032" s="466">
        <v>7.1</v>
      </c>
      <c r="D5032" s="465" t="s">
        <v>3425</v>
      </c>
      <c r="E5032" s="466" t="s">
        <v>3414</v>
      </c>
      <c r="F5032" s="466"/>
      <c r="G5032" s="465"/>
      <c r="H5032" s="465"/>
    </row>
    <row r="5033" spans="1:8" ht="13.8" thickBot="1">
      <c r="A5033" s="465" t="s">
        <v>10269</v>
      </c>
      <c r="B5033" s="465" t="s">
        <v>3539</v>
      </c>
      <c r="C5033" s="466">
        <v>7.1</v>
      </c>
      <c r="D5033" s="465"/>
      <c r="E5033" s="466" t="s">
        <v>3517</v>
      </c>
      <c r="F5033" s="466" t="s">
        <v>1251</v>
      </c>
      <c r="G5033" s="465"/>
      <c r="H5033" s="465">
        <v>6</v>
      </c>
    </row>
    <row r="5034" spans="1:8" ht="13.8" thickBot="1">
      <c r="A5034" s="465" t="s">
        <v>10270</v>
      </c>
      <c r="B5034" s="465" t="s">
        <v>3860</v>
      </c>
      <c r="C5034" s="466">
        <v>7.1</v>
      </c>
      <c r="D5034" s="465"/>
      <c r="E5034" s="466" t="s">
        <v>3856</v>
      </c>
      <c r="F5034" s="466" t="s">
        <v>1251</v>
      </c>
      <c r="G5034" s="465"/>
      <c r="H5034" s="465">
        <v>4</v>
      </c>
    </row>
    <row r="5035" spans="1:8" ht="13.8" thickBot="1">
      <c r="A5035" s="467" t="s">
        <v>10271</v>
      </c>
      <c r="B5035" s="468" t="s">
        <v>4003</v>
      </c>
      <c r="C5035" s="466">
        <v>7.1</v>
      </c>
      <c r="D5035" s="467" t="s">
        <v>614</v>
      </c>
      <c r="E5035" s="466" t="s">
        <v>3996</v>
      </c>
      <c r="F5035" s="466" t="s">
        <v>1229</v>
      </c>
      <c r="G5035" s="465">
        <v>1</v>
      </c>
      <c r="H5035" s="465">
        <v>5</v>
      </c>
    </row>
    <row r="5036" spans="1:8" ht="13.8" thickBot="1">
      <c r="A5036" s="467" t="s">
        <v>10272</v>
      </c>
      <c r="B5036" s="465" t="s">
        <v>4076</v>
      </c>
      <c r="C5036" s="466">
        <v>7.1</v>
      </c>
      <c r="D5036" s="467" t="s">
        <v>614</v>
      </c>
      <c r="E5036" s="466" t="s">
        <v>4067</v>
      </c>
      <c r="F5036" s="466" t="s">
        <v>1229</v>
      </c>
      <c r="G5036" s="465">
        <v>2</v>
      </c>
      <c r="H5036" s="465">
        <v>6</v>
      </c>
    </row>
    <row r="5037" spans="1:8" ht="13.8" thickBot="1">
      <c r="A5037" s="465" t="s">
        <v>10273</v>
      </c>
      <c r="B5037" s="465" t="s">
        <v>4232</v>
      </c>
      <c r="C5037" s="466">
        <v>7.1</v>
      </c>
      <c r="D5037" s="465"/>
      <c r="E5037" s="466" t="s">
        <v>4214</v>
      </c>
      <c r="F5037" s="466" t="s">
        <v>1251</v>
      </c>
      <c r="G5037" s="465"/>
      <c r="H5037" s="465">
        <v>4</v>
      </c>
    </row>
    <row r="5038" spans="1:8" ht="13.8" thickBot="1">
      <c r="A5038" s="465" t="s">
        <v>10274</v>
      </c>
      <c r="B5038" s="465" t="s">
        <v>1656</v>
      </c>
      <c r="C5038" s="466">
        <v>7.1</v>
      </c>
      <c r="D5038" s="465"/>
      <c r="E5038" s="466" t="s">
        <v>4364</v>
      </c>
      <c r="F5038" s="466" t="s">
        <v>1251</v>
      </c>
      <c r="G5038" s="465">
        <v>2</v>
      </c>
      <c r="H5038" s="465">
        <v>8</v>
      </c>
    </row>
    <row r="5039" spans="1:8" ht="13.8" thickBot="1">
      <c r="A5039" s="465" t="s">
        <v>10275</v>
      </c>
      <c r="B5039" s="465" t="s">
        <v>4559</v>
      </c>
      <c r="C5039" s="466">
        <v>7.1</v>
      </c>
      <c r="D5039" s="467" t="s">
        <v>614</v>
      </c>
      <c r="E5039" s="466" t="s">
        <v>4557</v>
      </c>
      <c r="F5039" s="466"/>
      <c r="G5039" s="465"/>
      <c r="H5039" s="465">
        <v>1</v>
      </c>
    </row>
    <row r="5040" spans="1:8" ht="13.8" thickBot="1">
      <c r="A5040" s="467" t="s">
        <v>10276</v>
      </c>
      <c r="B5040" s="465" t="s">
        <v>4757</v>
      </c>
      <c r="C5040" s="466">
        <v>7.1</v>
      </c>
      <c r="D5040" s="467" t="s">
        <v>614</v>
      </c>
      <c r="E5040" s="466" t="s">
        <v>4753</v>
      </c>
      <c r="F5040" s="466" t="s">
        <v>1229</v>
      </c>
      <c r="G5040" s="465"/>
      <c r="H5040" s="465">
        <v>5</v>
      </c>
    </row>
    <row r="5041" spans="1:8" ht="13.8" thickBot="1">
      <c r="A5041" s="467" t="s">
        <v>10278</v>
      </c>
      <c r="B5041" s="465" t="s">
        <v>4053</v>
      </c>
      <c r="C5041" s="466">
        <v>7.2</v>
      </c>
      <c r="D5041" s="465"/>
      <c r="E5041" s="466" t="s">
        <v>4046</v>
      </c>
      <c r="F5041" s="466" t="s">
        <v>1229</v>
      </c>
      <c r="G5041" s="465">
        <v>2</v>
      </c>
      <c r="H5041" s="465">
        <v>6</v>
      </c>
    </row>
    <row r="5042" spans="1:8" ht="13.8" thickBot="1">
      <c r="A5042" s="467" t="s">
        <v>10279</v>
      </c>
      <c r="B5042" s="465" t="s">
        <v>1810</v>
      </c>
      <c r="C5042" s="466">
        <v>7.25</v>
      </c>
      <c r="D5042" s="467" t="s">
        <v>614</v>
      </c>
      <c r="E5042" s="466" t="s">
        <v>1793</v>
      </c>
      <c r="F5042" s="466" t="s">
        <v>1251</v>
      </c>
      <c r="G5042" s="465"/>
      <c r="H5042" s="465">
        <v>1</v>
      </c>
    </row>
    <row r="5043" spans="1:8" ht="13.8" thickBot="1">
      <c r="A5043" s="465" t="s">
        <v>10280</v>
      </c>
      <c r="B5043" s="468" t="s">
        <v>1811</v>
      </c>
      <c r="C5043" s="466">
        <v>7.25</v>
      </c>
      <c r="D5043" s="465"/>
      <c r="E5043" s="466" t="s">
        <v>1793</v>
      </c>
      <c r="F5043" s="466" t="s">
        <v>1251</v>
      </c>
      <c r="G5043" s="465"/>
      <c r="H5043" s="465">
        <v>6</v>
      </c>
    </row>
    <row r="5044" spans="1:8" ht="13.8" thickBot="1">
      <c r="A5044" s="465" t="s">
        <v>10281</v>
      </c>
      <c r="B5044" s="465" t="s">
        <v>1792</v>
      </c>
      <c r="C5044" s="466">
        <v>7.25</v>
      </c>
      <c r="D5044" s="465"/>
      <c r="E5044" s="466" t="s">
        <v>1793</v>
      </c>
      <c r="F5044" s="466"/>
      <c r="G5044" s="465"/>
      <c r="H5044" s="465">
        <v>2</v>
      </c>
    </row>
    <row r="5045" spans="1:8" ht="13.8" thickBot="1">
      <c r="A5045" s="465" t="s">
        <v>10282</v>
      </c>
      <c r="B5045" s="465" t="s">
        <v>1792</v>
      </c>
      <c r="C5045" s="466">
        <v>7.25</v>
      </c>
      <c r="D5045" s="465"/>
      <c r="E5045" s="466" t="s">
        <v>1793</v>
      </c>
      <c r="F5045" s="466"/>
      <c r="G5045" s="465"/>
      <c r="H5045" s="465"/>
    </row>
    <row r="5046" spans="1:8" ht="13.8" thickBot="1">
      <c r="A5046" s="467" t="s">
        <v>10283</v>
      </c>
      <c r="B5046" s="465" t="s">
        <v>1812</v>
      </c>
      <c r="C5046" s="466">
        <v>7.25</v>
      </c>
      <c r="D5046" s="465"/>
      <c r="E5046" s="466" t="s">
        <v>1793</v>
      </c>
      <c r="F5046" s="466"/>
      <c r="G5046" s="465"/>
      <c r="H5046" s="465"/>
    </row>
    <row r="5047" spans="1:8" ht="13.8" thickBot="1">
      <c r="A5047" s="467" t="s">
        <v>10288</v>
      </c>
      <c r="B5047" s="465" t="s">
        <v>2215</v>
      </c>
      <c r="C5047" s="466">
        <v>7.25</v>
      </c>
      <c r="D5047" s="467" t="s">
        <v>1854</v>
      </c>
      <c r="E5047" s="466" t="s">
        <v>2216</v>
      </c>
      <c r="F5047" s="466"/>
      <c r="G5047" s="465">
        <v>1</v>
      </c>
      <c r="H5047" s="465">
        <v>1</v>
      </c>
    </row>
    <row r="5048" spans="1:8" ht="13.8" thickBot="1">
      <c r="A5048" s="467" t="s">
        <v>10402</v>
      </c>
      <c r="B5048" s="465" t="s">
        <v>4823</v>
      </c>
      <c r="C5048" s="466">
        <v>7.25</v>
      </c>
      <c r="D5048" s="465"/>
      <c r="E5048" s="466" t="s">
        <v>4822</v>
      </c>
      <c r="F5048" s="466"/>
      <c r="G5048" s="465"/>
      <c r="H5048" s="465"/>
    </row>
    <row r="5049" spans="1:8" ht="13.8" thickBot="1">
      <c r="A5049" s="467" t="s">
        <v>10403</v>
      </c>
      <c r="B5049" s="465" t="s">
        <v>4851</v>
      </c>
      <c r="C5049" s="466">
        <v>7.25</v>
      </c>
      <c r="D5049" s="465"/>
      <c r="E5049" s="466" t="s">
        <v>4850</v>
      </c>
      <c r="F5049" s="466"/>
      <c r="G5049" s="465"/>
      <c r="H5049" s="465"/>
    </row>
    <row r="5050" spans="1:8" ht="13.8" thickBot="1">
      <c r="A5050" s="467" t="s">
        <v>10404</v>
      </c>
      <c r="B5050" s="465" t="s">
        <v>4851</v>
      </c>
      <c r="C5050" s="466">
        <v>7.25</v>
      </c>
      <c r="D5050" s="465"/>
      <c r="E5050" s="466" t="s">
        <v>4850</v>
      </c>
      <c r="F5050" s="466"/>
      <c r="G5050" s="465"/>
      <c r="H5050" s="465"/>
    </row>
    <row r="5051" spans="1:8" ht="13.8" thickBot="1">
      <c r="A5051" s="467" t="s">
        <v>10405</v>
      </c>
      <c r="B5051" s="465" t="s">
        <v>4867</v>
      </c>
      <c r="C5051" s="466">
        <v>7.25</v>
      </c>
      <c r="D5051" s="465"/>
      <c r="E5051" s="466" t="s">
        <v>4865</v>
      </c>
      <c r="F5051" s="466" t="s">
        <v>1251</v>
      </c>
      <c r="G5051" s="465"/>
      <c r="H5051" s="465"/>
    </row>
    <row r="5052" spans="1:8" ht="13.8" thickBot="1">
      <c r="A5052" s="467" t="s">
        <v>10406</v>
      </c>
      <c r="B5052" s="465" t="s">
        <v>4873</v>
      </c>
      <c r="C5052" s="466">
        <v>7.25</v>
      </c>
      <c r="D5052" s="465"/>
      <c r="E5052" s="466" t="s">
        <v>4865</v>
      </c>
      <c r="F5052" s="466" t="s">
        <v>1251</v>
      </c>
      <c r="G5052" s="465"/>
      <c r="H5052" s="465"/>
    </row>
    <row r="5053" spans="1:8" ht="13.8" thickBot="1">
      <c r="A5053" s="465" t="s">
        <v>10407</v>
      </c>
      <c r="B5053" s="465" t="s">
        <v>4874</v>
      </c>
      <c r="C5053" s="466">
        <v>7.25</v>
      </c>
      <c r="D5053" s="465"/>
      <c r="E5053" s="466" t="s">
        <v>4865</v>
      </c>
      <c r="F5053" s="466" t="s">
        <v>1251</v>
      </c>
      <c r="G5053" s="465"/>
      <c r="H5053" s="465"/>
    </row>
    <row r="5054" spans="1:8" ht="13.8" thickBot="1">
      <c r="A5054" s="467" t="s">
        <v>10408</v>
      </c>
      <c r="B5054" s="465" t="s">
        <v>4875</v>
      </c>
      <c r="C5054" s="466">
        <v>7.25</v>
      </c>
      <c r="D5054" s="465"/>
      <c r="E5054" s="466" t="s">
        <v>4865</v>
      </c>
      <c r="F5054" s="466" t="s">
        <v>1251</v>
      </c>
      <c r="G5054" s="465"/>
      <c r="H5054" s="465"/>
    </row>
    <row r="5055" spans="1:8" ht="13.8" thickBot="1">
      <c r="A5055" s="465" t="s">
        <v>10409</v>
      </c>
      <c r="B5055" s="465" t="s">
        <v>4876</v>
      </c>
      <c r="C5055" s="466">
        <v>7.25</v>
      </c>
      <c r="D5055" s="465"/>
      <c r="E5055" s="466" t="s">
        <v>4865</v>
      </c>
      <c r="F5055" s="466" t="s">
        <v>1226</v>
      </c>
      <c r="G5055" s="465"/>
      <c r="H5055" s="465">
        <v>1</v>
      </c>
    </row>
    <row r="5056" spans="1:8" ht="13.8" thickBot="1">
      <c r="A5056" s="465" t="s">
        <v>10410</v>
      </c>
      <c r="B5056" s="465" t="s">
        <v>4877</v>
      </c>
      <c r="C5056" s="466">
        <v>7.25</v>
      </c>
      <c r="D5056" s="465"/>
      <c r="E5056" s="466" t="s">
        <v>4865</v>
      </c>
      <c r="F5056" s="466"/>
      <c r="G5056" s="465"/>
      <c r="H5056" s="465"/>
    </row>
    <row r="5057" spans="1:8" ht="13.8" thickBot="1">
      <c r="A5057" s="465" t="s">
        <v>10411</v>
      </c>
      <c r="B5057" s="465" t="s">
        <v>4878</v>
      </c>
      <c r="C5057" s="466">
        <v>7.25</v>
      </c>
      <c r="D5057" s="465"/>
      <c r="E5057" s="466" t="s">
        <v>4865</v>
      </c>
      <c r="F5057" s="466"/>
      <c r="G5057" s="465"/>
      <c r="H5057" s="465"/>
    </row>
    <row r="5058" spans="1:8" ht="13.8" thickBot="1">
      <c r="A5058" s="465" t="s">
        <v>10412</v>
      </c>
      <c r="B5058" s="465" t="s">
        <v>4879</v>
      </c>
      <c r="C5058" s="466">
        <v>7.25</v>
      </c>
      <c r="D5058" s="465"/>
      <c r="E5058" s="466" t="s">
        <v>4865</v>
      </c>
      <c r="F5058" s="466"/>
      <c r="G5058" s="465"/>
      <c r="H5058" s="465"/>
    </row>
    <row r="5059" spans="1:8" ht="13.8" thickBot="1">
      <c r="A5059" s="467" t="s">
        <v>10413</v>
      </c>
      <c r="B5059" s="468" t="s">
        <v>4919</v>
      </c>
      <c r="C5059" s="466">
        <v>7.25</v>
      </c>
      <c r="D5059" s="467" t="s">
        <v>614</v>
      </c>
      <c r="E5059" s="466" t="s">
        <v>4918</v>
      </c>
      <c r="F5059" s="466" t="s">
        <v>1226</v>
      </c>
      <c r="G5059" s="465">
        <v>1</v>
      </c>
      <c r="H5059" s="465">
        <v>4</v>
      </c>
    </row>
    <row r="5060" spans="1:8" ht="13.8" thickBot="1">
      <c r="A5060" s="467" t="s">
        <v>10414</v>
      </c>
      <c r="B5060" s="465" t="s">
        <v>4920</v>
      </c>
      <c r="C5060" s="466">
        <v>7.25</v>
      </c>
      <c r="D5060" s="465"/>
      <c r="E5060" s="466" t="s">
        <v>4918</v>
      </c>
      <c r="F5060" s="466"/>
      <c r="G5060" s="465">
        <v>1</v>
      </c>
      <c r="H5060" s="465">
        <v>1</v>
      </c>
    </row>
    <row r="5061" spans="1:8" ht="13.8" thickBot="1">
      <c r="A5061" s="467" t="s">
        <v>10415</v>
      </c>
      <c r="B5061" s="465" t="s">
        <v>4942</v>
      </c>
      <c r="C5061" s="466">
        <v>7.25</v>
      </c>
      <c r="D5061" s="465"/>
      <c r="E5061" s="466" t="s">
        <v>4943</v>
      </c>
      <c r="F5061" s="466"/>
      <c r="G5061" s="465"/>
      <c r="H5061" s="465"/>
    </row>
    <row r="5062" spans="1:8" ht="13.8" thickBot="1">
      <c r="A5062" s="467" t="s">
        <v>10416</v>
      </c>
      <c r="B5062" s="465" t="s">
        <v>4942</v>
      </c>
      <c r="C5062" s="466">
        <v>7.25</v>
      </c>
      <c r="D5062" s="465"/>
      <c r="E5062" s="466" t="s">
        <v>4943</v>
      </c>
      <c r="F5062" s="466"/>
      <c r="G5062" s="465"/>
      <c r="H5062" s="465"/>
    </row>
    <row r="5063" spans="1:8" ht="13.8" thickBot="1">
      <c r="A5063" s="467" t="s">
        <v>10417</v>
      </c>
      <c r="B5063" s="465" t="s">
        <v>4942</v>
      </c>
      <c r="C5063" s="466">
        <v>7.25</v>
      </c>
      <c r="D5063" s="465"/>
      <c r="E5063" s="466" t="s">
        <v>4943</v>
      </c>
      <c r="F5063" s="466"/>
      <c r="G5063" s="465"/>
      <c r="H5063" s="465"/>
    </row>
    <row r="5064" spans="1:8" ht="13.8" thickBot="1">
      <c r="A5064" s="467" t="s">
        <v>10418</v>
      </c>
      <c r="B5064" s="465" t="s">
        <v>4942</v>
      </c>
      <c r="C5064" s="466">
        <v>7.25</v>
      </c>
      <c r="D5064" s="465"/>
      <c r="E5064" s="466" t="s">
        <v>4943</v>
      </c>
      <c r="F5064" s="466"/>
      <c r="G5064" s="465"/>
      <c r="H5064" s="465"/>
    </row>
    <row r="5065" spans="1:8" ht="13.8" thickBot="1">
      <c r="A5065" s="467" t="s">
        <v>10419</v>
      </c>
      <c r="B5065" s="465" t="s">
        <v>4942</v>
      </c>
      <c r="C5065" s="466">
        <v>7.25</v>
      </c>
      <c r="D5065" s="465"/>
      <c r="E5065" s="466" t="s">
        <v>4943</v>
      </c>
      <c r="F5065" s="466"/>
      <c r="G5065" s="465"/>
      <c r="H5065" s="465"/>
    </row>
    <row r="5066" spans="1:8" ht="13.8" thickBot="1">
      <c r="A5066" s="467" t="s">
        <v>10420</v>
      </c>
      <c r="B5066" s="465" t="s">
        <v>4942</v>
      </c>
      <c r="C5066" s="466">
        <v>7.25</v>
      </c>
      <c r="D5066" s="465"/>
      <c r="E5066" s="466" t="s">
        <v>4943</v>
      </c>
      <c r="F5066" s="466"/>
      <c r="G5066" s="465"/>
      <c r="H5066" s="465"/>
    </row>
    <row r="5067" spans="1:8" ht="13.8" thickBot="1">
      <c r="A5067" s="467" t="s">
        <v>10421</v>
      </c>
      <c r="B5067" s="465" t="s">
        <v>4944</v>
      </c>
      <c r="C5067" s="466">
        <v>7.25</v>
      </c>
      <c r="D5067" s="465"/>
      <c r="E5067" s="466" t="s">
        <v>4943</v>
      </c>
      <c r="F5067" s="466"/>
      <c r="G5067" s="465"/>
      <c r="H5067" s="465"/>
    </row>
    <row r="5068" spans="1:8" ht="13.8" thickBot="1">
      <c r="A5068" s="467" t="s">
        <v>10289</v>
      </c>
      <c r="B5068" s="465" t="s">
        <v>2243</v>
      </c>
      <c r="C5068" s="466">
        <v>7.25</v>
      </c>
      <c r="D5068" s="465"/>
      <c r="E5068" s="466" t="s">
        <v>2242</v>
      </c>
      <c r="F5068" s="466"/>
      <c r="G5068" s="465">
        <v>1</v>
      </c>
      <c r="H5068" s="465">
        <v>1</v>
      </c>
    </row>
    <row r="5069" spans="1:8" ht="13.8" thickBot="1">
      <c r="A5069" s="467" t="s">
        <v>10422</v>
      </c>
      <c r="B5069" s="465" t="s">
        <v>1336</v>
      </c>
      <c r="C5069" s="466">
        <v>7.25</v>
      </c>
      <c r="D5069" s="465"/>
      <c r="E5069" s="466" t="s">
        <v>5031</v>
      </c>
      <c r="F5069" s="466"/>
      <c r="G5069" s="465"/>
      <c r="H5069" s="465"/>
    </row>
    <row r="5070" spans="1:8" ht="13.8" thickBot="1">
      <c r="A5070" s="467" t="s">
        <v>10423</v>
      </c>
      <c r="B5070" s="465" t="s">
        <v>5032</v>
      </c>
      <c r="C5070" s="466">
        <v>7.25</v>
      </c>
      <c r="D5070" s="465"/>
      <c r="E5070" s="466" t="s">
        <v>5031</v>
      </c>
      <c r="F5070" s="466"/>
      <c r="G5070" s="465"/>
      <c r="H5070" s="465"/>
    </row>
    <row r="5071" spans="1:8" ht="13.8" thickBot="1">
      <c r="A5071" s="467" t="s">
        <v>10424</v>
      </c>
      <c r="B5071" s="465" t="s">
        <v>5033</v>
      </c>
      <c r="C5071" s="466">
        <v>7.25</v>
      </c>
      <c r="D5071" s="465"/>
      <c r="E5071" s="466" t="s">
        <v>5031</v>
      </c>
      <c r="F5071" s="466"/>
      <c r="G5071" s="465"/>
      <c r="H5071" s="465"/>
    </row>
    <row r="5072" spans="1:8" ht="13.8" thickBot="1">
      <c r="A5072" s="467" t="s">
        <v>10425</v>
      </c>
      <c r="B5072" s="465" t="s">
        <v>5089</v>
      </c>
      <c r="C5072" s="466">
        <v>7.25</v>
      </c>
      <c r="D5072" s="465"/>
      <c r="E5072" s="466" t="s">
        <v>5086</v>
      </c>
      <c r="F5072" s="466"/>
      <c r="G5072" s="465">
        <v>1</v>
      </c>
      <c r="H5072" s="465">
        <v>2</v>
      </c>
    </row>
    <row r="5073" spans="1:8" ht="13.8" thickBot="1">
      <c r="A5073" s="467" t="s">
        <v>10426</v>
      </c>
      <c r="B5073" s="465" t="s">
        <v>5162</v>
      </c>
      <c r="C5073" s="466">
        <v>7.25</v>
      </c>
      <c r="D5073" s="467" t="s">
        <v>614</v>
      </c>
      <c r="E5073" s="466" t="s">
        <v>5155</v>
      </c>
      <c r="F5073" s="466" t="s">
        <v>1226</v>
      </c>
      <c r="G5073" s="465"/>
      <c r="H5073" s="465">
        <v>1</v>
      </c>
    </row>
    <row r="5074" spans="1:8" ht="13.8" thickBot="1">
      <c r="A5074" s="467" t="s">
        <v>10427</v>
      </c>
      <c r="B5074" s="465" t="s">
        <v>5163</v>
      </c>
      <c r="C5074" s="466">
        <v>7.25</v>
      </c>
      <c r="D5074" s="465"/>
      <c r="E5074" s="466" t="s">
        <v>5155</v>
      </c>
      <c r="F5074" s="466"/>
      <c r="G5074" s="465">
        <v>1</v>
      </c>
      <c r="H5074" s="465">
        <v>1</v>
      </c>
    </row>
    <row r="5075" spans="1:8" ht="13.8" thickBot="1">
      <c r="A5075" s="465" t="s">
        <v>10428</v>
      </c>
      <c r="B5075" s="465" t="s">
        <v>5158</v>
      </c>
      <c r="C5075" s="466">
        <v>7.25</v>
      </c>
      <c r="D5075" s="465"/>
      <c r="E5075" s="466" t="s">
        <v>5155</v>
      </c>
      <c r="F5075" s="466"/>
      <c r="G5075" s="465">
        <v>1</v>
      </c>
      <c r="H5075" s="465">
        <v>1</v>
      </c>
    </row>
    <row r="5076" spans="1:8" ht="13.8" thickBot="1">
      <c r="A5076" s="465" t="s">
        <v>10429</v>
      </c>
      <c r="B5076" s="465" t="s">
        <v>5202</v>
      </c>
      <c r="C5076" s="466">
        <v>7.25</v>
      </c>
      <c r="D5076" s="465"/>
      <c r="E5076" s="466" t="s">
        <v>5196</v>
      </c>
      <c r="F5076" s="466" t="s">
        <v>1251</v>
      </c>
      <c r="G5076" s="465">
        <v>1</v>
      </c>
      <c r="H5076" s="465">
        <v>2</v>
      </c>
    </row>
    <row r="5077" spans="1:8" ht="13.8" thickBot="1">
      <c r="A5077" s="467" t="s">
        <v>10430</v>
      </c>
      <c r="B5077" s="465" t="s">
        <v>5195</v>
      </c>
      <c r="C5077" s="466">
        <v>7.25</v>
      </c>
      <c r="D5077" s="465"/>
      <c r="E5077" s="466" t="s">
        <v>5196</v>
      </c>
      <c r="F5077" s="466" t="s">
        <v>1226</v>
      </c>
      <c r="G5077" s="465"/>
      <c r="H5077" s="465">
        <v>1</v>
      </c>
    </row>
    <row r="5078" spans="1:8" ht="13.8" thickBot="1">
      <c r="A5078" s="465" t="s">
        <v>10290</v>
      </c>
      <c r="B5078" s="465" t="s">
        <v>2311</v>
      </c>
      <c r="C5078" s="466">
        <v>7.25</v>
      </c>
      <c r="D5078" s="465"/>
      <c r="E5078" s="466" t="s">
        <v>2289</v>
      </c>
      <c r="F5078" s="466" t="s">
        <v>2312</v>
      </c>
      <c r="G5078" s="465">
        <v>1</v>
      </c>
      <c r="H5078" s="465">
        <v>4</v>
      </c>
    </row>
    <row r="5079" spans="1:8" ht="13.8" thickBot="1">
      <c r="A5079" s="467" t="s">
        <v>10291</v>
      </c>
      <c r="B5079" s="465" t="s">
        <v>2313</v>
      </c>
      <c r="C5079" s="466">
        <v>7.25</v>
      </c>
      <c r="D5079" s="465"/>
      <c r="E5079" s="466" t="s">
        <v>2289</v>
      </c>
      <c r="F5079" s="466" t="s">
        <v>1229</v>
      </c>
      <c r="G5079" s="465">
        <v>1</v>
      </c>
      <c r="H5079" s="465">
        <v>3</v>
      </c>
    </row>
    <row r="5080" spans="1:8" ht="13.8" thickBot="1">
      <c r="A5080" s="465" t="s">
        <v>10292</v>
      </c>
      <c r="B5080" s="465" t="s">
        <v>2314</v>
      </c>
      <c r="C5080" s="466">
        <v>7.25</v>
      </c>
      <c r="D5080" s="467" t="s">
        <v>614</v>
      </c>
      <c r="E5080" s="466" t="s">
        <v>2289</v>
      </c>
      <c r="F5080" s="466" t="s">
        <v>1226</v>
      </c>
      <c r="G5080" s="465"/>
      <c r="H5080" s="465">
        <v>3</v>
      </c>
    </row>
    <row r="5081" spans="1:8" ht="13.8" thickBot="1">
      <c r="A5081" s="465" t="s">
        <v>10293</v>
      </c>
      <c r="B5081" s="465" t="s">
        <v>2315</v>
      </c>
      <c r="C5081" s="466">
        <v>7.25</v>
      </c>
      <c r="D5081" s="465"/>
      <c r="E5081" s="466" t="s">
        <v>2289</v>
      </c>
      <c r="F5081" s="466" t="s">
        <v>1226</v>
      </c>
      <c r="G5081" s="465"/>
      <c r="H5081" s="465">
        <v>6</v>
      </c>
    </row>
    <row r="5082" spans="1:8" ht="13.8" thickBot="1">
      <c r="A5082" s="467" t="s">
        <v>10294</v>
      </c>
      <c r="B5082" s="465" t="s">
        <v>2316</v>
      </c>
      <c r="C5082" s="466">
        <v>7.25</v>
      </c>
      <c r="D5082" s="465"/>
      <c r="E5082" s="466" t="s">
        <v>2289</v>
      </c>
      <c r="F5082" s="466"/>
      <c r="G5082" s="465"/>
      <c r="H5082" s="465">
        <v>1</v>
      </c>
    </row>
    <row r="5083" spans="1:8" ht="13.8" thickBot="1">
      <c r="A5083" s="467" t="s">
        <v>10431</v>
      </c>
      <c r="B5083" s="465" t="s">
        <v>5263</v>
      </c>
      <c r="C5083" s="466">
        <v>7.25</v>
      </c>
      <c r="D5083" s="465"/>
      <c r="E5083" s="466" t="s">
        <v>5257</v>
      </c>
      <c r="F5083" s="466" t="s">
        <v>1229</v>
      </c>
      <c r="G5083" s="465">
        <v>1</v>
      </c>
      <c r="H5083" s="465">
        <v>8</v>
      </c>
    </row>
    <row r="5084" spans="1:8" ht="13.8" thickBot="1">
      <c r="A5084" s="465" t="s">
        <v>10432</v>
      </c>
      <c r="B5084" s="465" t="s">
        <v>5266</v>
      </c>
      <c r="C5084" s="466">
        <v>7.25</v>
      </c>
      <c r="D5084" s="465"/>
      <c r="E5084" s="466" t="s">
        <v>5267</v>
      </c>
      <c r="F5084" s="466" t="s">
        <v>1251</v>
      </c>
      <c r="G5084" s="465"/>
      <c r="H5084" s="465"/>
    </row>
    <row r="5085" spans="1:8" ht="13.8" thickBot="1">
      <c r="A5085" s="465" t="s">
        <v>10433</v>
      </c>
      <c r="B5085" s="465" t="s">
        <v>5328</v>
      </c>
      <c r="C5085" s="466">
        <v>7.25</v>
      </c>
      <c r="D5085" s="465"/>
      <c r="E5085" s="466" t="s">
        <v>5325</v>
      </c>
      <c r="F5085" s="466" t="s">
        <v>1226</v>
      </c>
      <c r="G5085" s="465"/>
      <c r="H5085" s="465">
        <v>5</v>
      </c>
    </row>
    <row r="5086" spans="1:8" ht="13.8" thickBot="1">
      <c r="A5086" s="467" t="s">
        <v>10295</v>
      </c>
      <c r="B5086" s="465" t="s">
        <v>2450</v>
      </c>
      <c r="C5086" s="466">
        <v>7.25</v>
      </c>
      <c r="D5086" s="467" t="s">
        <v>614</v>
      </c>
      <c r="E5086" s="466" t="s">
        <v>2449</v>
      </c>
      <c r="F5086" s="466" t="s">
        <v>1251</v>
      </c>
      <c r="G5086" s="465">
        <v>1</v>
      </c>
      <c r="H5086" s="465">
        <v>2</v>
      </c>
    </row>
    <row r="5087" spans="1:8" ht="13.8" thickBot="1">
      <c r="A5087" s="465" t="s">
        <v>10296</v>
      </c>
      <c r="B5087" s="468" t="s">
        <v>2451</v>
      </c>
      <c r="C5087" s="466">
        <v>7.25</v>
      </c>
      <c r="D5087" s="465"/>
      <c r="E5087" s="466" t="s">
        <v>2449</v>
      </c>
      <c r="F5087" s="466" t="s">
        <v>1224</v>
      </c>
      <c r="G5087" s="465"/>
      <c r="H5087" s="465">
        <v>1</v>
      </c>
    </row>
    <row r="5088" spans="1:8" ht="13.8" thickBot="1">
      <c r="A5088" s="465" t="s">
        <v>10297</v>
      </c>
      <c r="B5088" s="465" t="s">
        <v>2540</v>
      </c>
      <c r="C5088" s="466">
        <v>7.25</v>
      </c>
      <c r="D5088" s="465"/>
      <c r="E5088" s="466" t="s">
        <v>2523</v>
      </c>
      <c r="F5088" s="466" t="s">
        <v>1251</v>
      </c>
      <c r="G5088" s="465">
        <v>2</v>
      </c>
      <c r="H5088" s="465">
        <v>2</v>
      </c>
    </row>
    <row r="5089" spans="1:8" ht="13.8" thickBot="1">
      <c r="A5089" s="465" t="s">
        <v>10298</v>
      </c>
      <c r="B5089" s="465" t="s">
        <v>2541</v>
      </c>
      <c r="C5089" s="466">
        <v>7.25</v>
      </c>
      <c r="D5089" s="465"/>
      <c r="E5089" s="466" t="s">
        <v>2523</v>
      </c>
      <c r="F5089" s="466" t="s">
        <v>1251</v>
      </c>
      <c r="G5089" s="465"/>
      <c r="H5089" s="465">
        <v>5</v>
      </c>
    </row>
    <row r="5090" spans="1:8" ht="13.8" thickBot="1">
      <c r="A5090" s="465" t="s">
        <v>10299</v>
      </c>
      <c r="B5090" s="465" t="s">
        <v>2542</v>
      </c>
      <c r="C5090" s="466">
        <v>7.25</v>
      </c>
      <c r="D5090" s="467" t="s">
        <v>614</v>
      </c>
      <c r="E5090" s="466" t="s">
        <v>2523</v>
      </c>
      <c r="F5090" s="466" t="s">
        <v>1251</v>
      </c>
      <c r="G5090" s="465"/>
      <c r="H5090" s="465">
        <v>3</v>
      </c>
    </row>
    <row r="5091" spans="1:8" ht="13.8" thickBot="1">
      <c r="A5091" s="465" t="s">
        <v>10300</v>
      </c>
      <c r="B5091" s="465" t="s">
        <v>2543</v>
      </c>
      <c r="C5091" s="466">
        <v>7.25</v>
      </c>
      <c r="D5091" s="465"/>
      <c r="E5091" s="466" t="s">
        <v>2523</v>
      </c>
      <c r="F5091" s="466" t="s">
        <v>1251</v>
      </c>
      <c r="G5091" s="465"/>
      <c r="H5091" s="465">
        <v>2</v>
      </c>
    </row>
    <row r="5092" spans="1:8" ht="13.8" thickBot="1">
      <c r="A5092" s="465" t="s">
        <v>10301</v>
      </c>
      <c r="B5092" s="465" t="s">
        <v>2544</v>
      </c>
      <c r="C5092" s="466">
        <v>7.25</v>
      </c>
      <c r="D5092" s="465"/>
      <c r="E5092" s="466" t="s">
        <v>2523</v>
      </c>
      <c r="F5092" s="466" t="s">
        <v>1226</v>
      </c>
      <c r="G5092" s="465"/>
      <c r="H5092" s="465">
        <v>1</v>
      </c>
    </row>
    <row r="5093" spans="1:8" ht="13.8" thickBot="1">
      <c r="A5093" s="465" t="s">
        <v>10302</v>
      </c>
      <c r="B5093" s="465" t="s">
        <v>1328</v>
      </c>
      <c r="C5093" s="466">
        <v>7.25</v>
      </c>
      <c r="D5093" s="465"/>
      <c r="E5093" s="466" t="s">
        <v>2523</v>
      </c>
      <c r="F5093" s="466" t="s">
        <v>1220</v>
      </c>
      <c r="G5093" s="465"/>
      <c r="H5093" s="465">
        <v>2</v>
      </c>
    </row>
    <row r="5094" spans="1:8" ht="13.8" thickBot="1">
      <c r="A5094" s="465" t="s">
        <v>10303</v>
      </c>
      <c r="B5094" s="465" t="s">
        <v>1300</v>
      </c>
      <c r="C5094" s="466">
        <v>7.25</v>
      </c>
      <c r="D5094" s="465"/>
      <c r="E5094" s="466" t="s">
        <v>2523</v>
      </c>
      <c r="F5094" s="466"/>
      <c r="G5094" s="465">
        <v>1</v>
      </c>
      <c r="H5094" s="465">
        <v>1</v>
      </c>
    </row>
    <row r="5095" spans="1:8" ht="13.8" thickBot="1">
      <c r="A5095" s="467" t="s">
        <v>10304</v>
      </c>
      <c r="B5095" s="465" t="s">
        <v>1300</v>
      </c>
      <c r="C5095" s="466">
        <v>7.25</v>
      </c>
      <c r="D5095" s="465"/>
      <c r="E5095" s="466" t="s">
        <v>2523</v>
      </c>
      <c r="F5095" s="466"/>
      <c r="G5095" s="465">
        <v>1</v>
      </c>
      <c r="H5095" s="465">
        <v>1</v>
      </c>
    </row>
    <row r="5096" spans="1:8" ht="13.8" thickBot="1">
      <c r="A5096" s="465" t="s">
        <v>10305</v>
      </c>
      <c r="B5096" s="468" t="s">
        <v>2545</v>
      </c>
      <c r="C5096" s="466">
        <v>7.25</v>
      </c>
      <c r="D5096" s="465"/>
      <c r="E5096" s="466" t="s">
        <v>2523</v>
      </c>
      <c r="F5096" s="466"/>
      <c r="G5096" s="465"/>
      <c r="H5096" s="465">
        <v>1</v>
      </c>
    </row>
    <row r="5097" spans="1:8" ht="13.8" thickBot="1">
      <c r="A5097" s="465" t="s">
        <v>10306</v>
      </c>
      <c r="B5097" s="468" t="s">
        <v>2546</v>
      </c>
      <c r="C5097" s="466">
        <v>7.25</v>
      </c>
      <c r="D5097" s="465"/>
      <c r="E5097" s="466" t="s">
        <v>2523</v>
      </c>
      <c r="F5097" s="466"/>
      <c r="G5097" s="465"/>
      <c r="H5097" s="465">
        <v>2</v>
      </c>
    </row>
    <row r="5098" spans="1:8" ht="13.8" thickBot="1">
      <c r="A5098" s="465" t="s">
        <v>10277</v>
      </c>
      <c r="B5098" s="465" t="s">
        <v>2763</v>
      </c>
      <c r="C5098" s="466">
        <v>7.25</v>
      </c>
      <c r="D5098" s="467" t="s">
        <v>614</v>
      </c>
      <c r="E5098" s="466" t="s">
        <v>2764</v>
      </c>
      <c r="F5098" s="466" t="s">
        <v>1229</v>
      </c>
      <c r="G5098" s="465">
        <v>1</v>
      </c>
      <c r="H5098" s="465">
        <v>11</v>
      </c>
    </row>
    <row r="5099" spans="1:8" ht="13.8" thickBot="1">
      <c r="A5099" s="467" t="s">
        <v>10307</v>
      </c>
      <c r="B5099" s="465" t="s">
        <v>2800</v>
      </c>
      <c r="C5099" s="466">
        <v>7.25</v>
      </c>
      <c r="D5099" s="465"/>
      <c r="E5099" s="466" t="s">
        <v>2797</v>
      </c>
      <c r="F5099" s="466"/>
      <c r="G5099" s="465">
        <v>1</v>
      </c>
      <c r="H5099" s="465">
        <v>2</v>
      </c>
    </row>
    <row r="5100" spans="1:8" ht="13.8" thickBot="1">
      <c r="A5100" s="467" t="s">
        <v>10308</v>
      </c>
      <c r="B5100" s="465" t="s">
        <v>2801</v>
      </c>
      <c r="C5100" s="466">
        <v>7.25</v>
      </c>
      <c r="D5100" s="465"/>
      <c r="E5100" s="466" t="s">
        <v>2797</v>
      </c>
      <c r="F5100" s="466"/>
      <c r="G5100" s="465"/>
      <c r="H5100" s="465"/>
    </row>
    <row r="5101" spans="1:8" ht="13.8" thickBot="1">
      <c r="A5101" s="467" t="s">
        <v>10309</v>
      </c>
      <c r="B5101" s="465" t="s">
        <v>1340</v>
      </c>
      <c r="C5101" s="466">
        <v>7.25</v>
      </c>
      <c r="D5101" s="465"/>
      <c r="E5101" s="466" t="s">
        <v>2841</v>
      </c>
      <c r="F5101" s="466" t="s">
        <v>1251</v>
      </c>
      <c r="G5101" s="465"/>
      <c r="H5101" s="465">
        <v>2</v>
      </c>
    </row>
    <row r="5102" spans="1:8" ht="13.8" thickBot="1">
      <c r="A5102" s="467" t="s">
        <v>10310</v>
      </c>
      <c r="B5102" s="465" t="s">
        <v>2849</v>
      </c>
      <c r="C5102" s="466">
        <v>7.25</v>
      </c>
      <c r="D5102" s="465"/>
      <c r="E5102" s="466" t="s">
        <v>2841</v>
      </c>
      <c r="F5102" s="466"/>
      <c r="G5102" s="465"/>
      <c r="H5102" s="465"/>
    </row>
    <row r="5103" spans="1:8" ht="13.8" thickBot="1">
      <c r="A5103" s="467" t="s">
        <v>10311</v>
      </c>
      <c r="B5103" s="465" t="s">
        <v>2850</v>
      </c>
      <c r="C5103" s="466">
        <v>7.25</v>
      </c>
      <c r="D5103" s="465"/>
      <c r="E5103" s="466" t="s">
        <v>2841</v>
      </c>
      <c r="F5103" s="466"/>
      <c r="G5103" s="465"/>
      <c r="H5103" s="465"/>
    </row>
    <row r="5104" spans="1:8" ht="13.8" thickBot="1">
      <c r="A5104" s="467" t="s">
        <v>10312</v>
      </c>
      <c r="B5104" s="465" t="s">
        <v>2962</v>
      </c>
      <c r="C5104" s="466">
        <v>7.25</v>
      </c>
      <c r="D5104" s="465" t="s">
        <v>1096</v>
      </c>
      <c r="E5104" s="466" t="s">
        <v>2957</v>
      </c>
      <c r="F5104" s="466" t="s">
        <v>1251</v>
      </c>
      <c r="G5104" s="465"/>
      <c r="H5104" s="465">
        <v>3</v>
      </c>
    </row>
    <row r="5105" spans="1:8" ht="13.8" thickBot="1">
      <c r="A5105" s="467" t="s">
        <v>10313</v>
      </c>
      <c r="B5105" s="465" t="s">
        <v>2963</v>
      </c>
      <c r="C5105" s="466">
        <v>7.25</v>
      </c>
      <c r="D5105" s="465"/>
      <c r="E5105" s="466" t="s">
        <v>2957</v>
      </c>
      <c r="F5105" s="466" t="s">
        <v>1226</v>
      </c>
      <c r="G5105" s="465"/>
      <c r="H5105" s="465">
        <v>1</v>
      </c>
    </row>
    <row r="5106" spans="1:8" ht="13.8" thickBot="1">
      <c r="A5106" s="467" t="s">
        <v>10314</v>
      </c>
      <c r="B5106" s="465" t="s">
        <v>1552</v>
      </c>
      <c r="C5106" s="466">
        <v>7.25</v>
      </c>
      <c r="D5106" s="465"/>
      <c r="E5106" s="466" t="s">
        <v>2957</v>
      </c>
      <c r="F5106" s="466"/>
      <c r="G5106" s="465">
        <v>3</v>
      </c>
      <c r="H5106" s="465">
        <v>3</v>
      </c>
    </row>
    <row r="5107" spans="1:8" ht="13.8" thickBot="1">
      <c r="A5107" s="467" t="s">
        <v>10315</v>
      </c>
      <c r="B5107" s="465" t="s">
        <v>2964</v>
      </c>
      <c r="C5107" s="466">
        <v>7.25</v>
      </c>
      <c r="D5107" s="465"/>
      <c r="E5107" s="466" t="s">
        <v>2957</v>
      </c>
      <c r="F5107" s="466"/>
      <c r="G5107" s="465"/>
      <c r="H5107" s="465">
        <v>1</v>
      </c>
    </row>
    <row r="5108" spans="1:8" ht="13.8" thickBot="1">
      <c r="A5108" s="467" t="s">
        <v>10316</v>
      </c>
      <c r="B5108" s="465" t="s">
        <v>3118</v>
      </c>
      <c r="C5108" s="466">
        <v>7.25</v>
      </c>
      <c r="D5108" s="467" t="s">
        <v>1854</v>
      </c>
      <c r="E5108" s="466" t="s">
        <v>3116</v>
      </c>
      <c r="F5108" s="466" t="s">
        <v>1226</v>
      </c>
      <c r="G5108" s="465">
        <v>3</v>
      </c>
      <c r="H5108" s="465">
        <v>7</v>
      </c>
    </row>
    <row r="5109" spans="1:8" ht="13.8" thickBot="1">
      <c r="A5109" s="467" t="s">
        <v>10317</v>
      </c>
      <c r="B5109" s="465" t="s">
        <v>1390</v>
      </c>
      <c r="C5109" s="466">
        <v>7.25</v>
      </c>
      <c r="D5109" s="465"/>
      <c r="E5109" s="466" t="s">
        <v>3161</v>
      </c>
      <c r="F5109" s="466"/>
      <c r="G5109" s="465"/>
      <c r="H5109" s="465"/>
    </row>
    <row r="5110" spans="1:8" ht="13.8" thickBot="1">
      <c r="A5110" s="465" t="s">
        <v>10318</v>
      </c>
      <c r="B5110" s="465" t="s">
        <v>1390</v>
      </c>
      <c r="C5110" s="466">
        <v>7.25</v>
      </c>
      <c r="D5110" s="465"/>
      <c r="E5110" s="466" t="s">
        <v>3161</v>
      </c>
      <c r="F5110" s="466"/>
      <c r="G5110" s="465"/>
      <c r="H5110" s="465"/>
    </row>
    <row r="5111" spans="1:8" ht="13.8" thickBot="1">
      <c r="A5111" s="467" t="s">
        <v>10319</v>
      </c>
      <c r="B5111" s="465" t="s">
        <v>1408</v>
      </c>
      <c r="C5111" s="466">
        <v>7.25</v>
      </c>
      <c r="D5111" s="465"/>
      <c r="E5111" s="466" t="s">
        <v>3161</v>
      </c>
      <c r="F5111" s="466"/>
      <c r="G5111" s="465"/>
      <c r="H5111" s="465"/>
    </row>
    <row r="5112" spans="1:8" ht="13.8" thickBot="1">
      <c r="A5112" s="467" t="s">
        <v>10320</v>
      </c>
      <c r="B5112" s="465" t="s">
        <v>3174</v>
      </c>
      <c r="C5112" s="466">
        <v>7.25</v>
      </c>
      <c r="D5112" s="465"/>
      <c r="E5112" s="466" t="s">
        <v>3161</v>
      </c>
      <c r="F5112" s="466"/>
      <c r="G5112" s="465"/>
      <c r="H5112" s="465"/>
    </row>
    <row r="5113" spans="1:8" ht="13.8" thickBot="1">
      <c r="A5113" s="467" t="s">
        <v>10321</v>
      </c>
      <c r="B5113" s="465" t="s">
        <v>3175</v>
      </c>
      <c r="C5113" s="466">
        <v>7.25</v>
      </c>
      <c r="D5113" s="465"/>
      <c r="E5113" s="466" t="s">
        <v>3161</v>
      </c>
      <c r="F5113" s="466"/>
      <c r="G5113" s="465"/>
      <c r="H5113" s="465"/>
    </row>
    <row r="5114" spans="1:8" ht="13.8" thickBot="1">
      <c r="A5114" s="467" t="s">
        <v>10322</v>
      </c>
      <c r="B5114" s="465" t="s">
        <v>3176</v>
      </c>
      <c r="C5114" s="466">
        <v>7.25</v>
      </c>
      <c r="D5114" s="465"/>
      <c r="E5114" s="466" t="s">
        <v>3161</v>
      </c>
      <c r="F5114" s="466"/>
      <c r="G5114" s="465"/>
      <c r="H5114" s="465"/>
    </row>
    <row r="5115" spans="1:8" ht="13.8" thickBot="1">
      <c r="A5115" s="465" t="s">
        <v>10323</v>
      </c>
      <c r="B5115" s="465" t="s">
        <v>3177</v>
      </c>
      <c r="C5115" s="466">
        <v>7.25</v>
      </c>
      <c r="D5115" s="465"/>
      <c r="E5115" s="466" t="s">
        <v>3161</v>
      </c>
      <c r="F5115" s="466"/>
      <c r="G5115" s="465"/>
      <c r="H5115" s="465">
        <v>1</v>
      </c>
    </row>
    <row r="5116" spans="1:8" ht="13.8" thickBot="1">
      <c r="A5116" s="465" t="s">
        <v>10324</v>
      </c>
      <c r="B5116" s="465" t="s">
        <v>3178</v>
      </c>
      <c r="C5116" s="466">
        <v>7.25</v>
      </c>
      <c r="D5116" s="465"/>
      <c r="E5116" s="466" t="s">
        <v>3161</v>
      </c>
      <c r="F5116" s="466"/>
      <c r="G5116" s="465"/>
      <c r="H5116" s="465"/>
    </row>
    <row r="5117" spans="1:8" ht="13.8" thickBot="1">
      <c r="A5117" s="465" t="s">
        <v>10325</v>
      </c>
      <c r="B5117" s="465" t="s">
        <v>3179</v>
      </c>
      <c r="C5117" s="466">
        <v>7.25</v>
      </c>
      <c r="D5117" s="467" t="s">
        <v>614</v>
      </c>
      <c r="E5117" s="466" t="s">
        <v>3161</v>
      </c>
      <c r="F5117" s="466"/>
      <c r="G5117" s="465"/>
      <c r="H5117" s="465"/>
    </row>
    <row r="5118" spans="1:8" ht="13.8" thickBot="1">
      <c r="A5118" s="467" t="s">
        <v>10326</v>
      </c>
      <c r="B5118" s="465" t="s">
        <v>3180</v>
      </c>
      <c r="C5118" s="466">
        <v>7.25</v>
      </c>
      <c r="D5118" s="465"/>
      <c r="E5118" s="466" t="s">
        <v>3161</v>
      </c>
      <c r="F5118" s="466"/>
      <c r="G5118" s="465"/>
      <c r="H5118" s="465"/>
    </row>
    <row r="5119" spans="1:8" ht="13.8" thickBot="1">
      <c r="A5119" s="467" t="s">
        <v>10327</v>
      </c>
      <c r="B5119" s="465" t="s">
        <v>3181</v>
      </c>
      <c r="C5119" s="466">
        <v>7.25</v>
      </c>
      <c r="D5119" s="465"/>
      <c r="E5119" s="466" t="s">
        <v>3161</v>
      </c>
      <c r="F5119" s="466"/>
      <c r="G5119" s="465"/>
      <c r="H5119" s="465"/>
    </row>
    <row r="5120" spans="1:8" ht="13.8" thickBot="1">
      <c r="A5120" s="465" t="s">
        <v>10328</v>
      </c>
      <c r="B5120" s="465" t="s">
        <v>1419</v>
      </c>
      <c r="C5120" s="466">
        <v>7.25</v>
      </c>
      <c r="D5120" s="465"/>
      <c r="E5120" s="466" t="s">
        <v>3285</v>
      </c>
      <c r="F5120" s="466"/>
      <c r="G5120" s="465"/>
      <c r="H5120" s="465"/>
    </row>
    <row r="5121" spans="1:8" ht="13.8" thickBot="1">
      <c r="A5121" s="467" t="s">
        <v>10329</v>
      </c>
      <c r="B5121" s="465" t="s">
        <v>3289</v>
      </c>
      <c r="C5121" s="466">
        <v>7.25</v>
      </c>
      <c r="D5121" s="465"/>
      <c r="E5121" s="466" t="s">
        <v>3285</v>
      </c>
      <c r="F5121" s="466"/>
      <c r="G5121" s="465"/>
      <c r="H5121" s="465"/>
    </row>
    <row r="5122" spans="1:8" ht="13.8" thickBot="1">
      <c r="A5122" s="465" t="s">
        <v>10330</v>
      </c>
      <c r="B5122" s="465" t="s">
        <v>3290</v>
      </c>
      <c r="C5122" s="466">
        <v>7.25</v>
      </c>
      <c r="D5122" s="465"/>
      <c r="E5122" s="466" t="s">
        <v>3285</v>
      </c>
      <c r="F5122" s="466"/>
      <c r="G5122" s="465">
        <v>1</v>
      </c>
      <c r="H5122" s="465">
        <v>1</v>
      </c>
    </row>
    <row r="5123" spans="1:8" ht="13.8" thickBot="1">
      <c r="A5123" s="467" t="s">
        <v>10331</v>
      </c>
      <c r="B5123" s="465" t="s">
        <v>3291</v>
      </c>
      <c r="C5123" s="466">
        <v>7.25</v>
      </c>
      <c r="D5123" s="465"/>
      <c r="E5123" s="466" t="s">
        <v>3285</v>
      </c>
      <c r="F5123" s="466"/>
      <c r="G5123" s="465"/>
      <c r="H5123" s="465"/>
    </row>
    <row r="5124" spans="1:8" ht="13.8" thickBot="1">
      <c r="A5124" s="467" t="s">
        <v>10332</v>
      </c>
      <c r="B5124" s="465" t="s">
        <v>3321</v>
      </c>
      <c r="C5124" s="466">
        <v>7.25</v>
      </c>
      <c r="D5124" s="465"/>
      <c r="E5124" s="466" t="s">
        <v>3315</v>
      </c>
      <c r="F5124" s="466"/>
      <c r="G5124" s="465"/>
      <c r="H5124" s="465"/>
    </row>
    <row r="5125" spans="1:8" ht="13.8" thickBot="1">
      <c r="A5125" s="465" t="s">
        <v>10333</v>
      </c>
      <c r="B5125" s="465" t="s">
        <v>1432</v>
      </c>
      <c r="C5125" s="466">
        <v>7.25</v>
      </c>
      <c r="D5125" s="465"/>
      <c r="E5125" s="466" t="s">
        <v>3315</v>
      </c>
      <c r="F5125" s="466"/>
      <c r="G5125" s="465"/>
      <c r="H5125" s="465"/>
    </row>
    <row r="5126" spans="1:8" ht="13.8" thickBot="1">
      <c r="A5126" s="467" t="s">
        <v>10284</v>
      </c>
      <c r="B5126" s="465" t="s">
        <v>2034</v>
      </c>
      <c r="C5126" s="466">
        <v>7.25</v>
      </c>
      <c r="D5126" s="465"/>
      <c r="E5126" s="466" t="s">
        <v>2032</v>
      </c>
      <c r="F5126" s="466" t="s">
        <v>1226</v>
      </c>
      <c r="G5126" s="465"/>
      <c r="H5126" s="465">
        <v>3</v>
      </c>
    </row>
    <row r="5127" spans="1:8" ht="13.8" thickBot="1">
      <c r="A5127" s="467" t="s">
        <v>10334</v>
      </c>
      <c r="B5127" s="465" t="s">
        <v>3361</v>
      </c>
      <c r="C5127" s="466">
        <v>7.25</v>
      </c>
      <c r="D5127" s="465"/>
      <c r="E5127" s="466" t="s">
        <v>3351</v>
      </c>
      <c r="F5127" s="466"/>
      <c r="G5127" s="465"/>
      <c r="H5127" s="465"/>
    </row>
    <row r="5128" spans="1:8" ht="13.8" thickBot="1">
      <c r="A5128" s="465" t="s">
        <v>10335</v>
      </c>
      <c r="B5128" s="465" t="s">
        <v>3362</v>
      </c>
      <c r="C5128" s="466">
        <v>7.25</v>
      </c>
      <c r="D5128" s="465"/>
      <c r="E5128" s="466" t="s">
        <v>3351</v>
      </c>
      <c r="F5128" s="466"/>
      <c r="G5128" s="465"/>
      <c r="H5128" s="465"/>
    </row>
    <row r="5129" spans="1:8" ht="13.8" thickBot="1">
      <c r="A5129" s="465" t="s">
        <v>10336</v>
      </c>
      <c r="B5129" s="465" t="s">
        <v>3363</v>
      </c>
      <c r="C5129" s="466">
        <v>7.25</v>
      </c>
      <c r="D5129" s="465"/>
      <c r="E5129" s="466" t="s">
        <v>3351</v>
      </c>
      <c r="F5129" s="466"/>
      <c r="G5129" s="465"/>
      <c r="H5129" s="465"/>
    </row>
    <row r="5130" spans="1:8" ht="13.8" thickBot="1">
      <c r="A5130" s="465" t="s">
        <v>10337</v>
      </c>
      <c r="B5130" s="465" t="s">
        <v>3364</v>
      </c>
      <c r="C5130" s="466">
        <v>7.25</v>
      </c>
      <c r="D5130" s="467" t="s">
        <v>614</v>
      </c>
      <c r="E5130" s="466" t="s">
        <v>3351</v>
      </c>
      <c r="F5130" s="466"/>
      <c r="G5130" s="465"/>
      <c r="H5130" s="465"/>
    </row>
    <row r="5131" spans="1:8" ht="13.8" thickBot="1">
      <c r="A5131" s="467" t="s">
        <v>10338</v>
      </c>
      <c r="B5131" s="465" t="s">
        <v>3365</v>
      </c>
      <c r="C5131" s="466">
        <v>7.25</v>
      </c>
      <c r="D5131" s="465"/>
      <c r="E5131" s="466" t="s">
        <v>3351</v>
      </c>
      <c r="F5131" s="466"/>
      <c r="G5131" s="465"/>
      <c r="H5131" s="465"/>
    </row>
    <row r="5132" spans="1:8" ht="13.8" thickBot="1">
      <c r="A5132" s="467" t="s">
        <v>10339</v>
      </c>
      <c r="B5132" s="465" t="s">
        <v>3421</v>
      </c>
      <c r="C5132" s="466">
        <v>7.25</v>
      </c>
      <c r="D5132" s="465"/>
      <c r="E5132" s="466" t="s">
        <v>3414</v>
      </c>
      <c r="F5132" s="466"/>
      <c r="G5132" s="465"/>
      <c r="H5132" s="465"/>
    </row>
    <row r="5133" spans="1:8" ht="13.8" thickBot="1">
      <c r="A5133" s="465" t="s">
        <v>10340</v>
      </c>
      <c r="B5133" s="465" t="s">
        <v>3422</v>
      </c>
      <c r="C5133" s="466">
        <v>7.25</v>
      </c>
      <c r="D5133" s="467" t="s">
        <v>2223</v>
      </c>
      <c r="E5133" s="466" t="s">
        <v>3414</v>
      </c>
      <c r="F5133" s="466"/>
      <c r="G5133" s="465"/>
      <c r="H5133" s="465"/>
    </row>
    <row r="5134" spans="1:8" ht="13.8" thickBot="1">
      <c r="A5134" s="465" t="s">
        <v>10341</v>
      </c>
      <c r="B5134" s="465" t="s">
        <v>3423</v>
      </c>
      <c r="C5134" s="466">
        <v>7.25</v>
      </c>
      <c r="D5134" s="467" t="s">
        <v>614</v>
      </c>
      <c r="E5134" s="466" t="s">
        <v>3414</v>
      </c>
      <c r="F5134" s="466"/>
      <c r="G5134" s="465"/>
      <c r="H5134" s="465"/>
    </row>
    <row r="5135" spans="1:8" ht="13.8" thickBot="1">
      <c r="A5135" s="465" t="s">
        <v>10342</v>
      </c>
      <c r="B5135" s="465" t="s">
        <v>3451</v>
      </c>
      <c r="C5135" s="466">
        <v>7.25</v>
      </c>
      <c r="D5135" s="467" t="s">
        <v>614</v>
      </c>
      <c r="E5135" s="466" t="s">
        <v>3452</v>
      </c>
      <c r="F5135" s="466"/>
      <c r="G5135" s="465"/>
      <c r="H5135" s="465">
        <v>1</v>
      </c>
    </row>
    <row r="5136" spans="1:8" ht="13.8" thickBot="1">
      <c r="A5136" s="465" t="s">
        <v>10343</v>
      </c>
      <c r="B5136" s="465" t="s">
        <v>3459</v>
      </c>
      <c r="C5136" s="466">
        <v>7.25</v>
      </c>
      <c r="D5136" s="465"/>
      <c r="E5136" s="466" t="s">
        <v>3452</v>
      </c>
      <c r="F5136" s="466"/>
      <c r="G5136" s="465"/>
      <c r="H5136" s="465"/>
    </row>
    <row r="5137" spans="1:8" ht="13.8" thickBot="1">
      <c r="A5137" s="465" t="s">
        <v>10344</v>
      </c>
      <c r="B5137" s="465" t="s">
        <v>3460</v>
      </c>
      <c r="C5137" s="466">
        <v>7.25</v>
      </c>
      <c r="D5137" s="465"/>
      <c r="E5137" s="466" t="s">
        <v>3452</v>
      </c>
      <c r="F5137" s="466"/>
      <c r="G5137" s="465"/>
      <c r="H5137" s="465"/>
    </row>
    <row r="5138" spans="1:8" ht="13.8" thickBot="1">
      <c r="A5138" s="467" t="s">
        <v>10345</v>
      </c>
      <c r="B5138" s="465" t="s">
        <v>3502</v>
      </c>
      <c r="C5138" s="466">
        <v>7.25</v>
      </c>
      <c r="D5138" s="465"/>
      <c r="E5138" s="466" t="s">
        <v>3496</v>
      </c>
      <c r="F5138" s="466"/>
      <c r="G5138" s="465"/>
      <c r="H5138" s="465"/>
    </row>
    <row r="5139" spans="1:8" ht="13.8" thickBot="1">
      <c r="A5139" s="465" t="s">
        <v>10346</v>
      </c>
      <c r="B5139" s="465" t="s">
        <v>3536</v>
      </c>
      <c r="C5139" s="466">
        <v>7.25</v>
      </c>
      <c r="D5139" s="465"/>
      <c r="E5139" s="466" t="s">
        <v>3517</v>
      </c>
      <c r="F5139" s="466" t="s">
        <v>1229</v>
      </c>
      <c r="G5139" s="465">
        <v>1</v>
      </c>
      <c r="H5139" s="465">
        <v>9</v>
      </c>
    </row>
    <row r="5140" spans="1:8" ht="13.8" thickBot="1">
      <c r="A5140" s="467" t="s">
        <v>10347</v>
      </c>
      <c r="B5140" s="465" t="s">
        <v>3537</v>
      </c>
      <c r="C5140" s="466">
        <v>7.25</v>
      </c>
      <c r="D5140" s="467" t="s">
        <v>614</v>
      </c>
      <c r="E5140" s="466" t="s">
        <v>3517</v>
      </c>
      <c r="F5140" s="466" t="s">
        <v>1229</v>
      </c>
      <c r="G5140" s="465">
        <v>4</v>
      </c>
      <c r="H5140" s="465">
        <v>9</v>
      </c>
    </row>
    <row r="5141" spans="1:8" ht="13.8" thickBot="1">
      <c r="A5141" s="465" t="s">
        <v>10348</v>
      </c>
      <c r="B5141" s="465" t="s">
        <v>1457</v>
      </c>
      <c r="C5141" s="466">
        <v>7.25</v>
      </c>
      <c r="D5141" s="465"/>
      <c r="E5141" s="466" t="s">
        <v>3517</v>
      </c>
      <c r="F5141" s="466" t="s">
        <v>1226</v>
      </c>
      <c r="G5141" s="465"/>
      <c r="H5141" s="465">
        <v>3</v>
      </c>
    </row>
    <row r="5142" spans="1:8" ht="13.8" thickBot="1">
      <c r="A5142" s="465" t="s">
        <v>10349</v>
      </c>
      <c r="B5142" s="465" t="s">
        <v>1456</v>
      </c>
      <c r="C5142" s="466">
        <v>7.25</v>
      </c>
      <c r="D5142" s="465"/>
      <c r="E5142" s="466" t="s">
        <v>3517</v>
      </c>
      <c r="F5142" s="466"/>
      <c r="G5142" s="465"/>
      <c r="H5142" s="465"/>
    </row>
    <row r="5143" spans="1:8" ht="13.8" thickBot="1">
      <c r="A5143" s="467" t="s">
        <v>10350</v>
      </c>
      <c r="B5143" s="465" t="s">
        <v>1456</v>
      </c>
      <c r="C5143" s="466">
        <v>7.25</v>
      </c>
      <c r="D5143" s="465"/>
      <c r="E5143" s="466" t="s">
        <v>3517</v>
      </c>
      <c r="F5143" s="466"/>
      <c r="G5143" s="465"/>
      <c r="H5143" s="465"/>
    </row>
    <row r="5144" spans="1:8" ht="13.8" thickBot="1">
      <c r="A5144" s="465" t="s">
        <v>10351</v>
      </c>
      <c r="B5144" s="465" t="s">
        <v>3538</v>
      </c>
      <c r="C5144" s="466">
        <v>7.25</v>
      </c>
      <c r="D5144" s="465" t="s">
        <v>3166</v>
      </c>
      <c r="E5144" s="466" t="s">
        <v>3517</v>
      </c>
      <c r="F5144" s="466"/>
      <c r="G5144" s="465"/>
      <c r="H5144" s="465"/>
    </row>
    <row r="5145" spans="1:8" ht="13.8" thickBot="1">
      <c r="A5145" s="467" t="s">
        <v>10352</v>
      </c>
      <c r="B5145" s="465" t="s">
        <v>3656</v>
      </c>
      <c r="C5145" s="466">
        <v>7.25</v>
      </c>
      <c r="D5145" s="465"/>
      <c r="E5145" s="466" t="s">
        <v>3652</v>
      </c>
      <c r="F5145" s="466"/>
      <c r="G5145" s="465">
        <v>1</v>
      </c>
      <c r="H5145" s="465">
        <v>3</v>
      </c>
    </row>
    <row r="5146" spans="1:8" ht="13.8" thickBot="1">
      <c r="A5146" s="465" t="s">
        <v>10353</v>
      </c>
      <c r="B5146" s="465" t="s">
        <v>3657</v>
      </c>
      <c r="C5146" s="466">
        <v>7.25</v>
      </c>
      <c r="D5146" s="465"/>
      <c r="E5146" s="466" t="s">
        <v>3652</v>
      </c>
      <c r="F5146" s="466"/>
      <c r="G5146" s="465"/>
      <c r="H5146" s="465">
        <v>2</v>
      </c>
    </row>
    <row r="5147" spans="1:8" ht="13.8" thickBot="1">
      <c r="A5147" s="465" t="s">
        <v>10354</v>
      </c>
      <c r="B5147" s="465" t="s">
        <v>3741</v>
      </c>
      <c r="C5147" s="466">
        <v>7.25</v>
      </c>
      <c r="D5147" s="467" t="s">
        <v>614</v>
      </c>
      <c r="E5147" s="466" t="s">
        <v>3734</v>
      </c>
      <c r="F5147" s="466" t="s">
        <v>1251</v>
      </c>
      <c r="G5147" s="465"/>
      <c r="H5147" s="465">
        <v>1</v>
      </c>
    </row>
    <row r="5148" spans="1:8" ht="13.8" thickBot="1">
      <c r="A5148" s="467" t="s">
        <v>10355</v>
      </c>
      <c r="B5148" s="465" t="s">
        <v>1480</v>
      </c>
      <c r="C5148" s="466">
        <v>7.25</v>
      </c>
      <c r="D5148" s="465"/>
      <c r="E5148" s="466" t="s">
        <v>3734</v>
      </c>
      <c r="F5148" s="466" t="s">
        <v>1226</v>
      </c>
      <c r="G5148" s="465">
        <v>1</v>
      </c>
      <c r="H5148" s="465">
        <v>1</v>
      </c>
    </row>
    <row r="5149" spans="1:8" ht="13.8" thickBot="1">
      <c r="A5149" s="467" t="s">
        <v>10356</v>
      </c>
      <c r="B5149" s="465" t="s">
        <v>3742</v>
      </c>
      <c r="C5149" s="466">
        <v>7.25</v>
      </c>
      <c r="D5149" s="465"/>
      <c r="E5149" s="466" t="s">
        <v>3734</v>
      </c>
      <c r="F5149" s="466" t="s">
        <v>1226</v>
      </c>
      <c r="G5149" s="465"/>
      <c r="H5149" s="465">
        <v>1</v>
      </c>
    </row>
    <row r="5150" spans="1:8" ht="13.8" thickBot="1">
      <c r="A5150" s="467" t="s">
        <v>10357</v>
      </c>
      <c r="B5150" s="465" t="s">
        <v>1480</v>
      </c>
      <c r="C5150" s="466">
        <v>7.25</v>
      </c>
      <c r="D5150" s="465"/>
      <c r="E5150" s="466" t="s">
        <v>3734</v>
      </c>
      <c r="F5150" s="466"/>
      <c r="G5150" s="465"/>
      <c r="H5150" s="465"/>
    </row>
    <row r="5151" spans="1:8" ht="13.8" thickBot="1">
      <c r="A5151" s="467" t="s">
        <v>10358</v>
      </c>
      <c r="B5151" s="465" t="s">
        <v>1502</v>
      </c>
      <c r="C5151" s="466">
        <v>7.25</v>
      </c>
      <c r="D5151" s="465"/>
      <c r="E5151" s="466" t="s">
        <v>3807</v>
      </c>
      <c r="F5151" s="466" t="s">
        <v>1251</v>
      </c>
      <c r="G5151" s="465">
        <v>1</v>
      </c>
      <c r="H5151" s="465">
        <v>1</v>
      </c>
    </row>
    <row r="5152" spans="1:8" ht="13.8" thickBot="1">
      <c r="A5152" s="467" t="s">
        <v>10359</v>
      </c>
      <c r="B5152" s="465" t="s">
        <v>3906</v>
      </c>
      <c r="C5152" s="466">
        <v>7.25</v>
      </c>
      <c r="D5152" s="465"/>
      <c r="E5152" s="466" t="s">
        <v>3903</v>
      </c>
      <c r="F5152" s="466" t="s">
        <v>1226</v>
      </c>
      <c r="G5152" s="465"/>
      <c r="H5152" s="465"/>
    </row>
    <row r="5153" spans="1:8" ht="13.8" thickBot="1">
      <c r="A5153" s="467" t="s">
        <v>10360</v>
      </c>
      <c r="B5153" s="465" t="s">
        <v>3907</v>
      </c>
      <c r="C5153" s="466">
        <v>7.25</v>
      </c>
      <c r="D5153" s="467" t="s">
        <v>614</v>
      </c>
      <c r="E5153" s="466" t="s">
        <v>3903</v>
      </c>
      <c r="F5153" s="466" t="s">
        <v>1224</v>
      </c>
      <c r="G5153" s="465"/>
      <c r="H5153" s="465">
        <v>1</v>
      </c>
    </row>
    <row r="5154" spans="1:8" ht="13.8" thickBot="1">
      <c r="A5154" s="467" t="s">
        <v>10361</v>
      </c>
      <c r="B5154" s="465" t="s">
        <v>3971</v>
      </c>
      <c r="C5154" s="466">
        <v>7.25</v>
      </c>
      <c r="D5154" s="467" t="s">
        <v>614</v>
      </c>
      <c r="E5154" s="466" t="s">
        <v>3957</v>
      </c>
      <c r="F5154" s="466" t="s">
        <v>1224</v>
      </c>
      <c r="G5154" s="465"/>
      <c r="H5154" s="465">
        <v>2</v>
      </c>
    </row>
    <row r="5155" spans="1:8" ht="13.8" thickBot="1">
      <c r="A5155" s="465" t="s">
        <v>10362</v>
      </c>
      <c r="B5155" s="465" t="s">
        <v>4003</v>
      </c>
      <c r="C5155" s="466">
        <v>7.25</v>
      </c>
      <c r="D5155" s="467" t="s">
        <v>614</v>
      </c>
      <c r="E5155" s="466" t="s">
        <v>3996</v>
      </c>
      <c r="F5155" s="466" t="s">
        <v>1229</v>
      </c>
      <c r="G5155" s="465">
        <v>1</v>
      </c>
      <c r="H5155" s="465">
        <v>3</v>
      </c>
    </row>
    <row r="5156" spans="1:8" ht="13.8" thickBot="1">
      <c r="A5156" s="467" t="s">
        <v>10363</v>
      </c>
      <c r="B5156" s="465" t="s">
        <v>4004</v>
      </c>
      <c r="C5156" s="466">
        <v>7.25</v>
      </c>
      <c r="D5156" s="467" t="s">
        <v>614</v>
      </c>
      <c r="E5156" s="466" t="s">
        <v>3996</v>
      </c>
      <c r="F5156" s="466"/>
      <c r="G5156" s="465"/>
      <c r="H5156" s="465">
        <v>1</v>
      </c>
    </row>
    <row r="5157" spans="1:8" ht="13.8" thickBot="1">
      <c r="A5157" s="467" t="s">
        <v>10364</v>
      </c>
      <c r="B5157" s="465" t="s">
        <v>4052</v>
      </c>
      <c r="C5157" s="466">
        <v>7.25</v>
      </c>
      <c r="D5157" s="465"/>
      <c r="E5157" s="466" t="s">
        <v>4046</v>
      </c>
      <c r="F5157" s="466" t="s">
        <v>1229</v>
      </c>
      <c r="G5157" s="465"/>
      <c r="H5157" s="465">
        <v>2</v>
      </c>
    </row>
    <row r="5158" spans="1:8" ht="13.8" thickBot="1">
      <c r="A5158" s="467" t="s">
        <v>10365</v>
      </c>
      <c r="B5158" s="465" t="s">
        <v>4072</v>
      </c>
      <c r="C5158" s="466">
        <v>7.25</v>
      </c>
      <c r="D5158" s="467" t="s">
        <v>614</v>
      </c>
      <c r="E5158" s="466" t="s">
        <v>4067</v>
      </c>
      <c r="F5158" s="466" t="s">
        <v>1229</v>
      </c>
      <c r="G5158" s="465"/>
      <c r="H5158" s="465">
        <v>2</v>
      </c>
    </row>
    <row r="5159" spans="1:8" ht="13.8" thickBot="1">
      <c r="A5159" s="465" t="s">
        <v>10366</v>
      </c>
      <c r="B5159" s="465" t="s">
        <v>4073</v>
      </c>
      <c r="C5159" s="466">
        <v>7.25</v>
      </c>
      <c r="D5159" s="467" t="s">
        <v>3020</v>
      </c>
      <c r="E5159" s="466" t="s">
        <v>4067</v>
      </c>
      <c r="F5159" s="466" t="s">
        <v>1229</v>
      </c>
      <c r="G5159" s="465">
        <v>2</v>
      </c>
      <c r="H5159" s="465">
        <v>15</v>
      </c>
    </row>
    <row r="5160" spans="1:8" ht="13.8" thickBot="1">
      <c r="A5160" s="467" t="s">
        <v>10367</v>
      </c>
      <c r="B5160" s="465" t="s">
        <v>4074</v>
      </c>
      <c r="C5160" s="466">
        <v>7.25</v>
      </c>
      <c r="D5160" s="467" t="s">
        <v>1978</v>
      </c>
      <c r="E5160" s="466" t="s">
        <v>4067</v>
      </c>
      <c r="F5160" s="466" t="s">
        <v>1251</v>
      </c>
      <c r="G5160" s="465"/>
      <c r="H5160" s="465">
        <v>3</v>
      </c>
    </row>
    <row r="5161" spans="1:8" ht="13.8" thickBot="1">
      <c r="A5161" s="467" t="s">
        <v>10368</v>
      </c>
      <c r="B5161" s="465" t="s">
        <v>4075</v>
      </c>
      <c r="C5161" s="466">
        <v>7.25</v>
      </c>
      <c r="D5161" s="467" t="s">
        <v>614</v>
      </c>
      <c r="E5161" s="466" t="s">
        <v>4067</v>
      </c>
      <c r="F5161" s="466" t="s">
        <v>1226</v>
      </c>
      <c r="G5161" s="465"/>
      <c r="H5161" s="465">
        <v>2</v>
      </c>
    </row>
    <row r="5162" spans="1:8" ht="13.8" thickBot="1">
      <c r="A5162" s="467" t="s">
        <v>10369</v>
      </c>
      <c r="B5162" s="465" t="s">
        <v>4141</v>
      </c>
      <c r="C5162" s="466">
        <v>7.25</v>
      </c>
      <c r="D5162" s="465"/>
      <c r="E5162" s="466" t="s">
        <v>4140</v>
      </c>
      <c r="F5162" s="466" t="s">
        <v>1224</v>
      </c>
      <c r="G5162" s="465">
        <v>1</v>
      </c>
      <c r="H5162" s="465">
        <v>1</v>
      </c>
    </row>
    <row r="5163" spans="1:8" ht="13.8" thickBot="1">
      <c r="A5163" s="467" t="s">
        <v>10370</v>
      </c>
      <c r="B5163" s="465" t="s">
        <v>4142</v>
      </c>
      <c r="C5163" s="466">
        <v>7.25</v>
      </c>
      <c r="D5163" s="465"/>
      <c r="E5163" s="466" t="s">
        <v>4140</v>
      </c>
      <c r="F5163" s="466"/>
      <c r="G5163" s="465"/>
      <c r="H5163" s="465"/>
    </row>
    <row r="5164" spans="1:8" ht="13.8" thickBot="1">
      <c r="A5164" s="467" t="s">
        <v>10371</v>
      </c>
      <c r="B5164" s="465" t="s">
        <v>4143</v>
      </c>
      <c r="C5164" s="466">
        <v>7.25</v>
      </c>
      <c r="D5164" s="465"/>
      <c r="E5164" s="466" t="s">
        <v>4140</v>
      </c>
      <c r="F5164" s="466"/>
      <c r="G5164" s="465"/>
      <c r="H5164" s="465"/>
    </row>
    <row r="5165" spans="1:8" ht="13.8" thickBot="1">
      <c r="A5165" s="465" t="s">
        <v>10372</v>
      </c>
      <c r="B5165" s="465" t="s">
        <v>4161</v>
      </c>
      <c r="C5165" s="466">
        <v>7.25</v>
      </c>
      <c r="D5165" s="465"/>
      <c r="E5165" s="466" t="s">
        <v>4160</v>
      </c>
      <c r="F5165" s="466"/>
      <c r="G5165" s="465"/>
      <c r="H5165" s="465">
        <v>1</v>
      </c>
    </row>
    <row r="5166" spans="1:8" ht="13.8" thickBot="1">
      <c r="A5166" s="467" t="s">
        <v>10373</v>
      </c>
      <c r="B5166" s="465" t="s">
        <v>4162</v>
      </c>
      <c r="C5166" s="466">
        <v>7.25</v>
      </c>
      <c r="D5166" s="465"/>
      <c r="E5166" s="466" t="s">
        <v>4160</v>
      </c>
      <c r="F5166" s="466"/>
      <c r="G5166" s="465"/>
      <c r="H5166" s="465"/>
    </row>
    <row r="5167" spans="1:8" ht="13.8" thickBot="1">
      <c r="A5167" s="467" t="s">
        <v>10374</v>
      </c>
      <c r="B5167" s="465" t="s">
        <v>4228</v>
      </c>
      <c r="C5167" s="466">
        <v>7.25</v>
      </c>
      <c r="D5167" s="465"/>
      <c r="E5167" s="466" t="s">
        <v>4214</v>
      </c>
      <c r="F5167" s="466" t="s">
        <v>1224</v>
      </c>
      <c r="G5167" s="465"/>
      <c r="H5167" s="465">
        <v>1</v>
      </c>
    </row>
    <row r="5168" spans="1:8" ht="13.8" thickBot="1">
      <c r="A5168" s="467" t="s">
        <v>10375</v>
      </c>
      <c r="B5168" s="465" t="s">
        <v>4229</v>
      </c>
      <c r="C5168" s="466">
        <v>7.25</v>
      </c>
      <c r="D5168" s="465"/>
      <c r="E5168" s="466" t="s">
        <v>4214</v>
      </c>
      <c r="F5168" s="466" t="s">
        <v>1224</v>
      </c>
      <c r="G5168" s="465"/>
      <c r="H5168" s="465"/>
    </row>
    <row r="5169" spans="1:8" ht="13.8" thickBot="1">
      <c r="A5169" s="465" t="s">
        <v>10376</v>
      </c>
      <c r="B5169" s="465" t="s">
        <v>4230</v>
      </c>
      <c r="C5169" s="466">
        <v>7.25</v>
      </c>
      <c r="D5169" s="465"/>
      <c r="E5169" s="466" t="s">
        <v>4214</v>
      </c>
      <c r="F5169" s="466"/>
      <c r="G5169" s="465"/>
      <c r="H5169" s="465"/>
    </row>
    <row r="5170" spans="1:8" ht="13.8" thickBot="1">
      <c r="A5170" s="467" t="s">
        <v>10377</v>
      </c>
      <c r="B5170" s="465" t="s">
        <v>4231</v>
      </c>
      <c r="C5170" s="466">
        <v>7.25</v>
      </c>
      <c r="D5170" s="465"/>
      <c r="E5170" s="466" t="s">
        <v>4214</v>
      </c>
      <c r="F5170" s="466"/>
      <c r="G5170" s="465"/>
      <c r="H5170" s="465"/>
    </row>
    <row r="5171" spans="1:8" ht="13.8" thickBot="1">
      <c r="A5171" s="467" t="s">
        <v>10285</v>
      </c>
      <c r="B5171" s="465" t="s">
        <v>2133</v>
      </c>
      <c r="C5171" s="466">
        <v>7.25</v>
      </c>
      <c r="D5171" s="465"/>
      <c r="E5171" s="466" t="s">
        <v>2123</v>
      </c>
      <c r="F5171" s="466"/>
      <c r="G5171" s="465"/>
      <c r="H5171" s="465"/>
    </row>
    <row r="5172" spans="1:8" ht="13.8" thickBot="1">
      <c r="A5172" s="467" t="s">
        <v>10286</v>
      </c>
      <c r="B5172" s="465" t="s">
        <v>2134</v>
      </c>
      <c r="C5172" s="466">
        <v>7.25</v>
      </c>
      <c r="D5172" s="465"/>
      <c r="E5172" s="466" t="s">
        <v>2123</v>
      </c>
      <c r="F5172" s="466"/>
      <c r="G5172" s="465"/>
      <c r="H5172" s="465"/>
    </row>
    <row r="5173" spans="1:8" ht="13.8" thickBot="1">
      <c r="A5173" s="467" t="s">
        <v>10378</v>
      </c>
      <c r="B5173" s="465" t="s">
        <v>1656</v>
      </c>
      <c r="C5173" s="466">
        <v>7.25</v>
      </c>
      <c r="D5173" s="465"/>
      <c r="E5173" s="466" t="s">
        <v>4364</v>
      </c>
      <c r="F5173" s="466"/>
      <c r="G5173" s="465"/>
      <c r="H5173" s="465"/>
    </row>
    <row r="5174" spans="1:8" ht="13.8" thickBot="1">
      <c r="A5174" s="467" t="s">
        <v>10379</v>
      </c>
      <c r="B5174" s="465" t="s">
        <v>1658</v>
      </c>
      <c r="C5174" s="466">
        <v>7.25</v>
      </c>
      <c r="D5174" s="465"/>
      <c r="E5174" s="466" t="s">
        <v>4364</v>
      </c>
      <c r="F5174" s="466"/>
      <c r="G5174" s="465"/>
      <c r="H5174" s="465"/>
    </row>
    <row r="5175" spans="1:8" ht="13.8" thickBot="1">
      <c r="A5175" s="465" t="s">
        <v>10380</v>
      </c>
      <c r="B5175" s="465" t="s">
        <v>1658</v>
      </c>
      <c r="C5175" s="466">
        <v>7.25</v>
      </c>
      <c r="D5175" s="465"/>
      <c r="E5175" s="466" t="s">
        <v>4364</v>
      </c>
      <c r="F5175" s="466"/>
      <c r="G5175" s="465"/>
      <c r="H5175" s="465"/>
    </row>
    <row r="5176" spans="1:8" ht="13.8" thickBot="1">
      <c r="A5176" s="465" t="s">
        <v>10381</v>
      </c>
      <c r="B5176" s="465" t="s">
        <v>1639</v>
      </c>
      <c r="C5176" s="466">
        <v>7.25</v>
      </c>
      <c r="D5176" s="465"/>
      <c r="E5176" s="466" t="s">
        <v>4391</v>
      </c>
      <c r="F5176" s="466"/>
      <c r="G5176" s="465"/>
      <c r="H5176" s="465">
        <v>1</v>
      </c>
    </row>
    <row r="5177" spans="1:8" ht="13.8" thickBot="1">
      <c r="A5177" s="465" t="s">
        <v>10382</v>
      </c>
      <c r="B5177" s="465" t="s">
        <v>4444</v>
      </c>
      <c r="C5177" s="466">
        <v>7.25</v>
      </c>
      <c r="D5177" s="467" t="s">
        <v>4445</v>
      </c>
      <c r="E5177" s="466" t="s">
        <v>4438</v>
      </c>
      <c r="F5177" s="466" t="s">
        <v>1251</v>
      </c>
      <c r="G5177" s="465"/>
      <c r="H5177" s="465">
        <v>2</v>
      </c>
    </row>
    <row r="5178" spans="1:8" ht="13.8" thickBot="1">
      <c r="A5178" s="465" t="s">
        <v>10383</v>
      </c>
      <c r="B5178" s="468" t="s">
        <v>1638</v>
      </c>
      <c r="C5178" s="466">
        <v>7.25</v>
      </c>
      <c r="D5178" s="467" t="s">
        <v>4446</v>
      </c>
      <c r="E5178" s="466" t="s">
        <v>4438</v>
      </c>
      <c r="F5178" s="466" t="s">
        <v>1226</v>
      </c>
      <c r="G5178" s="465"/>
      <c r="H5178" s="465">
        <v>1</v>
      </c>
    </row>
    <row r="5179" spans="1:8" ht="13.8" thickBot="1">
      <c r="A5179" s="465" t="s">
        <v>10384</v>
      </c>
      <c r="B5179" s="465" t="s">
        <v>4447</v>
      </c>
      <c r="C5179" s="466">
        <v>7.25</v>
      </c>
      <c r="D5179" s="465"/>
      <c r="E5179" s="466" t="s">
        <v>4438</v>
      </c>
      <c r="F5179" s="466" t="s">
        <v>1226</v>
      </c>
      <c r="G5179" s="465">
        <v>1</v>
      </c>
      <c r="H5179" s="465">
        <v>1</v>
      </c>
    </row>
    <row r="5180" spans="1:8" ht="13.8" thickBot="1">
      <c r="A5180" s="467" t="s">
        <v>10385</v>
      </c>
      <c r="B5180" s="465" t="s">
        <v>1638</v>
      </c>
      <c r="C5180" s="466">
        <v>7.25</v>
      </c>
      <c r="D5180" s="465"/>
      <c r="E5180" s="466" t="s">
        <v>4438</v>
      </c>
      <c r="F5180" s="466"/>
      <c r="G5180" s="465"/>
      <c r="H5180" s="465">
        <v>1</v>
      </c>
    </row>
    <row r="5181" spans="1:8" ht="13.8" thickBot="1">
      <c r="A5181" s="465" t="s">
        <v>10386</v>
      </c>
      <c r="B5181" s="465" t="s">
        <v>4448</v>
      </c>
      <c r="C5181" s="466">
        <v>7.25</v>
      </c>
      <c r="D5181" s="465"/>
      <c r="E5181" s="466" t="s">
        <v>4438</v>
      </c>
      <c r="F5181" s="466"/>
      <c r="G5181" s="465"/>
      <c r="H5181" s="465">
        <v>1</v>
      </c>
    </row>
    <row r="5182" spans="1:8" ht="13.8" thickBot="1">
      <c r="A5182" s="465" t="s">
        <v>1045</v>
      </c>
      <c r="B5182" s="465" t="s">
        <v>4556</v>
      </c>
      <c r="C5182" s="466">
        <v>7.25</v>
      </c>
      <c r="D5182" s="465"/>
      <c r="E5182" s="466" t="s">
        <v>4557</v>
      </c>
      <c r="F5182" s="466"/>
      <c r="G5182" s="465"/>
      <c r="H5182" s="465"/>
    </row>
    <row r="5183" spans="1:8" ht="13.8" thickBot="1">
      <c r="A5183" s="465" t="s">
        <v>10387</v>
      </c>
      <c r="B5183" s="465" t="s">
        <v>4558</v>
      </c>
      <c r="C5183" s="466">
        <v>7.25</v>
      </c>
      <c r="D5183" s="465"/>
      <c r="E5183" s="466" t="s">
        <v>4557</v>
      </c>
      <c r="F5183" s="466"/>
      <c r="G5183" s="465"/>
      <c r="H5183" s="465"/>
    </row>
    <row r="5184" spans="1:8" ht="13.8" thickBot="1">
      <c r="A5184" s="467" t="s">
        <v>10388</v>
      </c>
      <c r="B5184" s="465" t="s">
        <v>4597</v>
      </c>
      <c r="C5184" s="466">
        <v>7.25</v>
      </c>
      <c r="D5184" s="465"/>
      <c r="E5184" s="466" t="s">
        <v>4596</v>
      </c>
      <c r="F5184" s="466"/>
      <c r="G5184" s="465"/>
      <c r="H5184" s="465"/>
    </row>
    <row r="5185" spans="1:8" ht="13.8" thickBot="1">
      <c r="A5185" s="467" t="s">
        <v>10389</v>
      </c>
      <c r="B5185" s="465" t="s">
        <v>4597</v>
      </c>
      <c r="C5185" s="466">
        <v>7.25</v>
      </c>
      <c r="D5185" s="465"/>
      <c r="E5185" s="466" t="s">
        <v>4596</v>
      </c>
      <c r="F5185" s="466"/>
      <c r="G5185" s="465"/>
      <c r="H5185" s="465"/>
    </row>
    <row r="5186" spans="1:8" ht="13.8" thickBot="1">
      <c r="A5186" s="467" t="s">
        <v>10390</v>
      </c>
      <c r="B5186" s="465" t="s">
        <v>4597</v>
      </c>
      <c r="C5186" s="466">
        <v>7.25</v>
      </c>
      <c r="D5186" s="465"/>
      <c r="E5186" s="466" t="s">
        <v>4596</v>
      </c>
      <c r="F5186" s="466"/>
      <c r="G5186" s="465"/>
      <c r="H5186" s="465"/>
    </row>
    <row r="5187" spans="1:8" ht="13.8" thickBot="1">
      <c r="A5187" s="467" t="s">
        <v>10391</v>
      </c>
      <c r="B5187" s="465" t="s">
        <v>4599</v>
      </c>
      <c r="C5187" s="466">
        <v>7.25</v>
      </c>
      <c r="D5187" s="465"/>
      <c r="E5187" s="466" t="s">
        <v>4596</v>
      </c>
      <c r="F5187" s="466"/>
      <c r="G5187" s="465"/>
      <c r="H5187" s="465"/>
    </row>
    <row r="5188" spans="1:8" ht="13.8" thickBot="1">
      <c r="A5188" s="465" t="s">
        <v>10287</v>
      </c>
      <c r="B5188" s="465" t="s">
        <v>2155</v>
      </c>
      <c r="C5188" s="466">
        <v>7.25</v>
      </c>
      <c r="D5188" s="465" t="s">
        <v>2156</v>
      </c>
      <c r="E5188" s="466" t="s">
        <v>2152</v>
      </c>
      <c r="F5188" s="466" t="s">
        <v>1229</v>
      </c>
      <c r="G5188" s="465">
        <v>4</v>
      </c>
      <c r="H5188" s="465">
        <v>6</v>
      </c>
    </row>
    <row r="5189" spans="1:8" ht="13.8" thickBot="1">
      <c r="A5189" s="467" t="s">
        <v>10392</v>
      </c>
      <c r="B5189" s="465" t="s">
        <v>4627</v>
      </c>
      <c r="C5189" s="466">
        <v>7.25</v>
      </c>
      <c r="D5189" s="465"/>
      <c r="E5189" s="466" t="s">
        <v>4628</v>
      </c>
      <c r="F5189" s="466"/>
      <c r="G5189" s="465"/>
      <c r="H5189" s="465"/>
    </row>
    <row r="5190" spans="1:8" ht="13.8" thickBot="1">
      <c r="A5190" s="467" t="s">
        <v>10393</v>
      </c>
      <c r="B5190" s="465" t="s">
        <v>1713</v>
      </c>
      <c r="C5190" s="466">
        <v>7.25</v>
      </c>
      <c r="D5190" s="465"/>
      <c r="E5190" s="466" t="s">
        <v>4672</v>
      </c>
      <c r="F5190" s="466"/>
      <c r="G5190" s="465"/>
      <c r="H5190" s="465"/>
    </row>
    <row r="5191" spans="1:8" ht="13.8" thickBot="1">
      <c r="A5191" s="467" t="s">
        <v>10394</v>
      </c>
      <c r="B5191" s="465" t="s">
        <v>4674</v>
      </c>
      <c r="C5191" s="466">
        <v>7.25</v>
      </c>
      <c r="D5191" s="465"/>
      <c r="E5191" s="466" t="s">
        <v>4672</v>
      </c>
      <c r="F5191" s="466"/>
      <c r="G5191" s="465"/>
      <c r="H5191" s="465"/>
    </row>
    <row r="5192" spans="1:8" ht="13.8" thickBot="1">
      <c r="A5192" s="467" t="s">
        <v>10395</v>
      </c>
      <c r="B5192" s="465" t="s">
        <v>1709</v>
      </c>
      <c r="C5192" s="466">
        <v>7.25</v>
      </c>
      <c r="D5192" s="465"/>
      <c r="E5192" s="466" t="s">
        <v>4672</v>
      </c>
      <c r="F5192" s="466"/>
      <c r="G5192" s="465"/>
      <c r="H5192" s="465"/>
    </row>
    <row r="5193" spans="1:8" ht="13.8" thickBot="1">
      <c r="A5193" s="467" t="s">
        <v>10396</v>
      </c>
      <c r="B5193" s="465" t="s">
        <v>4675</v>
      </c>
      <c r="C5193" s="466">
        <v>7.25</v>
      </c>
      <c r="D5193" s="465"/>
      <c r="E5193" s="466" t="s">
        <v>4672</v>
      </c>
      <c r="F5193" s="466"/>
      <c r="G5193" s="465"/>
      <c r="H5193" s="465"/>
    </row>
    <row r="5194" spans="1:8" ht="13.8" thickBot="1">
      <c r="A5194" s="467" t="s">
        <v>5806</v>
      </c>
      <c r="B5194" s="465" t="s">
        <v>4708</v>
      </c>
      <c r="C5194" s="466">
        <v>7.25</v>
      </c>
      <c r="D5194" s="465"/>
      <c r="E5194" s="466" t="s">
        <v>4709</v>
      </c>
      <c r="F5194" s="466"/>
      <c r="G5194" s="465"/>
      <c r="H5194" s="465"/>
    </row>
    <row r="5195" spans="1:8" ht="13.8" thickBot="1">
      <c r="A5195" s="467" t="s">
        <v>10397</v>
      </c>
      <c r="B5195" s="465" t="s">
        <v>4723</v>
      </c>
      <c r="C5195" s="466">
        <v>7.25</v>
      </c>
      <c r="D5195" s="465"/>
      <c r="E5195" s="466" t="s">
        <v>4717</v>
      </c>
      <c r="F5195" s="466" t="s">
        <v>1226</v>
      </c>
      <c r="G5195" s="465"/>
      <c r="H5195" s="465">
        <v>1</v>
      </c>
    </row>
    <row r="5196" spans="1:8" ht="13.8" thickBot="1">
      <c r="A5196" s="465" t="s">
        <v>10398</v>
      </c>
      <c r="B5196" s="465" t="s">
        <v>4724</v>
      </c>
      <c r="C5196" s="466">
        <v>7.25</v>
      </c>
      <c r="D5196" s="465"/>
      <c r="E5196" s="466" t="s">
        <v>4717</v>
      </c>
      <c r="F5196" s="466"/>
      <c r="G5196" s="465"/>
      <c r="H5196" s="465"/>
    </row>
    <row r="5197" spans="1:8" ht="13.8" thickBot="1">
      <c r="A5197" s="467" t="s">
        <v>10399</v>
      </c>
      <c r="B5197" s="465" t="s">
        <v>4725</v>
      </c>
      <c r="C5197" s="466">
        <v>7.25</v>
      </c>
      <c r="D5197" s="465"/>
      <c r="E5197" s="466" t="s">
        <v>4717</v>
      </c>
      <c r="F5197" s="466"/>
      <c r="G5197" s="465"/>
      <c r="H5197" s="465"/>
    </row>
    <row r="5198" spans="1:8" ht="13.8" thickBot="1">
      <c r="A5198" s="467" t="s">
        <v>10400</v>
      </c>
      <c r="B5198" s="465" t="s">
        <v>4756</v>
      </c>
      <c r="C5198" s="466">
        <v>7.25</v>
      </c>
      <c r="D5198" s="467" t="s">
        <v>614</v>
      </c>
      <c r="E5198" s="466" t="s">
        <v>4753</v>
      </c>
      <c r="F5198" s="466" t="s">
        <v>1226</v>
      </c>
      <c r="G5198" s="465"/>
      <c r="H5198" s="465">
        <v>3</v>
      </c>
    </row>
    <row r="5199" spans="1:8" ht="13.8" thickBot="1">
      <c r="A5199" s="465" t="s">
        <v>10401</v>
      </c>
      <c r="B5199" s="465" t="s">
        <v>4782</v>
      </c>
      <c r="C5199" s="466">
        <v>7.25</v>
      </c>
      <c r="D5199" s="465"/>
      <c r="E5199" s="466" t="s">
        <v>4780</v>
      </c>
      <c r="F5199" s="466"/>
      <c r="G5199" s="465"/>
      <c r="H5199" s="465"/>
    </row>
    <row r="5200" spans="1:8" ht="13.8" thickBot="1">
      <c r="A5200" s="467" t="s">
        <v>10434</v>
      </c>
      <c r="B5200" s="465" t="s">
        <v>1340</v>
      </c>
      <c r="C5200" s="466">
        <v>7.3</v>
      </c>
      <c r="D5200" s="465"/>
      <c r="E5200" s="466" t="s">
        <v>2841</v>
      </c>
      <c r="F5200" s="466" t="s">
        <v>1251</v>
      </c>
      <c r="G5200" s="465"/>
      <c r="H5200" s="465">
        <v>1</v>
      </c>
    </row>
    <row r="5201" spans="1:8" ht="13.8" thickBot="1">
      <c r="A5201" s="465" t="s">
        <v>1474</v>
      </c>
      <c r="B5201" s="465" t="s">
        <v>3088</v>
      </c>
      <c r="C5201" s="466">
        <v>7.3</v>
      </c>
      <c r="D5201" s="467" t="s">
        <v>1854</v>
      </c>
      <c r="E5201" s="466" t="s">
        <v>3085</v>
      </c>
      <c r="F5201" s="466" t="s">
        <v>1226</v>
      </c>
      <c r="G5201" s="465"/>
      <c r="H5201" s="465">
        <v>1</v>
      </c>
    </row>
    <row r="5202" spans="1:8" ht="13.8" thickBot="1">
      <c r="A5202" s="467" t="s">
        <v>10435</v>
      </c>
      <c r="B5202" s="465" t="s">
        <v>3089</v>
      </c>
      <c r="C5202" s="466">
        <v>7.3</v>
      </c>
      <c r="D5202" s="465" t="s">
        <v>3090</v>
      </c>
      <c r="E5202" s="466" t="s">
        <v>3085</v>
      </c>
      <c r="F5202" s="466"/>
      <c r="G5202" s="465"/>
      <c r="H5202" s="465"/>
    </row>
    <row r="5203" spans="1:8" ht="13.8" thickBot="1">
      <c r="A5203" s="467" t="s">
        <v>10436</v>
      </c>
      <c r="B5203" s="465" t="s">
        <v>3117</v>
      </c>
      <c r="C5203" s="466">
        <v>7.3</v>
      </c>
      <c r="D5203" s="465"/>
      <c r="E5203" s="466" t="s">
        <v>3116</v>
      </c>
      <c r="F5203" s="466"/>
      <c r="G5203" s="465">
        <v>2</v>
      </c>
      <c r="H5203" s="465">
        <v>2</v>
      </c>
    </row>
    <row r="5204" spans="1:8" ht="13.8" thickBot="1">
      <c r="A5204" s="467" t="s">
        <v>10437</v>
      </c>
      <c r="B5204" s="465" t="s">
        <v>3859</v>
      </c>
      <c r="C5204" s="466">
        <v>7.3</v>
      </c>
      <c r="D5204" s="465"/>
      <c r="E5204" s="466" t="s">
        <v>3856</v>
      </c>
      <c r="F5204" s="466"/>
      <c r="G5204" s="465">
        <v>1</v>
      </c>
      <c r="H5204" s="465">
        <v>1</v>
      </c>
    </row>
    <row r="5205" spans="1:8" ht="13.8" thickBot="1">
      <c r="A5205" s="465" t="s">
        <v>10438</v>
      </c>
      <c r="B5205" s="465" t="s">
        <v>4631</v>
      </c>
      <c r="C5205" s="466">
        <v>7.3</v>
      </c>
      <c r="D5205" s="465"/>
      <c r="E5205" s="466" t="s">
        <v>4628</v>
      </c>
      <c r="F5205" s="466" t="s">
        <v>1251</v>
      </c>
      <c r="G5205" s="465"/>
      <c r="H5205" s="465">
        <v>3</v>
      </c>
    </row>
    <row r="5206" spans="1:8" ht="13.8" thickBot="1">
      <c r="A5206" s="467" t="s">
        <v>10439</v>
      </c>
      <c r="B5206" s="465" t="s">
        <v>1797</v>
      </c>
      <c r="C5206" s="466">
        <v>7.5</v>
      </c>
      <c r="D5206" s="465"/>
      <c r="E5206" s="466" t="s">
        <v>1793</v>
      </c>
      <c r="F5206" s="466" t="s">
        <v>1251</v>
      </c>
      <c r="G5206" s="465"/>
      <c r="H5206" s="465">
        <v>3</v>
      </c>
    </row>
    <row r="5207" spans="1:8" ht="13.8" thickBot="1">
      <c r="A5207" s="467" t="s">
        <v>10440</v>
      </c>
      <c r="B5207" s="465" t="s">
        <v>1807</v>
      </c>
      <c r="C5207" s="466">
        <v>7.5</v>
      </c>
      <c r="D5207" s="465"/>
      <c r="E5207" s="466" t="s">
        <v>1793</v>
      </c>
      <c r="F5207" s="466" t="s">
        <v>1226</v>
      </c>
      <c r="G5207" s="465"/>
      <c r="H5207" s="465">
        <v>1</v>
      </c>
    </row>
    <row r="5208" spans="1:8" ht="13.8" thickBot="1">
      <c r="A5208" s="467" t="s">
        <v>10441</v>
      </c>
      <c r="B5208" s="465" t="s">
        <v>1808</v>
      </c>
      <c r="C5208" s="466">
        <v>7.5</v>
      </c>
      <c r="D5208" s="465"/>
      <c r="E5208" s="466" t="s">
        <v>1793</v>
      </c>
      <c r="F5208" s="466" t="s">
        <v>1226</v>
      </c>
      <c r="G5208" s="465"/>
      <c r="H5208" s="465">
        <v>1</v>
      </c>
    </row>
    <row r="5209" spans="1:8" ht="13.8" thickBot="1">
      <c r="A5209" s="465" t="s">
        <v>10442</v>
      </c>
      <c r="B5209" s="465" t="s">
        <v>1809</v>
      </c>
      <c r="C5209" s="466">
        <v>7.5</v>
      </c>
      <c r="D5209" s="465"/>
      <c r="E5209" s="466" t="s">
        <v>1793</v>
      </c>
      <c r="F5209" s="466" t="s">
        <v>1226</v>
      </c>
      <c r="G5209" s="465"/>
      <c r="H5209" s="465"/>
    </row>
    <row r="5210" spans="1:8" ht="13.8" thickBot="1">
      <c r="A5210" s="467" t="s">
        <v>10593</v>
      </c>
      <c r="B5210" s="465" t="s">
        <v>1759</v>
      </c>
      <c r="C5210" s="466">
        <v>7.5</v>
      </c>
      <c r="D5210" s="465"/>
      <c r="E5210" s="466" t="s">
        <v>4789</v>
      </c>
      <c r="F5210" s="466"/>
      <c r="G5210" s="465"/>
      <c r="H5210" s="465"/>
    </row>
    <row r="5211" spans="1:8" ht="13.8" thickBot="1">
      <c r="A5211" s="465" t="s">
        <v>10594</v>
      </c>
      <c r="B5211" s="465" t="s">
        <v>4821</v>
      </c>
      <c r="C5211" s="466">
        <v>7.5</v>
      </c>
      <c r="D5211" s="465"/>
      <c r="E5211" s="466" t="s">
        <v>4822</v>
      </c>
      <c r="F5211" s="466"/>
      <c r="G5211" s="465">
        <v>1</v>
      </c>
      <c r="H5211" s="465">
        <v>1</v>
      </c>
    </row>
    <row r="5212" spans="1:8" ht="13.8" thickBot="1">
      <c r="A5212" s="465" t="s">
        <v>10595</v>
      </c>
      <c r="B5212" s="465" t="s">
        <v>4867</v>
      </c>
      <c r="C5212" s="466">
        <v>7.5</v>
      </c>
      <c r="D5212" s="465"/>
      <c r="E5212" s="466" t="s">
        <v>4865</v>
      </c>
      <c r="F5212" s="466"/>
      <c r="G5212" s="465"/>
      <c r="H5212" s="465">
        <v>1</v>
      </c>
    </row>
    <row r="5213" spans="1:8" ht="13.8" thickBot="1">
      <c r="A5213" s="465" t="s">
        <v>10596</v>
      </c>
      <c r="B5213" s="465" t="s">
        <v>4872</v>
      </c>
      <c r="C5213" s="466">
        <v>7.5</v>
      </c>
      <c r="D5213" s="465"/>
      <c r="E5213" s="466" t="s">
        <v>4865</v>
      </c>
      <c r="F5213" s="466"/>
      <c r="G5213" s="465"/>
      <c r="H5213" s="465"/>
    </row>
    <row r="5214" spans="1:8" ht="13.8" thickBot="1">
      <c r="A5214" s="465" t="s">
        <v>10597</v>
      </c>
      <c r="B5214" s="465" t="s">
        <v>4917</v>
      </c>
      <c r="C5214" s="466">
        <v>7.5</v>
      </c>
      <c r="D5214" s="465"/>
      <c r="E5214" s="466" t="s">
        <v>4918</v>
      </c>
      <c r="F5214" s="466" t="s">
        <v>1226</v>
      </c>
      <c r="G5214" s="465"/>
      <c r="H5214" s="465">
        <v>1</v>
      </c>
    </row>
    <row r="5215" spans="1:8" ht="13.8" thickBot="1">
      <c r="A5215" s="465" t="s">
        <v>10598</v>
      </c>
      <c r="B5215" s="465" t="s">
        <v>1602</v>
      </c>
      <c r="C5215" s="466">
        <v>7.5</v>
      </c>
      <c r="D5215" s="465"/>
      <c r="E5215" s="466" t="s">
        <v>4970</v>
      </c>
      <c r="F5215" s="466"/>
      <c r="G5215" s="465"/>
      <c r="H5215" s="465">
        <v>1</v>
      </c>
    </row>
    <row r="5216" spans="1:8" ht="13.8" thickBot="1">
      <c r="A5216" s="467" t="s">
        <v>10451</v>
      </c>
      <c r="B5216" s="465" t="s">
        <v>2241</v>
      </c>
      <c r="C5216" s="466">
        <v>7.5</v>
      </c>
      <c r="D5216" s="465"/>
      <c r="E5216" s="466" t="s">
        <v>2242</v>
      </c>
      <c r="F5216" s="466"/>
      <c r="G5216" s="465"/>
      <c r="H5216" s="465">
        <v>1</v>
      </c>
    </row>
    <row r="5217" spans="1:8" ht="13.8" thickBot="1">
      <c r="A5217" s="465" t="s">
        <v>889</v>
      </c>
      <c r="B5217" s="465" t="s">
        <v>5009</v>
      </c>
      <c r="C5217" s="466">
        <v>7.5</v>
      </c>
      <c r="D5217" s="465"/>
      <c r="E5217" s="466" t="s">
        <v>5010</v>
      </c>
      <c r="F5217" s="466"/>
      <c r="G5217" s="465"/>
      <c r="H5217" s="465">
        <v>1</v>
      </c>
    </row>
    <row r="5218" spans="1:8" ht="13.8" thickBot="1">
      <c r="A5218" s="465" t="s">
        <v>10599</v>
      </c>
      <c r="B5218" s="465" t="s">
        <v>5087</v>
      </c>
      <c r="C5218" s="466">
        <v>7.5</v>
      </c>
      <c r="D5218" s="465"/>
      <c r="E5218" s="466" t="s">
        <v>5086</v>
      </c>
      <c r="F5218" s="466" t="s">
        <v>1226</v>
      </c>
      <c r="G5218" s="465"/>
      <c r="H5218" s="465">
        <v>1</v>
      </c>
    </row>
    <row r="5219" spans="1:8" ht="13.8" thickBot="1">
      <c r="A5219" s="465" t="s">
        <v>10600</v>
      </c>
      <c r="B5219" s="465" t="s">
        <v>5088</v>
      </c>
      <c r="C5219" s="466">
        <v>7.5</v>
      </c>
      <c r="D5219" s="467" t="s">
        <v>614</v>
      </c>
      <c r="E5219" s="466" t="s">
        <v>5086</v>
      </c>
      <c r="F5219" s="466"/>
      <c r="G5219" s="465">
        <v>2</v>
      </c>
      <c r="H5219" s="465">
        <v>2</v>
      </c>
    </row>
    <row r="5220" spans="1:8" ht="13.8" thickBot="1">
      <c r="A5220" s="467" t="s">
        <v>10601</v>
      </c>
      <c r="B5220" s="465" t="s">
        <v>1536</v>
      </c>
      <c r="C5220" s="466">
        <v>7.5</v>
      </c>
      <c r="D5220" s="467" t="s">
        <v>614</v>
      </c>
      <c r="E5220" s="466" t="s">
        <v>5125</v>
      </c>
      <c r="F5220" s="466"/>
      <c r="G5220" s="465"/>
      <c r="H5220" s="465">
        <v>1</v>
      </c>
    </row>
    <row r="5221" spans="1:8" ht="13.8" thickBot="1">
      <c r="A5221" s="467" t="s">
        <v>10602</v>
      </c>
      <c r="B5221" s="465" t="s">
        <v>1700</v>
      </c>
      <c r="C5221" s="466">
        <v>7.5</v>
      </c>
      <c r="D5221" s="467" t="s">
        <v>614</v>
      </c>
      <c r="E5221" s="466" t="s">
        <v>5139</v>
      </c>
      <c r="F5221" s="466" t="s">
        <v>1229</v>
      </c>
      <c r="G5221" s="465">
        <v>2</v>
      </c>
      <c r="H5221" s="465">
        <v>5</v>
      </c>
    </row>
    <row r="5222" spans="1:8" ht="13.8" thickBot="1">
      <c r="A5222" s="467" t="s">
        <v>10603</v>
      </c>
      <c r="B5222" s="465" t="s">
        <v>5161</v>
      </c>
      <c r="C5222" s="466">
        <v>7.5</v>
      </c>
      <c r="D5222" s="465"/>
      <c r="E5222" s="466" t="s">
        <v>5155</v>
      </c>
      <c r="F5222" s="466" t="s">
        <v>1226</v>
      </c>
      <c r="G5222" s="465"/>
      <c r="H5222" s="465">
        <v>1</v>
      </c>
    </row>
    <row r="5223" spans="1:8" ht="13.8" thickBot="1">
      <c r="A5223" s="465" t="s">
        <v>10604</v>
      </c>
      <c r="B5223" s="465" t="s">
        <v>5158</v>
      </c>
      <c r="C5223" s="466">
        <v>7.5</v>
      </c>
      <c r="D5223" s="465"/>
      <c r="E5223" s="466" t="s">
        <v>5155</v>
      </c>
      <c r="F5223" s="466"/>
      <c r="G5223" s="465"/>
      <c r="H5223" s="465"/>
    </row>
    <row r="5224" spans="1:8" ht="13.8" thickBot="1">
      <c r="A5224" s="467" t="s">
        <v>10605</v>
      </c>
      <c r="B5224" s="465" t="s">
        <v>5179</v>
      </c>
      <c r="C5224" s="466">
        <v>7.5</v>
      </c>
      <c r="D5224" s="467" t="s">
        <v>614</v>
      </c>
      <c r="E5224" s="466" t="s">
        <v>5180</v>
      </c>
      <c r="F5224" s="466" t="s">
        <v>1251</v>
      </c>
      <c r="G5224" s="465">
        <v>2</v>
      </c>
      <c r="H5224" s="465">
        <v>5</v>
      </c>
    </row>
    <row r="5225" spans="1:8" ht="13.8" thickBot="1">
      <c r="A5225" s="465" t="s">
        <v>10606</v>
      </c>
      <c r="B5225" s="465" t="s">
        <v>5195</v>
      </c>
      <c r="C5225" s="466">
        <v>7.5</v>
      </c>
      <c r="D5225" s="465"/>
      <c r="E5225" s="466" t="s">
        <v>5196</v>
      </c>
      <c r="F5225" s="466" t="s">
        <v>1224</v>
      </c>
      <c r="G5225" s="465"/>
      <c r="H5225" s="465">
        <v>1</v>
      </c>
    </row>
    <row r="5226" spans="1:8" ht="13.8" thickBot="1">
      <c r="A5226" s="467" t="s">
        <v>10607</v>
      </c>
      <c r="B5226" s="465" t="s">
        <v>5201</v>
      </c>
      <c r="C5226" s="466">
        <v>7.5</v>
      </c>
      <c r="D5226" s="465"/>
      <c r="E5226" s="466" t="s">
        <v>5196</v>
      </c>
      <c r="F5226" s="466"/>
      <c r="G5226" s="465"/>
      <c r="H5226" s="465"/>
    </row>
    <row r="5227" spans="1:8" ht="13.8" thickBot="1">
      <c r="A5227" s="465" t="s">
        <v>10608</v>
      </c>
      <c r="B5227" s="465" t="s">
        <v>5225</v>
      </c>
      <c r="C5227" s="466">
        <v>7.5</v>
      </c>
      <c r="D5227" s="465"/>
      <c r="E5227" s="466" t="s">
        <v>5226</v>
      </c>
      <c r="F5227" s="466" t="s">
        <v>1251</v>
      </c>
      <c r="G5227" s="465"/>
      <c r="H5227" s="465">
        <v>1</v>
      </c>
    </row>
    <row r="5228" spans="1:8" ht="13.8" thickBot="1">
      <c r="A5228" s="465" t="s">
        <v>10609</v>
      </c>
      <c r="B5228" s="465" t="s">
        <v>5227</v>
      </c>
      <c r="C5228" s="466">
        <v>7.5</v>
      </c>
      <c r="D5228" s="465"/>
      <c r="E5228" s="466" t="s">
        <v>5226</v>
      </c>
      <c r="F5228" s="466" t="s">
        <v>1226</v>
      </c>
      <c r="G5228" s="465"/>
      <c r="H5228" s="465">
        <v>1</v>
      </c>
    </row>
    <row r="5229" spans="1:8" ht="13.8" thickBot="1">
      <c r="A5229" s="467" t="s">
        <v>10610</v>
      </c>
      <c r="B5229" s="465" t="s">
        <v>5228</v>
      </c>
      <c r="C5229" s="466">
        <v>7.5</v>
      </c>
      <c r="D5229" s="465"/>
      <c r="E5229" s="466" t="s">
        <v>5226</v>
      </c>
      <c r="F5229" s="466"/>
      <c r="G5229" s="465"/>
      <c r="H5229" s="465">
        <v>3</v>
      </c>
    </row>
    <row r="5230" spans="1:8" ht="13.8" thickBot="1">
      <c r="A5230" s="467" t="s">
        <v>10611</v>
      </c>
      <c r="B5230" s="465" t="s">
        <v>5244</v>
      </c>
      <c r="C5230" s="466">
        <v>7.5</v>
      </c>
      <c r="D5230" s="465"/>
      <c r="E5230" s="466" t="s">
        <v>5245</v>
      </c>
      <c r="F5230" s="466" t="s">
        <v>1226</v>
      </c>
      <c r="G5230" s="465">
        <v>1</v>
      </c>
      <c r="H5230" s="465">
        <v>3</v>
      </c>
    </row>
    <row r="5231" spans="1:8" ht="13.8" thickBot="1">
      <c r="A5231" s="465" t="s">
        <v>10612</v>
      </c>
      <c r="B5231" s="465" t="s">
        <v>5251</v>
      </c>
      <c r="C5231" s="466">
        <v>7.5</v>
      </c>
      <c r="D5231" s="465"/>
      <c r="E5231" s="466" t="s">
        <v>5252</v>
      </c>
      <c r="F5231" s="466" t="s">
        <v>1229</v>
      </c>
      <c r="G5231" s="465"/>
      <c r="H5231" s="465">
        <v>8</v>
      </c>
    </row>
    <row r="5232" spans="1:8" ht="13.8" thickBot="1">
      <c r="A5232" s="467" t="s">
        <v>10452</v>
      </c>
      <c r="B5232" s="465" t="s">
        <v>1726</v>
      </c>
      <c r="C5232" s="466">
        <v>7.5</v>
      </c>
      <c r="D5232" s="465"/>
      <c r="E5232" s="466" t="s">
        <v>2289</v>
      </c>
      <c r="F5232" s="466" t="s">
        <v>1251</v>
      </c>
      <c r="G5232" s="465"/>
      <c r="H5232" s="465">
        <v>1</v>
      </c>
    </row>
    <row r="5233" spans="1:8" ht="13.8" thickBot="1">
      <c r="A5233" s="467" t="s">
        <v>10453</v>
      </c>
      <c r="B5233" s="465" t="s">
        <v>1726</v>
      </c>
      <c r="C5233" s="466">
        <v>7.5</v>
      </c>
      <c r="D5233" s="465"/>
      <c r="E5233" s="466" t="s">
        <v>2289</v>
      </c>
      <c r="F5233" s="466" t="s">
        <v>1251</v>
      </c>
      <c r="G5233" s="465"/>
      <c r="H5233" s="465"/>
    </row>
    <row r="5234" spans="1:8" ht="13.8" thickBot="1">
      <c r="A5234" s="467" t="s">
        <v>10454</v>
      </c>
      <c r="B5234" s="465" t="s">
        <v>2303</v>
      </c>
      <c r="C5234" s="466">
        <v>7.5</v>
      </c>
      <c r="D5234" s="465"/>
      <c r="E5234" s="466" t="s">
        <v>2289</v>
      </c>
      <c r="F5234" s="466" t="s">
        <v>1226</v>
      </c>
      <c r="G5234" s="465">
        <v>2</v>
      </c>
      <c r="H5234" s="465">
        <v>3</v>
      </c>
    </row>
    <row r="5235" spans="1:8" ht="13.8" thickBot="1">
      <c r="A5235" s="465" t="s">
        <v>10455</v>
      </c>
      <c r="B5235" s="468" t="s">
        <v>2304</v>
      </c>
      <c r="C5235" s="466">
        <v>7.5</v>
      </c>
      <c r="D5235" s="465"/>
      <c r="E5235" s="466" t="s">
        <v>2289</v>
      </c>
      <c r="F5235" s="466" t="s">
        <v>1224</v>
      </c>
      <c r="G5235" s="465"/>
      <c r="H5235" s="465">
        <v>1</v>
      </c>
    </row>
    <row r="5236" spans="1:8" ht="13.8" thickBot="1">
      <c r="A5236" s="467" t="s">
        <v>10456</v>
      </c>
      <c r="B5236" s="465" t="s">
        <v>2305</v>
      </c>
      <c r="C5236" s="466">
        <v>7.5</v>
      </c>
      <c r="D5236" s="465"/>
      <c r="E5236" s="466" t="s">
        <v>2289</v>
      </c>
      <c r="F5236" s="466" t="s">
        <v>1224</v>
      </c>
      <c r="G5236" s="465"/>
      <c r="H5236" s="465">
        <v>1</v>
      </c>
    </row>
    <row r="5237" spans="1:8" ht="13.8" thickBot="1">
      <c r="A5237" s="467" t="s">
        <v>10457</v>
      </c>
      <c r="B5237" s="465" t="s">
        <v>1726</v>
      </c>
      <c r="C5237" s="466">
        <v>7.5</v>
      </c>
      <c r="D5237" s="465"/>
      <c r="E5237" s="466" t="s">
        <v>2289</v>
      </c>
      <c r="F5237" s="466"/>
      <c r="G5237" s="465"/>
      <c r="H5237" s="465"/>
    </row>
    <row r="5238" spans="1:8" ht="13.8" thickBot="1">
      <c r="A5238" s="465" t="s">
        <v>10458</v>
      </c>
      <c r="B5238" s="465" t="s">
        <v>2306</v>
      </c>
      <c r="C5238" s="466">
        <v>7.5</v>
      </c>
      <c r="D5238" s="465"/>
      <c r="E5238" s="466" t="s">
        <v>2289</v>
      </c>
      <c r="F5238" s="466"/>
      <c r="G5238" s="465"/>
      <c r="H5238" s="465"/>
    </row>
    <row r="5239" spans="1:8" ht="13.8" thickBot="1">
      <c r="A5239" s="465" t="s">
        <v>10459</v>
      </c>
      <c r="B5239" s="465" t="s">
        <v>2307</v>
      </c>
      <c r="C5239" s="466">
        <v>7.5</v>
      </c>
      <c r="D5239" s="465"/>
      <c r="E5239" s="466" t="s">
        <v>2289</v>
      </c>
      <c r="F5239" s="466"/>
      <c r="G5239" s="465"/>
      <c r="H5239" s="465"/>
    </row>
    <row r="5240" spans="1:8" ht="13.8" thickBot="1">
      <c r="A5240" s="465" t="s">
        <v>10460</v>
      </c>
      <c r="B5240" s="465" t="s">
        <v>2308</v>
      </c>
      <c r="C5240" s="466">
        <v>7.5</v>
      </c>
      <c r="D5240" s="465"/>
      <c r="E5240" s="466" t="s">
        <v>2289</v>
      </c>
      <c r="F5240" s="466"/>
      <c r="G5240" s="465"/>
      <c r="H5240" s="465">
        <v>1</v>
      </c>
    </row>
    <row r="5241" spans="1:8" ht="13.8" thickBot="1">
      <c r="A5241" s="465" t="s">
        <v>10461</v>
      </c>
      <c r="B5241" s="465" t="s">
        <v>2309</v>
      </c>
      <c r="C5241" s="466">
        <v>7.5</v>
      </c>
      <c r="D5241" s="465"/>
      <c r="E5241" s="466" t="s">
        <v>2289</v>
      </c>
      <c r="F5241" s="466"/>
      <c r="G5241" s="465"/>
      <c r="H5241" s="465">
        <v>2</v>
      </c>
    </row>
    <row r="5242" spans="1:8" ht="13.8" thickBot="1">
      <c r="A5242" s="467" t="s">
        <v>10462</v>
      </c>
      <c r="B5242" s="465" t="s">
        <v>1727</v>
      </c>
      <c r="C5242" s="466">
        <v>7.5</v>
      </c>
      <c r="D5242" s="465"/>
      <c r="E5242" s="466" t="s">
        <v>2289</v>
      </c>
      <c r="F5242" s="466"/>
      <c r="G5242" s="465"/>
      <c r="H5242" s="465"/>
    </row>
    <row r="5243" spans="1:8" ht="13.8" thickBot="1">
      <c r="A5243" s="467" t="s">
        <v>10463</v>
      </c>
      <c r="B5243" s="465" t="s">
        <v>2310</v>
      </c>
      <c r="C5243" s="466">
        <v>7.5</v>
      </c>
      <c r="D5243" s="465"/>
      <c r="E5243" s="466" t="s">
        <v>2289</v>
      </c>
      <c r="F5243" s="466"/>
      <c r="G5243" s="465"/>
      <c r="H5243" s="465"/>
    </row>
    <row r="5244" spans="1:8" ht="13.8" thickBot="1">
      <c r="A5244" s="465" t="s">
        <v>10613</v>
      </c>
      <c r="B5244" s="465" t="s">
        <v>5260</v>
      </c>
      <c r="C5244" s="466">
        <v>7.5</v>
      </c>
      <c r="D5244" s="467" t="s">
        <v>5261</v>
      </c>
      <c r="E5244" s="466" t="s">
        <v>5257</v>
      </c>
      <c r="F5244" s="466" t="s">
        <v>1229</v>
      </c>
      <c r="G5244" s="465">
        <v>1</v>
      </c>
      <c r="H5244" s="465">
        <v>4</v>
      </c>
    </row>
    <row r="5245" spans="1:8" ht="13.8" thickBot="1">
      <c r="A5245" s="467" t="s">
        <v>10614</v>
      </c>
      <c r="B5245" s="465" t="s">
        <v>5262</v>
      </c>
      <c r="C5245" s="466">
        <v>7.5</v>
      </c>
      <c r="D5245" s="465"/>
      <c r="E5245" s="466" t="s">
        <v>5257</v>
      </c>
      <c r="F5245" s="466"/>
      <c r="G5245" s="465"/>
      <c r="H5245" s="465">
        <v>2</v>
      </c>
    </row>
    <row r="5246" spans="1:8" ht="13.8" thickBot="1">
      <c r="A5246" s="467" t="s">
        <v>10615</v>
      </c>
      <c r="B5246" s="465" t="s">
        <v>5268</v>
      </c>
      <c r="C5246" s="466">
        <v>7.5</v>
      </c>
      <c r="D5246" s="465"/>
      <c r="E5246" s="466" t="s">
        <v>5269</v>
      </c>
      <c r="F5246" s="466"/>
      <c r="G5246" s="465"/>
      <c r="H5246" s="465"/>
    </row>
    <row r="5247" spans="1:8" ht="13.8" thickBot="1">
      <c r="A5247" s="465" t="s">
        <v>10616</v>
      </c>
      <c r="B5247" s="465" t="s">
        <v>5284</v>
      </c>
      <c r="C5247" s="466">
        <v>7.5</v>
      </c>
      <c r="D5247" s="465"/>
      <c r="E5247" s="466" t="s">
        <v>5285</v>
      </c>
      <c r="F5247" s="466" t="s">
        <v>1224</v>
      </c>
      <c r="G5247" s="465"/>
      <c r="H5247" s="465">
        <v>3</v>
      </c>
    </row>
    <row r="5248" spans="1:8" ht="13.8" thickBot="1">
      <c r="A5248" s="465" t="s">
        <v>10617</v>
      </c>
      <c r="B5248" s="465" t="s">
        <v>5288</v>
      </c>
      <c r="C5248" s="466">
        <v>7.5</v>
      </c>
      <c r="D5248" s="465"/>
      <c r="E5248" s="466" t="s">
        <v>5286</v>
      </c>
      <c r="F5248" s="466" t="s">
        <v>1251</v>
      </c>
      <c r="G5248" s="465"/>
      <c r="H5248" s="465"/>
    </row>
    <row r="5249" spans="1:8" ht="13.8" thickBot="1">
      <c r="A5249" s="465" t="s">
        <v>10618</v>
      </c>
      <c r="B5249" s="465" t="s">
        <v>1381</v>
      </c>
      <c r="C5249" s="466">
        <v>7.5</v>
      </c>
      <c r="D5249" s="465"/>
      <c r="E5249" s="466" t="s">
        <v>5286</v>
      </c>
      <c r="F5249" s="466" t="s">
        <v>1226</v>
      </c>
      <c r="G5249" s="465"/>
      <c r="H5249" s="465">
        <v>1</v>
      </c>
    </row>
    <row r="5250" spans="1:8" ht="13.8" thickBot="1">
      <c r="A5250" s="465" t="s">
        <v>10619</v>
      </c>
      <c r="B5250" s="465" t="s">
        <v>5289</v>
      </c>
      <c r="C5250" s="466">
        <v>7.5</v>
      </c>
      <c r="D5250" s="465"/>
      <c r="E5250" s="466" t="s">
        <v>5286</v>
      </c>
      <c r="F5250" s="466" t="s">
        <v>1226</v>
      </c>
      <c r="G5250" s="465"/>
      <c r="H5250" s="465"/>
    </row>
    <row r="5251" spans="1:8" ht="13.8" thickBot="1">
      <c r="A5251" s="465" t="s">
        <v>10620</v>
      </c>
      <c r="B5251" s="465" t="s">
        <v>5290</v>
      </c>
      <c r="C5251" s="466">
        <v>7.5</v>
      </c>
      <c r="D5251" s="465"/>
      <c r="E5251" s="466" t="s">
        <v>5286</v>
      </c>
      <c r="F5251" s="466" t="s">
        <v>1226</v>
      </c>
      <c r="G5251" s="465"/>
      <c r="H5251" s="465">
        <v>1</v>
      </c>
    </row>
    <row r="5252" spans="1:8" ht="13.8" thickBot="1">
      <c r="A5252" s="467" t="s">
        <v>10621</v>
      </c>
      <c r="B5252" s="465" t="s">
        <v>5291</v>
      </c>
      <c r="C5252" s="466">
        <v>7.5</v>
      </c>
      <c r="D5252" s="465"/>
      <c r="E5252" s="466" t="s">
        <v>5286</v>
      </c>
      <c r="F5252" s="466" t="s">
        <v>1226</v>
      </c>
      <c r="G5252" s="465"/>
      <c r="H5252" s="465">
        <v>1</v>
      </c>
    </row>
    <row r="5253" spans="1:8" ht="13.8" thickBot="1">
      <c r="A5253" s="467" t="s">
        <v>10622</v>
      </c>
      <c r="B5253" s="465" t="s">
        <v>5327</v>
      </c>
      <c r="C5253" s="466">
        <v>7.5</v>
      </c>
      <c r="D5253" s="465"/>
      <c r="E5253" s="466" t="s">
        <v>5325</v>
      </c>
      <c r="F5253" s="466"/>
      <c r="G5253" s="465"/>
      <c r="H5253" s="465"/>
    </row>
    <row r="5254" spans="1:8" ht="13.8" thickBot="1">
      <c r="A5254" s="467" t="s">
        <v>10623</v>
      </c>
      <c r="B5254" s="465" t="s">
        <v>5344</v>
      </c>
      <c r="C5254" s="466">
        <v>7.5</v>
      </c>
      <c r="D5254" s="467" t="s">
        <v>614</v>
      </c>
      <c r="E5254" s="466" t="s">
        <v>5342</v>
      </c>
      <c r="F5254" s="466"/>
      <c r="G5254" s="465"/>
      <c r="H5254" s="465">
        <v>2</v>
      </c>
    </row>
    <row r="5255" spans="1:8" ht="14.4" thickBot="1">
      <c r="A5255" s="467" t="s">
        <v>10464</v>
      </c>
      <c r="B5255" s="469" t="s">
        <v>2448</v>
      </c>
      <c r="C5255" s="466">
        <v>7.5</v>
      </c>
      <c r="D5255" s="465"/>
      <c r="E5255" s="466" t="s">
        <v>2449</v>
      </c>
      <c r="F5255" s="466" t="s">
        <v>1251</v>
      </c>
      <c r="G5255" s="465"/>
      <c r="H5255" s="465"/>
    </row>
    <row r="5256" spans="1:8" ht="13.8" thickBot="1">
      <c r="A5256" s="465" t="s">
        <v>10465</v>
      </c>
      <c r="B5256" s="465" t="s">
        <v>2448</v>
      </c>
      <c r="C5256" s="466">
        <v>7.5</v>
      </c>
      <c r="D5256" s="465"/>
      <c r="E5256" s="466" t="s">
        <v>2449</v>
      </c>
      <c r="F5256" s="466"/>
      <c r="G5256" s="465"/>
      <c r="H5256" s="465"/>
    </row>
    <row r="5257" spans="1:8" ht="13.8" thickBot="1">
      <c r="A5257" s="467" t="s">
        <v>10466</v>
      </c>
      <c r="B5257" s="465" t="s">
        <v>2448</v>
      </c>
      <c r="C5257" s="466">
        <v>7.5</v>
      </c>
      <c r="D5257" s="465"/>
      <c r="E5257" s="466" t="s">
        <v>2449</v>
      </c>
      <c r="F5257" s="466"/>
      <c r="G5257" s="465"/>
      <c r="H5257" s="465"/>
    </row>
    <row r="5258" spans="1:8" ht="13.8" thickBot="1">
      <c r="A5258" s="467" t="s">
        <v>10467</v>
      </c>
      <c r="B5258" s="465" t="s">
        <v>2527</v>
      </c>
      <c r="C5258" s="466">
        <v>7.5</v>
      </c>
      <c r="D5258" s="465"/>
      <c r="E5258" s="466" t="s">
        <v>2523</v>
      </c>
      <c r="F5258" s="466" t="s">
        <v>1229</v>
      </c>
      <c r="G5258" s="465"/>
      <c r="H5258" s="465">
        <v>1</v>
      </c>
    </row>
    <row r="5259" spans="1:8" ht="13.8" thickBot="1">
      <c r="A5259" s="465" t="s">
        <v>10468</v>
      </c>
      <c r="B5259" s="465" t="s">
        <v>2528</v>
      </c>
      <c r="C5259" s="466">
        <v>7.5</v>
      </c>
      <c r="D5259" s="467" t="s">
        <v>1854</v>
      </c>
      <c r="E5259" s="466" t="s">
        <v>2523</v>
      </c>
      <c r="F5259" s="466" t="s">
        <v>1229</v>
      </c>
      <c r="G5259" s="465">
        <v>2</v>
      </c>
      <c r="H5259" s="465">
        <v>3</v>
      </c>
    </row>
    <row r="5260" spans="1:8" ht="13.8" thickBot="1">
      <c r="A5260" s="467" t="s">
        <v>10469</v>
      </c>
      <c r="B5260" s="468" t="s">
        <v>2529</v>
      </c>
      <c r="C5260" s="466">
        <v>7.5</v>
      </c>
      <c r="D5260" s="467" t="s">
        <v>614</v>
      </c>
      <c r="E5260" s="466" t="s">
        <v>2523</v>
      </c>
      <c r="F5260" s="466" t="s">
        <v>1251</v>
      </c>
      <c r="G5260" s="465"/>
      <c r="H5260" s="465"/>
    </row>
    <row r="5261" spans="1:8" ht="13.8" thickBot="1">
      <c r="A5261" s="465" t="s">
        <v>10470</v>
      </c>
      <c r="B5261" s="465" t="s">
        <v>1302</v>
      </c>
      <c r="C5261" s="466">
        <v>7.5</v>
      </c>
      <c r="D5261" s="465"/>
      <c r="E5261" s="466" t="s">
        <v>2523</v>
      </c>
      <c r="F5261" s="466" t="s">
        <v>1251</v>
      </c>
      <c r="G5261" s="465"/>
      <c r="H5261" s="465">
        <v>1</v>
      </c>
    </row>
    <row r="5262" spans="1:8" ht="13.8" thickBot="1">
      <c r="A5262" s="467" t="s">
        <v>10471</v>
      </c>
      <c r="B5262" s="465" t="s">
        <v>2530</v>
      </c>
      <c r="C5262" s="466">
        <v>7.5</v>
      </c>
      <c r="D5262" s="465"/>
      <c r="E5262" s="466" t="s">
        <v>2523</v>
      </c>
      <c r="F5262" s="466" t="s">
        <v>1251</v>
      </c>
      <c r="G5262" s="465"/>
      <c r="H5262" s="465">
        <v>1</v>
      </c>
    </row>
    <row r="5263" spans="1:8" ht="13.8" thickBot="1">
      <c r="A5263" s="465" t="s">
        <v>10472</v>
      </c>
      <c r="B5263" s="465" t="s">
        <v>1300</v>
      </c>
      <c r="C5263" s="466">
        <v>7.5</v>
      </c>
      <c r="D5263" s="465"/>
      <c r="E5263" s="466" t="s">
        <v>2523</v>
      </c>
      <c r="F5263" s="466" t="s">
        <v>1226</v>
      </c>
      <c r="G5263" s="465"/>
      <c r="H5263" s="465">
        <v>1</v>
      </c>
    </row>
    <row r="5264" spans="1:8" ht="13.8" thickBot="1">
      <c r="A5264" s="465" t="s">
        <v>10473</v>
      </c>
      <c r="B5264" s="465" t="s">
        <v>2531</v>
      </c>
      <c r="C5264" s="466">
        <v>7.5</v>
      </c>
      <c r="D5264" s="465"/>
      <c r="E5264" s="466" t="s">
        <v>2523</v>
      </c>
      <c r="F5264" s="466" t="s">
        <v>1226</v>
      </c>
      <c r="G5264" s="465"/>
      <c r="H5264" s="465">
        <v>1</v>
      </c>
    </row>
    <row r="5265" spans="1:8" ht="13.8" thickBot="1">
      <c r="A5265" s="465" t="s">
        <v>10474</v>
      </c>
      <c r="B5265" s="465" t="s">
        <v>2532</v>
      </c>
      <c r="C5265" s="466">
        <v>7.5</v>
      </c>
      <c r="D5265" s="465"/>
      <c r="E5265" s="466" t="s">
        <v>2523</v>
      </c>
      <c r="F5265" s="466" t="s">
        <v>1226</v>
      </c>
      <c r="G5265" s="465"/>
      <c r="H5265" s="465">
        <v>1</v>
      </c>
    </row>
    <row r="5266" spans="1:8" ht="13.8" thickBot="1">
      <c r="A5266" s="465" t="s">
        <v>10475</v>
      </c>
      <c r="B5266" s="465" t="s">
        <v>2533</v>
      </c>
      <c r="C5266" s="466">
        <v>7.5</v>
      </c>
      <c r="D5266" s="465"/>
      <c r="E5266" s="466" t="s">
        <v>2523</v>
      </c>
      <c r="F5266" s="466" t="s">
        <v>1226</v>
      </c>
      <c r="G5266" s="465"/>
      <c r="H5266" s="465">
        <v>2</v>
      </c>
    </row>
    <row r="5267" spans="1:8" ht="13.8" thickBot="1">
      <c r="A5267" s="465" t="s">
        <v>10476</v>
      </c>
      <c r="B5267" s="465" t="s">
        <v>1308</v>
      </c>
      <c r="C5267" s="466">
        <v>7.5</v>
      </c>
      <c r="D5267" s="465"/>
      <c r="E5267" s="465" t="s">
        <v>2523</v>
      </c>
      <c r="F5267" s="466" t="s">
        <v>1226</v>
      </c>
      <c r="G5267" s="465"/>
      <c r="H5267" s="465">
        <v>2</v>
      </c>
    </row>
    <row r="5268" spans="1:8" ht="13.8" thickBot="1">
      <c r="A5268" s="465" t="s">
        <v>10477</v>
      </c>
      <c r="B5268" s="465" t="s">
        <v>2534</v>
      </c>
      <c r="C5268" s="466">
        <v>7.5</v>
      </c>
      <c r="D5268" s="465"/>
      <c r="E5268" s="466" t="s">
        <v>2523</v>
      </c>
      <c r="F5268" s="466" t="s">
        <v>1226</v>
      </c>
      <c r="G5268" s="465"/>
      <c r="H5268" s="465">
        <v>1</v>
      </c>
    </row>
    <row r="5269" spans="1:8" ht="13.8" thickBot="1">
      <c r="A5269" s="465" t="s">
        <v>10478</v>
      </c>
      <c r="B5269" s="465" t="s">
        <v>2535</v>
      </c>
      <c r="C5269" s="466">
        <v>7.5</v>
      </c>
      <c r="D5269" s="465"/>
      <c r="E5269" s="466" t="s">
        <v>2523</v>
      </c>
      <c r="F5269" s="466" t="s">
        <v>1224</v>
      </c>
      <c r="G5269" s="465"/>
      <c r="H5269" s="465">
        <v>2</v>
      </c>
    </row>
    <row r="5270" spans="1:8" ht="13.8" thickBot="1">
      <c r="A5270" s="465" t="s">
        <v>10479</v>
      </c>
      <c r="B5270" s="465" t="s">
        <v>1300</v>
      </c>
      <c r="C5270" s="466">
        <v>7.5</v>
      </c>
      <c r="D5270" s="465"/>
      <c r="E5270" s="466" t="s">
        <v>2523</v>
      </c>
      <c r="F5270" s="466"/>
      <c r="G5270" s="465"/>
      <c r="H5270" s="465"/>
    </row>
    <row r="5271" spans="1:8" ht="13.8" thickBot="1">
      <c r="A5271" s="465" t="s">
        <v>10480</v>
      </c>
      <c r="B5271" s="465" t="s">
        <v>1300</v>
      </c>
      <c r="C5271" s="466">
        <v>7.5</v>
      </c>
      <c r="D5271" s="465"/>
      <c r="E5271" s="466" t="s">
        <v>2523</v>
      </c>
      <c r="F5271" s="466"/>
      <c r="G5271" s="465"/>
      <c r="H5271" s="465"/>
    </row>
    <row r="5272" spans="1:8" ht="13.8" thickBot="1">
      <c r="A5272" s="467" t="s">
        <v>10481</v>
      </c>
      <c r="B5272" s="465" t="s">
        <v>1300</v>
      </c>
      <c r="C5272" s="466">
        <v>7.5</v>
      </c>
      <c r="D5272" s="465"/>
      <c r="E5272" s="466" t="s">
        <v>2523</v>
      </c>
      <c r="F5272" s="466"/>
      <c r="G5272" s="465"/>
      <c r="H5272" s="465"/>
    </row>
    <row r="5273" spans="1:8" ht="13.8" thickBot="1">
      <c r="A5273" s="467" t="s">
        <v>10482</v>
      </c>
      <c r="B5273" s="465" t="s">
        <v>1300</v>
      </c>
      <c r="C5273" s="466">
        <v>7.5</v>
      </c>
      <c r="D5273" s="465"/>
      <c r="E5273" s="466" t="s">
        <v>2523</v>
      </c>
      <c r="F5273" s="466"/>
      <c r="G5273" s="465"/>
      <c r="H5273" s="465">
        <v>1</v>
      </c>
    </row>
    <row r="5274" spans="1:8" ht="13.8" thickBot="1">
      <c r="A5274" s="467" t="s">
        <v>10483</v>
      </c>
      <c r="B5274" s="465" t="s">
        <v>2536</v>
      </c>
      <c r="C5274" s="466">
        <v>7.5</v>
      </c>
      <c r="D5274" s="465"/>
      <c r="E5274" s="466" t="s">
        <v>2523</v>
      </c>
      <c r="F5274" s="466"/>
      <c r="G5274" s="465"/>
      <c r="H5274" s="465"/>
    </row>
    <row r="5275" spans="1:8" ht="13.8" thickBot="1">
      <c r="A5275" s="467" t="s">
        <v>10484</v>
      </c>
      <c r="B5275" s="465" t="s">
        <v>2537</v>
      </c>
      <c r="C5275" s="466">
        <v>7.5</v>
      </c>
      <c r="D5275" s="465"/>
      <c r="E5275" s="466" t="s">
        <v>2523</v>
      </c>
      <c r="F5275" s="466"/>
      <c r="G5275" s="465"/>
      <c r="H5275" s="465"/>
    </row>
    <row r="5276" spans="1:8" ht="13.8" thickBot="1">
      <c r="A5276" s="467" t="s">
        <v>10485</v>
      </c>
      <c r="B5276" s="465" t="s">
        <v>1302</v>
      </c>
      <c r="C5276" s="466">
        <v>7.5</v>
      </c>
      <c r="D5276" s="465"/>
      <c r="E5276" s="466" t="s">
        <v>2523</v>
      </c>
      <c r="F5276" s="466"/>
      <c r="G5276" s="465"/>
      <c r="H5276" s="465"/>
    </row>
    <row r="5277" spans="1:8" ht="13.8" thickBot="1">
      <c r="A5277" s="467" t="s">
        <v>10486</v>
      </c>
      <c r="B5277" s="465" t="s">
        <v>1302</v>
      </c>
      <c r="C5277" s="466">
        <v>7.5</v>
      </c>
      <c r="D5277" s="465"/>
      <c r="E5277" s="466" t="s">
        <v>2523</v>
      </c>
      <c r="F5277" s="466"/>
      <c r="G5277" s="465"/>
      <c r="H5277" s="465"/>
    </row>
    <row r="5278" spans="1:8" ht="13.8" thickBot="1">
      <c r="A5278" s="467" t="s">
        <v>10487</v>
      </c>
      <c r="B5278" s="465" t="s">
        <v>2538</v>
      </c>
      <c r="C5278" s="466">
        <v>7.5</v>
      </c>
      <c r="D5278" s="467" t="s">
        <v>2539</v>
      </c>
      <c r="E5278" s="466" t="s">
        <v>2523</v>
      </c>
      <c r="F5278" s="466"/>
      <c r="G5278" s="465"/>
      <c r="H5278" s="465"/>
    </row>
    <row r="5279" spans="1:8" ht="13.8" thickBot="1">
      <c r="A5279" s="467" t="s">
        <v>10488</v>
      </c>
      <c r="B5279" s="465" t="s">
        <v>2718</v>
      </c>
      <c r="C5279" s="466">
        <v>7.5</v>
      </c>
      <c r="D5279" s="465"/>
      <c r="E5279" s="466" t="s">
        <v>2717</v>
      </c>
      <c r="F5279" s="466" t="s">
        <v>1251</v>
      </c>
      <c r="G5279" s="465">
        <v>1</v>
      </c>
      <c r="H5279" s="465">
        <v>2</v>
      </c>
    </row>
    <row r="5280" spans="1:8" ht="13.8" thickBot="1">
      <c r="A5280" s="467" t="s">
        <v>10489</v>
      </c>
      <c r="B5280" s="465" t="s">
        <v>2719</v>
      </c>
      <c r="C5280" s="466">
        <v>7.5</v>
      </c>
      <c r="D5280" s="465"/>
      <c r="E5280" s="466" t="s">
        <v>2717</v>
      </c>
      <c r="F5280" s="466"/>
      <c r="G5280" s="465"/>
      <c r="H5280" s="465"/>
    </row>
    <row r="5281" spans="1:8" ht="13.8" thickBot="1">
      <c r="A5281" s="467" t="s">
        <v>10490</v>
      </c>
      <c r="B5281" s="465" t="s">
        <v>2732</v>
      </c>
      <c r="C5281" s="466">
        <v>7.5</v>
      </c>
      <c r="D5281" s="465"/>
      <c r="E5281" s="466" t="s">
        <v>2733</v>
      </c>
      <c r="F5281" s="466" t="s">
        <v>1226</v>
      </c>
      <c r="G5281" s="465">
        <v>1</v>
      </c>
      <c r="H5281" s="465">
        <v>2</v>
      </c>
    </row>
    <row r="5282" spans="1:8" ht="13.8" thickBot="1">
      <c r="A5282" s="467" t="s">
        <v>10443</v>
      </c>
      <c r="B5282" s="465" t="s">
        <v>1928</v>
      </c>
      <c r="C5282" s="466">
        <v>7.5</v>
      </c>
      <c r="D5282" s="465"/>
      <c r="E5282" s="466" t="s">
        <v>1922</v>
      </c>
      <c r="F5282" s="466"/>
      <c r="G5282" s="465"/>
      <c r="H5282" s="465"/>
    </row>
    <row r="5283" spans="1:8" ht="13.8" thickBot="1">
      <c r="A5283" s="467" t="s">
        <v>10444</v>
      </c>
      <c r="B5283" s="465" t="s">
        <v>1926</v>
      </c>
      <c r="C5283" s="466">
        <v>7.5</v>
      </c>
      <c r="D5283" s="465"/>
      <c r="E5283" s="466" t="s">
        <v>1922</v>
      </c>
      <c r="F5283" s="466"/>
      <c r="G5283" s="465"/>
      <c r="H5283" s="465"/>
    </row>
    <row r="5284" spans="1:8" ht="13.8" thickBot="1">
      <c r="A5284" s="467" t="s">
        <v>10491</v>
      </c>
      <c r="B5284" s="465" t="s">
        <v>2753</v>
      </c>
      <c r="C5284" s="466">
        <v>7.5</v>
      </c>
      <c r="D5284" s="465"/>
      <c r="E5284" s="466" t="s">
        <v>2754</v>
      </c>
      <c r="F5284" s="466" t="s">
        <v>1226</v>
      </c>
      <c r="G5284" s="465"/>
      <c r="H5284" s="465">
        <v>1</v>
      </c>
    </row>
    <row r="5285" spans="1:8" ht="13.8" thickBot="1">
      <c r="A5285" s="465" t="s">
        <v>10492</v>
      </c>
      <c r="B5285" s="465" t="s">
        <v>2778</v>
      </c>
      <c r="C5285" s="466">
        <v>7.5</v>
      </c>
      <c r="D5285" s="465"/>
      <c r="E5285" s="466" t="s">
        <v>2779</v>
      </c>
      <c r="F5285" s="466"/>
      <c r="G5285" s="465">
        <v>1</v>
      </c>
      <c r="H5285" s="465">
        <v>2</v>
      </c>
    </row>
    <row r="5286" spans="1:8" ht="13.8" thickBot="1">
      <c r="A5286" s="467" t="s">
        <v>10493</v>
      </c>
      <c r="B5286" s="465" t="s">
        <v>1331</v>
      </c>
      <c r="C5286" s="466">
        <v>7.5</v>
      </c>
      <c r="D5286" s="467" t="s">
        <v>614</v>
      </c>
      <c r="E5286" s="466" t="s">
        <v>2797</v>
      </c>
      <c r="F5286" s="466" t="s">
        <v>1226</v>
      </c>
      <c r="G5286" s="465"/>
      <c r="H5286" s="465">
        <v>2</v>
      </c>
    </row>
    <row r="5287" spans="1:8" ht="13.8" thickBot="1">
      <c r="A5287" s="465" t="s">
        <v>10494</v>
      </c>
      <c r="B5287" s="465" t="s">
        <v>1331</v>
      </c>
      <c r="C5287" s="466">
        <v>7.5</v>
      </c>
      <c r="D5287" s="465"/>
      <c r="E5287" s="466" t="s">
        <v>2797</v>
      </c>
      <c r="F5287" s="466" t="s">
        <v>1226</v>
      </c>
      <c r="G5287" s="465"/>
      <c r="H5287" s="465">
        <v>3</v>
      </c>
    </row>
    <row r="5288" spans="1:8" ht="13.8" thickBot="1">
      <c r="A5288" s="467" t="s">
        <v>10495</v>
      </c>
      <c r="B5288" s="465" t="s">
        <v>2798</v>
      </c>
      <c r="C5288" s="466">
        <v>7.5</v>
      </c>
      <c r="D5288" s="465"/>
      <c r="E5288" s="466" t="s">
        <v>2797</v>
      </c>
      <c r="F5288" s="466" t="s">
        <v>1226</v>
      </c>
      <c r="G5288" s="465"/>
      <c r="H5288" s="465">
        <v>1</v>
      </c>
    </row>
    <row r="5289" spans="1:8" ht="13.8" thickBot="1">
      <c r="A5289" s="467" t="s">
        <v>10496</v>
      </c>
      <c r="B5289" s="465" t="s">
        <v>1331</v>
      </c>
      <c r="C5289" s="466">
        <v>7.5</v>
      </c>
      <c r="D5289" s="465" t="s">
        <v>2799</v>
      </c>
      <c r="E5289" s="466" t="s">
        <v>2797</v>
      </c>
      <c r="F5289" s="466" t="s">
        <v>1224</v>
      </c>
      <c r="G5289" s="465"/>
      <c r="H5289" s="465">
        <v>2</v>
      </c>
    </row>
    <row r="5290" spans="1:8" ht="13.8" thickBot="1">
      <c r="A5290" s="467" t="s">
        <v>10497</v>
      </c>
      <c r="B5290" s="465" t="s">
        <v>1340</v>
      </c>
      <c r="C5290" s="466">
        <v>7.5</v>
      </c>
      <c r="D5290" s="465"/>
      <c r="E5290" s="466" t="s">
        <v>2841</v>
      </c>
      <c r="F5290" s="466" t="s">
        <v>1251</v>
      </c>
      <c r="G5290" s="465">
        <v>1</v>
      </c>
      <c r="H5290" s="465">
        <v>3</v>
      </c>
    </row>
    <row r="5291" spans="1:8" ht="13.8" thickBot="1">
      <c r="A5291" s="467" t="s">
        <v>10498</v>
      </c>
      <c r="B5291" s="465" t="s">
        <v>2845</v>
      </c>
      <c r="C5291" s="466">
        <v>7.5</v>
      </c>
      <c r="D5291" s="465"/>
      <c r="E5291" s="466" t="s">
        <v>2841</v>
      </c>
      <c r="F5291" s="466" t="s">
        <v>1251</v>
      </c>
      <c r="G5291" s="465"/>
      <c r="H5291" s="465">
        <v>1</v>
      </c>
    </row>
    <row r="5292" spans="1:8" ht="13.8" thickBot="1">
      <c r="A5292" s="467" t="s">
        <v>10499</v>
      </c>
      <c r="B5292" s="465" t="s">
        <v>2846</v>
      </c>
      <c r="C5292" s="466">
        <v>7.5</v>
      </c>
      <c r="D5292" s="465"/>
      <c r="E5292" s="466" t="s">
        <v>2841</v>
      </c>
      <c r="F5292" s="466" t="s">
        <v>1226</v>
      </c>
      <c r="G5292" s="465"/>
      <c r="H5292" s="465">
        <v>2</v>
      </c>
    </row>
    <row r="5293" spans="1:8" ht="13.8" thickBot="1">
      <c r="A5293" s="467" t="s">
        <v>10500</v>
      </c>
      <c r="B5293" s="465" t="s">
        <v>2847</v>
      </c>
      <c r="C5293" s="466">
        <v>7.5</v>
      </c>
      <c r="D5293" s="467" t="s">
        <v>614</v>
      </c>
      <c r="E5293" s="466" t="s">
        <v>2841</v>
      </c>
      <c r="F5293" s="466" t="s">
        <v>1226</v>
      </c>
      <c r="G5293" s="465"/>
      <c r="H5293" s="465">
        <v>1</v>
      </c>
    </row>
    <row r="5294" spans="1:8" ht="13.8" thickBot="1">
      <c r="A5294" s="467" t="s">
        <v>10501</v>
      </c>
      <c r="B5294" s="468" t="s">
        <v>2848</v>
      </c>
      <c r="C5294" s="466">
        <v>7.5</v>
      </c>
      <c r="D5294" s="465"/>
      <c r="E5294" s="466" t="s">
        <v>2841</v>
      </c>
      <c r="F5294" s="466" t="s">
        <v>1220</v>
      </c>
      <c r="G5294" s="465"/>
      <c r="H5294" s="465">
        <v>2</v>
      </c>
    </row>
    <row r="5295" spans="1:8" ht="13.8" thickBot="1">
      <c r="A5295" s="467" t="s">
        <v>10502</v>
      </c>
      <c r="B5295" s="465" t="s">
        <v>1340</v>
      </c>
      <c r="C5295" s="466">
        <v>7.5</v>
      </c>
      <c r="D5295" s="465"/>
      <c r="E5295" s="466" t="s">
        <v>2841</v>
      </c>
      <c r="F5295" s="466"/>
      <c r="G5295" s="465"/>
      <c r="H5295" s="465">
        <v>1</v>
      </c>
    </row>
    <row r="5296" spans="1:8" ht="13.8" thickBot="1">
      <c r="A5296" s="467" t="s">
        <v>10503</v>
      </c>
      <c r="B5296" s="465" t="s">
        <v>1340</v>
      </c>
      <c r="C5296" s="466">
        <v>7.5</v>
      </c>
      <c r="D5296" s="465"/>
      <c r="E5296" s="466" t="s">
        <v>2841</v>
      </c>
      <c r="F5296" s="466"/>
      <c r="G5296" s="465"/>
      <c r="H5296" s="465"/>
    </row>
    <row r="5297" spans="1:8" ht="13.8" thickBot="1">
      <c r="A5297" s="467" t="s">
        <v>10504</v>
      </c>
      <c r="B5297" s="465" t="s">
        <v>1340</v>
      </c>
      <c r="C5297" s="466">
        <v>7.5</v>
      </c>
      <c r="D5297" s="465"/>
      <c r="E5297" s="466" t="s">
        <v>2841</v>
      </c>
      <c r="F5297" s="466"/>
      <c r="G5297" s="465"/>
      <c r="H5297" s="465"/>
    </row>
    <row r="5298" spans="1:8" ht="13.8" thickBot="1">
      <c r="A5298" s="467" t="s">
        <v>10505</v>
      </c>
      <c r="B5298" s="465" t="s">
        <v>1356</v>
      </c>
      <c r="C5298" s="466">
        <v>7.5</v>
      </c>
      <c r="D5298" s="465"/>
      <c r="E5298" s="466" t="s">
        <v>2899</v>
      </c>
      <c r="F5298" s="466"/>
      <c r="G5298" s="465">
        <v>1</v>
      </c>
      <c r="H5298" s="465">
        <v>1</v>
      </c>
    </row>
    <row r="5299" spans="1:8" ht="13.8" thickBot="1">
      <c r="A5299" s="467" t="s">
        <v>10506</v>
      </c>
      <c r="B5299" s="465" t="s">
        <v>2925</v>
      </c>
      <c r="C5299" s="466">
        <v>7.5</v>
      </c>
      <c r="D5299" s="465"/>
      <c r="E5299" s="466" t="s">
        <v>2922</v>
      </c>
      <c r="F5299" s="466" t="s">
        <v>1224</v>
      </c>
      <c r="G5299" s="465"/>
      <c r="H5299" s="465">
        <v>1</v>
      </c>
    </row>
    <row r="5300" spans="1:8" ht="13.8" thickBot="1">
      <c r="A5300" s="465" t="s">
        <v>10507</v>
      </c>
      <c r="B5300" s="465" t="s">
        <v>2961</v>
      </c>
      <c r="C5300" s="466">
        <v>7.5</v>
      </c>
      <c r="D5300" s="465"/>
      <c r="E5300" s="466" t="s">
        <v>2957</v>
      </c>
      <c r="F5300" s="466"/>
      <c r="G5300" s="465"/>
      <c r="H5300" s="465">
        <v>1</v>
      </c>
    </row>
    <row r="5301" spans="1:8" ht="13.8" thickBot="1">
      <c r="A5301" s="465" t="s">
        <v>10508</v>
      </c>
      <c r="B5301" s="465" t="s">
        <v>3086</v>
      </c>
      <c r="C5301" s="466">
        <v>7.5</v>
      </c>
      <c r="D5301" s="465"/>
      <c r="E5301" s="466" t="s">
        <v>3085</v>
      </c>
      <c r="F5301" s="466" t="s">
        <v>1226</v>
      </c>
      <c r="G5301" s="465"/>
      <c r="H5301" s="465">
        <v>1</v>
      </c>
    </row>
    <row r="5302" spans="1:8" ht="13.8" thickBot="1">
      <c r="A5302" s="467" t="s">
        <v>10509</v>
      </c>
      <c r="B5302" s="465" t="s">
        <v>3087</v>
      </c>
      <c r="C5302" s="466">
        <v>7.5</v>
      </c>
      <c r="D5302" s="465"/>
      <c r="E5302" s="466" t="s">
        <v>3085</v>
      </c>
      <c r="F5302" s="466"/>
      <c r="G5302" s="465"/>
      <c r="H5302" s="465">
        <v>1</v>
      </c>
    </row>
    <row r="5303" spans="1:8" ht="13.8" thickBot="1">
      <c r="A5303" s="465" t="s">
        <v>10510</v>
      </c>
      <c r="B5303" s="465" t="s">
        <v>3115</v>
      </c>
      <c r="C5303" s="466">
        <v>7.5</v>
      </c>
      <c r="D5303" s="467" t="s">
        <v>614</v>
      </c>
      <c r="E5303" s="466" t="s">
        <v>3116</v>
      </c>
      <c r="F5303" s="466"/>
      <c r="G5303" s="465"/>
      <c r="H5303" s="465"/>
    </row>
    <row r="5304" spans="1:8" ht="13.8" thickBot="1">
      <c r="A5304" s="467" t="s">
        <v>10511</v>
      </c>
      <c r="B5304" s="465" t="s">
        <v>3171</v>
      </c>
      <c r="C5304" s="466">
        <v>7.5</v>
      </c>
      <c r="D5304" s="465"/>
      <c r="E5304" s="466" t="s">
        <v>3161</v>
      </c>
      <c r="F5304" s="466" t="s">
        <v>1226</v>
      </c>
      <c r="G5304" s="465"/>
      <c r="H5304" s="465">
        <v>1</v>
      </c>
    </row>
    <row r="5305" spans="1:8" ht="13.8" thickBot="1">
      <c r="A5305" s="467" t="s">
        <v>10512</v>
      </c>
      <c r="B5305" s="465" t="s">
        <v>1390</v>
      </c>
      <c r="C5305" s="466">
        <v>7.5</v>
      </c>
      <c r="D5305" s="465"/>
      <c r="E5305" s="466" t="s">
        <v>3161</v>
      </c>
      <c r="F5305" s="466"/>
      <c r="G5305" s="465"/>
      <c r="H5305" s="465"/>
    </row>
    <row r="5306" spans="1:8" ht="13.8" thickBot="1">
      <c r="A5306" s="467" t="s">
        <v>10513</v>
      </c>
      <c r="B5306" s="465" t="s">
        <v>3172</v>
      </c>
      <c r="C5306" s="466">
        <v>7.5</v>
      </c>
      <c r="D5306" s="465"/>
      <c r="E5306" s="466" t="s">
        <v>3161</v>
      </c>
      <c r="F5306" s="466"/>
      <c r="G5306" s="465"/>
      <c r="H5306" s="465"/>
    </row>
    <row r="5307" spans="1:8" ht="13.8" thickBot="1">
      <c r="A5307" s="467" t="s">
        <v>10514</v>
      </c>
      <c r="B5307" s="465" t="s">
        <v>3173</v>
      </c>
      <c r="C5307" s="466">
        <v>7.5</v>
      </c>
      <c r="D5307" s="465"/>
      <c r="E5307" s="466" t="s">
        <v>3161</v>
      </c>
      <c r="F5307" s="466"/>
      <c r="G5307" s="465">
        <v>1</v>
      </c>
      <c r="H5307" s="465">
        <v>2</v>
      </c>
    </row>
    <row r="5308" spans="1:8" ht="13.8" thickBot="1">
      <c r="A5308" s="467" t="s">
        <v>10515</v>
      </c>
      <c r="B5308" s="465" t="s">
        <v>3288</v>
      </c>
      <c r="C5308" s="466">
        <v>7.5</v>
      </c>
      <c r="D5308" s="467" t="s">
        <v>614</v>
      </c>
      <c r="E5308" s="466" t="s">
        <v>3285</v>
      </c>
      <c r="F5308" s="466" t="s">
        <v>2417</v>
      </c>
      <c r="G5308" s="465">
        <v>2</v>
      </c>
      <c r="H5308" s="465">
        <v>5</v>
      </c>
    </row>
    <row r="5309" spans="1:8" ht="13.8" thickBot="1">
      <c r="A5309" s="467" t="s">
        <v>10516</v>
      </c>
      <c r="B5309" s="465" t="s">
        <v>3318</v>
      </c>
      <c r="C5309" s="466">
        <v>7.5</v>
      </c>
      <c r="D5309" s="465"/>
      <c r="E5309" s="466" t="s">
        <v>3315</v>
      </c>
      <c r="F5309" s="466"/>
      <c r="G5309" s="465">
        <v>2</v>
      </c>
      <c r="H5309" s="465">
        <v>2</v>
      </c>
    </row>
    <row r="5310" spans="1:8" ht="13.8" thickBot="1">
      <c r="A5310" s="465" t="s">
        <v>10517</v>
      </c>
      <c r="B5310" s="465" t="s">
        <v>3319</v>
      </c>
      <c r="C5310" s="466">
        <v>7.5</v>
      </c>
      <c r="D5310" s="465"/>
      <c r="E5310" s="466" t="s">
        <v>3315</v>
      </c>
      <c r="F5310" s="466"/>
      <c r="G5310" s="465"/>
      <c r="H5310" s="465">
        <v>1</v>
      </c>
    </row>
    <row r="5311" spans="1:8" ht="13.8" thickBot="1">
      <c r="A5311" s="467" t="s">
        <v>10518</v>
      </c>
      <c r="B5311" s="465" t="s">
        <v>3320</v>
      </c>
      <c r="C5311" s="466">
        <v>7.5</v>
      </c>
      <c r="D5311" s="465"/>
      <c r="E5311" s="466" t="s">
        <v>3315</v>
      </c>
      <c r="F5311" s="466"/>
      <c r="G5311" s="465"/>
      <c r="H5311" s="465"/>
    </row>
    <row r="5312" spans="1:8" ht="13.8" thickBot="1">
      <c r="A5312" s="465" t="s">
        <v>10519</v>
      </c>
      <c r="B5312" s="465" t="s">
        <v>3358</v>
      </c>
      <c r="C5312" s="466">
        <v>7.5</v>
      </c>
      <c r="D5312" s="467" t="s">
        <v>614</v>
      </c>
      <c r="E5312" s="466" t="s">
        <v>3351</v>
      </c>
      <c r="F5312" s="466" t="s">
        <v>1226</v>
      </c>
      <c r="G5312" s="465">
        <v>1</v>
      </c>
      <c r="H5312" s="465">
        <v>3</v>
      </c>
    </row>
    <row r="5313" spans="1:8" ht="13.8" thickBot="1">
      <c r="A5313" s="465" t="s">
        <v>10520</v>
      </c>
      <c r="B5313" s="465" t="s">
        <v>3359</v>
      </c>
      <c r="C5313" s="466">
        <v>7.5</v>
      </c>
      <c r="D5313" s="465"/>
      <c r="E5313" s="466" t="s">
        <v>3351</v>
      </c>
      <c r="F5313" s="466"/>
      <c r="G5313" s="465"/>
      <c r="H5313" s="465"/>
    </row>
    <row r="5314" spans="1:8" ht="13.8" thickBot="1">
      <c r="A5314" s="465" t="s">
        <v>10521</v>
      </c>
      <c r="B5314" s="465" t="s">
        <v>3360</v>
      </c>
      <c r="C5314" s="466">
        <v>7.5</v>
      </c>
      <c r="D5314" s="465"/>
      <c r="E5314" s="466" t="s">
        <v>3351</v>
      </c>
      <c r="F5314" s="466"/>
      <c r="G5314" s="465"/>
      <c r="H5314" s="465"/>
    </row>
    <row r="5315" spans="1:8" ht="13.8" thickBot="1">
      <c r="A5315" s="467" t="s">
        <v>10522</v>
      </c>
      <c r="B5315" s="465" t="s">
        <v>3398</v>
      </c>
      <c r="C5315" s="466">
        <v>7.5</v>
      </c>
      <c r="D5315" s="467" t="s">
        <v>3399</v>
      </c>
      <c r="E5315" s="466" t="s">
        <v>3400</v>
      </c>
      <c r="F5315" s="466"/>
      <c r="G5315" s="465">
        <v>1</v>
      </c>
      <c r="H5315" s="465">
        <v>1</v>
      </c>
    </row>
    <row r="5316" spans="1:8" ht="13.8" thickBot="1">
      <c r="A5316" s="465" t="s">
        <v>10523</v>
      </c>
      <c r="B5316" s="465" t="s">
        <v>3455</v>
      </c>
      <c r="C5316" s="466">
        <v>7.5</v>
      </c>
      <c r="D5316" s="467" t="s">
        <v>614</v>
      </c>
      <c r="E5316" s="466" t="s">
        <v>3452</v>
      </c>
      <c r="F5316" s="466" t="s">
        <v>1251</v>
      </c>
      <c r="G5316" s="465">
        <v>1</v>
      </c>
      <c r="H5316" s="465">
        <v>2</v>
      </c>
    </row>
    <row r="5317" spans="1:8" ht="13.8" thickBot="1">
      <c r="A5317" s="465" t="s">
        <v>10524</v>
      </c>
      <c r="B5317" s="465" t="s">
        <v>3456</v>
      </c>
      <c r="C5317" s="466">
        <v>7.5</v>
      </c>
      <c r="D5317" s="467" t="s">
        <v>614</v>
      </c>
      <c r="E5317" s="466" t="s">
        <v>3452</v>
      </c>
      <c r="F5317" s="466" t="s">
        <v>1220</v>
      </c>
      <c r="G5317" s="465">
        <v>2</v>
      </c>
      <c r="H5317" s="465">
        <v>3</v>
      </c>
    </row>
    <row r="5318" spans="1:8" ht="13.8" thickBot="1">
      <c r="A5318" s="465" t="s">
        <v>10525</v>
      </c>
      <c r="B5318" s="465" t="s">
        <v>3451</v>
      </c>
      <c r="C5318" s="466">
        <v>7.5</v>
      </c>
      <c r="D5318" s="465"/>
      <c r="E5318" s="466" t="s">
        <v>3452</v>
      </c>
      <c r="F5318" s="466"/>
      <c r="G5318" s="465"/>
      <c r="H5318" s="465">
        <v>1</v>
      </c>
    </row>
    <row r="5319" spans="1:8" ht="13.8" thickBot="1">
      <c r="A5319" s="465" t="s">
        <v>10526</v>
      </c>
      <c r="B5319" s="465" t="s">
        <v>3451</v>
      </c>
      <c r="C5319" s="466">
        <v>7.5</v>
      </c>
      <c r="D5319" s="465"/>
      <c r="E5319" s="466" t="s">
        <v>3452</v>
      </c>
      <c r="F5319" s="466"/>
      <c r="G5319" s="465"/>
      <c r="H5319" s="465">
        <v>3</v>
      </c>
    </row>
    <row r="5320" spans="1:8" ht="13.8" thickBot="1">
      <c r="A5320" s="467" t="s">
        <v>10527</v>
      </c>
      <c r="B5320" s="465" t="s">
        <v>3457</v>
      </c>
      <c r="C5320" s="466">
        <v>7.5</v>
      </c>
      <c r="D5320" s="465"/>
      <c r="E5320" s="466" t="s">
        <v>3452</v>
      </c>
      <c r="F5320" s="466"/>
      <c r="G5320" s="465"/>
      <c r="H5320" s="465"/>
    </row>
    <row r="5321" spans="1:8" ht="13.8" thickBot="1">
      <c r="A5321" s="465" t="s">
        <v>10528</v>
      </c>
      <c r="B5321" s="465" t="s">
        <v>3458</v>
      </c>
      <c r="C5321" s="466">
        <v>7.5</v>
      </c>
      <c r="D5321" s="465"/>
      <c r="E5321" s="466" t="s">
        <v>3452</v>
      </c>
      <c r="F5321" s="466"/>
      <c r="G5321" s="465"/>
      <c r="H5321" s="465">
        <v>1</v>
      </c>
    </row>
    <row r="5322" spans="1:8" ht="13.8" thickBot="1">
      <c r="A5322" s="465" t="s">
        <v>10529</v>
      </c>
      <c r="B5322" s="465" t="s">
        <v>3501</v>
      </c>
      <c r="C5322" s="466">
        <v>7.5</v>
      </c>
      <c r="D5322" s="465"/>
      <c r="E5322" s="466" t="s">
        <v>3496</v>
      </c>
      <c r="F5322" s="466" t="s">
        <v>1229</v>
      </c>
      <c r="G5322" s="465">
        <v>1</v>
      </c>
      <c r="H5322" s="465">
        <v>3</v>
      </c>
    </row>
    <row r="5323" spans="1:8" ht="13.8" thickBot="1">
      <c r="A5323" s="467" t="s">
        <v>10530</v>
      </c>
      <c r="B5323" s="465" t="s">
        <v>3528</v>
      </c>
      <c r="C5323" s="466">
        <v>7.5</v>
      </c>
      <c r="D5323" s="465"/>
      <c r="E5323" s="466" t="s">
        <v>3517</v>
      </c>
      <c r="F5323" s="466" t="s">
        <v>1226</v>
      </c>
      <c r="G5323" s="465"/>
      <c r="H5323" s="465">
        <v>2</v>
      </c>
    </row>
    <row r="5324" spans="1:8" ht="13.8" thickBot="1">
      <c r="A5324" s="467" t="s">
        <v>10531</v>
      </c>
      <c r="B5324" s="465" t="s">
        <v>3529</v>
      </c>
      <c r="C5324" s="466">
        <v>7.5</v>
      </c>
      <c r="D5324" s="467" t="s">
        <v>614</v>
      </c>
      <c r="E5324" s="466" t="s">
        <v>3517</v>
      </c>
      <c r="F5324" s="466" t="s">
        <v>1226</v>
      </c>
      <c r="G5324" s="465"/>
      <c r="H5324" s="465">
        <v>1</v>
      </c>
    </row>
    <row r="5325" spans="1:8" ht="13.8" thickBot="1">
      <c r="A5325" s="467" t="s">
        <v>10532</v>
      </c>
      <c r="B5325" s="465" t="s">
        <v>3530</v>
      </c>
      <c r="C5325" s="466">
        <v>7.5</v>
      </c>
      <c r="D5325" s="465"/>
      <c r="E5325" s="466" t="s">
        <v>3517</v>
      </c>
      <c r="F5325" s="466" t="s">
        <v>1226</v>
      </c>
      <c r="G5325" s="465"/>
      <c r="H5325" s="465">
        <v>2</v>
      </c>
    </row>
    <row r="5326" spans="1:8" ht="13.8" thickBot="1">
      <c r="A5326" s="467" t="s">
        <v>10533</v>
      </c>
      <c r="B5326" s="465" t="s">
        <v>3531</v>
      </c>
      <c r="C5326" s="466">
        <v>7.5</v>
      </c>
      <c r="D5326" s="467" t="s">
        <v>614</v>
      </c>
      <c r="E5326" s="466" t="s">
        <v>3517</v>
      </c>
      <c r="F5326" s="466" t="s">
        <v>1224</v>
      </c>
      <c r="G5326" s="465"/>
      <c r="H5326" s="465">
        <v>1</v>
      </c>
    </row>
    <row r="5327" spans="1:8" ht="13.8" thickBot="1">
      <c r="A5327" s="465" t="s">
        <v>10534</v>
      </c>
      <c r="B5327" s="465" t="s">
        <v>1452</v>
      </c>
      <c r="C5327" s="466">
        <v>7.5</v>
      </c>
      <c r="D5327" s="467" t="s">
        <v>614</v>
      </c>
      <c r="E5327" s="466" t="s">
        <v>3517</v>
      </c>
      <c r="F5327" s="466"/>
      <c r="G5327" s="465"/>
      <c r="H5327" s="465">
        <v>1</v>
      </c>
    </row>
    <row r="5328" spans="1:8" ht="13.8" thickBot="1">
      <c r="A5328" s="467" t="s">
        <v>10535</v>
      </c>
      <c r="B5328" s="465" t="s">
        <v>3532</v>
      </c>
      <c r="C5328" s="466">
        <v>7.5</v>
      </c>
      <c r="D5328" s="465"/>
      <c r="E5328" s="466" t="s">
        <v>3517</v>
      </c>
      <c r="F5328" s="466"/>
      <c r="G5328" s="465"/>
      <c r="H5328" s="465"/>
    </row>
    <row r="5329" spans="1:8" ht="13.8" thickBot="1">
      <c r="A5329" s="465" t="s">
        <v>10536</v>
      </c>
      <c r="B5329" s="465" t="s">
        <v>3533</v>
      </c>
      <c r="C5329" s="466">
        <v>7.5</v>
      </c>
      <c r="D5329" s="465"/>
      <c r="E5329" s="466" t="s">
        <v>3517</v>
      </c>
      <c r="F5329" s="466"/>
      <c r="G5329" s="465"/>
      <c r="H5329" s="465">
        <v>1</v>
      </c>
    </row>
    <row r="5330" spans="1:8" ht="13.8" thickBot="1">
      <c r="A5330" s="467" t="s">
        <v>10537</v>
      </c>
      <c r="B5330" s="465" t="s">
        <v>3533</v>
      </c>
      <c r="C5330" s="466">
        <v>7.5</v>
      </c>
      <c r="D5330" s="465"/>
      <c r="E5330" s="466" t="s">
        <v>3517</v>
      </c>
      <c r="F5330" s="466"/>
      <c r="G5330" s="465"/>
      <c r="H5330" s="465"/>
    </row>
    <row r="5331" spans="1:8" ht="13.8" thickBot="1">
      <c r="A5331" s="467" t="s">
        <v>10538</v>
      </c>
      <c r="B5331" s="465" t="s">
        <v>3534</v>
      </c>
      <c r="C5331" s="466">
        <v>7.5</v>
      </c>
      <c r="D5331" s="467" t="s">
        <v>614</v>
      </c>
      <c r="E5331" s="466" t="s">
        <v>3517</v>
      </c>
      <c r="F5331" s="466"/>
      <c r="G5331" s="465"/>
      <c r="H5331" s="465">
        <v>1</v>
      </c>
    </row>
    <row r="5332" spans="1:8" ht="13.8" thickBot="1">
      <c r="A5332" s="467" t="s">
        <v>10539</v>
      </c>
      <c r="B5332" s="465" t="s">
        <v>3535</v>
      </c>
      <c r="C5332" s="466">
        <v>7.5</v>
      </c>
      <c r="D5332" s="465"/>
      <c r="E5332" s="466" t="s">
        <v>3517</v>
      </c>
      <c r="F5332" s="466"/>
      <c r="G5332" s="465"/>
      <c r="H5332" s="465"/>
    </row>
    <row r="5333" spans="1:8" ht="13.8" thickBot="1">
      <c r="A5333" s="467" t="s">
        <v>10540</v>
      </c>
      <c r="B5333" s="465" t="s">
        <v>3643</v>
      </c>
      <c r="C5333" s="466">
        <v>7.5</v>
      </c>
      <c r="D5333" s="465" t="s">
        <v>3166</v>
      </c>
      <c r="E5333" s="466" t="s">
        <v>3641</v>
      </c>
      <c r="F5333" s="466"/>
      <c r="G5333" s="465"/>
      <c r="H5333" s="465"/>
    </row>
    <row r="5334" spans="1:8" ht="13.8" thickBot="1">
      <c r="A5334" s="467" t="s">
        <v>10541</v>
      </c>
      <c r="B5334" s="465" t="s">
        <v>3654</v>
      </c>
      <c r="C5334" s="466">
        <v>7.5</v>
      </c>
      <c r="D5334" s="465"/>
      <c r="E5334" s="466" t="s">
        <v>3652</v>
      </c>
      <c r="F5334" s="466" t="s">
        <v>1226</v>
      </c>
      <c r="G5334" s="465"/>
      <c r="H5334" s="465">
        <v>1</v>
      </c>
    </row>
    <row r="5335" spans="1:8" ht="13.8" thickBot="1">
      <c r="A5335" s="467" t="s">
        <v>10542</v>
      </c>
      <c r="B5335" s="465" t="s">
        <v>3655</v>
      </c>
      <c r="C5335" s="466">
        <v>7.5</v>
      </c>
      <c r="D5335" s="465"/>
      <c r="E5335" s="466" t="s">
        <v>3652</v>
      </c>
      <c r="F5335" s="466" t="s">
        <v>1224</v>
      </c>
      <c r="G5335" s="465">
        <v>1</v>
      </c>
      <c r="H5335" s="465">
        <v>1</v>
      </c>
    </row>
    <row r="5336" spans="1:8" ht="13.8" thickBot="1">
      <c r="A5336" s="465" t="s">
        <v>10543</v>
      </c>
      <c r="B5336" s="465" t="s">
        <v>1466</v>
      </c>
      <c r="C5336" s="466">
        <v>7.5</v>
      </c>
      <c r="D5336" s="465"/>
      <c r="E5336" s="466" t="s">
        <v>3652</v>
      </c>
      <c r="F5336" s="466"/>
      <c r="G5336" s="465"/>
      <c r="H5336" s="465">
        <v>1</v>
      </c>
    </row>
    <row r="5337" spans="1:8" ht="13.8" thickBot="1">
      <c r="A5337" s="467" t="s">
        <v>10544</v>
      </c>
      <c r="B5337" s="465" t="s">
        <v>1480</v>
      </c>
      <c r="C5337" s="466">
        <v>7.5</v>
      </c>
      <c r="D5337" s="467" t="s">
        <v>3580</v>
      </c>
      <c r="E5337" s="466" t="s">
        <v>3734</v>
      </c>
      <c r="F5337" s="466" t="s">
        <v>1226</v>
      </c>
      <c r="G5337" s="465"/>
      <c r="H5337" s="465"/>
    </row>
    <row r="5338" spans="1:8" ht="13.8" thickBot="1">
      <c r="A5338" s="467" t="s">
        <v>10545</v>
      </c>
      <c r="B5338" s="465" t="s">
        <v>3739</v>
      </c>
      <c r="C5338" s="466">
        <v>7.5</v>
      </c>
      <c r="D5338" s="465"/>
      <c r="E5338" s="466" t="s">
        <v>3734</v>
      </c>
      <c r="F5338" s="466" t="s">
        <v>1224</v>
      </c>
      <c r="G5338" s="465"/>
      <c r="H5338" s="465">
        <v>1</v>
      </c>
    </row>
    <row r="5339" spans="1:8" ht="13.8" thickBot="1">
      <c r="A5339" s="467" t="s">
        <v>10546</v>
      </c>
      <c r="B5339" s="465" t="s">
        <v>1480</v>
      </c>
      <c r="C5339" s="466">
        <v>7.5</v>
      </c>
      <c r="D5339" s="465"/>
      <c r="E5339" s="466" t="s">
        <v>3734</v>
      </c>
      <c r="F5339" s="466"/>
      <c r="G5339" s="465"/>
      <c r="H5339" s="465"/>
    </row>
    <row r="5340" spans="1:8" ht="13.8" thickBot="1">
      <c r="A5340" s="467" t="s">
        <v>10547</v>
      </c>
      <c r="B5340" s="465" t="s">
        <v>1487</v>
      </c>
      <c r="C5340" s="466">
        <v>7.5</v>
      </c>
      <c r="D5340" s="465"/>
      <c r="E5340" s="466" t="s">
        <v>3734</v>
      </c>
      <c r="F5340" s="466"/>
      <c r="G5340" s="465"/>
      <c r="H5340" s="465"/>
    </row>
    <row r="5341" spans="1:8" ht="13.8" thickBot="1">
      <c r="A5341" s="467" t="s">
        <v>10548</v>
      </c>
      <c r="B5341" s="465" t="s">
        <v>3740</v>
      </c>
      <c r="C5341" s="466">
        <v>7.5</v>
      </c>
      <c r="D5341" s="465"/>
      <c r="E5341" s="466" t="s">
        <v>3734</v>
      </c>
      <c r="F5341" s="466"/>
      <c r="G5341" s="465"/>
      <c r="H5341" s="465"/>
    </row>
    <row r="5342" spans="1:8" ht="13.8" thickBot="1">
      <c r="A5342" s="465" t="s">
        <v>10549</v>
      </c>
      <c r="B5342" s="465" t="s">
        <v>3814</v>
      </c>
      <c r="C5342" s="466">
        <v>7.5</v>
      </c>
      <c r="D5342" s="465"/>
      <c r="E5342" s="466" t="s">
        <v>3807</v>
      </c>
      <c r="F5342" s="466"/>
      <c r="G5342" s="465"/>
      <c r="H5342" s="465">
        <v>1</v>
      </c>
    </row>
    <row r="5343" spans="1:8" ht="13.8" thickBot="1">
      <c r="A5343" s="465" t="s">
        <v>10550</v>
      </c>
      <c r="B5343" s="465" t="s">
        <v>1507</v>
      </c>
      <c r="C5343" s="466">
        <v>7.5</v>
      </c>
      <c r="D5343" s="465"/>
      <c r="E5343" s="466" t="s">
        <v>3856</v>
      </c>
      <c r="F5343" s="466"/>
      <c r="G5343" s="465"/>
      <c r="H5343" s="465"/>
    </row>
    <row r="5344" spans="1:8" ht="13.8" thickBot="1">
      <c r="A5344" s="465" t="s">
        <v>10551</v>
      </c>
      <c r="B5344" s="465" t="s">
        <v>3904</v>
      </c>
      <c r="C5344" s="466">
        <v>7.5</v>
      </c>
      <c r="D5344" s="465"/>
      <c r="E5344" s="466" t="s">
        <v>3903</v>
      </c>
      <c r="F5344" s="466" t="s">
        <v>1251</v>
      </c>
      <c r="G5344" s="465">
        <v>3</v>
      </c>
      <c r="H5344" s="465">
        <v>3</v>
      </c>
    </row>
    <row r="5345" spans="1:8" ht="13.8" thickBot="1">
      <c r="A5345" s="467" t="s">
        <v>10552</v>
      </c>
      <c r="B5345" s="465" t="s">
        <v>3905</v>
      </c>
      <c r="C5345" s="466">
        <v>7.5</v>
      </c>
      <c r="D5345" s="465"/>
      <c r="E5345" s="466" t="s">
        <v>3903</v>
      </c>
      <c r="F5345" s="466" t="s">
        <v>1251</v>
      </c>
      <c r="G5345" s="465"/>
      <c r="H5345" s="465">
        <v>5</v>
      </c>
    </row>
    <row r="5346" spans="1:8" ht="13.8" thickBot="1">
      <c r="A5346" s="465" t="s">
        <v>10553</v>
      </c>
      <c r="B5346" s="465" t="s">
        <v>1519</v>
      </c>
      <c r="C5346" s="466">
        <v>7.5</v>
      </c>
      <c r="D5346" s="467" t="s">
        <v>614</v>
      </c>
      <c r="E5346" s="466" t="s">
        <v>3957</v>
      </c>
      <c r="F5346" s="466"/>
      <c r="G5346" s="465"/>
      <c r="H5346" s="465">
        <v>1</v>
      </c>
    </row>
    <row r="5347" spans="1:8" ht="13.8" thickBot="1">
      <c r="A5347" s="467" t="s">
        <v>10554</v>
      </c>
      <c r="B5347" s="465" t="s">
        <v>3968</v>
      </c>
      <c r="C5347" s="466">
        <v>7.5</v>
      </c>
      <c r="D5347" s="467" t="s">
        <v>614</v>
      </c>
      <c r="E5347" s="466" t="s">
        <v>3957</v>
      </c>
      <c r="F5347" s="466"/>
      <c r="G5347" s="465"/>
      <c r="H5347" s="465">
        <v>1</v>
      </c>
    </row>
    <row r="5348" spans="1:8" ht="13.8" thickBot="1">
      <c r="A5348" s="467" t="s">
        <v>10555</v>
      </c>
      <c r="B5348" s="465" t="s">
        <v>3969</v>
      </c>
      <c r="C5348" s="466">
        <v>7.5</v>
      </c>
      <c r="D5348" s="467" t="s">
        <v>614</v>
      </c>
      <c r="E5348" s="466" t="s">
        <v>3957</v>
      </c>
      <c r="F5348" s="466"/>
      <c r="G5348" s="465">
        <v>1</v>
      </c>
      <c r="H5348" s="465">
        <v>2</v>
      </c>
    </row>
    <row r="5349" spans="1:8" ht="13.8" thickBot="1">
      <c r="A5349" s="467" t="s">
        <v>10556</v>
      </c>
      <c r="B5349" s="465" t="s">
        <v>3970</v>
      </c>
      <c r="C5349" s="466">
        <v>7.5</v>
      </c>
      <c r="D5349" s="465"/>
      <c r="E5349" s="466" t="s">
        <v>3957</v>
      </c>
      <c r="F5349" s="466"/>
      <c r="G5349" s="465"/>
      <c r="H5349" s="465"/>
    </row>
    <row r="5350" spans="1:8" ht="13.8" thickBot="1">
      <c r="A5350" s="467" t="s">
        <v>10557</v>
      </c>
      <c r="B5350" s="465" t="s">
        <v>4048</v>
      </c>
      <c r="C5350" s="466">
        <v>7.5</v>
      </c>
      <c r="D5350" s="467" t="s">
        <v>4049</v>
      </c>
      <c r="E5350" s="466" t="s">
        <v>4046</v>
      </c>
      <c r="F5350" s="466" t="s">
        <v>1251</v>
      </c>
      <c r="G5350" s="465"/>
      <c r="H5350" s="465">
        <v>6</v>
      </c>
    </row>
    <row r="5351" spans="1:8" ht="13.8" thickBot="1">
      <c r="A5351" s="467" t="s">
        <v>10558</v>
      </c>
      <c r="B5351" s="465" t="s">
        <v>4050</v>
      </c>
      <c r="C5351" s="466">
        <v>7.5</v>
      </c>
      <c r="D5351" s="465"/>
      <c r="E5351" s="466" t="s">
        <v>4046</v>
      </c>
      <c r="F5351" s="466"/>
      <c r="G5351" s="465"/>
      <c r="H5351" s="465">
        <v>1</v>
      </c>
    </row>
    <row r="5352" spans="1:8" ht="13.8" thickBot="1">
      <c r="A5352" s="467" t="s">
        <v>10559</v>
      </c>
      <c r="B5352" s="465" t="s">
        <v>4051</v>
      </c>
      <c r="C5352" s="466">
        <v>7.5</v>
      </c>
      <c r="D5352" s="465"/>
      <c r="E5352" s="466" t="s">
        <v>4046</v>
      </c>
      <c r="F5352" s="466"/>
      <c r="G5352" s="465">
        <v>1</v>
      </c>
      <c r="H5352" s="465">
        <v>2</v>
      </c>
    </row>
    <row r="5353" spans="1:8" ht="13.8" thickBot="1">
      <c r="A5353" s="467" t="s">
        <v>10560</v>
      </c>
      <c r="B5353" s="468" t="s">
        <v>4070</v>
      </c>
      <c r="C5353" s="466">
        <v>7.5</v>
      </c>
      <c r="D5353" s="467" t="s">
        <v>614</v>
      </c>
      <c r="E5353" s="466" t="s">
        <v>4067</v>
      </c>
      <c r="F5353" s="466" t="s">
        <v>1229</v>
      </c>
      <c r="G5353" s="465"/>
      <c r="H5353" s="465">
        <v>7</v>
      </c>
    </row>
    <row r="5354" spans="1:8" ht="13.8" thickBot="1">
      <c r="A5354" s="467" t="s">
        <v>10561</v>
      </c>
      <c r="B5354" s="465" t="s">
        <v>1537</v>
      </c>
      <c r="C5354" s="466">
        <v>7.5</v>
      </c>
      <c r="D5354" s="465"/>
      <c r="E5354" s="466" t="s">
        <v>4067</v>
      </c>
      <c r="F5354" s="466"/>
      <c r="G5354" s="465"/>
      <c r="H5354" s="465">
        <v>1</v>
      </c>
    </row>
    <row r="5355" spans="1:8" ht="13.8" thickBot="1">
      <c r="A5355" s="465" t="s">
        <v>10562</v>
      </c>
      <c r="B5355" s="465" t="s">
        <v>4071</v>
      </c>
      <c r="C5355" s="466">
        <v>7.5</v>
      </c>
      <c r="D5355" s="465"/>
      <c r="E5355" s="466" t="s">
        <v>4067</v>
      </c>
      <c r="F5355" s="466"/>
      <c r="G5355" s="465"/>
      <c r="H5355" s="465">
        <v>1</v>
      </c>
    </row>
    <row r="5356" spans="1:8" ht="13.8" thickBot="1">
      <c r="A5356" s="467" t="s">
        <v>10563</v>
      </c>
      <c r="B5356" s="465" t="s">
        <v>4119</v>
      </c>
      <c r="C5356" s="466">
        <v>7.5</v>
      </c>
      <c r="D5356" s="467" t="s">
        <v>4120</v>
      </c>
      <c r="E5356" s="466" t="s">
        <v>4121</v>
      </c>
      <c r="F5356" s="466" t="s">
        <v>1226</v>
      </c>
      <c r="G5356" s="465"/>
      <c r="H5356" s="465">
        <v>1</v>
      </c>
    </row>
    <row r="5357" spans="1:8" ht="13.8" thickBot="1">
      <c r="A5357" s="467" t="s">
        <v>10564</v>
      </c>
      <c r="B5357" s="465" t="s">
        <v>4122</v>
      </c>
      <c r="C5357" s="466">
        <v>7.5</v>
      </c>
      <c r="D5357" s="465"/>
      <c r="E5357" s="466" t="s">
        <v>4121</v>
      </c>
      <c r="F5357" s="466"/>
      <c r="G5357" s="465">
        <v>1</v>
      </c>
      <c r="H5357" s="465">
        <v>1</v>
      </c>
    </row>
    <row r="5358" spans="1:8" ht="13.8" thickBot="1">
      <c r="A5358" s="465" t="s">
        <v>10565</v>
      </c>
      <c r="B5358" s="465" t="s">
        <v>4159</v>
      </c>
      <c r="C5358" s="466">
        <v>7.5</v>
      </c>
      <c r="D5358" s="465"/>
      <c r="E5358" s="466" t="s">
        <v>4160</v>
      </c>
      <c r="F5358" s="466"/>
      <c r="G5358" s="465"/>
      <c r="H5358" s="465">
        <v>1</v>
      </c>
    </row>
    <row r="5359" spans="1:8" ht="13.8" thickBot="1">
      <c r="A5359" s="465" t="s">
        <v>10566</v>
      </c>
      <c r="B5359" s="465" t="s">
        <v>4208</v>
      </c>
      <c r="C5359" s="466">
        <v>7.5</v>
      </c>
      <c r="D5359" s="465"/>
      <c r="E5359" s="466" t="s">
        <v>4204</v>
      </c>
      <c r="F5359" s="466" t="s">
        <v>1226</v>
      </c>
      <c r="G5359" s="465">
        <v>4</v>
      </c>
      <c r="H5359" s="465">
        <v>4</v>
      </c>
    </row>
    <row r="5360" spans="1:8" ht="13.8" thickBot="1">
      <c r="A5360" s="465" t="s">
        <v>10567</v>
      </c>
      <c r="B5360" s="465" t="s">
        <v>4222</v>
      </c>
      <c r="C5360" s="466">
        <v>7.5</v>
      </c>
      <c r="D5360" s="465"/>
      <c r="E5360" s="466" t="s">
        <v>4214</v>
      </c>
      <c r="F5360" s="466" t="s">
        <v>1226</v>
      </c>
      <c r="G5360" s="465"/>
      <c r="H5360" s="465">
        <v>1</v>
      </c>
    </row>
    <row r="5361" spans="1:8" ht="13.8" thickBot="1">
      <c r="A5361" s="465" t="s">
        <v>10568</v>
      </c>
      <c r="B5361" s="465" t="s">
        <v>1631</v>
      </c>
      <c r="C5361" s="466">
        <v>7.5</v>
      </c>
      <c r="D5361" s="465" t="s">
        <v>1096</v>
      </c>
      <c r="E5361" s="466" t="s">
        <v>4214</v>
      </c>
      <c r="F5361" s="466" t="s">
        <v>1224</v>
      </c>
      <c r="G5361" s="465"/>
      <c r="H5361" s="465">
        <v>1</v>
      </c>
    </row>
    <row r="5362" spans="1:8" ht="13.8" thickBot="1">
      <c r="A5362" s="467" t="s">
        <v>10569</v>
      </c>
      <c r="B5362" s="465" t="s">
        <v>1607</v>
      </c>
      <c r="C5362" s="466">
        <v>7.5</v>
      </c>
      <c r="D5362" s="465"/>
      <c r="E5362" s="466" t="s">
        <v>4214</v>
      </c>
      <c r="F5362" s="466"/>
      <c r="G5362" s="465"/>
      <c r="H5362" s="465"/>
    </row>
    <row r="5363" spans="1:8" ht="13.8" thickBot="1">
      <c r="A5363" s="467" t="s">
        <v>10570</v>
      </c>
      <c r="B5363" s="465" t="s">
        <v>4223</v>
      </c>
      <c r="C5363" s="466">
        <v>7.5</v>
      </c>
      <c r="D5363" s="467" t="s">
        <v>614</v>
      </c>
      <c r="E5363" s="466" t="s">
        <v>4214</v>
      </c>
      <c r="F5363" s="466"/>
      <c r="G5363" s="465">
        <v>1</v>
      </c>
      <c r="H5363" s="465">
        <v>2</v>
      </c>
    </row>
    <row r="5364" spans="1:8" ht="13.8" thickBot="1">
      <c r="A5364" s="467" t="s">
        <v>10571</v>
      </c>
      <c r="B5364" s="465" t="s">
        <v>4224</v>
      </c>
      <c r="C5364" s="466">
        <v>7.5</v>
      </c>
      <c r="D5364" s="465"/>
      <c r="E5364" s="466" t="s">
        <v>4214</v>
      </c>
      <c r="F5364" s="466"/>
      <c r="G5364" s="465"/>
      <c r="H5364" s="465"/>
    </row>
    <row r="5365" spans="1:8" ht="13.8" thickBot="1">
      <c r="A5365" s="467" t="s">
        <v>10572</v>
      </c>
      <c r="B5365" s="465" t="s">
        <v>4225</v>
      </c>
      <c r="C5365" s="466">
        <v>7.5</v>
      </c>
      <c r="D5365" s="465"/>
      <c r="E5365" s="466" t="s">
        <v>4214</v>
      </c>
      <c r="F5365" s="466"/>
      <c r="G5365" s="465"/>
      <c r="H5365" s="465"/>
    </row>
    <row r="5366" spans="1:8" ht="13.8" thickBot="1">
      <c r="A5366" s="465" t="s">
        <v>10573</v>
      </c>
      <c r="B5366" s="465" t="s">
        <v>4226</v>
      </c>
      <c r="C5366" s="466">
        <v>7.5</v>
      </c>
      <c r="D5366" s="465"/>
      <c r="E5366" s="466" t="s">
        <v>4214</v>
      </c>
      <c r="F5366" s="466"/>
      <c r="G5366" s="465"/>
      <c r="H5366" s="465"/>
    </row>
    <row r="5367" spans="1:8" ht="13.8" thickBot="1">
      <c r="A5367" s="465" t="s">
        <v>10574</v>
      </c>
      <c r="B5367" s="465" t="s">
        <v>4227</v>
      </c>
      <c r="C5367" s="466">
        <v>7.5</v>
      </c>
      <c r="D5367" s="465"/>
      <c r="E5367" s="466" t="s">
        <v>4214</v>
      </c>
      <c r="F5367" s="466"/>
      <c r="G5367" s="465"/>
      <c r="H5367" s="465">
        <v>1</v>
      </c>
    </row>
    <row r="5368" spans="1:8" ht="13.8" thickBot="1">
      <c r="A5368" s="467" t="s">
        <v>10445</v>
      </c>
      <c r="B5368" s="465" t="s">
        <v>2128</v>
      </c>
      <c r="C5368" s="466">
        <v>7.5</v>
      </c>
      <c r="D5368" s="465"/>
      <c r="E5368" s="466" t="s">
        <v>2123</v>
      </c>
      <c r="F5368" s="466"/>
      <c r="G5368" s="465"/>
      <c r="H5368" s="465"/>
    </row>
    <row r="5369" spans="1:8" ht="13.8" thickBot="1">
      <c r="A5369" s="467" t="s">
        <v>10446</v>
      </c>
      <c r="B5369" s="465" t="s">
        <v>2129</v>
      </c>
      <c r="C5369" s="466">
        <v>7.5</v>
      </c>
      <c r="D5369" s="465"/>
      <c r="E5369" s="466" t="s">
        <v>2123</v>
      </c>
      <c r="F5369" s="466"/>
      <c r="G5369" s="465">
        <v>1</v>
      </c>
      <c r="H5369" s="465">
        <v>2</v>
      </c>
    </row>
    <row r="5370" spans="1:8" ht="13.8" thickBot="1">
      <c r="A5370" s="467" t="s">
        <v>10447</v>
      </c>
      <c r="B5370" s="465" t="s">
        <v>2130</v>
      </c>
      <c r="C5370" s="466">
        <v>7.5</v>
      </c>
      <c r="D5370" s="465"/>
      <c r="E5370" s="466" t="s">
        <v>2123</v>
      </c>
      <c r="F5370" s="466"/>
      <c r="G5370" s="465"/>
      <c r="H5370" s="465">
        <v>1</v>
      </c>
    </row>
    <row r="5371" spans="1:8" ht="13.8" thickBot="1">
      <c r="A5371" s="465" t="s">
        <v>10448</v>
      </c>
      <c r="B5371" s="465" t="s">
        <v>2131</v>
      </c>
      <c r="C5371" s="466">
        <v>7.5</v>
      </c>
      <c r="D5371" s="465"/>
      <c r="E5371" s="466" t="s">
        <v>2123</v>
      </c>
      <c r="F5371" s="466"/>
      <c r="G5371" s="465"/>
      <c r="H5371" s="465"/>
    </row>
    <row r="5372" spans="1:8" ht="13.8" thickBot="1">
      <c r="A5372" s="467" t="s">
        <v>10449</v>
      </c>
      <c r="B5372" s="465" t="s">
        <v>2132</v>
      </c>
      <c r="C5372" s="466">
        <v>7.5</v>
      </c>
      <c r="D5372" s="465"/>
      <c r="E5372" s="466" t="s">
        <v>2123</v>
      </c>
      <c r="F5372" s="466"/>
      <c r="G5372" s="465"/>
      <c r="H5372" s="465"/>
    </row>
    <row r="5373" spans="1:8" ht="13.8" thickBot="1">
      <c r="A5373" s="467" t="s">
        <v>10575</v>
      </c>
      <c r="B5373" s="465" t="s">
        <v>4394</v>
      </c>
      <c r="C5373" s="466">
        <v>7.5</v>
      </c>
      <c r="D5373" s="465"/>
      <c r="E5373" s="466" t="s">
        <v>4395</v>
      </c>
      <c r="F5373" s="466" t="s">
        <v>1229</v>
      </c>
      <c r="G5373" s="465">
        <v>1</v>
      </c>
      <c r="H5373" s="465">
        <v>2</v>
      </c>
    </row>
    <row r="5374" spans="1:8" ht="13.8" thickBot="1">
      <c r="A5374" s="465" t="s">
        <v>10576</v>
      </c>
      <c r="B5374" s="465" t="s">
        <v>4404</v>
      </c>
      <c r="C5374" s="466">
        <v>7.5</v>
      </c>
      <c r="D5374" s="465"/>
      <c r="E5374" s="466" t="s">
        <v>4403</v>
      </c>
      <c r="F5374" s="466" t="s">
        <v>1229</v>
      </c>
      <c r="G5374" s="465">
        <v>4</v>
      </c>
      <c r="H5374" s="465">
        <v>5</v>
      </c>
    </row>
    <row r="5375" spans="1:8" ht="13.8" thickBot="1">
      <c r="A5375" s="465" t="s">
        <v>10577</v>
      </c>
      <c r="B5375" s="465" t="s">
        <v>1638</v>
      </c>
      <c r="C5375" s="466">
        <v>7.5</v>
      </c>
      <c r="D5375" s="465"/>
      <c r="E5375" s="466" t="s">
        <v>4438</v>
      </c>
      <c r="F5375" s="466" t="s">
        <v>1226</v>
      </c>
      <c r="G5375" s="465"/>
      <c r="H5375" s="465">
        <v>1</v>
      </c>
    </row>
    <row r="5376" spans="1:8" ht="13.8" thickBot="1">
      <c r="A5376" s="465" t="s">
        <v>10578</v>
      </c>
      <c r="B5376" s="465" t="s">
        <v>1638</v>
      </c>
      <c r="C5376" s="466">
        <v>7.5</v>
      </c>
      <c r="D5376" s="465"/>
      <c r="E5376" s="466" t="s">
        <v>4438</v>
      </c>
      <c r="F5376" s="466" t="s">
        <v>1226</v>
      </c>
      <c r="G5376" s="465"/>
      <c r="H5376" s="465">
        <v>2</v>
      </c>
    </row>
    <row r="5377" spans="1:8" ht="13.8" thickBot="1">
      <c r="A5377" s="467" t="s">
        <v>10579</v>
      </c>
      <c r="B5377" s="465" t="s">
        <v>1638</v>
      </c>
      <c r="C5377" s="466">
        <v>7.5</v>
      </c>
      <c r="D5377" s="465"/>
      <c r="E5377" s="466" t="s">
        <v>4438</v>
      </c>
      <c r="F5377" s="466" t="s">
        <v>1224</v>
      </c>
      <c r="G5377" s="465"/>
      <c r="H5377" s="465">
        <v>1</v>
      </c>
    </row>
    <row r="5378" spans="1:8" ht="13.8" thickBot="1">
      <c r="A5378" s="467" t="s">
        <v>10580</v>
      </c>
      <c r="B5378" s="465" t="s">
        <v>4443</v>
      </c>
      <c r="C5378" s="466">
        <v>7.5</v>
      </c>
      <c r="D5378" s="465"/>
      <c r="E5378" s="466" t="s">
        <v>4438</v>
      </c>
      <c r="F5378" s="466"/>
      <c r="G5378" s="465"/>
      <c r="H5378" s="465">
        <v>2</v>
      </c>
    </row>
    <row r="5379" spans="1:8" ht="13.8" thickBot="1">
      <c r="A5379" s="467" t="s">
        <v>10581</v>
      </c>
      <c r="B5379" s="465" t="s">
        <v>4510</v>
      </c>
      <c r="C5379" s="466">
        <v>7.5</v>
      </c>
      <c r="D5379" s="465"/>
      <c r="E5379" s="466" t="s">
        <v>4509</v>
      </c>
      <c r="F5379" s="466"/>
      <c r="G5379" s="465"/>
      <c r="H5379" s="465"/>
    </row>
    <row r="5380" spans="1:8" ht="13.8" thickBot="1">
      <c r="A5380" s="467" t="s">
        <v>10582</v>
      </c>
      <c r="B5380" s="465" t="s">
        <v>4511</v>
      </c>
      <c r="C5380" s="466">
        <v>7.5</v>
      </c>
      <c r="D5380" s="465"/>
      <c r="E5380" s="466" t="s">
        <v>4509</v>
      </c>
      <c r="F5380" s="466"/>
      <c r="G5380" s="465"/>
      <c r="H5380" s="465"/>
    </row>
    <row r="5381" spans="1:8" ht="13.8" thickBot="1">
      <c r="A5381" s="467" t="s">
        <v>10583</v>
      </c>
      <c r="B5381" s="465" t="s">
        <v>4512</v>
      </c>
      <c r="C5381" s="466">
        <v>7.5</v>
      </c>
      <c r="D5381" s="465"/>
      <c r="E5381" s="466" t="s">
        <v>4509</v>
      </c>
      <c r="F5381" s="466"/>
      <c r="G5381" s="465"/>
      <c r="H5381" s="465">
        <v>1</v>
      </c>
    </row>
    <row r="5382" spans="1:8" ht="13.8" thickBot="1">
      <c r="A5382" s="467" t="s">
        <v>10584</v>
      </c>
      <c r="B5382" s="465" t="s">
        <v>4598</v>
      </c>
      <c r="C5382" s="466">
        <v>7.5</v>
      </c>
      <c r="D5382" s="465"/>
      <c r="E5382" s="466" t="s">
        <v>4596</v>
      </c>
      <c r="F5382" s="466"/>
      <c r="G5382" s="465"/>
      <c r="H5382" s="465"/>
    </row>
    <row r="5383" spans="1:8" ht="13.8" thickBot="1">
      <c r="A5383" s="467" t="s">
        <v>10450</v>
      </c>
      <c r="B5383" s="465" t="s">
        <v>2154</v>
      </c>
      <c r="C5383" s="466">
        <v>7.5</v>
      </c>
      <c r="D5383" s="465"/>
      <c r="E5383" s="466" t="s">
        <v>2152</v>
      </c>
      <c r="F5383" s="466"/>
      <c r="G5383" s="465">
        <v>1</v>
      </c>
      <c r="H5383" s="465">
        <v>1</v>
      </c>
    </row>
    <row r="5384" spans="1:8" ht="13.8" thickBot="1">
      <c r="A5384" s="467" t="s">
        <v>10585</v>
      </c>
      <c r="B5384" s="465" t="s">
        <v>4627</v>
      </c>
      <c r="C5384" s="466">
        <v>7.5</v>
      </c>
      <c r="D5384" s="465"/>
      <c r="E5384" s="466" t="s">
        <v>4628</v>
      </c>
      <c r="F5384" s="466"/>
      <c r="G5384" s="465"/>
      <c r="H5384" s="465">
        <v>1</v>
      </c>
    </row>
    <row r="5385" spans="1:8" ht="13.8" thickBot="1">
      <c r="A5385" s="467" t="s">
        <v>10586</v>
      </c>
      <c r="B5385" s="465" t="s">
        <v>1678</v>
      </c>
      <c r="C5385" s="466">
        <v>7.5</v>
      </c>
      <c r="D5385" s="465"/>
      <c r="E5385" s="466" t="s">
        <v>4644</v>
      </c>
      <c r="F5385" s="466" t="s">
        <v>1226</v>
      </c>
      <c r="G5385" s="465"/>
      <c r="H5385" s="465">
        <v>1</v>
      </c>
    </row>
    <row r="5386" spans="1:8" ht="13.8" thickBot="1">
      <c r="A5386" s="467" t="s">
        <v>10587</v>
      </c>
      <c r="B5386" s="465" t="s">
        <v>4648</v>
      </c>
      <c r="C5386" s="466">
        <v>7.5</v>
      </c>
      <c r="D5386" s="465"/>
      <c r="E5386" s="466" t="s">
        <v>4644</v>
      </c>
      <c r="F5386" s="466"/>
      <c r="G5386" s="465"/>
      <c r="H5386" s="465"/>
    </row>
    <row r="5387" spans="1:8" ht="13.8" thickBot="1">
      <c r="A5387" s="465" t="s">
        <v>10588</v>
      </c>
      <c r="B5387" s="465" t="s">
        <v>4673</v>
      </c>
      <c r="C5387" s="466">
        <v>7.5</v>
      </c>
      <c r="D5387" s="465"/>
      <c r="E5387" s="466" t="s">
        <v>4672</v>
      </c>
      <c r="F5387" s="466"/>
      <c r="G5387" s="465">
        <v>2</v>
      </c>
      <c r="H5387" s="465">
        <v>2</v>
      </c>
    </row>
    <row r="5388" spans="1:8" ht="13.8" thickBot="1">
      <c r="A5388" s="465" t="s">
        <v>10589</v>
      </c>
      <c r="B5388" s="465" t="s">
        <v>4722</v>
      </c>
      <c r="C5388" s="466">
        <v>7.5</v>
      </c>
      <c r="D5388" s="465"/>
      <c r="E5388" s="466" t="s">
        <v>4717</v>
      </c>
      <c r="F5388" s="466" t="s">
        <v>1224</v>
      </c>
      <c r="G5388" s="465">
        <v>1</v>
      </c>
      <c r="H5388" s="465">
        <v>1</v>
      </c>
    </row>
    <row r="5389" spans="1:8" ht="13.8" thickBot="1">
      <c r="A5389" s="467" t="s">
        <v>10590</v>
      </c>
      <c r="B5389" s="465" t="s">
        <v>4718</v>
      </c>
      <c r="C5389" s="466">
        <v>7.5</v>
      </c>
      <c r="D5389" s="465"/>
      <c r="E5389" s="466" t="s">
        <v>4717</v>
      </c>
      <c r="F5389" s="466"/>
      <c r="G5389" s="465"/>
      <c r="H5389" s="465"/>
    </row>
    <row r="5390" spans="1:8" ht="13.8" thickBot="1">
      <c r="A5390" s="467" t="s">
        <v>10591</v>
      </c>
      <c r="B5390" s="465" t="s">
        <v>4755</v>
      </c>
      <c r="C5390" s="466">
        <v>7.5</v>
      </c>
      <c r="D5390" s="465"/>
      <c r="E5390" s="466" t="s">
        <v>4753</v>
      </c>
      <c r="F5390" s="466"/>
      <c r="G5390" s="465"/>
      <c r="H5390" s="465"/>
    </row>
    <row r="5391" spans="1:8" ht="13.8" thickBot="1">
      <c r="A5391" s="465" t="s">
        <v>10592</v>
      </c>
      <c r="B5391" s="465" t="s">
        <v>4774</v>
      </c>
      <c r="C5391" s="466">
        <v>7.5</v>
      </c>
      <c r="D5391" s="467" t="s">
        <v>614</v>
      </c>
      <c r="E5391" s="466" t="s">
        <v>4773</v>
      </c>
      <c r="F5391" s="466" t="s">
        <v>1226</v>
      </c>
      <c r="G5391" s="465"/>
      <c r="H5391" s="465">
        <v>1</v>
      </c>
    </row>
    <row r="5392" spans="1:8" ht="13.8" thickBot="1">
      <c r="A5392" s="465" t="s">
        <v>10624</v>
      </c>
      <c r="B5392" s="465" t="s">
        <v>2844</v>
      </c>
      <c r="C5392" s="466">
        <v>7.6</v>
      </c>
      <c r="D5392" s="465"/>
      <c r="E5392" s="466" t="s">
        <v>2841</v>
      </c>
      <c r="F5392" s="466"/>
      <c r="G5392" s="465">
        <v>1</v>
      </c>
      <c r="H5392" s="465">
        <v>1</v>
      </c>
    </row>
    <row r="5393" spans="1:8" ht="13.8" thickBot="1">
      <c r="A5393" s="465" t="s">
        <v>10625</v>
      </c>
      <c r="B5393" s="465" t="s">
        <v>1525</v>
      </c>
      <c r="C5393" s="466">
        <v>7.6</v>
      </c>
      <c r="D5393" s="465"/>
      <c r="E5393" s="466" t="s">
        <v>3996</v>
      </c>
      <c r="F5393" s="466"/>
      <c r="G5393" s="465"/>
      <c r="H5393" s="465"/>
    </row>
    <row r="5394" spans="1:8" ht="13.8" thickBot="1">
      <c r="A5394" s="467" t="s">
        <v>10626</v>
      </c>
      <c r="B5394" s="465" t="s">
        <v>4221</v>
      </c>
      <c r="C5394" s="466">
        <v>7.6</v>
      </c>
      <c r="D5394" s="465"/>
      <c r="E5394" s="466" t="s">
        <v>4214</v>
      </c>
      <c r="F5394" s="466" t="s">
        <v>1226</v>
      </c>
      <c r="G5394" s="465"/>
      <c r="H5394" s="465">
        <v>1</v>
      </c>
    </row>
    <row r="5395" spans="1:8" ht="13.8" thickBot="1">
      <c r="A5395" s="467" t="s">
        <v>10627</v>
      </c>
      <c r="B5395" s="468" t="s">
        <v>1806</v>
      </c>
      <c r="C5395" s="466">
        <v>7.75</v>
      </c>
      <c r="D5395" s="465"/>
      <c r="E5395" s="465" t="s">
        <v>1793</v>
      </c>
      <c r="F5395" s="466" t="s">
        <v>1251</v>
      </c>
      <c r="G5395" s="465"/>
      <c r="H5395" s="465">
        <v>1</v>
      </c>
    </row>
    <row r="5396" spans="1:8" ht="13.8" thickBot="1">
      <c r="A5396" s="465" t="s">
        <v>10628</v>
      </c>
      <c r="B5396" s="465" t="s">
        <v>1792</v>
      </c>
      <c r="C5396" s="466">
        <v>7.75</v>
      </c>
      <c r="D5396" s="465"/>
      <c r="E5396" s="466" t="s">
        <v>1793</v>
      </c>
      <c r="F5396" s="466"/>
      <c r="G5396" s="465">
        <v>1</v>
      </c>
      <c r="H5396" s="465">
        <v>1</v>
      </c>
    </row>
    <row r="5397" spans="1:8" ht="13.8" thickBot="1">
      <c r="A5397" s="467" t="s">
        <v>10665</v>
      </c>
      <c r="B5397" s="465" t="s">
        <v>4969</v>
      </c>
      <c r="C5397" s="466">
        <v>7.75</v>
      </c>
      <c r="D5397" s="465"/>
      <c r="E5397" s="466" t="s">
        <v>4970</v>
      </c>
      <c r="F5397" s="466"/>
      <c r="G5397" s="465"/>
      <c r="H5397" s="465"/>
    </row>
    <row r="5398" spans="1:8" ht="13.8" thickBot="1">
      <c r="A5398" s="465" t="s">
        <v>10666</v>
      </c>
      <c r="B5398" s="465" t="s">
        <v>5126</v>
      </c>
      <c r="C5398" s="466">
        <v>7.75</v>
      </c>
      <c r="D5398" s="465"/>
      <c r="E5398" s="466" t="s">
        <v>5125</v>
      </c>
      <c r="F5398" s="466" t="s">
        <v>1229</v>
      </c>
      <c r="G5398" s="465">
        <v>1</v>
      </c>
      <c r="H5398" s="465">
        <v>2</v>
      </c>
    </row>
    <row r="5399" spans="1:8" ht="13.8" thickBot="1">
      <c r="A5399" s="465" t="s">
        <v>10632</v>
      </c>
      <c r="B5399" s="465" t="s">
        <v>2301</v>
      </c>
      <c r="C5399" s="466">
        <v>7.75</v>
      </c>
      <c r="D5399" s="465"/>
      <c r="E5399" s="466" t="s">
        <v>2289</v>
      </c>
      <c r="F5399" s="466" t="s">
        <v>1226</v>
      </c>
      <c r="G5399" s="465"/>
      <c r="H5399" s="465">
        <v>1</v>
      </c>
    </row>
    <row r="5400" spans="1:8" ht="13.8" thickBot="1">
      <c r="A5400" s="467" t="s">
        <v>10633</v>
      </c>
      <c r="B5400" s="465" t="s">
        <v>2302</v>
      </c>
      <c r="C5400" s="466">
        <v>7.75</v>
      </c>
      <c r="D5400" s="465"/>
      <c r="E5400" s="466" t="s">
        <v>2289</v>
      </c>
      <c r="F5400" s="466" t="s">
        <v>1226</v>
      </c>
      <c r="G5400" s="465"/>
      <c r="H5400" s="465">
        <v>1</v>
      </c>
    </row>
    <row r="5401" spans="1:8" ht="13.8" thickBot="1">
      <c r="A5401" s="467" t="s">
        <v>10634</v>
      </c>
      <c r="B5401" s="465" t="s">
        <v>1726</v>
      </c>
      <c r="C5401" s="466">
        <v>7.75</v>
      </c>
      <c r="D5401" s="465"/>
      <c r="E5401" s="466" t="s">
        <v>2289</v>
      </c>
      <c r="F5401" s="466"/>
      <c r="G5401" s="465"/>
      <c r="H5401" s="465"/>
    </row>
    <row r="5402" spans="1:8" ht="13.8" thickBot="1">
      <c r="A5402" s="465" t="s">
        <v>10635</v>
      </c>
      <c r="B5402" s="465" t="s">
        <v>2525</v>
      </c>
      <c r="C5402" s="466">
        <v>7.75</v>
      </c>
      <c r="D5402" s="467" t="s">
        <v>614</v>
      </c>
      <c r="E5402" s="466" t="s">
        <v>2523</v>
      </c>
      <c r="F5402" s="466" t="s">
        <v>1229</v>
      </c>
      <c r="G5402" s="465">
        <v>2</v>
      </c>
      <c r="H5402" s="465">
        <v>5</v>
      </c>
    </row>
    <row r="5403" spans="1:8" ht="13.8" thickBot="1">
      <c r="A5403" s="465" t="s">
        <v>10636</v>
      </c>
      <c r="B5403" s="465" t="s">
        <v>2526</v>
      </c>
      <c r="C5403" s="466">
        <v>7.75</v>
      </c>
      <c r="D5403" s="465"/>
      <c r="E5403" s="466" t="s">
        <v>2523</v>
      </c>
      <c r="F5403" s="466"/>
      <c r="G5403" s="465"/>
      <c r="H5403" s="465">
        <v>1</v>
      </c>
    </row>
    <row r="5404" spans="1:8" ht="13.8" thickBot="1">
      <c r="A5404" s="467" t="s">
        <v>10629</v>
      </c>
      <c r="B5404" s="465" t="s">
        <v>1927</v>
      </c>
      <c r="C5404" s="466">
        <v>7.75</v>
      </c>
      <c r="D5404" s="465"/>
      <c r="E5404" s="466" t="s">
        <v>1922</v>
      </c>
      <c r="F5404" s="466"/>
      <c r="G5404" s="465">
        <v>1</v>
      </c>
      <c r="H5404" s="465">
        <v>2</v>
      </c>
    </row>
    <row r="5405" spans="1:8" ht="13.8" thickBot="1">
      <c r="A5405" s="465" t="s">
        <v>10630</v>
      </c>
      <c r="B5405" s="465" t="s">
        <v>1256</v>
      </c>
      <c r="C5405" s="466">
        <v>7.75</v>
      </c>
      <c r="D5405" s="465"/>
      <c r="E5405" s="466" t="s">
        <v>1922</v>
      </c>
      <c r="F5405" s="466"/>
      <c r="G5405" s="465"/>
      <c r="H5405" s="465"/>
    </row>
    <row r="5406" spans="1:8" ht="13.8" thickBot="1">
      <c r="A5406" s="465" t="s">
        <v>1084</v>
      </c>
      <c r="B5406" s="465" t="s">
        <v>2960</v>
      </c>
      <c r="C5406" s="466">
        <v>7.75</v>
      </c>
      <c r="D5406" s="465"/>
      <c r="E5406" s="466" t="s">
        <v>2957</v>
      </c>
      <c r="F5406" s="466"/>
      <c r="G5406" s="465"/>
      <c r="H5406" s="465"/>
    </row>
    <row r="5407" spans="1:8" ht="13.8" thickBot="1">
      <c r="A5407" s="465" t="s">
        <v>10637</v>
      </c>
      <c r="B5407" s="465" t="s">
        <v>3084</v>
      </c>
      <c r="C5407" s="466">
        <v>7.75</v>
      </c>
      <c r="D5407" s="465"/>
      <c r="E5407" s="466" t="s">
        <v>3085</v>
      </c>
      <c r="F5407" s="466" t="s">
        <v>1226</v>
      </c>
      <c r="G5407" s="465"/>
      <c r="H5407" s="465">
        <v>1</v>
      </c>
    </row>
    <row r="5408" spans="1:8" ht="13.8" thickBot="1">
      <c r="A5408" s="467" t="s">
        <v>10638</v>
      </c>
      <c r="B5408" s="465" t="s">
        <v>3134</v>
      </c>
      <c r="C5408" s="466">
        <v>7.75</v>
      </c>
      <c r="D5408" s="467" t="s">
        <v>614</v>
      </c>
      <c r="E5408" s="466" t="s">
        <v>3130</v>
      </c>
      <c r="F5408" s="466" t="s">
        <v>1229</v>
      </c>
      <c r="G5408" s="465"/>
      <c r="H5408" s="465">
        <v>3</v>
      </c>
    </row>
    <row r="5409" spans="1:8" ht="13.8" thickBot="1">
      <c r="A5409" s="467" t="s">
        <v>10639</v>
      </c>
      <c r="B5409" s="465" t="s">
        <v>1390</v>
      </c>
      <c r="C5409" s="466">
        <v>7.75</v>
      </c>
      <c r="D5409" s="465"/>
      <c r="E5409" s="466" t="s">
        <v>3161</v>
      </c>
      <c r="F5409" s="466"/>
      <c r="G5409" s="465"/>
      <c r="H5409" s="465"/>
    </row>
    <row r="5410" spans="1:8" ht="13.8" thickBot="1">
      <c r="A5410" s="465" t="s">
        <v>10640</v>
      </c>
      <c r="B5410" s="465" t="s">
        <v>1390</v>
      </c>
      <c r="C5410" s="466">
        <v>7.75</v>
      </c>
      <c r="D5410" s="465"/>
      <c r="E5410" s="466" t="s">
        <v>3161</v>
      </c>
      <c r="F5410" s="466"/>
      <c r="G5410" s="465"/>
      <c r="H5410" s="465"/>
    </row>
    <row r="5411" spans="1:8" ht="13.8" thickBot="1">
      <c r="A5411" s="467" t="s">
        <v>10641</v>
      </c>
      <c r="B5411" s="465" t="s">
        <v>1390</v>
      </c>
      <c r="C5411" s="466">
        <v>7.75</v>
      </c>
      <c r="D5411" s="465"/>
      <c r="E5411" s="466" t="s">
        <v>3161</v>
      </c>
      <c r="F5411" s="466"/>
      <c r="G5411" s="465"/>
      <c r="H5411" s="465"/>
    </row>
    <row r="5412" spans="1:8" ht="13.8" thickBot="1">
      <c r="A5412" s="465" t="s">
        <v>10642</v>
      </c>
      <c r="B5412" s="465" t="s">
        <v>3170</v>
      </c>
      <c r="C5412" s="466">
        <v>7.75</v>
      </c>
      <c r="D5412" s="465"/>
      <c r="E5412" s="466" t="s">
        <v>3161</v>
      </c>
      <c r="F5412" s="466"/>
      <c r="G5412" s="465"/>
      <c r="H5412" s="465"/>
    </row>
    <row r="5413" spans="1:8" ht="13.8" thickBot="1">
      <c r="A5413" s="467" t="s">
        <v>10643</v>
      </c>
      <c r="B5413" s="465" t="s">
        <v>3317</v>
      </c>
      <c r="C5413" s="466">
        <v>7.75</v>
      </c>
      <c r="D5413" s="465"/>
      <c r="E5413" s="466" t="s">
        <v>3315</v>
      </c>
      <c r="F5413" s="466"/>
      <c r="G5413" s="465"/>
      <c r="H5413" s="465"/>
    </row>
    <row r="5414" spans="1:8" ht="13.8" thickBot="1">
      <c r="A5414" s="465" t="s">
        <v>10644</v>
      </c>
      <c r="B5414" s="465" t="s">
        <v>1432</v>
      </c>
      <c r="C5414" s="466">
        <v>7.75</v>
      </c>
      <c r="D5414" s="465"/>
      <c r="E5414" s="466" t="s">
        <v>3315</v>
      </c>
      <c r="F5414" s="466"/>
      <c r="G5414" s="465"/>
      <c r="H5414" s="465"/>
    </row>
    <row r="5415" spans="1:8" ht="13.8" thickBot="1">
      <c r="A5415" s="467" t="s">
        <v>10645</v>
      </c>
      <c r="B5415" s="465" t="s">
        <v>3500</v>
      </c>
      <c r="C5415" s="466">
        <v>7.75</v>
      </c>
      <c r="D5415" s="465"/>
      <c r="E5415" s="466" t="s">
        <v>3496</v>
      </c>
      <c r="F5415" s="466"/>
      <c r="G5415" s="465"/>
      <c r="H5415" s="465"/>
    </row>
    <row r="5416" spans="1:8" ht="13.8" thickBot="1">
      <c r="A5416" s="467" t="s">
        <v>10646</v>
      </c>
      <c r="B5416" s="465" t="s">
        <v>3500</v>
      </c>
      <c r="C5416" s="466">
        <v>7.75</v>
      </c>
      <c r="D5416" s="465"/>
      <c r="E5416" s="466" t="s">
        <v>3496</v>
      </c>
      <c r="F5416" s="466"/>
      <c r="G5416" s="465"/>
      <c r="H5416" s="465"/>
    </row>
    <row r="5417" spans="1:8" ht="13.8" thickBot="1">
      <c r="A5417" s="465" t="s">
        <v>1113</v>
      </c>
      <c r="B5417" s="465" t="s">
        <v>3524</v>
      </c>
      <c r="C5417" s="466">
        <v>7.75</v>
      </c>
      <c r="D5417" s="467" t="s">
        <v>614</v>
      </c>
      <c r="E5417" s="466" t="s">
        <v>3517</v>
      </c>
      <c r="F5417" s="466"/>
      <c r="G5417" s="465"/>
      <c r="H5417" s="465"/>
    </row>
    <row r="5418" spans="1:8" ht="13.8" thickBot="1">
      <c r="A5418" s="465" t="s">
        <v>10647</v>
      </c>
      <c r="B5418" s="465" t="s">
        <v>3525</v>
      </c>
      <c r="C5418" s="466">
        <v>7.75</v>
      </c>
      <c r="D5418" s="465"/>
      <c r="E5418" s="466" t="s">
        <v>3517</v>
      </c>
      <c r="F5418" s="466"/>
      <c r="G5418" s="465"/>
      <c r="H5418" s="465"/>
    </row>
    <row r="5419" spans="1:8" ht="13.8" thickBot="1">
      <c r="A5419" s="465" t="s">
        <v>10648</v>
      </c>
      <c r="B5419" s="465" t="s">
        <v>3526</v>
      </c>
      <c r="C5419" s="466">
        <v>7.75</v>
      </c>
      <c r="D5419" s="467" t="s">
        <v>614</v>
      </c>
      <c r="E5419" s="466" t="s">
        <v>3517</v>
      </c>
      <c r="F5419" s="466"/>
      <c r="G5419" s="465">
        <v>2</v>
      </c>
      <c r="H5419" s="465">
        <v>2</v>
      </c>
    </row>
    <row r="5420" spans="1:8" ht="13.8" thickBot="1">
      <c r="A5420" s="465" t="s">
        <v>10649</v>
      </c>
      <c r="B5420" s="465" t="s">
        <v>3527</v>
      </c>
      <c r="C5420" s="466">
        <v>7.75</v>
      </c>
      <c r="D5420" s="465"/>
      <c r="E5420" s="466" t="s">
        <v>3517</v>
      </c>
      <c r="F5420" s="466"/>
      <c r="G5420" s="465"/>
      <c r="H5420" s="465"/>
    </row>
    <row r="5421" spans="1:8" ht="13.8" thickBot="1">
      <c r="A5421" s="465" t="s">
        <v>10650</v>
      </c>
      <c r="B5421" s="465" t="s">
        <v>3643</v>
      </c>
      <c r="C5421" s="466">
        <v>7.75</v>
      </c>
      <c r="D5421" s="465"/>
      <c r="E5421" s="466" t="s">
        <v>3641</v>
      </c>
      <c r="F5421" s="466"/>
      <c r="G5421" s="465"/>
      <c r="H5421" s="465"/>
    </row>
    <row r="5422" spans="1:8" ht="13.8" thickBot="1">
      <c r="A5422" s="467" t="s">
        <v>10651</v>
      </c>
      <c r="B5422" s="465" t="s">
        <v>1466</v>
      </c>
      <c r="C5422" s="466">
        <v>7.75</v>
      </c>
      <c r="D5422" s="465"/>
      <c r="E5422" s="466" t="s">
        <v>3652</v>
      </c>
      <c r="F5422" s="466"/>
      <c r="G5422" s="465"/>
      <c r="H5422" s="465"/>
    </row>
    <row r="5423" spans="1:8" ht="13.8" thickBot="1">
      <c r="A5423" s="465" t="s">
        <v>10652</v>
      </c>
      <c r="B5423" s="465" t="s">
        <v>1466</v>
      </c>
      <c r="C5423" s="466">
        <v>7.75</v>
      </c>
      <c r="D5423" s="465"/>
      <c r="E5423" s="466" t="s">
        <v>3652</v>
      </c>
      <c r="F5423" s="466"/>
      <c r="G5423" s="465"/>
      <c r="H5423" s="465">
        <v>1</v>
      </c>
    </row>
    <row r="5424" spans="1:8" ht="13.8" thickBot="1">
      <c r="A5424" s="465" t="s">
        <v>10653</v>
      </c>
      <c r="B5424" s="465" t="s">
        <v>1502</v>
      </c>
      <c r="C5424" s="466">
        <v>7.75</v>
      </c>
      <c r="D5424" s="465" t="s">
        <v>3812</v>
      </c>
      <c r="E5424" s="466" t="s">
        <v>3807</v>
      </c>
      <c r="F5424" s="466" t="s">
        <v>1251</v>
      </c>
      <c r="G5424" s="465"/>
      <c r="H5424" s="465">
        <v>3</v>
      </c>
    </row>
    <row r="5425" spans="1:8" ht="13.8" thickBot="1">
      <c r="A5425" s="465" t="s">
        <v>10654</v>
      </c>
      <c r="B5425" s="465" t="s">
        <v>3813</v>
      </c>
      <c r="C5425" s="466">
        <v>7.75</v>
      </c>
      <c r="D5425" s="465"/>
      <c r="E5425" s="466" t="s">
        <v>3807</v>
      </c>
      <c r="F5425" s="466"/>
      <c r="G5425" s="465"/>
      <c r="H5425" s="465"/>
    </row>
    <row r="5426" spans="1:8" ht="13.8" thickBot="1">
      <c r="A5426" s="465" t="s">
        <v>10655</v>
      </c>
      <c r="B5426" s="465" t="s">
        <v>1519</v>
      </c>
      <c r="C5426" s="466">
        <v>7.75</v>
      </c>
      <c r="D5426" s="465"/>
      <c r="E5426" s="466" t="s">
        <v>3957</v>
      </c>
      <c r="F5426" s="466" t="s">
        <v>1226</v>
      </c>
      <c r="G5426" s="465"/>
      <c r="H5426" s="465">
        <v>1</v>
      </c>
    </row>
    <row r="5427" spans="1:8" ht="13.8" thickBot="1">
      <c r="A5427" s="465" t="s">
        <v>10656</v>
      </c>
      <c r="B5427" s="465" t="s">
        <v>1525</v>
      </c>
      <c r="C5427" s="466">
        <v>7.75</v>
      </c>
      <c r="D5427" s="465"/>
      <c r="E5427" s="466" t="s">
        <v>3996</v>
      </c>
      <c r="F5427" s="466"/>
      <c r="G5427" s="465"/>
      <c r="H5427" s="465"/>
    </row>
    <row r="5428" spans="1:8" ht="13.8" thickBot="1">
      <c r="A5428" s="467" t="s">
        <v>10657</v>
      </c>
      <c r="B5428" s="465" t="s">
        <v>4139</v>
      </c>
      <c r="C5428" s="466">
        <v>7.75</v>
      </c>
      <c r="D5428" s="465"/>
      <c r="E5428" s="466" t="s">
        <v>4140</v>
      </c>
      <c r="F5428" s="466"/>
      <c r="G5428" s="465"/>
      <c r="H5428" s="465">
        <v>1</v>
      </c>
    </row>
    <row r="5429" spans="1:8" ht="13.8" thickBot="1">
      <c r="A5429" s="465" t="s">
        <v>10658</v>
      </c>
      <c r="B5429" s="465" t="s">
        <v>4206</v>
      </c>
      <c r="C5429" s="466">
        <v>7.75</v>
      </c>
      <c r="D5429" s="465"/>
      <c r="E5429" s="466" t="s">
        <v>4204</v>
      </c>
      <c r="F5429" s="466" t="s">
        <v>1229</v>
      </c>
      <c r="G5429" s="465">
        <v>1</v>
      </c>
      <c r="H5429" s="465">
        <v>2</v>
      </c>
    </row>
    <row r="5430" spans="1:8" ht="13.8" thickBot="1">
      <c r="A5430" s="467" t="s">
        <v>10659</v>
      </c>
      <c r="B5430" s="465" t="s">
        <v>4207</v>
      </c>
      <c r="C5430" s="466">
        <v>7.75</v>
      </c>
      <c r="D5430" s="465"/>
      <c r="E5430" s="466" t="s">
        <v>4204</v>
      </c>
      <c r="F5430" s="466"/>
      <c r="G5430" s="465"/>
      <c r="H5430" s="465"/>
    </row>
    <row r="5431" spans="1:8" ht="13.8" thickBot="1">
      <c r="A5431" s="465" t="s">
        <v>10660</v>
      </c>
      <c r="B5431" s="465" t="s">
        <v>1607</v>
      </c>
      <c r="C5431" s="466">
        <v>7.75</v>
      </c>
      <c r="D5431" s="465"/>
      <c r="E5431" s="466" t="s">
        <v>4214</v>
      </c>
      <c r="F5431" s="466"/>
      <c r="G5431" s="465"/>
      <c r="H5431" s="465"/>
    </row>
    <row r="5432" spans="1:8" ht="13.8" thickBot="1">
      <c r="A5432" s="465" t="s">
        <v>10631</v>
      </c>
      <c r="B5432" s="465" t="s">
        <v>2127</v>
      </c>
      <c r="C5432" s="466">
        <v>7.75</v>
      </c>
      <c r="D5432" s="465"/>
      <c r="E5432" s="466" t="s">
        <v>2123</v>
      </c>
      <c r="F5432" s="466" t="s">
        <v>1226</v>
      </c>
      <c r="G5432" s="465"/>
      <c r="H5432" s="465"/>
    </row>
    <row r="5433" spans="1:8" ht="13.8" thickBot="1">
      <c r="A5433" s="467" t="s">
        <v>10661</v>
      </c>
      <c r="B5433" s="465" t="s">
        <v>1638</v>
      </c>
      <c r="C5433" s="466">
        <v>7.75</v>
      </c>
      <c r="D5433" s="465"/>
      <c r="E5433" s="466" t="s">
        <v>4438</v>
      </c>
      <c r="F5433" s="466" t="s">
        <v>1226</v>
      </c>
      <c r="G5433" s="465"/>
      <c r="H5433" s="465">
        <v>1</v>
      </c>
    </row>
    <row r="5434" spans="1:8" ht="13.8" thickBot="1">
      <c r="A5434" s="467" t="s">
        <v>10662</v>
      </c>
      <c r="B5434" s="465" t="s">
        <v>4647</v>
      </c>
      <c r="C5434" s="466">
        <v>7.75</v>
      </c>
      <c r="D5434" s="465"/>
      <c r="E5434" s="466" t="s">
        <v>4644</v>
      </c>
      <c r="F5434" s="466"/>
      <c r="G5434" s="465"/>
      <c r="H5434" s="465"/>
    </row>
    <row r="5435" spans="1:8" ht="13.8" thickBot="1">
      <c r="A5435" s="467" t="s">
        <v>10663</v>
      </c>
      <c r="B5435" s="465" t="s">
        <v>1708</v>
      </c>
      <c r="C5435" s="466">
        <v>7.75</v>
      </c>
      <c r="D5435" s="465"/>
      <c r="E5435" s="466" t="s">
        <v>4672</v>
      </c>
      <c r="F5435" s="466"/>
      <c r="G5435" s="465">
        <v>2</v>
      </c>
      <c r="H5435" s="465">
        <v>2</v>
      </c>
    </row>
    <row r="5436" spans="1:8" ht="13.8" thickBot="1">
      <c r="A5436" s="467" t="s">
        <v>10664</v>
      </c>
      <c r="B5436" s="465" t="s">
        <v>4754</v>
      </c>
      <c r="C5436" s="466">
        <v>7.75</v>
      </c>
      <c r="D5436" s="465"/>
      <c r="E5436" s="466" t="s">
        <v>4753</v>
      </c>
      <c r="F5436" s="466" t="s">
        <v>1226</v>
      </c>
      <c r="G5436" s="465"/>
      <c r="H5436" s="465">
        <v>1</v>
      </c>
    </row>
    <row r="5437" spans="1:8" ht="13.8" thickBot="1">
      <c r="A5437" s="465" t="s">
        <v>10667</v>
      </c>
      <c r="B5437" s="465" t="s">
        <v>1797</v>
      </c>
      <c r="C5437" s="466">
        <v>8</v>
      </c>
      <c r="D5437" s="465"/>
      <c r="E5437" s="466" t="s">
        <v>1793</v>
      </c>
      <c r="F5437" s="466" t="s">
        <v>1226</v>
      </c>
      <c r="G5437" s="465"/>
      <c r="H5437" s="465">
        <v>1</v>
      </c>
    </row>
    <row r="5438" spans="1:8" ht="13.8" thickBot="1">
      <c r="A5438" s="465" t="s">
        <v>10668</v>
      </c>
      <c r="B5438" s="465" t="s">
        <v>1798</v>
      </c>
      <c r="C5438" s="466">
        <v>8</v>
      </c>
      <c r="D5438" s="465"/>
      <c r="E5438" s="466" t="s">
        <v>1793</v>
      </c>
      <c r="F5438" s="466" t="s">
        <v>1226</v>
      </c>
      <c r="G5438" s="465"/>
      <c r="H5438" s="465">
        <v>1</v>
      </c>
    </row>
    <row r="5439" spans="1:8" ht="13.8" thickBot="1">
      <c r="A5439" s="465" t="s">
        <v>1148</v>
      </c>
      <c r="B5439" s="465" t="s">
        <v>1792</v>
      </c>
      <c r="C5439" s="466">
        <v>8</v>
      </c>
      <c r="D5439" s="465"/>
      <c r="E5439" s="466" t="s">
        <v>1793</v>
      </c>
      <c r="F5439" s="466"/>
      <c r="G5439" s="465"/>
      <c r="H5439" s="465"/>
    </row>
    <row r="5440" spans="1:8" ht="13.8" thickBot="1">
      <c r="A5440" s="465" t="s">
        <v>10669</v>
      </c>
      <c r="B5440" s="465" t="s">
        <v>1799</v>
      </c>
      <c r="C5440" s="466">
        <v>8</v>
      </c>
      <c r="D5440" s="465"/>
      <c r="E5440" s="466" t="s">
        <v>1793</v>
      </c>
      <c r="F5440" s="466"/>
      <c r="G5440" s="465"/>
      <c r="H5440" s="465"/>
    </row>
    <row r="5441" spans="1:8" ht="13.8" thickBot="1">
      <c r="A5441" s="465" t="s">
        <v>1116</v>
      </c>
      <c r="B5441" s="465" t="s">
        <v>1800</v>
      </c>
      <c r="C5441" s="466">
        <v>8</v>
      </c>
      <c r="D5441" s="465"/>
      <c r="E5441" s="466" t="s">
        <v>1793</v>
      </c>
      <c r="F5441" s="466"/>
      <c r="G5441" s="465"/>
      <c r="H5441" s="465"/>
    </row>
    <row r="5442" spans="1:8" ht="13.8" thickBot="1">
      <c r="A5442" s="465" t="s">
        <v>1079</v>
      </c>
      <c r="B5442" s="465" t="s">
        <v>1801</v>
      </c>
      <c r="C5442" s="466">
        <v>8</v>
      </c>
      <c r="D5442" s="465"/>
      <c r="E5442" s="466" t="s">
        <v>1793</v>
      </c>
      <c r="F5442" s="466"/>
      <c r="G5442" s="465"/>
      <c r="H5442" s="465"/>
    </row>
    <row r="5443" spans="1:8" ht="13.8" thickBot="1">
      <c r="A5443" s="465" t="s">
        <v>1194</v>
      </c>
      <c r="B5443" s="465" t="s">
        <v>1802</v>
      </c>
      <c r="C5443" s="466">
        <v>8</v>
      </c>
      <c r="D5443" s="465"/>
      <c r="E5443" s="466" t="s">
        <v>1793</v>
      </c>
      <c r="F5443" s="466"/>
      <c r="G5443" s="465"/>
      <c r="H5443" s="465"/>
    </row>
    <row r="5444" spans="1:8" ht="13.8" thickBot="1">
      <c r="A5444" s="465" t="s">
        <v>10670</v>
      </c>
      <c r="B5444" s="465" t="s">
        <v>1803</v>
      </c>
      <c r="C5444" s="466">
        <v>8</v>
      </c>
      <c r="D5444" s="465"/>
      <c r="E5444" s="466" t="s">
        <v>1793</v>
      </c>
      <c r="F5444" s="466"/>
      <c r="G5444" s="465"/>
      <c r="H5444" s="465"/>
    </row>
    <row r="5445" spans="1:8" ht="13.8" thickBot="1">
      <c r="A5445" s="467" t="s">
        <v>10671</v>
      </c>
      <c r="B5445" s="465" t="s">
        <v>1804</v>
      </c>
      <c r="C5445" s="466">
        <v>8</v>
      </c>
      <c r="D5445" s="465"/>
      <c r="E5445" s="466" t="s">
        <v>1793</v>
      </c>
      <c r="F5445" s="466"/>
      <c r="G5445" s="465"/>
      <c r="H5445" s="465"/>
    </row>
    <row r="5446" spans="1:8" ht="13.8" thickBot="1">
      <c r="A5446" s="467" t="s">
        <v>10672</v>
      </c>
      <c r="B5446" s="465" t="s">
        <v>1805</v>
      </c>
      <c r="C5446" s="466">
        <v>8</v>
      </c>
      <c r="D5446" s="465"/>
      <c r="E5446" s="466" t="s">
        <v>1793</v>
      </c>
      <c r="F5446" s="466"/>
      <c r="G5446" s="465"/>
      <c r="H5446" s="465">
        <v>1</v>
      </c>
    </row>
    <row r="5447" spans="1:8" ht="13.8" thickBot="1">
      <c r="A5447" s="465" t="s">
        <v>10766</v>
      </c>
      <c r="B5447" s="465" t="s">
        <v>4849</v>
      </c>
      <c r="C5447" s="466">
        <v>8</v>
      </c>
      <c r="D5447" s="465"/>
      <c r="E5447" s="466" t="s">
        <v>4850</v>
      </c>
      <c r="F5447" s="466" t="s">
        <v>1224</v>
      </c>
      <c r="G5447" s="465"/>
      <c r="H5447" s="465">
        <v>1</v>
      </c>
    </row>
    <row r="5448" spans="1:8" ht="13.8" thickBot="1">
      <c r="A5448" s="467" t="s">
        <v>10767</v>
      </c>
      <c r="B5448" s="465" t="s">
        <v>4851</v>
      </c>
      <c r="C5448" s="466">
        <v>8</v>
      </c>
      <c r="D5448" s="465"/>
      <c r="E5448" s="466" t="s">
        <v>4850</v>
      </c>
      <c r="F5448" s="466"/>
      <c r="G5448" s="465"/>
      <c r="H5448" s="465"/>
    </row>
    <row r="5449" spans="1:8" ht="13.8" thickBot="1">
      <c r="A5449" s="467" t="s">
        <v>10768</v>
      </c>
      <c r="B5449" s="468" t="s">
        <v>4864</v>
      </c>
      <c r="C5449" s="466">
        <v>8</v>
      </c>
      <c r="D5449" s="465"/>
      <c r="E5449" s="466" t="s">
        <v>4865</v>
      </c>
      <c r="F5449" s="466" t="s">
        <v>1251</v>
      </c>
      <c r="G5449" s="465"/>
      <c r="H5449" s="465">
        <v>2</v>
      </c>
    </row>
    <row r="5450" spans="1:8" ht="13.8" thickBot="1">
      <c r="A5450" s="467" t="s">
        <v>10769</v>
      </c>
      <c r="B5450" s="465" t="s">
        <v>4866</v>
      </c>
      <c r="C5450" s="466">
        <v>8</v>
      </c>
      <c r="D5450" s="465"/>
      <c r="E5450" s="466" t="s">
        <v>4865</v>
      </c>
      <c r="F5450" s="466" t="s">
        <v>1226</v>
      </c>
      <c r="G5450" s="465"/>
      <c r="H5450" s="465">
        <v>2</v>
      </c>
    </row>
    <row r="5451" spans="1:8" ht="13.8" thickBot="1">
      <c r="A5451" s="467" t="s">
        <v>10770</v>
      </c>
      <c r="B5451" s="465" t="s">
        <v>4867</v>
      </c>
      <c r="C5451" s="466">
        <v>8</v>
      </c>
      <c r="D5451" s="467" t="s">
        <v>614</v>
      </c>
      <c r="E5451" s="466" t="s">
        <v>4865</v>
      </c>
      <c r="F5451" s="466"/>
      <c r="G5451" s="465"/>
      <c r="H5451" s="465">
        <v>1</v>
      </c>
    </row>
    <row r="5452" spans="1:8" ht="13.8" thickBot="1">
      <c r="A5452" s="467" t="s">
        <v>10771</v>
      </c>
      <c r="B5452" s="465" t="s">
        <v>4867</v>
      </c>
      <c r="C5452" s="466">
        <v>8</v>
      </c>
      <c r="D5452" s="465"/>
      <c r="E5452" s="466" t="s">
        <v>4865</v>
      </c>
      <c r="F5452" s="466"/>
      <c r="G5452" s="465"/>
      <c r="H5452" s="465"/>
    </row>
    <row r="5453" spans="1:8" ht="13.8" thickBot="1">
      <c r="A5453" s="467" t="s">
        <v>10772</v>
      </c>
      <c r="B5453" s="465" t="s">
        <v>4868</v>
      </c>
      <c r="C5453" s="466">
        <v>8</v>
      </c>
      <c r="D5453" s="467" t="s">
        <v>4869</v>
      </c>
      <c r="E5453" s="466" t="s">
        <v>4865</v>
      </c>
      <c r="F5453" s="466"/>
      <c r="G5453" s="465"/>
      <c r="H5453" s="465"/>
    </row>
    <row r="5454" spans="1:8" ht="13.8" thickBot="1">
      <c r="A5454" s="467" t="s">
        <v>10773</v>
      </c>
      <c r="B5454" s="465" t="s">
        <v>4870</v>
      </c>
      <c r="C5454" s="466">
        <v>8</v>
      </c>
      <c r="D5454" s="465"/>
      <c r="E5454" s="466" t="s">
        <v>4865</v>
      </c>
      <c r="F5454" s="466"/>
      <c r="G5454" s="465">
        <v>1</v>
      </c>
      <c r="H5454" s="465">
        <v>2</v>
      </c>
    </row>
    <row r="5455" spans="1:8" ht="13.8" thickBot="1">
      <c r="A5455" s="467" t="s">
        <v>10774</v>
      </c>
      <c r="B5455" s="465" t="s">
        <v>4871</v>
      </c>
      <c r="C5455" s="466">
        <v>8</v>
      </c>
      <c r="D5455" s="465"/>
      <c r="E5455" s="466" t="s">
        <v>4865</v>
      </c>
      <c r="F5455" s="466"/>
      <c r="G5455" s="465"/>
      <c r="H5455" s="465"/>
    </row>
    <row r="5456" spans="1:8" ht="13.8" thickBot="1">
      <c r="A5456" s="465" t="s">
        <v>10775</v>
      </c>
      <c r="B5456" s="465" t="s">
        <v>5124</v>
      </c>
      <c r="C5456" s="466">
        <v>8</v>
      </c>
      <c r="D5456" s="465"/>
      <c r="E5456" s="466" t="s">
        <v>5125</v>
      </c>
      <c r="F5456" s="466" t="s">
        <v>1226</v>
      </c>
      <c r="G5456" s="465"/>
      <c r="H5456" s="465">
        <v>1</v>
      </c>
    </row>
    <row r="5457" spans="1:8" ht="13.8" thickBot="1">
      <c r="A5457" s="467" t="s">
        <v>10776</v>
      </c>
      <c r="B5457" s="465" t="s">
        <v>1536</v>
      </c>
      <c r="C5457" s="466">
        <v>8</v>
      </c>
      <c r="D5457" s="465"/>
      <c r="E5457" s="466" t="s">
        <v>5125</v>
      </c>
      <c r="F5457" s="466"/>
      <c r="G5457" s="465">
        <v>1</v>
      </c>
      <c r="H5457" s="465">
        <v>1</v>
      </c>
    </row>
    <row r="5458" spans="1:8" ht="13.8" thickBot="1">
      <c r="A5458" s="465" t="s">
        <v>10777</v>
      </c>
      <c r="B5458" s="465" t="s">
        <v>1700</v>
      </c>
      <c r="C5458" s="466">
        <v>8</v>
      </c>
      <c r="D5458" s="465"/>
      <c r="E5458" s="466" t="s">
        <v>5139</v>
      </c>
      <c r="F5458" s="466"/>
      <c r="G5458" s="465"/>
      <c r="H5458" s="465"/>
    </row>
    <row r="5459" spans="1:8" ht="13.8" thickBot="1">
      <c r="A5459" s="467" t="s">
        <v>10778</v>
      </c>
      <c r="B5459" s="465" t="s">
        <v>5154</v>
      </c>
      <c r="C5459" s="466">
        <v>8</v>
      </c>
      <c r="D5459" s="465"/>
      <c r="E5459" s="466" t="s">
        <v>5155</v>
      </c>
      <c r="F5459" s="466"/>
      <c r="G5459" s="465"/>
      <c r="H5459" s="465">
        <v>1</v>
      </c>
    </row>
    <row r="5460" spans="1:8" ht="13.8" thickBot="1">
      <c r="A5460" s="467" t="s">
        <v>10779</v>
      </c>
      <c r="B5460" s="465" t="s">
        <v>5156</v>
      </c>
      <c r="C5460" s="466">
        <v>8</v>
      </c>
      <c r="D5460" s="465"/>
      <c r="E5460" s="466" t="s">
        <v>5155</v>
      </c>
      <c r="F5460" s="466"/>
      <c r="G5460" s="465"/>
      <c r="H5460" s="465">
        <v>1</v>
      </c>
    </row>
    <row r="5461" spans="1:8" ht="13.8" thickBot="1">
      <c r="A5461" s="467" t="s">
        <v>10780</v>
      </c>
      <c r="B5461" s="465" t="s">
        <v>5157</v>
      </c>
      <c r="C5461" s="466">
        <v>8</v>
      </c>
      <c r="D5461" s="465"/>
      <c r="E5461" s="466" t="s">
        <v>5155</v>
      </c>
      <c r="F5461" s="466"/>
      <c r="G5461" s="465"/>
      <c r="H5461" s="465">
        <v>1</v>
      </c>
    </row>
    <row r="5462" spans="1:8" ht="13.8" thickBot="1">
      <c r="A5462" s="467" t="s">
        <v>10781</v>
      </c>
      <c r="B5462" s="465" t="s">
        <v>5158</v>
      </c>
      <c r="C5462" s="466">
        <v>8</v>
      </c>
      <c r="D5462" s="465"/>
      <c r="E5462" s="466" t="s">
        <v>5155</v>
      </c>
      <c r="F5462" s="466"/>
      <c r="G5462" s="465">
        <v>1</v>
      </c>
      <c r="H5462" s="465">
        <v>2</v>
      </c>
    </row>
    <row r="5463" spans="1:8" ht="13.8" thickBot="1">
      <c r="A5463" s="467" t="s">
        <v>10782</v>
      </c>
      <c r="B5463" s="465" t="s">
        <v>5159</v>
      </c>
      <c r="C5463" s="466">
        <v>8</v>
      </c>
      <c r="D5463" s="465"/>
      <c r="E5463" s="466" t="s">
        <v>5155</v>
      </c>
      <c r="F5463" s="466"/>
      <c r="G5463" s="465"/>
      <c r="H5463" s="465"/>
    </row>
    <row r="5464" spans="1:8" ht="13.8" thickBot="1">
      <c r="A5464" s="467" t="s">
        <v>10783</v>
      </c>
      <c r="B5464" s="465" t="s">
        <v>5160</v>
      </c>
      <c r="C5464" s="466">
        <v>8</v>
      </c>
      <c r="D5464" s="465"/>
      <c r="E5464" s="466" t="s">
        <v>5155</v>
      </c>
      <c r="F5464" s="466"/>
      <c r="G5464" s="465"/>
      <c r="H5464" s="465">
        <v>1</v>
      </c>
    </row>
    <row r="5465" spans="1:8" ht="13.8" thickBot="1">
      <c r="A5465" s="465" t="s">
        <v>10784</v>
      </c>
      <c r="B5465" s="465" t="s">
        <v>5195</v>
      </c>
      <c r="C5465" s="466">
        <v>8</v>
      </c>
      <c r="D5465" s="465"/>
      <c r="E5465" s="466" t="s">
        <v>5196</v>
      </c>
      <c r="F5465" s="466"/>
      <c r="G5465" s="465"/>
      <c r="H5465" s="465">
        <v>3</v>
      </c>
    </row>
    <row r="5466" spans="1:8" ht="13.8" thickBot="1">
      <c r="A5466" s="465" t="s">
        <v>10785</v>
      </c>
      <c r="B5466" s="465" t="s">
        <v>5195</v>
      </c>
      <c r="C5466" s="466">
        <v>8</v>
      </c>
      <c r="D5466" s="465"/>
      <c r="E5466" s="466" t="s">
        <v>5196</v>
      </c>
      <c r="F5466" s="466"/>
      <c r="G5466" s="465"/>
      <c r="H5466" s="465"/>
    </row>
    <row r="5467" spans="1:8" ht="13.8" thickBot="1">
      <c r="A5467" s="467" t="s">
        <v>10786</v>
      </c>
      <c r="B5467" s="465" t="s">
        <v>5199</v>
      </c>
      <c r="C5467" s="466">
        <v>8</v>
      </c>
      <c r="D5467" s="465"/>
      <c r="E5467" s="466" t="s">
        <v>5196</v>
      </c>
      <c r="F5467" s="466"/>
      <c r="G5467" s="465"/>
      <c r="H5467" s="465">
        <v>2</v>
      </c>
    </row>
    <row r="5468" spans="1:8" ht="13.8" thickBot="1">
      <c r="A5468" s="467" t="s">
        <v>10787</v>
      </c>
      <c r="B5468" s="465" t="s">
        <v>5200</v>
      </c>
      <c r="C5468" s="466">
        <v>8</v>
      </c>
      <c r="D5468" s="465"/>
      <c r="E5468" s="466" t="s">
        <v>5196</v>
      </c>
      <c r="F5468" s="466"/>
      <c r="G5468" s="465"/>
      <c r="H5468" s="465"/>
    </row>
    <row r="5469" spans="1:8" ht="13.8" thickBot="1">
      <c r="A5469" s="465" t="s">
        <v>10682</v>
      </c>
      <c r="B5469" s="468" t="s">
        <v>1726</v>
      </c>
      <c r="C5469" s="466">
        <v>8</v>
      </c>
      <c r="D5469" s="465"/>
      <c r="E5469" s="466" t="s">
        <v>2289</v>
      </c>
      <c r="F5469" s="466" t="s">
        <v>1226</v>
      </c>
      <c r="G5469" s="465"/>
      <c r="H5469" s="465">
        <v>2</v>
      </c>
    </row>
    <row r="5470" spans="1:8" ht="13.8" thickBot="1">
      <c r="A5470" s="467" t="s">
        <v>10683</v>
      </c>
      <c r="B5470" s="465" t="s">
        <v>1726</v>
      </c>
      <c r="C5470" s="466">
        <v>8</v>
      </c>
      <c r="D5470" s="465"/>
      <c r="E5470" s="466" t="s">
        <v>2289</v>
      </c>
      <c r="F5470" s="466" t="s">
        <v>1226</v>
      </c>
      <c r="G5470" s="465"/>
      <c r="H5470" s="465">
        <v>1</v>
      </c>
    </row>
    <row r="5471" spans="1:8" ht="13.8" thickBot="1">
      <c r="A5471" s="467" t="s">
        <v>10684</v>
      </c>
      <c r="B5471" s="465" t="s">
        <v>2293</v>
      </c>
      <c r="C5471" s="466">
        <v>8</v>
      </c>
      <c r="D5471" s="465"/>
      <c r="E5471" s="466" t="s">
        <v>2289</v>
      </c>
      <c r="F5471" s="466" t="s">
        <v>1226</v>
      </c>
      <c r="G5471" s="465"/>
      <c r="H5471" s="465">
        <v>1</v>
      </c>
    </row>
    <row r="5472" spans="1:8" ht="13.8" thickBot="1">
      <c r="A5472" s="465" t="s">
        <v>10685</v>
      </c>
      <c r="B5472" s="465" t="s">
        <v>2294</v>
      </c>
      <c r="C5472" s="466">
        <v>8</v>
      </c>
      <c r="D5472" s="465"/>
      <c r="E5472" s="466" t="s">
        <v>2289</v>
      </c>
      <c r="F5472" s="466" t="s">
        <v>1226</v>
      </c>
      <c r="G5472" s="465"/>
      <c r="H5472" s="465">
        <v>1</v>
      </c>
    </row>
    <row r="5473" spans="1:8" ht="13.8" thickBot="1">
      <c r="A5473" s="467" t="s">
        <v>10686</v>
      </c>
      <c r="B5473" s="465" t="s">
        <v>2295</v>
      </c>
      <c r="C5473" s="466">
        <v>8</v>
      </c>
      <c r="D5473" s="465"/>
      <c r="E5473" s="466" t="s">
        <v>2289</v>
      </c>
      <c r="F5473" s="466" t="s">
        <v>1224</v>
      </c>
      <c r="G5473" s="465"/>
      <c r="H5473" s="465">
        <v>3</v>
      </c>
    </row>
    <row r="5474" spans="1:8" ht="13.8" thickBot="1">
      <c r="A5474" s="465" t="s">
        <v>10687</v>
      </c>
      <c r="B5474" s="465" t="s">
        <v>2296</v>
      </c>
      <c r="C5474" s="466">
        <v>8</v>
      </c>
      <c r="D5474" s="465"/>
      <c r="E5474" s="466" t="s">
        <v>2289</v>
      </c>
      <c r="F5474" s="466" t="s">
        <v>1224</v>
      </c>
      <c r="G5474" s="465"/>
      <c r="H5474" s="465">
        <v>1</v>
      </c>
    </row>
    <row r="5475" spans="1:8" ht="13.8" thickBot="1">
      <c r="A5475" s="467" t="s">
        <v>10688</v>
      </c>
      <c r="B5475" s="465" t="s">
        <v>1726</v>
      </c>
      <c r="C5475" s="466">
        <v>8</v>
      </c>
      <c r="D5475" s="465"/>
      <c r="E5475" s="466" t="s">
        <v>2289</v>
      </c>
      <c r="F5475" s="466"/>
      <c r="G5475" s="465"/>
      <c r="H5475" s="465"/>
    </row>
    <row r="5476" spans="1:8" ht="13.8" thickBot="1">
      <c r="A5476" s="467" t="s">
        <v>10689</v>
      </c>
      <c r="B5476" s="465" t="s">
        <v>2297</v>
      </c>
      <c r="C5476" s="466">
        <v>8</v>
      </c>
      <c r="D5476" s="465"/>
      <c r="E5476" s="466" t="s">
        <v>2289</v>
      </c>
      <c r="F5476" s="466"/>
      <c r="G5476" s="465"/>
      <c r="H5476" s="465">
        <v>3</v>
      </c>
    </row>
    <row r="5477" spans="1:8" ht="13.8" thickBot="1">
      <c r="A5477" s="467" t="s">
        <v>10690</v>
      </c>
      <c r="B5477" s="465" t="s">
        <v>2298</v>
      </c>
      <c r="C5477" s="466">
        <v>8</v>
      </c>
      <c r="D5477" s="465"/>
      <c r="E5477" s="466" t="s">
        <v>2289</v>
      </c>
      <c r="F5477" s="466"/>
      <c r="G5477" s="465"/>
      <c r="H5477" s="465"/>
    </row>
    <row r="5478" spans="1:8" ht="13.8" thickBot="1">
      <c r="A5478" s="467" t="s">
        <v>10691</v>
      </c>
      <c r="B5478" s="465" t="s">
        <v>2299</v>
      </c>
      <c r="C5478" s="466">
        <v>8</v>
      </c>
      <c r="D5478" s="465"/>
      <c r="E5478" s="466" t="s">
        <v>2289</v>
      </c>
      <c r="F5478" s="466"/>
      <c r="G5478" s="465"/>
      <c r="H5478" s="465"/>
    </row>
    <row r="5479" spans="1:8" ht="13.8" thickBot="1">
      <c r="A5479" s="467" t="s">
        <v>10692</v>
      </c>
      <c r="B5479" s="465" t="s">
        <v>2300</v>
      </c>
      <c r="C5479" s="466">
        <v>8</v>
      </c>
      <c r="D5479" s="465"/>
      <c r="E5479" s="466" t="s">
        <v>2289</v>
      </c>
      <c r="F5479" s="466"/>
      <c r="G5479" s="465"/>
      <c r="H5479" s="465"/>
    </row>
    <row r="5480" spans="1:8" ht="13.8" thickBot="1">
      <c r="A5480" s="467" t="s">
        <v>10788</v>
      </c>
      <c r="B5480" s="465" t="s">
        <v>5258</v>
      </c>
      <c r="C5480" s="475">
        <v>8</v>
      </c>
      <c r="D5480" s="467" t="s">
        <v>5259</v>
      </c>
      <c r="E5480" s="466" t="s">
        <v>5257</v>
      </c>
      <c r="F5480" s="466" t="s">
        <v>1229</v>
      </c>
      <c r="G5480" s="465">
        <v>1</v>
      </c>
      <c r="H5480" s="465">
        <v>9</v>
      </c>
    </row>
    <row r="5481" spans="1:8" ht="13.8" thickBot="1">
      <c r="A5481" s="467" t="s">
        <v>10789</v>
      </c>
      <c r="B5481" s="465" t="s">
        <v>5268</v>
      </c>
      <c r="C5481" s="466">
        <v>8</v>
      </c>
      <c r="D5481" s="465"/>
      <c r="E5481" s="466" t="s">
        <v>5269</v>
      </c>
      <c r="F5481" s="466"/>
      <c r="G5481" s="465"/>
      <c r="H5481" s="465"/>
    </row>
    <row r="5482" spans="1:8" ht="13.8" thickBot="1">
      <c r="A5482" s="467" t="s">
        <v>10790</v>
      </c>
      <c r="B5482" s="465" t="s">
        <v>5268</v>
      </c>
      <c r="C5482" s="466">
        <v>8</v>
      </c>
      <c r="D5482" s="465"/>
      <c r="E5482" s="466" t="s">
        <v>5269</v>
      </c>
      <c r="F5482" s="466"/>
      <c r="G5482" s="465"/>
      <c r="H5482" s="465"/>
    </row>
    <row r="5483" spans="1:8" ht="13.8" thickBot="1">
      <c r="A5483" s="467" t="s">
        <v>10791</v>
      </c>
      <c r="B5483" s="465" t="s">
        <v>5268</v>
      </c>
      <c r="C5483" s="466">
        <v>8</v>
      </c>
      <c r="D5483" s="465"/>
      <c r="E5483" s="466" t="s">
        <v>5269</v>
      </c>
      <c r="F5483" s="466"/>
      <c r="G5483" s="465"/>
      <c r="H5483" s="465"/>
    </row>
    <row r="5484" spans="1:8" ht="13.8" thickBot="1">
      <c r="A5484" s="467" t="s">
        <v>10792</v>
      </c>
      <c r="B5484" s="465" t="s">
        <v>5270</v>
      </c>
      <c r="C5484" s="466">
        <v>8</v>
      </c>
      <c r="D5484" s="465"/>
      <c r="E5484" s="466" t="s">
        <v>5269</v>
      </c>
      <c r="F5484" s="466"/>
      <c r="G5484" s="465"/>
      <c r="H5484" s="465"/>
    </row>
    <row r="5485" spans="1:8" ht="13.8" thickBot="1">
      <c r="A5485" s="467" t="s">
        <v>10793</v>
      </c>
      <c r="B5485" s="465" t="s">
        <v>1381</v>
      </c>
      <c r="C5485" s="466">
        <v>8</v>
      </c>
      <c r="D5485" s="465"/>
      <c r="E5485" s="466" t="s">
        <v>5286</v>
      </c>
      <c r="F5485" s="466" t="s">
        <v>1226</v>
      </c>
      <c r="G5485" s="465"/>
      <c r="H5485" s="465">
        <v>1</v>
      </c>
    </row>
    <row r="5486" spans="1:8" ht="13.8" thickBot="1">
      <c r="A5486" s="467" t="s">
        <v>10794</v>
      </c>
      <c r="B5486" s="465" t="s">
        <v>5287</v>
      </c>
      <c r="C5486" s="466">
        <v>8</v>
      </c>
      <c r="D5486" s="465"/>
      <c r="E5486" s="466" t="s">
        <v>5286</v>
      </c>
      <c r="F5486" s="466" t="s">
        <v>1224</v>
      </c>
      <c r="G5486" s="465"/>
      <c r="H5486" s="465">
        <v>2</v>
      </c>
    </row>
    <row r="5487" spans="1:8" ht="13.8" thickBot="1">
      <c r="A5487" s="467" t="s">
        <v>10693</v>
      </c>
      <c r="B5487" s="465" t="s">
        <v>2522</v>
      </c>
      <c r="C5487" s="466">
        <v>8</v>
      </c>
      <c r="D5487" s="465"/>
      <c r="E5487" s="466" t="s">
        <v>2523</v>
      </c>
      <c r="F5487" s="466"/>
      <c r="G5487" s="465"/>
      <c r="H5487" s="465">
        <v>1</v>
      </c>
    </row>
    <row r="5488" spans="1:8" ht="13.8" thickBot="1">
      <c r="A5488" s="467" t="s">
        <v>10694</v>
      </c>
      <c r="B5488" s="465" t="s">
        <v>2524</v>
      </c>
      <c r="C5488" s="466">
        <v>8</v>
      </c>
      <c r="D5488" s="467" t="s">
        <v>614</v>
      </c>
      <c r="E5488" s="466" t="s">
        <v>2523</v>
      </c>
      <c r="F5488" s="466"/>
      <c r="G5488" s="465"/>
      <c r="H5488" s="465">
        <v>1</v>
      </c>
    </row>
    <row r="5489" spans="1:8" ht="13.8" thickBot="1">
      <c r="A5489" s="467" t="s">
        <v>10695</v>
      </c>
      <c r="B5489" s="465" t="s">
        <v>2716</v>
      </c>
      <c r="C5489" s="466">
        <v>8</v>
      </c>
      <c r="D5489" s="465"/>
      <c r="E5489" s="466" t="s">
        <v>2717</v>
      </c>
      <c r="F5489" s="466"/>
      <c r="G5489" s="465"/>
      <c r="H5489" s="465"/>
    </row>
    <row r="5490" spans="1:8" ht="13.8" thickBot="1">
      <c r="A5490" s="465" t="s">
        <v>10673</v>
      </c>
      <c r="B5490" s="465" t="s">
        <v>1925</v>
      </c>
      <c r="C5490" s="466">
        <v>8</v>
      </c>
      <c r="D5490" s="465"/>
      <c r="E5490" s="466" t="s">
        <v>1922</v>
      </c>
      <c r="F5490" s="466"/>
      <c r="G5490" s="465"/>
      <c r="H5490" s="465">
        <v>1</v>
      </c>
    </row>
    <row r="5491" spans="1:8" ht="13.8" thickBot="1">
      <c r="A5491" s="467" t="s">
        <v>10674</v>
      </c>
      <c r="B5491" s="465" t="s">
        <v>1926</v>
      </c>
      <c r="C5491" s="466">
        <v>8</v>
      </c>
      <c r="D5491" s="465"/>
      <c r="E5491" s="466" t="s">
        <v>1922</v>
      </c>
      <c r="F5491" s="466"/>
      <c r="G5491" s="465"/>
      <c r="H5491" s="465"/>
    </row>
    <row r="5492" spans="1:8" ht="13.8" thickBot="1">
      <c r="A5492" s="467" t="s">
        <v>10696</v>
      </c>
      <c r="B5492" s="465" t="s">
        <v>2883</v>
      </c>
      <c r="C5492" s="466">
        <v>8</v>
      </c>
      <c r="D5492" s="465"/>
      <c r="E5492" s="466" t="s">
        <v>2884</v>
      </c>
      <c r="F5492" s="466" t="s">
        <v>1226</v>
      </c>
      <c r="G5492" s="465"/>
      <c r="H5492" s="465">
        <v>1</v>
      </c>
    </row>
    <row r="5493" spans="1:8" ht="13.8" thickBot="1">
      <c r="A5493" s="465" t="s">
        <v>10697</v>
      </c>
      <c r="B5493" s="465" t="s">
        <v>1356</v>
      </c>
      <c r="C5493" s="466">
        <v>8</v>
      </c>
      <c r="D5493" s="465"/>
      <c r="E5493" s="466" t="s">
        <v>2899</v>
      </c>
      <c r="F5493" s="466" t="s">
        <v>1226</v>
      </c>
      <c r="G5493" s="465">
        <v>1</v>
      </c>
      <c r="H5493" s="465">
        <v>3</v>
      </c>
    </row>
    <row r="5494" spans="1:8" ht="13.8" thickBot="1">
      <c r="A5494" s="467" t="s">
        <v>10698</v>
      </c>
      <c r="B5494" s="465" t="s">
        <v>1356</v>
      </c>
      <c r="C5494" s="466">
        <v>8</v>
      </c>
      <c r="D5494" s="465"/>
      <c r="E5494" s="466" t="s">
        <v>2899</v>
      </c>
      <c r="F5494" s="466"/>
      <c r="G5494" s="465"/>
      <c r="H5494" s="465"/>
    </row>
    <row r="5495" spans="1:8" ht="13.8" thickBot="1">
      <c r="A5495" s="465" t="s">
        <v>1176</v>
      </c>
      <c r="B5495" s="465" t="s">
        <v>2900</v>
      </c>
      <c r="C5495" s="466">
        <v>8</v>
      </c>
      <c r="D5495" s="465"/>
      <c r="E5495" s="466" t="s">
        <v>2899</v>
      </c>
      <c r="F5495" s="466"/>
      <c r="G5495" s="465"/>
      <c r="H5495" s="465"/>
    </row>
    <row r="5496" spans="1:8" ht="13.8" thickBot="1">
      <c r="A5496" s="467" t="s">
        <v>10699</v>
      </c>
      <c r="B5496" s="465" t="s">
        <v>2958</v>
      </c>
      <c r="C5496" s="466">
        <v>8</v>
      </c>
      <c r="D5496" s="465"/>
      <c r="E5496" s="466" t="s">
        <v>2957</v>
      </c>
      <c r="F5496" s="466" t="s">
        <v>1226</v>
      </c>
      <c r="G5496" s="465"/>
      <c r="H5496" s="465">
        <v>2</v>
      </c>
    </row>
    <row r="5497" spans="1:8" ht="13.8" thickBot="1">
      <c r="A5497" s="467" t="s">
        <v>10700</v>
      </c>
      <c r="B5497" s="465" t="s">
        <v>2959</v>
      </c>
      <c r="C5497" s="466">
        <v>8</v>
      </c>
      <c r="D5497" s="465"/>
      <c r="E5497" s="466" t="s">
        <v>2957</v>
      </c>
      <c r="F5497" s="466"/>
      <c r="G5497" s="465"/>
      <c r="H5497" s="465"/>
    </row>
    <row r="5498" spans="1:8" ht="13.8" thickBot="1">
      <c r="A5498" s="465" t="s">
        <v>10701</v>
      </c>
      <c r="B5498" s="465" t="s">
        <v>3131</v>
      </c>
      <c r="C5498" s="466">
        <v>8</v>
      </c>
      <c r="D5498" s="465"/>
      <c r="E5498" s="466" t="s">
        <v>3130</v>
      </c>
      <c r="F5498" s="466"/>
      <c r="G5498" s="465"/>
      <c r="H5498" s="465"/>
    </row>
    <row r="5499" spans="1:8" ht="13.8" thickBot="1">
      <c r="A5499" s="465" t="s">
        <v>10702</v>
      </c>
      <c r="B5499" s="465" t="s">
        <v>3131</v>
      </c>
      <c r="C5499" s="466">
        <v>8</v>
      </c>
      <c r="D5499" s="465"/>
      <c r="E5499" s="466" t="s">
        <v>3130</v>
      </c>
      <c r="F5499" s="466"/>
      <c r="G5499" s="465"/>
      <c r="H5499" s="465"/>
    </row>
    <row r="5500" spans="1:8" ht="13.8" thickBot="1">
      <c r="A5500" s="467" t="s">
        <v>10703</v>
      </c>
      <c r="B5500" s="465" t="s">
        <v>3131</v>
      </c>
      <c r="C5500" s="466">
        <v>8</v>
      </c>
      <c r="D5500" s="465"/>
      <c r="E5500" s="466" t="s">
        <v>3130</v>
      </c>
      <c r="F5500" s="466"/>
      <c r="G5500" s="465"/>
      <c r="H5500" s="465"/>
    </row>
    <row r="5501" spans="1:8" ht="13.8" thickBot="1">
      <c r="A5501" s="467" t="s">
        <v>10704</v>
      </c>
      <c r="B5501" s="465" t="s">
        <v>3131</v>
      </c>
      <c r="C5501" s="466">
        <v>8</v>
      </c>
      <c r="D5501" s="465"/>
      <c r="E5501" s="466" t="s">
        <v>3130</v>
      </c>
      <c r="F5501" s="466"/>
      <c r="G5501" s="465"/>
      <c r="H5501" s="465"/>
    </row>
    <row r="5502" spans="1:8" ht="13.8" thickBot="1">
      <c r="A5502" s="465" t="s">
        <v>823</v>
      </c>
      <c r="B5502" s="465" t="s">
        <v>3133</v>
      </c>
      <c r="C5502" s="466">
        <v>8</v>
      </c>
      <c r="D5502" s="465"/>
      <c r="E5502" s="466" t="s">
        <v>3130</v>
      </c>
      <c r="F5502" s="466"/>
      <c r="G5502" s="465"/>
      <c r="H5502" s="465"/>
    </row>
    <row r="5503" spans="1:8" ht="13.8" thickBot="1">
      <c r="A5503" s="467" t="s">
        <v>10705</v>
      </c>
      <c r="B5503" s="465" t="s">
        <v>1390</v>
      </c>
      <c r="C5503" s="466">
        <v>8</v>
      </c>
      <c r="D5503" s="465"/>
      <c r="E5503" s="466" t="s">
        <v>3161</v>
      </c>
      <c r="F5503" s="466" t="s">
        <v>1226</v>
      </c>
      <c r="G5503" s="465"/>
      <c r="H5503" s="465"/>
    </row>
    <row r="5504" spans="1:8" ht="13.8" thickBot="1">
      <c r="A5504" s="467" t="s">
        <v>10706</v>
      </c>
      <c r="B5504" s="465" t="s">
        <v>1390</v>
      </c>
      <c r="C5504" s="466">
        <v>8</v>
      </c>
      <c r="D5504" s="465"/>
      <c r="E5504" s="466" t="s">
        <v>3161</v>
      </c>
      <c r="F5504" s="466"/>
      <c r="G5504" s="465"/>
      <c r="H5504" s="465">
        <v>1</v>
      </c>
    </row>
    <row r="5505" spans="1:8" ht="13.8" thickBot="1">
      <c r="A5505" s="467" t="s">
        <v>10707</v>
      </c>
      <c r="B5505" s="465" t="s">
        <v>1390</v>
      </c>
      <c r="C5505" s="466">
        <v>8</v>
      </c>
      <c r="D5505" s="465"/>
      <c r="E5505" s="466" t="s">
        <v>3161</v>
      </c>
      <c r="F5505" s="466"/>
      <c r="G5505" s="465"/>
      <c r="H5505" s="465"/>
    </row>
    <row r="5506" spans="1:8" ht="13.8" thickBot="1">
      <c r="A5506" s="465" t="s">
        <v>723</v>
      </c>
      <c r="B5506" s="465" t="s">
        <v>3169</v>
      </c>
      <c r="C5506" s="466">
        <v>8</v>
      </c>
      <c r="D5506" s="465"/>
      <c r="E5506" s="466" t="s">
        <v>3161</v>
      </c>
      <c r="F5506" s="466"/>
      <c r="G5506" s="465"/>
      <c r="H5506" s="465"/>
    </row>
    <row r="5507" spans="1:8" ht="13.8" thickBot="1">
      <c r="A5507" s="467" t="s">
        <v>10708</v>
      </c>
      <c r="B5507" s="465" t="s">
        <v>3287</v>
      </c>
      <c r="C5507" s="466">
        <v>8</v>
      </c>
      <c r="D5507" s="465"/>
      <c r="E5507" s="466" t="s">
        <v>3285</v>
      </c>
      <c r="F5507" s="466"/>
      <c r="G5507" s="465"/>
      <c r="H5507" s="465">
        <v>1</v>
      </c>
    </row>
    <row r="5508" spans="1:8" ht="13.8" thickBot="1">
      <c r="A5508" s="467" t="s">
        <v>10675</v>
      </c>
      <c r="B5508" s="465" t="s">
        <v>2031</v>
      </c>
      <c r="C5508" s="466">
        <v>8</v>
      </c>
      <c r="D5508" s="465"/>
      <c r="E5508" s="466" t="s">
        <v>2032</v>
      </c>
      <c r="F5508" s="466" t="s">
        <v>1229</v>
      </c>
      <c r="G5508" s="465"/>
      <c r="H5508" s="465">
        <v>2</v>
      </c>
    </row>
    <row r="5509" spans="1:8" ht="13.8" thickBot="1">
      <c r="A5509" s="467" t="s">
        <v>10676</v>
      </c>
      <c r="B5509" s="465" t="s">
        <v>2033</v>
      </c>
      <c r="C5509" s="466">
        <v>8</v>
      </c>
      <c r="D5509" s="465"/>
      <c r="E5509" s="466" t="s">
        <v>2032</v>
      </c>
      <c r="F5509" s="466"/>
      <c r="G5509" s="465"/>
      <c r="H5509" s="465">
        <v>1</v>
      </c>
    </row>
    <row r="5510" spans="1:8" ht="13.8" thickBot="1">
      <c r="A5510" s="467" t="s">
        <v>10709</v>
      </c>
      <c r="B5510" s="465" t="s">
        <v>3355</v>
      </c>
      <c r="C5510" s="466">
        <v>8</v>
      </c>
      <c r="D5510" s="467" t="s">
        <v>3356</v>
      </c>
      <c r="E5510" s="466" t="s">
        <v>3351</v>
      </c>
      <c r="F5510" s="466"/>
      <c r="G5510" s="465"/>
      <c r="H5510" s="465"/>
    </row>
    <row r="5511" spans="1:8" ht="13.8" thickBot="1">
      <c r="A5511" s="467" t="s">
        <v>10710</v>
      </c>
      <c r="B5511" s="465" t="s">
        <v>3357</v>
      </c>
      <c r="C5511" s="466">
        <v>8</v>
      </c>
      <c r="D5511" s="465"/>
      <c r="E5511" s="466" t="s">
        <v>3351</v>
      </c>
      <c r="F5511" s="466"/>
      <c r="G5511" s="465"/>
      <c r="H5511" s="465"/>
    </row>
    <row r="5512" spans="1:8" ht="13.8" thickBot="1">
      <c r="A5512" s="467" t="s">
        <v>10711</v>
      </c>
      <c r="B5512" s="465" t="s">
        <v>3415</v>
      </c>
      <c r="C5512" s="466">
        <v>8</v>
      </c>
      <c r="D5512" s="465"/>
      <c r="E5512" s="466" t="s">
        <v>3414</v>
      </c>
      <c r="F5512" s="466"/>
      <c r="G5512" s="465"/>
      <c r="H5512" s="465"/>
    </row>
    <row r="5513" spans="1:8" ht="13.8" thickBot="1">
      <c r="A5513" s="465" t="s">
        <v>10712</v>
      </c>
      <c r="B5513" s="465" t="s">
        <v>3416</v>
      </c>
      <c r="C5513" s="466">
        <v>8</v>
      </c>
      <c r="D5513" s="467" t="s">
        <v>3417</v>
      </c>
      <c r="E5513" s="466" t="s">
        <v>3414</v>
      </c>
      <c r="F5513" s="466"/>
      <c r="G5513" s="465"/>
      <c r="H5513" s="465"/>
    </row>
    <row r="5514" spans="1:8" ht="13.8" thickBot="1">
      <c r="A5514" s="467" t="s">
        <v>10713</v>
      </c>
      <c r="B5514" s="465" t="s">
        <v>3418</v>
      </c>
      <c r="C5514" s="466">
        <v>8</v>
      </c>
      <c r="D5514" s="467" t="s">
        <v>3419</v>
      </c>
      <c r="E5514" s="466" t="s">
        <v>3414</v>
      </c>
      <c r="F5514" s="466"/>
      <c r="G5514" s="465"/>
      <c r="H5514" s="465"/>
    </row>
    <row r="5515" spans="1:8" ht="13.8" thickBot="1">
      <c r="A5515" s="467" t="s">
        <v>10714</v>
      </c>
      <c r="B5515" s="465" t="s">
        <v>3420</v>
      </c>
      <c r="C5515" s="466">
        <v>8</v>
      </c>
      <c r="D5515" s="465"/>
      <c r="E5515" s="466" t="s">
        <v>3414</v>
      </c>
      <c r="F5515" s="466"/>
      <c r="G5515" s="465"/>
      <c r="H5515" s="465"/>
    </row>
    <row r="5516" spans="1:8" ht="13.8" thickBot="1">
      <c r="A5516" s="467" t="s">
        <v>10715</v>
      </c>
      <c r="B5516" s="465" t="s">
        <v>3498</v>
      </c>
      <c r="C5516" s="466">
        <v>8</v>
      </c>
      <c r="D5516" s="465"/>
      <c r="E5516" s="466" t="s">
        <v>3496</v>
      </c>
      <c r="F5516" s="466"/>
      <c r="G5516" s="465"/>
      <c r="H5516" s="465"/>
    </row>
    <row r="5517" spans="1:8" ht="13.8" thickBot="1">
      <c r="A5517" s="467" t="s">
        <v>10716</v>
      </c>
      <c r="B5517" s="465" t="s">
        <v>3499</v>
      </c>
      <c r="C5517" s="466">
        <v>8</v>
      </c>
      <c r="D5517" s="465"/>
      <c r="E5517" s="466" t="s">
        <v>3496</v>
      </c>
      <c r="F5517" s="466"/>
      <c r="G5517" s="465"/>
      <c r="H5517" s="465"/>
    </row>
    <row r="5518" spans="1:8" ht="13.8" thickBot="1">
      <c r="A5518" s="467" t="s">
        <v>10717</v>
      </c>
      <c r="B5518" s="465" t="s">
        <v>3521</v>
      </c>
      <c r="C5518" s="466">
        <v>8</v>
      </c>
      <c r="D5518" s="465"/>
      <c r="E5518" s="466" t="s">
        <v>3517</v>
      </c>
      <c r="F5518" s="466" t="s">
        <v>1226</v>
      </c>
      <c r="G5518" s="465"/>
      <c r="H5518" s="465">
        <v>2</v>
      </c>
    </row>
    <row r="5519" spans="1:8" ht="13.8" thickBot="1">
      <c r="A5519" s="467" t="s">
        <v>10718</v>
      </c>
      <c r="B5519" s="465" t="s">
        <v>1452</v>
      </c>
      <c r="C5519" s="466">
        <v>8</v>
      </c>
      <c r="D5519" s="465"/>
      <c r="E5519" s="466" t="s">
        <v>3517</v>
      </c>
      <c r="F5519" s="466"/>
      <c r="G5519" s="465"/>
      <c r="H5519" s="465"/>
    </row>
    <row r="5520" spans="1:8" ht="13.8" thickBot="1">
      <c r="A5520" s="467" t="s">
        <v>10719</v>
      </c>
      <c r="B5520" s="465" t="s">
        <v>3522</v>
      </c>
      <c r="C5520" s="466">
        <v>8</v>
      </c>
      <c r="D5520" s="465"/>
      <c r="E5520" s="466" t="s">
        <v>3517</v>
      </c>
      <c r="F5520" s="466"/>
      <c r="G5520" s="465"/>
      <c r="H5520" s="465"/>
    </row>
    <row r="5521" spans="1:8" ht="13.8" thickBot="1">
      <c r="A5521" s="467" t="s">
        <v>10720</v>
      </c>
      <c r="B5521" s="465" t="s">
        <v>3523</v>
      </c>
      <c r="C5521" s="466">
        <v>8</v>
      </c>
      <c r="D5521" s="465"/>
      <c r="E5521" s="466" t="s">
        <v>3517</v>
      </c>
      <c r="F5521" s="466"/>
      <c r="G5521" s="465"/>
      <c r="H5521" s="465">
        <v>2</v>
      </c>
    </row>
    <row r="5522" spans="1:8" ht="13.8" thickBot="1">
      <c r="A5522" s="465" t="s">
        <v>10721</v>
      </c>
      <c r="B5522" s="465" t="s">
        <v>3653</v>
      </c>
      <c r="C5522" s="466">
        <v>8</v>
      </c>
      <c r="D5522" s="465"/>
      <c r="E5522" s="466" t="s">
        <v>3652</v>
      </c>
      <c r="F5522" s="466"/>
      <c r="G5522" s="465"/>
      <c r="H5522" s="465">
        <v>2</v>
      </c>
    </row>
    <row r="5523" spans="1:8" ht="13.8" thickBot="1">
      <c r="A5523" s="465" t="s">
        <v>10722</v>
      </c>
      <c r="B5523" s="465" t="s">
        <v>1480</v>
      </c>
      <c r="C5523" s="466">
        <v>8</v>
      </c>
      <c r="D5523" s="465" t="s">
        <v>3736</v>
      </c>
      <c r="E5523" s="466" t="s">
        <v>3734</v>
      </c>
      <c r="F5523" s="466" t="s">
        <v>1229</v>
      </c>
      <c r="G5523" s="465"/>
      <c r="H5523" s="465"/>
    </row>
    <row r="5524" spans="1:8" ht="13.8" thickBot="1">
      <c r="A5524" s="467" t="s">
        <v>10723</v>
      </c>
      <c r="B5524" s="465" t="s">
        <v>3737</v>
      </c>
      <c r="C5524" s="466">
        <v>8</v>
      </c>
      <c r="D5524" s="465"/>
      <c r="E5524" s="466" t="s">
        <v>3734</v>
      </c>
      <c r="F5524" s="466"/>
      <c r="G5524" s="465"/>
      <c r="H5524" s="465"/>
    </row>
    <row r="5525" spans="1:8" ht="13.8" thickBot="1">
      <c r="A5525" s="467" t="s">
        <v>10724</v>
      </c>
      <c r="B5525" s="465" t="s">
        <v>3738</v>
      </c>
      <c r="C5525" s="466">
        <v>8</v>
      </c>
      <c r="D5525" s="465"/>
      <c r="E5525" s="466" t="s">
        <v>3734</v>
      </c>
      <c r="F5525" s="466"/>
      <c r="G5525" s="465"/>
      <c r="H5525" s="465">
        <v>1</v>
      </c>
    </row>
    <row r="5526" spans="1:8" ht="13.8" thickBot="1">
      <c r="A5526" s="467" t="s">
        <v>10725</v>
      </c>
      <c r="B5526" s="465" t="s">
        <v>3811</v>
      </c>
      <c r="C5526" s="466">
        <v>8</v>
      </c>
      <c r="D5526" s="465"/>
      <c r="E5526" s="466" t="s">
        <v>3807</v>
      </c>
      <c r="F5526" s="466"/>
      <c r="G5526" s="465"/>
      <c r="H5526" s="465"/>
    </row>
    <row r="5527" spans="1:8" ht="13.8" thickBot="1">
      <c r="A5527" s="467" t="s">
        <v>10726</v>
      </c>
      <c r="B5527" s="465" t="s">
        <v>3857</v>
      </c>
      <c r="C5527" s="466">
        <v>8</v>
      </c>
      <c r="D5527" s="465"/>
      <c r="E5527" s="466" t="s">
        <v>3856</v>
      </c>
      <c r="F5527" s="466" t="s">
        <v>1226</v>
      </c>
      <c r="G5527" s="465"/>
      <c r="H5527" s="465">
        <v>2</v>
      </c>
    </row>
    <row r="5528" spans="1:8" ht="13.8" thickBot="1">
      <c r="A5528" s="467" t="s">
        <v>10727</v>
      </c>
      <c r="B5528" s="465" t="s">
        <v>3858</v>
      </c>
      <c r="C5528" s="466">
        <v>8</v>
      </c>
      <c r="D5528" s="465"/>
      <c r="E5528" s="466" t="s">
        <v>3856</v>
      </c>
      <c r="F5528" s="466"/>
      <c r="G5528" s="465"/>
      <c r="H5528" s="465"/>
    </row>
    <row r="5529" spans="1:8" ht="13.8" thickBot="1">
      <c r="A5529" s="467" t="s">
        <v>10728</v>
      </c>
      <c r="B5529" s="465" t="s">
        <v>3902</v>
      </c>
      <c r="C5529" s="466">
        <v>8</v>
      </c>
      <c r="D5529" s="465"/>
      <c r="E5529" s="466" t="s">
        <v>3903</v>
      </c>
      <c r="F5529" s="466" t="s">
        <v>1226</v>
      </c>
      <c r="G5529" s="465"/>
      <c r="H5529" s="465">
        <v>2</v>
      </c>
    </row>
    <row r="5530" spans="1:8" ht="13.8" thickBot="1">
      <c r="A5530" s="467" t="s">
        <v>10729</v>
      </c>
      <c r="B5530" s="465" t="s">
        <v>3931</v>
      </c>
      <c r="C5530" s="466">
        <v>8</v>
      </c>
      <c r="D5530" s="465"/>
      <c r="E5530" s="466" t="s">
        <v>3932</v>
      </c>
      <c r="F5530" s="466"/>
      <c r="G5530" s="465"/>
      <c r="H5530" s="465">
        <v>1</v>
      </c>
    </row>
    <row r="5531" spans="1:8" ht="13.8" thickBot="1">
      <c r="A5531" s="467" t="s">
        <v>10730</v>
      </c>
      <c r="B5531" s="465" t="s">
        <v>1519</v>
      </c>
      <c r="C5531" s="466">
        <v>8</v>
      </c>
      <c r="D5531" s="467" t="s">
        <v>3963</v>
      </c>
      <c r="E5531" s="466" t="s">
        <v>3957</v>
      </c>
      <c r="F5531" s="466" t="s">
        <v>1251</v>
      </c>
      <c r="G5531" s="465"/>
      <c r="H5531" s="465">
        <v>1</v>
      </c>
    </row>
    <row r="5532" spans="1:8" ht="13.8" thickBot="1">
      <c r="A5532" s="465" t="s">
        <v>10731</v>
      </c>
      <c r="B5532" s="465" t="s">
        <v>3964</v>
      </c>
      <c r="C5532" s="466">
        <v>8</v>
      </c>
      <c r="D5532" s="467" t="s">
        <v>614</v>
      </c>
      <c r="E5532" s="466" t="s">
        <v>3957</v>
      </c>
      <c r="F5532" s="466"/>
      <c r="G5532" s="465"/>
      <c r="H5532" s="465">
        <v>1</v>
      </c>
    </row>
    <row r="5533" spans="1:8" ht="13.8" thickBot="1">
      <c r="A5533" s="467" t="s">
        <v>10732</v>
      </c>
      <c r="B5533" s="465" t="s">
        <v>3965</v>
      </c>
      <c r="C5533" s="466">
        <v>8</v>
      </c>
      <c r="D5533" s="467" t="s">
        <v>3966</v>
      </c>
      <c r="E5533" s="466" t="s">
        <v>3957</v>
      </c>
      <c r="F5533" s="466"/>
      <c r="G5533" s="465"/>
      <c r="H5533" s="465">
        <v>1</v>
      </c>
    </row>
    <row r="5534" spans="1:8" ht="13.8" thickBot="1">
      <c r="A5534" s="467" t="s">
        <v>10733</v>
      </c>
      <c r="B5534" s="465" t="s">
        <v>3967</v>
      </c>
      <c r="C5534" s="466">
        <v>8</v>
      </c>
      <c r="D5534" s="465"/>
      <c r="E5534" s="466" t="s">
        <v>3957</v>
      </c>
      <c r="F5534" s="466"/>
      <c r="G5534" s="465"/>
      <c r="H5534" s="465"/>
    </row>
    <row r="5535" spans="1:8" ht="13.8" thickBot="1">
      <c r="A5535" s="465" t="s">
        <v>10734</v>
      </c>
      <c r="B5535" s="465" t="s">
        <v>3998</v>
      </c>
      <c r="C5535" s="466">
        <v>8</v>
      </c>
      <c r="D5535" s="467" t="s">
        <v>3999</v>
      </c>
      <c r="E5535" s="466" t="s">
        <v>3996</v>
      </c>
      <c r="F5535" s="466" t="s">
        <v>1226</v>
      </c>
      <c r="G5535" s="465"/>
      <c r="H5535" s="465"/>
    </row>
    <row r="5536" spans="1:8" ht="13.8" thickBot="1">
      <c r="A5536" s="467" t="s">
        <v>10735</v>
      </c>
      <c r="B5536" s="465" t="s">
        <v>4000</v>
      </c>
      <c r="C5536" s="466">
        <v>8</v>
      </c>
      <c r="D5536" s="467" t="s">
        <v>614</v>
      </c>
      <c r="E5536" s="466" t="s">
        <v>3996</v>
      </c>
      <c r="F5536" s="466" t="s">
        <v>1226</v>
      </c>
      <c r="G5536" s="465"/>
      <c r="H5536" s="465">
        <v>1</v>
      </c>
    </row>
    <row r="5537" spans="1:8" ht="13.8" thickBot="1">
      <c r="A5537" s="465" t="s">
        <v>10736</v>
      </c>
      <c r="B5537" s="465" t="s">
        <v>1525</v>
      </c>
      <c r="C5537" s="466">
        <v>8</v>
      </c>
      <c r="D5537" s="465"/>
      <c r="E5537" s="466" t="s">
        <v>3996</v>
      </c>
      <c r="F5537" s="466"/>
      <c r="G5537" s="465"/>
      <c r="H5537" s="465"/>
    </row>
    <row r="5538" spans="1:8" ht="13.8" thickBot="1">
      <c r="A5538" s="465" t="s">
        <v>10737</v>
      </c>
      <c r="B5538" s="465" t="s">
        <v>1525</v>
      </c>
      <c r="C5538" s="466">
        <v>8</v>
      </c>
      <c r="D5538" s="465"/>
      <c r="E5538" s="466" t="s">
        <v>3996</v>
      </c>
      <c r="F5538" s="466"/>
      <c r="G5538" s="465">
        <v>1</v>
      </c>
      <c r="H5538" s="465">
        <v>1</v>
      </c>
    </row>
    <row r="5539" spans="1:8" ht="13.8" thickBot="1">
      <c r="A5539" s="465" t="s">
        <v>10738</v>
      </c>
      <c r="B5539" s="465" t="s">
        <v>1525</v>
      </c>
      <c r="C5539" s="466">
        <v>8</v>
      </c>
      <c r="D5539" s="465"/>
      <c r="E5539" s="466" t="s">
        <v>3996</v>
      </c>
      <c r="F5539" s="466"/>
      <c r="G5539" s="465"/>
      <c r="H5539" s="465"/>
    </row>
    <row r="5540" spans="1:8" ht="13.8" thickBot="1">
      <c r="A5540" s="465" t="s">
        <v>10739</v>
      </c>
      <c r="B5540" s="465" t="s">
        <v>4001</v>
      </c>
      <c r="C5540" s="466">
        <v>8</v>
      </c>
      <c r="D5540" s="465"/>
      <c r="E5540" s="466" t="s">
        <v>3996</v>
      </c>
      <c r="F5540" s="466"/>
      <c r="G5540" s="465"/>
      <c r="H5540" s="465"/>
    </row>
    <row r="5541" spans="1:8" ht="13.8" thickBot="1">
      <c r="A5541" s="465" t="s">
        <v>10740</v>
      </c>
      <c r="B5541" s="465" t="s">
        <v>4002</v>
      </c>
      <c r="C5541" s="466">
        <v>8</v>
      </c>
      <c r="D5541" s="465"/>
      <c r="E5541" s="466" t="s">
        <v>3996</v>
      </c>
      <c r="F5541" s="466"/>
      <c r="G5541" s="465"/>
      <c r="H5541" s="465"/>
    </row>
    <row r="5542" spans="1:8" ht="13.8" thickBot="1">
      <c r="A5542" s="467" t="s">
        <v>10741</v>
      </c>
      <c r="B5542" s="465" t="s">
        <v>4045</v>
      </c>
      <c r="C5542" s="466">
        <v>8</v>
      </c>
      <c r="D5542" s="465"/>
      <c r="E5542" s="466" t="s">
        <v>4046</v>
      </c>
      <c r="F5542" s="466"/>
      <c r="G5542" s="465"/>
      <c r="H5542" s="465"/>
    </row>
    <row r="5543" spans="1:8" ht="13.8" thickBot="1">
      <c r="A5543" s="467" t="s">
        <v>10742</v>
      </c>
      <c r="B5543" s="465" t="s">
        <v>4047</v>
      </c>
      <c r="C5543" s="466">
        <v>8</v>
      </c>
      <c r="D5543" s="465"/>
      <c r="E5543" s="466" t="s">
        <v>4046</v>
      </c>
      <c r="F5543" s="466"/>
      <c r="G5543" s="465"/>
      <c r="H5543" s="465">
        <v>1</v>
      </c>
    </row>
    <row r="5544" spans="1:8" ht="13.8" thickBot="1">
      <c r="A5544" s="467" t="s">
        <v>10677</v>
      </c>
      <c r="B5544" s="465" t="s">
        <v>2113</v>
      </c>
      <c r="C5544" s="466">
        <v>8</v>
      </c>
      <c r="D5544" s="465"/>
      <c r="E5544" s="466" t="s">
        <v>2114</v>
      </c>
      <c r="F5544" s="466"/>
      <c r="G5544" s="465">
        <v>1</v>
      </c>
      <c r="H5544" s="465">
        <v>1</v>
      </c>
    </row>
    <row r="5545" spans="1:8" ht="13.8" thickBot="1">
      <c r="A5545" s="467" t="s">
        <v>10743</v>
      </c>
      <c r="B5545" s="465" t="s">
        <v>4068</v>
      </c>
      <c r="C5545" s="466">
        <v>8</v>
      </c>
      <c r="D5545" s="467" t="s">
        <v>4069</v>
      </c>
      <c r="E5545" s="466" t="s">
        <v>4067</v>
      </c>
      <c r="F5545" s="466"/>
      <c r="G5545" s="465"/>
      <c r="H5545" s="465"/>
    </row>
    <row r="5546" spans="1:8" ht="13.8" thickBot="1">
      <c r="A5546" s="467" t="s">
        <v>10744</v>
      </c>
      <c r="B5546" s="465" t="s">
        <v>4200</v>
      </c>
      <c r="C5546" s="466">
        <v>8</v>
      </c>
      <c r="D5546" s="465"/>
      <c r="E5546" s="466" t="s">
        <v>4201</v>
      </c>
      <c r="F5546" s="466"/>
      <c r="G5546" s="465"/>
      <c r="H5546" s="465"/>
    </row>
    <row r="5547" spans="1:8" ht="13.8" thickBot="1">
      <c r="A5547" s="467" t="s">
        <v>10745</v>
      </c>
      <c r="B5547" s="465" t="s">
        <v>4205</v>
      </c>
      <c r="C5547" s="466">
        <v>8</v>
      </c>
      <c r="D5547" s="465"/>
      <c r="E5547" s="466" t="s">
        <v>4204</v>
      </c>
      <c r="F5547" s="466"/>
      <c r="G5547" s="465"/>
      <c r="H5547" s="465"/>
    </row>
    <row r="5548" spans="1:8" ht="13.8" thickBot="1">
      <c r="A5548" s="467" t="s">
        <v>10746</v>
      </c>
      <c r="B5548" s="465" t="s">
        <v>1607</v>
      </c>
      <c r="C5548" s="466">
        <v>8</v>
      </c>
      <c r="D5548" s="465"/>
      <c r="E5548" s="466" t="s">
        <v>4214</v>
      </c>
      <c r="F5548" s="466"/>
      <c r="G5548" s="465"/>
      <c r="H5548" s="465"/>
    </row>
    <row r="5549" spans="1:8" ht="13.8" thickBot="1">
      <c r="A5549" s="467" t="s">
        <v>10747</v>
      </c>
      <c r="B5549" s="465" t="s">
        <v>4219</v>
      </c>
      <c r="C5549" s="466">
        <v>8</v>
      </c>
      <c r="D5549" s="465"/>
      <c r="E5549" s="466" t="s">
        <v>4214</v>
      </c>
      <c r="F5549" s="466"/>
      <c r="G5549" s="465">
        <v>1</v>
      </c>
      <c r="H5549" s="465">
        <v>2</v>
      </c>
    </row>
    <row r="5550" spans="1:8" ht="13.8" thickBot="1">
      <c r="A5550" s="467" t="s">
        <v>10748</v>
      </c>
      <c r="B5550" s="465" t="s">
        <v>4220</v>
      </c>
      <c r="C5550" s="466">
        <v>8</v>
      </c>
      <c r="D5550" s="465"/>
      <c r="E5550" s="466" t="s">
        <v>4214</v>
      </c>
      <c r="F5550" s="466"/>
      <c r="G5550" s="465"/>
      <c r="H5550" s="465"/>
    </row>
    <row r="5551" spans="1:8" ht="13.8" thickBot="1">
      <c r="A5551" s="465" t="s">
        <v>10678</v>
      </c>
      <c r="B5551" s="465" t="s">
        <v>2122</v>
      </c>
      <c r="C5551" s="466">
        <v>8</v>
      </c>
      <c r="D5551" s="465"/>
      <c r="E5551" s="466" t="s">
        <v>2123</v>
      </c>
      <c r="F5551" s="466"/>
      <c r="G5551" s="465"/>
      <c r="H5551" s="465"/>
    </row>
    <row r="5552" spans="1:8" ht="13.8" thickBot="1">
      <c r="A5552" s="467" t="s">
        <v>10679</v>
      </c>
      <c r="B5552" s="465" t="s">
        <v>2125</v>
      </c>
      <c r="C5552" s="466">
        <v>8</v>
      </c>
      <c r="D5552" s="465"/>
      <c r="E5552" s="466" t="s">
        <v>2123</v>
      </c>
      <c r="F5552" s="466"/>
      <c r="G5552" s="465">
        <v>1</v>
      </c>
      <c r="H5552" s="465">
        <v>1</v>
      </c>
    </row>
    <row r="5553" spans="1:8" ht="13.8" thickBot="1">
      <c r="A5553" s="467" t="s">
        <v>10680</v>
      </c>
      <c r="B5553" s="465" t="s">
        <v>2126</v>
      </c>
      <c r="C5553" s="466">
        <v>8</v>
      </c>
      <c r="D5553" s="465"/>
      <c r="E5553" s="466" t="s">
        <v>2123</v>
      </c>
      <c r="F5553" s="466"/>
      <c r="G5553" s="465"/>
      <c r="H5553" s="465"/>
    </row>
    <row r="5554" spans="1:8" ht="13.8" thickBot="1">
      <c r="A5554" s="467" t="s">
        <v>10749</v>
      </c>
      <c r="B5554" s="465" t="s">
        <v>1656</v>
      </c>
      <c r="C5554" s="466">
        <v>8</v>
      </c>
      <c r="D5554" s="465"/>
      <c r="E5554" s="466" t="s">
        <v>4364</v>
      </c>
      <c r="F5554" s="466"/>
      <c r="G5554" s="465"/>
      <c r="H5554" s="465"/>
    </row>
    <row r="5555" spans="1:8" ht="13.8" thickBot="1">
      <c r="A5555" s="467" t="s">
        <v>10750</v>
      </c>
      <c r="B5555" s="465" t="s">
        <v>1656</v>
      </c>
      <c r="C5555" s="466">
        <v>8</v>
      </c>
      <c r="D5555" s="465"/>
      <c r="E5555" s="466" t="s">
        <v>4364</v>
      </c>
      <c r="F5555" s="466"/>
      <c r="G5555" s="465"/>
      <c r="H5555" s="465"/>
    </row>
    <row r="5556" spans="1:8" ht="13.8" thickBot="1">
      <c r="A5556" s="467" t="s">
        <v>10751</v>
      </c>
      <c r="B5556" s="465" t="s">
        <v>4402</v>
      </c>
      <c r="C5556" s="466">
        <v>8</v>
      </c>
      <c r="D5556" s="465"/>
      <c r="E5556" s="466" t="s">
        <v>4403</v>
      </c>
      <c r="F5556" s="466"/>
      <c r="G5556" s="465">
        <v>1</v>
      </c>
      <c r="H5556" s="465">
        <v>1</v>
      </c>
    </row>
    <row r="5557" spans="1:8" ht="13.8" thickBot="1">
      <c r="A5557" s="465" t="s">
        <v>10752</v>
      </c>
      <c r="B5557" s="465" t="s">
        <v>4442</v>
      </c>
      <c r="C5557" s="466">
        <v>8</v>
      </c>
      <c r="D5557" s="467" t="s">
        <v>614</v>
      </c>
      <c r="E5557" s="466" t="s">
        <v>4438</v>
      </c>
      <c r="F5557" s="466" t="s">
        <v>1251</v>
      </c>
      <c r="G5557" s="465"/>
      <c r="H5557" s="465">
        <v>2</v>
      </c>
    </row>
    <row r="5558" spans="1:8" ht="13.8" thickBot="1">
      <c r="A5558" s="467" t="s">
        <v>10753</v>
      </c>
      <c r="B5558" s="465" t="s">
        <v>1638</v>
      </c>
      <c r="C5558" s="466">
        <v>8</v>
      </c>
      <c r="D5558" s="465"/>
      <c r="E5558" s="466" t="s">
        <v>4438</v>
      </c>
      <c r="F5558" s="466"/>
      <c r="G5558" s="465">
        <v>1</v>
      </c>
      <c r="H5558" s="465">
        <v>1</v>
      </c>
    </row>
    <row r="5559" spans="1:8" ht="13.8" thickBot="1">
      <c r="A5559" s="467" t="s">
        <v>10754</v>
      </c>
      <c r="B5559" s="465" t="s">
        <v>4490</v>
      </c>
      <c r="C5559" s="466">
        <v>8</v>
      </c>
      <c r="D5559" s="465"/>
      <c r="E5559" s="466" t="s">
        <v>4491</v>
      </c>
      <c r="F5559" s="466"/>
      <c r="G5559" s="465"/>
      <c r="H5559" s="465"/>
    </row>
    <row r="5560" spans="1:8" ht="13.8" thickBot="1">
      <c r="A5560" s="467" t="s">
        <v>10755</v>
      </c>
      <c r="B5560" s="465" t="s">
        <v>4508</v>
      </c>
      <c r="C5560" s="466">
        <v>8</v>
      </c>
      <c r="D5560" s="465"/>
      <c r="E5560" s="466" t="s">
        <v>4509</v>
      </c>
      <c r="F5560" s="466"/>
      <c r="G5560" s="465"/>
      <c r="H5560" s="465"/>
    </row>
    <row r="5561" spans="1:8" ht="13.8" thickBot="1">
      <c r="A5561" s="467" t="s">
        <v>10756</v>
      </c>
      <c r="B5561" s="465" t="s">
        <v>4597</v>
      </c>
      <c r="C5561" s="466">
        <v>8</v>
      </c>
      <c r="D5561" s="465"/>
      <c r="E5561" s="466" t="s">
        <v>4596</v>
      </c>
      <c r="F5561" s="466"/>
      <c r="G5561" s="465"/>
      <c r="H5561" s="465"/>
    </row>
    <row r="5562" spans="1:8" ht="13.8" thickBot="1">
      <c r="A5562" s="467" t="s">
        <v>10681</v>
      </c>
      <c r="B5562" s="465" t="s">
        <v>2153</v>
      </c>
      <c r="C5562" s="466">
        <v>8</v>
      </c>
      <c r="D5562" s="465"/>
      <c r="E5562" s="466" t="s">
        <v>2152</v>
      </c>
      <c r="F5562" s="466"/>
      <c r="G5562" s="465"/>
      <c r="H5562" s="465"/>
    </row>
    <row r="5563" spans="1:8" ht="13.8" thickBot="1">
      <c r="A5563" s="467" t="s">
        <v>10757</v>
      </c>
      <c r="B5563" s="465" t="s">
        <v>4629</v>
      </c>
      <c r="C5563" s="466">
        <v>8</v>
      </c>
      <c r="D5563" s="465"/>
      <c r="E5563" s="466" t="s">
        <v>4628</v>
      </c>
      <c r="F5563" s="466"/>
      <c r="G5563" s="465"/>
      <c r="H5563" s="465"/>
    </row>
    <row r="5564" spans="1:8" ht="13.8" thickBot="1">
      <c r="A5564" s="467" t="s">
        <v>10758</v>
      </c>
      <c r="B5564" s="465" t="s">
        <v>4630</v>
      </c>
      <c r="C5564" s="466">
        <v>8</v>
      </c>
      <c r="D5564" s="465"/>
      <c r="E5564" s="466" t="s">
        <v>4628</v>
      </c>
      <c r="F5564" s="466"/>
      <c r="G5564" s="465"/>
      <c r="H5564" s="465">
        <v>1</v>
      </c>
    </row>
    <row r="5565" spans="1:8" ht="13.8" thickBot="1">
      <c r="A5565" s="467" t="s">
        <v>10759</v>
      </c>
      <c r="B5565" s="465" t="s">
        <v>1678</v>
      </c>
      <c r="C5565" s="466">
        <v>8</v>
      </c>
      <c r="D5565" s="465"/>
      <c r="E5565" s="466" t="s">
        <v>4644</v>
      </c>
      <c r="F5565" s="466"/>
      <c r="G5565" s="465"/>
      <c r="H5565" s="465"/>
    </row>
    <row r="5566" spans="1:8" ht="13.8" thickBot="1">
      <c r="A5566" s="467" t="s">
        <v>10760</v>
      </c>
      <c r="B5566" s="465" t="s">
        <v>1678</v>
      </c>
      <c r="C5566" s="466">
        <v>8</v>
      </c>
      <c r="D5566" s="465"/>
      <c r="E5566" s="466" t="s">
        <v>4644</v>
      </c>
      <c r="F5566" s="466"/>
      <c r="G5566" s="465"/>
      <c r="H5566" s="465"/>
    </row>
    <row r="5567" spans="1:8" ht="13.8" thickBot="1">
      <c r="A5567" s="467" t="s">
        <v>10761</v>
      </c>
      <c r="B5567" s="465" t="s">
        <v>4646</v>
      </c>
      <c r="C5567" s="466">
        <v>8</v>
      </c>
      <c r="D5567" s="465"/>
      <c r="E5567" s="466" t="s">
        <v>4644</v>
      </c>
      <c r="F5567" s="466"/>
      <c r="G5567" s="465"/>
      <c r="H5567" s="465"/>
    </row>
    <row r="5568" spans="1:8" ht="13.8" thickBot="1">
      <c r="A5568" s="467" t="s">
        <v>10762</v>
      </c>
      <c r="B5568" s="465" t="s">
        <v>4721</v>
      </c>
      <c r="C5568" s="466">
        <v>8</v>
      </c>
      <c r="D5568" s="465"/>
      <c r="E5568" s="466" t="s">
        <v>4717</v>
      </c>
      <c r="F5568" s="466"/>
      <c r="G5568" s="465"/>
      <c r="H5568" s="465"/>
    </row>
    <row r="5569" spans="1:8" ht="13.8" thickBot="1">
      <c r="A5569" s="465" t="s">
        <v>10763</v>
      </c>
      <c r="B5569" s="465" t="s">
        <v>4752</v>
      </c>
      <c r="C5569" s="466">
        <v>8</v>
      </c>
      <c r="D5569" s="465"/>
      <c r="E5569" s="466" t="s">
        <v>4753</v>
      </c>
      <c r="F5569" s="466"/>
      <c r="G5569" s="465"/>
      <c r="H5569" s="465"/>
    </row>
    <row r="5570" spans="1:8" ht="13.8" thickBot="1">
      <c r="A5570" s="467" t="s">
        <v>10764</v>
      </c>
      <c r="B5570" s="465" t="s">
        <v>4772</v>
      </c>
      <c r="C5570" s="466">
        <v>8</v>
      </c>
      <c r="D5570" s="467" t="s">
        <v>614</v>
      </c>
      <c r="E5570" s="466" t="s">
        <v>4773</v>
      </c>
      <c r="F5570" s="466"/>
      <c r="G5570" s="465"/>
      <c r="H5570" s="465"/>
    </row>
    <row r="5571" spans="1:8" ht="13.8" thickBot="1">
      <c r="A5571" s="467" t="s">
        <v>10765</v>
      </c>
      <c r="B5571" s="465" t="s">
        <v>4781</v>
      </c>
      <c r="C5571" s="466">
        <v>8</v>
      </c>
      <c r="D5571" s="465"/>
      <c r="E5571" s="466" t="s">
        <v>4780</v>
      </c>
      <c r="F5571" s="466"/>
      <c r="G5571" s="465"/>
      <c r="H5571" s="465"/>
    </row>
    <row r="5572" spans="1:8" ht="13.8" thickBot="1">
      <c r="A5572" s="467" t="s">
        <v>10795</v>
      </c>
      <c r="B5572" s="465" t="s">
        <v>3286</v>
      </c>
      <c r="C5572" s="466">
        <v>8.1</v>
      </c>
      <c r="D5572" s="465"/>
      <c r="E5572" s="466" t="s">
        <v>3285</v>
      </c>
      <c r="F5572" s="466"/>
      <c r="G5572" s="465"/>
      <c r="H5572" s="465"/>
    </row>
    <row r="5573" spans="1:8" ht="13.8" thickBot="1">
      <c r="A5573" s="467" t="s">
        <v>10796</v>
      </c>
      <c r="B5573" s="465" t="s">
        <v>1792</v>
      </c>
      <c r="C5573" s="466">
        <v>8.25</v>
      </c>
      <c r="D5573" s="465"/>
      <c r="E5573" s="466" t="s">
        <v>1793</v>
      </c>
      <c r="F5573" s="466"/>
      <c r="G5573" s="465"/>
      <c r="H5573" s="465"/>
    </row>
    <row r="5574" spans="1:8" ht="13.8" thickBot="1">
      <c r="A5574" s="467" t="s">
        <v>10801</v>
      </c>
      <c r="B5574" s="465" t="s">
        <v>5343</v>
      </c>
      <c r="C5574" s="466">
        <v>8.25</v>
      </c>
      <c r="D5574" s="465"/>
      <c r="E5574" s="466" t="s">
        <v>5342</v>
      </c>
      <c r="F5574" s="466"/>
      <c r="G5574" s="465"/>
      <c r="H5574" s="465">
        <v>1</v>
      </c>
    </row>
    <row r="5575" spans="1:8" ht="13.8" thickBot="1">
      <c r="A5575" s="467" t="s">
        <v>10798</v>
      </c>
      <c r="B5575" s="465" t="s">
        <v>3995</v>
      </c>
      <c r="C5575" s="466">
        <v>8.25</v>
      </c>
      <c r="D5575" s="467" t="s">
        <v>614</v>
      </c>
      <c r="E5575" s="466" t="s">
        <v>3996</v>
      </c>
      <c r="F5575" s="466" t="s">
        <v>1251</v>
      </c>
      <c r="G5575" s="465"/>
      <c r="H5575" s="465"/>
    </row>
    <row r="5576" spans="1:8" ht="13.8" thickBot="1">
      <c r="A5576" s="467" t="s">
        <v>10799</v>
      </c>
      <c r="B5576" s="465" t="s">
        <v>3997</v>
      </c>
      <c r="C5576" s="466">
        <v>8.25</v>
      </c>
      <c r="D5576" s="465"/>
      <c r="E5576" s="466" t="s">
        <v>3996</v>
      </c>
      <c r="F5576" s="466"/>
      <c r="G5576" s="465"/>
      <c r="H5576" s="465"/>
    </row>
    <row r="5577" spans="1:8" ht="13.8" thickBot="1">
      <c r="A5577" s="467" t="s">
        <v>10800</v>
      </c>
      <c r="B5577" s="465" t="s">
        <v>4066</v>
      </c>
      <c r="C5577" s="466">
        <v>8.25</v>
      </c>
      <c r="D5577" s="465"/>
      <c r="E5577" s="466" t="s">
        <v>4067</v>
      </c>
      <c r="F5577" s="466"/>
      <c r="G5577" s="465"/>
      <c r="H5577" s="465"/>
    </row>
    <row r="5578" spans="1:8" ht="13.8" thickBot="1">
      <c r="A5578" s="467" t="s">
        <v>10797</v>
      </c>
      <c r="B5578" s="465" t="s">
        <v>2151</v>
      </c>
      <c r="C5578" s="466">
        <v>8.25</v>
      </c>
      <c r="D5578" s="465"/>
      <c r="E5578" s="466" t="s">
        <v>2152</v>
      </c>
      <c r="F5578" s="466"/>
      <c r="G5578" s="465"/>
      <c r="H5578" s="465"/>
    </row>
    <row r="5579" spans="1:8" ht="13.8" thickBot="1">
      <c r="A5579" s="467" t="s">
        <v>10802</v>
      </c>
      <c r="B5579" s="465" t="s">
        <v>1792</v>
      </c>
      <c r="C5579" s="466">
        <v>8.5</v>
      </c>
      <c r="D5579" s="465"/>
      <c r="E5579" s="466" t="s">
        <v>1793</v>
      </c>
      <c r="F5579" s="466"/>
      <c r="G5579" s="465"/>
      <c r="H5579" s="465"/>
    </row>
    <row r="5580" spans="1:8" ht="13.8" thickBot="1">
      <c r="A5580" s="467" t="s">
        <v>10803</v>
      </c>
      <c r="B5580" s="465" t="s">
        <v>1792</v>
      </c>
      <c r="C5580" s="466">
        <v>8.5</v>
      </c>
      <c r="D5580" s="465"/>
      <c r="E5580" s="466" t="s">
        <v>1793</v>
      </c>
      <c r="F5580" s="466"/>
      <c r="G5580" s="465"/>
      <c r="H5580" s="465"/>
    </row>
    <row r="5581" spans="1:8" ht="13.8" thickBot="1">
      <c r="A5581" s="467" t="s">
        <v>10804</v>
      </c>
      <c r="B5581" s="465" t="s">
        <v>1792</v>
      </c>
      <c r="C5581" s="466">
        <v>8.5</v>
      </c>
      <c r="D5581" s="465"/>
      <c r="E5581" s="466" t="s">
        <v>1793</v>
      </c>
      <c r="F5581" s="466"/>
      <c r="G5581" s="465"/>
      <c r="H5581" s="465"/>
    </row>
    <row r="5582" spans="1:8" ht="13.8" thickBot="1">
      <c r="A5582" s="467" t="s">
        <v>10805</v>
      </c>
      <c r="B5582" s="465" t="s">
        <v>1792</v>
      </c>
      <c r="C5582" s="466">
        <v>8.5</v>
      </c>
      <c r="D5582" s="465"/>
      <c r="E5582" s="466" t="s">
        <v>1793</v>
      </c>
      <c r="F5582" s="466"/>
      <c r="G5582" s="465"/>
      <c r="H5582" s="465"/>
    </row>
    <row r="5583" spans="1:8" ht="13.8" thickBot="1">
      <c r="A5583" s="467" t="s">
        <v>10806</v>
      </c>
      <c r="B5583" s="465" t="s">
        <v>1792</v>
      </c>
      <c r="C5583" s="466">
        <v>8.5</v>
      </c>
      <c r="D5583" s="465"/>
      <c r="E5583" s="466" t="s">
        <v>1793</v>
      </c>
      <c r="F5583" s="466"/>
      <c r="G5583" s="465"/>
      <c r="H5583" s="465"/>
    </row>
    <row r="5584" spans="1:8" ht="13.8" thickBot="1">
      <c r="A5584" s="467" t="s">
        <v>10807</v>
      </c>
      <c r="B5584" s="465" t="s">
        <v>1794</v>
      </c>
      <c r="C5584" s="466">
        <v>8.5</v>
      </c>
      <c r="D5584" s="465"/>
      <c r="E5584" s="466" t="s">
        <v>1793</v>
      </c>
      <c r="F5584" s="466"/>
      <c r="G5584" s="465"/>
      <c r="H5584" s="465"/>
    </row>
    <row r="5585" spans="1:8" ht="13.8" thickBot="1">
      <c r="A5585" s="467" t="s">
        <v>10808</v>
      </c>
      <c r="B5585" s="465" t="s">
        <v>1795</v>
      </c>
      <c r="C5585" s="466">
        <v>8.5</v>
      </c>
      <c r="D5585" s="465"/>
      <c r="E5585" s="466" t="s">
        <v>1793</v>
      </c>
      <c r="F5585" s="466"/>
      <c r="G5585" s="465"/>
      <c r="H5585" s="465"/>
    </row>
    <row r="5586" spans="1:8" ht="13.8" thickBot="1">
      <c r="A5586" s="467" t="s">
        <v>10809</v>
      </c>
      <c r="B5586" s="465" t="s">
        <v>1796</v>
      </c>
      <c r="C5586" s="466">
        <v>8.5</v>
      </c>
      <c r="D5586" s="467" t="s">
        <v>614</v>
      </c>
      <c r="E5586" s="466" t="s">
        <v>1793</v>
      </c>
      <c r="F5586" s="466"/>
      <c r="G5586" s="465"/>
      <c r="H5586" s="465"/>
    </row>
    <row r="5587" spans="1:8" ht="13.8" thickBot="1">
      <c r="A5587" s="467" t="s">
        <v>10873</v>
      </c>
      <c r="B5587" s="465" t="s">
        <v>1495</v>
      </c>
      <c r="C5587" s="466">
        <v>8.5</v>
      </c>
      <c r="D5587" s="465"/>
      <c r="E5587" s="466" t="s">
        <v>5109</v>
      </c>
      <c r="F5587" s="466"/>
      <c r="G5587" s="465"/>
      <c r="H5587" s="465"/>
    </row>
    <row r="5588" spans="1:8" ht="13.8" thickBot="1">
      <c r="A5588" s="467" t="s">
        <v>10874</v>
      </c>
      <c r="B5588" s="465" t="s">
        <v>1700</v>
      </c>
      <c r="C5588" s="466">
        <v>8.5</v>
      </c>
      <c r="D5588" s="465"/>
      <c r="E5588" s="466" t="s">
        <v>5139</v>
      </c>
      <c r="F5588" s="466"/>
      <c r="G5588" s="465"/>
      <c r="H5588" s="465"/>
    </row>
    <row r="5589" spans="1:8" ht="13.8" thickBot="1">
      <c r="A5589" s="467" t="s">
        <v>10875</v>
      </c>
      <c r="B5589" s="465" t="s">
        <v>5197</v>
      </c>
      <c r="C5589" s="466">
        <v>8.5</v>
      </c>
      <c r="D5589" s="467" t="s">
        <v>5198</v>
      </c>
      <c r="E5589" s="466" t="s">
        <v>5196</v>
      </c>
      <c r="F5589" s="466" t="s">
        <v>1226</v>
      </c>
      <c r="G5589" s="465">
        <v>1</v>
      </c>
      <c r="H5589" s="465">
        <v>1</v>
      </c>
    </row>
    <row r="5590" spans="1:8" ht="13.8" thickBot="1">
      <c r="A5590" s="467" t="s">
        <v>10815</v>
      </c>
      <c r="B5590" s="465" t="s">
        <v>2292</v>
      </c>
      <c r="C5590" s="466">
        <v>8.5</v>
      </c>
      <c r="D5590" s="465"/>
      <c r="E5590" s="466" t="s">
        <v>2289</v>
      </c>
      <c r="F5590" s="466" t="s">
        <v>1229</v>
      </c>
      <c r="G5590" s="465"/>
      <c r="H5590" s="465"/>
    </row>
    <row r="5591" spans="1:8" ht="13.8" thickBot="1">
      <c r="A5591" s="467" t="s">
        <v>10816</v>
      </c>
      <c r="B5591" s="465" t="s">
        <v>1726</v>
      </c>
      <c r="C5591" s="466">
        <v>8.5</v>
      </c>
      <c r="D5591" s="465"/>
      <c r="E5591" s="466" t="s">
        <v>2289</v>
      </c>
      <c r="F5591" s="466"/>
      <c r="G5591" s="465"/>
      <c r="H5591" s="465"/>
    </row>
    <row r="5592" spans="1:8" ht="13.8" thickBot="1">
      <c r="A5592" s="465" t="s">
        <v>10876</v>
      </c>
      <c r="B5592" s="465" t="s">
        <v>5256</v>
      </c>
      <c r="C5592" s="466">
        <v>8.5</v>
      </c>
      <c r="D5592" s="465"/>
      <c r="E5592" s="466" t="s">
        <v>5257</v>
      </c>
      <c r="F5592" s="466"/>
      <c r="G5592" s="465"/>
      <c r="H5592" s="465"/>
    </row>
    <row r="5593" spans="1:8" ht="13.8" thickBot="1">
      <c r="A5593" s="465" t="s">
        <v>10877</v>
      </c>
      <c r="B5593" s="465" t="s">
        <v>5326</v>
      </c>
      <c r="C5593" s="466">
        <v>8.5</v>
      </c>
      <c r="D5593" s="467" t="s">
        <v>614</v>
      </c>
      <c r="E5593" s="466" t="s">
        <v>5325</v>
      </c>
      <c r="F5593" s="466"/>
      <c r="G5593" s="465"/>
      <c r="H5593" s="465">
        <v>2</v>
      </c>
    </row>
    <row r="5594" spans="1:8" ht="13.8" thickBot="1">
      <c r="A5594" s="467" t="s">
        <v>10878</v>
      </c>
      <c r="B5594" s="465" t="s">
        <v>5341</v>
      </c>
      <c r="C5594" s="466">
        <v>8.5</v>
      </c>
      <c r="D5594" s="465"/>
      <c r="E5594" s="466" t="s">
        <v>5342</v>
      </c>
      <c r="F5594" s="466"/>
      <c r="G5594" s="465"/>
      <c r="H5594" s="465">
        <v>1</v>
      </c>
    </row>
    <row r="5595" spans="1:8" ht="13.8" thickBot="1">
      <c r="A5595" s="465" t="s">
        <v>10817</v>
      </c>
      <c r="B5595" s="465" t="s">
        <v>2448</v>
      </c>
      <c r="C5595" s="466">
        <v>8.5</v>
      </c>
      <c r="D5595" s="465"/>
      <c r="E5595" s="466" t="s">
        <v>2449</v>
      </c>
      <c r="F5595" s="466"/>
      <c r="G5595" s="465"/>
      <c r="H5595" s="465"/>
    </row>
    <row r="5596" spans="1:8" ht="13.8" thickBot="1">
      <c r="A5596" s="467" t="s">
        <v>10818</v>
      </c>
      <c r="B5596" s="465" t="s">
        <v>2448</v>
      </c>
      <c r="C5596" s="466">
        <v>8.5</v>
      </c>
      <c r="D5596" s="465"/>
      <c r="E5596" s="466" t="s">
        <v>2449</v>
      </c>
      <c r="F5596" s="466"/>
      <c r="G5596" s="465"/>
      <c r="H5596" s="465"/>
    </row>
    <row r="5597" spans="1:8" ht="13.8" thickBot="1">
      <c r="A5597" s="467" t="s">
        <v>10810</v>
      </c>
      <c r="B5597" s="465" t="s">
        <v>1923</v>
      </c>
      <c r="C5597" s="466">
        <v>8.5</v>
      </c>
      <c r="D5597" s="467" t="s">
        <v>1924</v>
      </c>
      <c r="E5597" s="466" t="s">
        <v>1922</v>
      </c>
      <c r="F5597" s="466"/>
      <c r="G5597" s="465">
        <v>1</v>
      </c>
      <c r="H5597" s="465">
        <v>2</v>
      </c>
    </row>
    <row r="5598" spans="1:8" ht="13.8" thickBot="1">
      <c r="A5598" s="467" t="s">
        <v>10819</v>
      </c>
      <c r="B5598" s="465" t="s">
        <v>2843</v>
      </c>
      <c r="C5598" s="466">
        <v>8.5</v>
      </c>
      <c r="D5598" s="465"/>
      <c r="E5598" s="466" t="s">
        <v>2841</v>
      </c>
      <c r="F5598" s="466"/>
      <c r="G5598" s="465"/>
      <c r="H5598" s="465"/>
    </row>
    <row r="5599" spans="1:8" ht="13.8" thickBot="1">
      <c r="A5599" s="467" t="s">
        <v>10811</v>
      </c>
      <c r="B5599" s="465" t="s">
        <v>1752</v>
      </c>
      <c r="C5599" s="466">
        <v>8.5</v>
      </c>
      <c r="D5599" s="465"/>
      <c r="E5599" s="466" t="s">
        <v>1997</v>
      </c>
      <c r="F5599" s="466"/>
      <c r="G5599" s="465"/>
      <c r="H5599" s="465"/>
    </row>
    <row r="5600" spans="1:8" ht="13.8" thickBot="1">
      <c r="A5600" s="467" t="s">
        <v>10812</v>
      </c>
      <c r="B5600" s="465" t="s">
        <v>1998</v>
      </c>
      <c r="C5600" s="466">
        <v>8.5</v>
      </c>
      <c r="D5600" s="465"/>
      <c r="E5600" s="466" t="s">
        <v>1997</v>
      </c>
      <c r="F5600" s="466"/>
      <c r="G5600" s="465"/>
      <c r="H5600" s="465"/>
    </row>
    <row r="5601" spans="1:8" ht="13.8" thickBot="1">
      <c r="A5601" s="467" t="s">
        <v>10813</v>
      </c>
      <c r="B5601" s="465" t="s">
        <v>1999</v>
      </c>
      <c r="C5601" s="466">
        <v>8.5</v>
      </c>
      <c r="D5601" s="465"/>
      <c r="E5601" s="466" t="s">
        <v>1997</v>
      </c>
      <c r="F5601" s="466"/>
      <c r="G5601" s="465"/>
      <c r="H5601" s="465"/>
    </row>
    <row r="5602" spans="1:8" ht="13.8" thickBot="1">
      <c r="A5602" s="465" t="s">
        <v>10820</v>
      </c>
      <c r="B5602" s="465" t="s">
        <v>2921</v>
      </c>
      <c r="C5602" s="466">
        <v>8.5</v>
      </c>
      <c r="D5602" s="465"/>
      <c r="E5602" s="466" t="s">
        <v>2922</v>
      </c>
      <c r="F5602" s="466"/>
      <c r="G5602" s="465"/>
      <c r="H5602" s="465"/>
    </row>
    <row r="5603" spans="1:8" ht="13.8" thickBot="1">
      <c r="A5603" s="465" t="s">
        <v>10821</v>
      </c>
      <c r="B5603" s="465" t="s">
        <v>2923</v>
      </c>
      <c r="C5603" s="466">
        <v>8.5</v>
      </c>
      <c r="D5603" s="465"/>
      <c r="E5603" s="466" t="s">
        <v>2922</v>
      </c>
      <c r="F5603" s="466"/>
      <c r="G5603" s="465"/>
      <c r="H5603" s="465"/>
    </row>
    <row r="5604" spans="1:8" ht="13.8" thickBot="1">
      <c r="A5604" s="465" t="s">
        <v>10822</v>
      </c>
      <c r="B5604" s="465" t="s">
        <v>2924</v>
      </c>
      <c r="C5604" s="466">
        <v>8.5</v>
      </c>
      <c r="D5604" s="465"/>
      <c r="E5604" s="466" t="s">
        <v>2922</v>
      </c>
      <c r="F5604" s="466"/>
      <c r="G5604" s="465"/>
      <c r="H5604" s="465"/>
    </row>
    <row r="5605" spans="1:8" ht="13.8" thickBot="1">
      <c r="A5605" s="467" t="s">
        <v>10823</v>
      </c>
      <c r="B5605" s="465" t="s">
        <v>3131</v>
      </c>
      <c r="C5605" s="466">
        <v>8.5</v>
      </c>
      <c r="D5605" s="465"/>
      <c r="E5605" s="466" t="s">
        <v>3130</v>
      </c>
      <c r="F5605" s="466"/>
      <c r="G5605" s="465"/>
      <c r="H5605" s="465"/>
    </row>
    <row r="5606" spans="1:8" ht="13.8" thickBot="1">
      <c r="A5606" s="467" t="s">
        <v>10824</v>
      </c>
      <c r="B5606" s="465" t="s">
        <v>3132</v>
      </c>
      <c r="C5606" s="466">
        <v>8.5</v>
      </c>
      <c r="D5606" s="465"/>
      <c r="E5606" s="466" t="s">
        <v>3130</v>
      </c>
      <c r="F5606" s="466"/>
      <c r="G5606" s="465"/>
      <c r="H5606" s="465"/>
    </row>
    <row r="5607" spans="1:8" ht="13.8" thickBot="1">
      <c r="A5607" s="467" t="s">
        <v>10825</v>
      </c>
      <c r="B5607" s="465" t="s">
        <v>1390</v>
      </c>
      <c r="C5607" s="466">
        <v>8.5</v>
      </c>
      <c r="D5607" s="465"/>
      <c r="E5607" s="466" t="s">
        <v>3161</v>
      </c>
      <c r="F5607" s="466"/>
      <c r="G5607" s="465"/>
      <c r="H5607" s="465">
        <v>1</v>
      </c>
    </row>
    <row r="5608" spans="1:8" ht="13.8" thickBot="1">
      <c r="A5608" s="467" t="s">
        <v>10826</v>
      </c>
      <c r="B5608" s="465" t="s">
        <v>1390</v>
      </c>
      <c r="C5608" s="466">
        <v>8.5</v>
      </c>
      <c r="D5608" s="465"/>
      <c r="E5608" s="466" t="s">
        <v>3161</v>
      </c>
      <c r="F5608" s="466"/>
      <c r="G5608" s="465">
        <v>1</v>
      </c>
      <c r="H5608" s="465">
        <v>1</v>
      </c>
    </row>
    <row r="5609" spans="1:8" ht="13.8" thickBot="1">
      <c r="A5609" s="467" t="s">
        <v>10827</v>
      </c>
      <c r="B5609" s="465" t="s">
        <v>3165</v>
      </c>
      <c r="C5609" s="466">
        <v>8.5</v>
      </c>
      <c r="D5609" s="465" t="s">
        <v>3166</v>
      </c>
      <c r="E5609" s="466" t="s">
        <v>3161</v>
      </c>
      <c r="F5609" s="466"/>
      <c r="G5609" s="465"/>
      <c r="H5609" s="465"/>
    </row>
    <row r="5610" spans="1:8" ht="13.8" thickBot="1">
      <c r="A5610" s="467" t="s">
        <v>10828</v>
      </c>
      <c r="B5610" s="465" t="s">
        <v>3167</v>
      </c>
      <c r="C5610" s="466">
        <v>8.5</v>
      </c>
      <c r="D5610" s="465"/>
      <c r="E5610" s="466" t="s">
        <v>3161</v>
      </c>
      <c r="F5610" s="466"/>
      <c r="G5610" s="465"/>
      <c r="H5610" s="465"/>
    </row>
    <row r="5611" spans="1:8" ht="13.8" thickBot="1">
      <c r="A5611" s="467" t="s">
        <v>10829</v>
      </c>
      <c r="B5611" s="465" t="s">
        <v>3168</v>
      </c>
      <c r="C5611" s="466">
        <v>8.5</v>
      </c>
      <c r="D5611" s="465"/>
      <c r="E5611" s="466" t="s">
        <v>3161</v>
      </c>
      <c r="F5611" s="466"/>
      <c r="G5611" s="465"/>
      <c r="H5611" s="465"/>
    </row>
    <row r="5612" spans="1:8" ht="13.8" thickBot="1">
      <c r="A5612" s="467" t="s">
        <v>10830</v>
      </c>
      <c r="B5612" s="465" t="s">
        <v>1419</v>
      </c>
      <c r="C5612" s="466">
        <v>8.5</v>
      </c>
      <c r="D5612" s="465"/>
      <c r="E5612" s="466" t="s">
        <v>3285</v>
      </c>
      <c r="F5612" s="466"/>
      <c r="G5612" s="465"/>
      <c r="H5612" s="465"/>
    </row>
    <row r="5613" spans="1:8" ht="13.8" thickBot="1">
      <c r="A5613" s="465" t="s">
        <v>10831</v>
      </c>
      <c r="B5613" s="465" t="s">
        <v>3314</v>
      </c>
      <c r="C5613" s="466">
        <v>8.5</v>
      </c>
      <c r="D5613" s="465"/>
      <c r="E5613" s="466" t="s">
        <v>3315</v>
      </c>
      <c r="F5613" s="466"/>
      <c r="G5613" s="465"/>
      <c r="H5613" s="465"/>
    </row>
    <row r="5614" spans="1:8" ht="13.8" thickBot="1">
      <c r="A5614" s="467" t="s">
        <v>10832</v>
      </c>
      <c r="B5614" s="465" t="s">
        <v>3316</v>
      </c>
      <c r="C5614" s="466">
        <v>8.5</v>
      </c>
      <c r="D5614" s="465"/>
      <c r="E5614" s="466" t="s">
        <v>3315</v>
      </c>
      <c r="F5614" s="466"/>
      <c r="G5614" s="465"/>
      <c r="H5614" s="465"/>
    </row>
    <row r="5615" spans="1:8" ht="13.8" thickBot="1">
      <c r="A5615" s="467" t="s">
        <v>10833</v>
      </c>
      <c r="B5615" s="465" t="s">
        <v>1440</v>
      </c>
      <c r="C5615" s="466">
        <v>8.5</v>
      </c>
      <c r="D5615" s="465"/>
      <c r="E5615" s="466" t="s">
        <v>3351</v>
      </c>
      <c r="F5615" s="466"/>
      <c r="G5615" s="465"/>
      <c r="H5615" s="465"/>
    </row>
    <row r="5616" spans="1:8" ht="13.8" thickBot="1">
      <c r="A5616" s="467" t="s">
        <v>10834</v>
      </c>
      <c r="B5616" s="465" t="s">
        <v>3352</v>
      </c>
      <c r="C5616" s="466">
        <v>8.5</v>
      </c>
      <c r="D5616" s="465"/>
      <c r="E5616" s="466" t="s">
        <v>3351</v>
      </c>
      <c r="F5616" s="466"/>
      <c r="G5616" s="465"/>
      <c r="H5616" s="465"/>
    </row>
    <row r="5617" spans="1:8" ht="13.8" thickBot="1">
      <c r="A5617" s="467" t="s">
        <v>10835</v>
      </c>
      <c r="B5617" s="465" t="s">
        <v>3353</v>
      </c>
      <c r="C5617" s="466">
        <v>8.5</v>
      </c>
      <c r="D5617" s="465"/>
      <c r="E5617" s="466" t="s">
        <v>3351</v>
      </c>
      <c r="F5617" s="466"/>
      <c r="G5617" s="465"/>
      <c r="H5617" s="465"/>
    </row>
    <row r="5618" spans="1:8" ht="13.8" thickBot="1">
      <c r="A5618" s="467" t="s">
        <v>10836</v>
      </c>
      <c r="B5618" s="465" t="s">
        <v>3354</v>
      </c>
      <c r="C5618" s="466">
        <v>8.5</v>
      </c>
      <c r="D5618" s="465"/>
      <c r="E5618" s="466" t="s">
        <v>3351</v>
      </c>
      <c r="F5618" s="466"/>
      <c r="G5618" s="465"/>
      <c r="H5618" s="465"/>
    </row>
    <row r="5619" spans="1:8" ht="13.8" thickBot="1">
      <c r="A5619" s="467" t="s">
        <v>10837</v>
      </c>
      <c r="B5619" s="465" t="s">
        <v>3453</v>
      </c>
      <c r="C5619" s="466">
        <v>8.5</v>
      </c>
      <c r="D5619" s="465"/>
      <c r="E5619" s="466" t="s">
        <v>3452</v>
      </c>
      <c r="F5619" s="466"/>
      <c r="G5619" s="465"/>
      <c r="H5619" s="465"/>
    </row>
    <row r="5620" spans="1:8" ht="13.8" thickBot="1">
      <c r="A5620" s="467" t="s">
        <v>10838</v>
      </c>
      <c r="B5620" s="465" t="s">
        <v>3454</v>
      </c>
      <c r="C5620" s="466">
        <v>8.5</v>
      </c>
      <c r="D5620" s="465"/>
      <c r="E5620" s="466" t="s">
        <v>3452</v>
      </c>
      <c r="F5620" s="466"/>
      <c r="G5620" s="465"/>
      <c r="H5620" s="465"/>
    </row>
    <row r="5621" spans="1:8" ht="13.8" thickBot="1">
      <c r="A5621" s="467" t="s">
        <v>10839</v>
      </c>
      <c r="B5621" s="465" t="s">
        <v>3497</v>
      </c>
      <c r="C5621" s="466">
        <v>8.5</v>
      </c>
      <c r="D5621" s="465"/>
      <c r="E5621" s="466" t="s">
        <v>3496</v>
      </c>
      <c r="F5621" s="466"/>
      <c r="G5621" s="465"/>
      <c r="H5621" s="465"/>
    </row>
    <row r="5622" spans="1:8" ht="13.8" thickBot="1">
      <c r="A5622" s="467" t="s">
        <v>10840</v>
      </c>
      <c r="B5622" s="465" t="s">
        <v>3519</v>
      </c>
      <c r="C5622" s="466">
        <v>8.5</v>
      </c>
      <c r="D5622" s="465"/>
      <c r="E5622" s="466" t="s">
        <v>3517</v>
      </c>
      <c r="F5622" s="466"/>
      <c r="G5622" s="465"/>
      <c r="H5622" s="465"/>
    </row>
    <row r="5623" spans="1:8" ht="13.8" thickBot="1">
      <c r="A5623" s="467" t="s">
        <v>10841</v>
      </c>
      <c r="B5623" s="465" t="s">
        <v>3520</v>
      </c>
      <c r="C5623" s="466">
        <v>8.5</v>
      </c>
      <c r="D5623" s="465"/>
      <c r="E5623" s="466" t="s">
        <v>3517</v>
      </c>
      <c r="F5623" s="466"/>
      <c r="G5623" s="465"/>
      <c r="H5623" s="465"/>
    </row>
    <row r="5624" spans="1:8" ht="13.8" thickBot="1">
      <c r="A5624" s="467" t="s">
        <v>10842</v>
      </c>
      <c r="B5624" s="465" t="s">
        <v>3640</v>
      </c>
      <c r="C5624" s="466">
        <v>8.5</v>
      </c>
      <c r="D5624" s="465"/>
      <c r="E5624" s="466" t="s">
        <v>3641</v>
      </c>
      <c r="F5624" s="466"/>
      <c r="G5624" s="465">
        <v>2</v>
      </c>
      <c r="H5624" s="465">
        <v>2</v>
      </c>
    </row>
    <row r="5625" spans="1:8" ht="13.8" thickBot="1">
      <c r="A5625" s="467" t="s">
        <v>10843</v>
      </c>
      <c r="B5625" s="465" t="s">
        <v>3642</v>
      </c>
      <c r="C5625" s="466">
        <v>8.5</v>
      </c>
      <c r="D5625" s="465"/>
      <c r="E5625" s="466" t="s">
        <v>3641</v>
      </c>
      <c r="F5625" s="466"/>
      <c r="G5625" s="465"/>
      <c r="H5625" s="465"/>
    </row>
    <row r="5626" spans="1:8" ht="13.8" thickBot="1">
      <c r="A5626" s="467" t="s">
        <v>10844</v>
      </c>
      <c r="B5626" s="465" t="s">
        <v>1480</v>
      </c>
      <c r="C5626" s="466">
        <v>8.5</v>
      </c>
      <c r="D5626" s="465"/>
      <c r="E5626" s="466" t="s">
        <v>3734</v>
      </c>
      <c r="F5626" s="466"/>
      <c r="G5626" s="465"/>
      <c r="H5626" s="465"/>
    </row>
    <row r="5627" spans="1:8" ht="13.8" thickBot="1">
      <c r="A5627" s="467" t="s">
        <v>10845</v>
      </c>
      <c r="B5627" s="465" t="s">
        <v>1480</v>
      </c>
      <c r="C5627" s="466">
        <v>8.5</v>
      </c>
      <c r="D5627" s="465"/>
      <c r="E5627" s="466" t="s">
        <v>3734</v>
      </c>
      <c r="F5627" s="466"/>
      <c r="G5627" s="465"/>
      <c r="H5627" s="465"/>
    </row>
    <row r="5628" spans="1:8" ht="13.8" thickBot="1">
      <c r="A5628" s="467" t="s">
        <v>10846</v>
      </c>
      <c r="B5628" s="465" t="s">
        <v>1480</v>
      </c>
      <c r="C5628" s="466">
        <v>8.5</v>
      </c>
      <c r="D5628" s="465"/>
      <c r="E5628" s="466" t="s">
        <v>3734</v>
      </c>
      <c r="F5628" s="466"/>
      <c r="G5628" s="465"/>
      <c r="H5628" s="465"/>
    </row>
    <row r="5629" spans="1:8" ht="13.8" thickBot="1">
      <c r="A5629" s="467" t="s">
        <v>10847</v>
      </c>
      <c r="B5629" s="465" t="s">
        <v>3735</v>
      </c>
      <c r="C5629" s="466">
        <v>8.5</v>
      </c>
      <c r="D5629" s="465"/>
      <c r="E5629" s="466" t="s">
        <v>3734</v>
      </c>
      <c r="F5629" s="466"/>
      <c r="G5629" s="465"/>
      <c r="H5629" s="465"/>
    </row>
    <row r="5630" spans="1:8" ht="13.8" thickBot="1">
      <c r="A5630" s="467" t="s">
        <v>10848</v>
      </c>
      <c r="B5630" s="465" t="s">
        <v>3806</v>
      </c>
      <c r="C5630" s="466">
        <v>8.5</v>
      </c>
      <c r="D5630" s="465"/>
      <c r="E5630" s="466" t="s">
        <v>3807</v>
      </c>
      <c r="F5630" s="466"/>
      <c r="G5630" s="465"/>
      <c r="H5630" s="465"/>
    </row>
    <row r="5631" spans="1:8" ht="13.8" thickBot="1">
      <c r="A5631" s="467" t="s">
        <v>10849</v>
      </c>
      <c r="B5631" s="465" t="s">
        <v>3808</v>
      </c>
      <c r="C5631" s="466">
        <v>8.5</v>
      </c>
      <c r="D5631" s="465"/>
      <c r="E5631" s="466" t="s">
        <v>3807</v>
      </c>
      <c r="F5631" s="466"/>
      <c r="G5631" s="465"/>
      <c r="H5631" s="465"/>
    </row>
    <row r="5632" spans="1:8" ht="13.8" thickBot="1">
      <c r="A5632" s="467" t="s">
        <v>10850</v>
      </c>
      <c r="B5632" s="465" t="s">
        <v>3809</v>
      </c>
      <c r="C5632" s="466">
        <v>8.5</v>
      </c>
      <c r="D5632" s="467" t="s">
        <v>3810</v>
      </c>
      <c r="E5632" s="466" t="s">
        <v>3807</v>
      </c>
      <c r="F5632" s="466"/>
      <c r="G5632" s="465">
        <v>2</v>
      </c>
      <c r="H5632" s="465">
        <v>2</v>
      </c>
    </row>
    <row r="5633" spans="1:8" ht="13.8" thickBot="1">
      <c r="A5633" s="467" t="s">
        <v>10851</v>
      </c>
      <c r="B5633" s="467" t="s">
        <v>10851</v>
      </c>
      <c r="C5633" s="466">
        <v>8.5</v>
      </c>
      <c r="D5633" s="465"/>
      <c r="E5633" s="466" t="s">
        <v>3856</v>
      </c>
      <c r="F5633" s="466"/>
      <c r="G5633" s="465"/>
      <c r="H5633" s="465"/>
    </row>
    <row r="5634" spans="1:8" ht="13.8" thickBot="1">
      <c r="A5634" s="467" t="s">
        <v>10852</v>
      </c>
      <c r="B5634" s="465" t="s">
        <v>3960</v>
      </c>
      <c r="C5634" s="466">
        <v>8.5</v>
      </c>
      <c r="D5634" s="465"/>
      <c r="E5634" s="466" t="s">
        <v>3957</v>
      </c>
      <c r="F5634" s="466" t="s">
        <v>1226</v>
      </c>
      <c r="G5634" s="465"/>
      <c r="H5634" s="465">
        <v>1</v>
      </c>
    </row>
    <row r="5635" spans="1:8" ht="13.8" thickBot="1">
      <c r="A5635" s="467" t="s">
        <v>10853</v>
      </c>
      <c r="B5635" s="465" t="s">
        <v>1519</v>
      </c>
      <c r="C5635" s="466">
        <v>8.5</v>
      </c>
      <c r="D5635" s="465"/>
      <c r="E5635" s="466" t="s">
        <v>3957</v>
      </c>
      <c r="F5635" s="466"/>
      <c r="G5635" s="465"/>
      <c r="H5635" s="465"/>
    </row>
    <row r="5636" spans="1:8" ht="13.8" thickBot="1">
      <c r="A5636" s="467" t="s">
        <v>10854</v>
      </c>
      <c r="B5636" s="465" t="s">
        <v>3961</v>
      </c>
      <c r="C5636" s="466">
        <v>8.5</v>
      </c>
      <c r="D5636" s="465"/>
      <c r="E5636" s="466" t="s">
        <v>3957</v>
      </c>
      <c r="F5636" s="466"/>
      <c r="G5636" s="465"/>
      <c r="H5636" s="465"/>
    </row>
    <row r="5637" spans="1:8" ht="13.8" thickBot="1">
      <c r="A5637" s="467" t="s">
        <v>10855</v>
      </c>
      <c r="B5637" s="465" t="s">
        <v>3962</v>
      </c>
      <c r="C5637" s="466">
        <v>8.5</v>
      </c>
      <c r="D5637" s="465"/>
      <c r="E5637" s="466" t="s">
        <v>3957</v>
      </c>
      <c r="F5637" s="466"/>
      <c r="G5637" s="465"/>
      <c r="H5637" s="465"/>
    </row>
    <row r="5638" spans="1:8" ht="13.8" thickBot="1">
      <c r="A5638" s="467" t="s">
        <v>10856</v>
      </c>
      <c r="B5638" s="465" t="s">
        <v>4203</v>
      </c>
      <c r="C5638" s="466">
        <v>8.5</v>
      </c>
      <c r="D5638" s="465"/>
      <c r="E5638" s="466" t="s">
        <v>4204</v>
      </c>
      <c r="F5638" s="466"/>
      <c r="G5638" s="465"/>
      <c r="H5638" s="465"/>
    </row>
    <row r="5639" spans="1:8" ht="13.8" thickBot="1">
      <c r="A5639" s="467" t="s">
        <v>10857</v>
      </c>
      <c r="B5639" s="465" t="s">
        <v>4216</v>
      </c>
      <c r="C5639" s="466">
        <v>8.5</v>
      </c>
      <c r="D5639" s="465"/>
      <c r="E5639" s="466" t="s">
        <v>4214</v>
      </c>
      <c r="F5639" s="466"/>
      <c r="G5639" s="465"/>
      <c r="H5639" s="465"/>
    </row>
    <row r="5640" spans="1:8" ht="13.8" thickBot="1">
      <c r="A5640" s="467" t="s">
        <v>10858</v>
      </c>
      <c r="B5640" s="465" t="s">
        <v>4217</v>
      </c>
      <c r="C5640" s="466">
        <v>8.5</v>
      </c>
      <c r="D5640" s="465"/>
      <c r="E5640" s="466" t="s">
        <v>4214</v>
      </c>
      <c r="F5640" s="466"/>
      <c r="G5640" s="465"/>
      <c r="H5640" s="465"/>
    </row>
    <row r="5641" spans="1:8" ht="13.8" thickBot="1">
      <c r="A5641" s="467" t="s">
        <v>10859</v>
      </c>
      <c r="B5641" s="465" t="s">
        <v>4218</v>
      </c>
      <c r="C5641" s="466">
        <v>8.5</v>
      </c>
      <c r="D5641" s="465"/>
      <c r="E5641" s="466" t="s">
        <v>4214</v>
      </c>
      <c r="F5641" s="466"/>
      <c r="G5641" s="465"/>
      <c r="H5641" s="465"/>
    </row>
    <row r="5642" spans="1:8" ht="13.8" thickBot="1">
      <c r="A5642" s="467" t="s">
        <v>10814</v>
      </c>
      <c r="B5642" s="465" t="s">
        <v>2124</v>
      </c>
      <c r="C5642" s="466">
        <v>8.5</v>
      </c>
      <c r="D5642" s="465"/>
      <c r="E5642" s="466" t="s">
        <v>2123</v>
      </c>
      <c r="F5642" s="466" t="s">
        <v>1224</v>
      </c>
      <c r="G5642" s="465">
        <v>2</v>
      </c>
      <c r="H5642" s="465">
        <v>2</v>
      </c>
    </row>
    <row r="5643" spans="1:8" ht="13.8" thickBot="1">
      <c r="A5643" s="467" t="s">
        <v>10860</v>
      </c>
      <c r="B5643" s="465" t="s">
        <v>4440</v>
      </c>
      <c r="C5643" s="466">
        <v>8.5</v>
      </c>
      <c r="D5643" s="465"/>
      <c r="E5643" s="466" t="s">
        <v>4438</v>
      </c>
      <c r="F5643" s="466"/>
      <c r="G5643" s="465"/>
      <c r="H5643" s="465"/>
    </row>
    <row r="5644" spans="1:8" ht="13.8" thickBot="1">
      <c r="A5644" s="467" t="s">
        <v>10861</v>
      </c>
      <c r="B5644" s="465" t="s">
        <v>4535</v>
      </c>
      <c r="C5644" s="466">
        <v>8.5</v>
      </c>
      <c r="D5644" s="465"/>
      <c r="E5644" s="466" t="s">
        <v>4536</v>
      </c>
      <c r="F5644" s="466"/>
      <c r="G5644" s="465"/>
      <c r="H5644" s="465"/>
    </row>
    <row r="5645" spans="1:8" ht="13.8" thickBot="1">
      <c r="A5645" s="467" t="s">
        <v>10862</v>
      </c>
      <c r="B5645" s="465" t="s">
        <v>4595</v>
      </c>
      <c r="C5645" s="466">
        <v>8.5</v>
      </c>
      <c r="D5645" s="465"/>
      <c r="E5645" s="466" t="s">
        <v>4596</v>
      </c>
      <c r="F5645" s="466"/>
      <c r="G5645" s="465"/>
      <c r="H5645" s="465"/>
    </row>
    <row r="5646" spans="1:8" ht="13.8" thickBot="1">
      <c r="A5646" s="467" t="s">
        <v>10863</v>
      </c>
      <c r="B5646" s="465" t="s">
        <v>4627</v>
      </c>
      <c r="C5646" s="466">
        <v>8.5</v>
      </c>
      <c r="D5646" s="465"/>
      <c r="E5646" s="466" t="s">
        <v>4628</v>
      </c>
      <c r="F5646" s="466"/>
      <c r="G5646" s="465"/>
      <c r="H5646" s="465"/>
    </row>
    <row r="5647" spans="1:8" ht="13.8" thickBot="1">
      <c r="A5647" s="467" t="s">
        <v>10864</v>
      </c>
      <c r="B5647" s="465" t="s">
        <v>4627</v>
      </c>
      <c r="C5647" s="466">
        <v>8.5</v>
      </c>
      <c r="D5647" s="465"/>
      <c r="E5647" s="466" t="s">
        <v>4628</v>
      </c>
      <c r="F5647" s="466"/>
      <c r="G5647" s="465"/>
      <c r="H5647" s="465"/>
    </row>
    <row r="5648" spans="1:8" ht="13.8" thickBot="1">
      <c r="A5648" s="467" t="s">
        <v>10865</v>
      </c>
      <c r="B5648" s="465" t="s">
        <v>4627</v>
      </c>
      <c r="C5648" s="466">
        <v>8.5</v>
      </c>
      <c r="D5648" s="465"/>
      <c r="E5648" s="466" t="s">
        <v>4628</v>
      </c>
      <c r="F5648" s="466"/>
      <c r="G5648" s="465"/>
      <c r="H5648" s="465"/>
    </row>
    <row r="5649" spans="1:8" ht="13.8" thickBot="1">
      <c r="A5649" s="467" t="s">
        <v>10866</v>
      </c>
      <c r="B5649" s="465" t="s">
        <v>1686</v>
      </c>
      <c r="C5649" s="466">
        <v>8.5</v>
      </c>
      <c r="D5649" s="465"/>
      <c r="E5649" s="466" t="s">
        <v>4644</v>
      </c>
      <c r="F5649" s="466" t="s">
        <v>1226</v>
      </c>
      <c r="G5649" s="465">
        <v>5</v>
      </c>
      <c r="H5649" s="465">
        <v>5</v>
      </c>
    </row>
    <row r="5650" spans="1:8" ht="13.8" thickBot="1">
      <c r="A5650" s="467" t="s">
        <v>10867</v>
      </c>
      <c r="B5650" s="465" t="s">
        <v>4645</v>
      </c>
      <c r="C5650" s="466">
        <v>8.5</v>
      </c>
      <c r="D5650" s="465"/>
      <c r="E5650" s="466" t="s">
        <v>4644</v>
      </c>
      <c r="F5650" s="466"/>
      <c r="G5650" s="465"/>
      <c r="H5650" s="465"/>
    </row>
    <row r="5651" spans="1:8" ht="13.8" thickBot="1">
      <c r="A5651" s="467" t="s">
        <v>10868</v>
      </c>
      <c r="B5651" s="465" t="s">
        <v>4670</v>
      </c>
      <c r="C5651" s="466">
        <v>8.5</v>
      </c>
      <c r="D5651" s="467" t="s">
        <v>4671</v>
      </c>
      <c r="E5651" s="466" t="s">
        <v>4672</v>
      </c>
      <c r="F5651" s="466"/>
      <c r="G5651" s="465">
        <v>2</v>
      </c>
      <c r="H5651" s="465">
        <v>2</v>
      </c>
    </row>
    <row r="5652" spans="1:8" ht="13.8" thickBot="1">
      <c r="A5652" s="467" t="s">
        <v>10869</v>
      </c>
      <c r="B5652" s="465" t="s">
        <v>4720</v>
      </c>
      <c r="C5652" s="466">
        <v>8.5</v>
      </c>
      <c r="D5652" s="465"/>
      <c r="E5652" s="466" t="s">
        <v>4717</v>
      </c>
      <c r="F5652" s="466"/>
      <c r="G5652" s="465"/>
      <c r="H5652" s="465"/>
    </row>
    <row r="5653" spans="1:8" ht="13.8" thickBot="1">
      <c r="A5653" s="467" t="s">
        <v>10870</v>
      </c>
      <c r="B5653" s="465" t="s">
        <v>4720</v>
      </c>
      <c r="C5653" s="466">
        <v>8.5</v>
      </c>
      <c r="D5653" s="465"/>
      <c r="E5653" s="466" t="s">
        <v>4717</v>
      </c>
      <c r="F5653" s="466"/>
      <c r="G5653" s="465"/>
      <c r="H5653" s="465"/>
    </row>
    <row r="5654" spans="1:8" ht="13.8" thickBot="1">
      <c r="A5654" s="467" t="s">
        <v>10871</v>
      </c>
      <c r="B5654" s="465" t="s">
        <v>4720</v>
      </c>
      <c r="C5654" s="466">
        <v>8.5</v>
      </c>
      <c r="D5654" s="465"/>
      <c r="E5654" s="466" t="s">
        <v>4717</v>
      </c>
      <c r="F5654" s="466"/>
      <c r="G5654" s="465"/>
      <c r="H5654" s="465"/>
    </row>
    <row r="5655" spans="1:8" ht="13.8" thickBot="1">
      <c r="A5655" s="465" t="s">
        <v>10872</v>
      </c>
      <c r="B5655" s="465" t="s">
        <v>4779</v>
      </c>
      <c r="C5655" s="466">
        <v>8.5</v>
      </c>
      <c r="D5655" s="465"/>
      <c r="E5655" s="466" t="s">
        <v>4780</v>
      </c>
      <c r="F5655" s="466"/>
      <c r="G5655" s="465"/>
      <c r="H5655" s="465"/>
    </row>
    <row r="5656" spans="1:8" ht="13.8" thickBot="1">
      <c r="A5656" s="467" t="s">
        <v>10879</v>
      </c>
      <c r="B5656" s="465" t="s">
        <v>1792</v>
      </c>
      <c r="C5656" s="466">
        <v>8.75</v>
      </c>
      <c r="D5656" s="465"/>
      <c r="E5656" s="466" t="s">
        <v>1793</v>
      </c>
      <c r="F5656" s="466"/>
      <c r="G5656" s="465"/>
      <c r="H5656" s="465"/>
    </row>
    <row r="5657" spans="1:8" ht="13.8" thickBot="1">
      <c r="A5657" s="467" t="s">
        <v>10881</v>
      </c>
      <c r="B5657" s="465" t="s">
        <v>1700</v>
      </c>
      <c r="C5657" s="466">
        <v>8.75</v>
      </c>
      <c r="D5657" s="465"/>
      <c r="E5657" s="466" t="s">
        <v>5139</v>
      </c>
      <c r="F5657" s="466"/>
      <c r="G5657" s="465"/>
      <c r="H5657" s="465"/>
    </row>
    <row r="5658" spans="1:8" ht="13.8" thickBot="1">
      <c r="A5658" s="467" t="s">
        <v>10880</v>
      </c>
      <c r="B5658" s="465" t="s">
        <v>3164</v>
      </c>
      <c r="C5658" s="466">
        <v>8.75</v>
      </c>
      <c r="D5658" s="465"/>
      <c r="E5658" s="466" t="s">
        <v>3161</v>
      </c>
      <c r="F5658" s="466"/>
      <c r="G5658" s="465"/>
      <c r="H5658" s="465"/>
    </row>
    <row r="5659" spans="1:8" ht="13.8" thickBot="1">
      <c r="A5659" s="467" t="s">
        <v>10882</v>
      </c>
      <c r="B5659" s="465" t="s">
        <v>1792</v>
      </c>
      <c r="C5659" s="466">
        <v>9</v>
      </c>
      <c r="D5659" s="465"/>
      <c r="E5659" s="466" t="s">
        <v>1793</v>
      </c>
      <c r="F5659" s="466"/>
      <c r="G5659" s="465"/>
      <c r="H5659" s="465"/>
    </row>
    <row r="5660" spans="1:8" ht="13.8" thickBot="1">
      <c r="A5660" s="467" t="s">
        <v>10883</v>
      </c>
      <c r="B5660" s="465" t="s">
        <v>1792</v>
      </c>
      <c r="C5660" s="466">
        <v>9</v>
      </c>
      <c r="D5660" s="465"/>
      <c r="E5660" s="466" t="s">
        <v>1793</v>
      </c>
      <c r="F5660" s="466"/>
      <c r="G5660" s="465"/>
      <c r="H5660" s="465"/>
    </row>
    <row r="5661" spans="1:8" ht="13.8" thickBot="1">
      <c r="A5661" s="467" t="s">
        <v>10912</v>
      </c>
      <c r="B5661" s="465" t="s">
        <v>5085</v>
      </c>
      <c r="C5661" s="466">
        <v>9</v>
      </c>
      <c r="D5661" s="465"/>
      <c r="E5661" s="466" t="s">
        <v>5086</v>
      </c>
      <c r="F5661" s="466"/>
      <c r="G5661" s="465">
        <v>5</v>
      </c>
      <c r="H5661" s="465">
        <v>5</v>
      </c>
    </row>
    <row r="5662" spans="1:8" ht="13.8" thickBot="1">
      <c r="A5662" s="465" t="s">
        <v>10913</v>
      </c>
      <c r="B5662" s="465" t="s">
        <v>1703</v>
      </c>
      <c r="C5662" s="466">
        <v>9</v>
      </c>
      <c r="D5662" s="465"/>
      <c r="E5662" s="466" t="s">
        <v>5139</v>
      </c>
      <c r="F5662" s="466"/>
      <c r="G5662" s="465"/>
      <c r="H5662" s="465"/>
    </row>
    <row r="5663" spans="1:8" ht="13.8" thickBot="1">
      <c r="A5663" s="467" t="s">
        <v>10886</v>
      </c>
      <c r="B5663" s="465" t="s">
        <v>1726</v>
      </c>
      <c r="C5663" s="466">
        <v>9</v>
      </c>
      <c r="D5663" s="465"/>
      <c r="E5663" s="466" t="s">
        <v>2289</v>
      </c>
      <c r="F5663" s="466"/>
      <c r="G5663" s="465"/>
      <c r="H5663" s="465"/>
    </row>
    <row r="5664" spans="1:8" ht="13.8" thickBot="1">
      <c r="A5664" s="467" t="s">
        <v>10887</v>
      </c>
      <c r="B5664" s="465" t="s">
        <v>2290</v>
      </c>
      <c r="C5664" s="466">
        <v>9</v>
      </c>
      <c r="D5664" s="465"/>
      <c r="E5664" s="466" t="s">
        <v>2289</v>
      </c>
      <c r="F5664" s="466"/>
      <c r="G5664" s="465"/>
      <c r="H5664" s="465"/>
    </row>
    <row r="5665" spans="1:8" ht="13.8" thickBot="1">
      <c r="A5665" s="467" t="s">
        <v>10888</v>
      </c>
      <c r="B5665" s="465" t="s">
        <v>2291</v>
      </c>
      <c r="C5665" s="466">
        <v>9</v>
      </c>
      <c r="D5665" s="465"/>
      <c r="E5665" s="466" t="s">
        <v>2289</v>
      </c>
      <c r="F5665" s="466"/>
      <c r="G5665" s="465"/>
      <c r="H5665" s="465">
        <v>2</v>
      </c>
    </row>
    <row r="5666" spans="1:8" ht="13.8" thickBot="1">
      <c r="A5666" s="467" t="s">
        <v>10914</v>
      </c>
      <c r="B5666" s="465" t="s">
        <v>5324</v>
      </c>
      <c r="C5666" s="466">
        <v>9</v>
      </c>
      <c r="D5666" s="467" t="s">
        <v>614</v>
      </c>
      <c r="E5666" s="466" t="s">
        <v>5325</v>
      </c>
      <c r="F5666" s="466"/>
      <c r="G5666" s="465"/>
      <c r="H5666" s="465">
        <v>2</v>
      </c>
    </row>
    <row r="5667" spans="1:8" ht="13.8" thickBot="1">
      <c r="A5667" s="465" t="s">
        <v>10884</v>
      </c>
      <c r="B5667" s="465" t="s">
        <v>1921</v>
      </c>
      <c r="C5667" s="466">
        <v>9</v>
      </c>
      <c r="D5667" s="465"/>
      <c r="E5667" s="466" t="s">
        <v>1922</v>
      </c>
      <c r="F5667" s="466"/>
      <c r="G5667" s="465"/>
      <c r="H5667" s="465"/>
    </row>
    <row r="5668" spans="1:8" ht="13.8" thickBot="1">
      <c r="A5668" s="467" t="s">
        <v>10889</v>
      </c>
      <c r="B5668" s="465" t="s">
        <v>2842</v>
      </c>
      <c r="C5668" s="466">
        <v>9</v>
      </c>
      <c r="D5668" s="465"/>
      <c r="E5668" s="466" t="s">
        <v>2841</v>
      </c>
      <c r="F5668" s="466"/>
      <c r="G5668" s="465"/>
      <c r="H5668" s="465"/>
    </row>
    <row r="5669" spans="1:8" ht="13.8" thickBot="1">
      <c r="A5669" s="467" t="s">
        <v>10890</v>
      </c>
      <c r="B5669" s="465" t="s">
        <v>2921</v>
      </c>
      <c r="C5669" s="466">
        <v>9</v>
      </c>
      <c r="D5669" s="465"/>
      <c r="E5669" s="466" t="s">
        <v>2922</v>
      </c>
      <c r="F5669" s="466"/>
      <c r="G5669" s="465"/>
      <c r="H5669" s="465"/>
    </row>
    <row r="5670" spans="1:8" ht="13.8" thickBot="1">
      <c r="A5670" s="465" t="s">
        <v>10891</v>
      </c>
      <c r="B5670" s="465" t="s">
        <v>2921</v>
      </c>
      <c r="C5670" s="466">
        <v>9</v>
      </c>
      <c r="D5670" s="465"/>
      <c r="E5670" s="466" t="s">
        <v>2922</v>
      </c>
      <c r="F5670" s="466"/>
      <c r="G5670" s="465"/>
      <c r="H5670" s="465"/>
    </row>
    <row r="5671" spans="1:8" ht="13.8" thickBot="1">
      <c r="A5671" s="467" t="s">
        <v>10892</v>
      </c>
      <c r="B5671" s="465" t="s">
        <v>3131</v>
      </c>
      <c r="C5671" s="466">
        <v>9</v>
      </c>
      <c r="D5671" s="465"/>
      <c r="E5671" s="466" t="s">
        <v>3130</v>
      </c>
      <c r="F5671" s="466"/>
      <c r="G5671" s="465"/>
      <c r="H5671" s="465"/>
    </row>
    <row r="5672" spans="1:8" ht="13.8" thickBot="1">
      <c r="A5672" s="465" t="s">
        <v>10893</v>
      </c>
      <c r="B5672" s="465" t="s">
        <v>3131</v>
      </c>
      <c r="C5672" s="466">
        <v>9</v>
      </c>
      <c r="D5672" s="465"/>
      <c r="E5672" s="466" t="s">
        <v>3130</v>
      </c>
      <c r="F5672" s="466"/>
      <c r="G5672" s="465"/>
      <c r="H5672" s="465"/>
    </row>
    <row r="5673" spans="1:8" ht="13.8" thickBot="1">
      <c r="A5673" s="467" t="s">
        <v>10894</v>
      </c>
      <c r="B5673" s="465" t="s">
        <v>3157</v>
      </c>
      <c r="C5673" s="466">
        <v>9</v>
      </c>
      <c r="D5673" s="465"/>
      <c r="E5673" s="466" t="s">
        <v>3158</v>
      </c>
      <c r="F5673" s="466"/>
      <c r="G5673" s="465"/>
      <c r="H5673" s="465"/>
    </row>
    <row r="5674" spans="1:8" ht="13.8" thickBot="1">
      <c r="A5674" s="467" t="s">
        <v>10895</v>
      </c>
      <c r="B5674" s="465" t="s">
        <v>1390</v>
      </c>
      <c r="C5674" s="466">
        <v>9</v>
      </c>
      <c r="D5674" s="465"/>
      <c r="E5674" s="466" t="s">
        <v>3161</v>
      </c>
      <c r="F5674" s="466"/>
      <c r="G5674" s="465">
        <v>1</v>
      </c>
      <c r="H5674" s="465">
        <v>2</v>
      </c>
    </row>
    <row r="5675" spans="1:8" ht="13.8" thickBot="1">
      <c r="A5675" s="465" t="s">
        <v>10896</v>
      </c>
      <c r="B5675" s="465" t="s">
        <v>3162</v>
      </c>
      <c r="C5675" s="466">
        <v>9</v>
      </c>
      <c r="D5675" s="465"/>
      <c r="E5675" s="466" t="s">
        <v>3161</v>
      </c>
      <c r="F5675" s="466"/>
      <c r="G5675" s="465"/>
      <c r="H5675" s="465"/>
    </row>
    <row r="5676" spans="1:8" ht="13.8" thickBot="1">
      <c r="A5676" s="467" t="s">
        <v>10897</v>
      </c>
      <c r="B5676" s="465" t="s">
        <v>3163</v>
      </c>
      <c r="C5676" s="466">
        <v>9</v>
      </c>
      <c r="D5676" s="465"/>
      <c r="E5676" s="466" t="s">
        <v>3161</v>
      </c>
      <c r="F5676" s="466"/>
      <c r="G5676" s="465"/>
      <c r="H5676" s="465"/>
    </row>
    <row r="5677" spans="1:8" ht="13.8" thickBot="1">
      <c r="A5677" s="465" t="s">
        <v>1177</v>
      </c>
      <c r="B5677" s="465" t="s">
        <v>3284</v>
      </c>
      <c r="C5677" s="466">
        <v>9</v>
      </c>
      <c r="D5677" s="465"/>
      <c r="E5677" s="466" t="s">
        <v>3285</v>
      </c>
      <c r="F5677" s="466"/>
      <c r="G5677" s="465"/>
      <c r="H5677" s="465"/>
    </row>
    <row r="5678" spans="1:8" ht="13.8" thickBot="1">
      <c r="A5678" s="465" t="s">
        <v>10898</v>
      </c>
      <c r="B5678" s="465" t="s">
        <v>3413</v>
      </c>
      <c r="C5678" s="466">
        <v>9</v>
      </c>
      <c r="D5678" s="465"/>
      <c r="E5678" s="466" t="s">
        <v>3414</v>
      </c>
      <c r="F5678" s="466"/>
      <c r="G5678" s="465"/>
      <c r="H5678" s="465"/>
    </row>
    <row r="5679" spans="1:8" ht="13.8" thickBot="1">
      <c r="A5679" s="467" t="s">
        <v>10899</v>
      </c>
      <c r="B5679" s="465" t="s">
        <v>3451</v>
      </c>
      <c r="C5679" s="466">
        <v>9</v>
      </c>
      <c r="D5679" s="465"/>
      <c r="E5679" s="466" t="s">
        <v>3452</v>
      </c>
      <c r="F5679" s="466"/>
      <c r="G5679" s="465"/>
      <c r="H5679" s="465"/>
    </row>
    <row r="5680" spans="1:8" ht="13.8" thickBot="1">
      <c r="A5680" s="465" t="s">
        <v>10900</v>
      </c>
      <c r="B5680" s="465" t="s">
        <v>3451</v>
      </c>
      <c r="C5680" s="466">
        <v>9</v>
      </c>
      <c r="D5680" s="465"/>
      <c r="E5680" s="466" t="s">
        <v>3452</v>
      </c>
      <c r="F5680" s="466"/>
      <c r="G5680" s="465"/>
      <c r="H5680" s="465"/>
    </row>
    <row r="5681" spans="1:8" ht="13.8" thickBot="1">
      <c r="A5681" s="467" t="s">
        <v>10901</v>
      </c>
      <c r="B5681" s="465" t="s">
        <v>1452</v>
      </c>
      <c r="C5681" s="466">
        <v>9</v>
      </c>
      <c r="D5681" s="465"/>
      <c r="E5681" s="466" t="s">
        <v>3517</v>
      </c>
      <c r="F5681" s="466"/>
      <c r="G5681" s="465"/>
      <c r="H5681" s="465"/>
    </row>
    <row r="5682" spans="1:8" ht="13.8" thickBot="1">
      <c r="A5682" s="467" t="s">
        <v>10902</v>
      </c>
      <c r="B5682" s="465" t="s">
        <v>3518</v>
      </c>
      <c r="C5682" s="466">
        <v>9</v>
      </c>
      <c r="D5682" s="465"/>
      <c r="E5682" s="466" t="s">
        <v>3517</v>
      </c>
      <c r="F5682" s="466"/>
      <c r="G5682" s="465"/>
      <c r="H5682" s="465"/>
    </row>
    <row r="5683" spans="1:8" ht="13.8" thickBot="1">
      <c r="A5683" s="467" t="s">
        <v>10903</v>
      </c>
      <c r="B5683" s="465" t="s">
        <v>1466</v>
      </c>
      <c r="C5683" s="466">
        <v>9</v>
      </c>
      <c r="D5683" s="465"/>
      <c r="E5683" s="466" t="s">
        <v>3652</v>
      </c>
      <c r="F5683" s="466"/>
      <c r="G5683" s="465"/>
      <c r="H5683" s="465"/>
    </row>
    <row r="5684" spans="1:8" ht="13.8" thickBot="1">
      <c r="A5684" s="467" t="s">
        <v>10904</v>
      </c>
      <c r="B5684" s="470" t="s">
        <v>3959</v>
      </c>
      <c r="C5684" s="471">
        <v>9</v>
      </c>
      <c r="D5684" s="465"/>
      <c r="E5684" s="471" t="s">
        <v>3957</v>
      </c>
      <c r="F5684" s="466"/>
      <c r="G5684" s="465">
        <v>2</v>
      </c>
      <c r="H5684" s="470">
        <v>2</v>
      </c>
    </row>
    <row r="5685" spans="1:8" ht="13.8" thickBot="1">
      <c r="A5685" s="465" t="s">
        <v>1147</v>
      </c>
      <c r="B5685" s="465" t="s">
        <v>1607</v>
      </c>
      <c r="C5685" s="466">
        <v>9</v>
      </c>
      <c r="D5685" s="465"/>
      <c r="E5685" s="466" t="s">
        <v>4214</v>
      </c>
      <c r="F5685" s="466"/>
      <c r="G5685" s="465"/>
      <c r="H5685" s="465">
        <v>1</v>
      </c>
    </row>
    <row r="5686" spans="1:8" ht="13.8" thickBot="1">
      <c r="A5686" s="467" t="s">
        <v>10905</v>
      </c>
      <c r="B5686" s="465" t="s">
        <v>1607</v>
      </c>
      <c r="C5686" s="466">
        <v>9</v>
      </c>
      <c r="D5686" s="465"/>
      <c r="E5686" s="466" t="s">
        <v>4214</v>
      </c>
      <c r="F5686" s="466"/>
      <c r="G5686" s="465"/>
      <c r="H5686" s="465"/>
    </row>
    <row r="5687" spans="1:8" ht="13.8" thickBot="1">
      <c r="A5687" s="467" t="s">
        <v>10906</v>
      </c>
      <c r="B5687" s="465" t="s">
        <v>4215</v>
      </c>
      <c r="C5687" s="466">
        <v>9</v>
      </c>
      <c r="D5687" s="465"/>
      <c r="E5687" s="466" t="s">
        <v>4214</v>
      </c>
      <c r="F5687" s="466"/>
      <c r="G5687" s="465"/>
      <c r="H5687" s="465"/>
    </row>
    <row r="5688" spans="1:8" ht="13.8" thickBot="1">
      <c r="A5688" s="467" t="s">
        <v>10885</v>
      </c>
      <c r="B5688" s="465" t="s">
        <v>2122</v>
      </c>
      <c r="C5688" s="466">
        <v>9</v>
      </c>
      <c r="D5688" s="465"/>
      <c r="E5688" s="466" t="s">
        <v>2123</v>
      </c>
      <c r="F5688" s="466"/>
      <c r="G5688" s="465"/>
      <c r="H5688" s="465"/>
    </row>
    <row r="5689" spans="1:8" ht="13.8" thickBot="1">
      <c r="A5689" s="467" t="s">
        <v>10907</v>
      </c>
      <c r="B5689" s="465" t="s">
        <v>4439</v>
      </c>
      <c r="C5689" s="466">
        <v>9</v>
      </c>
      <c r="D5689" s="465"/>
      <c r="E5689" s="466" t="s">
        <v>4438</v>
      </c>
      <c r="F5689" s="466" t="s">
        <v>1229</v>
      </c>
      <c r="G5689" s="465"/>
      <c r="H5689" s="465"/>
    </row>
    <row r="5690" spans="1:8" ht="13.8" thickBot="1">
      <c r="A5690" s="467" t="s">
        <v>10908</v>
      </c>
      <c r="B5690" s="465" t="s">
        <v>4440</v>
      </c>
      <c r="C5690" s="466">
        <v>9</v>
      </c>
      <c r="D5690" s="465"/>
      <c r="E5690" s="466" t="s">
        <v>4438</v>
      </c>
      <c r="F5690" s="466" t="s">
        <v>1229</v>
      </c>
      <c r="G5690" s="465"/>
      <c r="H5690" s="465">
        <v>1</v>
      </c>
    </row>
    <row r="5691" spans="1:8" ht="13.8" thickBot="1">
      <c r="A5691" s="467" t="s">
        <v>10909</v>
      </c>
      <c r="B5691" s="465" t="s">
        <v>4441</v>
      </c>
      <c r="C5691" s="466">
        <v>9</v>
      </c>
      <c r="D5691" s="465"/>
      <c r="E5691" s="466" t="s">
        <v>4438</v>
      </c>
      <c r="F5691" s="466"/>
      <c r="G5691" s="465"/>
      <c r="H5691" s="465"/>
    </row>
    <row r="5692" spans="1:8" ht="13.8" thickBot="1">
      <c r="A5692" s="467" t="s">
        <v>10910</v>
      </c>
      <c r="B5692" s="465" t="s">
        <v>4718</v>
      </c>
      <c r="C5692" s="466">
        <v>9</v>
      </c>
      <c r="D5692" s="465"/>
      <c r="E5692" s="466" t="s">
        <v>4717</v>
      </c>
      <c r="F5692" s="466"/>
      <c r="G5692" s="465"/>
      <c r="H5692" s="465"/>
    </row>
    <row r="5693" spans="1:8" ht="13.8" thickBot="1">
      <c r="A5693" s="467" t="s">
        <v>5427</v>
      </c>
      <c r="B5693" s="465" t="s">
        <v>4719</v>
      </c>
      <c r="C5693" s="466">
        <v>9</v>
      </c>
      <c r="D5693" s="465"/>
      <c r="E5693" s="466" t="s">
        <v>4717</v>
      </c>
      <c r="F5693" s="466"/>
      <c r="G5693" s="465"/>
      <c r="H5693" s="465"/>
    </row>
    <row r="5694" spans="1:8" ht="13.8" thickBot="1">
      <c r="A5694" s="467" t="s">
        <v>10911</v>
      </c>
      <c r="B5694" s="465" t="s">
        <v>4720</v>
      </c>
      <c r="C5694" s="466">
        <v>9</v>
      </c>
      <c r="D5694" s="465"/>
      <c r="E5694" s="466" t="s">
        <v>4717</v>
      </c>
      <c r="F5694" s="466"/>
      <c r="G5694" s="465"/>
      <c r="H5694" s="465"/>
    </row>
    <row r="5695" spans="1:8" ht="13.8" thickBot="1">
      <c r="A5695" s="467" t="s">
        <v>10926</v>
      </c>
      <c r="B5695" s="465" t="s">
        <v>5195</v>
      </c>
      <c r="C5695" s="466">
        <v>9.5</v>
      </c>
      <c r="D5695" s="465"/>
      <c r="E5695" s="466" t="s">
        <v>5196</v>
      </c>
      <c r="F5695" s="466"/>
      <c r="G5695" s="465"/>
      <c r="H5695" s="465"/>
    </row>
    <row r="5696" spans="1:8" ht="13.8" thickBot="1">
      <c r="A5696" s="467" t="s">
        <v>10915</v>
      </c>
      <c r="B5696" s="465" t="s">
        <v>2840</v>
      </c>
      <c r="C5696" s="466">
        <v>9.5</v>
      </c>
      <c r="D5696" s="465"/>
      <c r="E5696" s="466" t="s">
        <v>2841</v>
      </c>
      <c r="F5696" s="466"/>
      <c r="G5696" s="465"/>
      <c r="H5696" s="465"/>
    </row>
    <row r="5697" spans="1:8" ht="13.8" thickBot="1">
      <c r="A5697" s="467" t="s">
        <v>10916</v>
      </c>
      <c r="B5697" s="465" t="s">
        <v>1590</v>
      </c>
      <c r="C5697" s="466">
        <v>9.5</v>
      </c>
      <c r="D5697" s="465"/>
      <c r="E5697" s="466" t="s">
        <v>2957</v>
      </c>
      <c r="F5697" s="466"/>
      <c r="G5697" s="465"/>
      <c r="H5697" s="465"/>
    </row>
    <row r="5698" spans="1:8" ht="13.8" thickBot="1">
      <c r="A5698" s="467" t="s">
        <v>10917</v>
      </c>
      <c r="B5698" s="465" t="s">
        <v>3129</v>
      </c>
      <c r="C5698" s="466">
        <v>9.5</v>
      </c>
      <c r="D5698" s="465"/>
      <c r="E5698" s="466" t="s">
        <v>3130</v>
      </c>
      <c r="F5698" s="466"/>
      <c r="G5698" s="465"/>
      <c r="H5698" s="465"/>
    </row>
    <row r="5699" spans="1:8" ht="13.8" thickBot="1">
      <c r="A5699" s="467" t="s">
        <v>10918</v>
      </c>
      <c r="B5699" s="465" t="s">
        <v>3157</v>
      </c>
      <c r="C5699" s="466">
        <v>9.5</v>
      </c>
      <c r="D5699" s="465"/>
      <c r="E5699" s="466" t="s">
        <v>3158</v>
      </c>
      <c r="F5699" s="466"/>
      <c r="G5699" s="465"/>
      <c r="H5699" s="465"/>
    </row>
    <row r="5700" spans="1:8" ht="13.8" thickBot="1">
      <c r="A5700" s="467" t="s">
        <v>10919</v>
      </c>
      <c r="B5700" s="465" t="s">
        <v>3495</v>
      </c>
      <c r="C5700" s="466">
        <v>9.5</v>
      </c>
      <c r="D5700" s="465"/>
      <c r="E5700" s="466" t="s">
        <v>3496</v>
      </c>
      <c r="F5700" s="466"/>
      <c r="G5700" s="465"/>
      <c r="H5700" s="465"/>
    </row>
    <row r="5701" spans="1:8" ht="13.8" thickBot="1">
      <c r="A5701" s="465" t="s">
        <v>10920</v>
      </c>
      <c r="B5701" s="465" t="s">
        <v>1519</v>
      </c>
      <c r="C5701" s="466">
        <v>9.5</v>
      </c>
      <c r="D5701" s="465"/>
      <c r="E5701" s="466" t="s">
        <v>3957</v>
      </c>
      <c r="F5701" s="466"/>
      <c r="G5701" s="465"/>
      <c r="H5701" s="465"/>
    </row>
    <row r="5702" spans="1:8" ht="13.8" thickBot="1">
      <c r="A5702" s="467" t="s">
        <v>10921</v>
      </c>
      <c r="B5702" s="465" t="s">
        <v>1519</v>
      </c>
      <c r="C5702" s="466">
        <v>9.5</v>
      </c>
      <c r="D5702" s="465"/>
      <c r="E5702" s="466" t="s">
        <v>3957</v>
      </c>
      <c r="F5702" s="466"/>
      <c r="G5702" s="465"/>
      <c r="H5702" s="465"/>
    </row>
    <row r="5703" spans="1:8" ht="13.8" thickBot="1">
      <c r="A5703" s="467" t="s">
        <v>10922</v>
      </c>
      <c r="B5703" s="465" t="s">
        <v>1519</v>
      </c>
      <c r="C5703" s="466">
        <v>9.5</v>
      </c>
      <c r="D5703" s="465"/>
      <c r="E5703" s="466" t="s">
        <v>3957</v>
      </c>
      <c r="F5703" s="466"/>
      <c r="G5703" s="465"/>
      <c r="H5703" s="465"/>
    </row>
    <row r="5704" spans="1:8" ht="13.8" thickBot="1">
      <c r="A5704" s="467" t="s">
        <v>10923</v>
      </c>
      <c r="B5704" s="465" t="s">
        <v>3958</v>
      </c>
      <c r="C5704" s="466">
        <v>9.5</v>
      </c>
      <c r="D5704" s="465"/>
      <c r="E5704" s="466" t="s">
        <v>3957</v>
      </c>
      <c r="F5704" s="466"/>
      <c r="G5704" s="465"/>
      <c r="H5704" s="465"/>
    </row>
    <row r="5705" spans="1:8" ht="13.8" thickBot="1">
      <c r="A5705" s="467" t="s">
        <v>10924</v>
      </c>
      <c r="B5705" s="465" t="s">
        <v>4437</v>
      </c>
      <c r="C5705" s="466">
        <v>9.5</v>
      </c>
      <c r="D5705" s="465"/>
      <c r="E5705" s="466" t="s">
        <v>4438</v>
      </c>
      <c r="F5705" s="466"/>
      <c r="G5705" s="465"/>
      <c r="H5705" s="465"/>
    </row>
    <row r="5706" spans="1:8" ht="13.8" thickBot="1">
      <c r="A5706" s="467" t="s">
        <v>10925</v>
      </c>
      <c r="B5706" s="465" t="s">
        <v>4716</v>
      </c>
      <c r="C5706" s="466">
        <v>9.5</v>
      </c>
      <c r="D5706" s="465"/>
      <c r="E5706" s="466" t="s">
        <v>4717</v>
      </c>
      <c r="F5706" s="466"/>
      <c r="G5706" s="465"/>
      <c r="H5706" s="465"/>
    </row>
    <row r="5707" spans="1:8" ht="13.8" thickBot="1">
      <c r="A5707" s="467" t="s">
        <v>10933</v>
      </c>
      <c r="B5707" s="465" t="s">
        <v>5108</v>
      </c>
      <c r="C5707" s="466"/>
      <c r="D5707" s="465"/>
      <c r="E5707" s="466" t="s">
        <v>5103</v>
      </c>
      <c r="F5707" s="466"/>
      <c r="G5707" s="465"/>
      <c r="H5707" s="465"/>
    </row>
    <row r="5708" spans="1:8" ht="13.8" thickBot="1">
      <c r="A5708" s="465" t="s">
        <v>10934</v>
      </c>
      <c r="B5708" s="465" t="s">
        <v>5178</v>
      </c>
      <c r="C5708" s="466"/>
      <c r="D5708" s="465"/>
      <c r="E5708" s="466" t="s">
        <v>5155</v>
      </c>
      <c r="F5708" s="466" t="s">
        <v>1226</v>
      </c>
      <c r="G5708" s="465"/>
      <c r="H5708" s="465">
        <v>1</v>
      </c>
    </row>
    <row r="5709" spans="1:8" ht="13.8" thickBot="1">
      <c r="A5709" s="467" t="s">
        <v>10927</v>
      </c>
      <c r="B5709" s="465" t="s">
        <v>2713</v>
      </c>
      <c r="C5709" s="466"/>
      <c r="D5709" s="465"/>
      <c r="E5709" s="466" t="s">
        <v>2523</v>
      </c>
      <c r="F5709" s="466" t="s">
        <v>1226</v>
      </c>
      <c r="G5709" s="465"/>
      <c r="H5709" s="465">
        <v>1</v>
      </c>
    </row>
    <row r="5710" spans="1:8" ht="13.8" thickBot="1">
      <c r="A5710" s="467" t="s">
        <v>10928</v>
      </c>
      <c r="B5710" s="465" t="s">
        <v>2714</v>
      </c>
      <c r="C5710" s="466"/>
      <c r="D5710" s="467" t="s">
        <v>2715</v>
      </c>
      <c r="E5710" s="466" t="s">
        <v>2523</v>
      </c>
      <c r="F5710" s="466"/>
      <c r="G5710" s="465">
        <v>1</v>
      </c>
      <c r="H5710" s="465">
        <v>1</v>
      </c>
    </row>
    <row r="5711" spans="1:8" ht="13.8" thickBot="1">
      <c r="A5711" s="467" t="s">
        <v>10929</v>
      </c>
      <c r="B5711" s="465" t="s">
        <v>3128</v>
      </c>
      <c r="C5711" s="466"/>
      <c r="D5711" s="467" t="s">
        <v>614</v>
      </c>
      <c r="E5711" s="466" t="s">
        <v>3116</v>
      </c>
      <c r="F5711" s="466" t="s">
        <v>1226</v>
      </c>
      <c r="G5711" s="465"/>
      <c r="H5711" s="465">
        <v>1</v>
      </c>
    </row>
    <row r="5712" spans="1:8" ht="13.8" thickBot="1">
      <c r="A5712" s="467" t="s">
        <v>10930</v>
      </c>
      <c r="B5712" s="465" t="s">
        <v>3638</v>
      </c>
      <c r="C5712" s="466"/>
      <c r="D5712" s="467" t="s">
        <v>614</v>
      </c>
      <c r="E5712" s="466" t="s">
        <v>3517</v>
      </c>
      <c r="F5712" s="466" t="s">
        <v>1226</v>
      </c>
      <c r="G5712" s="465"/>
      <c r="H5712" s="465">
        <v>1</v>
      </c>
    </row>
    <row r="5713" spans="1:8" ht="13.8" thickBot="1">
      <c r="A5713" s="467" t="s">
        <v>10931</v>
      </c>
      <c r="B5713" s="465" t="s">
        <v>3639</v>
      </c>
      <c r="C5713" s="466"/>
      <c r="D5713" s="465"/>
      <c r="E5713" s="466" t="s">
        <v>3517</v>
      </c>
      <c r="F5713" s="466" t="s">
        <v>1226</v>
      </c>
      <c r="G5713" s="465"/>
      <c r="H5713" s="465">
        <v>1</v>
      </c>
    </row>
    <row r="5714" spans="1:8" ht="13.8" thickBot="1">
      <c r="A5714" s="465" t="s">
        <v>10932</v>
      </c>
      <c r="B5714" s="465" t="s">
        <v>4489</v>
      </c>
      <c r="C5714" s="466"/>
      <c r="D5714" s="465"/>
      <c r="E5714" s="466" t="s">
        <v>4438</v>
      </c>
      <c r="F5714" s="466" t="s">
        <v>1226</v>
      </c>
      <c r="G5714" s="465"/>
      <c r="H5714" s="465">
        <v>1</v>
      </c>
    </row>
    <row r="5715" spans="1:8">
      <c r="A5715" s="562" t="s">
        <v>14425</v>
      </c>
      <c r="B5715" s="561" t="s">
        <v>14426</v>
      </c>
    </row>
  </sheetData>
  <sortState xmlns:xlrd2="http://schemas.microsoft.com/office/spreadsheetml/2017/richdata2" ref="H4:H29">
    <sortCondition ref="H6:H29"/>
  </sortState>
  <hyperlinks>
    <hyperlink ref="A7" r:id="rId1" display="https://www.google.com/url?q=https://csacademy.com/contest/beta-round-4/task/soldiers/&amp;sa=D&amp;ust=1605639551561000&amp;usg=AFQjCNEHZbp0uQL6jD12kzqOtSwUR6MD2A" xr:uid="{7955B2C5-A124-4EAA-A9EE-38C29CBC559B}"/>
    <hyperlink ref="A14" r:id="rId2" display="https://www.google.com/url?q=https://hanoi18.kattis.com/problems/hanoi18.bipartitebattle&amp;sa=D&amp;ust=1605639551563000&amp;usg=AFQjCNHw5djqIRd3y4P75ezHbXLM-ZZGEQ" xr:uid="{A8679180-8646-44F6-97AF-16D291B78945}"/>
    <hyperlink ref="D5586" r:id="rId3" display="https://www.google.com/url?q=https://github.com/nya-nya-meow/CompetitiveProgramming/blob/master/Kattis/bipartitebattle.cpp&amp;sa=D&amp;ust=1605639551563000&amp;usg=AFQjCNF5c4ntP4YBb-4qJFC2gbhSJ72hNA" xr:uid="{02A29957-7B44-47FD-A83B-11EDF2A6DEDC}"/>
    <hyperlink ref="A16" r:id="rId4" display="https://www.google.com/url?q=https://codeforces.com/contest/1097/problem/E&amp;sa=D&amp;ust=1605639551564000&amp;usg=AFQjCNE0iadbltPAgwOeO4hlKmgQ5RXcTA" xr:uid="{03469EE7-3A13-4650-B664-2C717494A9D3}"/>
    <hyperlink ref="A34" r:id="rId5" display="https://www.google.com/url?q=https://codeforces.com/contest/1070/problem/L&amp;sa=D&amp;ust=1605639551564000&amp;usg=AFQjCNFreXGnMOIFKJZ9bceIlF23VdmSCg" xr:uid="{64225301-3FA4-47FC-8B1F-16A1B834C45B}"/>
    <hyperlink ref="A37" r:id="rId6" display="https://www.google.com/url?q=https://csacademy.com/contest/round-47/task/max-snake/&amp;sa=D&amp;ust=1605639551565000&amp;usg=AFQjCNGEficfv4bxvxLnz489Q16-JVRpyA" xr:uid="{4C903953-F43B-4108-A687-0F0BB7E54C40}"/>
    <hyperlink ref="A39" r:id="rId7" display="https://www.google.com/url?q=https://csacademy.com/contest/beta-round-1/task/two_progressions/&amp;sa=D&amp;ust=1605639551565000&amp;usg=AFQjCNFMIt3C1s7QiceR7s2gxZ55jCwy6g" xr:uid="{BEBE78EF-8454-425B-A313-A09B1A60A507}"/>
    <hyperlink ref="A42" r:id="rId8" display="https://www.google.com/url?q=https://codeforces.com/contest/930/problem/D&amp;sa=D&amp;ust=1605639551566000&amp;usg=AFQjCNEW4yWrr800gr3XTNCahtuCzaHMBw" xr:uid="{77A2BBC6-F15B-46E1-8478-391EB303FC3C}"/>
    <hyperlink ref="A43" r:id="rId9" display="https://www.google.com/url?q=https://codeforces.com/problemset/problem/1179/E&amp;sa=D&amp;ust=1605639551566000&amp;usg=AFQjCNG1p8k3qxua-e-0I3jIQ8Hr4fTuxA" xr:uid="{E07F2838-81D1-498E-8355-7D291345C532}"/>
    <hyperlink ref="A67" r:id="rId10" display="https://www.google.com/url?q=https://csacademy.com/contest/round-58/task/binary-swaps/statement/&amp;sa=D&amp;ust=1605639551567000&amp;usg=AFQjCNH1Fxg4PUM7GA6qk6YetzMcMgg4aw" xr:uid="{8365DB8A-97CA-4A0C-A140-AA0F2BFC0A6D}"/>
    <hyperlink ref="A72" r:id="rId11" display="https://www.google.com/url?q=http://codeforces.com/problemset/problem/1063/E&amp;sa=D&amp;ust=1605639551567000&amp;usg=AFQjCNExjjew2IRK3Lbffr2NUfX4BO2tVA" xr:uid="{0EEE09D5-7C61-437A-9991-8A84CE155784}"/>
    <hyperlink ref="A89" r:id="rId12" display="https://www.google.com/url?q=https://agc003.contest.atcoder.jp/tasks/agc003_e&amp;sa=D&amp;ust=1605639551567000&amp;usg=AFQjCNHzgRPqz1KS2teJgFqQ1M6ChuLcSA" xr:uid="{93D91055-B80E-4163-AE69-D4984801F604}"/>
    <hyperlink ref="A109" r:id="rId13" display="https://www.google.com/url?q=https://agc006.contest.atcoder.jp/tasks/agc006_e&amp;sa=D&amp;ust=1605639551568000&amp;usg=AFQjCNH9xl9GAHbD7o9XdywywAAAJKQGdg" xr:uid="{7134A6EC-3001-4BA4-BF34-54F8F26467E7}"/>
    <hyperlink ref="A17" r:id="rId14" display="https://www.google.com/url?q=http://codeforces.com/gym/101889&amp;sa=D&amp;ust=1605639551568000&amp;usg=AFQjCNFzQ6x0IzcBubNA4CMHbjA-FjjhGg" xr:uid="{9FD218B2-74EE-4387-934B-F1B53ED3E706}"/>
    <hyperlink ref="A24" r:id="rId15" display="https://www.google.com/url?q=http://codeforces.com/contest/914/problem/F&amp;sa=D&amp;ust=1605639551568000&amp;usg=AFQjCNG8dcYScqZ1HpS8Vmjv9UbPzh73Zw" xr:uid="{E424F2FA-F5DA-4700-97BC-AE909A2D1DD3}"/>
    <hyperlink ref="D5042" r:id="rId16" display="https://www.google.com/url?q=https://github.com/mostafa-saad/MyCompetitiveProgramming/blob/master/Codeforces/CF914-D12-F.txt&amp;sa=D&amp;ust=1605639551568000&amp;usg=AFQjCNH2xVmCqkkLyA0Y0Aupwm79-YbK6w" xr:uid="{E2CD4A03-F692-45E7-8BDD-D46110906AA6}"/>
    <hyperlink ref="A26" r:id="rId17" display="https://www.google.com/url?q=https://codeforces.com/contest/1081/problem/F&amp;sa=D&amp;ust=1605639551569000&amp;usg=AFQjCNHndDilzjgewmWM1qTS_3KLs7xuag" xr:uid="{0FD560D7-1B24-43B5-ADFF-5A15314729BD}"/>
    <hyperlink ref="A27" r:id="rId18" display="https://www.google.com/url?q=https://codeforces.com/contest/128/problem/D&amp;sa=D&amp;ust=1605639551569000&amp;usg=AFQjCNFS1kYgx6MqRsqofP5yk-8dlz5d3w" xr:uid="{7A7E15AF-71DD-4F8E-B9D1-B2AB6B2B4162}"/>
    <hyperlink ref="A30" r:id="rId19" display="https://www.google.com/url?q=https://codeforces.com/problemset/problem/1227/G&amp;sa=D&amp;ust=1605639551570000&amp;usg=AFQjCNGwYjmJ61ZO894XVx3ccndt6x2ikw" xr:uid="{51FAFC9A-90C7-4D38-B4A5-9617C01E6AB2}"/>
    <hyperlink ref="A31" r:id="rId20" display="https://www.google.com/url?q=https://codeforces.com/contest/1173/problem/F&amp;sa=D&amp;ust=1605639551570000&amp;usg=AFQjCNF6hr4b-ANEHQKoOLJ3hErzTwtgTg" xr:uid="{1A9EDD5A-A11C-41AA-9F8C-4A5A25BDAA4E}"/>
    <hyperlink ref="A32" r:id="rId21" display="https://www.google.com/url?q=https://www.codechef.com/problems/ELPHANT&amp;sa=D&amp;ust=1605639551571000&amp;usg=AFQjCNHgF0_iHuXnkh-KHWpZByIAvwhY5Q" xr:uid="{A056DA58-AF0D-4C1F-B06F-EA678D8C924D}"/>
    <hyperlink ref="A45" r:id="rId22" display="https://www.google.com/url?q=https://codeforces.com/problemset/problem/1097/F&amp;sa=D&amp;ust=1605639551572000&amp;usg=AFQjCNEHT1v4QypPkrPU11ZniQ-_6XLg2g" xr:uid="{84C71505-5062-4D1B-9478-B84B981B142F}"/>
    <hyperlink ref="A46" r:id="rId23" display="https://www.google.com/url?q=https://codeforces.com/contest/1287/problem/E2&amp;sa=D&amp;ust=1605639551572000&amp;usg=AFQjCNH3AJoymypF1S6Vq_oPX99OyjZF_A" xr:uid="{72002A38-B0D8-4F5E-825E-2ADE2C45C501}"/>
    <hyperlink ref="A47" r:id="rId24" display="https://www.google.com/url?q=http://codeforces.com/contest/1071/problem/C&amp;sa=D&amp;ust=1605639551572000&amp;usg=AFQjCNFkjBnA9gLWEqkOWAoQtCPslYJizQ" xr:uid="{C170727E-8E60-428E-9E8A-51FD8D51196F}"/>
    <hyperlink ref="A48" r:id="rId25" display="https://www.google.com/url?q=http://codeforces.com/contest/909/problem/F&amp;sa=D&amp;ust=1605639551573000&amp;usg=AFQjCNGySAMdPsYm6XOXfnXzXuk60fM93A" xr:uid="{E4C417C9-3F25-4C64-8EBC-A8A74357D3F4}"/>
    <hyperlink ref="A49" r:id="rId26" display="https://www.google.com/url?q=https://www.hackerrank.com/challenges/meeting-point&amp;sa=D&amp;ust=1605639551573000&amp;usg=AFQjCNGNcu2BeZZT4ofZYpWf_aII2a4CVQ" xr:uid="{62A6549D-0E8E-4978-9A1A-45BAA4985444}"/>
    <hyperlink ref="D3963" r:id="rId27" display="https://www.google.com/url?q=https://github.com/mostafa-saad/MyCompetitiveProgramming/blob/master/HACKERRANK/HACKR-meeting-point.txt&amp;sa=D&amp;ust=1605639551573000&amp;usg=AFQjCNF3cSPp5yJkqo8mCVqFhjt1YwyD_Q" xr:uid="{E024FC8F-D3BF-4654-9F69-5760787016B0}"/>
    <hyperlink ref="A50" r:id="rId28" display="https://www.google.com/url?q=http://codeforces.com/contest/936/problem/C&amp;sa=D&amp;ust=1605639551574000&amp;usg=AFQjCNEXVPeQkK_qk8T0MB1_1oZ6d7OK1w" xr:uid="{4DC88B13-A50F-4C0B-995A-E1F57BE14806}"/>
    <hyperlink ref="D3964" r:id="rId29" display="https://www.google.com/url?q=https://codeforces.com/blog/entry/58056?%23comment-417467&amp;sa=D&amp;ust=1605639551574000&amp;usg=AFQjCNE5fgUMUoLM3O1z38ZU1Td7yOzA6Q" xr:uid="{2160C497-B634-4131-9B5F-072E6F6EA9E5}"/>
    <hyperlink ref="A51" r:id="rId30" display="https://www.google.com/url?q=https://hanoi18.kattis.com/problems/jurassicjungle&amp;sa=D&amp;ust=1605639551574000&amp;usg=AFQjCNECf5nYWbWdQepWZPZlyaAOleqhvg" xr:uid="{5089E06B-E36D-4061-9954-8BD69DE772D9}"/>
    <hyperlink ref="D3965" r:id="rId31" display="https://www.google.com/url?q=https://github.com/nya-nya-meow/CompetitiveProgramming/blob/master/Kattis/hanoi18.jurassicjungle.cpp&amp;sa=D&amp;ust=1605639551574000&amp;usg=AFQjCNFj94S-8wqYwGhVFZP-Qa5oNdvb6g" xr:uid="{4513E2B0-346F-49DB-9182-2B6FC90C3CC0}"/>
    <hyperlink ref="A52" r:id="rId32" display="https://www.google.com/url?q=https://codeforces.com/contest/1100/problem/D&amp;sa=D&amp;ust=1605639551575000&amp;usg=AFQjCNGQbVetM22tDaYu6jTQB8AhBL6zPQ" xr:uid="{1F5E7DAF-3E33-4F44-B9CF-D00BACC9188B}"/>
    <hyperlink ref="A53" r:id="rId33" display="https://www.google.com/url?q=https://codeforces.com/gym/102154/problem/C&amp;sa=D&amp;ust=1605639551575000&amp;usg=AFQjCNHW72WesWrG1mlPrZQfM6Qp2p2Ajg" xr:uid="{A7C39D1C-67A1-43AE-872F-DD998BEDEACD}"/>
    <hyperlink ref="D3967" r:id="rId34" display="https://www.google.com/url?q=https://github.com/guskal01/CompetitiveProgramming/blob/master/CodeForces/CF102154-GYM-C.cpp&amp;sa=D&amp;ust=1605639551575000&amp;usg=AFQjCNEpshW2NLHjkd_-9waBTJv1DqfgdQ" xr:uid="{9949143D-C4B0-4273-AF93-4BED683E5C81}"/>
    <hyperlink ref="A54" r:id="rId35" display="https://www.google.com/url?q=https://hanoi18.kattis.com/problems/grabagraph&amp;sa=D&amp;ust=1605639551576000&amp;usg=AFQjCNHkojrYOfhHa-7B4ZuzbmxBcZg2VQ" xr:uid="{0AEE1003-3FAA-491B-B7A9-8C9A5ABA4269}"/>
    <hyperlink ref="D3968" r:id="rId36" display="https://www.google.com/url?q=https://github.com/mostafa-saad/MyCompetitiveProgramming/blob/master/Kattis/kattis-hanoi18.grabagraph.txt&amp;sa=D&amp;ust=1605639551577000&amp;usg=AFQjCNHNhWy6hUuRw3y84XQ_Ih1-Vq2Pfw" xr:uid="{9685791D-E788-4D89-95C0-E83A27F427C2}"/>
    <hyperlink ref="A55" r:id="rId37" display="https://www.google.com/url?q=http://codeforces.com/contest/611/problem/E&amp;sa=D&amp;ust=1605639551577000&amp;usg=AFQjCNGYIGzeacPczXGzgQSZxO7JKqjfKA" xr:uid="{15FFD657-2F21-4230-BA70-0407F5629808}"/>
    <hyperlink ref="A56" r:id="rId38" display="https://www.google.com/url?q=https://codeforces.com/contest/1230/problem/F&amp;sa=D&amp;ust=1605639551578000&amp;usg=AFQjCNFZlNJ_AQ_wwj6HDgcohMZS8Q54jw" xr:uid="{1056CC38-F025-401C-8FD1-8EA629BAB553}"/>
    <hyperlink ref="A58" r:id="rId39" display="https://www.google.com/url?q=https://codeforces.com/contest/1159/problem/D&amp;sa=D&amp;ust=1605639551578000&amp;usg=AFQjCNGHU3pLg6akzY3JAn3gmv9cSbEdAA" xr:uid="{C9A71214-9D60-470A-8771-C8A3A6227525}"/>
    <hyperlink ref="A59" r:id="rId40" display="https://www.google.com/url?q=https://codeforces.com/contest/1068/problem/F&amp;sa=D&amp;ust=1605639551579000&amp;usg=AFQjCNE4keiapTeMAOAvU1s31GHLdtrXNg" xr:uid="{520409C4-5ECA-4EAB-9EC1-7328D2BBCBB4}"/>
    <hyperlink ref="A60" r:id="rId41" display="https://www.google.com/url?q=https://codeforces.com/contest/1261/problem/E&amp;sa=D&amp;ust=1605639551580000&amp;usg=AFQjCNGhsm0ozncXUwDk-Y_hiGZf2HH0tw" xr:uid="{12160CC4-3A0E-416A-BEB4-A84978D2DA1E}"/>
    <hyperlink ref="A61" r:id="rId42" display="https://www.google.com/url?q=https://codingcompetitions.withgoogle.com/codejam/round/0000000000051705/00000000000881de&amp;sa=D&amp;ust=1605639551580000&amp;usg=AFQjCNGVMUKEgMFdp2fBsyFn2hKZvKmRAw" xr:uid="{F874BB01-7F4E-4A0B-BAA4-A7778CC5BDCB}"/>
    <hyperlink ref="D3680" r:id="rId43" display="https://www.google.com/url?q=https://github.com/thackerhelik/Topcoder/blob/master/SRM541-D1-500.cpp&amp;sa=D&amp;ust=1605639551580000&amp;usg=AFQjCNHBZwvusIIWNNo35CY5DGLTnL7abA" xr:uid="{05F71D1A-C3D4-4B7F-B3AF-E88E730272DC}"/>
    <hyperlink ref="A63" r:id="rId44" display="https://www.google.com/url?q=http://codeforces.com/gym/102147/problem/D&amp;sa=D&amp;ust=1605639551581000&amp;usg=AFQjCNEEGaDdIiNkPkWSdhalxBh3vQmA5w" xr:uid="{55E8BE74-B4B7-4737-A2B9-5B066AFB06AD}"/>
    <hyperlink ref="D3681" r:id="rId45" display="https://www.google.com/url?q=https://github.com/guskal01/CompetitiveProgramming/blob/master/CodeForces/CF102147-GYM-D.cpp&amp;sa=D&amp;ust=1605639551581000&amp;usg=AFQjCNHGHoJBzLKUYgML64yIVHCu2BtxkQ" xr:uid="{061543B5-47B2-470A-BCCC-1A819865B9DE}"/>
    <hyperlink ref="A64" r:id="rId46" display="https://www.google.com/url?q=http://codeforces.com/contest/425/problem/D&amp;sa=D&amp;ust=1605639551581000&amp;usg=AFQjCNEGUwE1S295Iwlzfn-WYT1ploKxUA" xr:uid="{09BB3009-B781-43E3-A705-A74408D60749}"/>
    <hyperlink ref="A65" r:id="rId47" display="https://www.google.com/url?q=https://beta.atcoder.jp/contests/arc092/tasks/arc092_b&amp;sa=D&amp;ust=1605639551582000&amp;usg=AFQjCNF4iZxc-KX5--ifu_nPkUUpyFyukA" xr:uid="{DBBC0DD4-7065-433E-98FC-FB16F2B1E47F}"/>
    <hyperlink ref="D3683" r:id="rId48" display="https://www.google.com/url?q=https://github.com/thackerhelik/AtCoder/blob/master/AtCoder092-ARC-B.cpp&amp;sa=D&amp;ust=1605639551582000&amp;usg=AFQjCNEwePKhcQmWaqBThFk8SIHpQ0cosQ" xr:uid="{9487D670-60BA-4957-88EF-2E831E19DB95}"/>
    <hyperlink ref="A66" r:id="rId49" display="https://www.google.com/url?q=http://codeforces.com/contest/109/problem/D&amp;sa=D&amp;ust=1605639551582000&amp;usg=AFQjCNG4qrOAqAxVQtimgETSLjISVms0Iw" xr:uid="{6807A47F-C790-44D7-9347-C3DA5747A9F9}"/>
    <hyperlink ref="A68" r:id="rId50" display="https://www.google.com/url?q=http://codeforces.com/contest/1004/problem/D&amp;sa=D&amp;ust=1605639551583000&amp;usg=AFQjCNHnMSg9y6khjZJ16Xg-xHXVQAAl_g" xr:uid="{BB538DF8-96F8-445B-A613-E388E37EABD0}"/>
    <hyperlink ref="D3685" r:id="rId51" display="https://www.google.com/url?q=https://github.com/IbraheemTuffaha/Competitive-Programming/blob/master/Codeforces/2018-Nov-16/CF1004-D2-D.cpp&amp;sa=D&amp;ust=1605639551583000&amp;usg=AFQjCNFUNKxiyLROGG7F5W8i7qF0pYkmZg" xr:uid="{603B7DD2-20F9-4B33-9C3D-77C2F38C584E}"/>
    <hyperlink ref="A69" r:id="rId52" display="https://www.google.com/url?q=http://agc029.contest.atcoder.jp/tasks/agc029_d&amp;sa=D&amp;ust=1605639551583000&amp;usg=AFQjCNFT-ytO_m4Yx5-P0Z_eCX5R3BDXcQ" xr:uid="{7B7B2D09-B7D5-45BD-BA0E-C5BF0AD3215E}"/>
    <hyperlink ref="A70" r:id="rId53" display="https://www.google.com/url?q=http://codeforces.com/contest/124/problem/D&amp;sa=D&amp;ust=1605639551584000&amp;usg=AFQjCNFbyDM5e7XzPVLGCCkEozK9ETdo6Q" xr:uid="{D04CE2F5-D7C4-4582-A099-748CBCD4AC6C}"/>
    <hyperlink ref="D2940" r:id="rId54" display="https://www.google.com/url?q=https://github.com/mostafa-saad/MyCompetitiveProgramming/blob/master/Codeforces/CF124-D2-D.txt&amp;sa=D&amp;ust=1605639551584000&amp;usg=AFQjCNEfloqqDcEoSwCraHp83965u7O_sA" xr:uid="{9418F43A-6D2D-4759-A9E7-F658D3F30925}"/>
    <hyperlink ref="D2941" r:id="rId55" display="https://www.google.com/url?q=https://github.com/yazanKabbany/CompetitiveProgramming/blob/master/UVA/UVA%25201406.cpp&amp;sa=D&amp;ust=1605639551585000&amp;usg=AFQjCNFiGy9_SFqpurx1u1WZMOd9PqNdXA" xr:uid="{666E1EAC-F137-4175-B589-3080AE758CA6}"/>
    <hyperlink ref="A73" r:id="rId56" display="https://www.google.com/url?q=https://codeforces.com/contest/1084/problem/E&amp;sa=D&amp;ust=1605639551585000&amp;usg=AFQjCNH7P2K5gnJ50aIBkEp1hRzcmtDUKA" xr:uid="{F2ACB493-620F-4DC1-8384-ACBCF4557761}"/>
    <hyperlink ref="A74" r:id="rId57" display="https://www.google.com/url?q=http://codeforces.com/contest/898/problem/F&amp;sa=D&amp;ust=1605639551585000&amp;usg=AFQjCNEleREHykmRmvj_ifn5WUn_9jT3jw" xr:uid="{8ABE90F1-3138-42C4-8C0F-6E9589BB4EF8}"/>
    <hyperlink ref="A75" r:id="rId58" display="https://www.google.com/url?q=https://codeforces.com/contest/1117/problem/E&amp;sa=D&amp;ust=1605639551586000&amp;usg=AFQjCNERaq1PYKUuNeJiPGB-aWxYrz7VNA" xr:uid="{002D09B8-123F-439F-9ABE-E5CD1D0B5720}"/>
    <hyperlink ref="A79" r:id="rId59" display="https://www.google.com/url?q=http://codeforces.com/gym/101149/problem/M?locale%3Den&amp;sa=D&amp;ust=1605639551588000&amp;usg=AFQjCNE_m6W5NydRtJzoKHUvVpM-d3g8sQ" xr:uid="{F0E9DC83-F58A-4A05-BB79-261299B10FD1}"/>
    <hyperlink ref="A81" r:id="rId60" display="https://www.google.com/url?q=http://arc079.contest.atcoder.jp/tasks/arc079_b&amp;sa=D&amp;ust=1605639551589000&amp;usg=AFQjCNGNowZKk7aDMkRzP3z_-2dToRNYig" xr:uid="{E554BCFC-A15A-465F-A5E9-4788733A68A9}"/>
    <hyperlink ref="A82" r:id="rId61" display="https://www.google.com/url?q=http://codeforces.com/gym/101806/problem/T&amp;sa=D&amp;ust=1605639551590000&amp;usg=AFQjCNEDDIGyBTCriJxgpZ-PcBygBAO-gw" xr:uid="{0C547C08-61CB-4697-969C-DB6942C39414}"/>
    <hyperlink ref="D2430" r:id="rId62" display="https://www.google.com/url?q=https://github.com/adarshkr532/CompetitiveProgramming/blob/master/Codeforces/CF101806-GYM-T.cpp&amp;sa=D&amp;ust=1605639551590000&amp;usg=AFQjCNHHH1PP0G0x0yKrewVGFNW_jc9mtA" xr:uid="{9964EC59-5DAC-4ADC-9C2B-624861A2C289}"/>
    <hyperlink ref="A83" r:id="rId63" display="https://www.google.com/url?q=https://codeforces.com/contest/1282/problem/D&amp;sa=D&amp;ust=1605639551591000&amp;usg=AFQjCNGzlyLpv4PVowPqXYyXELiNHG_ddg" xr:uid="{10A1ECB9-B01E-45A5-998E-BE59FC738F5B}"/>
    <hyperlink ref="A84" r:id="rId64" display="https://www.google.com/url?q=http://codeforces.com/contest/907/problem/D&amp;sa=D&amp;ust=1605639551591000&amp;usg=AFQjCNHvRCg0eURxROsGBqlPc3M96ZvzKg" xr:uid="{81CD689E-DB1A-461F-A7A9-AB840EA5EE4D}"/>
    <hyperlink ref="A85" r:id="rId65" display="https://www.google.com/url?q=http://codeforces.com/gym/101149/problem/M?locale%3Den&amp;sa=D&amp;ust=1605639551592000&amp;usg=AFQjCNEwsfrNlWj-gnJelGE1yzkH5pShDA" xr:uid="{0C99E006-8454-41CA-8087-EDC72273FD6E}"/>
    <hyperlink ref="D2433" r:id="rId66" display="https://www.google.com/url?q=https://github.com/Szawinis/CompetitiveProgramming/blob/master/CodeForces/CF101149-GYM-M.cpp&amp;sa=D&amp;ust=1605639551592000&amp;usg=AFQjCNFwO6rem0Is4aksmNkE8mvyMhq65Q" xr:uid="{FC7A4039-4655-401F-8AAA-FB88968AF02F}"/>
    <hyperlink ref="A86" r:id="rId67" display="https://www.google.com/url?q=https://codingcompetitions.withgoogle.com/kickstart/round/0000000000050edd/00000000001a2835&amp;sa=D&amp;ust=1605639551593000&amp;usg=AFQjCNGE4TXUdpQd-J92i-MUE_xD76FRDg" xr:uid="{F73E5248-EE4D-4C18-8D78-25D8BE146797}"/>
    <hyperlink ref="D2434" r:id="rId68" display="https://www.google.com/url?q=https://github.com/farmerboy95/CompetitiveProgramming/blob/master/Google%2520Kickstart/Kickstart%252019-RH-B.cpp&amp;sa=D&amp;ust=1605639551593000&amp;usg=AFQjCNHqQoyhZ_D5Xeja4HhaBI_2g-Tfkw" xr:uid="{C3E17F8C-1944-4F82-AF02-671DBC2B626F}"/>
    <hyperlink ref="A87" r:id="rId69" display="https://www.google.com/url?q=http://codeforces.com/contest/333/problem/D&amp;sa=D&amp;ust=1605639551593000&amp;usg=AFQjCNHY_shSo0Ac88y15mpCR5xsYkU7DQ" xr:uid="{8E48B76B-9F07-42F7-A8C4-3CDC9C738092}"/>
    <hyperlink ref="D2435" r:id="rId70" display="https://www.google.com/url?q=https://github.com/AhmedRamadanAbdElghany/CompetitiveProgramming/blob/master/CodeForces/CF333-D1-D.cpp&amp;sa=D&amp;ust=1605639551594000&amp;usg=AFQjCNGtEJUFYzRDydbvpsYlVwb7tgb6Ww" xr:uid="{8E234137-5908-4527-9798-C1A9C7D0C2D6}"/>
    <hyperlink ref="A88" r:id="rId71" display="https://www.google.com/url?q=http://arc079.contest.atcoder.jp/tasks/arc079_c&amp;sa=D&amp;ust=1605639551594000&amp;usg=AFQjCNGiD7g9WjR8bUy4O_UmlmE67f3-Yw" xr:uid="{3F6BC5B7-6ECF-4AD6-BBAF-60E30FC6184A}"/>
    <hyperlink ref="A90" r:id="rId72" display="https://www.google.com/url?q=https://codeforces.com/contest/1214/problem/E&amp;sa=D&amp;ust=1605639551595000&amp;usg=AFQjCNHE_sw-uo1HXIZgQjHACxOcq3rk9g" xr:uid="{198DBE5A-B77B-4B2B-852B-6388853A8FAE}"/>
    <hyperlink ref="A91" r:id="rId73" display="https://www.google.com/url?q=http://codeforces.com/contest/591/problem/C&amp;sa=D&amp;ust=1605639551595000&amp;usg=AFQjCNGzXaP_kyd-2wM6ub6OL04u3KgBFw" xr:uid="{DE92550A-DF18-446E-81D4-E393778B2A41}"/>
    <hyperlink ref="D2438" r:id="rId74" display="https://www.google.com/url?q=https://codeforces.com/blog/entry/21203&amp;sa=D&amp;ust=1605639551595000&amp;usg=AFQjCNGidERqeeR2tH_CKc2r6LgxSmpkTA" xr:uid="{EFAB7D64-EEDA-403D-A9FA-586279389547}"/>
    <hyperlink ref="A93" r:id="rId75" display="https://www.google.com/url?q=https://codingcompetitions.withgoogle.com/kickstart/round/0000000000050ff2/0000000000150aae&amp;sa=D&amp;ust=1605639551596000&amp;usg=AFQjCNF1HFZv73eAXMoeOeqWWj2jZ7Y3hQ" xr:uid="{E6E2FD0A-055B-400D-A99C-F315922EF4FD}"/>
    <hyperlink ref="A94" r:id="rId76" display="https://www.google.com/url?q=https://codeforces.com/contest/1296/problem/F&amp;sa=D&amp;ust=1605639551597000&amp;usg=AFQjCNFhXlRkG6so5-okNXB1k0QsgGEk4w" xr:uid="{4B54C5D6-66DA-47BD-AB8A-CBDDA493081F}"/>
    <hyperlink ref="D2443" r:id="rId77" display="https://www.google.com/url?q=https://github.com/OmarHashim/Competitive-Programming/blob/master/LiveArchive/3695.cpp&amp;sa=D&amp;ust=1605639551597000&amp;usg=AFQjCNH3FW1iwwm-RT-QX-H2DapaSvlhnA" xr:uid="{40A9863B-B54B-478E-A819-1CE1499DDA70}"/>
    <hyperlink ref="A98" r:id="rId78" display="https://www.google.com/url?q=https://codeforces.com/contest/1230/problem/D&amp;sa=D&amp;ust=1605639551598000&amp;usg=AFQjCNHLklp9xp1ScHb5ZRnYzg0SP8XWzg" xr:uid="{4D7123C6-5A43-4A76-86E5-551338CEB3F6}"/>
    <hyperlink ref="A99" r:id="rId79" display="https://www.google.com/url?q=http://codeforces.com/contest/779/problem/E&amp;sa=D&amp;ust=1605639551598000&amp;usg=AFQjCNGXxEncUx5hH4dvgkK81zr9QtzGOQ" xr:uid="{CC54753A-5B6A-4277-A5B8-4A9CFD2D8E53}"/>
    <hyperlink ref="D2389" r:id="rId80" display="https://www.google.com/url?q=https://github.com/mostafa-saad/MyCompetitiveProgramming/blob/master/SPOJ/SPOJ_PARSUMS.txt&amp;sa=D&amp;ust=1605639551599000&amp;usg=AFQjCNHlAr1aswGNAisEBcZQ_su6UTYSZA" xr:uid="{E2AE2062-FE9C-4074-A374-35E458DF36C0}"/>
    <hyperlink ref="A101" r:id="rId81" display="https://www.google.com/url?q=https://codeforces.com/gym/101807/problem/F&amp;sa=D&amp;ust=1605639551601000&amp;usg=AFQjCNHn1EPYS6mS1p-HZ6p6juuLr0mI4w" xr:uid="{CA01085F-5728-4353-B509-0B1BD21127CF}"/>
    <hyperlink ref="D2390" r:id="rId82" display="https://www.google.com/url?q=https://github.com/YazanZebak/CompetitiveProgramming/blob/master/Codeforces/CF101807-GYM-F.cpp&amp;sa=D&amp;ust=1605639551601000&amp;usg=AFQjCNEEThWJy2vLC4705nJ7NnpWsdiAMA" xr:uid="{911E50B5-42F0-44B2-A559-A8E4A19C44D2}"/>
    <hyperlink ref="A102" r:id="rId83" display="https://www.google.com/url?q=https://codeforces.com/contest/867/problem/C&amp;sa=D&amp;ust=1605639551601000&amp;usg=AFQjCNHPHLcPcDnaWzkgzULreogOWUSDYg" xr:uid="{70EF0985-6DDD-4B1F-B4C6-ACE17E10B4F3}"/>
    <hyperlink ref="A103" r:id="rId84" display="https://www.google.com/url?q=http://codeforces.com/contest/868/problem/C&amp;sa=D&amp;ust=1605639551602000&amp;usg=AFQjCNGNieaxqV3RDICZBGZctRDR70v4XQ" xr:uid="{50EC9CF7-F7A8-41B1-AE38-660503A8AF5D}"/>
    <hyperlink ref="D1493" r:id="rId85" display="https://www.google.com/url?q=http://code.cloudkaksha.org/spoj/spoj-pairsum-solution&amp;sa=D&amp;ust=1605639551602000&amp;usg=AFQjCNHm1InPSYCW5khJkvv8haCxVe96jQ" xr:uid="{9F159B13-6BB1-4854-9C39-17987C965219}"/>
    <hyperlink ref="A105" r:id="rId86" display="https://www.google.com/url?q=http://codeforces.com/contest/23/problem/C&amp;sa=D&amp;ust=1605639551603000&amp;usg=AFQjCNEd924DZIxSPB_YfeAkg0WNv_Ab0Q" xr:uid="{9BE7318C-3812-4DF1-A6A6-2D58DFBA3ACF}"/>
    <hyperlink ref="A106" r:id="rId87" display="https://www.google.com/url?q=http://codeforces.com/contest/309/problem/C&amp;sa=D&amp;ust=1605639551603000&amp;usg=AFQjCNHj7yXcLpjjyRH_SCofDK1hPOWD4g" xr:uid="{CE2BCE32-33EE-46D0-A426-AC490D9BDA42}"/>
    <hyperlink ref="A107" r:id="rId88" display="https://www.google.com/url?q=https://codeforces.com/contest/1174/problem/D&amp;sa=D&amp;ust=1605639551604000&amp;usg=AFQjCNFh7Pk7TAg1c4N2PlCkjMYbUI22Qg" xr:uid="{55153ED4-21C9-4976-9DA0-5330A9C9EB15}"/>
    <hyperlink ref="D1497" r:id="rId89" display="https://www.google.com/url?q=https://github.com/ajfabian/Competitive-Programming/blob/master/SPOJ/UCBINTC/a.cpp&amp;sa=D&amp;ust=1605639551604000&amp;usg=AFQjCNFeQfh3B0ag8edNljFlWnpjeMaZQQ" xr:uid="{3C2D8B53-227B-43C3-B2BA-BB49FE8F90E0}"/>
    <hyperlink ref="A110" r:id="rId90" display="https://www.google.com/url?q=https://codeforces.com/contest/1204/problem/D2&amp;sa=D&amp;ust=1605639551605000&amp;usg=AFQjCNGQAbdz2zv5dXr6Eetkd-WdxZjnVA" xr:uid="{EB569790-FEA9-4686-9912-46EA6C504D3A}"/>
    <hyperlink ref="A111" r:id="rId91" display="https://www.google.com/url?q=https://codeforces.com/contest/1270/problem/D&amp;sa=D&amp;ust=1605639551605000&amp;usg=AFQjCNFwN60w57GerbwUrIqpPB89vwDjEw" xr:uid="{60F79EF0-43B6-441E-A259-34C6A02C6326}"/>
    <hyperlink ref="A112" r:id="rId92" display="https://www.google.com/url?q=http://codeforces.com/contest/41/problem/E&amp;sa=D&amp;ust=1605639551606000&amp;usg=AFQjCNE-sc9NNh_7mpvdXVw3ZCxuG2vgKA" xr:uid="{EC8C6218-3D52-4A50-B690-44D3B181DC16}"/>
    <hyperlink ref="A113" r:id="rId93" display="https://www.google.com/url?q=https://codeforces.com/contest/1092/problem/D1&amp;sa=D&amp;ust=1605639551606000&amp;usg=AFQjCNGdWV72CcRgyJ9sXBKzK3XnmRVGVA" xr:uid="{95D35835-C80D-4188-8DFB-78E51C2611AB}"/>
    <hyperlink ref="A18" r:id="rId94" display="https://www.google.com/url?q=http://codeforces.com/contest/1110/problem/E&amp;sa=D&amp;ust=1605639551607000&amp;usg=AFQjCNGlo8eRNq1ffrZWeg_N9i0IMH585w" xr:uid="{95900288-EBB8-4F32-AC60-159DC1DE399D}"/>
    <hyperlink ref="A20" r:id="rId95" display="https://www.google.com/url?q=http://codeforces.com/contest/344/problem/D&amp;sa=D&amp;ust=1605639551608000&amp;usg=AFQjCNGzltDpzWFFRTQn0FXCdXpj7yl8RQ" xr:uid="{33F302CB-0D11-452E-9D02-18C3A19DBC7D}"/>
    <hyperlink ref="A22" r:id="rId96" display="https://www.google.com/url?q=http://codeforces.com/contest/1005/problem/E1&amp;sa=D&amp;ust=1605639551610000&amp;usg=AFQjCNGh9WXt-cBBVOYIHAPxguNa6lRBBA" xr:uid="{52211515-2BDD-43CD-9FD0-DE0519E7C746}"/>
    <hyperlink ref="A23" r:id="rId97" display="https://www.google.com/url?q=https://agc003.contest.atcoder.jp/tasks/agc003_a&amp;sa=D&amp;ust=1605639551610000&amp;usg=AFQjCNEC_qRBL9yAJCRb3ISykRN96CC5vA" xr:uid="{0BA51036-100D-4D0D-A3D4-A2F93AE4083B}"/>
    <hyperlink ref="A25" r:id="rId98" display="https://www.google.com/url?q=http://codeforces.com/problemset/gymProblem/100812/B&amp;sa=D&amp;ust=1605639551610000&amp;usg=AFQjCNE-vkQ_r0JjRKQmlHi9hRQmqkxJwA" xr:uid="{619C4F89-E541-431F-9B6F-7CADD548D320}"/>
    <hyperlink ref="A116" r:id="rId99" display="https://www.google.com/url?q=http://codeforces.com/contest/63/problem/D&amp;sa=D&amp;ust=1605639551611000&amp;usg=AFQjCNFpXaQZBHIdcmi-2pbQ9aNef-scfg" xr:uid="{A75FC4AB-1B83-4B21-BFB2-FF05DDE6987F}"/>
    <hyperlink ref="A118" r:id="rId100" display="https://www.google.com/url?q=http://codeforces.com/problemset/problem/957/D&amp;sa=D&amp;ust=1605639551611000&amp;usg=AFQjCNEGtMOnhiyzFjZ_OLMO436suyIfZw" xr:uid="{8B68258C-1B7B-4197-99C1-6B544491623B}"/>
    <hyperlink ref="A117" r:id="rId101" display="https://www.google.com/url?q=https://www.codechef.com/problems/FRCPRT&amp;sa=D&amp;ust=1605639551611000&amp;usg=AFQjCNEJS1f9Q-EKj9xn-qysN4FsJU2P1Q" xr:uid="{31196D50-FC70-4695-A8F9-78AA82FBCAC1}"/>
    <hyperlink ref="A119" r:id="rId102" display="https://www.google.com/url?q=https://codejam.withgoogle.com/2018/challenges/0000000000007706/dashboard&amp;sa=D&amp;ust=1605639551612000&amp;usg=AFQjCNGxI4cEh7QRYYt_gCQbMX1OdeFMvA" xr:uid="{4CE99F65-FEF2-45BF-9A6C-77D636ADD9F9}"/>
    <hyperlink ref="A120" r:id="rId103" display="https://www.google.com/url?q=https://codeforces.com/contest/1047/problem/D&amp;sa=D&amp;ust=1605639551614000&amp;usg=AFQjCNGITxMBgY6XyyFxvSVCG8V_n94KTg" xr:uid="{42FCC168-2FD5-4842-86CD-98B11A720663}"/>
    <hyperlink ref="A121" r:id="rId104" display="https://www.google.com/url?q=https://agc004.contest.atcoder.jp/tasks/agc004_c&amp;sa=D&amp;ust=1605639551614000&amp;usg=AFQjCNHi4HXTxVUTGJOC_r20QIxdUZuCJA" xr:uid="{9FA95D6B-A868-4FC1-AB37-D0E318CB600D}"/>
    <hyperlink ref="A124" r:id="rId105" display="https://www.google.com/url?q=http://codeforces.com/problemset/problem/56/C&amp;sa=D&amp;ust=1605639551615000&amp;usg=AFQjCNEwJYPobmrinc8MAzGLTs3dAYXMvw" xr:uid="{294749DC-BA65-4780-8494-270BB1828269}"/>
    <hyperlink ref="A126" r:id="rId106" display="https://www.google.com/url?q=http://codeforces.com/contest/189/problem/C&amp;sa=D&amp;ust=1605639551616000&amp;usg=AFQjCNFo3WT8l5lBYiL-5xzP1MqKNpC-Rg" xr:uid="{DE5C380A-301B-4D25-BB3D-FE493A3BAC5F}"/>
    <hyperlink ref="D1143" r:id="rId107" display="https://www.google.com/url?q=https://github.com/MedoN11/CompetitiveProgramming/blob/master/CodeForces/CF189-D1-C.cpp&amp;sa=D&amp;ust=1605639551616000&amp;usg=AFQjCNFUf0Ka8-BmmIGQH5n78thSxW_Kiw" xr:uid="{2400381F-BE6B-4933-8602-BDE46A7EDFAC}"/>
    <hyperlink ref="A127" r:id="rId108" display="https://www.google.com/url?q=http://agc019.contest.atcoder.jp/tasks/agc019_b&amp;sa=D&amp;ust=1605639551617000&amp;usg=AFQjCNHabOUvgJgoprXgIwzuGm-AKYG2bA" xr:uid="{CD0F090A-50BC-4117-94C4-74A54F71884B}"/>
    <hyperlink ref="D1144" r:id="rId109" display="https://www.google.com/url?q=https://github.com/MedoN11/CompetitiveProgramming/blob/master/Atcoder/ATCODER-AGC-019-B.cpp&amp;sa=D&amp;ust=1605639551617000&amp;usg=AFQjCNHkUpdeQKoKB_xZcxOQaXguOR6y_g" xr:uid="{2B16CDBE-9DE2-42D8-B07A-AFA80FC61617}"/>
    <hyperlink ref="D1145" r:id="rId110" display="https://www.google.com/url?q=https://github.com/OmarKharouba/CompetitiveProgramming/blob/master/Timus/Timus_1689.java?fref%3Dgc%26dti%3D160725894286891&amp;sa=D&amp;ust=1605639551617000&amp;usg=AFQjCNHLtUdRulQg2lXM9N4eCGjTGR8mIQ" xr:uid="{DD4DA258-FD6C-44C2-AA67-9C5F8538BD97}"/>
    <hyperlink ref="A129" r:id="rId111" display="https://www.google.com/url?q=https://atcoder.jp/contests/agc006/tasks/agc006_b&amp;sa=D&amp;ust=1605639551617000&amp;usg=AFQjCNFQvj9E4TNJSnsDuJVkifPFEzy6ZQ" xr:uid="{42731DCF-858F-42FC-A70F-A6401DA9FD08}"/>
    <hyperlink ref="A130" r:id="rId112" display="https://www.google.com/url?q=https://www.codechef.com/JUNE19A/problems/LENTMO&amp;sa=D&amp;ust=1605639551618000&amp;usg=AFQjCNGGexQtOK_-iscbA3BAwXpj-HWaAg" xr:uid="{9B00803C-0E9D-4EEA-A10A-7B5DEA0E4B92}"/>
    <hyperlink ref="D1148" r:id="rId113" display="https://www.google.com/url?q=https://github.com/ahmedsamir221/CompetitiveProgramming/blob/master/SPOJ/SPOJ%2520KOMPICI.cpp&amp;sa=D&amp;ust=1605639551619000&amp;usg=AFQjCNGcQBoG90deKn6vPUlmrSToz47IQA" xr:uid="{F6A577EE-A120-4ED2-BD14-ABC3AB323FB1}"/>
    <hyperlink ref="A132" r:id="rId114" display="https://www.google.com/url?q=https://codeforces.com/contest/1148/problem/C&amp;sa=D&amp;ust=1605639551619000&amp;usg=AFQjCNGc3z6q1TZ9qd-z0TrHEKET27tnTQ" xr:uid="{6ADE84E3-14C6-489F-AF5E-E7F31F2F688C}"/>
    <hyperlink ref="A198" r:id="rId115" display="https://www.google.com/url?q=http://codeforces.com/contest/157/problem/D&amp;sa=D&amp;ust=1605639551621000&amp;usg=AFQjCNFcnB2VeifSt1xHjeiE2_xAZovkbQ" xr:uid="{A7E0FDF8-BA72-45C1-A155-1E7A385EA179}"/>
    <hyperlink ref="A199" r:id="rId116" display="https://www.google.com/url?q=http://codeforces.com/contest/1042/problem/C&amp;sa=D&amp;ust=1605639551621000&amp;usg=AFQjCNGySxV8NeZNQAIUE4_A2ti_b2fecg" xr:uid="{41E45B65-211D-4680-B1DC-87391B2E9225}"/>
    <hyperlink ref="A200" r:id="rId117" display="https://www.google.com/url?q=http://codeforces.com/contest/808/problem/D&amp;sa=D&amp;ust=1605639551622000&amp;usg=AFQjCNF9sDmdw_VXwCJFVD2L2KLc0A4Haw" xr:uid="{B18045D0-C7AE-4245-84B3-7B2A9CCF8BD4}"/>
    <hyperlink ref="A201" r:id="rId118" display="https://www.google.com/url?q=https://agc005.contest.atcoder.jp/tasks/agc005_a&amp;sa=D&amp;ust=1605639551622000&amp;usg=AFQjCNH5kkTYLzaYdI31iZkasuXF_ZV0Lg" xr:uid="{CD6523F8-1B83-42D7-96F4-AA2C320CBD84}"/>
    <hyperlink ref="A202" r:id="rId119" display="https://www.google.com/url?q=http://codeforces.com/contest/298/problem/D&amp;sa=D&amp;ust=1605639551623000&amp;usg=AFQjCNFhRKezs_LhbBRGODc_lq10Khb0ww" xr:uid="{9FC43A37-CC8E-42CD-ABC5-09C882FC6EEE}"/>
    <hyperlink ref="A203" r:id="rId120" display="https://www.google.com/url?q=http://codeforces.com/contest/353/problem/D&amp;sa=D&amp;ust=1605639551623000&amp;usg=AFQjCNGG9O1wkwJ-jXD2CncqLAhwYcEC1g" xr:uid="{1E50784B-C131-40B7-8B3F-338D16BD5753}"/>
    <hyperlink ref="A204" r:id="rId121" display="https://www.google.com/url?q=http://codeforces.com/contest/124/problem/C&amp;sa=D&amp;ust=1605639551624000&amp;usg=AFQjCNE35Xumv8yHm-JXnYql61FPVxwf9w" xr:uid="{43F1415F-2607-4806-9D23-D6FE79824DBF}"/>
    <hyperlink ref="A205" r:id="rId122" display="https://www.google.com/url?q=http://codeforces.com/contest/493/problem/D&amp;sa=D&amp;ust=1605639551624000&amp;usg=AFQjCNGJXX4VdenkkQb7Duk4-BMGNZnjSQ" xr:uid="{00888BDA-5F87-4F5B-9146-8566CF0CD623}"/>
    <hyperlink ref="D1161" r:id="rId123" display="https://www.google.com/url?q=https://ideone.com/wPylKR&amp;sa=D&amp;ust=1605639551626000&amp;usg=AFQjCNH5cvGmLzBTlJpErkAIxnPRzqbu5A" xr:uid="{0CC2A020-DDD5-4A10-8A67-FD06D6862BE4}"/>
    <hyperlink ref="D1162" r:id="rId124" display="https://www.google.com/url?q=https://github.com/arvindr9/CompetitiveProgramming/blob/master/UVA/UVA%25201726.cpp&amp;sa=D&amp;ust=1605639551626000&amp;usg=AFQjCNHJMo-_C6XJk876q2dkbDvpxJc7aw" xr:uid="{E8B370F9-8AA4-4ECD-85AF-11403D1B3125}"/>
    <hyperlink ref="A227" r:id="rId125" display="https://www.google.com/url?q=http://codeforces.com/contest/195/problem/C&amp;sa=D&amp;ust=1605639551626000&amp;usg=AFQjCNFWvvvd8arBC6dMThp2KrL3ELF5hA" xr:uid="{10A5793B-2890-4EE3-87CD-145848A668F8}"/>
    <hyperlink ref="A228" r:id="rId126" display="https://www.google.com/url?q=http://codeforces.com/contest/59/problem/C&amp;sa=D&amp;ust=1605639551627000&amp;usg=AFQjCNGkVd2B-CCModBPYQkx1FOFCw18Cg" xr:uid="{B72C9753-FF45-4AB4-9FE1-F162C669A330}"/>
    <hyperlink ref="A303" r:id="rId127" display="https://www.google.com/url?q=https://codeforces.com/contest/1066/problem/E&amp;sa=D&amp;ust=1605639551628000&amp;usg=AFQjCNFPD2myHD-L5kbDwNxJwq6TgWL6CA" xr:uid="{92E2FD63-DDF5-468D-81B6-C5765EAAFD46}"/>
    <hyperlink ref="A305" r:id="rId128" display="https://www.google.com/url?q=http://codeforces.com/contest/375/problem/B&amp;sa=D&amp;ust=1605639551629000&amp;usg=AFQjCNHTnP3Rh5Zpm-c_3SBcXUqO8KTjnQ" xr:uid="{0D77792C-A3F5-4FC7-9A23-670DE3DC9F65}"/>
    <hyperlink ref="A335" r:id="rId129" display="https://www.google.com/url?q=https://codeforces.com/contest/1207/problem/E&amp;sa=D&amp;ust=1605639551630000&amp;usg=AFQjCNH4RbZny7iurFqC6DVhH5ddYmpEvQ" xr:uid="{54199B90-8468-412D-9A8C-163FD7DC40E5}"/>
    <hyperlink ref="A336" r:id="rId130" display="https://www.google.com/url?q=http://codeforces.com/contest/1043/problem/C&amp;sa=D&amp;ust=1605639551631000&amp;usg=AFQjCNGY35KxFGYWqekqb2DAYVhVEipRKg" xr:uid="{DDB30883-311E-493C-8DD7-34F34E7A215E}"/>
    <hyperlink ref="A337" r:id="rId131" display="https://www.google.com/url?q=http://codeforces.com/contest/1075/problem/C&amp;sa=D&amp;ust=1605639551631000&amp;usg=AFQjCNFi8C-QkriLSKTOXeLWWgXPVu8FDg" xr:uid="{EEECDACD-E19C-44A0-9E0E-9BCFDB4D6787}"/>
    <hyperlink ref="A398" r:id="rId132" display="https://www.google.com/url?q=http://codeforces.com/contest/122/problem/D&amp;sa=D&amp;ust=1605639551632000&amp;usg=AFQjCNE4s-QUJasiNnCiS28t40mh749lDw" xr:uid="{75FAF3D1-BC35-4280-B2C4-419C638D74AC}"/>
    <hyperlink ref="A399" r:id="rId133" display="https://www.google.com/url?q=https://www.codechef.com/LTIME64B/problems/OPPOSITE&amp;sa=D&amp;ust=1605639551632000&amp;usg=AFQjCNEq1GqNPgY8C6udkJW2IsTwQumdeA" xr:uid="{2726BC5A-40CB-49D0-BB5E-284E15132EAA}"/>
    <hyperlink ref="D583" r:id="rId134" display="https://www.google.com/url?q=https://github.com/mostafa-saad/MyCompetitiveProgramming/blob/master/SPOJ/SPOJ_TWINSNOW.txt&amp;sa=D&amp;ust=1605639551633000&amp;usg=AFQjCNGAMcC3IQBpyL7pQroVET3Gc70ypg" xr:uid="{78665A48-94DB-4614-8D47-B38BF920DCD6}"/>
    <hyperlink ref="A441" r:id="rId135" display="https://www.google.com/url?q=http://codeforces.com/contest/466/problem/C&amp;sa=D&amp;ust=1605639551633000&amp;usg=AFQjCNHYZkgSGf205d3wAEfWHWBKwMS8LQ" xr:uid="{E1D1C55B-97AF-4088-A7F5-049DB95C09FD}"/>
    <hyperlink ref="A442" r:id="rId136" display="https://www.google.com/url?q=http://codeforces.com/contest/112/problem/D&amp;sa=D&amp;ust=1605639551634000&amp;usg=AFQjCNHVNH9uh4orsOKnD_goouOB0hynKg" xr:uid="{8327289C-DD2C-4F12-886E-3CB46825F193}"/>
    <hyperlink ref="A443" r:id="rId137" display="https://www.google.com/url?q=http://codeforces.com/problemset/problem/296/C&amp;sa=D&amp;ust=1605639551634000&amp;usg=AFQjCNGe33pl_qxGYD117aBe5-BOJc0jyA" xr:uid="{4979390F-1464-45C0-B282-4DBFC9F6AF62}"/>
    <hyperlink ref="A134" r:id="rId138" display="https://www.google.com/url?q=http://codeforces.com/contest/733/problem/D&amp;sa=D&amp;ust=1605639551635000&amp;usg=AFQjCNFLffB3GxLBWkNPhUxS59RZhkX_Vw" xr:uid="{539B2E29-04E4-4088-9B99-34A891A91229}"/>
    <hyperlink ref="A135" r:id="rId139" display="https://www.google.com/url?q=http://codeforces.com/contest/822/problem/C&amp;sa=D&amp;ust=1605639551636000&amp;usg=AFQjCNFH02VRSadDXODkFygUTZMurikBWg" xr:uid="{5C7DEBAD-0B51-4649-AAE9-87CFDBC6DF80}"/>
    <hyperlink ref="A136" r:id="rId140" display="https://www.google.com/url?q=http://codeforces.com/problemset/problem/869/B&amp;sa=D&amp;ust=1605639551636000&amp;usg=AFQjCNHtWacIx6qieuDQ9cbUVB_NvQtpTQ" xr:uid="{2DE6D615-F980-43DC-97FA-F318B7F8A930}"/>
    <hyperlink ref="A170" r:id="rId141" display="https://www.google.com/url?q=https://www.codechef.com/problems/ORMATRIX&amp;sa=D&amp;ust=1605639551637000&amp;usg=AFQjCNGjl8jg3kVkv6fzoYEK0Xd-0QT-Pw" xr:uid="{7B15860A-8012-40EE-8BAC-D95949E6165A}"/>
    <hyperlink ref="A172" r:id="rId142" display="https://www.google.com/url?q=http://codeforces.com/contest/479/problem/D&amp;sa=D&amp;ust=1605639551638000&amp;usg=AFQjCNFkbZrIOMuPUbTG46UsF0Lb5NYrDA" xr:uid="{B1DC51EF-2836-47A5-AAA7-78A2391F4EE0}"/>
    <hyperlink ref="A173" r:id="rId143" display="https://www.google.com/url?q=http://codeforces.com/contest/677/problem/C&amp;sa=D&amp;ust=1605639551639000&amp;usg=AFQjCNEd0NsrK4JC9zkkeA44EFHf4sDa4Q" xr:uid="{33A017D9-C714-4B7C-8C75-EE8E0D2F7B5E}"/>
    <hyperlink ref="A174" r:id="rId144" display="https://www.google.com/url?q=http://codeforces.com/contest/862/problem/C&amp;sa=D&amp;ust=1605639551639000&amp;usg=AFQjCNF-kq7kZyqLzBDQzoL9Y2RoDlRyLw" xr:uid="{2A21FCD4-6892-4363-8DCB-9E5ED3022D19}"/>
    <hyperlink ref="A175" r:id="rId145" display="https://www.google.com/url?q=https://agc002.contest.atcoder.jp/tasks/agc002_a&amp;sa=D&amp;ust=1605639551640000&amp;usg=AFQjCNFQV0m32Q71ZZ3kJtEADROTH_fXGA" xr:uid="{ED84DA7D-2EAF-4D1D-AD31-2A85EEB0B84E}"/>
    <hyperlink ref="A176" r:id="rId146" display="https://www.google.com/url?q=http://codeforces.com/contest/913/problem/C&amp;sa=D&amp;ust=1605639551640000&amp;usg=AFQjCNGAkqEqkq9We_W9rH_VphDbUCSlAQ" xr:uid="{2A7F4AB0-16FB-4F91-9391-9ABD843EA5AC}"/>
    <hyperlink ref="D599" r:id="rId147" display="https://www.google.com/url?q=https://discuss.codechef.com/questions/25065/spoj-problem-minimum-permutation&amp;sa=D&amp;ust=1605639551641000&amp;usg=AFQjCNHQnSOTUj1SJMej-vOgVNKzWg51Tg" xr:uid="{F229CF95-5FC6-4484-8063-2EC96CAFB1D0}"/>
    <hyperlink ref="A178" r:id="rId148" display="https://www.google.com/url?q=http://codeforces.com/contest/976/problem/C&amp;sa=D&amp;ust=1605639551641000&amp;usg=AFQjCNHXiU3bSsZCuucR0gj49DZfkgujzA" xr:uid="{661E1947-863D-4983-BB93-D7397FF89315}"/>
    <hyperlink ref="D600" r:id="rId149" display="https://www.google.com/url?q=https://github.com/Huvok/CompetitiveProgramming/blob/master/Codeforces/CF976-D2-C.cpp&amp;sa=D&amp;ust=1605639551641000&amp;usg=AFQjCNHpEbtn8HftX2mnGtb235tIeCD0Xw" xr:uid="{28933109-B411-4E74-96F6-96DF28FB21C4}"/>
    <hyperlink ref="A180" r:id="rId150" display="https://www.google.com/url?q=http://codeforces.com/contest/978/problem/F&amp;sa=D&amp;ust=1605639551642000&amp;usg=AFQjCNHKkidBUXa6-F2T57glNh1xFWzd0A" xr:uid="{CDEA1E54-F40A-412A-B40B-368E9AF20840}"/>
    <hyperlink ref="A182" r:id="rId151" display="https://www.google.com/url?q=http://codeforces.com/problemset/problem/900/C&amp;sa=D&amp;ust=1605639551642000&amp;usg=AFQjCNHk1yxwSNseVQf5e60eYKVdXLQ78A" xr:uid="{816106F3-1CCB-41CC-AFF9-B164ED08E637}"/>
    <hyperlink ref="D467" r:id="rId152" display="https://www.google.com/url?q=https://github.com/MedoN11/CompetitiveProgramming/blob/master/CodeForces/CF450-D2-C.cpp&amp;sa=D&amp;ust=1605639551642000&amp;usg=AFQjCNE3nH4URBLDvhXJ5xx_UcX8k6CU9A" xr:uid="{2B678391-8981-4F8D-B07C-9B55D27E9F3D}"/>
    <hyperlink ref="A183" r:id="rId153" display="https://www.google.com/url?q=http://codeforces.com/contest/21/problem/C&amp;sa=D&amp;ust=1605639551643000&amp;usg=AFQjCNE1xMhkbML2JtURANnxf7fqNgATzw" xr:uid="{0137C991-10EE-41A1-AD5F-67C0018E87D0}"/>
    <hyperlink ref="D468" r:id="rId154" display="https://www.google.com/url?q=https://github.com/AhmedElsisy/CompetitiveProgramming/blob/master/Codeforces/CF21-D12-C.cpp&amp;sa=D&amp;ust=1605639551643000&amp;usg=AFQjCNGxeVwhAGOED4-bod5-m86zDhDBuA" xr:uid="{B19BF3FB-9222-4806-9309-1CFFE8491286}"/>
    <hyperlink ref="A185" r:id="rId155" display="https://www.google.com/url?q=http://codeforces.com/problemset/problem/869/A&amp;sa=D&amp;ust=1605639551644000&amp;usg=AFQjCNGDnU4Sfd1fvO_494lAYR1OJFx0kQ" xr:uid="{31FC00B3-F798-401C-BFF1-8B5D81EB1C38}"/>
    <hyperlink ref="A186" r:id="rId156" display="https://www.google.com/url?q=http://codeforces.com/contest/897/problem/B&amp;sa=D&amp;ust=1605639551644000&amp;usg=AFQjCNFFy9wve0QxusJWFTVZu2lcjkJ7Pg" xr:uid="{3279B652-BD38-49C3-83E9-CF2B9AC05FBB}"/>
    <hyperlink ref="A187" r:id="rId157" display="https://www.google.com/url?q=https://csacademy.com/contest/round-59/task/triangular-matrix/&amp;sa=D&amp;ust=1605639551645000&amp;usg=AFQjCNGAKQjLgPPkyRY5RQPm2K1A6ref9A" xr:uid="{C73FE336-5240-4EEF-B15A-B19D036FA2D4}"/>
    <hyperlink ref="A191" r:id="rId158" display="https://www.google.com/url?q=http://codeforces.com/contest/740/problem/C&amp;sa=D&amp;ust=1605639551646000&amp;usg=AFQjCNGKqh982HaSPgDbQJ9CttuMU-mkUg" xr:uid="{C9977FD6-61CE-42F4-86C1-8A98454F41B3}"/>
    <hyperlink ref="D123" r:id="rId159" display="https://www.google.com/url?q=https://en.wikipedia.org/wiki/Cycle_detection%23Floyd.27s_Tortoise_and_Hare&amp;sa=D&amp;ust=1605639551646000&amp;usg=AFQjCNE1Ijof9m1ZPy5gMR6-skqC8HUt4A" xr:uid="{8F21D910-FBCA-4697-8458-C14F5121FC0E}"/>
    <hyperlink ref="D124" r:id="rId160" display="https://www.google.com/url?q=https://github.com/AhmedElsisy/CompetitiveProgramming/blob/master/SPOJ/SPOJ%2520MAIN8_E.cpp&amp;sa=D&amp;ust=1605639551647000&amp;usg=AFQjCNHmWcF39XfhrvL9fC7W6S8md0Oacw" xr:uid="{9B9CB1DE-3BDA-4150-A3B7-E2BE730B6D56}"/>
    <hyperlink ref="A194" r:id="rId161" display="https://www.google.com/url?q=https://atcoder.jp/contests/abc134/tasks/abc134_d&amp;sa=D&amp;ust=1605639551647000&amp;usg=AFQjCNFbBBHslpFXBDz16r2BzU7tLaLI7g" xr:uid="{82FB57E7-11AE-49B1-893B-FE181EC64877}"/>
    <hyperlink ref="A195" r:id="rId162" display="https://www.google.com/url?q=http://codeforces.com/contest/88/problem/D&amp;sa=D&amp;ust=1605639551648000&amp;usg=AFQjCNFWHLa7qCSj0XPDWqTOngU9Avi7dg" xr:uid="{388C6A92-2D18-4403-B071-CDFF45B2DEA7}"/>
    <hyperlink ref="A207" r:id="rId163" display="https://www.google.com/url?q=https://uva.onlinejudge.org/index.php?option%3Dcom_onlinejudge%26Itemid%3D8%26page%3Dshow_problem%26problem%3D163&amp;sa=D&amp;ust=1605639551650000&amp;usg=AFQjCNG1G95lxtko_wWgIxHnDRjZZMT80g" xr:uid="{6FAD28FF-18D8-4844-A82B-60EBCC7523F5}"/>
    <hyperlink ref="A208" r:id="rId164" display="https://www.google.com/url?q=https://codeforces.com/contest/42/problem/B&amp;sa=D&amp;ust=1605639551650000&amp;usg=AFQjCNGia9ntj6J87Tlb9GgMHick6L1qLg" xr:uid="{13D1591C-C387-45AF-B1EC-D8BBDC316D38}"/>
    <hyperlink ref="A210" r:id="rId165" display="https://www.google.com/url?q=https://uva.onlinejudge.org/index.php?option%3Dcom_onlinejudge%26Itemid%3D8%26page%3Dshow_problem%26problem%3D124&amp;sa=D&amp;ust=1605639551651000&amp;usg=AFQjCNGLxewUqMdbbxP8sK0ORX0GEF649w" xr:uid="{B1BB5AB1-19CE-4841-8279-703E763EBDF1}"/>
    <hyperlink ref="A211" r:id="rId166" display="https://www.google.com/url?q=https://csacademy.com/contest/round-27/task/huge-matrix/&amp;sa=D&amp;ust=1605639551651000&amp;usg=AFQjCNEJl98RNkd-sBrBTViDMZK63VG4_Q" xr:uid="{29FC5541-947B-4246-9FD0-DF46E7AA411A}"/>
    <hyperlink ref="D133" r:id="rId167" display="https://www.google.com/url?q=https://github.com/MedoN11/CompetitiveProgramming/blob/master/Timus/1059.java&amp;sa=D&amp;ust=1605639551652000&amp;usg=AFQjCNGbEyyne_HcH0XrhHnId3hwU6PLMw" xr:uid="{CC36CDCB-379F-4AD8-B784-8ECC03EDA25C}"/>
    <hyperlink ref="D5" r:id="rId168" display="https://www.google.com/url?q=https://github.com/marioyc/Online-Judge-Solutions/blob/master/Timus%2520Online%2520Judge/1100%2520-%2520Final%2520Standings.cpp&amp;sa=D&amp;ust=1605639551652000&amp;usg=AFQjCNHphMUPLRg57YxJ4BEdERxMU8M_dQ" xr:uid="{EA14BF3A-CEE0-4787-89B9-D519C18BC519}"/>
    <hyperlink ref="A215" r:id="rId169" display="https://www.google.com/url?q=https://www.codechef.com/problems/EXTRAN&amp;sa=D&amp;ust=1605639551653000&amp;usg=AFQjCNHmf1YF8NrhW_0xBw92qFmmnt2zlA" xr:uid="{DEFA7356-AEDA-4B10-898C-741E5E000930}"/>
    <hyperlink ref="A216" r:id="rId170" display="https://www.google.com/url?q=https://www.codechef.com/problems/XENTASK&amp;sa=D&amp;ust=1605639551654000&amp;usg=AFQjCNGGQd35XdOCmsbNXypcHK7DHvuEwg" xr:uid="{99019F97-8B04-4AD1-A780-A552402C51E2}"/>
    <hyperlink ref="D12" r:id="rId171" display="https://www.google.com/url?q=https://github.com/MohamedNabil97/CompetitiveProgramming/tree/master/UVA/1326.cpp&amp;sa=D&amp;ust=1605639551655000&amp;usg=AFQjCNHOQ4x7EPyu5fYmRoidGMzciw5bDQ" xr:uid="{2C313F29-402B-4449-840F-2EA29DA37550}"/>
    <hyperlink ref="A224" r:id="rId172" display="https://www.google.com/url?q=https://www.codechef.com/problems/CULPRO&amp;sa=D&amp;ust=1605639551657000&amp;usg=AFQjCNFr-_BrTHw-U5VxdX0J3EvOvLrZ1g" xr:uid="{BE5680F0-D90B-4B83-8FF5-1A54F170558F}"/>
    <hyperlink ref="D5597" r:id="rId173" display="https://www.google.com/url?q=https://apps.topcoder.com/forums/?module%3DThread%26threadID%3D686244%26start%3D0%26mc%3D8&amp;sa=D&amp;ust=1605639551658000&amp;usg=AFQjCNHoc8muDjQKdJsI12slzhJp9xFLdQ" xr:uid="{83425CD8-EBC0-42BD-8BA2-C6FDD3BE47BD}"/>
    <hyperlink ref="A234" r:id="rId174" display="https://www.google.com/url?q=http://codeforces.com/contest/97/problem/A&amp;sa=D&amp;ust=1605639551659000&amp;usg=AFQjCNFTDe4U2xGSlyg_mfiycCDsQgIDCw" xr:uid="{20D09DCF-D4E0-4C37-AB8D-C5A7DC4831A7}"/>
    <hyperlink ref="A237" r:id="rId175" display="https://www.google.com/url?q=http://codeforces.com/contest/754/problem/E&amp;sa=D&amp;ust=1605639551660000&amp;usg=AFQjCNFqUULm6xWfr4_YUzD6VreymZ-vcg" xr:uid="{57224252-0120-4F0F-BC9D-141E537BBDC4}"/>
    <hyperlink ref="D4413" r:id="rId176" display="https://www.google.com/url?q=https://github.com/mostafa-saad/MyCompetitiveProgramming/blob/master/UVA/UVA_1381.txt&amp;sa=D&amp;ust=1605639551663000&amp;usg=AFQjCNGENXjnjFFBejJDberABWjZ1GPiMA" xr:uid="{5E700E71-D87A-4F56-956C-639018B45765}"/>
    <hyperlink ref="A244" r:id="rId177" display="https://www.google.com/url?q=http://codeforces.com/contest/460/problem/D&amp;sa=D&amp;ust=1605639551664000&amp;usg=AFQjCNHyOpjI4jiIyWFIkBhHhzbPMyYj_A" xr:uid="{FFD64952-9689-4718-B112-FC42B58A9BBC}"/>
    <hyperlink ref="A245" r:id="rId178" display="https://www.google.com/url?q=https://codeforces.com/contest/457/problem/C&amp;sa=D&amp;ust=1605639551664000&amp;usg=AFQjCNEcTBG138xIYEE9WmNHw4Iyb8GwBw" xr:uid="{F7580D49-79EE-4D63-9459-42FB2D30DFFF}"/>
    <hyperlink ref="A246" r:id="rId179" display="https://www.google.com/url?q=https://csacademy.com/contest/archive/task/escaping-courses/&amp;sa=D&amp;ust=1605639551664000&amp;usg=AFQjCNHb3m7wbtgNHzYz-90DXrtL2PC5XA" xr:uid="{FCB3B1CD-8A65-4BD3-9D59-744CC599F747}"/>
    <hyperlink ref="A247" r:id="rId180" display="https://www.google.com/url?q=https://codeforces.com/contest/1041/problem/F&amp;sa=D&amp;ust=1605639551665000&amp;usg=AFQjCNFnMRnUDtCEIoj4RI0YDLbeehd-dA" xr:uid="{963EE8FB-6908-4DBC-8474-397DC17F3EBD}"/>
    <hyperlink ref="A248" r:id="rId181" display="https://www.google.com/url?q=http://codeforces.com/contest/365/problem/E&amp;sa=D&amp;ust=1605639551665000&amp;usg=AFQjCNGJrmuoQHJSPQ5lyHlTYpS0s1yzHg" xr:uid="{DB9E8497-7624-40C9-8A80-8F8F9D261B61}"/>
    <hyperlink ref="D4111" r:id="rId182" display="https://www.google.com/url?q=https://github.com/tmwilliamlin168/CompetitiveProgramming/blob/master/CodeForces/0365E.cpp&amp;sa=D&amp;ust=1605639551665000&amp;usg=AFQjCNED3-zXbQx1TjTSGM1iAy1LzZWWOA" xr:uid="{61EBBFEF-912B-48EC-A8F5-BD086F8B33A5}"/>
    <hyperlink ref="A250" r:id="rId183" display="https://www.google.com/url?q=http://codeforces.com/contest/680/problem/D&amp;sa=D&amp;ust=1605639551666000&amp;usg=AFQjCNFPAvDQ3-NknOjm_cz8V2sP8KttKg" xr:uid="{C797C995-0D65-4BCF-938A-BAC2CE8DDF8C}"/>
    <hyperlink ref="A251" r:id="rId184" display="https://www.google.com/url?q=http://codeforces.com/contest/868/problem/D&amp;sa=D&amp;ust=1605639551666000&amp;usg=AFQjCNHn6v3urMpFCNycK2Szw50rWhX7Ow" xr:uid="{44C28E98-6E58-4B2A-AD16-78D3ABE4CDF1}"/>
    <hyperlink ref="A252" r:id="rId185" display="https://www.google.com/url?q=http://codeforces.com/contest/835/problem/E&amp;sa=D&amp;ust=1605639551667000&amp;usg=AFQjCNFhQ0ZxN97OHYZcmt0zzCE6wnJ7VQ" xr:uid="{E5022711-6AE9-4F51-81A2-B68CADFC4CF5}"/>
    <hyperlink ref="A254" r:id="rId186" display="https://www.google.com/url?q=http://codeforces.com/contest/424/problem/D&amp;sa=D&amp;ust=1605639551668000&amp;usg=AFQjCNFYjPruFiO9pBM27xcVWZehUdTwbg" xr:uid="{A2C3E8D0-32A1-45FE-8AAD-7D3B73057FF0}"/>
    <hyperlink ref="A256" r:id="rId187" display="https://www.google.com/url?q=http://codeforces.com/gym/100517/problem/D&amp;sa=D&amp;ust=1605639551669000&amp;usg=AFQjCNHI19dzZaRto0kdM1YywdGDQcD0xQ" xr:uid="{6AA51EA2-D0E4-4970-BD7A-84CEE01D0822}"/>
    <hyperlink ref="D3764" r:id="rId188" display="https://www.google.com/url?q=https://github.com/osamahatem/CompetitiveProgramming/blob/master/Codeforces/100517D.%2520Defend%2520the%2520Tower.cpp&amp;sa=D&amp;ust=1605639551669000&amp;usg=AFQjCNHvA_QuBKZINHZ9YtQpx0I9ybpg0w" xr:uid="{16F31F51-58CE-4EC0-B99B-46F16AD60272}"/>
    <hyperlink ref="A258" r:id="rId189" display="https://www.google.com/url?q=http://codeforces.com/contest/366/problem/E&amp;sa=D&amp;ust=1605639551670000&amp;usg=AFQjCNHaNLbIEq1a9WqDgBOFOm8ND6O4zg" xr:uid="{836FB8BF-B263-49D5-9A79-2F9A472F5C62}"/>
    <hyperlink ref="A259" r:id="rId190" display="https://www.google.com/url?q=http://codeforces.com/contest/250/problem/E&amp;sa=D&amp;ust=1605639551670000&amp;usg=AFQjCNFnaB134xtZrADODs6RdfKAeMx_zQ" xr:uid="{F81EE583-50D4-4A52-8DDB-62386DBBD9D6}"/>
    <hyperlink ref="A262" r:id="rId191" display="https://www.google.com/url?q=http://codeforces.com/contest/745/problem/D&amp;sa=D&amp;ust=1605639551672000&amp;usg=AFQjCNGtGDLXaC2Db9491_Uocb171egqxw" xr:uid="{34059625-BC6C-470A-B1A6-786EC5416CDC}"/>
    <hyperlink ref="A263" r:id="rId192" display="https://www.google.com/url?q=http://codeforces.com/contest/552/problem/E&amp;sa=D&amp;ust=1605639551672000&amp;usg=AFQjCNHJgFNqfBSSfJsLZwwF-PvAFR5AqA" xr:uid="{E5604471-EEF4-4497-A622-78C472E46B01}"/>
    <hyperlink ref="A268" r:id="rId193" display="https://www.google.com/url?q=http://codeforces.com/contest/448/problem/E&amp;sa=D&amp;ust=1605639551674000&amp;usg=AFQjCNFUo5O38ONjxjA4TjyYL0Si8b8YLw" xr:uid="{81DFE592-4499-44F4-AA07-37D35E56F32B}"/>
    <hyperlink ref="A272" r:id="rId194" display="https://www.google.com/url?q=http://codeforces.com/contest/594/problem/C&amp;sa=D&amp;ust=1605639551676000&amp;usg=AFQjCNEymVva5pO-CCjnzhiG0NNCuoUo-Q" xr:uid="{2DB19FE5-1752-4159-892F-E84CFB1EFAC3}"/>
    <hyperlink ref="D2606" r:id="rId195" display="https://www.google.com/url?q=https://github.com/MohamedAhmed04/Competitive-programming/blob/master/Topcoder/Topcoder%2520SRM525-D1-525%2520Rumor.cpp&amp;sa=D&amp;ust=1605639551677000&amp;usg=AFQjCNG3DHJtZon2fBObZMomx31Nbq8-_A" xr:uid="{A52EAE9E-2D9F-49E5-B603-16DC7DC7C9B0}"/>
    <hyperlink ref="A274" r:id="rId196" display="https://www.google.com/url?q=http://codeforces.com/contest/1166/problem/E&amp;sa=D&amp;ust=1605639551677000&amp;usg=AFQjCNHhQA3-il7KB7aoo94er8VOXRGEIA" xr:uid="{D98EB217-7F52-4021-8463-9BFFCAD34E1C}"/>
    <hyperlink ref="A275" r:id="rId197" display="https://www.google.com/url?q=http://codeforces.com/contest/68/problem/C&amp;sa=D&amp;ust=1605639551678000&amp;usg=AFQjCNF0BNKRm590rpMt6z6v1clm_slG4g" xr:uid="{DCBDB065-C1AA-416B-837E-529FD2550734}"/>
    <hyperlink ref="A277" r:id="rId198" display="https://www.google.com/url?q=http://codeforces.com/contest/361/problem/C&amp;sa=D&amp;ust=1605639551678000&amp;usg=AFQjCNFeGq32r8N9S1alUEu111aRZ8XSRA" xr:uid="{A0929744-3754-4655-8BE3-1783668763BD}"/>
    <hyperlink ref="A278" r:id="rId199" display="https://www.google.com/url?q=http://codeforces.com/contest/42/problem/C&amp;sa=D&amp;ust=1605639551678000&amp;usg=AFQjCNG0-bbawd_OuCfvDrYoPPVVQouXtA" xr:uid="{EA4E6AFF-C34B-431E-85AD-99711192ECBD}"/>
    <hyperlink ref="A280" r:id="rId200" display="https://www.google.com/url?q=http://codeforces.com/contest/370/problem/D&amp;sa=D&amp;ust=1605639551679000&amp;usg=AFQjCNHsjkUEixqiX0reJSXHXgBqoMokeQ" xr:uid="{9EF4BD19-67D8-4566-9208-55EE6E2EFF67}"/>
    <hyperlink ref="A281" r:id="rId201" display="https://www.google.com/url?q=http://codeforces.com/contest/105/problem/C&amp;sa=D&amp;ust=1605639551680000&amp;usg=AFQjCNE24dSDHYzysqSPovR8u3Vr4dzVBg" xr:uid="{FAACC9F2-F81D-4B04-A404-40529EFDA1B5}"/>
    <hyperlink ref="A282" r:id="rId202" display="https://www.google.com/url?q=https://www.codechef.com/SNCK1A19/problems/AVGMAT&amp;sa=D&amp;ust=1605639551680000&amp;usg=AFQjCNGaht_XG14gBm-QJojiF2_zfVe4yQ" xr:uid="{4067000C-7F21-4033-9C64-48D10CD396B1}"/>
    <hyperlink ref="A283" r:id="rId203" display="https://www.google.com/url?q=http://codeforces.com/contest/633/problem/D&amp;sa=D&amp;ust=1605639551680000&amp;usg=AFQjCNF9BK2uZAMcv8QogW4Wd6Naa1WrYw" xr:uid="{A87A6B1A-FB07-44B2-AEFC-50650EDA8A6B}"/>
    <hyperlink ref="A284" r:id="rId204" display="https://www.google.com/url?q=http://codeforces.com/contest/621/problem/D&amp;sa=D&amp;ust=1605639551681000&amp;usg=AFQjCNFMXijZf0uTE_cN9jfckh7dCgvSFA" xr:uid="{D9F5D5D1-2276-42A4-AB38-09CD35B240F8}"/>
    <hyperlink ref="D1774" r:id="rId205" display="https://www.google.com/url?q=https://github.com/MedoN11/CompetitiveProgramming/blob/master/CodeForces/CF621-D2-D-Complex.cpp&amp;sa=D&amp;ust=1605639551681000&amp;usg=AFQjCNETdy5wuPwvEn6CmXPvCKQ_ZGpShA" xr:uid="{7CC1E926-E780-4346-BEC8-CF6A41DFF93C}"/>
    <hyperlink ref="A285" r:id="rId206" display="https://www.google.com/url?q=http://codeforces.com/contest/799/problem/D&amp;sa=D&amp;ust=1605639551682000&amp;usg=AFQjCNGGcgRLxyotn_8IL_aXPeb8iKQcyg" xr:uid="{CFE0B7CF-F9F0-4BE2-A5F8-BE7CA7658CDC}"/>
    <hyperlink ref="A286" r:id="rId207" display="https://www.google.com/url?q=http://codeforces.com/contest/818/problem/D&amp;sa=D&amp;ust=1605639551682000&amp;usg=AFQjCNGJPdOh2D36EsuNPhQfTx8s61tnnQ" xr:uid="{6224B4D6-9BE9-4544-996E-187236B97556}"/>
    <hyperlink ref="D1777" r:id="rId208" display="https://www.google.com/url?q=https://github.com/thackerhelik/UVA/blob/master/12261.cpp&amp;sa=D&amp;ust=1605639551683000&amp;usg=AFQjCNGCh110EJV2TwZLSEwDuANP5Dl8ZQ" xr:uid="{F2030425-26DE-4D90-8E9E-45C8DE3449F0}"/>
    <hyperlink ref="A288" r:id="rId209" display="https://www.google.com/url?q=http://codeforces.com/problemset/problem/1017/D&amp;sa=D&amp;ust=1605639551683000&amp;usg=AFQjCNGgLo-2TXuroopcYYoUPgHQf3biAw" xr:uid="{0F624253-4157-4803-9BAF-ABFB942D6399}"/>
    <hyperlink ref="A289" r:id="rId210" display="https://www.google.com/url?q=http://codeforces.com/contest/31/problem/D&amp;sa=D&amp;ust=1605639551685000&amp;usg=AFQjCNGgnhW6mf7umrSbIAUc1LAaVWx0ww" xr:uid="{42C207C5-A1F0-4538-904D-3001A198C98E}"/>
    <hyperlink ref="A290" r:id="rId211" display="https://www.google.com/url?q=http://codeforces.com/contest/872/problem/D&amp;sa=D&amp;ust=1605639551685000&amp;usg=AFQjCNEBaJovOM7e8K1IJrgDkAvfH-VmbA" xr:uid="{70FE4164-1A31-4B40-BD52-D5EBF1199D46}"/>
    <hyperlink ref="A291" r:id="rId212" display="https://www.google.com/url?q=https://codeforces.com/contest/1169/problem/D&amp;sa=D&amp;ust=1605639551686000&amp;usg=AFQjCNG6xNd6Cf4XsrCUErjvs-d_FCNgRQ" xr:uid="{6BDD0CAC-0D98-48C1-9B6D-0800DFBA18CC}"/>
    <hyperlink ref="D1782" r:id="rId213" display="https://www.google.com/url?q=https://github.com/mostafa-saad/MyCompetitiveProgramming/blob/master/UVA/UVA_10705.txt&amp;sa=D&amp;ust=1605639551686000&amp;usg=AFQjCNHxG2GbMfDDqDPdlV_D31esBpepbg" xr:uid="{E4EF9F91-E859-4E3E-B285-0A8B862F114B}"/>
    <hyperlink ref="A293" r:id="rId214" display="https://www.google.com/url?q=http://codeforces.com/contest/146/problem/D&amp;sa=D&amp;ust=1605639551687000&amp;usg=AFQjCNEWGPFP0jhoGdYs5x4je-6NTjf1Gg" xr:uid="{81AC4749-E92F-41B4-B4AA-907CE9345F23}"/>
    <hyperlink ref="A294" r:id="rId215" display="https://www.google.com/url?q=https://codeforces.com/contest/1077/problem/E&amp;sa=D&amp;ust=1605639551687000&amp;usg=AFQjCNFXZqMRs81NeRF13RJNvS_alZXKYA" xr:uid="{E72C13B6-AF56-4B98-A1D6-B9B09296383A}"/>
    <hyperlink ref="A295" r:id="rId216" display="https://www.google.com/url?q=http://codeforces.com/contest/863/problem/D&amp;sa=D&amp;ust=1605639551688000&amp;usg=AFQjCNHhWJ4TQUs9amyt24pW0vzHh2csng" xr:uid="{9FA45A29-A395-4690-BD9C-B42DB6009B81}"/>
    <hyperlink ref="D1785" r:id="rId217" display="https://www.google.com/url?q=https://codeforces.com/contest/863/submission/47240069&amp;sa=D&amp;ust=1605639551688000&amp;usg=AFQjCNETXDNJA4W7XcKGQBLmHdu1t7xmvA" xr:uid="{D5DAF05C-F680-4863-9325-E2D4CF9D6CA7}"/>
    <hyperlink ref="A296" r:id="rId218" display="https://www.google.com/url?q=http://codeforces.com/contest/490/problem/C&amp;sa=D&amp;ust=1605639551689000&amp;usg=AFQjCNEaaRDV3rO4tNhvAGNIJ3oaOqFVEw" xr:uid="{8F641B63-FC3E-42AA-90D7-C7D73F1CB407}"/>
    <hyperlink ref="A297" r:id="rId219" display="https://www.google.com/url?q=http://codeforces.com/contest/252/problem/D&amp;sa=D&amp;ust=1605639551689000&amp;usg=AFQjCNHue1PJO7Rj-3nczL4cyzzC679BfA" xr:uid="{E88756D9-8FC8-452E-B989-DEF1EC0053B8}"/>
    <hyperlink ref="A298" r:id="rId220" display="https://www.google.com/url?q=http://codeforces.com/contest/332/problem/E&amp;sa=D&amp;ust=1605639551689000&amp;usg=AFQjCNEwrrLMsV7ZPzCxpp52rWd8339yjg" xr:uid="{436B3D68-DCA1-4CA0-959D-89DAB17B340F}"/>
    <hyperlink ref="A299" r:id="rId221" display="https://www.google.com/url?q=http://codeforces.com/contest/465/problem/D&amp;sa=D&amp;ust=1605639551690000&amp;usg=AFQjCNHSlb39kxcdqtZ5YOyb_-OmSbfRtA" xr:uid="{66659842-472A-4347-AD93-FF4801D3A15A}"/>
    <hyperlink ref="A300" r:id="rId222" display="https://www.google.com/url?q=http://codeforces.com/contest/550/problem/C&amp;sa=D&amp;ust=1605639551690000&amp;usg=AFQjCNHxAQBMzqZ7TOrYFfsXx_7eLQ3MqQ" xr:uid="{45BDC200-7538-4F1C-9304-19C6CEFE6B96}"/>
    <hyperlink ref="A306" r:id="rId223" display="https://www.google.com/url?q=http://codeforces.com/contest/58/problem/C&amp;sa=D&amp;ust=1605639551691000&amp;usg=AFQjCNEpsXu9G2Fm6NrW5zbEhIuCKcLpWA" xr:uid="{14FA8254-DC39-4DB1-85E2-3A50FDA95081}"/>
    <hyperlink ref="A311" r:id="rId224" display="https://www.google.com/url?q=http://codeforces.com/contest/336/problem/C&amp;sa=D&amp;ust=1605639551692000&amp;usg=AFQjCNH7sII7upaSFjaK0hZDHFOEAG-3iA" xr:uid="{5E25C409-3005-4724-BB1C-30393B3A63AF}"/>
    <hyperlink ref="A317" r:id="rId225" display="https://www.google.com/url?q=http://codeforces.com/contest/426/problem/C&amp;sa=D&amp;ust=1605639551694000&amp;usg=AFQjCNEk6iB4KbSiD8954t7xMfNqb3iPiw" xr:uid="{2E8CB580-A9D0-4EC5-9E45-C8B2E8B17681}"/>
    <hyperlink ref="A319" r:id="rId226" display="https://www.google.com/url?q=http://codeforces.com/contest/557/problem/C&amp;sa=D&amp;ust=1605639551695000&amp;usg=AFQjCNG8qt1e2LOWnYniVUM0ipmhyLM1Xg" xr:uid="{7E1A5A62-3109-417B-88F6-8D7B02913510}"/>
    <hyperlink ref="A321" r:id="rId227" display="https://www.google.com/url?q=http://codeforces.com/contest/1036/problem/C&amp;sa=D&amp;ust=1605639551698000&amp;usg=AFQjCNFtnKxW1m46bCPj9_scaqhDK9xxHQ" xr:uid="{06248F73-DC2F-4FBC-925D-600E9291EC8E}"/>
    <hyperlink ref="A322" r:id="rId228" display="https://www.google.com/url?q=http://codeforces.com/contest/63/problem/C&amp;sa=D&amp;ust=1605639551698000&amp;usg=AFQjCNHSU6BREmLj-ZT3OvxIb9dxKrGbtQ" xr:uid="{CF1817E5-9C97-4ED4-8E32-35C74A34C2E4}"/>
    <hyperlink ref="D1241" r:id="rId229" display="https://www.google.com/url?q=https://github.com/ilyesG/Competitive-Programming/blob/master/CodeForces/CF63-D2-C.cpp&amp;sa=D&amp;ust=1605639551698000&amp;usg=AFQjCNH1dEBGzRKnAKRhulY9Qi9Es_jHjQ" xr:uid="{FA7EFD99-D81F-44FC-8791-904F64A6AC15}"/>
    <hyperlink ref="A323" r:id="rId230" display="https://www.google.com/url?q=http://codeforces.com/contest/71/problem/D&amp;sa=D&amp;ust=1605639551699000&amp;usg=AFQjCNE4kr1LSUoHoWeGAAp_9S3i0c2_Rw" xr:uid="{2FF91024-D174-4231-A98B-79A0C567D4E7}"/>
    <hyperlink ref="A324" r:id="rId231" display="https://www.google.com/url?q=http://codeforces.com/contest/365/problem/C&amp;sa=D&amp;ust=1605639551699000&amp;usg=AFQjCNH0xSM_ApHVnTCKRA72Qa0837sthA" xr:uid="{28A2C897-2CD6-4F59-9E3C-7AE758BC39AB}"/>
    <hyperlink ref="A325" r:id="rId232" display="https://www.google.com/url?q=http://codeforces.com/contest/496/problem/C&amp;sa=D&amp;ust=1605639551700000&amp;usg=AFQjCNGcwmvOIMHsMzz7iZDK-jMaoVffHQ" xr:uid="{785A6F82-5278-4A9E-B530-31A1EB0EA7FD}"/>
    <hyperlink ref="A327" r:id="rId233" display="https://www.google.com/url?q=http://codeforces.com/contest/192/problem/D&amp;sa=D&amp;ust=1605639551700000&amp;usg=AFQjCNGSp5zrA5g_EekCSzp96egouDIqUw" xr:uid="{94715FA7-7E03-448E-8D53-415B34CFFABD}"/>
    <hyperlink ref="A329" r:id="rId234" display="https://www.google.com/url?q=http://codeforces.com/contest/526/problem/C&amp;sa=D&amp;ust=1605639551701000&amp;usg=AFQjCNHL5ATidpOKMjeeYTZescu6WrrydA" xr:uid="{660BB025-6406-4B3E-91F2-BB672F00194A}"/>
    <hyperlink ref="D1250" r:id="rId235" display="https://www.google.com/url?q=https://ideone.com/ODyk54&amp;sa=D&amp;ust=1605639551702000&amp;usg=AFQjCNG6tT28eb0NC4wZslrLIKZIRjatDw" xr:uid="{10ED7D8C-A493-43BD-ADF2-8985416D183C}"/>
    <hyperlink ref="A332" r:id="rId236" display="https://www.google.com/url?q=https://agc004.contest.atcoder.jp/tasks/agc004_b&amp;sa=D&amp;ust=1605639551702000&amp;usg=AFQjCNHtNR34cncREwIGdjLDzmgM8uzRrg" xr:uid="{08101B99-1D06-4EF0-9FE6-18E7C112F97D}"/>
    <hyperlink ref="D724" r:id="rId237" display="https://www.google.com/url?q=https://github.com/AhmedRamadanAbdElghany/CompetitiveProgramming/blob/master/UVA/565%2520-%2520Pizza%2520Anyone.cpp&amp;sa=D&amp;ust=1605639551703000&amp;usg=AFQjCNHdu_4s1_srcmAVlsRAkdyR3MacSQ" xr:uid="{CBB183A4-896C-43F3-BF88-6EF5A648B4CB}"/>
    <hyperlink ref="A340" r:id="rId238" display="https://www.google.com/url?q=http://codeforces.com/contest/558/problem/C&amp;sa=D&amp;ust=1605639551704000&amp;usg=AFQjCNGMQBHZWkKT11O5hePpuXVwH3sDGg" xr:uid="{30EE1277-989E-416A-A130-73E70690AE95}"/>
    <hyperlink ref="A341" r:id="rId239" display="https://www.google.com/url?q=https://codeforces.com/contest/55/problem/B&amp;sa=D&amp;ust=1605639551705000&amp;usg=AFQjCNGyNZBu78zke0u7l4WnYIbSZQD8tg" xr:uid="{D0997D91-09FA-4BC7-93F1-22BB9274AB52}"/>
    <hyperlink ref="A342" r:id="rId240" display="https://www.google.com/url?q=http://codeforces.com/contest/911/problem/D&amp;sa=D&amp;ust=1605639551705000&amp;usg=AFQjCNHUdzPMaP3N88VEzqP3IC4XIIQSAA" xr:uid="{4E61B9B2-2FD5-44F5-9EF6-D675472FC574}"/>
    <hyperlink ref="A343" r:id="rId241" display="https://www.google.com/url?q=https://codeforces.com/contest/1073/problem/D&amp;sa=D&amp;ust=1605639551706000&amp;usg=AFQjCNHO4bZa9BZiMwEJ2ksKaPIdEa-9vw" xr:uid="{71327EC8-B79D-4ACC-8AAC-42D618479EE3}"/>
    <hyperlink ref="A345" r:id="rId242" display="https://www.google.com/url?q=http://codeforces.com/contest/255/problem/C&amp;sa=D&amp;ust=1605639551707000&amp;usg=AFQjCNGTufg0DXjqnvkG5aqfpzeWHjdtnQ" xr:uid="{085A0C6E-B3E1-4E87-8D58-7E2BAFB12FA9}"/>
    <hyperlink ref="A355" r:id="rId243" display="https://www.google.com/url?q=http://codeforces.com/contest/118/problem/C&amp;sa=D&amp;ust=1605639551710000&amp;usg=AFQjCNGdK1gFDp03mB4bOSxdMKA7SyU_hw" xr:uid="{FB62DA08-A9D0-4FF0-927A-E93881817AA5}"/>
    <hyperlink ref="A356" r:id="rId244" display="https://www.google.com/url?q=http://codeforces.com/contest/219/problem/C&amp;sa=D&amp;ust=1605639551711000&amp;usg=AFQjCNGPVC9DFtDBhTJcTDIX94gyUsl7ZQ" xr:uid="{90DF5CCB-5E99-42F5-9E32-F9C3236BF75B}"/>
    <hyperlink ref="A357" r:id="rId245" display="https://www.google.com/url?q=http://codeforces.com/contest/672/problem/C&amp;sa=D&amp;ust=1605639551711000&amp;usg=AFQjCNFeiMY4C_7Af42zzXc0OSZCMNOwdw" xr:uid="{F611B222-50F1-4EDE-9589-E3F56A43C74E}"/>
    <hyperlink ref="A360" r:id="rId246" display="https://www.google.com/url?q=http://codeforces.com/contest/443/problem/C&amp;sa=D&amp;ust=1605639551712000&amp;usg=AFQjCNHtGaJoGujXVtkTRlmovEmKDgosBA" xr:uid="{4AC8DD7F-2AA5-4D96-BE0A-8BF7E96E1264}"/>
    <hyperlink ref="A361" r:id="rId247" display="https://www.google.com/url?q=http://codeforces.com/contest/439/problem/C&amp;sa=D&amp;ust=1605639551713000&amp;usg=AFQjCNGKDF9_XB5Y_yFDu0GLJdeRhxyG2g" xr:uid="{772B9FF0-D35E-4B95-90EE-CF65E987FE48}"/>
    <hyperlink ref="A362" r:id="rId248" display="https://www.google.com/url?q=http://codeforces.com/contest/200/problem/C&amp;sa=D&amp;ust=1605639551713000&amp;usg=AFQjCNEx-ZhVd62l-NnlApg19aNaRR7cGA" xr:uid="{9373BA88-0F48-49B4-90DB-4BD6F0D1DEFD}"/>
    <hyperlink ref="A363" r:id="rId249" display="https://www.google.com/url?q=http://codeforces.com/contest/368/problem/C&amp;sa=D&amp;ust=1605639551714000&amp;usg=AFQjCNE5aPheQ-THfHWmFhlUDrfftneiDA" xr:uid="{6989CEAB-C5DE-4707-890C-F56377F7D469}"/>
    <hyperlink ref="D750" r:id="rId250" display="https://www.google.com/url?q=https://ideone.com/VFD9au&amp;sa=D&amp;ust=1605639551714000&amp;usg=AFQjCNGdXWls_PM_SDo8WbyjPO0ikDD6qw" xr:uid="{2F6CFE86-1ED3-4469-B6D1-89673F45BB1B}"/>
    <hyperlink ref="A365" r:id="rId251" display="https://www.google.com/url?q=http://codeforces.com/contest/686/problem/C&amp;sa=D&amp;ust=1605639551714000&amp;usg=AFQjCNHGksL-ug-rk0se-xyxT30AmmUqaQ" xr:uid="{A243321B-150C-4644-8460-BE373C3899C6}"/>
    <hyperlink ref="A371" r:id="rId252" display="https://www.google.com/url?q=https://codeforces.com/gym/101609/problem/G&amp;sa=D&amp;ust=1605639551717000&amp;usg=AFQjCNGWln1Tz0HS6wnnqwRt05n_M-5Rkw" xr:uid="{AAD6CB8D-D4CD-42AC-A714-38D282AAF1DF}"/>
    <hyperlink ref="A375" r:id="rId253" display="https://www.google.com/url?q=http://codeforces.com/contest/189/problem/A&amp;sa=D&amp;ust=1605639551718000&amp;usg=AFQjCNFd2PJ5y3ukO0wAi2C2oky_BHVy3g" xr:uid="{FE67BD34-6C44-4A4F-906B-8C79281FEC2E}"/>
    <hyperlink ref="A383" r:id="rId254" display="https://www.google.com/url?q=http://codeforces.com/contest/402/problem/C&amp;sa=D&amp;ust=1605639551721000&amp;usg=AFQjCNH4vG5lVdFOAxLXehskdxQ6fO4Ejg" xr:uid="{41BE3F4C-7BDD-4B62-AAB4-81F8ED8F9DA8}"/>
    <hyperlink ref="A396" r:id="rId255" display="https://www.google.com/url?q=https://agc011.contest.atcoder.jp/tasks/agc011_d&amp;sa=D&amp;ust=1605639551725000&amp;usg=AFQjCNEwy91C1E9KcufTUDALOJVk777soA" xr:uid="{C946C560-C458-4501-A18B-43146156D462}"/>
    <hyperlink ref="D4427" r:id="rId256" display="https://www.google.com/url?q=https://agc011.contest.atcoder.jp/submissions/1157868&amp;sa=D&amp;ust=1605639551726000&amp;usg=AFQjCNENt1ZPD2cZuMrNhNbUrchGxcDUOw" xr:uid="{9F59E288-EADD-48BA-B250-69D21687E448}"/>
    <hyperlink ref="A400" r:id="rId257" display="https://www.google.com/url?q=http://codeforces.com/contest/161/problem/C&amp;sa=D&amp;ust=1605639551726000&amp;usg=AFQjCNFvzkeozCsIxfAzuhH5USl9dZsaPA" xr:uid="{9BFA3E48-EEF7-4489-B541-B7036FD0C261}"/>
    <hyperlink ref="D4142" r:id="rId258" display="https://www.google.com/url?q=https://github.com/thackerhelik/Codeforces/blob/master/CF161-D12-C.cpp&amp;sa=D&amp;ust=1605639551727000&amp;usg=AFQjCNEzXq3EL-bS6RoHUO3B7LfHlCA7Iw" xr:uid="{24FE4327-BD6C-4407-AEBA-24AE50D6D47A}"/>
    <hyperlink ref="A403" r:id="rId259" display="https://www.google.com/url?q=http://codeforces.com/contest/1030/problem/E&amp;sa=D&amp;ust=1605639551728000&amp;usg=AFQjCNHWqY4tG2zPd4juG_50EvaVb_BgSg" xr:uid="{DFC554B7-3B7B-4CB8-A5E1-18336756FB2A}"/>
    <hyperlink ref="A404" r:id="rId260" display="https://www.google.com/url?q=http://codeforces.com/contest/879/problem/D&amp;sa=D&amp;ust=1605639551728000&amp;usg=AFQjCNFU-T6gIDOwKvuIsdPTbJhIr40JOg" xr:uid="{AFCC5CF5-693F-4D44-AA82-ABAA17B82888}"/>
    <hyperlink ref="A405" r:id="rId261" display="https://www.google.com/url?q=http://codeforces.com/contest/950/problem/D&amp;sa=D&amp;ust=1605639551729000&amp;usg=AFQjCNFsBj-gKcCC_Nq6JVmg2LaO4OXMuQ" xr:uid="{A769DD7F-40F4-4DCF-8242-26326115D1AA}"/>
    <hyperlink ref="D3216" r:id="rId262" display="https://www.google.com/url?q=https://github.com/VAMPIER000001/CompetitiveProgramming/blob/34bb83d01a91fa9d1a32e02619ddb3ae58d6400b/CF/CF950-D2-D.Cpp&amp;sa=D&amp;ust=1605639551729000&amp;usg=AFQjCNETX5MKpFM7TklPX_CqrkUF9dA9xg" xr:uid="{4262E6A6-5D41-4ADC-94DD-CFD4D199E4A3}"/>
    <hyperlink ref="A415" r:id="rId263" display="https://www.google.com/url?q=http://codeforces.com/gym/101201/problem/J&amp;sa=D&amp;ust=1605639551733000&amp;usg=AFQjCNGXwZASLdryPUxa7NfURfsEmDGOhQ" xr:uid="{5975F10F-3BD1-492B-8648-C06EC714ED4F}"/>
    <hyperlink ref="D2635" r:id="rId264" display="https://www.google.com/url?q=https://github.com/AbdelrahmanRamadan/competitive-programming/blob/master/Codeforces/CF101201-GYM-J.cpp&amp;sa=D&amp;ust=1605639551733000&amp;usg=AFQjCNFgie31eCXa9YX148nV5dZ6nff8Ig" xr:uid="{717F7627-A71D-4F0D-B154-FE76D148BC8C}"/>
    <hyperlink ref="D1856" r:id="rId265" display="https://www.google.com/url?q=http://ideone.com/0FAHJa&amp;sa=D&amp;ust=1605639551734000&amp;usg=AFQjCNFFMMzs6jJNlcHG6gOxZcXoHfBQgA" xr:uid="{B20AE2D0-9481-4F23-BA54-9A0F28F899B6}"/>
    <hyperlink ref="A418" r:id="rId266" display="https://www.google.com/url?q=https://agc002.contest.atcoder.jp/tasks/agc002_b&amp;sa=D&amp;ust=1605639551735000&amp;usg=AFQjCNHL6_dDALGbNTrkuak4kHpuawgJkQ" xr:uid="{A9EF4912-0C89-49A2-80D6-57324974A469}"/>
    <hyperlink ref="D788" r:id="rId267" display="https://www.google.com/url?q=https://github.com/Huvok/CompetitiveProgramming/blob/master/UVA/326.cpp&amp;sa=D&amp;ust=1605639551739000&amp;usg=AFQjCNFar5UzwfE2c0zn9gdxzW_LUlMwvQ" xr:uid="{8CF15609-60B9-425C-88CB-B2D284FEE72E}"/>
    <hyperlink ref="A434" r:id="rId268" display="https://www.google.com/url?q=https://uva.onlinejudge.org/index.php?option%3Dcom_onlinejudge%26Itemid%3D8%26page%3Dshow_problem%26problem%3D37&amp;sa=D&amp;ust=1605639551740000&amp;usg=AFQjCNFvJPYCffG61X0W7fj5lYCAwywsCw" xr:uid="{D4779265-BC58-4188-9432-795B2B5EA385}"/>
    <hyperlink ref="D227" r:id="rId269" display="https://www.google.com/url?q=https://ideone.com/VPYfS0&amp;sa=D&amp;ust=1605639551741000&amp;usg=AFQjCNGV2nXdBButjywkskLETIJt-iBxHw" xr:uid="{319E293D-C166-45D7-832E-11C0D288CFCC}"/>
    <hyperlink ref="D39" r:id="rId270" display="https://www.google.com/url?q=http://xoptutorials.com/index.php/2017/01/01/timus1638/&amp;sa=D&amp;ust=1605639551742000&amp;usg=AFQjCNEncJvMnOzPYBIFkW79i5vtZolBQA" xr:uid="{CBCE209F-1287-4797-88E3-1D59775CB011}"/>
    <hyperlink ref="D40" r:id="rId271" display="https://www.google.com/url?q=http://xoptutorials.com/index.php/2017/01/01/timus1607/&amp;sa=D&amp;ust=1605639551742000&amp;usg=AFQjCNGszOk1c30Ys_M7fLMlp2USM8w7Ew" xr:uid="{425A9B3F-C1BF-412B-9813-68BD21790429}"/>
    <hyperlink ref="A448" r:id="rId272" display="https://www.google.com/url?q=http://codeforces.com/problemset/problem/1034/D&amp;sa=D&amp;ust=1605639551745000&amp;usg=AFQjCNHA7htVZQXQSORQ6_nQ-Qf6aFm_6A" xr:uid="{49DF835C-6009-4C7E-B46C-8526A0B51137}"/>
    <hyperlink ref="A449" r:id="rId273" display="https://www.google.com/url?q=https://www.codechef.com/problems/ARMYOFME&amp;sa=D&amp;ust=1605639551746000&amp;usg=AFQjCNFpRjyrF9pPvJxSMYRDI1Ytb6jk7A" xr:uid="{17D509CA-4AD4-4EF5-8ED8-3BAC438C0A4D}"/>
    <hyperlink ref="A450" r:id="rId274" display="https://www.google.com/url?q=https://codeforces.com/problemset/problem/1032/G&amp;sa=D&amp;ust=1605639551746000&amp;usg=AFQjCNE9RB84gJEhYeJDchtdJR5YiZdf2A" xr:uid="{D5FBFDDA-906F-4305-B653-90446335B671}"/>
    <hyperlink ref="A451" r:id="rId275" display="https://www.google.com/url?q=http://codeforces.com/contest/182/problem/C&amp;sa=D&amp;ust=1605639551747000&amp;usg=AFQjCNHvMTB_ta1t33K3YDA09WIafYjiVw" xr:uid="{A9A58378-5B1C-42BE-93DD-1F3A305495E4}"/>
    <hyperlink ref="A452" r:id="rId276" display="https://www.google.com/url?q=https://arc070.contest.atcoder.jp/tasks/arc070_c&amp;sa=D&amp;ust=1605639551747000&amp;usg=AFQjCNHmsTTxb1ueeVawhOJlAQ5e95gt-g" xr:uid="{2FF4DFB6-FFF4-4C46-A585-5517563BDE0B}"/>
    <hyperlink ref="D4785" r:id="rId277" display="https://www.google.com/url?q=https://codeforces.com/blog/entry/47821&amp;sa=D&amp;ust=1605639551747000&amp;usg=AFQjCNHnhwDPsW_WCybDvikh8_UU1RmVvA" xr:uid="{256336BA-1E86-4C0D-BDBF-BD319B22F34E}"/>
    <hyperlink ref="A453" r:id="rId278" display="https://www.google.com/url?q=https://codeforces.com/problemset/problem/1181/E2&amp;sa=D&amp;ust=1605639551748000&amp;usg=AFQjCNFHKK_7-kOlKJy1ENB859D1aCL3MQ" xr:uid="{BB7EF62B-7844-49E0-8C17-2E37D4DDB422}"/>
    <hyperlink ref="A454" r:id="rId279" display="https://www.google.com/url?q=http://codeforces.com/contest/876/problem/F&amp;sa=D&amp;ust=1605639551748000&amp;usg=AFQjCNH0ilyOybjcifuZO4RRiDAfjyhTRw" xr:uid="{03B68963-FAA6-442D-B51B-84D266EF3BF9}"/>
    <hyperlink ref="A455" r:id="rId280" display="https://www.google.com/url?q=http://codeforces.com/contest/15/problem/D&amp;sa=D&amp;ust=1605639551749000&amp;usg=AFQjCNF_HZH3FjqCHijShqclP6QiKCB1ZA" xr:uid="{53484833-883B-4FE5-8CA5-0C78EC30CBCB}"/>
    <hyperlink ref="D4186" r:id="rId281" display="https://www.google.com/url?q=https://ideone.com/EJxa2E&amp;sa=D&amp;ust=1605639551749000&amp;usg=AFQjCNHNxvTCLfUp4X-2M-EUuIrw-ekwDg" xr:uid="{D933E940-BEE9-4004-894A-FC60ED411C52}"/>
    <hyperlink ref="D4187" r:id="rId282" display="https://www.google.com/url?q=https://github.com/mostafa-saad/MyCompetitiveProgramming/blob/master/SPOJ/SPOJ_SFLIP.txt&amp;sa=D&amp;ust=1605639551749000&amp;usg=AFQjCNHTpPK23hIL597gro2XEwhAUzik7A" xr:uid="{076F6B7A-78BE-464F-90CE-9045CE038927}"/>
    <hyperlink ref="A457" r:id="rId283" display="https://www.google.com/url?q=http://codeforces.com/contest/413/problem/E&amp;sa=D&amp;ust=1605639551750000&amp;usg=AFQjCNEfqqn0nC64ZRRYCYggiODaHDxY1g" xr:uid="{B6E3215F-FE62-4271-B89C-E99940BB4A10}"/>
    <hyperlink ref="D3816" r:id="rId284" display="https://www.google.com/url?q=https://github.com/sggutier/CompetitiveProgramming/blob/master/Codeforces/CF413-D12-E.cpp&amp;sa=D&amp;ust=1605639551750000&amp;usg=AFQjCNFj98vxqFLo8-cQNMfcv3n1LtkogA" xr:uid="{C5747E44-5999-45B1-95E9-997275DBED42}"/>
    <hyperlink ref="A458" r:id="rId285" display="https://www.google.com/url?q=http://codeforces.com/contest/313/problem/E&amp;sa=D&amp;ust=1605639551751000&amp;usg=AFQjCNGIAAar-83PDf-G0avyPEj3G8vyew" xr:uid="{C37D9CA8-65C7-4BE7-8015-0CA7E0ECA54D}"/>
    <hyperlink ref="D3817" r:id="rId286" display="https://www.google.com/url?q=https://github.com/3agwa/CompetitiveProgramming/blob/master/CodeForces/CF313-D2-E.cpp&amp;sa=D&amp;ust=1605639551751000&amp;usg=AFQjCNFdDyUFMCL6VJjE1XmzvS_9HhhQCg" xr:uid="{E75B62F4-887D-4155-BF7D-F5E8B2AA337F}"/>
    <hyperlink ref="A459" r:id="rId287" display="https://www.google.com/url?q=https://codeforces.com/gym/100488/problem/L&amp;sa=D&amp;ust=1605639551751000&amp;usg=AFQjCNGLg2H-5WxM9w8Sr7FWArw4olI-JQ" xr:uid="{0DA32C91-936C-4C02-BFF2-68B5535CBDDB}"/>
    <hyperlink ref="D3818" r:id="rId288" display="https://www.google.com/url?q=https://github.com/mostafa-saad/MyCompetitiveProgramming/blob/master/Codeforces/CF100488-GYM-L.txt&amp;sa=D&amp;ust=1605639551751000&amp;usg=AFQjCNEaYp6IbdeJ5lOriMWs_PcjTrdPeA" xr:uid="{18D90EFC-3C1F-4AF9-8522-04131449BAE9}"/>
    <hyperlink ref="A460" r:id="rId289" display="https://www.google.com/url?q=http://codeforces.com/contest/707/problem/E&amp;sa=D&amp;ust=1605639551752000&amp;usg=AFQjCNExDqoy-6mu2RyNtxAaENoUhAFeXw" xr:uid="{57B80802-B80C-45C6-840A-AB883C94443C}"/>
    <hyperlink ref="A461" r:id="rId290" display="https://www.google.com/url?q=http://codeforces.com/contest/500/problem/E&amp;sa=D&amp;ust=1605639551752000&amp;usg=AFQjCNHv7Y6773ow_Ddm-hgnnNeyhxqlfg" xr:uid="{309CA46C-E7F6-4CE8-B150-A6984F70F0FF}"/>
    <hyperlink ref="D3820" r:id="rId291" display="https://www.google.com/url?q=https://github.com/miguelAlessandro/CompetitiveProgramming/blob/master/codeforces/CF500-D12-E.cpp&amp;sa=D&amp;ust=1605639551752000&amp;usg=AFQjCNGaHP0hHedBChoXixmF7l1EhvcUbw" xr:uid="{7B3C2C54-85C3-47D3-8F6B-8339320A049C}"/>
    <hyperlink ref="A462" r:id="rId292" display="https://www.google.com/url?q=https://codeforces.com/contest/875/problem/D&amp;sa=D&amp;ust=1605639551753000&amp;usg=AFQjCNF6BzPt_q8nXP9RkkyGmlhTMcoEFw" xr:uid="{0ADBAACF-D380-4C70-A7C6-EA3DEE1329B3}"/>
    <hyperlink ref="D3656" r:id="rId293" display="https://www.google.com/url?q=https://github.com/mostafa-saad/MyCompetitiveProgramming/blob/master/UVA/UVA_11997.txt&amp;sa=D&amp;ust=1605639551753000&amp;usg=AFQjCNGgEWNsq7gyowUVlrlni22PkNkagA" xr:uid="{99A9F58F-33ED-42C4-A1E1-49066BC49BDC}"/>
    <hyperlink ref="A464" r:id="rId294" display="https://www.google.com/url?q=https://csacademy.com/contest/round-79/task/smallest-subsets/&amp;sa=D&amp;ust=1605639551754000&amp;usg=AFQjCNF79hRD8Vkr072f6dufgSZ_9Xdyfg" xr:uid="{1A72C398-D778-43D1-8738-F0453BFD3807}"/>
    <hyperlink ref="D3314" r:id="rId295" display="https://www.google.com/url?q=https://github.com/magdy-hasan/competitive-programming/blob/8cbf7891ccb20207e90ca25c5841661c0727afa0/CSA/CSA%2520Smallest%2520Subsets.cpp&amp;sa=D&amp;ust=1605639551754000&amp;usg=AFQjCNH1Mii5i8DK-nxFv1omzgpZJbrPTg" xr:uid="{F72EE379-8B48-4F42-A35C-F44D04562A6F}"/>
    <hyperlink ref="A465" r:id="rId296" display="https://www.google.com/url?q=http://codeforces.com/contest/1121/problem/D&amp;sa=D&amp;ust=1605639551754000&amp;usg=AFQjCNHWzRqT1NoS7XMbnoRe-8DC5n4AbA" xr:uid="{00F13341-194F-458F-9EA4-991DF215A1A6}"/>
    <hyperlink ref="A137" r:id="rId297" display="https://www.google.com/url?q=http://codeforces.com/contest/706/problem/E&amp;sa=D&amp;ust=1605639551755000&amp;usg=AFQjCNHpT8bgX7uRn78p_t8Pv7yfSVo8nw" xr:uid="{3C878ED5-EC5A-4FC5-B557-78A83F95F9BF}"/>
    <hyperlink ref="A138" r:id="rId298" display="https://www.google.com/url?q=https://codeforces.com/contest/1269/problem/E&amp;sa=D&amp;ust=1605639551755000&amp;usg=AFQjCNH_hM0sPww4XV54ckMK3Lm1_rWLDw" xr:uid="{734E1374-A03E-419C-BA77-652AF2057C21}"/>
    <hyperlink ref="A139" r:id="rId299" display="https://www.google.com/url?q=https://www.codechef.com/problems/KOL15D&amp;sa=D&amp;ust=1605639551757000&amp;usg=AFQjCNEQcUYG6KEoFfaX7JJkNYEX5S3htw" xr:uid="{CEC9A37D-BD5A-4656-80FD-1DA998F277DA}"/>
    <hyperlink ref="A140" r:id="rId300" display="https://www.google.com/url?q=http://codeforces.com/contest/897/problem/E&amp;sa=D&amp;ust=1605639551757000&amp;usg=AFQjCNGI-3emh5WW6z2zHfWahfZyqykVKQ" xr:uid="{D96A7A96-5E28-45B3-B04B-F1D237EBB49F}"/>
    <hyperlink ref="D3320" r:id="rId301" display="https://www.google.com/url?q=https://github.com/mostafa-saad/MyCompetitiveProgramming/blob/master/SPOJ/SPOJ_FSEQ.cpp&amp;sa=D&amp;ust=1605639551758000&amp;usg=AFQjCNGZu7eGmLwBTyf0nMYAQUx2tVy85Q" xr:uid="{A1894921-EB2D-4BDD-B047-314BA3FF1532}"/>
    <hyperlink ref="A142" r:id="rId302" display="https://www.google.com/url?q=http://codeforces.com/contest/894/problem/D&amp;sa=D&amp;ust=1605639551758000&amp;usg=AFQjCNGOR6b-v_KLfpZj7hQMLZeobFI2SA" xr:uid="{892725DE-C250-438A-9CFD-290DD1F6DFAB}"/>
    <hyperlink ref="A143" r:id="rId303" display="https://www.google.com/url?q=https://csacademy.com/contest/round-19/%23task/smallest-array-permutation&amp;sa=D&amp;ust=1605639551758000&amp;usg=AFQjCNGC9LWshF6xOlNLHmcVqp7mCELMxA" xr:uid="{B7E9D853-DD9A-4548-9303-1A2C2F3CBB25}"/>
    <hyperlink ref="A144" r:id="rId304" display="https://www.google.com/url?q=http://codeforces.com/contest/754/problem/D&amp;sa=D&amp;ust=1605639551759000&amp;usg=AFQjCNEIcMnBFhititeGtXa4euIgqti07g" xr:uid="{51DA0900-02DC-47F1-B01F-33EC193E5A2A}"/>
    <hyperlink ref="A146" r:id="rId305" display="https://www.google.com/url?q=https://agc018.contest.atcoder.jp/tasks/agc018_c&amp;sa=D&amp;ust=1605639551759000&amp;usg=AFQjCNEPoVPgZKKOo5xSPJfX4GE8k5corA" xr:uid="{61FA8D1E-B6BE-4A7F-B88B-F5C6B6C0EE7E}"/>
    <hyperlink ref="A147" r:id="rId306" display="https://www.google.com/url?q=http://codeforces.com/contest/286/problem/B&amp;sa=D&amp;ust=1605639551760000&amp;usg=AFQjCNHd5izZ5VF7nRlQQzmceE1-93Vv2g" xr:uid="{55C29A7E-6DE8-42D4-9C27-F2603D29FA6E}"/>
    <hyperlink ref="A148" r:id="rId307" display="https://www.google.com/url?q=http://codeforces.com/contest/114/problem/D&amp;sa=D&amp;ust=1605639551760000&amp;usg=AFQjCNG9bpM2bqhjnZ0qAIJkGw4cwM97UQ" xr:uid="{BF1B69DC-40D6-49DD-A257-06E52F182118}"/>
    <hyperlink ref="A150" r:id="rId308" display="https://www.google.com/url?q=https://csacademy.com/contest/round-75/task/electric-cars/&amp;sa=D&amp;ust=1605639551761000&amp;usg=AFQjCNFO30cR7gUiX6UfM0scQxgf5YMk3Q" xr:uid="{5AEE0D24-CAA8-4DF9-A642-E655DD748A57}"/>
    <hyperlink ref="A151" r:id="rId309" display="https://www.google.com/url?q=https://uva.onlinejudge.org/index.php?option%3Dcom_onlinejudge%26Itemid%3D8%26page%3Dshow_problem%26problem%3D2175&amp;sa=D&amp;ust=1605639551762000&amp;usg=AFQjCNGkZIChJfk7SqawgKXFhFwLL1iz3w" xr:uid="{023DF969-525B-449C-B4A1-8856AA28BDCE}"/>
    <hyperlink ref="D2904" r:id="rId310" display="https://www.google.com/url?q=https://github.com/mostafa-saad/MyCompetitiveProgramming/blob/master/UVA/UVA_11234.txt&amp;sa=D&amp;ust=1605639551762000&amp;usg=AFQjCNG8QAUwAHgw-Dt456cNQzZhes1ggQ" xr:uid="{D87BA76D-20CA-4AE9-8D49-C6BF97773971}"/>
    <hyperlink ref="A152" r:id="rId311" display="https://www.google.com/url?q=http://codeforces.com/contest/219/problem/E&amp;sa=D&amp;ust=1605639551762000&amp;usg=AFQjCNGIdtuqEjSMLOGR_YpEgasgw8EXBA" xr:uid="{804C7DA7-5ABC-4A16-8570-9F154F7C5A9C}"/>
    <hyperlink ref="D2691" r:id="rId312" display="https://www.google.com/url?q=https://github.com/mostafa-saad/MyCompetitiveProgramming/blob/master/Codeforces/CF219-D2-E.txt&amp;sa=D&amp;ust=1605639551762000&amp;usg=AFQjCNEbtmieeqwr1GJgNfJwkhnITntkjg" xr:uid="{0513DE44-D950-41F2-B535-4BD6D3232CE3}"/>
    <hyperlink ref="A153" r:id="rId313" display="https://www.google.com/url?q=https://codeforces.com/contest/1208/problem/E&amp;sa=D&amp;ust=1605639551763000&amp;usg=AFQjCNEo7CAP8WHVEKQNZtjL40Jt2p3qTw" xr:uid="{6812BF5F-9964-4934-832D-3C75BF6193AC}"/>
    <hyperlink ref="A154" r:id="rId314" display="https://www.google.com/url?q=http://codeforces.com/contest/862/problem/E&amp;sa=D&amp;ust=1605639551763000&amp;usg=AFQjCNHW2BEZO_GP9ZalAdB3GPrVs7hm9Q" xr:uid="{AD351D90-61B0-4996-ABFF-6D10E9530BE7}"/>
    <hyperlink ref="A155" r:id="rId315" display="https://www.google.com/url?q=http://codeforces.com/contest/224/problem/C&amp;sa=D&amp;ust=1605639551764000&amp;usg=AFQjCNEG9PcMl5z0ptOB-Vcmro1acsNlEA" xr:uid="{F6305469-A8AC-4FEC-829F-11C8ED9FE03B}"/>
    <hyperlink ref="A156" r:id="rId316" display="https://www.google.com/url?q=http://codeforces.com/contest/548/problem/D&amp;sa=D&amp;ust=1605639551764000&amp;usg=AFQjCNFPrmxfvtFxcM3jXtfmw6UpZ8W3Zw" xr:uid="{C86E9D66-FA9A-4C8B-A75A-7963EF8FCBEF}"/>
    <hyperlink ref="A157" r:id="rId317" display="https://www.google.com/url?q=https://codeforces.com/contest/1236/problem/D&amp;sa=D&amp;ust=1605639551765000&amp;usg=AFQjCNH0BI6hBo1ufJtilMA26wMEL1kEcQ" xr:uid="{E2F03E45-0E5E-4C66-B8BE-B2A9053A1A03}"/>
    <hyperlink ref="A158" r:id="rId318" display="https://www.google.com/url?q=http://codeforces.com/contest/319/problem/B&amp;sa=D&amp;ust=1605639551765000&amp;usg=AFQjCNHhQNVZM-kd4Ujda1Bru9IE3HvWMA" xr:uid="{7440E889-1C02-4D78-80C2-2D98F1F793A0}"/>
    <hyperlink ref="A159" r:id="rId319" display="https://www.google.com/url?q=https://uva.onlinejudge.org/index.php?option%3Dcom_onlinejudge%26Itemid%3D8%26page%3Dshow_problem%26problem%3D4395&amp;sa=D&amp;ust=1605639551765000&amp;usg=AFQjCNEvZsGI7m4n5hCPBS0y9wDeJ3OLBQ" xr:uid="{D019BAD0-A65E-45C8-87FB-3D7798798DC6}"/>
    <hyperlink ref="D2698" r:id="rId320" display="https://www.google.com/url?q=http://qkxue.net/info/113260/UVA-Boxes-Line-12657&amp;sa=D&amp;ust=1605639551766000&amp;usg=AFQjCNGbh2DzhbFZnefMvS93XrMnKi_KRg" xr:uid="{C8766B08-2CBA-4F9E-99AF-2125E41EC8E6}"/>
    <hyperlink ref="A160" r:id="rId321" display="https://www.google.com/url?q=https://codeforces.com/contest/899/problem/E&amp;sa=D&amp;ust=1605639551766000&amp;usg=AFQjCNHa43alpVlGCarlXfHBGLwJwHKK_Q" xr:uid="{39973EA5-47C5-41E4-AAEA-89670FF90428}"/>
    <hyperlink ref="A161" r:id="rId322" display="https://www.google.com/url?q=http://codeforces.com/contest/982/problem/D&amp;sa=D&amp;ust=1605639551767000&amp;usg=AFQjCNE1wEld5XDSmHHgV0BNZpv5tM3nUw" xr:uid="{4823C0E9-0ED7-425C-9A32-1A12ADC5656E}"/>
    <hyperlink ref="A163" r:id="rId323" display="https://www.google.com/url?q=https://codeforces.com/contest/475/problem/D&amp;sa=D&amp;ust=1605639551768000&amp;usg=AFQjCNHALy9hLAKA1vi8LAAfofZk_WNyrw" xr:uid="{C83534F1-2095-4A7F-890F-DCE8A4B0BA60}"/>
    <hyperlink ref="A164" r:id="rId324" display="https://www.google.com/url?q=http://codeforces.com/contest/911/problem/E&amp;sa=D&amp;ust=1605639551769000&amp;usg=AFQjCNFMc-vyoCyhyHsu6pAPdeD6rBgSaA" xr:uid="{9EDA2449-3207-4ED8-8389-3EB3A0D97A31}"/>
    <hyperlink ref="A165" r:id="rId325" display="https://www.google.com/url?q=http://www.spoj.com/problems/WEIRDFN/&amp;sa=D&amp;ust=1605639551769000&amp;usg=AFQjCNG809j1dI3LOQzQd3niaYzRqVLr5A" xr:uid="{FA3DE36B-9951-4D56-8F67-30CA6B7EE387}"/>
    <hyperlink ref="D1994" r:id="rId326" display="https://www.google.com/url?q=https://github.com/mostafa-saad/MyCompetitiveProgramming/blob/master/SPOJ/SPOJ_WEIRDFN.txt&amp;sa=D&amp;ust=1605639551769000&amp;usg=AFQjCNEvq_nKILs2jXjQe_KbBPElf2RqnA" xr:uid="{CC79BA56-43F6-4603-BC5C-C589E5866B70}"/>
    <hyperlink ref="A167" r:id="rId327" display="https://www.google.com/url?q=http://codeforces.com/contest/5/problem/C&amp;sa=D&amp;ust=1605639551770000&amp;usg=AFQjCNEU78zAiJMv9PrBuXlDCR0Ca20wcQ" xr:uid="{040FDD46-AB98-4F27-8D1C-FDECC9B429F2}"/>
    <hyperlink ref="A168" r:id="rId328" display="https://www.google.com/url?q=https://codeforces.com/contest/817/problem/D&amp;sa=D&amp;ust=1605639551771000&amp;usg=AFQjCNEwj3eoAMODKi7ULKBQXvYf6vJ53Q" xr:uid="{0B3E40B8-F293-48D8-91E9-FF0E7477745C}"/>
    <hyperlink ref="D1997" r:id="rId329" display="https://www.google.com/url?q=https://codeforces.com/contest/817/submission/47359168&amp;sa=D&amp;ust=1605639551771000&amp;usg=AFQjCNHK_AxM_kMTxuAmj4Rtz8T9zGqTzQ" xr:uid="{AC233D57-EA79-4909-95D7-F09ECE84AF13}"/>
    <hyperlink ref="D1998" r:id="rId330" display="https://www.google.com/url?q=https://github.com/Firastic/CompetitiveProgramming/blob/master/SPOJ/SPOJ%2520RMID2.cpp&amp;sa=D&amp;ust=1605639551771000&amp;usg=AFQjCNE9hFafKuo5ifhOt9LzvTxsE1WfmA" xr:uid="{981654B8-D308-4BF4-9E65-EA35AC7FEBD8}"/>
    <hyperlink ref="A466" r:id="rId331" display="https://www.google.com/url?q=http://codeforces.com/contest/45/problem/C&amp;sa=D&amp;ust=1605639551772000&amp;usg=AFQjCNHCF-D8RHRuP0A8O8jGQT57T3HqKg" xr:uid="{E7CA3608-ADAD-4D4B-A429-74D0CC430787}"/>
    <hyperlink ref="A467" r:id="rId332" display="https://www.google.com/url?q=https://uva.onlinejudge.org/index.php?option%3Donlinejudge%26page%3Dshow_problem%26problem%3D442&amp;sa=D&amp;ust=1605639551772000&amp;usg=AFQjCNEBUnl5RyArj7xhGoHhb1mTekDuyQ" xr:uid="{0B43C742-8A2C-4D4D-AC0C-7BD89EFBDA0D}"/>
    <hyperlink ref="D2000" r:id="rId333" display="https://www.google.com/url?q=https://github.com/mostafa-saad/MyCompetitiveProgramming/blob/master/UVA/UVA_501.txt&amp;sa=D&amp;ust=1605639551773000&amp;usg=AFQjCNHzsjbsGDOa5JHzybHOmMDQyy8YWA" xr:uid="{A2295008-1348-47C5-A0BD-8FD96096342F}"/>
    <hyperlink ref="A468" r:id="rId334" display="https://www.google.com/url?q=https://icpcarchive.ecs.baylor.edu/index.php?option%3Dcom_onlinejudge%26Itemid%3D8%26category%3D19%26page%3Dshow_problem%26problem%3D1635&amp;sa=D&amp;ust=1605639551773000&amp;usg=AFQjCNEZnegrK2dm3UsZOeC2kp2441mteA" xr:uid="{4985135B-0FDD-4918-BCF0-8E7934B3BF4B}"/>
    <hyperlink ref="D2001" r:id="rId335" display="https://www.google.com/url?q=https://github.com/SaraElkadi/competitive-programming-/blob/master/LiveArchive/3634.cpp&amp;sa=D&amp;ust=1605639551773000&amp;usg=AFQjCNGyf_RwHu0CSphishBxzoj7SSHO-Q" xr:uid="{25BC215B-BBF8-49D5-B964-F0DEC08EBDFB}"/>
    <hyperlink ref="A470" r:id="rId336" display="https://www.google.com/url?q=http://codeforces.com/contest/731/problem/D&amp;sa=D&amp;ust=1605639551774000&amp;usg=AFQjCNE4Iq2bOpFa_Y0yIoo_Z8xOXsHPOw" xr:uid="{6BEA00D2-DDC5-4D24-AFA8-B4C2C97CD398}"/>
    <hyperlink ref="A471" r:id="rId337" display="https://www.google.com/url?q=http://codeforces.com/problemset/problem/522/D&amp;sa=D&amp;ust=1605639551775000&amp;usg=AFQjCNGSnKN4GEgjMutcGH5xvzEwCtkVXw" xr:uid="{016593F4-801F-4312-8548-E8D10493BA0C}"/>
    <hyperlink ref="D2005" r:id="rId338" display="https://www.google.com/url?q=https://github.com/AliOsm/CompetitiveProgramming/blob/master/UVA/12207%2520-%2520That%2520is%2520Your%2520Queue.cpp&amp;sa=D&amp;ust=1605639551775000&amp;usg=AFQjCNGFZTZr6OUqqme9wqufEVGs871lMQ" xr:uid="{CC72B8CF-570F-459B-95B0-208D78DA520E}"/>
    <hyperlink ref="A473" r:id="rId339" display="https://www.google.com/url?q=https://csacademy.com/contest/round-84/task/manhattan-center/&amp;sa=D&amp;ust=1605639551775000&amp;usg=AFQjCNFflSgQjyt2vNA5J77Ax5TE0k5OeQ" xr:uid="{1F285720-EA21-42B9-9B47-C4B023CFAE26}"/>
    <hyperlink ref="A496" r:id="rId340" display="https://www.google.com/url?q=https://agc005.contest.atcoder.jp/tasks/agc005_b&amp;sa=D&amp;ust=1605639551776000&amp;usg=AFQjCNGI7CxPu1ApkjHDkpi9BBUiKxjH7Q" xr:uid="{28762A9C-A307-4029-B0C1-20D9718A8F18}"/>
    <hyperlink ref="A498" r:id="rId341" display="https://www.google.com/url?q=https://codeforces.com/contest/284/problem/C&amp;sa=D&amp;ust=1605639551777000&amp;usg=AFQjCNHfhLouxsvu_jBpt4PtY6eH1N2Dog" xr:uid="{DFAF856F-C939-4A26-97DF-B11CBE82FC6E}"/>
    <hyperlink ref="A499" r:id="rId342" display="https://www.google.com/url?q=http://codeforces.com/contest/675/problem/D&amp;sa=D&amp;ust=1605639551777000&amp;usg=AFQjCNEvcv_s3P59vaLtpEJ5I0MxhdFaQw" xr:uid="{AEE37F62-EE71-42E1-9F61-2026F83CE4AC}"/>
    <hyperlink ref="A500" r:id="rId343" display="https://www.google.com/url?q=http://codeforces.com/contest/681/problem/C&amp;sa=D&amp;ust=1605639551778000&amp;usg=AFQjCNEHdm4lmV3BZ2SfLvz4DycMs0G4RA" xr:uid="{0EF900F8-8B10-4BD3-9EF1-A156440843D5}"/>
    <hyperlink ref="A501" r:id="rId344" display="https://www.google.com/url?q=http://codeforces.com/contest/697/problem/C&amp;sa=D&amp;ust=1605639551778000&amp;usg=AFQjCNENfrtuRfx16zvJmi2gRqP-a8UJlA" xr:uid="{AE968BDF-1C07-4C5C-B442-03DCC5C6DC2D}"/>
    <hyperlink ref="A507" r:id="rId345" display="https://www.google.com/url?q=http://codeforces.com/problemset/problem/845/D&amp;sa=D&amp;ust=1605639551788000&amp;usg=AFQjCNHcE4bGbt73WJmYR8Z449M_fA75NA" xr:uid="{7C31984F-4623-48CF-A2DD-A0826F61D40D}"/>
    <hyperlink ref="D906" r:id="rId346" display="https://www.google.com/url?q=https://github.com/goswami-rahul/competitive-coding/blob/master/CompetitiveProgramming/livearchive/8078.cpp&amp;sa=D&amp;ust=1605639551789000&amp;usg=AFQjCNGnMeYX-pQPnOmVfUdznDDmE6WmtA" xr:uid="{EF4A707A-C6FB-49E6-A470-3CEA89E934B2}"/>
    <hyperlink ref="A568" r:id="rId347" display="https://www.google.com/url?q=https://codeforces.com/contest/1140/problem/C&amp;sa=D&amp;ust=1605639551789000&amp;usg=AFQjCNGhO4G1EfD85TC_SyOeJH9j7IIc7A" xr:uid="{4F035978-0FCF-4F9A-AB6A-056ACEE3E965}"/>
    <hyperlink ref="A569" r:id="rId348" display="https://www.google.com/url?q=http://codeforces.com/contest/92/problem/D&amp;sa=D&amp;ust=1605639551790000&amp;usg=AFQjCNGmxzO-97GZXyXMUg-VleQH-lZmBg" xr:uid="{ABE0DD96-3346-4965-8E05-87C1368EAE4B}"/>
    <hyperlink ref="A570" r:id="rId349" display="https://www.google.com/url?q=http://codeforces.com/contest/705/problem/C&amp;sa=D&amp;ust=1605639551790000&amp;usg=AFQjCNHT4jxP5xBsoh5lgn7Jjr_8SDEUhw" xr:uid="{E2579D3C-1E2A-4B1B-8143-EB478A4BBD3A}"/>
    <hyperlink ref="A571" r:id="rId350" display="https://www.google.com/url?q=https://uva.onlinejudge.org/index.php?option%3Dcom_onlinejudge%26Itemid%3D8%26page%3Dshow_problem%26problem%3D4467&amp;sa=D&amp;ust=1605639551791000&amp;usg=AFQjCNEfPn2YUujUvpavX3Nz5iQ5-INeqw" xr:uid="{F427988C-AABA-4C34-B8E5-D3F3B0485A44}"/>
    <hyperlink ref="A474" r:id="rId351" display="https://www.google.com/url?q=http://codeforces.com/contest/714/problem/C&amp;sa=D&amp;ust=1605639551791000&amp;usg=AFQjCNEdiZs3nNEXggxnAy1MIOznygbgDA" xr:uid="{D43C3BDE-49C7-4D3A-926E-CFE96B6B6DC3}"/>
    <hyperlink ref="A482" r:id="rId352" display="https://www.google.com/url?q=https://csacademy.com/contest/round-82/task/city-break/&amp;sa=D&amp;ust=1605639551791000&amp;usg=AFQjCNFkMpWY4yOVdskRzJOG4Z6maZ9MVw" xr:uid="{E2A01F66-A16A-47F4-81E4-ED1A30052A2E}"/>
    <hyperlink ref="A489" r:id="rId353" display="https://www.google.com/url?q=https://www.hackerrank.com/contests/world-codesprint-13/challenges/watsons-love-for-arrays&amp;sa=D&amp;ust=1605639551792000&amp;usg=AFQjCNFjbydM01cyKGxrXqoobCAwv6mhQA" xr:uid="{4DBDAB15-8397-479B-83A9-A903E9E94210}"/>
    <hyperlink ref="A490" r:id="rId354" display="https://www.google.com/url?q=http://codeforces.com/contest/276/problem/C&amp;sa=D&amp;ust=1605639551792000&amp;usg=AFQjCNHBjX4PLtmRdJ9FUBGS3j_EZJ9i6Q" xr:uid="{ABFE6E3E-9E55-441F-9587-602BC017B802}"/>
    <hyperlink ref="D301" r:id="rId355" display="https://www.google.com/url?q=https://github.com/Ownography/CP/blob/master/SPOJ%2520POSTERIN&amp;sa=D&amp;ust=1605639551794000&amp;usg=AFQjCNEplPTQztdBtP-jlYghQ-nAlwPCwA" xr:uid="{5E1F3F14-E06A-4E4D-87DC-110FF0D918ED}"/>
    <hyperlink ref="A494" r:id="rId356" display="https://www.google.com/url?q=http://codeforces.com/contest/357/problem/C&amp;sa=D&amp;ust=1605639551794000&amp;usg=AFQjCNF51OvYprFWB6xyWYvJ_9rjm92o9A" xr:uid="{582ABB63-FABC-4A2E-8E71-9227523F43BB}"/>
    <hyperlink ref="A495" r:id="rId357" display="https://www.google.com/url?q=http://codeforces.com/contest/272/problem/C&amp;sa=D&amp;ust=1605639551795000&amp;usg=AFQjCNGsWpJnY2oZDgJEGXtENsZVe6tHIg" xr:uid="{FA7F1FA0-034A-49A5-B0D2-B418BF250D6A}"/>
    <hyperlink ref="A502" r:id="rId358" display="https://www.google.com/url?q=http://codeforces.com/contest/518/problem/C&amp;sa=D&amp;ust=1605639551795000&amp;usg=AFQjCNEiN-btHJE7Fi6YlUVt-1pIQxZ9VA" xr:uid="{488ECA6B-1F84-4243-9805-1BB255ACD3BC}"/>
    <hyperlink ref="A503" r:id="rId359" display="https://www.google.com/url?q=http://codeforces.com/contest/527/problem/C&amp;sa=D&amp;ust=1605639551796000&amp;usg=AFQjCNGep_ml1Ux9EZRM_gR-9MboMBrlDQ" xr:uid="{19679358-D337-48F0-828B-B4717D131C37}"/>
    <hyperlink ref="D4840" r:id="rId360" display="https://www.google.com/url?q=https://github.com/ryuzmukhametov/CompetitiveProgramming/blob/master/Topcoder/SRM449-D2-1000.cpp&amp;sa=D&amp;ust=1605639551797000&amp;usg=AFQjCNEFaLy5Ty-hfsuO8VRuUOhB11SfnQ" xr:uid="{FBCC2A07-77B8-414B-8512-35F5859C504F}"/>
    <hyperlink ref="A509" r:id="rId361" display="https://www.google.com/url?q=https://www.facebook.com/hackercup/problem/330920680938986/&amp;sa=D&amp;ust=1605639551797000&amp;usg=AFQjCNHYXlIW45fyhReRVjEl6BPj4hkA0w" xr:uid="{61A2E03C-FA7F-472F-91EF-9F59B95D5340}"/>
    <hyperlink ref="D4479" r:id="rId362" display="https://www.google.com/url?q=https://blog.csdn.net/accelerator_/article/details/22990113&amp;sa=D&amp;ust=1605639551799000&amp;usg=AFQjCNEQZEBy7wATW_6LAd9SYpaUN6zBbA" xr:uid="{80B53B07-C535-456F-8340-DA165C937C7B}"/>
    <hyperlink ref="D4218" r:id="rId363" display="https://www.google.com/url?q=https://morris821028.github.io/2014/07/06/oj/uva/uva-10123/&amp;sa=D&amp;ust=1605639551801000&amp;usg=AFQjCNF-R_zEZa_JscDqNXupP1S8e21ojQ" xr:uid="{360E9F32-8BE3-490F-B5F9-D7E9AC26B614}"/>
    <hyperlink ref="D3958" r:id="rId364" display="https://www.google.com/url?q=https://github.com/shanto86/Training/blob/master/TopCoder/SRM523-D1-1000.cpp&amp;sa=D&amp;ust=1605639551801000&amp;usg=AFQjCNGwwiI4ZzaQ85K-95jPblgs5wOpwQ" xr:uid="{449B362B-1039-4E71-861D-88674957130B}"/>
    <hyperlink ref="A516" r:id="rId365" display="https://www.google.com/url?q=http://codeforces.com/contest/161/problem/E&amp;sa=D&amp;ust=1605639551802000&amp;usg=AFQjCNFJEjOgv55KfkduFwIGBfKwHpw0wA" xr:uid="{A0568606-001F-4AAD-878A-D5D3F051CD8C}"/>
    <hyperlink ref="D3397" r:id="rId366" display="https://www.google.com/url?q=https://github.com/MNT95/Competitive-Programming/blob/master/UVa/Backtracking/10160%2520-%2520Servicing%2520Stations.cpp&amp;sa=D&amp;ust=1605639551803000&amp;usg=AFQjCNFdaPRs7c38IPOf7T99CX_SOo33tQ" xr:uid="{DFB54688-BF56-497F-8A18-7C05BB907DDE}"/>
    <hyperlink ref="D3400" r:id="rId367" display="https://www.google.com/url?q=https://github.com/engyebrahim/CompetitiveProgramming/blob/master/TJU/1533.cpp&amp;sa=D&amp;ust=1605639551805000&amp;usg=AFQjCNFlDbkjpbYRCo4saYr4_hibLgpFZg" xr:uid="{2A127239-4887-4BB5-AB18-0C7CF3787D23}"/>
    <hyperlink ref="A523" r:id="rId368" display="https://www.google.com/url?q=https://codingcompetitions.withgoogle.com/codejam/round/0000000000051635/0000000000104e03&amp;sa=D&amp;ust=1605639551805000&amp;usg=AFQjCNEFJG7NBoKGWmZ9-fRr0EJqTwCIQA" xr:uid="{728431B4-F564-4B46-B94F-29A39F5942B4}"/>
    <hyperlink ref="D2077" r:id="rId369" display="https://www.google.com/url?q=https://github.com/AhmedElsisy/CompetitiveProgramming/blob/master/UVA/12639.cpp&amp;sa=D&amp;ust=1605639551806000&amp;usg=AFQjCNHEwm6AX9u0ukOliHgrQ2QFjynnrg" xr:uid="{1781ACED-425D-4C6A-BA3E-5818270A70BE}"/>
    <hyperlink ref="A526" r:id="rId370" display="https://www.google.com/url?q=http://codeforces.com/contest/47/problem/D&amp;sa=D&amp;ust=1605639551806000&amp;usg=AFQjCNFQEQrvw6T1dEmuLGyp5FBbm1_z0g" xr:uid="{29431199-759B-4B63-B92A-21ED3FB66ADC}"/>
    <hyperlink ref="D1364" r:id="rId371" display="https://www.google.com/url?q=https://github.com/A7medgamal/CompetitiveProgramming/blob/master/LiveArchive/6585.cpp&amp;sa=D&amp;ust=1605639551809000&amp;usg=AFQjCNHsuM-pIYWQh3IjfikH1rEHHnHqEA" xr:uid="{BFF99536-3BD9-4593-AA4B-479396CE1CD0}"/>
    <hyperlink ref="D1365" r:id="rId372" display="https://www.google.com/url?q=https://github.com/ahmedsamir221/CompetitiveProgramming/blob/master/SPOJ/SPOJ%2520MYQ8.cpp&amp;sa=D&amp;ust=1605639551809000&amp;usg=AFQjCNESGCy-0NpbqxeZyeEpibR543DW_A" xr:uid="{AD9AA887-53B2-4E96-96A7-CBF1CEB49559}"/>
    <hyperlink ref="A534" r:id="rId373" display="https://www.google.com/url?q=http://codeforces.com/gym/101191/problem/C&amp;sa=D&amp;ust=1605639551810000&amp;usg=AFQjCNHgDgT5gkNCapF9DDqUIUo3lvzV2g" xr:uid="{8E5224DE-D23D-439A-BCC0-D87BBE74E0C5}"/>
    <hyperlink ref="A536" r:id="rId374" display="https://www.google.com/url?q=http://codeforces.com/gym/100952/problem/E&amp;sa=D&amp;ust=1605639551811000&amp;usg=AFQjCNF3rTMv0c7V3C2uDnMAxJMf-K_H7g" xr:uid="{A15A2058-4D02-4DC4-8B90-9E93204B32E1}"/>
    <hyperlink ref="A538" r:id="rId375" display="https://www.google.com/url?q=https://community.topcoder.com/stat?c%3Dproblem_statement%26pm%3D1599&amp;sa=D&amp;ust=1605639551811000&amp;usg=AFQjCNGrM1hqilxaqf_KuKigu5znoGXdJQ" xr:uid="{48446150-F92A-4880-A4DD-2BD604AF68FC}"/>
    <hyperlink ref="A539" r:id="rId376" display="https://www.google.com/url?q=https://uva.onlinejudge.org/index.php?option%3Dcom_onlinejudge%26Itemid%3D8%26page%3Dshow_problem%26problem%3D691&amp;sa=D&amp;ust=1605639551812000&amp;usg=AFQjCNG7JqdhGD6dB6-MRnLUo1TSyj2SqQ" xr:uid="{CB2C256C-B889-4334-9F43-31224B65CA34}"/>
    <hyperlink ref="A541" r:id="rId377" display="https://www.google.com/url?q=https://uva.onlinejudge.org/index.php?option%3Dcom_onlinejudge%26Itemid%3D8%26page%3Dshow_problem%26problem%3D129&amp;sa=D&amp;ust=1605639551813000&amp;usg=AFQjCNHFX-fR-iidc5Ehj4uqoSSWqa-hOQ" xr:uid="{CAAE7E9A-B164-4D41-A007-9D42EB3C818A}"/>
    <hyperlink ref="D979" r:id="rId378" display="https://www.google.com/url?q=https://github.com/MohamedNabil97/CompetitiveProgramming/blob/master/UVA/10624.cpp&amp;sa=D&amp;ust=1605639551815000&amp;usg=AFQjCNGHPhlJ2m3NPX1ushgRqXBzhbof6g" xr:uid="{7D271B3C-C98A-4C2F-83B1-4052B1B24C13}"/>
    <hyperlink ref="A550" r:id="rId379" display="https://www.google.com/url?q=https://uva.onlinejudge.org/index.php?option%3Dcom_onlinejudge%26Itemid%3D8%26page%3Dshow_problem%26problem%3D1285&amp;sa=D&amp;ust=1605639551817000&amp;usg=AFQjCNGP_YrtLCg8XDo-kJznrl3Xjn7F0w" xr:uid="{BDBA4776-9891-499B-B478-573007979C89}"/>
    <hyperlink ref="A560" r:id="rId380" display="https://www.google.com/url?q=https://uva.onlinejudge.org/index.php?option%3Donlinejudge%26page%3Dshow_problem%26problem%3D563&amp;sa=D&amp;ust=1605639551820000&amp;usg=AFQjCNEN0ydLoqXiVSe36Swhsf9eagfnIQ" xr:uid="{DC646FDF-5D31-42C3-8ED9-723133406F86}"/>
    <hyperlink ref="D2421" r:id="rId381" display="https://www.google.com/url?q=https://github.com/mostafa-saad/MyCompetitiveProgramming/blob/master/UVA/622.cpp&amp;sa=D&amp;ust=1605639551821000&amp;usg=AFQjCNEHIj5oRcJJrPIrUjeln_xNXrG2EQ" xr:uid="{A44AE3CF-B287-44CF-B523-82DC217F148E}"/>
    <hyperlink ref="D2161" r:id="rId382" display="https://www.google.com/url?q=https://github.com/AliOsm/CompetitiveProgramming/blob/master/ZOJ/1097%2520-%2520Code%2520the%2520Tree.cpp&amp;sa=D&amp;ust=1605639551821000&amp;usg=AFQjCNFma98Oge3aP0vwRIsteB0GJiaCeQ" xr:uid="{DE8FC9FC-A69A-41E9-A9B8-177D20E15AC8}"/>
    <hyperlink ref="A563" r:id="rId383" display="https://www.google.com/url?q=https://uva.onlinejudge.org/index.php?option%3Dcom_onlinejudge%26Itemid%3D8%26page%3Dshow_problem%26problem%3D999&amp;sa=D&amp;ust=1605639551822000&amp;usg=AFQjCNHDLkLHjepbJrf35cQKyEJccgHjUg" xr:uid="{BF6C20E3-E58B-4DEE-AAAD-28F545EF176A}"/>
    <hyperlink ref="D1028" r:id="rId384" display="https://www.google.com/url?q=https://github.com/mostafa-saad/MyCompetitiveProgramming/blob/master/UVA/UVA_10058.txt&amp;sa=D&amp;ust=1605639551822000&amp;usg=AFQjCNEQkE0fcdBq6rZecpI0MICgB0ePfw" xr:uid="{D35A1F6A-4870-4315-B34D-38913E17A3BB}"/>
    <hyperlink ref="A565" r:id="rId385" display="https://www.google.com/url?q=https://www.codechef.com/problems/ANKINTER&amp;sa=D&amp;ust=1605639551822000&amp;usg=AFQjCNE3Hdhq8TXCNpsJS45A9E7ktpzdcg" xr:uid="{45B3F1E6-49C4-4C41-BC36-321C601B1599}"/>
    <hyperlink ref="A572" r:id="rId386" display="https://www.google.com/url?q=http://codeforces.com/contest/415/problem/E&amp;sa=D&amp;ust=1605639551823000&amp;usg=AFQjCNHVFHbZ1H3hOD5v2ppvt8wrLZdjLQ" xr:uid="{BFA15CC2-E528-443E-8A4F-20FE5B149CE4}"/>
    <hyperlink ref="A576" r:id="rId387" display="https://www.google.com/url?q=https://codejam.withgoogle.com/2018/challenges/0000000000007706/dashboard/00000000000459f3&amp;sa=D&amp;ust=1605639551830000&amp;usg=AFQjCNEAYLHS1qD1JxsGXDkn_Fh-M0dA8Q" xr:uid="{856264CC-E596-457C-86E9-8C551FC829FA}"/>
    <hyperlink ref="A579" r:id="rId388" display="https://www.google.com/url?q=http://codeforces.com/contest/244/problem/C&amp;sa=D&amp;ust=1605639551831000&amp;usg=AFQjCNHEuxfLKzEKIdy80fYYu_F7Wcgmvg" xr:uid="{C60CF7C5-F958-4F23-B0DA-732483A5E99F}"/>
    <hyperlink ref="A581" r:id="rId389" display="https://www.google.com/url?q=http://codeforces.com/contest/862/problem/D&amp;sa=D&amp;ust=1605639551831000&amp;usg=AFQjCNEe2kyj1aXbyRWwC6VjcHsfv16DIw" xr:uid="{D09F5D1E-16AA-447B-B58A-E497F4A171F7}"/>
    <hyperlink ref="A584" r:id="rId390" display="https://www.google.com/url?q=http://codeforces.com/contest/448/problem/C&amp;sa=D&amp;ust=1605639551833000&amp;usg=AFQjCNEZBRVoPdzgp60XdYZ9RO3BslgopQ" xr:uid="{8A99CCF0-B450-4556-8A7C-E992D4EBC9BA}"/>
    <hyperlink ref="A596" r:id="rId391" display="https://www.google.com/url?q=http://codeforces.com/contest/121/problem/D&amp;sa=D&amp;ust=1605639551838000&amp;usg=AFQjCNE76Uxbfq-1V2R72IefxFq8IuGPKw" xr:uid="{A8B3139F-72DD-4FC9-98EC-D219BB90A8E1}"/>
    <hyperlink ref="A597" r:id="rId392" display="https://www.google.com/url?q=http://agc020.contest.atcoder.jp/tasks/agc020_d&amp;sa=D&amp;ust=1605639551838000&amp;usg=AFQjCNEKxFSRAqC4zgCxcg6TLmInVnmXJg" xr:uid="{121CCE4E-DAC7-4EE9-BB84-D27A041828F4}"/>
    <hyperlink ref="A598" r:id="rId393" display="https://www.google.com/url?q=http://codeforces.com/contest/1008/problem/E&amp;sa=D&amp;ust=1605639551839000&amp;usg=AFQjCNGUSMApp9OjirKjPEWTvvWl-1wopg" xr:uid="{AF92EAFF-8B62-4168-9DFE-D7C975E89E5A}"/>
    <hyperlink ref="A599" r:id="rId394" display="https://www.google.com/url?q=https://www.spoj.com/problems/METEORS/&amp;sa=D&amp;ust=1605639551839000&amp;usg=AFQjCNG41qQyKUKHcQc9-aNP_Onmj43KRg" xr:uid="{2DF7B8B2-DEA4-4EBA-9F08-C9B83E52EEE2}"/>
    <hyperlink ref="D4976" r:id="rId395" display="https://www.google.com/url?q=https://github.com/mostafa-saad/MyCompetitiveProgramming/blob/master/SPOJ/SPOJ_METEORS.txt&amp;sa=D&amp;ust=1605639551840000&amp;usg=AFQjCNFp4UpxXi9ammLMifU_YvfBFU6_Tg" xr:uid="{79BA4385-9975-4007-BD47-A58B6B076A4B}"/>
    <hyperlink ref="A600" r:id="rId396" display="https://www.google.com/url?q=https://agc006.contest.atcoder.jp/tasks/agc006_d&amp;sa=D&amp;ust=1605639551840000&amp;usg=AFQjCNEAsQaNARPRkjmyYpmWRWheRcXE-A" xr:uid="{BBBA0F66-E03C-40DE-9866-2645DB8C2628}"/>
    <hyperlink ref="A601" r:id="rId397" display="https://www.google.com/url?q=https://www.hackerearth.com/problem/algorithm/make-n00b_land-great-again-circuits/description/&amp;sa=D&amp;ust=1605639551840000&amp;usg=AFQjCNFFTP0unEEA993_TZpuwQVvKGXEqA" xr:uid="{0B3104E7-FE0B-477D-9F7A-20C8BDA69C39}"/>
    <hyperlink ref="A602" r:id="rId398" display="https://www.google.com/url?q=http://codeforces.com/contest/981/problem/F&amp;sa=D&amp;ust=1605639551841000&amp;usg=AFQjCNG0dFR6ELS_wxRrL1KwHDXQPC2eHg" xr:uid="{EAFB6881-C955-4CD6-A021-784255D1B5BE}"/>
    <hyperlink ref="D4979" r:id="rId399" display="https://www.google.com/url?q=https://github.com/tmwilliamlin168/CompetitiveProgramming/blob/master/CodeForces/CF981-D12-F.cpp&amp;sa=D&amp;ust=1605639551841000&amp;usg=AFQjCNHjKocIki6xInn4pl95IS-Ot34fZg" xr:uid="{9E64ECFA-2F79-44A8-A3E2-CA6B21194FD3}"/>
    <hyperlink ref="A603" r:id="rId400" display="https://www.google.com/url?q=http://codeforces.com/contest/163/problem/B&amp;sa=D&amp;ust=1605639551842000&amp;usg=AFQjCNGhechwBY35g1wywR6ZnGnGoyieKw" xr:uid="{B1A578CB-CF4E-4778-88FA-550A7BE2AB65}"/>
    <hyperlink ref="A724" r:id="rId401" display="https://www.google.com/url?q=http://codeforces.com/contest/314/problem/D&amp;sa=D&amp;ust=1605639551843000&amp;usg=AFQjCNFNU4IkLG0GzS6HkpReAD-oYzkWIQ" xr:uid="{F3B08637-AA05-4E36-A433-6F7BEACC658C}"/>
    <hyperlink ref="A726" r:id="rId402" display="https://www.google.com/url?q=http://codeforces.com/contest/875/problem/E&amp;sa=D&amp;ust=1605639551844000&amp;usg=AFQjCNGq1-ow9T9Qy4vv4fg7VyFPZEo9ig" xr:uid="{D51DEC3E-9784-4416-B8A9-CD5CA25A0B32}"/>
    <hyperlink ref="A727" r:id="rId403" display="https://www.google.com/url?q=https://codeforces.com/contest/1101/problem/F&amp;sa=D&amp;ust=1605639551844000&amp;usg=AFQjCNGmNgp2ifdVM-VJ3o1kvRx0rU8ZUg" xr:uid="{E5CF69EC-E9C3-46DD-9202-505C3356D78E}"/>
    <hyperlink ref="D4535" r:id="rId404" display="https://www.google.com/url?q=https://github.com/Mohammad-Yasser/CompetitiveProgramming/blob/master/Codeforces/CF1101-D2-F.cpp&amp;sa=D&amp;ust=1605639551844000&amp;usg=AFQjCNFZUwmdcdnRKhOADxsab-vScZAcxQ" xr:uid="{570E776B-F756-4527-A936-6465BADE85CD}"/>
    <hyperlink ref="A728" r:id="rId405" display="https://www.google.com/url?q=http://codeforces.com/contest/489/problem/E&amp;sa=D&amp;ust=1605639551845000&amp;usg=AFQjCNHqVG7xS3vaO8vnoCK1KBxq9PArKA" xr:uid="{82FD2778-3F7C-4B66-9078-31815B76DB02}"/>
    <hyperlink ref="A729" r:id="rId406" display="https://www.google.com/url?q=http://codeforces.com/contest/993/problem/D&amp;sa=D&amp;ust=1605639551845000&amp;usg=AFQjCNGorsRvZDCXbnNEqPIHKy0n6kiN7A" xr:uid="{96D86A78-16E7-4B96-AC9A-534BA45AF9E0}"/>
    <hyperlink ref="D4537" r:id="rId407" display="https://www.google.com/url?q=https://github.com/tmwilliamlin168/CompetitiveProgramming/blob/master/CodeForces/CF0993-D1-D.cpp&amp;sa=D&amp;ust=1605639551845000&amp;usg=AFQjCNGJvPXAxZItIkPqMf_7AYY6-EGkuA" xr:uid="{6D6CBA7E-AF9B-4767-AA4B-4BB651ADD8AB}"/>
    <hyperlink ref="A730" r:id="rId408" display="https://www.google.com/url?q=http://codeforces.com/contest/627/problem/D&amp;sa=D&amp;ust=1605639551846000&amp;usg=AFQjCNHY7rbAlVZ31rzTV6k8W6os6YJrYg" xr:uid="{1DC718DD-4027-49C5-9EEA-8C6FA5648A0E}"/>
    <hyperlink ref="A731" r:id="rId409" display="https://www.google.com/url?q=https://codeforces.com/contest/989/problem/D&amp;sa=D&amp;ust=1605639551846000&amp;usg=AFQjCNFElpzCW19OJhmsDbaD6RCkkZPnwg" xr:uid="{49F13702-32E5-4A12-9CD3-913857A0F382}"/>
    <hyperlink ref="A732" r:id="rId410" display="https://www.google.com/url?q=http://agc002.contest.atcoder.jp/tasks/agc002_d%23&amp;sa=D&amp;ust=1605639551847000&amp;usg=AFQjCNGdJ7spyDThDnnQ_jYYEyuIal3-ew" xr:uid="{22A157F9-0973-4C6A-AF56-A2F6424339CE}"/>
    <hyperlink ref="D4307" r:id="rId411" display="https://www.google.com/url?q=https://github.com/mostafa-saad/MyCompetitiveProgramming/blob/master/AtCoder/AtCoder002-AGC-D.txt&amp;sa=D&amp;ust=1605639551847000&amp;usg=AFQjCNH8ukfPOsLVlKvqX4nYm2VlD9EnPg" xr:uid="{55F4CB28-FFFC-4FA4-8635-0DC4F9371CDA}"/>
    <hyperlink ref="A733" r:id="rId412" display="https://www.google.com/url?q=https://hanoi18.kattis.com/problems/hanoi18.dividedoughnut&amp;sa=D&amp;ust=1605639551848000&amp;usg=AFQjCNE81SD7IK7DgEPVYPZq0VOy7PLkbA" xr:uid="{6CC61687-D933-4086-A37D-97ACCB940545}"/>
    <hyperlink ref="D4308" r:id="rId413" display="https://www.google.com/url?q=https://github.com/nya-nya-meow/CompetitiveProgramming/blob/d9223c8ed33dda8127462c847fcfa517172fa997/Kattis/hanoi18.dividedoughnut.cpp&amp;sa=D&amp;ust=1605639551849000&amp;usg=AFQjCNE4P17Abh0Kh5gpgpQ0jTmJSe_0jQ" xr:uid="{6BC479F5-8DD4-4323-8000-8487FE51EF11}"/>
    <hyperlink ref="A734" r:id="rId414" display="https://www.google.com/url?q=http://codeforces.com/contest/555/problem/D&amp;sa=D&amp;ust=1605639551849000&amp;usg=AFQjCNH3wI_wIisrw1E8mcH9X06Y-Oxt-Q" xr:uid="{10C8A3F6-1764-44C1-9272-E3531563331B}"/>
    <hyperlink ref="A735" r:id="rId415" display="https://www.google.com/url?q=http://codeforces.com/problemset/problem/1033/E&amp;sa=D&amp;ust=1605639551849000&amp;usg=AFQjCNF08_isX_qcpqVUztfVuOPqQwL4PQ" xr:uid="{D56B63D1-C82B-4A1A-BBF7-B54136B3A2D0}"/>
    <hyperlink ref="A736" r:id="rId416" display="https://www.google.com/url?q=http://codeforces.com/contest/920/problem/G&amp;sa=D&amp;ust=1605639551849000&amp;usg=AFQjCNECn4mfdLEhtL1DeiL2riMouH3QNA" xr:uid="{2FEE86DF-A1CC-4335-A836-9367745FB944}"/>
    <hyperlink ref="D3892" r:id="rId417" display="https://www.google.com/url?q=https://github.com/mostafa-saad/MyCompetitiveProgramming/blob/master/SPOJ/SPOJ_PATULJCI.txt&amp;sa=D&amp;ust=1605639551850000&amp;usg=AFQjCNGZQ6xIvzGRLWSLdxysQpqriDIhHA" xr:uid="{44922233-2944-4EF6-998E-CF824254BA06}"/>
    <hyperlink ref="A738" r:id="rId418" display="https://www.google.com/url?q=http://codeforces.com/contest/350/problem/D&amp;sa=D&amp;ust=1605639551850000&amp;usg=AFQjCNGJvF4IAkuekPdOJn2Q5f3gpini4w" xr:uid="{8070F9F7-3FE9-440B-A71B-001DF357E87F}"/>
    <hyperlink ref="A740" r:id="rId419" display="https://www.google.com/url?q=http://www.spoj.com/problems/MSE07E/&amp;sa=D&amp;ust=1605639551851000&amp;usg=AFQjCNFx0lsYhFeltk-trsup9ZpgoFVWkw" xr:uid="{7741002C-7331-43FE-A58C-6A241869F889}"/>
    <hyperlink ref="D3594" r:id="rId420" display="https://www.google.com/url?q=https://github.com/mostafa-saad/MyCompetitiveProgramming/blob/master/SPOJ/SPOJ_MSE07E.txt&amp;sa=D&amp;ust=1605639551851000&amp;usg=AFQjCNFdlTS6hXotFFLm03vEjhw-N8fBeg" xr:uid="{66BDF721-073B-4F33-A691-6E737A5015C9}"/>
    <hyperlink ref="A741" r:id="rId421" display="https://www.google.com/url?q=http://codeforces.com/contest/847/problem/E&amp;sa=D&amp;ust=1605639551851000&amp;usg=AFQjCNFjCK0WXHwdYagKXYNKwVd08XG_bQ" xr:uid="{BEA55309-2EC8-4EFB-BB96-DE166F8DCCAC}"/>
    <hyperlink ref="A742" r:id="rId422" display="https://www.google.com/url?q=https://codeforces.com/contest/1277/problem/F&amp;sa=D&amp;ust=1605639551851000&amp;usg=AFQjCNFfa8_A45wTVkga9Tk2pj6QhtpiPw" xr:uid="{7E6BEEBE-BAFB-4438-830A-483F92B8F6EC}"/>
    <hyperlink ref="A743" r:id="rId423" display="https://www.google.com/url?q=http://codeforces.com/contest/727/problem/F&amp;sa=D&amp;ust=1605639551852000&amp;usg=AFQjCNHkbej0rQfmEGVAAaDy0sp_xqhTig" xr:uid="{0A8B6FA3-9F10-4921-AE01-B44975069841}"/>
    <hyperlink ref="A744" r:id="rId424" display="https://www.google.com/url?q=https://codeforces.com/contest/1132/problem/D&amp;sa=D&amp;ust=1605639551852000&amp;usg=AFQjCNHdS0mWGqt5TKLpQZSpK-F5AF2Sjg" xr:uid="{A67B5650-7933-4C7B-B2C4-514638CA2DDC}"/>
    <hyperlink ref="A745" r:id="rId425" display="https://www.google.com/url?q=https://codeforces.com/contest/1114/problem/E&amp;sa=D&amp;ust=1605639551852000&amp;usg=AFQjCNHI-YYq1Ss0sBX7IVEXjY_3FIM7Kw" xr:uid="{507F07BB-1763-42C5-AB4E-E6D0B7A21DA7}"/>
    <hyperlink ref="A746" r:id="rId426" display="https://www.google.com/url?q=https://codeforces.com/contest/1153/problem/E&amp;sa=D&amp;ust=1605639551853000&amp;usg=AFQjCNFxi7o742SkdJwUqzL7MSu_9YILlw" xr:uid="{E189F614-C909-4492-BBED-9EC240796047}"/>
    <hyperlink ref="A747" r:id="rId427" display="https://www.google.com/url?q=http://codeforces.com/contest/713/problem/B&amp;sa=D&amp;ust=1605639551853000&amp;usg=AFQjCNGxD4deI0odjI7FH7I9PyPZQ1FboQ" xr:uid="{CAD31CDB-86EB-453A-9109-DC6B3173A304}"/>
    <hyperlink ref="A749" r:id="rId428" display="https://www.google.com/url?q=http://codeforces.com/contest/429/problem/D&amp;sa=D&amp;ust=1605639551853000&amp;usg=AFQjCNHF-qkNhIeh-ytMjoHvV-wJfDqrXw" xr:uid="{8C551AFD-D533-4B79-807C-1396D5001FFF}"/>
    <hyperlink ref="A750" r:id="rId429" display="https://www.google.com/url?q=https://www.facebook.com/hackercup/problem/1892930427431211/&amp;sa=D&amp;ust=1605639551854000&amp;usg=AFQjCNE35Tj3FX9s-KLZziHUwsMfpienww" xr:uid="{75E9525D-CA37-4A5D-B513-062F02BE8364}"/>
    <hyperlink ref="D3605" r:id="rId430" display="https://www.google.com/url?q=https://github.com/ryuzmukhametov/CompetitiveProgramming/blob/master/uva/UVA%252012609.cpp&amp;sa=D&amp;ust=1605639551854000&amp;usg=AFQjCNHCk6Z4cJDL9XVQabjdFnB_JGW7vA" xr:uid="{8CD8F747-ECCB-4FDF-ABD6-086B8DEE48C1}"/>
    <hyperlink ref="A754" r:id="rId431" display="https://www.google.com/url?q=https://www.codechef.com/problems/SCHEDULE&amp;sa=D&amp;ust=1605639551855000&amp;usg=AFQjCNFrkGIVq53trt2z5FAeIQdrzMtnfg" xr:uid="{739D12CF-C9B1-47E9-8684-2765F03BF601}"/>
    <hyperlink ref="A780" r:id="rId432" display="https://www.google.com/url?q=http://codeforces.com/contest/378/problem/D&amp;sa=D&amp;ust=1605639551856000&amp;usg=AFQjCNFpWvIOjhnXrzDhwpEFY6ROQ0jz4Q" xr:uid="{DFD1E12F-B958-4845-B18E-A99429459580}"/>
    <hyperlink ref="A781" r:id="rId433" display="https://www.google.com/url?q=http://codeforces.com/contest/810/problem/D&amp;sa=D&amp;ust=1605639551856000&amp;usg=AFQjCNE96tIdYZgk1lVdgv5qEgcFWrzwzw" xr:uid="{09F8D871-9DB0-4CDC-8FF3-665F844987A3}"/>
    <hyperlink ref="A782" r:id="rId434" display="https://www.google.com/url?q=https://atcoder.jp/contests/abc056/tasks/arc070_b&amp;sa=D&amp;ust=1605639551857000&amp;usg=AFQjCNFk-pbEPJ3L_NpDM-0jxNnXSWkZLQ" xr:uid="{A31D7FFC-8FED-4011-8E70-B0A4A32AE0FF}"/>
    <hyperlink ref="A783" r:id="rId435" display="https://www.google.com/url?q=http://codeforces.com/contest/750/problem/C&amp;sa=D&amp;ust=1605639551858000&amp;usg=AFQjCNESS1kAZ5saVuut0hgH2yWz_WAS4w" xr:uid="{E64502C2-16C7-48AE-8D4C-2DF4D4D4EB27}"/>
    <hyperlink ref="D2843" r:id="rId436" display="https://www.google.com/url?q=https://github.com/mostafa-saad/MyCompetitiveProgramming/blob/master/SPOJ/SPOJ_ABA12E.txt&amp;sa=D&amp;ust=1605639551858000&amp;usg=AFQjCNFAkxgHhN8hrXcZXnATLtGLHi4IiA" xr:uid="{F8A8B20C-CDB8-4E57-85A4-5111145AAAE6}"/>
    <hyperlink ref="A786" r:id="rId437" display="https://www.google.com/url?q=https://codeforces.com/contest/1277/problem/F&amp;sa=D&amp;ust=1605639551858000&amp;usg=AFQjCNFohVZcfr8t5ciMt1b5EprK1Ij16w" xr:uid="{93065963-C815-4D9B-A3A5-0D0DF12D67F0}"/>
    <hyperlink ref="A787" r:id="rId438" display="https://www.google.com/url?q=http://codeforces.com/contest/739/problem/B&amp;sa=D&amp;ust=1605639551859000&amp;usg=AFQjCNH0VJ_fe6d_5mbn1w0-MRCtzEx3Wg" xr:uid="{DF3E52CB-BA3A-4C89-8BB1-CD96281B52E0}"/>
    <hyperlink ref="A906" r:id="rId439" display="https://www.google.com/url?q=http://codeforces.com/contest/1041/problem/D&amp;sa=D&amp;ust=1605639551860000&amp;usg=AFQjCNGNXSJE0ROHetS4bSuTkn59eqRExQ" xr:uid="{6B9A5128-4CAE-4902-87CD-F0ADDFE3985A}"/>
    <hyperlink ref="A907" r:id="rId440" display="https://www.google.com/url?q=http://codeforces.com/contest/817/problem/C&amp;sa=D&amp;ust=1605639551860000&amp;usg=AFQjCNH5C6N3E7QIh8PZCwrMEzJmvZ_7Kg" xr:uid="{AC8DDE61-DCC9-4C8D-9997-09C12578E50F}"/>
    <hyperlink ref="A908" r:id="rId441" display="https://www.google.com/url?q=https://uva.onlinejudge.org/index.php?option%3Donlinejudge%26page%3Dshow_problem%26problem%3D4330&amp;sa=D&amp;ust=1605639551860000&amp;usg=AFQjCNEVhJVJuVOTjVV2QaX-7BNS4Uva0Q" xr:uid="{7BC6F551-87A0-4C11-A712-9BDF3C5DF5AF}"/>
    <hyperlink ref="D2328" r:id="rId442" display="https://www.google.com/url?q=https://github.com/mostafa-saad/MyCompetitiveProgramming/blob/master/UVA/UVA_1555.txt&amp;sa=D&amp;ust=1605639551861000&amp;usg=AFQjCNGmwdl9OuWNlu-vBm1qIv4zf2NdmQ" xr:uid="{A8ECC27B-B6C2-4662-8B55-55DB96F8492C}"/>
    <hyperlink ref="A909" r:id="rId443" display="https://www.google.com/url?q=http://codeforces.com/contest/448/problem/D&amp;sa=D&amp;ust=1605639551861000&amp;usg=AFQjCNHW_o6-oHeON5gd-MMC0nHiFh2_8w" xr:uid="{D769C04B-8B10-4EEE-A8E7-9616BD01128A}"/>
    <hyperlink ref="A910" r:id="rId444" display="https://www.google.com/url?q=https://www.codechef.com/IOITC181/problems/CIRCINTE&amp;sa=D&amp;ust=1605639551861000&amp;usg=AFQjCNG5eXGcuHPwPaYHNUq3e0y7Mb9yWw" xr:uid="{7FFEB77A-0ADA-4888-84AA-EE2C83F6DE70}"/>
    <hyperlink ref="A911" r:id="rId445" display="https://www.google.com/url?q=https://codeforces.com/problemset/problem/1063/C&amp;sa=D&amp;ust=1605639551861000&amp;usg=AFQjCNErPV66b8KOBB7rInJCyQmNkwMK7Q" xr:uid="{D3E9AE79-F188-45D1-AF04-510FAF996651}"/>
    <hyperlink ref="A912" r:id="rId446" display="https://www.google.com/url?q=https://atcoder.jp/contests/abc149/tasks/abc149_e&amp;sa=D&amp;ust=1605639551862000&amp;usg=AFQjCNEiSJXoJ9ato3pJF7HYiFCzhWDMIQ" xr:uid="{5965C78C-5AE1-4BD6-BB53-B6DD4BD64CD7}"/>
    <hyperlink ref="A914" r:id="rId447" display="https://www.google.com/url?q=https://codeforces.com/contest/1060/problem/C&amp;sa=D&amp;ust=1605639551862000&amp;usg=AFQjCNFAeX-agmhUyBsPfw7JDjCxBnprZQ" xr:uid="{A51A1EF5-BE6C-419C-81D5-234192E99AAB}"/>
    <hyperlink ref="D2334" r:id="rId448" display="https://www.google.com/url?q=https://github.com/AhmedElsisy/CompetitiveProgramming/blob/master/Codeforces/CF1060-D12-C.cpp&amp;sa=D&amp;ust=1605639551862000&amp;usg=AFQjCNFGOjFdcUthKk51RE2Rq3qQDz9PJw" xr:uid="{6739CB56-9E6A-4B7D-82AD-A4A8345C4F20}"/>
    <hyperlink ref="A915" r:id="rId449" display="https://www.google.com/url?q=http://codeforces.com/contest/255/problem/D&amp;sa=D&amp;ust=1605639551863000&amp;usg=AFQjCNFIxLr09Z0QNhjjvRsKSk5EDgvLfA" xr:uid="{A972D963-21E9-43C5-8754-7F72D0F645D6}"/>
    <hyperlink ref="A970" r:id="rId450" display="https://www.google.com/url?q=https://csacademy.com/contest/archive/task/water-bottles/statement/&amp;sa=D&amp;ust=1605639551863000&amp;usg=AFQjCNFeoQuagLuf_czYnJHtlY5bGvFzdg" xr:uid="{E2F54661-7762-4ADD-A63E-D910CD7E1156}"/>
    <hyperlink ref="A971" r:id="rId451" display="https://www.google.com/url?q=https://atcoder.jp/contests/abc155/tasks/abc155_d&amp;sa=D&amp;ust=1605639551863000&amp;usg=AFQjCNHU38Zb5EwLClo8Imhov7BKim02yg" xr:uid="{47EB243A-4DEE-4059-8328-0F7FB86C3727}"/>
    <hyperlink ref="A972" r:id="rId452" display="https://www.google.com/url?q=http://codeforces.com/contest/985/problem/D&amp;sa=D&amp;ust=1605639551864000&amp;usg=AFQjCNET0uY2OhvTk_8D6OY5UX-V1niebA" xr:uid="{F11CAD7F-81B6-4716-B31B-A131A37E47B4}"/>
    <hyperlink ref="A973" r:id="rId453" display="https://www.google.com/url?q=https://codeforces.com/contest/1260/problem/D&amp;sa=D&amp;ust=1605639551864000&amp;usg=AFQjCNG_8dGq4axhnH2vlYyYzwNtOIm1PQ" xr:uid="{78B89376-068F-4E0C-AF09-594EFE1A915E}"/>
    <hyperlink ref="A974" r:id="rId454" display="https://www.google.com/url?q=http://codeforces.com/contest/1010/problem/B&amp;sa=D&amp;ust=1605639551864000&amp;usg=AFQjCNENSco2ZGO43uFWD4ahAcneSL54Sw" xr:uid="{A16B3CE4-117D-4203-A045-A5F5AAE3A228}"/>
    <hyperlink ref="A975" r:id="rId455" display="https://www.google.com/url?q=http://codeforces.com/contest/83/problem/B&amp;sa=D&amp;ust=1605639551866000&amp;usg=AFQjCNGI0_z3Zj2p80NC9YyejliElkRTww" xr:uid="{7883941D-C8A3-4F51-9737-97E1E52161EC}"/>
    <hyperlink ref="A976" r:id="rId456" display="https://www.google.com/url?q=http://codeforces.com/contest/344/problem/E&amp;sa=D&amp;ust=1605639551866000&amp;usg=AFQjCNGPijB7LLMW8G1xJX6HV3vlgy0uHA" xr:uid="{B0247C46-4657-4BC0-BE82-C38EF3ADB995}"/>
    <hyperlink ref="A977" r:id="rId457" display="https://www.google.com/url?q=http://codeforces.com/contest/616/problem/D&amp;sa=D&amp;ust=1605639551866000&amp;usg=AFQjCNEymf65Wh5By_aPHYSqMMp1QQjaRQ" xr:uid="{CB5F7C1A-9EA1-4455-AEA1-FAE39D6D9C3C}"/>
    <hyperlink ref="D2345" r:id="rId458" display="https://www.google.com/url?q=https://github.com/Ownography/CP/blob/master/UVA%252013177&amp;sa=D&amp;ust=1605639551867000&amp;usg=AFQjCNEs51w2ZtCn73B1J5qKoNPAbk0x_A" xr:uid="{42FD81CB-B4E8-42EC-BFD3-9C463B5D0C28}"/>
    <hyperlink ref="A1064" r:id="rId459" display="https://www.google.com/url?q=http://codeforces.com/contest/725/problem/D&amp;sa=D&amp;ust=1605639551868000&amp;usg=AFQjCNEETK4iGaVcZsQ-ysBHe2UaYhYKFg" xr:uid="{0EA760B5-E9AA-47BC-8998-48F0939DDBA9}"/>
    <hyperlink ref="A1065" r:id="rId460" display="https://www.google.com/url?q=https://www.codechef.com/COOK96A/problems/CHGCDG&amp;sa=D&amp;ust=1605639551868000&amp;usg=AFQjCNGZhqlEzFwvH0OrwpEQyCL63T3RYg" xr:uid="{C728EA9E-64DF-412E-86A3-2A990F442948}"/>
    <hyperlink ref="A1066" r:id="rId461" display="https://www.google.com/url?q=https://www.codechef.com/problems/BANDMATR&amp;sa=D&amp;ust=1605639551868000&amp;usg=AFQjCNHrF9FPt6ER5WCN2SVfR7g9AQmXOQ" xr:uid="{9896F447-D861-42E4-88C1-3C8FD9B62512}"/>
    <hyperlink ref="A1107" r:id="rId462" display="https://www.google.com/url?q=http://codeforces.com/contest/913/problem/D&amp;sa=D&amp;ust=1605639551870000&amp;usg=AFQjCNHM_PUy1Wgn6O-p7KO7a7oNzaV3kA" xr:uid="{18DBDACF-0264-4ED8-9B8D-5CCF534B3089}"/>
    <hyperlink ref="A1108" r:id="rId463" display="https://www.google.com/url?q=https://codeforces.com/contest/1138/problem/C&amp;sa=D&amp;ust=1605639551870000&amp;usg=AFQjCNHtG8U2wljoamCWgR6-xjH3qOxtKA" xr:uid="{9ACB18E8-B96D-4C1F-8984-3A36CC5EC50E}"/>
    <hyperlink ref="A1109" r:id="rId464" display="https://www.google.com/url?q=http://codeforces.com/contest/381/problem/C&amp;sa=D&amp;ust=1605639551870000&amp;usg=AFQjCNHaqd1PsiskIwLF0UHLsXTRtEW-vA" xr:uid="{59B480E7-1DE9-41AD-92AF-BFE1FC79FF81}"/>
    <hyperlink ref="A1110" r:id="rId465" display="https://www.google.com/url?q=http://www.spoj.com/problems/DICTSUB/&amp;sa=D&amp;ust=1605639551871000&amp;usg=AFQjCNHFl0VGZrSLxNrTaWMwdV5Wx-D_ig" xr:uid="{9F9B7A5A-0975-4198-B7CD-ADEC9E49EE03}"/>
    <hyperlink ref="D1465" r:id="rId466" display="https://www.google.com/url?q=https://github.com/VAMPIER000001/CompetitiveProgramming/blob/master/Spoj/SPOJ%2520DICTSUB.Cpp&amp;sa=D&amp;ust=1605639551871000&amp;usg=AFQjCNFdzunBs_oeNwXmd3MhKEXDRaM2rQ" xr:uid="{FA4AC164-7B81-422F-8ECF-5B4687FF908B}"/>
    <hyperlink ref="A1111" r:id="rId467" display="https://www.google.com/url?q=http://codeforces.com/contest/732/problem/D&amp;sa=D&amp;ust=1605639551871000&amp;usg=AFQjCNEG9AiWWHjpwIynuQm-lxjaWpjLuw" xr:uid="{2CF57858-85B9-4B27-8D72-91205F55B4A5}"/>
    <hyperlink ref="A1112" r:id="rId468" display="https://www.google.com/url?q=http://codeforces.com/contest/237/problem/C&amp;sa=D&amp;ust=1605639551872000&amp;usg=AFQjCNFl3H8L7n3nAB27QcwO47p3ytW01w" xr:uid="{847B6FC7-2D0B-4DFA-9A85-3DE6DB415974}"/>
    <hyperlink ref="A1114" r:id="rId469" display="https://www.google.com/url?q=http://codeforces.com/contest/492/problem/D&amp;sa=D&amp;ust=1605639551872000&amp;usg=AFQjCNErkUQWdtPgr6mAU2wqN36smSlIVw" xr:uid="{52F31690-0A02-40C3-8BDF-634B517786D0}"/>
    <hyperlink ref="A1115" r:id="rId470" display="https://www.google.com/url?q=http://codeforces.com/contest/84/problem/D&amp;sa=D&amp;ust=1605639551872000&amp;usg=AFQjCNGU1Jc8QjGeLRg-abWVZ71ToSiObg" xr:uid="{B891CCDA-4AFA-4EAF-9087-542E28D74CCE}"/>
    <hyperlink ref="A604" r:id="rId471" display="https://www.google.com/url?q=http://www.spoj.com/problems/BOOKS1/&amp;sa=D&amp;ust=1605639551873000&amp;usg=AFQjCNGnu5dkupNq8j2COfNL0lhxuJ8X7Q" xr:uid="{49F8AC8E-31B0-4A05-ABBD-CF430332DACD}"/>
    <hyperlink ref="A642" r:id="rId472" display="https://www.google.com/url?q=http://codeforces.com/contest/471/problem/C&amp;sa=D&amp;ust=1605639551873000&amp;usg=AFQjCNFSgenjsYlnLrp-Omb_H_gHl1tVWg" xr:uid="{FE0CB626-9523-4282-9583-8B50FF358EF0}"/>
    <hyperlink ref="A643" r:id="rId473" display="https://www.google.com/url?q=http://codeforces.com/contest/567/problem/D&amp;sa=D&amp;ust=1605639551874000&amp;usg=AFQjCNHx7cMuInzFxUDeHB55utbvF6Fouw" xr:uid="{1A4F6953-658C-4CC0-ADCB-26DA3108E7F3}"/>
    <hyperlink ref="A677" r:id="rId474" display="https://www.google.com/url?q=https://codeforces.com/contest/1117/problem/C&amp;sa=D&amp;ust=1605639551875000&amp;usg=AFQjCNFSzRICdjaFudaSgF-wYzFh34gdbw" xr:uid="{6F06B2AD-2A54-4809-98B1-50D3DEB99EE6}"/>
    <hyperlink ref="A678" r:id="rId475" display="https://www.google.com/url?q=http://codeforces.com/contest/812/problem/C&amp;sa=D&amp;ust=1605639551875000&amp;usg=AFQjCNG6krO-wqHtnKZ_kGrKBAyoRins0w" xr:uid="{4E2EF2B3-7F8A-4D6F-80AC-06F8F5E50109}"/>
    <hyperlink ref="A679" r:id="rId476" display="https://www.google.com/url?q=https://codeforces.com/contest/1118/problem/D2&amp;sa=D&amp;ust=1605639551876000&amp;usg=AFQjCNEilTamjgKuR0LRPyi2zTUElI1T6A" xr:uid="{09A52A58-FC36-41EC-9A99-78DD4DB60DD7}"/>
    <hyperlink ref="A680" r:id="rId477" display="https://www.google.com/url?q=http://codeforces.com/contest/270/problem/C&amp;sa=D&amp;ust=1605639551876000&amp;usg=AFQjCNGgFt2PeSiBPm0osx6k31kAxDSaWA" xr:uid="{2277490A-8A1C-4DF9-A9BD-263C873BA8F6}"/>
    <hyperlink ref="A681" r:id="rId478" display="https://www.google.com/url?q=http://codeforces.com/contest/651/problem/D&amp;sa=D&amp;ust=1605639551876000&amp;usg=AFQjCNG0M4BfyEGH_k24kXn1mSClyoc2XA" xr:uid="{AEAFBD89-5DE7-4F5F-8A31-AB9074962745}"/>
    <hyperlink ref="A682" r:id="rId479" display="https://www.google.com/url?q=http://codeforces.com/contest/75/problem/C&amp;sa=D&amp;ust=1605639551877000&amp;usg=AFQjCNHCVSiIPKANageXyI143Cx7eQ6owg" xr:uid="{6F8D4852-F1EF-4E33-BC9B-2841E09609E4}"/>
    <hyperlink ref="A684" r:id="rId480" display="https://www.google.com/url?q=http://codeforces.com/contest/779/problem/D&amp;sa=D&amp;ust=1605639551877000&amp;usg=AFQjCNHEorpYLYl-rY0sz66AjvgswKJCJQ" xr:uid="{6B63D002-EEB5-4367-A611-03C99E172ECE}"/>
    <hyperlink ref="A686" r:id="rId481" display="https://www.google.com/url?q=http://www.spoj.com/problems/ICPCS/&amp;sa=D&amp;ust=1605639551878000&amp;usg=AFQjCNHUnib8HbYL4YyjRptHHpSKxGCLtQ" xr:uid="{499C0BDA-C42C-422A-8FE9-81456128E4F3}"/>
    <hyperlink ref="D1110" r:id="rId482" display="https://www.google.com/url?q=https://github.com/VAMPIER000001/CompetitiveProgramming/blob/226e94ab8fa69f40d7ac989589a98dbc148a4468/Spoj/SPOJ%2520ICPCS.Cpp&amp;sa=D&amp;ust=1605639551878000&amp;usg=AFQjCNEwQmlkemvcQBYWAgc-p0u8Rjpy7w" xr:uid="{97EC5C5B-F5F2-4A89-806B-C3CCAF1D24DF}"/>
    <hyperlink ref="A687" r:id="rId483" display="https://www.google.com/url?q=https://uva.onlinejudge.org/index.php?option%3Dcom_onlinejudge%26Itemid%3D8%26page%3Dshow_problem%26problem%3D1552&amp;sa=D&amp;ust=1605639551878000&amp;usg=AFQjCNGkXbm1BrYWjej_v0kvVsDVPb5VVg" xr:uid="{6A7AF434-E519-4EA3-81EB-9F6844BA0480}"/>
    <hyperlink ref="A692" r:id="rId484" display="https://www.google.com/url?q=https://codeforces.com/contest/1146/problem/C&amp;sa=D&amp;ust=1605639551879000&amp;usg=AFQjCNHdmD7Gn2ZQX21FIJYG9lZPLfDKWQ" xr:uid="{D3BF13DF-B4BA-4DB8-B94C-00D65F6AFCB4}"/>
    <hyperlink ref="A694" r:id="rId485" display="https://www.google.com/url?q=https://uva.onlinejudge.org/index.php?option%3Donlinejudge%26page%3Dshow_problem%26problem%3D1217&amp;sa=D&amp;ust=1605639551880000&amp;usg=AFQjCNF0iF3RIXoqJNmC7Wt2Mjhf2CbMcw" xr:uid="{4E1897DA-DD28-4E07-AF41-1B0FD34EA97F}"/>
    <hyperlink ref="A695" r:id="rId486" display="https://www.google.com/url?q=https://uva.onlinejudge.org/index.php?option%3Dcom_onlinejudge%26Itemid%3D8%26page%3Dshow_problem%26problem%3D1018&amp;sa=D&amp;ust=1605639551880000&amp;usg=AFQjCNFe-YlEEy26UlgONT6_XJ5-F6ozZA" xr:uid="{E171888A-0B45-49AF-ABE2-24403B8A72D2}"/>
    <hyperlink ref="D440" r:id="rId487" display="https://www.google.com/url?q=https://github.com/MichaelMounir12/CompetitiveProgramming/blob/master/Contests/SuperVision-Contest-33139/UVA_12791.cpp&amp;sa=D&amp;ust=1605639551881000&amp;usg=AFQjCNGqfXVpAWLCcINx_YhQ3EJwomh_kg" xr:uid="{A22E819E-848F-4D92-862D-3B36F892EEC7}"/>
    <hyperlink ref="A697" r:id="rId488" display="https://www.google.com/url?q=http://codeforces.com/contest/975/problem/C&amp;sa=D&amp;ust=1605639551881000&amp;usg=AFQjCNEyTfUvOdpunx494wut38aCD_kR8Q" xr:uid="{0951D993-D1CD-4215-B9D8-5B7E4DBE3678}"/>
    <hyperlink ref="A698" r:id="rId489" display="https://www.google.com/url?q=https://atcoder.jp/contests/abc134/tasks/abc134_e&amp;sa=D&amp;ust=1605639551881000&amp;usg=AFQjCNEA94HhdrlYoLb_lsk5DtLdHTMEMw" xr:uid="{908E0F3B-E73F-4A5F-B3FF-AB9554C5E4F5}"/>
    <hyperlink ref="A700" r:id="rId490" display="https://www.google.com/url?q=http://www.spoj.com/problems/AGGRCOW/&amp;sa=D&amp;ust=1605639551882000&amp;usg=AFQjCNHujaz7Iam4x1cQs4hbwxcp4tUn1Q" xr:uid="{52BFB0CF-840B-4604-90A7-42787DE1E44F}"/>
    <hyperlink ref="A701" r:id="rId491" display="https://www.google.com/url?q=https://www.codechef.com/problems/SNAKEEAT&amp;sa=D&amp;ust=1605639551883000&amp;usg=AFQjCNHqcA-6W7tjXZuOPYvTh1M4P721Xw" xr:uid="{4DF1AE39-A6A0-4445-83AB-21244472FF40}"/>
    <hyperlink ref="A703" r:id="rId492" display="https://www.google.com/url?q=https://community.topcoder.com/stat?c%3Dproblem_statement%26pm%3D7848&amp;sa=D&amp;ust=1605639551883000&amp;usg=AFQjCNGKNoSM5q6GKh8H5QGSDncH7boB0g" xr:uid="{D454133B-2AF5-49D4-85DD-73B4007D5673}"/>
    <hyperlink ref="D5047" r:id="rId493" display="https://www.google.com/url?q=https://www.topcoder.com/tc?module%3DStatic%26d1%3Dtournaments%26d2%3Dtco07%26d3%3Dalgorithm%26d4%3DalgoFinals&amp;sa=D&amp;ust=1605639551884000&amp;usg=AFQjCNFUyFWUo_-t3AFUMOdidppPMYtDWQ" xr:uid="{5BE3ED68-4E9D-4430-A2F9-36DF41776673}"/>
    <hyperlink ref="D4357" r:id="rId494" display="https://www.google.com/url?q=https://github.com/mostafa-saad/MyCompetitiveProgramming/blob/master/UVA/UVA_11243.txt&amp;sa=D&amp;ust=1605639551884000&amp;usg=AFQjCNGXBxbfhiANDe87-wPO0pxNFGAhRA" xr:uid="{CF39FD02-63C2-4BA9-911B-6F0F397B933E}"/>
    <hyperlink ref="A706" r:id="rId495" display="https://www.google.com/url?q=https://community.topcoder.com/stat?c%3Dproblem_statement%26pm%3D3501&amp;sa=D&amp;ust=1605639551884000&amp;usg=AFQjCNGCRWtWtQvyf3aC7YVSsaFQ-7PXOQ" xr:uid="{3A5AF1CF-95F3-4D50-9F7F-747D4D33F360}"/>
    <hyperlink ref="D4329" r:id="rId496" display="https://www.google.com/url?q=https://www.topcoder.com/tc?module%3DStatic%26d1%3Dmatch_editorials%26d2%3Dtccc05_online_rd_2&amp;sa=D&amp;ust=1605639551885000&amp;usg=AFQjCNF09nBLneIQ4Rd89PorqOLKTJDzLw" xr:uid="{C927D2A5-05C3-4FC0-ADE4-72A066446887}"/>
    <hyperlink ref="A707" r:id="rId497" display="https://www.google.com/url?q=https://icpcarchive.ecs.baylor.edu/index.php?option%3Donlinejudge%26page%3Dshow_problem%26problem%3D4352&amp;sa=D&amp;ust=1605639551885000&amp;usg=AFQjCNGhEJK0i5stZydsyBK9uTcW15_SXQ" xr:uid="{DA63B104-7046-406A-B256-7FD9C58A00AF}"/>
    <hyperlink ref="D3973" r:id="rId498" display="https://www.google.com/url?q=https://github.com/arvindr9/CompetitiveProgramming/blob/master/LiveArchive/LIVEARCHIVE%25206341.cpp&amp;sa=D&amp;ust=1605639551885000&amp;usg=AFQjCNFVm-RaKCauFwZM876-7VrZBPxkKQ" xr:uid="{698D7DFB-5551-4142-9CBB-E7489077B7A1}"/>
    <hyperlink ref="A708" r:id="rId499" display="https://www.google.com/url?q=https://csacademy.com/contest/round-84/task/growing-trees/&amp;sa=D&amp;ust=1605639551886000&amp;usg=AFQjCNEutYo1hqGgF7WzZHBdomUurMkKpw" xr:uid="{0C746286-BE56-47AF-ACCD-072469BA5A09}"/>
    <hyperlink ref="D3942" r:id="rId500" display="https://www.google.com/url?q=https://github.com/tmwilliamlin168/CompetitiveProgramming/blob/master/CSAcademy/84-E.cpp&amp;sa=D&amp;ust=1605639551886000&amp;usg=AFQjCNF_XItcCtyAl0d5Ortkm_9VSJt4mA" xr:uid="{AFB32BB3-1B7E-40BD-95F8-A89B31131838}"/>
    <hyperlink ref="A709" r:id="rId501" display="https://www.google.com/url?q=https://onlinejudge.org/index.php?option%3Donlinejudge%26Itemid%3D8%26page%3Dshow_problem%26problem%3D2749&amp;sa=D&amp;ust=1605639551886000&amp;usg=AFQjCNE8DnZ7u_1C3RMxWEt9Ske47rGM-w" xr:uid="{DBF88BA1-B8D6-46ED-B8EF-C627376DECE6}"/>
    <hyperlink ref="D3907" r:id="rId502" display="https://www.google.com/url?q=https://github.com/marinvhs/coding/blob/master/uva/Volume%2520CXVII/11702.cpp&amp;sa=D&amp;ust=1605639551887000&amp;usg=AFQjCNFKNelnNO5WvtECfziOPop4HRv3nA" xr:uid="{BD41371B-2615-42C0-8838-FB785C2F11D7}"/>
    <hyperlink ref="D2951" r:id="rId503" display="https://www.google.com/url?q=https://ideone.com/YtttCj&amp;sa=D&amp;ust=1605639551888000&amp;usg=AFQjCNEq0Vp_k0WadMg9-MJkKVQrnsYx9g" xr:uid="{0D4C3A74-2364-4AA7-A412-8FCBAC743831}"/>
    <hyperlink ref="A714" r:id="rId504" display="https://www.google.com/url?q=http://codeforces.com/gym/101102/problem/I&amp;sa=D&amp;ust=1605639551888000&amp;usg=AFQjCNGjK25J4g5RW3yM3-vNsh3vR2_lRg" xr:uid="{BCEC71D1-DA59-434E-9A0E-F1EC941BD48E}"/>
    <hyperlink ref="D2952" r:id="rId505" display="https://www.google.com/url?q=https://github.com/arvindr9/CompetitiveProgramming/blob/master/CodeForces/CF101102-GYM-I.cpp&amp;sa=D&amp;ust=1605639551888000&amp;usg=AFQjCNEuE4mtY2_YVD2WJN0zy_wFrBE6rQ" xr:uid="{99022D3F-BEEC-42D6-8116-613DF69146BD}"/>
    <hyperlink ref="A715" r:id="rId506" display="https://www.google.com/url?q=http://codeforces.com/contest/626/problem/E&amp;sa=D&amp;ust=1605639551888000&amp;usg=AFQjCNGeVk_vWriav2Ws3OknHClCkiEabg" xr:uid="{5C56FC2F-32DC-4650-A8F1-EC39EE948F62}"/>
    <hyperlink ref="A716" r:id="rId507" display="https://www.google.com/url?q=http://codeforces.com/contest/106/problem/E&amp;sa=D&amp;ust=1605639551889000&amp;usg=AFQjCNF9Myjpsij0gT6pxArz8b5l6yh03A" xr:uid="{E8199607-9536-473B-A628-08BA8A5C855F}"/>
    <hyperlink ref="A717" r:id="rId508" display="https://www.google.com/url?q=http://codeforces.com/contest/939/problem/E&amp;sa=D&amp;ust=1605639551889000&amp;usg=AFQjCNEJg7yBkjEbC7kcOuw48oMtoKoKPQ" xr:uid="{97A026D7-CCBA-45A4-9FDD-908F00C0CA8A}"/>
    <hyperlink ref="A718" r:id="rId509" display="https://www.google.com/url?q=https://code.google.com/codejam/contest/189252/dashboard%23s%3Dp1%26a%3D1&amp;sa=D&amp;ust=1605639551889000&amp;usg=AFQjCNFiDi_n3492O1wDjN60Kfyt7xUv0g" xr:uid="{607DC4BF-FAA7-4987-9D82-9C8C21908B4D}"/>
    <hyperlink ref="A719" r:id="rId510" display="https://www.google.com/url?q=http://codeforces.com/contest/250/problem/D&amp;sa=D&amp;ust=1605639551890000&amp;usg=AFQjCNFT0prmsUZQUSrNF5LJytNA-Cg--w" xr:uid="{4460DCBF-5FAF-4660-8BC9-91AED8BBD98B}"/>
    <hyperlink ref="A722" r:id="rId511" display="https://www.google.com/url?q=https://codeforces.com/contest/1244/problem/E&amp;sa=D&amp;ust=1605639551890000&amp;usg=AFQjCNGFOF7YXaBGNGkq0Ld1ieCcbfpCwA" xr:uid="{0FCD48BB-0F51-47C7-9508-E2877DB3F8C2}"/>
    <hyperlink ref="A755" r:id="rId512" display="https://www.google.com/url?q=http://codeforces.com/contest/818/problem/F&amp;sa=D&amp;ust=1605639551891000&amp;usg=AFQjCNFwEpZl1iTiQB9l0Kb5l9Rz3fGEhw" xr:uid="{6405CB39-0BE3-47A7-9B21-B63CA819B228}"/>
    <hyperlink ref="A756" r:id="rId513" display="https://www.google.com/url?q=https://codeforces.com/contest/702/problem/D&amp;sa=D&amp;ust=1605639551892000&amp;usg=AFQjCNHuxrKNwgJnQZ9Mnd4Wm__G8MGNAw" xr:uid="{DB32EA11-4AC0-4FA3-B079-4C6205992242}"/>
    <hyperlink ref="A757" r:id="rId514" display="https://www.google.com/url?q=https://community.topcoder.com/stat?c%3Dproblem_statement%26pm%3D8020%26rd%3D10790&amp;sa=D&amp;ust=1605639551892000&amp;usg=AFQjCNGm99uNV3iX81zhUm_V_daZkUd_4w" xr:uid="{B005496C-0E20-437D-86A8-8769C2894864}"/>
    <hyperlink ref="A758" r:id="rId515" display="https://www.google.com/url?q=http://codeforces.com/contest/304/problem/D&amp;sa=D&amp;ust=1605639551892000&amp;usg=AFQjCNGLb4nAfqn7nqW53SVV0A70XgnyRA" xr:uid="{86573843-C6A7-40D6-9F43-70233FFDD7AC}"/>
    <hyperlink ref="A761" r:id="rId516" display="https://www.google.com/url?q=http://codeforces.com/contest/439/problem/D&amp;sa=D&amp;ust=1605639551893000&amp;usg=AFQjCNEPp1AREEcVVcqaLX55fmmBdloUdA" xr:uid="{B25DC8E1-021A-4C35-B8DA-B6A3A264FE0C}"/>
    <hyperlink ref="A767" r:id="rId517" display="https://www.google.com/url?q=https://www.codechef.com/problems/LEBOXES&amp;sa=D&amp;ust=1605639551894000&amp;usg=AFQjCNGdFceeCKvoHSAy-tFNxsJA4y8GOw" xr:uid="{C5302371-1EC5-456B-A84F-44E5228D613A}"/>
    <hyperlink ref="D5022" r:id="rId518" display="https://www.google.com/url?q=https://github.com/DrSchwad/CompetitiveProgramming/blob/master/TopCoder/SRM388-D1-1000.cpp&amp;sa=D&amp;ust=1605639551895000&amp;usg=AFQjCNF9YNl9ASoS6ITtCODCzANvuDLcPQ" xr:uid="{3321BBA5-FDCE-4D52-BBB3-21E159E29AE8}"/>
    <hyperlink ref="A769" r:id="rId519" display="https://www.google.com/url?q=https://www.codechef.com/problems/XORSORT2/&amp;sa=D&amp;ust=1605639551895000&amp;usg=AFQjCNEmYEPHvTXkT7mGwZ0GxM96PpxeQA" xr:uid="{7C60AA34-DAFF-4EBC-A1FE-8272459A1773}"/>
    <hyperlink ref="D5023" r:id="rId520" display="https://www.google.com/url?q=https://github.com/tmwilliamlin168/CompetitiveProgramming/blob/master/CodeChef/XORSORT2.cpp&amp;sa=D&amp;ust=1605639551896000&amp;usg=AFQjCNHqNhV5qxnAS5DXnHuRqtKk_NujMQ" xr:uid="{15111EBD-E3A9-4C98-BEF5-B96743FDA691}"/>
    <hyperlink ref="A770" r:id="rId521" display="https://www.google.com/url?q=https://codeforces.com/contest/1257/problem/F&amp;sa=D&amp;ust=1605639551896000&amp;usg=AFQjCNHbguueiF4uMhH_rfoFvLRACqVU7Q" xr:uid="{65429496-B316-4E5B-9388-5AAEE5A63D50}"/>
    <hyperlink ref="D3993" r:id="rId522" display="https://www.google.com/url?q=https://github.com/mostafa-saad/MyCompetitiveProgramming/blob/master/SPOJ/SPOJ_SUBSET.txt&amp;sa=D&amp;ust=1605639551896000&amp;usg=AFQjCNFi8CsqMmHN6HrjpQdFl5Fi3_Y1_A" xr:uid="{70B30BAE-DF52-42C1-930F-57A25281A1FA}"/>
    <hyperlink ref="A772" r:id="rId523" display="https://www.google.com/url?q=http://codeforces.com/contest/839/problem/E&amp;sa=D&amp;ust=1605639551897000&amp;usg=AFQjCNFIbeTMvGZb9EAP9EOezS6aXvY-Ng" xr:uid="{FFDF7E23-E9B7-40D7-9633-4EB1781C65C3}"/>
    <hyperlink ref="D3994" r:id="rId524" display="https://www.google.com/url?q=https://github.com/mostafa-saad/MyCompetitiveProgramming/blob/master/Codeforces/CF839-D2-E.txt&amp;sa=D&amp;ust=1605639551897000&amp;usg=AFQjCNEmE_kN99e1AIKoLRCTDVFbIY0_uQ" xr:uid="{37C52BC9-0F94-4EC5-A93A-16EB1A276E12}"/>
    <hyperlink ref="D3995" r:id="rId525" display="https://www.google.com/url?q=https://github.com/DrSchwad/CompetitiveProgramming/blob/master/TopCoder/SRM307-D1-1000.cpp&amp;sa=D&amp;ust=1605639551897000&amp;usg=AFQjCNHlm3xqq4yJw2sbD5WRKTAvm3S9sA" xr:uid="{773E8EA9-B689-41B2-A4A6-245822986E14}"/>
    <hyperlink ref="A774" r:id="rId526" display="https://www.google.com/url?q=http://codeforces.com/problemset/problem/912/E&amp;sa=D&amp;ust=1605639551897000&amp;usg=AFQjCNEpIYKpU1kdwenTiGyRrGvjxu9bdg" xr:uid="{A9C312FA-796D-4C02-AF84-845777408D8E}"/>
    <hyperlink ref="A775" r:id="rId527" display="https://www.google.com/url?q=https://csacademy.com/contest/round-67/task/hamming-distances/&amp;sa=D&amp;ust=1605639551898000&amp;usg=AFQjCNHuQ_rStiRe0jF4lCgNyfI1nYIZYw" xr:uid="{8BC41650-F6D3-4141-8821-46F79465F6E0}"/>
    <hyperlink ref="A776" r:id="rId528" display="https://www.google.com/url?q=http://codeforces.com/contest/327/problem/E&amp;sa=D&amp;ust=1605639551898000&amp;usg=AFQjCNGrKvCdyHx-Qsu7djZZQD5uwTTVOA" xr:uid="{7961A2D6-DB45-4D17-98C9-47DB4C9DB858}"/>
    <hyperlink ref="A777" r:id="rId529" display="https://www.google.com/url?q=https://www.codechef.com/MARCH19A/problems/MATPER/&amp;sa=D&amp;ust=1605639551898000&amp;usg=AFQjCNEGXunqdcfsMyZG3FlJ6X43qC4NOA" xr:uid="{C593EDE6-43FA-4565-90B3-15471FD1B833}"/>
    <hyperlink ref="A778" r:id="rId530" display="https://www.google.com/url?q=http://codeforces.com/contest/585/problem/D&amp;sa=D&amp;ust=1605639551899000&amp;usg=AFQjCNHMmcTAZyl98dJ2KUmnDdjpcctvAQ" xr:uid="{6C6B0B45-708C-4D7A-93B3-352F77F81D42}"/>
    <hyperlink ref="D3635" r:id="rId531" display="https://www.google.com/url?q=https://github.com/shashank0107/CompetitiveProgramming/blob/master/SPOJ/SOLIT.cpp&amp;sa=D&amp;ust=1605639551900000&amp;usg=AFQjCNGhjkO7uoMnR_5pWHuLt6ZBZgwhkA" xr:uid="{91C2A0BB-7708-47D2-9080-1D4B7B4DF1AD}"/>
    <hyperlink ref="A790" r:id="rId532" display="https://www.google.com/url?q=https://csacademy.com/contest/round-60/task/card-groups/&amp;sa=D&amp;ust=1605639551900000&amp;usg=AFQjCNGlA7RYAwPoqhvJG14MlJFb58lBaQ" xr:uid="{CE0A3F6C-9BA4-4D00-BA1A-9EC1904172CD}"/>
    <hyperlink ref="A792" r:id="rId533" display="https://www.google.com/url?q=http://codeforces.com/contest/490/problem/D&amp;sa=D&amp;ust=1605639551901000&amp;usg=AFQjCNH7iTzc3VtPgASBYn5zBSwLwxTcWQ" xr:uid="{9B896370-7B1A-4AAE-8380-8EB2C944C72E}"/>
    <hyperlink ref="A794" r:id="rId534" display="https://www.google.com/url?q=http://codeforces.com/contest/1006/problem/F&amp;sa=D&amp;ust=1605639551901000&amp;usg=AFQjCNFLDkE471N43ONbCvfz9RIT9iiJww" xr:uid="{F626A845-1CAE-4A37-83A7-8769FA50A3C9}"/>
    <hyperlink ref="D1591" r:id="rId535" display="https://www.google.com/url?q=https://github.com/mostafa-saad/MyCompetitiveProgramming/blob/master/UVA/UVA_10125.txt&amp;sa=D&amp;ust=1605639551902000&amp;usg=AFQjCNFzMiNYIRa0sNo1LBA5i3crmFwm5w" xr:uid="{9F4A76A0-14A3-462A-87C4-4E2648208414}"/>
    <hyperlink ref="A797" r:id="rId536" display="https://www.google.com/url?q=http://codeforces.com/contest/888/problem/E&amp;sa=D&amp;ust=1605639551902000&amp;usg=AFQjCNGWe9nw_H8uTbsnOvAGCsz95T0K0g" xr:uid="{F685BE9E-933C-4E9F-9E9E-65DEE32787F9}"/>
    <hyperlink ref="A800" r:id="rId537" display="https://www.google.com/url?q=https://community.topcoder.com/stat?c%3Dproblem_statement%26pm%3D6742&amp;sa=D&amp;ust=1605639551903000&amp;usg=AFQjCNH4VD57KtNvSZ9hbeJbrt7vT77Kjw" xr:uid="{FC48C50E-59C5-4070-B9ED-06C883B3FB0B}"/>
    <hyperlink ref="D1595" r:id="rId538" display="https://www.google.com/url?q=https://github.com/MohamedNabil97/CompetitiveProgramming/blob/master/TopCoder/TC(KNAPSACKPROBLEM).cpp&amp;sa=D&amp;ust=1605639551903000&amp;usg=AFQjCNE985CYEJhBJtW-v3udPhW9qqE_nA" xr:uid="{2EEB3DDF-6D9A-45EE-82D4-E12D0F2B51AF}"/>
    <hyperlink ref="A803" r:id="rId539" display="https://www.google.com/url?q=http://codeforces.com/contest/525/problem/E&amp;sa=D&amp;ust=1605639551904000&amp;usg=AFQjCNElP9N5Darykoe0lmBzoxCQphpL-Q" xr:uid="{5AA45DCD-095C-471A-A52F-F8B42D3ECB15}"/>
    <hyperlink ref="A804" r:id="rId540" display="https://www.google.com/url?q=https://agc026.contest.atcoder.jp/tasks/agc026_c&amp;sa=D&amp;ust=1605639551904000&amp;usg=AFQjCNHijm93h6yDTSc1RpnWHAT2Z20mhg" xr:uid="{D75A3BF6-8683-4903-B14D-3BB550B8857F}"/>
    <hyperlink ref="D1138" r:id="rId541" display="https://www.google.com/url?q=https://github.com/mostafa-saad/MyCompetitiveProgramming/blob/master/AtCoder/AtCoder026-AGC-C.txt&amp;sa=D&amp;ust=1605639551904000&amp;usg=AFQjCNEq_NzzdereeIEbKL0MUu3GfrNWZw" xr:uid="{59CF50DA-73E9-4A63-9DCD-7B6651560DFA}"/>
    <hyperlink ref="A808" r:id="rId542" display="https://www.google.com/url?q=http://codeforces.com/problemset/gymProblem/101064/H&amp;sa=D&amp;ust=1605639551905000&amp;usg=AFQjCNHY-9wV0T41x7zE_NlNkqZyhPP5xA" xr:uid="{FA602DCE-BAFF-4602-9ECE-83A17B4A7F46}"/>
    <hyperlink ref="A809" r:id="rId543" display="https://www.google.com/url?q=https://www.codechef.com/LOCJUL17/problems/AMITNITI&amp;sa=D&amp;ust=1605639551906000&amp;usg=AFQjCNGkqsiRrhi3EOI5zD1lMkW46fOeaA" xr:uid="{3E1C18ED-ACA5-4A8C-8403-70C43FE6A7B0}"/>
    <hyperlink ref="D482" r:id="rId544" display="https://www.google.com/url?q=https://github.com/shashank0107/CompetitiveProgramming/blob/master/CODECHEF/AMITNITI.cpp&amp;sa=D&amp;ust=1605639551906000&amp;usg=AFQjCNFUjVH6a8wJl8YpAyZumspx753tyw" xr:uid="{FAAC0E61-D693-49F3-A790-D6D0F53DB200}"/>
    <hyperlink ref="A810" r:id="rId545" display="https://www.google.com/url?q=http://codeforces.com/contest/713/problem/D&amp;sa=D&amp;ust=1605639551906000&amp;usg=AFQjCNF6oP59WJP7tRixIqgpj139_3wlqQ" xr:uid="{D9EB7389-B373-44DA-944E-9988732CFB22}"/>
    <hyperlink ref="A811" r:id="rId546" display="https://www.google.com/url?q=https://codeforces.com/contest/1143/problem/E&amp;sa=D&amp;ust=1605639551907000&amp;usg=AFQjCNF1v9xP8eatOrdQaxjdeQaZPl3Sbg" xr:uid="{AC307200-9426-4E91-AFFF-DB02118C6347}"/>
    <hyperlink ref="A812" r:id="rId547" display="https://www.google.com/url?q=http://codeforces.com/contest/515/problem/E&amp;sa=D&amp;ust=1605639551907000&amp;usg=AFQjCNFa8CSNi9ZsPTmAMTbjzK_dcnnvBg" xr:uid="{6FC02BDE-E4AA-43DF-B397-B7FD9F8A3AF1}"/>
    <hyperlink ref="A813" r:id="rId548" display="https://www.google.com/url?q=http://codeforces.com/contest/1062/problem/E&amp;sa=D&amp;ust=1605639551907000&amp;usg=AFQjCNGAN_w-d583OmTD-PGLB1Fv7QPi3g" xr:uid="{1B128FC0-5C86-4E83-9910-EAFEE155132B}"/>
    <hyperlink ref="D3710" r:id="rId549" display="https://www.google.com/url?q=https://github.com/Huvok/CompetitiveProgramming/blob/master/Codeforces/CF1062-D2-E.cpp&amp;sa=D&amp;ust=1605639551908000&amp;usg=AFQjCNEgodzMhWb2dLCxEW9hJ21ZwiKjEw" xr:uid="{6B384D54-0492-4138-836F-CBFEB158B5A8}"/>
    <hyperlink ref="A814" r:id="rId550" display="https://www.google.com/url?q=http://codeforces.com/contest/869/problem/E&amp;sa=D&amp;ust=1605639551908000&amp;usg=AFQjCNHnBqA5j_snmGh47RD-qUYdP5tHmQ" xr:uid="{B6B051D7-EE83-4D9B-9371-E702C3C43617}"/>
    <hyperlink ref="D3023" r:id="rId551" display="https://www.google.com/url?q=https://github.com/AbdallahNaguib/CompetitiveProgramming/blob/master/CF869-D2-E&amp;sa=D&amp;ust=1605639551908000&amp;usg=AFQjCNGoMKL5PpTBIqjjUtwjcIlbI-fMwQ" xr:uid="{32E5A325-9709-48FE-9B43-93B1C39F281D}"/>
    <hyperlink ref="A815" r:id="rId552" display="https://www.google.com/url?q=https://www.codechef.com/problems/UPDOTR&amp;sa=D&amp;ust=1605639551909000&amp;usg=AFQjCNE_W70x01tz74XWuyrvhjoTgmDJrA" xr:uid="{B750C313-12D6-4C58-9BE9-DF964FDEF927}"/>
    <hyperlink ref="A816" r:id="rId553" display="https://www.google.com/url?q=http://poj.org/problem?id%3D3145&amp;sa=D&amp;ust=1605639551909000&amp;usg=AFQjCNH4p_Nfk9ocIF8Heyl_zxuRlknn0A" xr:uid="{5DC39077-398C-4B06-AF2C-594B778FA807}"/>
    <hyperlink ref="A817" r:id="rId554" display="https://www.google.com/url?q=http://codeforces.com/contest/689/problem/D&amp;sa=D&amp;ust=1605639551909000&amp;usg=AFQjCNGkYwBfc26V8Ii9K9EhQxDZfzUexA" xr:uid="{DFFB0D47-0332-46B2-ACE4-7F69AF20899A}"/>
    <hyperlink ref="A818" r:id="rId555" display="https://www.google.com/url?q=http://codeforces.com/contest/359/problem/D&amp;sa=D&amp;ust=1605639551910000&amp;usg=AFQjCNGB_1qE76HmANEcT7OhemmcN34VrQ" xr:uid="{9424C4CD-B3A2-4577-9CA7-4D04F21499E4}"/>
    <hyperlink ref="D2492" r:id="rId556" display="https://www.google.com/url?q=https://github.com/osamahatem/CompetitiveProgramming/blob/master/Codeforces/359D.%2520Pair%2520of%2520Numbers.cpp&amp;sa=D&amp;ust=1605639551910000&amp;usg=AFQjCNHfvFa6QF5g1fOTYVnSGFdiSnQbMw" xr:uid="{66FF1E7A-AEF7-480E-9090-FCA1E0865DE8}"/>
    <hyperlink ref="A819" r:id="rId557" display="https://www.google.com/url?q=https://codeforces.com/contest/1237/problem/D&amp;sa=D&amp;ust=1605639551910000&amp;usg=AFQjCNFVpMJgHOh1hLLOpSfhkPRrJQONaQ" xr:uid="{9124EC23-B31C-4B5B-A3E5-8066469736B6}"/>
    <hyperlink ref="A820" r:id="rId558" display="https://www.google.com/url?q=http://codeforces.com/problemset/problem/514/D&amp;sa=D&amp;ust=1605639551910000&amp;usg=AFQjCNFIXCVrX5vIY8kru7gRIkQJsrP7_A" xr:uid="{14ED6493-B733-4FB8-A037-F4AA99974906}"/>
    <hyperlink ref="A822" r:id="rId559" display="https://www.google.com/url?q=http://codeforces.com/problemset/problem/702/E&amp;sa=D&amp;ust=1605639551911000&amp;usg=AFQjCNG2Sl5lixPq5GG39Lg-BY5b-ob5_Q" xr:uid="{0256AF00-B3C7-4829-9F2A-82B4E1B7A279}"/>
    <hyperlink ref="A823" r:id="rId560" display="https://www.google.com/url?q=http://www.spoj.com/problems/HISTOGRA/&amp;sa=D&amp;ust=1605639551911000&amp;usg=AFQjCNFcOxWJabDSgunbHyFgpA0V5cn-NQ" xr:uid="{B5AE0609-68B3-466F-9038-594C626D6C35}"/>
    <hyperlink ref="D1201" r:id="rId561" display="https://www.google.com/url?q=https://github.com/mostafa-saad/MyCompetitiveProgramming/blob/master/SPOJ/SPOJ_HISTOGRA.txt&amp;sa=D&amp;ust=1605639551911000&amp;usg=AFQjCNGafXgYmZ56IeMBIxzMen4s-pGVWg" xr:uid="{A5CA6210-E3A1-49A3-8912-F9A58977453A}"/>
    <hyperlink ref="A824" r:id="rId562" display="https://www.google.com/url?q=http://codeforces.com/gym/100093/problem/E&amp;sa=D&amp;ust=1605639551912000&amp;usg=AFQjCNFQUk3vijZhCM9ESKSASp_RZ4M14Q" xr:uid="{7E74E4A3-8F45-448A-ACE9-9DFEB86EF143}"/>
    <hyperlink ref="D1202" r:id="rId563" display="https://www.google.com/url?q=https://github.com/SpeedOfMagic/CompetitiveProgramming/blob/master/CodeforcesGym/CF100093-GYM-E.cpp&amp;sa=D&amp;ust=1605639551912000&amp;usg=AFQjCNFT-aBpuv8MPHhGztxGlIek9ynS7w" xr:uid="{23817098-AC70-4634-95C1-DB2E114ABDCF}"/>
    <hyperlink ref="A827" r:id="rId564" display="https://www.google.com/url?q=https://www.codechef.com/problems/IDOLS&amp;sa=D&amp;ust=1605639551913000&amp;usg=AFQjCNFYmvLOr8SLzHSB0ZSROKEqMgxlNQ" xr:uid="{D938A5CA-34D1-419A-A9BD-05867E6AF0AA}"/>
    <hyperlink ref="A828" r:id="rId565" display="https://www.google.com/url?q=https://www.codechef.com/problems/MUPDO&amp;sa=D&amp;ust=1605639551913000&amp;usg=AFQjCNFGfjRr25Zl-VfE9ZINB6rj2xbm3w" xr:uid="{9E8923EA-BC2E-4C11-ADB9-31709C9CDD5E}"/>
    <hyperlink ref="A829" r:id="rId566" display="https://www.google.com/url?q=http://codeforces.com/contest/1037/problem/H&amp;sa=D&amp;ust=1605639551913000&amp;usg=AFQjCNEyVdSGl2faY_iHis6OI1bNAkhP8A" xr:uid="{0A17B8F5-D185-40FC-9F14-D80D074A1A12}"/>
    <hyperlink ref="A830" r:id="rId567" display="https://www.google.com/url?q=https://csacademy.com/contest/round-70/task/squared-ends/&amp;sa=D&amp;ust=1605639551913000&amp;usg=AFQjCNFG52RpSLzarK-jXz3ohgrHaxQtug" xr:uid="{BD8B0A59-2EE0-4C26-86DF-275A758EED6E}"/>
    <hyperlink ref="A831" r:id="rId568" display="https://www.google.com/url?q=http://codeforces.com/contest/447/problem/E&amp;sa=D&amp;ust=1605639551914000&amp;usg=AFQjCNFFrOar5yxG9KpdbbHKsy6qSiSGpg" xr:uid="{79C6F037-FECA-4502-A295-1E9F4A188EC2}"/>
    <hyperlink ref="A832" r:id="rId569" display="https://www.google.com/url?q=https://codeforces.com/problemset/problem/1060/G&amp;sa=D&amp;ust=1605639551914000&amp;usg=AFQjCNH-aGkcbuq9Q14twgTU6N8QyLFfoA" xr:uid="{2755F0C3-DF2E-4C00-8232-A75447A16CAB}"/>
    <hyperlink ref="A833" r:id="rId570" display="https://www.google.com/url?q=https://codeforces.com/problemset/problem/1083/D&amp;sa=D&amp;ust=1605639551914000&amp;usg=AFQjCNHjtBgF-HjtvSTKrs7a-MOTgyOb_A" xr:uid="{358F0A35-65E3-46EF-8532-358FC6966D73}"/>
    <hyperlink ref="A834" r:id="rId571" display="https://www.google.com/url?q=https://www.hackerrank.com/contests/hourrank-31/challenges/basketball-tournament-1/&amp;sa=D&amp;ust=1605639551915000&amp;usg=AFQjCNGuPCYd1iv9k8seLSU0GS5p75YPWA" xr:uid="{058B9637-1D44-497E-BD9F-65AE56A640FE}"/>
    <hyperlink ref="A835" r:id="rId572" display="https://www.google.com/url?q=http://codeforces.com/contest/280/problem/D&amp;sa=D&amp;ust=1605639551915000&amp;usg=AFQjCNHhP-nKWQBWh1XAWGBlMOO4Q_aL-A" xr:uid="{8689E8C5-DA36-453C-A22A-BAD494A62305}"/>
    <hyperlink ref="A836" r:id="rId573" display="https://www.google.com/url?q=http://codeforces.com/contest/464/problem/E&amp;sa=D&amp;ust=1605639551916000&amp;usg=AFQjCNHwve6KdkJScAy5ghxBfUD_Dcyilw" xr:uid="{F7CDBBEF-7963-4C57-870C-987CF6D046F1}"/>
    <hyperlink ref="A838" r:id="rId574" display="https://www.google.com/url?q=http://codeforces.com/problemset/gymProblem/101055/B&amp;sa=D&amp;ust=1605639551917000&amp;usg=AFQjCNFOt-Ef0g3U6KTlcynmcG4pOa-qRQ" xr:uid="{C56E2AB7-A2AF-4169-94B4-5781215CD972}"/>
    <hyperlink ref="A839" r:id="rId575" display="https://www.google.com/url?q=http://codeforces.com/contest/220/problem/E&amp;sa=D&amp;ust=1605639551917000&amp;usg=AFQjCNHUh_rU2tlPG8uQms9awQylAyozOA" xr:uid="{E729A5E8-7B2D-4CCC-84D4-B206AEBD0FE9}"/>
    <hyperlink ref="A841" r:id="rId576" display="https://www.google.com/url?q=http://codeforces.com/contest/260/problem/E&amp;sa=D&amp;ust=1605639551918000&amp;usg=AFQjCNEtUdwQzA2O2Ff3VG16CO3YsvRjJA" xr:uid="{25D18565-0A72-4B36-B442-8ADF4D375F47}"/>
    <hyperlink ref="A842" r:id="rId577" display="https://www.google.com/url?q=https://www.codechef.com/problems/DISTNUM2&amp;sa=D&amp;ust=1605639551918000&amp;usg=AFQjCNHCYnRuvuleHiR8GfHOaMaw58JpTQ" xr:uid="{605DB05E-22E1-42AB-B40F-C67C0C69985A}"/>
    <hyperlink ref="A843" r:id="rId578" display="https://www.google.com/url?q=http://codeforces.com/contest/283/problem/E&amp;sa=D&amp;ust=1605639551918000&amp;usg=AFQjCNEIFk8ndjY1Wy5Ld1Zy6ch4tbRrYQ" xr:uid="{A962E11E-6D6D-406B-960F-F3BBA56DBC22}"/>
    <hyperlink ref="A844" r:id="rId579" display="https://www.google.com/url?q=https://codeforces.com/contest/1172/problem/F&amp;sa=D&amp;ust=1605639551919000&amp;usg=AFQjCNHS5De0UwLNbZpMqiR_7lGC6ubrfw" xr:uid="{3F3052D5-D7C7-4ACE-9B04-4808ACD96C2D}"/>
    <hyperlink ref="A845" r:id="rId580" display="https://www.google.com/url?q=http://codeforces.com/contest/529/problem/C&amp;sa=D&amp;ust=1605639551919000&amp;usg=AFQjCNF8hUymaQhKJVdpzvAP1bi6X_s_Zw" xr:uid="{16A21245-3820-4B44-B03F-04DAFD7A87F7}"/>
    <hyperlink ref="A846" r:id="rId581" display="https://www.google.com/url?q=http://codeforces.com/problemset/problem/1044/F&amp;sa=D&amp;ust=1605639551919000&amp;usg=AFQjCNECyP5KeeRl2IRPFUPro3d5Rg5s5A" xr:uid="{48A3BAE1-08E3-4223-8D3C-7ED0FDF08F28}"/>
    <hyperlink ref="A847" r:id="rId582" display="https://www.google.com/url?q=http://codeforces.com/contest/763/problem/E&amp;sa=D&amp;ust=1605639551920000&amp;usg=AFQjCNH_3ZP6-eNRME7Jdq01u2pb56-bDA" xr:uid="{E6FFDCAC-E14D-488B-8350-05F579BD5B61}"/>
    <hyperlink ref="A848" r:id="rId583" display="https://www.google.com/url?q=https://codeforces.com/problemset/problem/1084/F&amp;sa=D&amp;ust=1605639551920000&amp;usg=AFQjCNGXTzXFahuCYO3dqd0oM5EJM0gurw" xr:uid="{B2786915-F0D7-4BA9-83FA-70C95E19A0D9}"/>
    <hyperlink ref="A849" r:id="rId584" display="https://www.google.com/url?q=http://codeforces.com/contest/679/problem/E&amp;sa=D&amp;ust=1605639551920000&amp;usg=AFQjCNGE7wwkPDKnx8k7cVnHGjRu3vvrHg" xr:uid="{FF81F970-5F76-414C-9918-1CA755FE5702}"/>
    <hyperlink ref="A850" r:id="rId585" display="https://www.google.com/url?q=https://codeforces.com/contest/1109/problem/E&amp;sa=D&amp;ust=1605639551921000&amp;usg=AFQjCNEjlFC4joGZMJEsXyrXt2-s92acgQ" xr:uid="{5093400E-F64E-4C55-BE3E-C6F17B58BA0B}"/>
    <hyperlink ref="A851" r:id="rId586" display="https://www.google.com/url?q=http://codeforces.com/contest/445/problem/E&amp;sa=D&amp;ust=1605639551921000&amp;usg=AFQjCNHpcL3tLQ2bkWcbKkfMLULAz7N03Q" xr:uid="{590742B4-A024-4C04-A6B4-151B70EC4143}"/>
    <hyperlink ref="A853" r:id="rId587" display="https://www.google.com/url?q=https://www.codechef.com/problems/COT5&amp;sa=D&amp;ust=1605639551921000&amp;usg=AFQjCNHsPCmScnmOxd6U0EBzWgt7Mx-0ng" xr:uid="{BFBD5CDA-ECE6-4AF3-9D99-88EDA80B94E6}"/>
    <hyperlink ref="A854" r:id="rId588" display="https://www.google.com/url?q=https://www.hackerrank.com/contests/world-codesprint-12/challenges/animal-transport&amp;sa=D&amp;ust=1605639551922000&amp;usg=AFQjCNH8EtA5LWKikENCgil8RF35Cd0Dvg" xr:uid="{FF82408C-DCF8-4028-A63F-2E6DFE894C4C}"/>
    <hyperlink ref="A855" r:id="rId589" display="https://www.google.com/url?q=http://codeforces.com/contest/587/problem/E&amp;sa=D&amp;ust=1605639551922000&amp;usg=AFQjCNFlgHyKbErXmn-momHqI4vzq3pJmQ" xr:uid="{65C765F6-CAB7-41A9-8F15-12203732F670}"/>
    <hyperlink ref="A857" r:id="rId590" display="https://www.google.com/url?q=https://www.codechef.com/problems/FNCS&amp;sa=D&amp;ust=1605639551922000&amp;usg=AFQjCNEPt29XELquAbHRbNGgkayKviiL2A" xr:uid="{AC491A8D-7FBE-4108-AEC4-611F5837847C}"/>
    <hyperlink ref="A858" r:id="rId591" display="https://www.google.com/url?q=http://codeforces.com/contest/765/problem/F&amp;sa=D&amp;ust=1605639551923000&amp;usg=AFQjCNE2gpgYjy6cq1CCuTnuDA3oEsqawQ" xr:uid="{D5C20D19-B4DF-4AF1-AFCD-A5721F148905}"/>
    <hyperlink ref="A859" r:id="rId592" display="https://www.google.com/url?q=http://codeforces.com/contest/722/problem/F&amp;sa=D&amp;ust=1605639551923000&amp;usg=AFQjCNHEJRHY347WztnSZs_FwHw2OE1HKA" xr:uid="{C7796871-60A8-43F2-82EE-7AF61EA3535D}"/>
    <hyperlink ref="A860" r:id="rId593" display="https://www.google.com/url?q=http://codeforces.com/contest/453/problem/E&amp;sa=D&amp;ust=1605639551924000&amp;usg=AFQjCNE3fE8VEkA24a9XM8dobRJbgzze9A" xr:uid="{2FBB81FC-E3E6-4B9F-918C-D132E07F90EA}"/>
    <hyperlink ref="D5080" r:id="rId594" display="https://www.google.com/url?q=https://github.com/mostafa-saad/MyCompetitiveProgramming/blob/master/Codeforces/CF453-D1-E.txt&amp;sa=D&amp;ust=1605639551924000&amp;usg=AFQjCNE4HIBgIDkwZMZO4JKbGraTxHRSkg" xr:uid="{D57B0800-B2CC-4BB6-BA3D-8FE285C63702}"/>
    <hyperlink ref="A861" r:id="rId595" display="https://www.google.com/url?q=http://codeforces.com/contest/484/problem/E&amp;sa=D&amp;ust=1605639551924000&amp;usg=AFQjCNFO-H3mRNdVoS6_DHndXWWPurFqrQ" xr:uid="{EA4F34C9-5388-4FD5-8C89-2DC6FE0090E8}"/>
    <hyperlink ref="A862" r:id="rId596" display="https://www.google.com/url?q=https://www.codechef.com/DEC18A/problems/CBFEAST&amp;sa=D&amp;ust=1605639551925000&amp;usg=AFQjCNEbSuIFVvgQs2gaZE4azg6OKpG47Q" xr:uid="{F8D53E43-B645-4CA4-9337-972E9FB779B1}"/>
    <hyperlink ref="A863" r:id="rId597" display="https://www.google.com/url?q=http://codeforces.com/contest/903/problem/G&amp;sa=D&amp;ust=1605639551925000&amp;usg=AFQjCNFytjprnHBMAUg5sR3xP9-qZU3BIw" xr:uid="{161F4354-99FA-4318-9898-D47930410619}"/>
    <hyperlink ref="A864" r:id="rId598" display="https://www.google.com/url?q=http://codeforces.com/contest/811/problem/E&amp;sa=D&amp;ust=1605639551926000&amp;usg=AFQjCNGiNS6jmLbILwG9RL-cHPgZmI1ErA" xr:uid="{A0AA37AA-2B3E-46ED-BA6C-7B869710BDA9}"/>
    <hyperlink ref="D4632" r:id="rId599" display="https://www.google.com/url?q=https://github.com/MetalBall887/Competitive-Programming/blob/master/CodeForces/CF811-D2-E.cpp&amp;sa=D&amp;ust=1605639551926000&amp;usg=AFQjCNGixuk6lxsf3qZ3gm6ZN7zdZB15fg" xr:uid="{E87FD1FE-998F-4594-A429-C12B5B72BCB3}"/>
    <hyperlink ref="A865" r:id="rId600" display="https://www.google.com/url?q=http://codeforces.com/contest/377/problem/D&amp;sa=D&amp;ust=1605639551926000&amp;usg=AFQjCNFn815lpDEbzGJKjcnmTADgu64ltQ" xr:uid="{B5587CD2-521A-4EA5-BDE5-39A0ABE35712}"/>
    <hyperlink ref="A866" r:id="rId601" display="https://www.google.com/url?q=http://acm.hdu.edu.cn/showproblem.php?pid%3D5306&amp;sa=D&amp;ust=1605639551927000&amp;usg=AFQjCNE-RSXuqRsVRsWQOM08Mdhm-EwH_g" xr:uid="{65C32583-BFEE-49C9-B4EF-2F4910566468}"/>
    <hyperlink ref="D4634" r:id="rId602" display="https://www.google.com/url?q=https://cmxrynp.github.io/2018/10/21/HDU-5306-Gorgeous-Sequence/&amp;sa=D&amp;ust=1605639551927000&amp;usg=AFQjCNHKgQjPHNmpHEntps5fywouX4E4qA" xr:uid="{68E5728B-0312-4C6F-BC79-1687F4EE6B1D}"/>
    <hyperlink ref="A867" r:id="rId603" display="https://www.google.com/url?q=http://codeforces.com/contest/849/problem/E&amp;sa=D&amp;ust=1605639551927000&amp;usg=AFQjCNHeWLyxoAR79Oa5p2n-hfyno7gPdg" xr:uid="{25BB29B3-B581-4540-8A33-1BBFB2A10A87}"/>
    <hyperlink ref="A868" r:id="rId604" display="https://www.google.com/url?q=https://www.codechef.com/JAN19A/problems/MXDIST&amp;sa=D&amp;ust=1605639551927000&amp;usg=AFQjCNFNvkca-WN8KSIWSONTxC6msuNYlQ" xr:uid="{7396B663-EE49-4918-A970-4FCA645DAAC4}"/>
    <hyperlink ref="A869" r:id="rId605" display="https://www.google.com/url?q=http://codeforces.com/contest/817/problem/F&amp;sa=D&amp;ust=1605639551928000&amp;usg=AFQjCNG2n92UgCx_F6jBboe_XdTIuFRIOg" xr:uid="{59979041-DF54-429F-8EED-3A9E77810AF9}"/>
    <hyperlink ref="A870" r:id="rId606" display="https://www.google.com/url?q=https://www.hackerrank.com/contests/worldcup/challenges/two-arrays-1&amp;sa=D&amp;ust=1605639551928000&amp;usg=AFQjCNGLZuzeifSYmK6dSpLX6IJnI5ZdlA" xr:uid="{C8F3F0DB-EF56-478E-AE1D-AA0F839A5821}"/>
    <hyperlink ref="A871" r:id="rId607" display="https://www.google.com/url?q=http://codeforces.com/gym/100956/attachments&amp;sa=D&amp;ust=1605639551928000&amp;usg=AFQjCNHatKJqFqFQz6aMKyZ7_Or1t1iEgg" xr:uid="{0B6B0235-5DD8-4BBF-9A4D-6D359507B633}"/>
    <hyperlink ref="A872" r:id="rId608" display="https://www.google.com/url?q=http://codeforces.com/contest/498/problem/D&amp;sa=D&amp;ust=1605639551929000&amp;usg=AFQjCNGXxJc-avoiykG_AjEGJtPe7kAacA" xr:uid="{E0895DFD-BE28-45FF-8F1E-3CA84DD5600C}"/>
    <hyperlink ref="A875" r:id="rId609" display="https://www.google.com/url?q=http://uoj.ac/problem/164&amp;sa=D&amp;ust=1605639551929000&amp;usg=AFQjCNFKITAj0g1a6hHu8TusBv1ndXbNvQ" xr:uid="{86B3ABED-3184-436E-8E6E-22BE0E3BF544}"/>
    <hyperlink ref="D4643" r:id="rId610" display="https://www.google.com/url?q=https://cmxrynp.github.io/2018/10/25/UOJ-164-%25E6%25B8%2585%25E5%258D%258E%25E9%259B%2586%25E8%25AE%25AD2015-V/&amp;sa=D&amp;ust=1605639551929000&amp;usg=AFQjCNE_NNmvSrNWlowk25cslSBL-WVzDw" xr:uid="{06B10E71-028B-4E3E-A4B0-E04900423066}"/>
    <hyperlink ref="A876" r:id="rId611" display="https://www.google.com/url?q=https://www.lydsy.com/JudgeOnline/problem.php?id%3D3064&amp;sa=D&amp;ust=1605639551930000&amp;usg=AFQjCNF7svTO_UZ0TZY1SK-kK_VbhPdVSw" xr:uid="{CDB8625B-B42F-4B18-A9C5-AF1204B9C76D}"/>
    <hyperlink ref="D4644" r:id="rId612" display="https://www.google.com/url?q=https://cmxrynp.github.io/2018/10/24/BZOJ-3064-Tyvj-1518-CPU%25E7%259B%2591%25E6%258E%25A7/&amp;sa=D&amp;ust=1605639551930000&amp;usg=AFQjCNEXNnGLgE9eKuRsX4jjdSdA9O1sWA" xr:uid="{100A4723-CF0D-4694-BDD0-18B17EDAEBEC}"/>
    <hyperlink ref="A877" r:id="rId613" display="https://www.google.com/url?q=http://codeforces.com/contest/173/problem/E&amp;sa=D&amp;ust=1605639551930000&amp;usg=AFQjCNEI2fv7HY3EGdCy_IDQ5mAdRyRPzg" xr:uid="{3D04AF4C-2609-4F50-9E43-F85C1C217323}"/>
    <hyperlink ref="A878" r:id="rId614" display="https://www.google.com/url?q=http://codeforces.com/contest/633/problem/G&amp;sa=D&amp;ust=1605639551930000&amp;usg=AFQjCNERl61J2sAfNM30r5ggRNK8_-xYsQ" xr:uid="{84864913-A055-42E3-AF0E-1F8BFC86B864}"/>
    <hyperlink ref="A879" r:id="rId615" display="https://www.google.com/url?q=http://codeforces.com/contest/526/problem/F&amp;sa=D&amp;ust=1605639551931000&amp;usg=AFQjCNHAeIspDcBNxOAcFJQETyFRv9NDag" xr:uid="{CE58BD6B-27B0-4A09-B272-1825B39C33AE}"/>
    <hyperlink ref="A880" r:id="rId616" display="https://www.google.com/url?q=http://codeforces.com/contest/256/problem/E&amp;sa=D&amp;ust=1605639551931000&amp;usg=AFQjCNEPxoGdkn9XEacjwAD50tzOmGytTA" xr:uid="{D0EE35F2-1275-47AB-9965-35D3149186E1}"/>
    <hyperlink ref="A881" r:id="rId617" display="https://www.google.com/url?q=https://csacademy.com/contest/archive/task/baby-seokhwan/&amp;sa=D&amp;ust=1605639551931000&amp;usg=AFQjCNHKNhIVZ9JEskEaN0oPABfMafDDNg" xr:uid="{F924BB3C-3C7F-4094-815A-B4765E10D723}"/>
    <hyperlink ref="A882" r:id="rId618" display="https://www.google.com/url?q=https://www.codechef.com/problems/FRBSUM&amp;sa=D&amp;ust=1605639551932000&amp;usg=AFQjCNEGyii77ifJ4-mi5ReRY2qCo3oWxg" xr:uid="{DFB8B401-3F90-46ED-9A58-939B77A549A9}"/>
    <hyperlink ref="A883" r:id="rId619" display="https://www.google.com/url?q=http://codeforces.com/contest/266/problem/E&amp;sa=D&amp;ust=1605639551933000&amp;usg=AFQjCNErvSEGT-YsjvFJTDShwhIuRCCnPQ" xr:uid="{7C941CD4-DFFD-45D2-A576-B43F1D469581}"/>
    <hyperlink ref="A884" r:id="rId620" display="https://www.google.com/url?q=http://codeforces.com/contest/516/problem/C&amp;sa=D&amp;ust=1605639551933000&amp;usg=AFQjCNHsvpfkaQ1Yd3m8UVjJBNoQMLIIhA" xr:uid="{E52A5C9B-AD41-4484-81B5-07DA2AA35D35}"/>
    <hyperlink ref="D4377" r:id="rId621" display="https://www.google.com/url?q=https://github.com/minaamir26/Competitive-Programming/blob/master/SPOJ/GSS2.java&amp;sa=D&amp;ust=1605639551933000&amp;usg=AFQjCNEpfmysoievctpG-VVZsQsfL_bZLQ" xr:uid="{5238C407-C93A-4D34-92F2-B882C5869AF8}"/>
    <hyperlink ref="A886" r:id="rId622" display="https://www.google.com/url?q=https://arc067.contest.atcoder.jp/tasks/arc067_d&amp;sa=D&amp;ust=1605639551934000&amp;usg=AFQjCNH0x6ae6w8Z4YnNCL5BLDDcU7_5YA" xr:uid="{DC2C1EBC-F1F9-46CF-A2C4-F90D91752A29}"/>
    <hyperlink ref="D4378" r:id="rId623" display="https://www.google.com/url?q=https://github.com/mostafa-saad/MyCompetitiveProgramming/blob/master/AtCoder/AtCoder067-ARC-F.txt&amp;sa=D&amp;ust=1605639551934000&amp;usg=AFQjCNGemY3U-Vl-oyuNyyvlDnRrm81C_w" xr:uid="{725DC28F-313A-459C-AC8E-2FA87C290A10}"/>
    <hyperlink ref="A887" r:id="rId624" display="https://www.google.com/url?q=http://codeforces.com/contest/258/problem/E&amp;sa=D&amp;ust=1605639551934000&amp;usg=AFQjCNF-M3smmJJXOwNHlNzTxzbLrJv58g" xr:uid="{512EE415-A11A-4AE9-8111-346A6F0A1912}"/>
    <hyperlink ref="A888" r:id="rId625" display="https://www.google.com/url?q=http://codeforces.com/contest/438/problem/D&amp;sa=D&amp;ust=1605639551934000&amp;usg=AFQjCNHIlTAtAh5TQnxTW2AFkvY2l5xm3g" xr:uid="{CD0AFAE9-086A-4E11-93DB-B1EC5F88494B}"/>
    <hyperlink ref="A889" r:id="rId626" display="https://www.google.com/url?q=http://codeforces.com/contest/610/problem/E&amp;sa=D&amp;ust=1605639551935000&amp;usg=AFQjCNHUTvKtI19VTH9lgZ1JEBTAz_R8_Q" xr:uid="{A99F5090-6C5B-424E-B002-05AA9624F003}"/>
    <hyperlink ref="D4381" r:id="rId627" display="https://www.google.com/url?q=https://github.com/Huvok/CompetitiveProgramming/blob/master/Codeforces/CF610-D2-E.cpp&amp;sa=D&amp;ust=1605639551935000&amp;usg=AFQjCNFWJe2S7-nm0UdQjMLUJjKjhirZkg" xr:uid="{C323C202-BF8C-4917-8C90-C69DF4A6A4DE}"/>
    <hyperlink ref="A890" r:id="rId628" display="https://www.google.com/url?q=http://codeforces.com/contest/1042/problem/F&amp;sa=D&amp;ust=1605639551935000&amp;usg=AFQjCNHrWmnMT72GixT2pqzKp6E7-Ls_xA" xr:uid="{DDC52E08-F615-499A-AFB6-0CE85EBFA8E8}"/>
    <hyperlink ref="D4382" r:id="rId629" display="https://www.google.com/url?q=https://github.com/tmwilliamlin168/CompetitiveProgramming/blob/master/CodeForces/CF1042-D2-F.cpp&amp;sa=D&amp;ust=1605639551936000&amp;usg=AFQjCNGEExC1qNTlK1w_7qqgHMly_O5p7g" xr:uid="{AEBEFB56-20FF-46B0-8A4D-A1F31E456BCE}"/>
    <hyperlink ref="A891" r:id="rId630" display="https://www.google.com/url?q=http://codeforces.com/contest/981/problem/G&amp;sa=D&amp;ust=1605639551936000&amp;usg=AFQjCNFCj-VhW4Xo12R6OZ45aOstIk_BGA" xr:uid="{C10546FC-3455-40E1-B527-7F7614B7ABAF}"/>
    <hyperlink ref="D4383" r:id="rId631" display="https://www.google.com/url?q=https://github.com/tmwilliamlin168/CompetitiveProgramming/blob/master/CodeForces/CF981-D12-G.java&amp;sa=D&amp;ust=1605639551936000&amp;usg=AFQjCNH6xAgKToVzYE4xXiPR2t5IEAzehA" xr:uid="{282F149F-154E-4796-A048-AFA5A9A85B87}"/>
    <hyperlink ref="A892" r:id="rId632" display="https://www.google.com/url?q=http://codeforces.com/contest/786/problem/C&amp;sa=D&amp;ust=1605639551936000&amp;usg=AFQjCNG0UflEzjAZfG2NW-G9Oiyad6uiTw" xr:uid="{05365D1E-07C0-4633-9FEA-7F2FDFE7B49F}"/>
    <hyperlink ref="D4384" r:id="rId633" display="https://www.google.com/url?q=https://github.com/Cerberus97/CompetitiveProgrammingSolutions/blob/master/CodeForces/CF786-D1-C.cpp&amp;sa=D&amp;ust=1605639551937000&amp;usg=AFQjCNGlRNseF1oz9iOqi__qdTki8BZNaA" xr:uid="{B256E60F-BB3F-40EF-8882-41ACF34FFC5D}"/>
    <hyperlink ref="A893" r:id="rId634" display="https://www.google.com/url?q=https://codeforces.com/contest/1080/problem/F&amp;sa=D&amp;ust=1605639551937000&amp;usg=AFQjCNFEDZqHanjV-OVl4_MTUm-AjOdMbQ" xr:uid="{390133D9-7205-41DD-859E-0290CEE66871}"/>
    <hyperlink ref="A894" r:id="rId635" display="https://www.google.com/url?q=http://codeforces.com/contest/115/problem/E&amp;sa=D&amp;ust=1605639551937000&amp;usg=AFQjCNHiyZW08EheBfjReFT0s8o4N5J6kA" xr:uid="{9455C354-1766-46F2-AEF7-8DEC790A0617}"/>
    <hyperlink ref="A895" r:id="rId636" display="https://www.google.com/url?q=https://codeforces.com/contest/377/problem/D&amp;sa=D&amp;ust=1605639551938000&amp;usg=AFQjCNHiNlwItWtrHJ3CaWKOOWlhXo1UrQ" xr:uid="{61C370B2-16D6-4222-B86A-5DD7E271B687}"/>
    <hyperlink ref="A896" r:id="rId637" display="https://www.google.com/url?q=http://codeforces.com/problemset/gymProblem/100812/E&amp;sa=D&amp;ust=1605639551938000&amp;usg=AFQjCNHl6BipMlfBOS-3phX6vMPrLeFhwA" xr:uid="{91E70637-4FA9-41B6-A3EE-3949900DA906}"/>
    <hyperlink ref="A897" r:id="rId638" display="https://www.google.com/url?q=http://codeforces.com/contest/555/problem/C&amp;sa=D&amp;ust=1605639551938000&amp;usg=AFQjCNFfFVn9b9HBJy3fkXOjas1ql9_vFA" xr:uid="{032AD4B8-B2DA-4CE6-AD27-EE366A6615A0}"/>
    <hyperlink ref="A898" r:id="rId639" display="https://www.google.com/url?q=http://codeforces.com/contest/381/problem/E&amp;sa=D&amp;ust=1605639551938000&amp;usg=AFQjCNF8gjpjwU6IkdrNMV1v2MwVMo2zHg" xr:uid="{C434C0B4-DA21-4330-86D0-650765DCB45E}"/>
    <hyperlink ref="A900" r:id="rId640" display="https://www.google.com/url?q=http://codeforces.com/contest/132/problem/D&amp;sa=D&amp;ust=1605639551939000&amp;usg=AFQjCNH6XLO2ZoeGF11F3_UE07cDa-z_QA" xr:uid="{9E137B3B-A3E2-4DBE-8604-4743116CC493}"/>
    <hyperlink ref="D4393" r:id="rId641" display="https://www.google.com/url?q=http://ideone.com/0GO5Qp&amp;sa=D&amp;ust=1605639551939000&amp;usg=AFQjCNEyMlOv8QH-GdM6CtDjxYcuHG86yw" xr:uid="{16B14977-6F1B-4202-9037-D36F330A5024}"/>
    <hyperlink ref="A902" r:id="rId642" display="https://www.google.com/url?q=http://codeforces.com/contest/719/problem/E&amp;sa=D&amp;ust=1605639551939000&amp;usg=AFQjCNEeNW6-7X-04Z_SLtIbF_G4S2nizA" xr:uid="{DD44CAFE-C86D-4BA8-B0D9-42456F1952A7}"/>
    <hyperlink ref="A903" r:id="rId643" display="https://www.google.com/url?q=http://codeforces.com/gym/101492/problem/C&amp;sa=D&amp;ust=1605639551941000&amp;usg=AFQjCNFbw5thX4-_XJEXpUy90tZZ5FyTNA" xr:uid="{12049C43-2D11-4AA8-94BD-AAC2D22E4828}"/>
    <hyperlink ref="D4027" r:id="rId644" display="https://www.google.com/url?q=https://github.com/mostafa-saad/MyCompetitiveProgramming/blob/master/Codeforces/CF101492-GYM-C.txt&amp;sa=D&amp;ust=1605639551941000&amp;usg=AFQjCNEw_57Xp3ejoyd3R03kf5Y54b6qqw" xr:uid="{FF4C0D8E-0EF7-4FFD-A0B6-A277E306C85F}"/>
    <hyperlink ref="A904" r:id="rId645" display="https://www.google.com/url?q=http://codeforces.com/contest/787/problem/D&amp;sa=D&amp;ust=1605639551941000&amp;usg=AFQjCNH4hbYcRB2BeRvLpNHa-KGANO8Hsw" xr:uid="{0F43E717-2472-499B-8AB2-F7696046C909}"/>
    <hyperlink ref="D4028" r:id="rId646" display="https://www.google.com/url?q=https://github.com/Huvok/CompetitiveProgramming/blob/master/Codeforces/CF787-D2-D.cpp&amp;sa=D&amp;ust=1605639551941000&amp;usg=AFQjCNHHhI3Cl-CTWh6ryberZ6GXmZKHXA" xr:uid="{D9A9F3D0-9081-476E-9936-864B8DEFB138}"/>
    <hyperlink ref="A905" r:id="rId647" display="https://www.google.com/url?q=https://atcoder.jp/contests/dp/tasks/dp_w&amp;sa=D&amp;ust=1605639551942000&amp;usg=AFQjCNHzjz3HqkmnymDQzZFaKmWB5gX7iw" xr:uid="{6E055A7E-59A6-4926-A16E-906BA8AF5704}"/>
    <hyperlink ref="A916" r:id="rId648" display="https://www.google.com/url?q=https://codeforces.com/contest/911/problem/G&amp;sa=D&amp;ust=1605639551942000&amp;usg=AFQjCNHNUVNn98AwlEtOnmwn8EeoOQrt5Q" xr:uid="{4BEF887B-10DE-45EA-9651-A615F6621BCC}"/>
    <hyperlink ref="D4030" r:id="rId649" display="https://www.google.com/url?q=https://github.com/mostafa-saad/MyCompetitiveProgramming/blob/master/Codeforces/CF911-D2-G.txt&amp;sa=D&amp;ust=1605639551942000&amp;usg=AFQjCNFTgjWeXZDp6ObcYcbujci9ymLuQQ" xr:uid="{F4AB978C-7F75-4431-A8EF-1CC0369A72C2}"/>
    <hyperlink ref="A917" r:id="rId650" display="https://www.google.com/url?q=https://codeforces.com/contest/1239/problem/C&amp;sa=D&amp;ust=1605639551942000&amp;usg=AFQjCNEpRXWcJ89AL22CEuvAKuMu0Zl8-A" xr:uid="{84AA5C88-E327-4786-A625-2112DDC3CDC8}"/>
    <hyperlink ref="A918" r:id="rId651" display="https://www.google.com/url?q=http://codeforces.com/contest/893/problem/F&amp;sa=D&amp;ust=1605639551943000&amp;usg=AFQjCNFkFtxklSCShQFVmLu52G4Y8zTkTA" xr:uid="{C1750DF2-A5F6-43B7-9428-1FE68B0FC8FF}"/>
    <hyperlink ref="A919" r:id="rId652" display="https://www.google.com/url?q=https://www.codechef.com/JUNE19A/problems/COOLCHEF&amp;sa=D&amp;ust=1605639551943000&amp;usg=AFQjCNFUUk49o_8u2Lif4xa-mxEPh5At1w" xr:uid="{21AE3853-FBCF-4D59-911F-103D388B8D13}"/>
    <hyperlink ref="A921" r:id="rId653" display="https://www.google.com/url?q=https://codeforces.com/contest/1114/problem/F&amp;sa=D&amp;ust=1605639551944000&amp;usg=AFQjCNGAChXjAE_dIphRPhuHzByQEV3Qfg" xr:uid="{6874A1F7-9213-4B04-83AD-681E4A05267C}"/>
    <hyperlink ref="A922" r:id="rId654" display="https://www.google.com/url?q=https://uva.onlinejudge.org/index.php?option%3Dcom_onlinejudge%26Itemid%3D8%26page%3Dshow_problem%26problem%3D3143&amp;sa=D&amp;ust=1605639551944000&amp;usg=AFQjCNGHp_Bsxhqqrvqw_1EHPbNY2r5SFw" xr:uid="{1D26BF69-6F5B-4CFB-8CA8-1C0247DE6C6E}"/>
    <hyperlink ref="D4036" r:id="rId655" display="https://www.google.com/url?q=https://github.com/amraboelkher/CompetitiveProgramming/blob/master/UVA/11992%2520-%2520Fast%2520Matrix%2520Operations.cpp&amp;sa=D&amp;ust=1605639551944000&amp;usg=AFQjCNE9L8GaTTdTIBAbLnzdb2I7cuOLaQ" xr:uid="{1DC37A73-83AD-4277-9965-E79475B41871}"/>
    <hyperlink ref="A923" r:id="rId656" display="https://www.google.com/url?q=http://codeforces.com/contest/420/problem/D&amp;sa=D&amp;ust=1605639551944000&amp;usg=AFQjCNGAENSvtWlUW_nac8RYqoxBj8dxPw" xr:uid="{7E48D1E2-9BB4-4FB6-9118-95074F95D3BF}"/>
    <hyperlink ref="A924" r:id="rId657" display="https://www.google.com/url?q=https://www.codechef.com/problems/BOMBING&amp;sa=D&amp;ust=1605639551945000&amp;usg=AFQjCNHTsB667Wi8EHZTSfVqfP4TDHIlIw" xr:uid="{CDED1CCD-43BF-420B-9F16-DDD987B5FFD5}"/>
    <hyperlink ref="A925" r:id="rId658" display="https://www.google.com/url?q=https://www.codechef.com/problems/SLIS&amp;sa=D&amp;ust=1605639551945000&amp;usg=AFQjCNHywqXeqkOd7i82HZ-2ETPcLZvmCg" xr:uid="{05609FFE-8505-44CA-AB7F-9BB9E3A00997}"/>
    <hyperlink ref="D4040" r:id="rId659" display="https://www.google.com/url?q=https://github.com/stefdasca/CompetitiveProgramming/blob/master/SPOJ/XXXXXXXX.cpp&amp;sa=D&amp;ust=1605639551945000&amp;usg=AFQjCNG76Ts4TskFeHippI5ahdrSWDPlXQ" xr:uid="{2208D0B0-B5FD-4482-9032-60DB6B742E86}"/>
    <hyperlink ref="A927" r:id="rId660" display="https://www.google.com/url?q=http://codeforces.com/contest/833/problem/B&amp;sa=D&amp;ust=1605639551946000&amp;usg=AFQjCNGhS9xpuDClZSeotJ4UCJv8f_WiqQ" xr:uid="{E46CFDFD-C6B8-4F8E-BF46-74DC322A58EC}"/>
    <hyperlink ref="A928" r:id="rId661" display="https://www.google.com/url?q=https://codeforces.com/contest/150/problem/C&amp;sa=D&amp;ust=1605639551946000&amp;usg=AFQjCNG8h-MXJkLUPECESl-9aUZ1wcOPtg" xr:uid="{CB2DD4DE-7D26-47DE-A810-905EF430AA02}"/>
    <hyperlink ref="D4042" r:id="rId662" display="https://www.google.com/url?q=https://github.com/tmwilliamlin168/CompetitiveProgramming/blob/master/CodeForces/CF150-D1-C.java&amp;sa=D&amp;ust=1605639551946000&amp;usg=AFQjCNFiM7AS9ISnMNLMPaUqHaq0zrS78A" xr:uid="{8ADB5134-3B95-4C38-B568-28AE62666E63}"/>
    <hyperlink ref="A929" r:id="rId663" display="https://www.google.com/url?q=http://codeforces.com/contest/580/problem/E&amp;sa=D&amp;ust=1605639551947000&amp;usg=AFQjCNHvKnDm-4i5uq5At3wutCkL-HVDew" xr:uid="{62367A4C-9C31-44DC-B46D-DC9371CDD86E}"/>
    <hyperlink ref="A930" r:id="rId664" display="https://www.google.com/url?q=http://codeforces.com/contest/83/problem/G&amp;sa=D&amp;ust=1605639551947000&amp;usg=AFQjCNGuyJ3uvQOGHWDYaI5fVOnSkJDgBA" xr:uid="{9853C402-6A45-4271-A1F7-E00FD06B0885}"/>
    <hyperlink ref="A931" r:id="rId665" display="https://www.google.com/url?q=https://www.codechef.com/MARCH18B/problems/PSHTRG&amp;sa=D&amp;ust=1605639551947000&amp;usg=AFQjCNEgte89KW63Elslz8qs7lj-cX0byA" xr:uid="{42DA3F51-6A8E-45DA-BE25-F969C9F125B9}"/>
    <hyperlink ref="A932" r:id="rId666" display="https://www.google.com/url?q=https://csacademy.com/contest/round-78/task/strange-matrix/&amp;sa=D&amp;ust=1605639551948000&amp;usg=AFQjCNGSvt0vz70tuvXbR7GsJUYGvUYQtA" xr:uid="{4B5B809B-6D0F-40BC-A05B-96A9992B6DD5}"/>
    <hyperlink ref="A933" r:id="rId667" display="https://www.google.com/url?q=https://codeforces.com/contest/1107/problem/G&amp;sa=D&amp;ust=1605639551948000&amp;usg=AFQjCNF5mft9yDJD0XwZ69sFDizMnNNd9A" xr:uid="{544AAFBD-FA4C-4698-B481-8B24B08C60DF}"/>
    <hyperlink ref="D3722" r:id="rId668" display="https://www.google.com/url?q=https://github.com/mostafa-saad/MyCompetitiveProgramming/blob/master/SPOJ/SPOJ_FREQUENT.txt&amp;sa=D&amp;ust=1605639551949000&amp;usg=AFQjCNH57EIgUkjU5tB03HJ8n9H9KDP48g" xr:uid="{679CACA0-15D9-44FC-B88C-B03AECC8C4AD}"/>
    <hyperlink ref="A935" r:id="rId669" display="https://www.google.com/url?q=https://csacademy.com/contest/round-41/task/candles/&amp;sa=D&amp;ust=1605639551950000&amp;usg=AFQjCNHkSxGZtUyydOfmYTp1tv-oJQ_BOA" xr:uid="{7DBE8308-2697-4389-8804-271AF7583173}"/>
    <hyperlink ref="D3723" r:id="rId670" display="https://www.google.com/url?q=https://github.com/FranciscoThiesen/CompetitiveProgramming/blob/master/CSAcademy/CSA41-E.cpp&amp;sa=D&amp;ust=1605639551950000&amp;usg=AFQjCNG3tnsBI1LyuzJxrgdhZsnpBYgdfA" xr:uid="{0DD09ED7-80BC-4B88-854A-8D47D5022D19}"/>
    <hyperlink ref="A936" r:id="rId671" display="https://www.google.com/url?q=http://poj.org/problem?id%3D2991&amp;sa=D&amp;ust=1605639551951000&amp;usg=AFQjCNEact-J7vJ0YDlb-n3PjAvtkYatKw" xr:uid="{B33E07AD-13AD-4113-B665-0C77907124C4}"/>
    <hyperlink ref="D3724" r:id="rId672" display="https://www.google.com/url?q=https://github.com/goswami-rahul/competitive-coding/blob/master/CompetitiveProgramming/poj/PKU-2991.cpp&amp;sa=D&amp;ust=1605639551951000&amp;usg=AFQjCNEM5fwAfGikrw53U6Wr9b5yeN8bjw" xr:uid="{1004B7DB-BAA9-49EF-9451-2CD2C4E86FB4}"/>
    <hyperlink ref="A937" r:id="rId673" display="https://www.google.com/url?q=https://codeforces.com/contest/1110/problem/F&amp;sa=D&amp;ust=1605639551951000&amp;usg=AFQjCNFIWIO8oLI3vKTlAtQ66aez6FbzMQ" xr:uid="{4F63F00A-E378-42E5-ABAC-8A25492D3204}"/>
    <hyperlink ref="A938" r:id="rId674" display="https://www.google.com/url?q=http://codeforces.com/problemset/problem/813/E&amp;sa=D&amp;ust=1605639551952000&amp;usg=AFQjCNHbbJXH7eqTMHtvTZTXVxNow1Ws2g" xr:uid="{E8AA8FDC-C697-4129-BF81-3ECCDDA51737}"/>
    <hyperlink ref="D3726" r:id="rId675" display="https://www.google.com/url?q=https://github.com/mostafa-saad/MyCompetitiveProgramming/blob/master/Codeforces/CF813-D12-E.txt&amp;sa=D&amp;ust=1605639551952000&amp;usg=AFQjCNG7zHwoPsXwFTyRwBoDnU8GogfwDw" xr:uid="{33459732-399D-4541-B108-6F53B9890A6A}"/>
    <hyperlink ref="A939" r:id="rId676" display="https://www.google.com/url?q=http://codeforces.com/contest/462/problem/E&amp;sa=D&amp;ust=1605639551953000&amp;usg=AFQjCNHATOIV4jMK-8toOsXni37RF-NXoA" xr:uid="{C2B4D2BC-55EB-4A12-B1F7-E012344F6453}"/>
    <hyperlink ref="A940" r:id="rId677" display="https://www.google.com/url?q=http://codeforces.com/contest/121/problem/E&amp;sa=D&amp;ust=1605639551953000&amp;usg=AFQjCNFeuQbwRs28-VONBRVos4_MaQAp4Q" xr:uid="{0E9D7134-D6DF-47FB-8D0C-C8B015277327}"/>
    <hyperlink ref="A941" r:id="rId678" display="https://www.google.com/url?q=https://codeforces.com/contest/1093/problem/G&amp;sa=D&amp;ust=1605639551954000&amp;usg=AFQjCNGDxn1f40OhHvydojNJu9YXC0Fedg" xr:uid="{2B9ADD3A-A8BA-4CDE-B5DB-142E49473C35}"/>
    <hyperlink ref="A942" r:id="rId679" display="https://www.google.com/url?q=https://codeforces.com/contest/1093/problem/G&amp;sa=D&amp;ust=1605639551954000&amp;usg=AFQjCNGDxn1f40OhHvydojNJu9YXC0Fedg" xr:uid="{46CF34F7-CCDC-4AAC-9705-F22251EB52FC}"/>
    <hyperlink ref="D3730" r:id="rId680" display="https://www.google.com/url?q=https://codeforces.com/contest/1093/submission/47602077&amp;sa=D&amp;ust=1605639551955000&amp;usg=AFQjCNEdJfxtoUG9w2SlAKl7trly3DXj6Q" xr:uid="{D6AB5F41-845F-44B6-9EA7-847FD6350EAE}"/>
    <hyperlink ref="D3731" r:id="rId681" display="https://www.google.com/url?q=https://github.com/mostafa-saad/MyCompetitiveProgramming/blob/master/SPOJ/SPOJ_MKTHNUM.txt&amp;sa=D&amp;ust=1605639551955000&amp;usg=AFQjCNGWB5kwJCCoWN7rY28wf62aJTHmzw" xr:uid="{E8D63932-7ED1-4E61-AD7D-7528EF8B58FC}"/>
    <hyperlink ref="A944" r:id="rId682" display="https://www.google.com/url?q=http://codeforces.com/contest/739/problem/C&amp;sa=D&amp;ust=1605639551956000&amp;usg=AFQjCNEeENn6OT2vi5vjncwAUMfoEfx30Q" xr:uid="{BE739EBE-9C9B-4337-AEDE-957A23BB3953}"/>
    <hyperlink ref="D3733" r:id="rId683" display="https://www.google.com/url?q=https://github.com/3agwa/CompetitiveProgramming/blob/master/SPOJ/SPOJ%2520SAMTWARR.%2520cpp&amp;sa=D&amp;ust=1605639551956000&amp;usg=AFQjCNHBtQ3sPsc5VIH1iTcDn5rogYhLZA" xr:uid="{AEDD7C3D-7E46-437F-AA53-97622A1CE7B8}"/>
    <hyperlink ref="A946" r:id="rId684" display="https://www.google.com/url?q=http://codeforces.com/gym/101194/attachments&amp;sa=D&amp;ust=1605639551957000&amp;usg=AFQjCNHMmz4MclUZwter5TWFneTiYc9UUg" xr:uid="{A1931177-D791-4F96-9375-DE49A9E170F2}"/>
    <hyperlink ref="D3734" r:id="rId685" display="https://www.google.com/url?q=https://github.com/hosamk92/CompetitiveProgramming/blob/master/Codeforces/CF101194-GYM-C.cpp&amp;sa=D&amp;ust=1605639551957000&amp;usg=AFQjCNHD1dmFE83vcm1-5uY2VCXZvEhlUQ" xr:uid="{9BF65D08-CD92-4889-BE98-18BD920F81DF}"/>
    <hyperlink ref="A947" r:id="rId686" display="https://www.google.com/url?q=https://codeforces.com/contest/1136/problem/E&amp;sa=D&amp;ust=1605639551958000&amp;usg=AFQjCNEYgzBPC_BXiUuMvpHuWfZQ8J9SAg" xr:uid="{49C22B63-F838-4FCC-9802-17BA75D026BD}"/>
    <hyperlink ref="A948" r:id="rId687" display="https://www.google.com/url?q=https://vjudge.net/contest/309391?fbclid%3DIwAR03s2ptSalIu-W-SphQRe9TKA9c5iD8CEHbuacq6BwfAygDc_nn2_SdtiE%23problem/D&amp;sa=D&amp;ust=1605639551958000&amp;usg=AFQjCNFZmgz3oX_XYSvqzRa5-EbogHjFFw" xr:uid="{441D13D4-E6B1-4206-A7A6-4CB6145BDF7F}"/>
    <hyperlink ref="D3637" r:id="rId688" display="https://www.google.com/url?q=https://ideone.com/KCCz60&amp;sa=D&amp;ust=1605639551959000&amp;usg=AFQjCNFbsJVvv-ts454kPzUqx3WoKaby2w" xr:uid="{E151DC3A-42D5-476B-9052-8C81B8039B20}"/>
    <hyperlink ref="A949" r:id="rId689" display="https://www.google.com/url?q=http://codeforces.com/contest/145/problem/E&amp;sa=D&amp;ust=1605639551959000&amp;usg=AFQjCNHgfSIthZWo5YfYUkxdIZnlR2E5OA" xr:uid="{6401BFF9-00D2-4F2C-9BDD-72A0D6661D96}"/>
    <hyperlink ref="A950" r:id="rId690" display="https://www.google.com/url?q=https://codeforces.com/contest/1146/problem/E&amp;sa=D&amp;ust=1605639551959000&amp;usg=AFQjCNF4fKNfLyj8QZMYlEL_arBg5_LU4Q" xr:uid="{180E4E35-B9CC-4651-A8EE-1ADC37D74D82}"/>
    <hyperlink ref="A951" r:id="rId691" display="https://www.google.com/url?q=https://codeforces.com/contest/397/problem/E&amp;sa=D&amp;ust=1605639551960000&amp;usg=AFQjCNHNhYF4fPmUHfB3e-GBfsz8aOTYGg" xr:uid="{D8BF4CAE-6B3C-4FB5-905F-1D579F2864BE}"/>
    <hyperlink ref="A952" r:id="rId692" display="https://www.google.com/url?q=https://www.codechef.com/problems/MBOARD&amp;sa=D&amp;ust=1605639551961000&amp;usg=AFQjCNFQXpThAqtiPsqORI_aNy8vjDKw1Q" xr:uid="{7B6EB179-880B-48CD-A4BA-C6C253173208}"/>
    <hyperlink ref="D3052" r:id="rId693" display="https://www.google.com/url?q=https://github.com/tanmoy13/CompetitveProgramming/blob/master/Online-Judge-Solutions/CodeChef/CODECHEF%2520MBOARD.cpp&amp;sa=D&amp;ust=1605639551961000&amp;usg=AFQjCNHdMRucm_AI0aXWUBLjtXdUHK2xTQ" xr:uid="{02009958-C6EE-4DD0-852A-E183B1B8E43F}"/>
    <hyperlink ref="A953" r:id="rId694" display="https://www.google.com/url?q=https://codeforces.com/contest/1108/problem/E2&amp;sa=D&amp;ust=1605639551961000&amp;usg=AFQjCNE-JVccc3hcgwL28MmXh4RQUFjYVA" xr:uid="{49192FAF-7CC5-4C5B-9251-2E2CED4A64B9}"/>
    <hyperlink ref="D3053" r:id="rId695" display="https://www.google.com/url?q=https://github.com/goswami-rahul/competitive-coding/blob/master/CompetitiveProgramming/codeforces/CF1108-D3-E2.cpp&amp;sa=D&amp;ust=1605639551962000&amp;usg=AFQjCNE-I906f1eIFD6K2J2zs5tcwmxnOA" xr:uid="{0D2E6747-BD55-486C-A037-88BFA3C47A88}"/>
    <hyperlink ref="A954" r:id="rId696" display="https://www.google.com/url?q=https://codeforces.com/contest/762/problem/E&amp;sa=D&amp;ust=1605639551963000&amp;usg=AFQjCNGRGsVCOT2RlxmC7fDNHUclpFXoJA" xr:uid="{D8A87FE0-D445-4AD5-B1FF-4B6DAC52A216}"/>
    <hyperlink ref="A955" r:id="rId697" display="https://www.google.com/url?q=https://codeforces.com/contest/1099/problem/F&amp;sa=D&amp;ust=1605639551963000&amp;usg=AFQjCNFIyn1aaalMdocKbXR54o3X2YhZoA" xr:uid="{34DAE1FD-C4B8-4AC1-BE7A-360D6E993A83}"/>
    <hyperlink ref="A956" r:id="rId698" display="https://www.google.com/url?q=https://codeforces.com/contest/1197/problem/E&amp;sa=D&amp;ust=1605639551964000&amp;usg=AFQjCNFTCnzJcS1gsNkUTuanj5lsFFlfJA" xr:uid="{FB5DBE0C-ED67-47AE-A586-3611F188C77B}"/>
    <hyperlink ref="A957" r:id="rId699" display="https://www.google.com/url?q=https://www.codechef.com/problems/XRQRS&amp;sa=D&amp;ust=1605639551964000&amp;usg=AFQjCNG_yp4V-8emxUc3x2xfrSJdS0e3_Q" xr:uid="{3FAF78DA-C81E-4607-82C1-FA6AE6603629}"/>
    <hyperlink ref="A958" r:id="rId700" display="https://www.google.com/url?q=https://www.codechef.com/FEB18/problems/CHANOQ&amp;sa=D&amp;ust=1605639551965000&amp;usg=AFQjCNHPU3ccwlQx8Rk6y7_vcDf988DJqw" xr:uid="{C55C6285-A951-45CF-84EC-8068611A67C0}"/>
    <hyperlink ref="D3059" r:id="rId701" display="https://www.google.com/url?q=https://github.com/magdy-hasan/competitive-programming/blob/99949526fddbb0857a233c02342293b21e5f242d/SPOJ/SPOJ%2520CCOST%2520-%2520Calculate%2520The%2520Cost.cpp&amp;sa=D&amp;ust=1605639551965000&amp;usg=AFQjCNHXP8Tp9YIPukXjznLm6EhndlrUjg" xr:uid="{DCDB386F-49A4-48C3-9874-801DECAE779A}"/>
    <hyperlink ref="A960" r:id="rId702" display="https://www.google.com/url?q=http://codeforces.com/contest/160/problem/E&amp;sa=D&amp;ust=1605639551965000&amp;usg=AFQjCNHrpuC1TbYjCxIX78XuHFMnMDQvSQ" xr:uid="{A86E2E46-D4D0-4E14-8CC0-0F38CC511D79}"/>
    <hyperlink ref="D3061" r:id="rId703" display="https://www.google.com/url?q=https://github.com/tanmoy13/CompetitveProgramming/blob/master/Online-Judge-Solutions/SPOJ/LGLOVE%2520-%2520LCM%2520GCD%2520Love.cpp&amp;sa=D&amp;ust=1605639551966000&amp;usg=AFQjCNG9yOOcf_MFvmR8nDJmeEMUM99tLQ" xr:uid="{DAE94E53-6B73-459B-80E8-EB88A91F94A0}"/>
    <hyperlink ref="A962" r:id="rId704" display="https://www.google.com/url?q=https://open.kattis.com/problems/whiteboard&amp;sa=D&amp;ust=1605639551967000&amp;usg=AFQjCNEKn1mWGBalH0Pug5sVhAqqegckFg" xr:uid="{0780973F-5EF7-4A03-82DB-1FDEAB628018}"/>
    <hyperlink ref="D3062" r:id="rId705" display="https://www.google.com/url?q=https://github.com/mostafa-saad/MyCompetitiveProgramming/blob/master/Kattis/kattis-whiteboard.txt&amp;sa=D&amp;ust=1605639551967000&amp;usg=AFQjCNFmCX-gf3Gm5J8MCtBSCTb3e9fW0g" xr:uid="{95761D42-F3D7-48AF-BF06-AF603583648E}"/>
    <hyperlink ref="A963" r:id="rId706" display="https://www.google.com/url?q=https://codeforces.com/contest/1180/problem/E&amp;sa=D&amp;ust=1605639551967000&amp;usg=AFQjCNG0ZiW-kSWQxobMiDJ03yUW1YKJEQ" xr:uid="{CC9176C9-F8CE-46F5-9947-85416A65A70E}"/>
    <hyperlink ref="D3064" r:id="rId707" display="https://www.google.com/url?q=https://github.com/ryuzmukhametov/CompetitiveProgramming/blob/master/spoj/SPOJ%2520AE5B2.cpp&amp;sa=D&amp;ust=1605639551968000&amp;usg=AFQjCNFQ8NFQZ-SyeIFra8A3aoXpsZxLnQ" xr:uid="{F34A290D-C1AB-4789-91F6-FBA7DEA642A8}"/>
    <hyperlink ref="A965" r:id="rId708" display="https://www.google.com/url?q=http://codeforces.com/contest/19/problem/D&amp;sa=D&amp;ust=1605639551968000&amp;usg=AFQjCNGKPFM3wVv8vrQdd6wFa23an9EEEA" xr:uid="{A6DE407B-B8E3-4610-B2C1-53C170C5371D}"/>
    <hyperlink ref="A966" r:id="rId709" display="https://www.google.com/url?q=http://codeforces.com/contest/56/problem/E&amp;sa=D&amp;ust=1605639551969000&amp;usg=AFQjCNFCBIqKGphwJgXs0oPNV3cz8sL0XA" xr:uid="{500423F9-FE88-4A7E-9667-5F56007DD51C}"/>
    <hyperlink ref="A967" r:id="rId710" display="https://www.google.com/url?q=https://www.codechef.com/problems/BESTSUM&amp;sa=D&amp;ust=1605639551969000&amp;usg=AFQjCNGV82GoTubPEnJgdG0BMaZ0Q2b28g" xr:uid="{BFD81A9B-E88D-4F76-9C7F-E5DE0B1E836E}"/>
    <hyperlink ref="A968" r:id="rId711" display="https://www.google.com/url?q=http://codeforces.com/contest/818/problem/E&amp;sa=D&amp;ust=1605639551969000&amp;usg=AFQjCNGFjyCJRRMYXZU7K2sttCjqjWtA_w" xr:uid="{90B99EAE-64A8-43C3-AAE3-E5F3DFFCF9FF}"/>
    <hyperlink ref="A969" r:id="rId712" display="https://www.google.com/url?q=https://www.urionlinejudge.com.br/repository/UOJ_1511_en.html&amp;sa=D&amp;ust=1605639551970000&amp;usg=AFQjCNGBckFzd7gBUXZCNVoMl-IyGToZTQ" xr:uid="{5B2AB82D-CE52-4544-90EF-60B852BA1E8F}"/>
    <hyperlink ref="A980" r:id="rId713" display="https://www.google.com/url?q=https://www.codechef.com/problems/KCOMPRES&amp;sa=D&amp;ust=1605639551970000&amp;usg=AFQjCNE_hwY70LGBJhqonOmlKm1y3F-JeA" xr:uid="{5BC6BD69-3C7B-4A0D-8101-3AE0806A638D}"/>
    <hyperlink ref="A981" r:id="rId714" display="https://www.google.com/url?q=https://www.hackerrank.com/contests/w38/challenges/cyclical-queries&amp;sa=D&amp;ust=1605639551971000&amp;usg=AFQjCNHZcL6VmThw2QmN5K6i-CMGRsOpNQ" xr:uid="{5E55875E-9632-4F84-AAFC-CE302BFC623E}"/>
    <hyperlink ref="A982" r:id="rId715" display="https://www.google.com/url?q=https://www.hackerrank.com/contests/world-codesprint-12/challenges/factorial-array&amp;sa=D&amp;ust=1605639551971000&amp;usg=AFQjCNFswKEtdYo6AfMsG97QBeyM7PQtyQ" xr:uid="{D5429C43-E868-4272-8FBD-7456D9C06F95}"/>
    <hyperlink ref="D3072" r:id="rId716" display="https://www.google.com/url?q=https://ideone.com/iEbaYO&amp;sa=D&amp;ust=1605639551972000&amp;usg=AFQjCNF3q3DzuBsix13u0qzgCSBqVwoyqg" xr:uid="{81E15A14-2917-473A-AA50-B2A5E6E91E8F}"/>
    <hyperlink ref="A983" r:id="rId717" display="https://www.google.com/url?q=http://codeforces.com/contest/777/problem/E&amp;sa=D&amp;ust=1605639551972000&amp;usg=AFQjCNH6b5tEnqGJd-1_DnPZQpltkxr3pQ" xr:uid="{9F42423E-B680-4D70-90D4-FCAAC5BA5FB7}"/>
    <hyperlink ref="A984" r:id="rId718" display="https://www.google.com/url?q=http://codeforces.com/contest/242/problem/E&amp;sa=D&amp;ust=1605639551972000&amp;usg=AFQjCNGnjJBA6i5PkEQm95OlwR2SDs66Mg" xr:uid="{EC0B328A-B0D0-48AD-861F-E02F5BE915E8}"/>
    <hyperlink ref="A985" r:id="rId719" display="https://www.google.com/url?q=http://codeforces.com/gym/101086/problem/C&amp;sa=D&amp;ust=1605639551973000&amp;usg=AFQjCNHegOjNefl4VzrJJgK8MpqhwGsw9w" xr:uid="{1C7F831F-A2FA-4F21-A841-8513D705EBCB}"/>
    <hyperlink ref="A986" r:id="rId720" display="https://www.google.com/url?q=http://codeforces.com/contest/916/problem/D&amp;sa=D&amp;ust=1605639551974000&amp;usg=AFQjCNFRugSkZUBfhXNkU6nrlXqaxTABhw" xr:uid="{BF100BB7-36D4-4D7D-A15D-9281DBFE916D}"/>
    <hyperlink ref="A987" r:id="rId721" display="https://www.google.com/url?q=http://codeforces.com/contest/174/problem/C&amp;sa=D&amp;ust=1605639551974000&amp;usg=AFQjCNEhsGlg7rbpKGXUAvJxa7YTNfBJWA" xr:uid="{ACF78B65-AF6B-4708-95B1-AFE7775A81EA}"/>
    <hyperlink ref="A988" r:id="rId722" display="https://www.google.com/url?q=https://www.hackerrank.com/contests/hourrank-28/challenges/xorry-queries&amp;sa=D&amp;ust=1605639551975000&amp;usg=AFQjCNEyXAj-hJ_0Au7xYf6RoSPKzuX8XQ" xr:uid="{610F3B47-5DFE-45C1-8935-D339FE9072D8}"/>
    <hyperlink ref="A989" r:id="rId723" display="https://www.google.com/url?q=http://codeforces.com/contest/486/problem/E&amp;sa=D&amp;ust=1605639551975000&amp;usg=AFQjCNGss6Y3J8KJzDuoVwJexN7q7m66aQ" xr:uid="{93C4432B-0A65-488F-A8E6-41423516E9ED}"/>
    <hyperlink ref="A990" r:id="rId724" display="https://www.google.com/url?q=http://codeforces.com/contest/669/problem/E&amp;sa=D&amp;ust=1605639551976000&amp;usg=AFQjCNH_idBRImjqA4bo1Oxp8xFi892A3w" xr:uid="{D2EB8451-D34C-471E-8E7F-154291E8E2C5}"/>
    <hyperlink ref="D2880" r:id="rId725" display="https://www.google.com/url?q=https://github.com/mostafa-saad/MyCompetitiveProgramming/blob/master/Codeforces/CF669-D2-E.txt&amp;sa=D&amp;ust=1605639551976000&amp;usg=AFQjCNE6H8yXo92undaTEzIlkwOJVlKgJA" xr:uid="{D1DDA844-8604-4533-A7F7-1CB290595664}"/>
    <hyperlink ref="D2881" r:id="rId726" display="https://www.google.com/url?q=https://github.com/mostafa-saad/MyCompetitiveProgramming/blob/master/UVA/UVA_10909.txt&amp;sa=D&amp;ust=1605639551976000&amp;usg=AFQjCNGPXQLytgm2Tx1GJPVOIo7uSSARxw" xr:uid="{5B18DE09-35F5-41E2-8F00-5835692CF51B}"/>
    <hyperlink ref="A992" r:id="rId727" display="https://www.google.com/url?q=https://codeforces.com/contest/1156/problem/D&amp;sa=D&amp;ust=1605639551977000&amp;usg=AFQjCNEs5vMMh-CbDH6oRw2hEtlyXxddEw" xr:uid="{21E0C2F4-F1B0-40AC-A4DA-03434BEC3D0F}"/>
    <hyperlink ref="A993" r:id="rId728" display="https://www.google.com/url?q=http://codeforces.com/contest/558/problem/E&amp;sa=D&amp;ust=1605639551977000&amp;usg=AFQjCNEKlvFVykeZ_mrlrZ69XquEgI4bHw" xr:uid="{D522DEAC-DADD-41B5-A769-59C1B2923038}"/>
    <hyperlink ref="A994" r:id="rId729" display="https://www.google.com/url?q=https://www.codechef.com/problems/MATCH2&amp;sa=D&amp;ust=1605639551978000&amp;usg=AFQjCNHBxBbs9reh_4ON763Hia9OQ4GB6w" xr:uid="{D2BA53D6-DB82-4624-B447-C0F9958CA71F}"/>
    <hyperlink ref="A995" r:id="rId730" display="https://www.google.com/url?q=http://www.spoj.com/problems/GSS3/&amp;sa=D&amp;ust=1605639551978000&amp;usg=AFQjCNGa2cU7XFJGtVAVf0rAcbo62G23Ew" xr:uid="{DDB5947A-FEC3-49AD-ACEB-445C3FFA973F}"/>
    <hyperlink ref="D2514" r:id="rId731" display="https://www.google.com/url?q=https://github.com/mostafa-saad/MyCompetitiveProgramming/blob/master/SPOJ/SPOJ_IOPC1207.txt&amp;sa=D&amp;ust=1605639551979000&amp;usg=AFQjCNEH9-dSqbF18A4MlyMK0iW43MRoRw" xr:uid="{59C6258E-056A-47A5-B98D-B8B6B71DB647}"/>
    <hyperlink ref="A997" r:id="rId732" display="https://www.google.com/url?q=http://www.spoj.com/problems/SEGSQRSS&amp;sa=D&amp;ust=1605639551979000&amp;usg=AFQjCNF6BqS7Ozm_K3EoDREKjTHCbY178Q" xr:uid="{2CC26FBE-0295-43D4-9E86-E94510C1A6B9}"/>
    <hyperlink ref="D2515" r:id="rId733" display="https://www.google.com/url?q=https://github.com/MichaelMounir12/CompetitiveProgramming/blob/9c6e99fc3a2583209a313ddd617a07ac294024e9/SPOJ/SPOJ_SEGSQRSS.cpp&amp;sa=D&amp;ust=1605639551979000&amp;usg=AFQjCNFpxKXd7zCInbuN2_h1cSytKkyzxw" xr:uid="{D1B9BFF0-2569-4054-99B8-94EE661F8D42}"/>
    <hyperlink ref="A998" r:id="rId734" display="https://www.google.com/url?q=http://codeforces.com/contest/380/problem/C&amp;sa=D&amp;ust=1605639551980000&amp;usg=AFQjCNGCNt7xC9uaAhJEaPUM-1zC6uQD1g" xr:uid="{32889085-9928-4614-9247-380B5DF58ECD}"/>
    <hyperlink ref="A999" r:id="rId735" display="https://www.google.com/url?q=https://codeforces.com/gym/101807/problem/J&amp;sa=D&amp;ust=1605639551980000&amp;usg=AFQjCNFnnQbMOnP5yD-MhFk-L6KjL6mbjg" xr:uid="{2FF9CE57-1E48-4D8D-AA64-805C8ED8B396}"/>
    <hyperlink ref="A1000" r:id="rId736" display="https://www.google.com/url?q=https://atcoder.jp/contests/abc127/tasks/abc127_f&amp;sa=D&amp;ust=1605639551980000&amp;usg=AFQjCNGVSDVfab8_z9OPNq-FW0d4EssyFQ" xr:uid="{164A1E4D-2249-4138-B9B1-B5642E64D8AC}"/>
    <hyperlink ref="A1002" r:id="rId737" display="https://www.google.com/url?q=http://www.spoj.com/problems/GSS4&amp;sa=D&amp;ust=1605639551981000&amp;usg=AFQjCNFUq8wLKLFox9OVG71DLSPt-qN0zg" xr:uid="{363CDF21-0CB6-402C-AACE-732441C20498}"/>
    <hyperlink ref="D2520" r:id="rId738" display="https://www.google.com/url?q=https://github.com/abdullaAshraf/Problem-Solving/blob/master/SPOJ/GSS4.cpp&amp;sa=D&amp;ust=1605639551982000&amp;usg=AFQjCNEygyVZrSH8rO1NpD5iqF52chYjXg" xr:uid="{999B5C30-DB17-4601-9743-929CE7E8DBB5}"/>
    <hyperlink ref="A1003" r:id="rId739" display="https://www.google.com/url?q=https://codeforces.com/contest/1191/problem/E&amp;sa=D&amp;ust=1605639551982000&amp;usg=AFQjCNHnfS-cs-h5iHr-bRkGyziFON9Ivw" xr:uid="{2E414612-8722-42C9-8484-70CE063E3474}"/>
    <hyperlink ref="A1004" r:id="rId740" display="https://www.google.com/url?q=https://codeforces.com/gym/101807/problem/J&amp;sa=D&amp;ust=1605639551983000&amp;usg=AFQjCNGrkAL0DfxwO1xSr4ltC1rewHr8lA" xr:uid="{25F813D6-773A-4445-835D-8EC213505F9A}"/>
    <hyperlink ref="D2522" r:id="rId741" display="https://www.google.com/url?q=https://github.com/YazanZebak/CompetitiveProgramming/blob/master/Codeforces/CF101807-GYM-J.cpp&amp;sa=D&amp;ust=1605639551983000&amp;usg=AFQjCNH1qVrW2uPjUbRjefSlEiXZjidWvQ" xr:uid="{800BFB27-B859-4A00-AAD3-75E80CC1C167}"/>
    <hyperlink ref="A1005" r:id="rId742" display="https://www.google.com/url?q=https://codeforces.com/gym/102154/problem/B&amp;sa=D&amp;ust=1605639551983000&amp;usg=AFQjCNErxxFX3w8NPWQlj5iHqqHQZRhBTA" xr:uid="{4028AE8B-7B03-4919-BBA4-72D30B92C05B}"/>
    <hyperlink ref="D2523" r:id="rId743" display="https://www.google.com/url?q=https://github.com/guskal01/CompetitiveProgramming/blob/master/CodeForces/CF102154-GYM-B.cpp&amp;sa=D&amp;ust=1605639551984000&amp;usg=AFQjCNFkx30OGwHP4RgwXDjdQVHIz2iZKA" xr:uid="{1089972A-9D3D-43D6-A2CF-42A9C7B99C55}"/>
    <hyperlink ref="A1006" r:id="rId744" display="https://www.google.com/url?q=http://www.spoj.com/problems/ORDERS/&amp;sa=D&amp;ust=1605639551984000&amp;usg=AFQjCNFgpjMwJAijau0KGy3f9PujcpB2jA" xr:uid="{66F2AE3F-0CAA-4D8C-A82A-06B721334ADF}"/>
    <hyperlink ref="D2524" r:id="rId745" display="https://www.google.com/url?q=https://github.com/mostafa-saad/MyCompetitiveProgramming/blob/master/SPOJ/SPOJ_ORDERS.txt&amp;sa=D&amp;ust=1605639551985000&amp;usg=AFQjCNGg-wABctSjVnAejlDzgoZyGC4hJg" xr:uid="{9EAD6A0F-1B1B-4C78-BA9F-F644052E780C}"/>
    <hyperlink ref="A1007" r:id="rId746" display="https://www.google.com/url?q=http://codeforces.com/contest/620/problem/E&amp;sa=D&amp;ust=1605639551986000&amp;usg=AFQjCNEXrbQfYNhzVSBCM9HxPlwOgjWXFA" xr:uid="{2F04E3CE-F26F-4FC7-8A69-5DD7DD31DEF9}"/>
    <hyperlink ref="D2526" r:id="rId747" display="https://www.google.com/url?q=https://github.com/mostafa-saad/MyCompetitiveProgramming/blob/master/SPOJ/SPOJ_BRCKTS2.txt&amp;sa=D&amp;ust=1605639551987000&amp;usg=AFQjCNGrTtFeu0wNdwreFbOKRCVfdtBePg" xr:uid="{8BDBF526-14C4-4284-805B-89AF497CCFE2}"/>
    <hyperlink ref="A1009" r:id="rId748" display="https://www.google.com/url?q=http://codeforces.com/contest/920/problem/F&amp;sa=D&amp;ust=1605639551987000&amp;usg=AFQjCNHiFq_rf-gACcfPgX42tu2FE6SAtA" xr:uid="{47A15541-1F84-4FA9-A18B-393F75584ED1}"/>
    <hyperlink ref="A1010" r:id="rId749" display="https://www.google.com/url?q=https://uva.onlinejudge.org/index.php?option%3Dcom_onlinejudge%26Itemid%3D8%26page%3Dshow_problem%26problem%3D3673&amp;sa=D&amp;ust=1605639551988000&amp;usg=AFQjCNHLatnqBTGM8XdRxLpo8w0spLJbZQ" xr:uid="{29BD5EEC-8586-4D1C-A737-F2B5E81E0156}"/>
    <hyperlink ref="D2528" r:id="rId750" display="https://www.google.com/url?q=https://github.com/mostafa-saad/MyCompetitiveProgramming/blob/master/UVA/UVA_1232.txt&amp;sa=D&amp;ust=1605639551988000&amp;usg=AFQjCNHmRdycKKL5yMH0DqW_URgpxK7Sgg" xr:uid="{0B89C7ED-8306-49DC-BFDC-2D33E0D9008E}"/>
    <hyperlink ref="A1012" r:id="rId751" display="https://www.google.com/url?q=http://codeforces.com/contest/482/problem/B&amp;sa=D&amp;ust=1605639551989000&amp;usg=AFQjCNGlEShFAbW6nrHP7hB7RABg396lYg" xr:uid="{C353859C-B3B2-48EA-9F20-6FBB0FF472C9}"/>
    <hyperlink ref="A1013" r:id="rId752" display="https://www.google.com/url?q=http://codeforces.com/contest/483/problem/D&amp;sa=D&amp;ust=1605639551989000&amp;usg=AFQjCNEGeXcRtGSCSK7wDm70qEPXwAIAmA" xr:uid="{090B2A5B-87EA-48D4-9C26-4F912D10A99D}"/>
    <hyperlink ref="A1014" r:id="rId753" display="https://www.google.com/url?q=http://codeforces.com/contest/400/problem/E&amp;sa=D&amp;ust=1605639551990000&amp;usg=AFQjCNGFp3MhbxoyFzLpKVrN2xXHTCin6g" xr:uid="{A4DE42A7-A335-45A1-872A-D4DDAF7D73DC}"/>
    <hyperlink ref="A1015" r:id="rId754" display="https://www.google.com/url?q=http://codeforces.com/contest/474/problem/E&amp;sa=D&amp;ust=1605639551990000&amp;usg=AFQjCNH3tsPfCDUntHXbL1PNO8nLqmKMQg" xr:uid="{E040B015-117B-40E9-8413-6057909FF031}"/>
    <hyperlink ref="A1016" r:id="rId755" display="https://www.google.com/url?q=https://codeforces.com/contest/1263/problem/E&amp;sa=D&amp;ust=1605639551991000&amp;usg=AFQjCNHILEqsHyYvWITUlR6g0zGO8WDFoA" xr:uid="{86BA1F02-D7DA-461F-91B2-1AF4DDBA466F}"/>
    <hyperlink ref="A1017" r:id="rId756" display="https://www.google.com/url?q=http://codeforces.com/contest/67/problem/D&amp;sa=D&amp;ust=1605639551991000&amp;usg=AFQjCNHur6aJcOrkgYdA6LueMpYSTo0TAg" xr:uid="{9B70DB2E-6B71-4B5F-9A5D-A91BAFD2BCFA}"/>
    <hyperlink ref="A1018" r:id="rId757" display="https://www.google.com/url?q=http://codeforces.com/contest/847/problem/D&amp;sa=D&amp;ust=1605639551992000&amp;usg=AFQjCNEFoenlKEw7d4jAZel-yjnsfJ-WWg" xr:uid="{2B47DCE8-E487-491E-BA70-54189A1D06A2}"/>
    <hyperlink ref="D2404" r:id="rId758" display="https://www.google.com/url?q=https://github.com/ahmedsamir221/CompetitiveProgramming/blob/master/CodeForces/CF847-D12-D.cpp&amp;sa=D&amp;ust=1605639551992000&amp;usg=AFQjCNEn0PZJLqnslV7_D5OY-JLAsuvgKw" xr:uid="{A6F6E39D-AB68-4F2F-BA21-88CBCAE24C94}"/>
    <hyperlink ref="D2405" r:id="rId759" display="https://www.google.com/url?q=https://github.com/goswami-rahul/competitive-coding/blob/master/CompetitiveProgramming/spoj/DCEPC11I.cpp&amp;sa=D&amp;ust=1605639551993000&amp;usg=AFQjCNGMDtl4_vyvm8nPXPq3EfSVrXOiZg" xr:uid="{9DF8B4BD-2089-4B39-AB3F-5500BB87AFC4}"/>
    <hyperlink ref="A1020" r:id="rId760" display="https://www.google.com/url?q=http://codeforces.com/contest/877/problem/E&amp;sa=D&amp;ust=1605639551993000&amp;usg=AFQjCNHZsaPishoaBGBaTj7HZyp0bjhYSw" xr:uid="{D9CF29C4-AF7F-4B9F-AE0A-993BB6723870}"/>
    <hyperlink ref="D1650" r:id="rId761" display="https://www.google.com/url?q=https://www.youtube.com/watch?v%3DrkbdB_vhgJw&amp;sa=D&amp;ust=1605639551994000&amp;usg=AFQjCNHflsc4Ehw-AMjmYw-DIBXJLuFkqQ" xr:uid="{3672C36E-B1BF-4D7D-B6B2-1D595011FA59}"/>
    <hyperlink ref="A1021" r:id="rId762" display="https://www.google.com/url?q=http://www.spoj.com/problems/BRCKTS&amp;sa=D&amp;ust=1605639551994000&amp;usg=AFQjCNHmR6jIvAX9bftFClJe_1WQ63QeWw" xr:uid="{AA610A55-07D1-4822-B04E-5D349E573219}"/>
    <hyperlink ref="D1651" r:id="rId763" display="https://www.google.com/url?q=https://github.com/AliOsm/CompetitiveProgramming/blob/master/SPOJ/BRCKTS%2520-%2520Brackets.cpp&amp;sa=D&amp;ust=1605639551995000&amp;usg=AFQjCNGbFKNlNb0QNOt3eMZ9FJwRTSZqEg" xr:uid="{E7FD6707-5BCC-4F1C-94A9-A6655C7C353B}"/>
    <hyperlink ref="A1022" r:id="rId764" display="https://www.google.com/url?q=http://www.spoj.com/problems/GSS1/&amp;sa=D&amp;ust=1605639551995000&amp;usg=AFQjCNE2xEX9n_6b1LK52g6pL8alUlE22g" xr:uid="{BF6D1F13-77BF-46F4-BEF3-5B9F2963832D}"/>
    <hyperlink ref="D1652" r:id="rId765" display="https://www.google.com/url?q=https://github.com/AliOsm/CompetitiveProgramming/blob/master/SPOJ/GSS1%2520-%2520Can%2520you%2520answer%2520these%2520queries%2520I.cpp&amp;sa=D&amp;ust=1605639551995000&amp;usg=AFQjCNEYHy2sgNAGmrSeXdx3rurOqSHQlQ" xr:uid="{E679D5FA-8A82-42CE-89A4-7072C26912C0}"/>
    <hyperlink ref="D1653" r:id="rId766" display="https://www.google.com/url?q=https://github.com/abdullaAshraf/Problem-Solving/blob/master/SPOJ/QUE2.cpp&amp;sa=D&amp;ust=1605639551996000&amp;usg=AFQjCNGgyc56NgEuvvBMXGz_hVR-YWjxyA" xr:uid="{AD2C98AB-7B1C-400D-97B0-FF189291149B}"/>
    <hyperlink ref="A1024" r:id="rId767" display="https://www.google.com/url?q=https://uva.onlinejudge.org/index.php?option%3Dcom_onlinejudge%26Itemid%3D8%26page%3Dshow_problem%26problem%3D3720&amp;sa=D&amp;ust=1605639551996000&amp;usg=AFQjCNGdv_bdAjx8MVTNKLlRYt_o_CKyzw" xr:uid="{7E3B027B-57A1-4F91-B2BA-0A1AB501DF56}"/>
    <hyperlink ref="D1654" r:id="rId768" display="https://www.google.com/url?q=https://github.com/Emsawy/CompetitiveProgramming/blob/master/UVA/12299.cpp&amp;sa=D&amp;ust=1605639551997000&amp;usg=AFQjCNHwEbdVetONUUzicl2DFSVbWBfXpQ" xr:uid="{CE289034-AD17-4446-B3BE-CB0D695347D6}"/>
    <hyperlink ref="A1025" r:id="rId769" display="https://www.google.com/url?q=http://poj.org/problem?id%3D2374&amp;sa=D&amp;ust=1605639551997000&amp;usg=AFQjCNHSZqyTtL8l5Q1oYLiNJJQGvybPGA" xr:uid="{6FB38FCD-D29D-4791-87BD-78E4C0ACCDA3}"/>
    <hyperlink ref="D1655" r:id="rId770" display="https://www.google.com/url?q=https://github.com/mostafa-saad/MyCompetitiveProgramming/blob/master/PKU/PKU_2374.txt&amp;sa=D&amp;ust=1605639551997000&amp;usg=AFQjCNFGYWCS_AvM2Tletu9w-hcTkWDqBA" xr:uid="{7A63D817-5BF7-43D2-A4D2-A2B5AFF31E1F}"/>
    <hyperlink ref="A1026" r:id="rId771" display="https://www.google.com/url?q=http://codeforces.com/contest/474/problem/F&amp;sa=D&amp;ust=1605639551998000&amp;usg=AFQjCNHpzuxyMOF45W4YAVd-w8FIQiWW9Q" xr:uid="{7C8C5CB0-58E7-48BF-BE91-B364CE5919E3}"/>
    <hyperlink ref="A1027" r:id="rId772" display="https://www.google.com/url?q=http://www.spoj.com/problems/ANDROUND&amp;sa=D&amp;ust=1605639551999000&amp;usg=AFQjCNGzSlnxmJ7T1pIqzWKjBUDiFTalgA" xr:uid="{2FA03211-7B21-4FA1-9E39-B42DA0045702}"/>
    <hyperlink ref="D1657" r:id="rId773" display="https://www.google.com/url?q=https://github.com/AliOsm/CompetitiveProgramming/blob/master/SPOJ/ANDROUND%2520-%2520AND%2520Rounds.cpp&amp;sa=D&amp;ust=1605639552000000&amp;usg=AFQjCNFA4yhhDcRVMqrqkq2oqqTqoaHYbA" xr:uid="{75797A52-8D9E-4067-A42C-94E6DE3EB0C4}"/>
    <hyperlink ref="A1029" r:id="rId774" display="https://www.google.com/url?q=https://codeforces.com/contest/1187/problem/D&amp;sa=D&amp;ust=1605639552000000&amp;usg=AFQjCNFYqX852-HuTfDaJn73Z-zmnpGcFg" xr:uid="{52CC3BB3-4459-4818-9D97-90CBF577EC3C}"/>
    <hyperlink ref="D1659" r:id="rId775" display="https://www.google.com/url?q=https://github.com/ajfabian/Competitive-Programming/blob/master/SPOJ/GOODE/a.cpp&amp;sa=D&amp;ust=1605639552001000&amp;usg=AFQjCNEv2d5BMi7rSpq8M9erSu8gZGCBkg" xr:uid="{662896B4-2CEB-466F-990C-EDB8364AE4CD}"/>
    <hyperlink ref="A1031" r:id="rId776" display="https://www.google.com/url?q=http://codeforces.com/contest/460/problem/C&amp;sa=D&amp;ust=1605639552001000&amp;usg=AFQjCNHgN2fjzafnbhRlI1kRRPcqAmSFtw" xr:uid="{5E9CB14C-1D9C-422F-B8AE-914FD83DB7CD}"/>
    <hyperlink ref="A1032" r:id="rId777" display="https://www.google.com/url?q=https://codeforces.com/problemset/problem/61/E&amp;sa=D&amp;ust=1605639552002000&amp;usg=AFQjCNHO4HjT1gowXhEu135vsuIBy-uXXw" xr:uid="{E1C0E3F1-5673-48B5-BDAD-526FDB52E7F9}"/>
    <hyperlink ref="D1661" r:id="rId778" display="https://www.google.com/url?q=https://github.com/SpeedOfMagic/CompetitiveProgramming/blob/master/Codeforces/CF61-D2-E.cpp&amp;sa=D&amp;ust=1605639552002000&amp;usg=AFQjCNG9_FN5m15WN20T9uvg2LtpyHk3Dg" xr:uid="{EEA4B567-BD36-4BD8-8F19-F1B2A8BDE679}"/>
    <hyperlink ref="A1033" r:id="rId779" display="https://www.google.com/url?q=https://github.com/TheRealImaginary/CompetitiveProgramming/blob/master/PKU/PKU_2019_Cornfields.java&amp;sa=D&amp;ust=1605639552002000&amp;usg=AFQjCNG2JyAH61pHSqEtU6GKe_BgodmVKg" xr:uid="{C6144FE5-3416-437B-B598-83101DC47092}"/>
    <hyperlink ref="D1662" r:id="rId780" display="https://www.google.com/url?q=https://github.com/MedoN11/CompetitiveProgramming/blob/master/POJ/2019.cpp&amp;sa=D&amp;ust=1605639552003000&amp;usg=AFQjCNETCBVw9aOyzPaEyKb_qnsk5xGMPw" xr:uid="{B6A8FEEB-7D55-4D20-B65A-8479DBD20B51}"/>
    <hyperlink ref="A1034" r:id="rId781" display="https://www.google.com/url?q=https://www.hackerrank.com/contests/101hack52/challenges/car-show&amp;sa=D&amp;ust=1605639552003000&amp;usg=AFQjCNGM11OguNlIBC5FPD5meqrm0G4Uyg" xr:uid="{57B79642-A52D-4BC9-9A88-25F3C5643CC7}"/>
    <hyperlink ref="A1035" r:id="rId782" display="https://www.google.com/url?q=https://uva.onlinejudge.org/index.php?option%3Dcom_onlinejudge%26Itemid%3D8%26page%3Dshow_problem%26problem%3D2397&amp;sa=D&amp;ust=1605639552003000&amp;usg=AFQjCNFIg2mTNMsc-hB6neQ5Q4XAr_7fWQ" xr:uid="{8B5EAB8F-E1FC-4BE5-AD59-4AE2380D1B08}"/>
    <hyperlink ref="D1664" r:id="rId783" display="https://www.google.com/url?q=https://github.com/hosamk92/CompetitiveProgramming/blob/master/UVA/UVA%252011402.cpp&amp;sa=D&amp;ust=1605639552004000&amp;usg=AFQjCNEzGl9xxlfqZ7gmcXrdY_AhQ_IdgA" xr:uid="{107EB207-F939-43FC-9F3A-040A6D39426B}"/>
    <hyperlink ref="A1036" r:id="rId784" display="https://www.google.com/url?q=https://www.hackerearth.com/practice/data-structures/queues/basics-of-queues/practice-problems/algorithm/weird-planet-2000a170/&amp;sa=D&amp;ust=1605639552004000&amp;usg=AFQjCNHGSuWxWkFK8Bg5TP0khOWTyDkueg" xr:uid="{1985E00D-60AD-469A-98AF-A19AC581C072}"/>
    <hyperlink ref="A1037" r:id="rId785" display="https://www.google.com/url?q=http://codeforces.com/gym/100739/problem/A&amp;sa=D&amp;ust=1605639552005000&amp;usg=AFQjCNHgqoX2DVO-oilakX1_22U5YXI9vg" xr:uid="{9721DD06-4E77-4BB1-BB68-C158049157FC}"/>
    <hyperlink ref="A1038" r:id="rId786" display="https://www.google.com/url?q=http://codeforces.com/contest/240/problem/F&amp;sa=D&amp;ust=1605639552006000&amp;usg=AFQjCNFZTH5JPkrPzDk04E6fgo9aIJAPwQ" xr:uid="{8EC1B401-1EF4-499D-8449-47684FD477EC}"/>
    <hyperlink ref="A1039" r:id="rId787" display="https://www.google.com/url?q=http://codeforces.com/contest/830/problem/B&amp;sa=D&amp;ust=1605639552006000&amp;usg=AFQjCNH9e3Fpp8dYFT6ZFTdfs61OQiVnCg" xr:uid="{0AF23432-0EEB-4759-83A0-274D723CD0C0}"/>
    <hyperlink ref="A1040" r:id="rId788" display="https://www.google.com/url?q=https://www.hackerearth.com/problem/algorithm/test-problem-13-1db9a7bd/&amp;sa=D&amp;ust=1605639552007000&amp;usg=AFQjCNFx3EqGm_8kiqu2G135qfbRrzBT4A" xr:uid="{BF913054-126B-4629-8C35-E31FC7DDF297}"/>
    <hyperlink ref="A1041" r:id="rId789" display="https://www.google.com/url?q=http://codeforces.com/contest/914/problem/D&amp;sa=D&amp;ust=1605639552008000&amp;usg=AFQjCNGb2w0iPVpVy642DeVUuL8n0uHc4Q" xr:uid="{61488672-0AEE-44D9-B7C0-6C85A6E5CB34}"/>
    <hyperlink ref="A1043" r:id="rId790" display="https://www.google.com/url?q=https://codeforces.com/gym/101992/problem/M&amp;sa=D&amp;ust=1605639552009000&amp;usg=AFQjCNG5my3k7Yld8JpgmHQAJaKEXE7TbA" xr:uid="{C1036A3A-CC22-48B8-A7FD-985BBB98DA90}"/>
    <hyperlink ref="D1672" r:id="rId791" display="https://www.google.com/url?q=https://github.com/3agwa/CompetitiveProgramming/blob/master/CodeForces/CFGYM-101992-M.cpp&amp;sa=D&amp;ust=1605639552009000&amp;usg=AFQjCNHW8ccJvBp9KswR-Wsd3Q2PdmaY9w" xr:uid="{E2C6CEB3-7AA5-4487-B8C5-AD60078D8F33}"/>
    <hyperlink ref="A1044" r:id="rId792" display="https://www.google.com/url?q=https://www.spoj.com/problems/PSEGTREE/&amp;sa=D&amp;ust=1605639552009000&amp;usg=AFQjCNGl2gorlSJ1ot9lyOmLhe07np6EPQ" xr:uid="{3A695F35-0BA3-4FA7-9762-B022904AB1E1}"/>
    <hyperlink ref="D1207" r:id="rId793" display="https://www.google.com/url?q=https://github.com/aabdelzaher/Competitive-Programming/blob/master/PKU/PKU1823.java&amp;sa=D&amp;ust=1605639552010000&amp;usg=AFQjCNFSeLVA78OBySbt_Z32_MzFjdMyyw" xr:uid="{59E95F23-C509-40E2-BD78-D9065B573167}"/>
    <hyperlink ref="A1046" r:id="rId794" display="https://www.google.com/url?q=http://www.spoj.com/problems/KGSS/&amp;sa=D&amp;ust=1605639552010000&amp;usg=AFQjCNELh1Z1k45kHDbvBwTCYi-17Dro8g" xr:uid="{7D1460BF-0242-4B76-95A1-73894DD06B3A}"/>
    <hyperlink ref="A1047" r:id="rId795" display="https://www.google.com/url?q=http://www.spoj.com/problems/CITY2/&amp;sa=D&amp;ust=1605639552011000&amp;usg=AFQjCNFFtS2hyv-0Y42ATLub1Dv9JQkXVw" xr:uid="{EE7F2B26-1C66-4789-A7A1-8B0F3B8FA3E0}"/>
    <hyperlink ref="D1209" r:id="rId796" display="https://www.google.com/url?q=https://github.com/mostafa-saad/MyCompetitiveProgramming/blob/master/SPOJ/SPOJ_CITY2.txt&amp;sa=D&amp;ust=1605639552011000&amp;usg=AFQjCNGrYyEnObaH6bVg70W-F0Rsik3hMw" xr:uid="{D9E45252-381B-443B-8772-64F267F982CA}"/>
    <hyperlink ref="A1048" r:id="rId797" display="https://www.google.com/url?q=http://www.spoj.com/problems/HELPR2D2&amp;sa=D&amp;ust=1605639552011000&amp;usg=AFQjCNHVX0iZSJ6fIafhux6zWBPz3ku0PA" xr:uid="{5E40460B-C36C-403C-AE6F-60AA73028B76}"/>
    <hyperlink ref="A1049" r:id="rId798" display="https://www.google.com/url?q=http://www.spoj.com/problems/LITE/&amp;sa=D&amp;ust=1605639552012000&amp;usg=AFQjCNFa4KnKJWVgLfMIy2-O4FbwnwOEmQ" xr:uid="{BDC4193F-C702-4844-A664-85AA086EF309}"/>
    <hyperlink ref="D1212" r:id="rId799" display="https://www.google.com/url?q=https://github.com/mostafa-saad/MyCompetitiveProgramming/blob/master/Timus/TIMUS_1724.txt&amp;sa=D&amp;ust=1605639552013000&amp;usg=AFQjCNErL3E5gu7BC6OkHUv7fOI8ODzyBA" xr:uid="{9391565F-B776-498F-9385-669DF4E21876}"/>
    <hyperlink ref="A1051" r:id="rId800" display="https://www.google.com/url?q=http://codeforces.com/contest/52/problem/C&amp;sa=D&amp;ust=1605639552013000&amp;usg=AFQjCNGhxoNoz1lDTJFMKJP9oEHi0SPGXA" xr:uid="{52240E43-3B8D-4982-BB36-AA60B22791AC}"/>
    <hyperlink ref="A1052" r:id="rId801" display="https://www.google.com/url?q=http://codeforces.com/contest/339/problem/D&amp;sa=D&amp;ust=1605639552014000&amp;usg=AFQjCNE9FZkSLt9Qb8hF3_zMGj-bkWDeOQ" xr:uid="{F95FFEEC-F804-4F76-B105-D6473829E66D}"/>
    <hyperlink ref="A1054" r:id="rId802" display="https://www.google.com/url?q=http://codeforces.com/contest/295/problem/A&amp;sa=D&amp;ust=1605639552015000&amp;usg=AFQjCNGhE9HMfDTB_pWCMHGS-3apL1odLw" xr:uid="{8130871E-2AF4-4E0D-9C01-274A026E1628}"/>
    <hyperlink ref="A1055" r:id="rId803" display="https://www.google.com/url?q=http://www.spoj.com/problems/MULTQ3/&amp;sa=D&amp;ust=1605639552015000&amp;usg=AFQjCNFpIq_YgyGVxhbmaKEf9YBLYXaSsA" xr:uid="{D290D803-ACA4-421D-8E6F-EAC49F85A27E}"/>
    <hyperlink ref="D679" r:id="rId804" display="https://www.google.com/url?q=https://github.com/BRAINOOOO/CompetitiveProgramming/blob/master/Spoj/SPOJ%2520MULTQ3.Cpp&amp;sa=D&amp;ust=1605639552015000&amp;usg=AFQjCNGy4NLV-ZPg0FeGBeVEppN4GY-amQ" xr:uid="{30E0D4E9-6DED-4A76-BD5B-D1600D272D1D}"/>
    <hyperlink ref="A1057" r:id="rId805" display="https://www.google.com/url?q=http://www.spoj.com/problems/HORRIBLE&amp;sa=D&amp;ust=1605639552016000&amp;usg=AFQjCNFhU3LEavjirrgqds0bdBV6EGUYZg" xr:uid="{8EC0DC79-BA59-47A4-A208-E4D7223BCAC5}"/>
    <hyperlink ref="A1058" r:id="rId806" display="https://www.google.com/url?q=http://www.spoj.com/problems/CNTPRIME&amp;sa=D&amp;ust=1605639552017000&amp;usg=AFQjCNHttBxJX7YuY3Godc_iKE4v67xsDA" xr:uid="{FC7CDBA2-13B5-473E-904F-9869DCF7B640}"/>
    <hyperlink ref="A1059" r:id="rId807" display="https://www.google.com/url?q=http://codeforces.com/problemset/gymProblem/100812/E&amp;sa=D&amp;ust=1605639552017000&amp;usg=AFQjCNFKNqsrY1HfN0mip0VtmQr07azNSw" xr:uid="{5B4FAD56-BD8E-4B0D-9A26-4B2E421DA36E}"/>
    <hyperlink ref="D683" r:id="rId808" display="https://www.google.com/url?q=https://github.com/3agwa/CompetitiveProgramming/blob/master/CodeForces/CF100812-GYM-E&amp;sa=D&amp;ust=1605639552017000&amp;usg=AFQjCNGP3Gx5Msan7PpmoF47EII4fdu5HQ" xr:uid="{F1F7E3F7-772A-45AE-8608-BE7E6450FDFD}"/>
    <hyperlink ref="A1060" r:id="rId809" display="https://www.google.com/url?q=http://codeforces.com/contest/85/problem/D&amp;sa=D&amp;ust=1605639552018000&amp;usg=AFQjCNF6VEVQte8mOQMo5DRqgkPwVoTHtQ" xr:uid="{FB064E3F-4413-427A-BC5D-25A5879CC724}"/>
    <hyperlink ref="A1061" r:id="rId810" display="https://www.google.com/url?q=http://www.spoj.com/problems/CDC12_H&amp;sa=D&amp;ust=1605639552018000&amp;usg=AFQjCNFadg1_57EzC-Gv7mfT2fqowGuKPQ" xr:uid="{4C90CA81-2314-4B4D-8AF6-1A56CCB7BB1E}"/>
    <hyperlink ref="A1062" r:id="rId811" display="https://www.google.com/url?q=https://www.codechef.com/problems/FLIPCOIN&amp;sa=D&amp;ust=1605639552019000&amp;usg=AFQjCNH7GHkz26DS9-uUEiMts7nFlB08rg" xr:uid="{9DCE9DE7-FF20-4ADD-A120-436491FD8EA9}"/>
    <hyperlink ref="A1063" r:id="rId812" display="https://www.google.com/url?q=https://icpcarchive.ecs.baylor.edu/index.php?option%3Dcom_onlinejudge%26Itemid%3D8%26page%3Dshow_problem%26problem%3D192&amp;sa=D&amp;ust=1605639552019000&amp;usg=AFQjCNGe8CJfkAz5Ln4EAUsSQrvdNmmewg" xr:uid="{137936E4-C39E-491B-8271-86DA50AFE3E8}"/>
    <hyperlink ref="A1068" r:id="rId813" display="https://www.google.com/url?q=https://uva.onlinejudge.org/index.php?option%3Dcom_onlinejudge%26Itemid%3D8%26page%3Dshow_problem%26problem%3D3977&amp;sa=D&amp;ust=1605639552020000&amp;usg=AFQjCNFU1UY6LpLQjzPRsa7--psP3iMB4Q" xr:uid="{2B76E8E4-0CFB-42FE-893E-1D61FEC30552}"/>
    <hyperlink ref="A1074" r:id="rId814" display="https://www.google.com/url?q=https://csacademy.com/contest/round-84/task/the-sprawl/statement/&amp;sa=D&amp;ust=1605639552022000&amp;usg=AFQjCNH37SpNr_Pcifj_YHJ4rGQ5Gh4FeA" xr:uid="{6B27C506-BC97-44A7-8D82-572364F79BFA}"/>
    <hyperlink ref="D5086" r:id="rId815" display="https://www.google.com/url?q=https://github.com/tmwilliamlin168/CompetitiveProgramming/blob/master/CSAcademy/84-F.cpp&amp;sa=D&amp;ust=1605639552022000&amp;usg=AFQjCNG_-DEAnhQ0lJ8ejZSCyY1hIOkuxA" xr:uid="{E6DAB667-5BE3-4D7C-B2FF-216DC211BF96}"/>
    <hyperlink ref="A1075" r:id="rId816" display="https://www.google.com/url?q=https://vjudge.net/problem/27056&amp;sa=D&amp;ust=1605639552023000&amp;usg=AFQjCNHIcsloZ9V5yNbQ6wsNqxCyz_1aLw" xr:uid="{0C80A65D-0CAB-4BCB-BA05-94743FF8D3B7}"/>
    <hyperlink ref="A1076" r:id="rId817" display="https://www.google.com/url?q=http://codeforces.com/contest/516/problem/D&amp;sa=D&amp;ust=1605639552024000&amp;usg=AFQjCNEao5TSAzDxixv0qxDxlf1eJ1SBgg" xr:uid="{21EFCC48-2EAB-496D-9AFE-A1432C677F17}"/>
    <hyperlink ref="D4666" r:id="rId818" display="https://www.google.com/url?q=https://github.com/Triplem5ds/Competitve-Programming/blob/master/Codeforces/CF516-D1-D.cpp&amp;sa=D&amp;ust=1605639552024000&amp;usg=AFQjCNGDaS-cdA3Hzg_eOybZRNAa6lOPhw" xr:uid="{777FCFDA-2A7B-483D-9006-C57396D4675C}"/>
    <hyperlink ref="A1077" r:id="rId819" display="https://www.google.com/url?q=https://codeforces.com/contest/1093/problem/E&amp;sa=D&amp;ust=1605639552025000&amp;usg=AFQjCNHSyaaSumK0NJPZR53zyLQp5NGQqg" xr:uid="{1D180866-A239-4940-95D7-B7E4EEF8BBCD}"/>
    <hyperlink ref="D4668" r:id="rId820" display="https://www.google.com/url?q=https://github.com/sggutier/CompetitiveProgramming/blob/master/SPOJ/SWAPS.cpp&amp;sa=D&amp;ust=1605639552025000&amp;usg=AFQjCNG6FdGrRS-O6oH3EpjUAx8l528wUg" xr:uid="{E92E0D56-64EE-4F00-B799-7755525CBDF3}"/>
    <hyperlink ref="A1079" r:id="rId821" display="https://www.google.com/url?q=http://codeforces.com/contest/504/problem/B&amp;sa=D&amp;ust=1605639552026000&amp;usg=AFQjCNGBWr3sTLLeg_SKvIjWsOOMz9HLkw" xr:uid="{CC82C4F3-29F8-44B7-A618-73486FFC4F47}"/>
    <hyperlink ref="A1080" r:id="rId822" display="https://www.google.com/url?q=http://codeforces.com/contest/542/problem/A&amp;sa=D&amp;ust=1605639552026000&amp;usg=AFQjCNGjZ_32WKxWTzxAyJvkB_Fvk6jqeQ" xr:uid="{13C7D12B-5CD6-414D-BA5B-04B912671E13}"/>
    <hyperlink ref="A1081" r:id="rId823" display="https://www.google.com/url?q=https://www.codechef.com/problems/URBANDEV&amp;sa=D&amp;ust=1605639552026000&amp;usg=AFQjCNGlzcFt00VxtojxNObsZvdoYTSpnw" xr:uid="{04A50B29-2F8A-48EA-BA74-E1F48733FA38}"/>
    <hyperlink ref="A1082" r:id="rId824" display="https://www.google.com/url?q=https://codeforces.com/contest/1087/problem/F&amp;sa=D&amp;ust=1605639552027000&amp;usg=AFQjCNGAlE7niIEgXMgWcK-U2qeb5WZqrw" xr:uid="{42CD76D1-02A6-4461-8B62-F3FBA7E4F53E}"/>
    <hyperlink ref="D4398" r:id="rId825" display="https://www.google.com/url?q=https://github.com/mostafa-saad/MyCompetitiveProgramming/blob/master/SPOJ/SPOJ_INCDSEQ.txt&amp;sa=D&amp;ust=1605639552027000&amp;usg=AFQjCNHvoumkdJ1njwF79NtHl-e3vzLydw" xr:uid="{98C0ABD5-B622-4C02-8623-82E5745F4D45}"/>
    <hyperlink ref="A1084" r:id="rId826" display="https://www.google.com/url?q=http://codeforces.com/contest/228/problem/D&amp;sa=D&amp;ust=1605639552028000&amp;usg=AFQjCNG5KKZYNHG6zUP7tcZYxeNZj6bidQ" xr:uid="{3E9D8B48-20AA-46D8-ABE4-F5599B877F28}"/>
    <hyperlink ref="A1085" r:id="rId827" display="https://www.google.com/url?q=https://onlinejudge.org/index.php?option%3Donlinejudge%26Itemid%3D8%26page%3Dshow_problem%26problem%3D2418&amp;sa=D&amp;ust=1605639552028000&amp;usg=AFQjCNEqlkEcZ6SKL8Yx4ZveLNAZNs09JA" xr:uid="{0EF30879-6EF5-4545-83C5-058737D2EB2C}"/>
    <hyperlink ref="D4058" r:id="rId828" display="https://www.google.com/url?q=https://github.com/shashank0107/CompetitiveProgramming/blob/master/UVA/11423.cpp&amp;sa=D&amp;ust=1605639552029000&amp;usg=AFQjCNFQpa8v3o9HWs26QLPq6QSDdLEBIw" xr:uid="{149B6695-369B-41F9-9E05-4CE41F78481D}"/>
    <hyperlink ref="A1086" r:id="rId829" display="https://www.google.com/url?q=https://www.codechef.com/problems/TEMPQUE&amp;sa=D&amp;ust=1605639552029000&amp;usg=AFQjCNGJ84rVwz5tjd7KLGI2C7tvR-6mEQ" xr:uid="{95F4ED1C-A1DF-40E2-A50D-31C43C296C5C}"/>
    <hyperlink ref="A1087" r:id="rId830" display="https://www.google.com/url?q=http://codeforces.com/contest/384/problem/E&amp;sa=D&amp;ust=1605639552029000&amp;usg=AFQjCNFGP97EeSgdE7MYvq9TSqynPQM0fQ" xr:uid="{647BB2E6-959A-4005-82B1-1146544D6CC6}"/>
    <hyperlink ref="D4061" r:id="rId831" display="https://www.google.com/url?q=https://www.quora.com/How-can-I-solve-a-KPMATRIX-problem-on-SPOJ&amp;sa=D&amp;ust=1605639552030000&amp;usg=AFQjCNEQTUtyO59oSV4H4xwrkwlO4aienw" xr:uid="{36414153-9CED-412B-BD31-DD36D239F5A0}"/>
    <hyperlink ref="D4062" r:id="rId832" display="https://www.google.com/url?q=https://github.com/mostafa-saad/MyCompetitiveProgramming/blob/master/SPOJ/SPOJ_INCDSEQ.txt&amp;sa=D&amp;ust=1605639552031000&amp;usg=AFQjCNF1SZJJmDHR9xWFF0uoK37n8uLF9w" xr:uid="{13FBC7A6-2F28-4E59-8D90-A772501FB0C4}"/>
    <hyperlink ref="A1090" r:id="rId833" display="https://www.google.com/url?q=http://codeforces.com/contest/5/problem/E&amp;sa=D&amp;ust=1605639552031000&amp;usg=AFQjCNFgs31oBHEKV7HzfgMgQmXZzE1kuw" xr:uid="{A9A34822-ADA9-4D8D-B213-56E62868B702}"/>
    <hyperlink ref="D4063" r:id="rId834" display="https://www.google.com/url?q=https://github.com/mostafa-saad/MyCompetitiveProgramming/blob/master/Codeforces/CF5-D12-E.txt&amp;sa=D&amp;ust=1605639552031000&amp;usg=AFQjCNFW3o8ClztrHY3pAOfaXk1mN69edA" xr:uid="{C18892CB-6801-4DE1-AA89-AB8460C32AC7}"/>
    <hyperlink ref="A1091" r:id="rId835" display="https://www.google.com/url?q=http://codeforces.com/contest/341/problem/D&amp;sa=D&amp;ust=1605639552032000&amp;usg=AFQjCNFmrUXbVcKNLSZn19wW_NNzTb2QuA" xr:uid="{AEC6225C-9504-449F-8166-EEB98097AE6B}"/>
    <hyperlink ref="A1092" r:id="rId836" display="https://www.google.com/url?q=http://codeforces.com/contest/301/problem/D&amp;sa=D&amp;ust=1605639552032000&amp;usg=AFQjCNE1C1aTY2daZFHHcecwA6iJfRuAIQ" xr:uid="{74698BE3-54DC-43D1-8073-BE4050AE3EBF}"/>
    <hyperlink ref="A1093" r:id="rId837" display="https://www.google.com/url?q=http://codeforces.com/contest/276/problem/E&amp;sa=D&amp;ust=1605639552033000&amp;usg=AFQjCNG5ks8Iu_WPtMBRs0xNV1GFQO0QEA" xr:uid="{9751C9C5-6CFF-4B30-80BB-AD7C6FFC3C95}"/>
    <hyperlink ref="A1095" r:id="rId838" display="https://www.google.com/url?q=http://codeforces.com/problemset/gymProblem/100812/F&amp;sa=D&amp;ust=1605639552033000&amp;usg=AFQjCNEJp8sHSwgnd9kc_2HvQWUvOJm2Jw" xr:uid="{A29CBC0F-53B2-401F-AC8C-28E61249EC1D}"/>
    <hyperlink ref="A1096" r:id="rId839" display="https://www.google.com/url?q=http://codeforces.com/contest/369/problem/E&amp;sa=D&amp;ust=1605639552034000&amp;usg=AFQjCNGUavB7BTpwyBoCA5Rx_Yn1oVX1vA" xr:uid="{AFE72119-CE9F-4124-9F40-D7324AC3A5D9}"/>
    <hyperlink ref="A1097" r:id="rId840" display="https://www.google.com/url?q=http://codeforces.com/contest/540/problem/E&amp;sa=D&amp;ust=1605639552034000&amp;usg=AFQjCNF87TAwE1_0N2QCcq1uR7KObPA1hA" xr:uid="{858726CD-CA1A-4367-B693-56C6068B5543}"/>
    <hyperlink ref="A1098" r:id="rId841" display="https://www.google.com/url?q=http://codeforces.com/contest/749/problem/E&amp;sa=D&amp;ust=1605639552036000&amp;usg=AFQjCNFqExnJ8ZiJdd9yw_FFyQqg9UBPww" xr:uid="{1F6DDA33-4FBC-4CED-A361-5BBCB9BCED44}"/>
    <hyperlink ref="A1099" r:id="rId842" display="https://www.google.com/url?q=http://codeforces.com/contest/538/problem/F&amp;sa=D&amp;ust=1605639552036000&amp;usg=AFQjCNFgleZi5slqtAddK371nfbUL6V_-g" xr:uid="{EF5A2DEC-2E15-48C7-929B-F3008A1F032A}"/>
    <hyperlink ref="D3951" r:id="rId843" display="https://www.google.com/url?q=https://github.com/tr0j4n034/SPOJ/blob/master/CRAYON.cpp&amp;sa=D&amp;ust=1605639552037000&amp;usg=AFQjCNGHAcAVdK2Cpc3dsuZCxHicikgB5A" xr:uid="{F04514F6-27DB-4B3C-916F-CCF01007F05F}"/>
    <hyperlink ref="A1116" r:id="rId844" display="https://www.google.com/url?q=http://codeforces.com/problemset/problem/899/F&amp;sa=D&amp;ust=1605639552037000&amp;usg=AFQjCNHQPp4QPc7QGdTUDLzl8sie2EAnAA" xr:uid="{E3D6F521-FFAF-4B60-9A4B-096BF09491C6}"/>
    <hyperlink ref="A1117" r:id="rId845" display="https://www.google.com/url?q=https://codeforces.com/contest/540/problem/E&amp;sa=D&amp;ust=1605639552037000&amp;usg=AFQjCNE-SOEhy6d8IhIdiyu2kxGDz0Zq9g" xr:uid="{D9B15B6B-F3F6-43CE-8092-17DFB537AAFD}"/>
    <hyperlink ref="A1118" r:id="rId846" display="https://www.google.com/url?q=http://codeforces.com/contest/827/problem/C&amp;sa=D&amp;ust=1605639552038000&amp;usg=AFQjCNHXk47iakuJht7FoJLi3ZproYlmJw" xr:uid="{958701D2-F8D4-4956-BE11-7FE38486A044}"/>
    <hyperlink ref="A1119" r:id="rId847" display="https://www.google.com/url?q=http://codeforces.com/contest/501/problem/D&amp;sa=D&amp;ust=1605639552038000&amp;usg=AFQjCNHWYifmg5vfWHxWj84TVugPgtR_AA" xr:uid="{7B47AF84-DC9D-4AF6-A3A8-1D4E7E746AF4}"/>
    <hyperlink ref="D3093" r:id="rId848" display="https://www.google.com/url?q=https://github.com/mostafa-saad/MyCompetitiveProgramming/blob/master/SPOJ/SPOJ_BRICKS.txt&amp;sa=D&amp;ust=1605639552039000&amp;usg=AFQjCNF0EQEZk_p-DGbwv30c46o_UbcWzw" xr:uid="{126F0BEA-E775-413F-A325-01D27AED1C16}"/>
    <hyperlink ref="A1121" r:id="rId849" display="https://www.google.com/url?q=https://onlinejudge.org/index.php?option%3Donlinejudge%26page%3Dshow_problem%26problem%3D1972&amp;sa=D&amp;ust=1605639552039000&amp;usg=AFQjCNH21GxQCpUvaVC5fpMxRUXCmgPUKQ" xr:uid="{4B7F6C61-261E-4840-992C-33CAA0A808E0}"/>
    <hyperlink ref="D3094" r:id="rId850" display="https://www.google.com/url?q=https://morris821028.github.io/2014/06/12/oj/uva/uva-11031/&amp;sa=D&amp;ust=1605639552040000&amp;usg=AFQjCNHEAQftRsYsJlR9sxbsmp4VIN6glA" xr:uid="{FAAB16F4-446C-483B-AEF4-626C65EB9019}"/>
    <hyperlink ref="D3095" r:id="rId851" display="https://www.google.com/url?q=https://github.com/miguelAlessandro/CompetitiveProgramming/blob/master/live_archive/4976.cpp&amp;sa=D&amp;ust=1605639552040000&amp;usg=AFQjCNGrizcEET7N1oXGbcjzMV31M6B-TA" xr:uid="{DF6B80E6-0739-4955-9870-34FDF29AFC58}"/>
    <hyperlink ref="A1123" r:id="rId852" display="https://www.google.com/url?q=http://codeforces.com/contest/629/problem/D&amp;sa=D&amp;ust=1605639552041000&amp;usg=AFQjCNHev-xSqBR8qbNrL0at4yhyalzopA" xr:uid="{14B270F2-FD5B-4FB8-B5FC-E75A0E7D48CB}"/>
    <hyperlink ref="A1124" r:id="rId853" display="https://www.google.com/url?q=https://open.kattis.com/problems/keepthemseparated&amp;sa=D&amp;ust=1605639552041000&amp;usg=AFQjCNFfXkluZnUL31KWMbJTshYuMZlH2A" xr:uid="{640B62CF-94D0-481F-8098-195F5090571C}"/>
    <hyperlink ref="D3097" r:id="rId854" display="https://www.google.com/url?q=https://github.com/nya-nya-meow/CompetitiveProgramming/blob/master/Kattis/keepthemseparated.cpp&amp;sa=D&amp;ust=1605639552041000&amp;usg=AFQjCNFwTdA6uDH_WQplwsAka7aGiC5NWg" xr:uid="{E8D806D3-ABBB-43D7-94B5-ECA1EB0E2997}"/>
    <hyperlink ref="A1125" r:id="rId855" display="https://www.google.com/url?q=http://codeforces.com/contest/431/problem/E&amp;sa=D&amp;ust=1605639552042000&amp;usg=AFQjCNEd4u28WEpKVodwHqfV4vSVVuWM_g" xr:uid="{D0C29F10-D872-497C-B795-C5DADD2EDD78}"/>
    <hyperlink ref="A1126" r:id="rId856" display="https://www.google.com/url?q=http://codeforces.com/contest/374/problem/D&amp;sa=D&amp;ust=1605639552042000&amp;usg=AFQjCNEPpXESXn7-6Uyyldcdh-zQZJSq2g" xr:uid="{E83CB0B9-9FAF-4815-ACB2-B4061EC9BF80}"/>
    <hyperlink ref="D3099" r:id="rId857" display="https://www.google.com/url?q=https://github.com/tmwilliamlin168/CompetitiveProgramming/blob/master/CodeForces/CF374-D2-D.cpp&amp;sa=D&amp;ust=1605639552042000&amp;usg=AFQjCNGBTzj0RagbZPdLx9RlKjyTQo7luA" xr:uid="{C3B8C263-2476-4D74-BA52-46150F8C280A}"/>
    <hyperlink ref="A1127" r:id="rId858" display="https://www.google.com/url?q=http://codeforces.com/contest/610/problem/D&amp;sa=D&amp;ust=1605639552043000&amp;usg=AFQjCNH9_90nQx0WL0ij-G8wAh6xLedYFQ" xr:uid="{8B4A4F7D-5762-4A69-B4B7-5803020507BB}"/>
    <hyperlink ref="A1129" r:id="rId859" display="https://www.google.com/url?q=http://codeforces.com/contest/191/problem/E&amp;sa=D&amp;ust=1605639552043000&amp;usg=AFQjCNF-AzF5A-hzvRVJ-kaJ62HqLdMhBw" xr:uid="{577E9AF9-ED93-4D8E-839E-0612811DBBFB}"/>
    <hyperlink ref="D2544" r:id="rId860" display="https://www.google.com/url?q=https://github.com/shashank0107/CompetitiveProgramming/blob/master/Topcoder/SRM315-D2-1000.cpp&amp;sa=D&amp;ust=1605639552044000&amp;usg=AFQjCNEJjZJDqzL2CdG6nZCAGmKIgcccZQ" xr:uid="{256D3B50-BA1B-441D-8291-22101E6A6D9B}"/>
    <hyperlink ref="A1132" r:id="rId861" display="https://www.google.com/url?q=https://codeforces.com/problemset/problem/12/D&amp;sa=D&amp;ust=1605639552045000&amp;usg=AFQjCNE_w-8yaADFa2Tz3hN3Ck8vb5mGUQ" xr:uid="{2617E027-EF70-42F4-9398-1B9B36BA7265}"/>
    <hyperlink ref="A1133" r:id="rId862" display="https://www.google.com/url?q=https://codeforces.com/contest/1268/problem/C&amp;sa=D&amp;ust=1605639552045000&amp;usg=AFQjCNFsuJM-aklCLCoUAvPNrgievDJYYw" xr:uid="{A4492029-2A83-47F5-AEFC-25762C3C6E82}"/>
    <hyperlink ref="A605" r:id="rId863" display="https://www.google.com/url?q=https://codeforces.com/contest/1285/problem/E&amp;sa=D&amp;ust=1605639552047000&amp;usg=AFQjCNFUMVffeGWbRkRrgjRBTpNmozJRfA" xr:uid="{ED8382AB-C043-460A-9E92-CEE78D6B7827}"/>
    <hyperlink ref="A607" r:id="rId864" display="https://www.google.com/url?q=http://codeforces.com/contest/985/problem/E&amp;sa=D&amp;ust=1605639552048000&amp;usg=AFQjCNFAF7Du9haAZ5qTYOLaNk9e2p4gYg" xr:uid="{4BBDB27F-8BC9-475B-B2E9-EB4B3EE90390}"/>
    <hyperlink ref="D1685" r:id="rId865" display="https://www.google.com/url?q=https://github.com/mostafa-saad/MyCompetitiveProgramming/blob/master/UVA/UVA_12697.txt&amp;sa=D&amp;ust=1605639552048000&amp;usg=AFQjCNEVh-clOcgEpaSI-ZyXjQfB2fbeWg" xr:uid="{5A733AD5-0A6C-4807-9DFE-D6617CD44875}"/>
    <hyperlink ref="D1686" r:id="rId866" display="https://www.google.com/url?q=https://github.com/shashank0107/CompetitiveProgramming/blob/master/SPOJ/DCEPC705.cpp&amp;sa=D&amp;ust=1605639552049000&amp;usg=AFQjCNFAmlZo1HnXNP0vphO3q2IYXKya3A" xr:uid="{0C2B5A61-8675-42D3-A620-79811DDEE28B}"/>
    <hyperlink ref="A610" r:id="rId867" display="https://www.google.com/url?q=http://codeforces.com/contest/597/problem/C&amp;sa=D&amp;ust=1605639552049000&amp;usg=AFQjCNF5RISe058DzOJ4eKmvPaDAJZr8uw" xr:uid="{E7A05466-3900-4230-8A42-CB5D6B039340}"/>
    <hyperlink ref="D1687" r:id="rId868" display="https://www.google.com/url?q=https://codeforces.com/contest/597/submission/14200939&amp;sa=D&amp;ust=1605639552049000&amp;usg=AFQjCNEM-JH-o9-kXDW7_oRM-C8Yt7bm6Q" xr:uid="{4297D260-849C-478D-8D98-0865BA22FD91}"/>
    <hyperlink ref="D1688" r:id="rId869" display="https://www.google.com/url?q=https://github.com/MeGaCrazy/CompetitiveProgramming/blob/c86a8f9935be057efbf0aa87b464b0740bcb41a4/UVA/UVA_1428.cpp&amp;sa=D&amp;ust=1605639552050000&amp;usg=AFQjCNFkbzvOI4yxybqwmehHCIaLjcKk4A" xr:uid="{BA92F815-93C0-4F09-B226-EE8EDE72A05D}"/>
    <hyperlink ref="D1689" r:id="rId870" display="https://www.google.com/url?q=https://github.com/magdy-hasan/competitive-programming/blob/master/SPOJ/SPOJ%2520NICEDAY%2520-%2520The%2520day%2520of%2520the%2520competitors.cpp&amp;sa=D&amp;ust=1605639552050000&amp;usg=AFQjCNF6CzqD244jHy3sqtVrsbfMjxiupg" xr:uid="{4724ABAC-99A1-47FB-9AC9-7DD71C1B142F}"/>
    <hyperlink ref="A613" r:id="rId871" display="https://www.google.com/url?q=https://devskill.com/CodingProblems/ViewProblem/422&amp;sa=D&amp;ust=1605639552051000&amp;usg=AFQjCNEPANmLKEpKfPIStHzaI-bfHFFQ_w" xr:uid="{0B0A62DC-EC55-4BF9-AF24-805F91A1220F}"/>
    <hyperlink ref="D1690" r:id="rId872" display="https://www.google.com/url?q=https://github.com/shashank0107/CompetitiveProgramming/blob/master/DCP/422.cpp&amp;sa=D&amp;ust=1605639552051000&amp;usg=AFQjCNGfv_gLTOPGTHpL91290o0ZHqA11Q" xr:uid="{F8444831-8BFB-4BDD-88A9-176B9F699846}"/>
    <hyperlink ref="D1691" r:id="rId873" display="https://www.google.com/url?q=https://github.com/MeGaCrazy/CompetitiveProgramming/blob/1804aa9c2f7169786363d83eeacd7a0a392653cb/SPOJ/SPOJ_ORDERSET.cpp&amp;sa=D&amp;ust=1605639552051000&amp;usg=AFQjCNHpSTHKnQikSZqJ5ot55wKzyvcEkA" xr:uid="{915DDBAA-05B8-4682-AB45-B9992374AB46}"/>
    <hyperlink ref="A617" r:id="rId874" display="https://www.google.com/url?q=https://codeforces.com/contest/1278/problem/E&amp;sa=D&amp;ust=1605639552053000&amp;usg=AFQjCNGWoh594ckMz62ZOkktJdF1URPUGg" xr:uid="{EB5C0F3F-7EBD-4E95-B053-6BF9DC7CF19D}"/>
    <hyperlink ref="A621" r:id="rId875" display="https://www.google.com/url?q=http://codeforces.com/contest/102/problem/D&amp;sa=D&amp;ust=1605639552054000&amp;usg=AFQjCNG9NAwDrUBaSu6fpMZupjnHmmRfUg" xr:uid="{C3DC36B5-08ED-438F-BF27-B269FB34F9F7}"/>
    <hyperlink ref="D1700" r:id="rId876" display="https://www.google.com/url?q=https://github.com/magdy-hasan/competitive-programming/blob/99949526fddbb0857a233c02342293b21e5f242d/uva-/uva%25201513%2520-%2520Movie%2520collection.cpp&amp;sa=D&amp;ust=1605639552055000&amp;usg=AFQjCNHBelPQeJEbrIlWfwUuTi_FKfE3uQ" xr:uid="{21800F1F-F7F2-41C0-A5C4-6F14CEE52027}"/>
    <hyperlink ref="D1702" r:id="rId877" display="https://www.google.com/url?q=https://github.com/shashank0107/CompetitiveProgramming/blob/master/SPOJ/INTERVA2.cpp&amp;sa=D&amp;ust=1605639552056000&amp;usg=AFQjCNHQb4iny_9U07mo251SVhzCbrtb0Q" xr:uid="{EE6D3566-AD47-4044-8886-CA79D355F8AC}"/>
    <hyperlink ref="A626" r:id="rId878" display="https://www.google.com/url?q=http://codeforces.com/contest/387/problem/E&amp;sa=D&amp;ust=1605639552056000&amp;usg=AFQjCNFyUAeBujaWIaq-GFp9clmfxxlIJA" xr:uid="{48B60F7B-BCFA-4E24-97E5-2D158E3AC981}"/>
    <hyperlink ref="A627" r:id="rId879" display="https://www.google.com/url?q=https://codingcompetitions.withgoogle.com/kickstart/round/0000000000050edd/00000000001a274e&amp;sa=D&amp;ust=1605639552057000&amp;usg=AFQjCNFa_oDNPbVYpZaQzv5_1y6vvrpTxw" xr:uid="{7CB40D6C-FE81-48C7-8646-DFEB7D0F8A90}"/>
    <hyperlink ref="D1215" r:id="rId880" display="https://www.google.com/url?q=https://github.com/farmerboy95/CompetitiveProgramming/blob/master/Google%2520Kickstart/Kickstart%252019-RH-A.cpp&amp;sa=D&amp;ust=1605639552057000&amp;usg=AFQjCNFM3mnzVn_46tGuc7Ok-itO-B1Tqw" xr:uid="{2F62EF00-5BDB-4CD3-BC51-FF9E05E2868C}"/>
    <hyperlink ref="D1217" r:id="rId881" display="https://www.google.com/url?q=https://github.com/mostafa-saad/MyCompetitiveProgramming/blob/master/TopCoder/SRM234-D1-1000.txt&amp;sa=D&amp;ust=1605639552059000&amp;usg=AFQjCNG50Qj80TOz8rX-KweqBoVids-xRA" xr:uid="{DCE0D199-F5C9-43BE-B321-24C3EF6868E8}"/>
    <hyperlink ref="D687" r:id="rId882" display="https://www.google.com/url?q=https://github.com/MohamedNabil97/CompetitiveProgramming/blob/master/Timus/1470.cpp&amp;sa=D&amp;ust=1605639552059000&amp;usg=AFQjCNExf3humRdsad0kkN2InOX0iYvNqg" xr:uid="{F12E368E-46D4-46AC-A386-97643EFD2341}"/>
    <hyperlink ref="D689" r:id="rId883" display="https://www.google.com/url?q=https://github.com/mostafa-saad/MyCompetitiveProgramming/blob/master/SPOJ/SPOJ_MSE06H.txt&amp;sa=D&amp;ust=1605639552060000&amp;usg=AFQjCNHORsXHOSDiEPufBEEJjsa7oeuv1A" xr:uid="{759F516D-3AE8-430B-A9BC-F383F8623CE9}"/>
    <hyperlink ref="D172" r:id="rId884" display="https://www.google.com/url?q=https://github.com/shashank0107/CompetitiveProgramming/blob/master/SPOJ/MATSUM.cpp&amp;sa=D&amp;ust=1605639552062000&amp;usg=AFQjCNFWDndxOuxyZuNTzZiapcvLnl268A" xr:uid="{92B88BC8-4163-491C-87BC-7DA9F43F6CEF}"/>
    <hyperlink ref="D174" r:id="rId885" display="https://www.google.com/url?q=https://github.com/shashank0107/CompetitiveProgramming/blob/master/SPOJ/SAS001.cpp&amp;sa=D&amp;ust=1605639552062000&amp;usg=AFQjCNFuhzNpFlmqrWps-aMHbopXm8ze3Q" xr:uid="{D36A3752-CF89-46FE-848E-110B730448F7}"/>
    <hyperlink ref="A645" r:id="rId886" display="https://www.google.com/url?q=http://codeforces.com/contest/261/problem/E&amp;sa=D&amp;ust=1605639552063000&amp;usg=AFQjCNE4OZtpmaWf5DgXT58K1uYVG2M7vA" xr:uid="{0CE11BD3-9313-43C9-9C93-96DE8721260E}"/>
    <hyperlink ref="A646" r:id="rId887" display="https://www.google.com/url?q=http://codeforces.com/contest/797/problem/F&amp;sa=D&amp;ust=1605639552064000&amp;usg=AFQjCNEeB1N7JZCCIRvZbZ9X2BTOAOQNYQ" xr:uid="{BA1A60A2-00F4-48CB-96AC-14C96ABA79A4}"/>
    <hyperlink ref="D5488" r:id="rId888" display="https://www.google.com/url?q=https://github.com/mostafa-saad/MyCompetitiveProgramming/blob/master/Codeforces/CF797-D12-F.txt&amp;sa=D&amp;ust=1605639552064000&amp;usg=AFQjCNHXWznj0PCQRThBUumsugzWwHmLJA" xr:uid="{759D9390-4265-4A9B-BEAD-CCDFED7CA9FF}"/>
    <hyperlink ref="A647" r:id="rId889" display="https://www.google.com/url?q=https://www.codechef.com/problems/SAFPAR&amp;sa=D&amp;ust=1605639552064000&amp;usg=AFQjCNEido7K12X6yp5s5uM0Om3FkIp8xA" xr:uid="{E15F455A-729A-4F3D-A3A8-725E48E1DE0E}"/>
    <hyperlink ref="D5402" r:id="rId890" display="https://www.google.com/url?q=https://github.com/tmwilliamlin168/CompetitiveProgramming/blob/master/CodeChef/SAFPAR.cpp&amp;sa=D&amp;ust=1605639552065000&amp;usg=AFQjCNFHePKQUZTAFUXQEj2Zemdj1sf52A" xr:uid="{D15FA768-2F1F-4E8C-BDB0-17D79F07EC2F}"/>
    <hyperlink ref="A649" r:id="rId891" display="https://www.google.com/url?q=https://www.hackerrank.com/challenges/demidenko-farmer&amp;sa=D&amp;ust=1605639552065000&amp;usg=AFQjCNG0pVmMv4WA7jxgvojl3sZ4ogldQg" xr:uid="{9BC63A3D-9569-403F-82B4-23EF1FCFD3C4}"/>
    <hyperlink ref="A650" r:id="rId892" display="https://www.google.com/url?q=https://www.codechef.com/problems/TREEBAL&amp;sa=D&amp;ust=1605639552066000&amp;usg=AFQjCNElKbMFzHAf5xftM56UVUrisFRkXQ" xr:uid="{51150BB9-3C8B-4A87-B045-EE397E1A245B}"/>
    <hyperlink ref="D5259" r:id="rId893" display="https://www.google.com/url?q=https://codeforces.com/blog/entry/47821&amp;sa=D&amp;ust=1605639552066000&amp;usg=AFQjCNEidAEbUr-VZOcwHWmZrH7M2nSLpg" xr:uid="{3A2DF2E8-D3DF-47A4-A72D-C13134FDA2D0}"/>
    <hyperlink ref="D5260" r:id="rId894" display="https://www.google.com/url?q=http://www.voidcn.com/article/p-ryedcrjb-bko.html&amp;sa=D&amp;ust=1605639552067000&amp;usg=AFQjCNFvhepVgB_Tef3cFSBfR7pEoq_3aw" xr:uid="{E4EF4614-BE60-4222-B872-EB7F9E241C0B}"/>
    <hyperlink ref="A652" r:id="rId895" display="https://www.google.com/url?q=http://codeforces.com/contest/388/problem/D&amp;sa=D&amp;ust=1605639552067000&amp;usg=AFQjCNFUbpDsJ-jZ4CH2LWwla5OtxTs7nw" xr:uid="{CA764206-9A4A-4CF6-BBA9-95C654567871}"/>
    <hyperlink ref="A653" r:id="rId896" display="https://www.google.com/url?q=https://www.hackerrank.com/contests/codeagon/challenges/quadruple-counting/problem&amp;sa=D&amp;ust=1605639552067000&amp;usg=AFQjCNGra1LilQo1iRDn4sKepY7-j5eFiQ" xr:uid="{3AEBE8E8-385C-4AEA-806B-947AA8A4579C}"/>
    <hyperlink ref="A654" r:id="rId897" display="https://www.google.com/url?q=https://www.hackerrank.com/contests/codeagon/challenges/julia-and-operational-summation&amp;sa=D&amp;ust=1605639552068000&amp;usg=AFQjCNHpq2UWJePM-hS-Spgpyi1gwAT4Bg" xr:uid="{27459204-90B4-4632-B3B1-4A409CF3212F}"/>
    <hyperlink ref="A656" r:id="rId898" display="https://www.google.com/url?q=https://agc007.contest.atcoder.jp/tasks/agc007_e&amp;sa=D&amp;ust=1605639552070000&amp;usg=AFQjCNEbkdqrpI0GwpjFzysdT63g-qVR0w" xr:uid="{B10E95D2-365C-40EE-9DA0-9489A3EAF22A}"/>
    <hyperlink ref="A657" r:id="rId899" display="https://www.google.com/url?q=https://codeforces.com/contest/1103/problem/D&amp;sa=D&amp;ust=1605639552070000&amp;usg=AFQjCNGHduNrqfEAwMSpx8XlqwciO2s3PA" xr:uid="{7FDA5A1F-6E5B-4AE3-8C5C-E94A38B3E2F7}"/>
    <hyperlink ref="A658" r:id="rId900" display="https://www.google.com/url?q=https://codeforces.com/problemset/problem/354/E&amp;sa=D&amp;ust=1605639552071000&amp;usg=AFQjCNE33M4Al6_34iY3-Mu7N9LRegFheA" xr:uid="{89945C6E-E169-4179-B315-7619329AFA9C}"/>
    <hyperlink ref="A659" r:id="rId901" display="https://www.google.com/url?q=https://codeforces.com/contest/518/problem/F&amp;sa=D&amp;ust=1605639552072000&amp;usg=AFQjCNFzyEqIt2dwrTSyHKh4w-LZePMOsA" xr:uid="{CBA745C4-5366-488A-A9EE-6F573A663D93}"/>
    <hyperlink ref="A660" r:id="rId902" display="https://www.google.com/url?q=http://codeforces.com/contest/453/problem/D&amp;sa=D&amp;ust=1605639552072000&amp;usg=AFQjCNHfy0-kdxZZQynk4loTbcTJdZvnZA" xr:uid="{EEEA5F60-F48B-49ED-A70D-539D14387765}"/>
    <hyperlink ref="A661" r:id="rId903" display="https://www.google.com/url?q=http://codeforces.com/contest/228/problem/C&amp;sa=D&amp;ust=1605639552073000&amp;usg=AFQjCNEFU22VZH-CVs42Bzmw0OlKJ6Ej1w" xr:uid="{07F90B43-397D-4359-B52A-3887BE6098C8}"/>
    <hyperlink ref="A662" r:id="rId904" display="https://www.google.com/url?q=http://codeforces.com/contest/254/problem/E&amp;sa=D&amp;ust=1605639552073000&amp;usg=AFQjCNEyH6U9hltxTAbZygD7S9-PoZ3Ryw" xr:uid="{417E04FC-3F6D-49D9-9CD2-911381AB63C5}"/>
    <hyperlink ref="A663" r:id="rId905" display="https://www.google.com/url?q=http://codeforces.com/contest/526/problem/E&amp;sa=D&amp;ust=1605639552074000&amp;usg=AFQjCNEp2atG_PXx000LI-NOzXHtMNEvAA" xr:uid="{4A9C41A9-476A-4941-B4C1-08FDC7038D43}"/>
    <hyperlink ref="A665" r:id="rId906" display="https://www.google.com/url?q=http://codeforces.com/contest/438/problem/C&amp;sa=D&amp;ust=1605639552075000&amp;usg=AFQjCNHnb7tQNraNOLd6JvZ4Q7u51saCOw" xr:uid="{46C01885-5AA8-4AF1-92CE-99D01EC6EE01}"/>
    <hyperlink ref="A666" r:id="rId907" display="https://www.google.com/url?q=http://codeforces.com/contest/353/problem/E&amp;sa=D&amp;ust=1605639552075000&amp;usg=AFQjCNGasNx_y4lHRkHOoJCj8coEM5dFug" xr:uid="{D8D6BC45-BB78-4C9D-9476-19D27A2EFA6C}"/>
    <hyperlink ref="A667" r:id="rId908" display="https://www.google.com/url?q=http://codeforces.com/contest/316/problem/D3&amp;sa=D&amp;ust=1605639552076000&amp;usg=AFQjCNHPtZrgdEKYIXnKLJn2V_3QUykBcQ" xr:uid="{FDB0F90B-B8B8-48E1-983D-FE8D276114CB}"/>
    <hyperlink ref="A668" r:id="rId909" display="https://www.google.com/url?q=http://codeforces.com/contest/57/problem/D&amp;sa=D&amp;ust=1605639552076000&amp;usg=AFQjCNFxAk0lo38cSwnAjqX56hCbPlr-RQ" xr:uid="{2AE4AD80-B4A0-4AD5-8720-220F6E16D05C}"/>
    <hyperlink ref="A669" r:id="rId910" display="https://www.google.com/url?q=https://www.acmicpc.net/problem/5962&amp;sa=D&amp;ust=1605639552077000&amp;usg=AFQjCNEqExuixlkF_VSlxcNEuol_O5rG0w" xr:uid="{331FE690-AC0C-4A5B-BC56-208DE3A8F052}"/>
    <hyperlink ref="D5278" r:id="rId911" display="https://www.google.com/url?q=http://algorithms-live.blogspot.com/2017/02/episode-9-solution-bags.html&amp;sa=D&amp;ust=1605639552077000&amp;usg=AFQjCNFwCit1wcNUP8l6O3j5odmGr4o4WA" xr:uid="{2479B622-646D-4D2B-83CC-001FB7447AC2}"/>
    <hyperlink ref="A671" r:id="rId912" display="https://www.google.com/url?q=http://codeforces.com/contest/722/problem/E&amp;sa=D&amp;ust=1605639552078000&amp;usg=AFQjCNHzbzzj6sEsXwen9eMkx4-NxcoYsg" xr:uid="{5B4ED8EB-CEFC-454C-A122-F3E9747CE573}"/>
    <hyperlink ref="A672" r:id="rId913" display="https://www.google.com/url?q=http://agc033.contest.atcoder.jp/tasks/agc033_d&amp;sa=D&amp;ust=1605639552078000&amp;usg=AFQjCNFTWtDIm6XoGVi0SvlS8bXE0ynUOA" xr:uid="{33D6811B-D822-4810-AAC0-1FDF79782470}"/>
    <hyperlink ref="D5090" r:id="rId914" display="https://www.google.com/url?q=https://github.com/MetalBall887/Competitive-Programming/blob/master/AtCoder/AtCoder033-AGC-D.cpp&amp;sa=D&amp;ust=1605639552079000&amp;usg=AFQjCNG3oh-OErguQC_ceWv_1lqZ4I_H8A" xr:uid="{94D70E2D-C8EB-4144-A19E-BE63BBFC9B57}"/>
    <hyperlink ref="A673" r:id="rId915" display="https://www.google.com/url?q=http://codeforces.com/contest/178/problem/F2&amp;sa=D&amp;ust=1605639552079000&amp;usg=AFQjCNFGToFZumB130NrZYoBPc6PcsSgRg" xr:uid="{AA750BF8-90C0-4A7B-B535-6F9D284E7BC9}"/>
    <hyperlink ref="A674" r:id="rId916" display="https://www.google.com/url?q=https://codeforces.com/problemset/problem/1131/G&amp;sa=D&amp;ust=1605639552079000&amp;usg=AFQjCNHR5gJ8C6YZ5xsG-8XXe8GRtyVxlg" xr:uid="{A1CB027D-980E-4D9C-9945-EA3F1C87E637}"/>
    <hyperlink ref="A675" r:id="rId917" display="https://www.google.com/url?q=http://codeforces.com/gym/101064/problem/L&amp;sa=D&amp;ust=1605639552080000&amp;usg=AFQjCNFou4605R_rxL5UJmYX7SPl-TifKA" xr:uid="{FAE41D06-23D1-4CA7-8BDE-394D04900285}"/>
    <hyperlink ref="A685" r:id="rId918" display="https://www.google.com/url?q=http://agc036.contest.atcoder.jp/tasks/agc036_d&amp;sa=D&amp;ust=1605639552080000&amp;usg=AFQjCNFMkwBqDv32W3GSlljbTZ0e97wLrQ" xr:uid="{DD04144D-C80C-4372-B7DA-DFC0F2079156}"/>
    <hyperlink ref="A1135" r:id="rId919" display="https://www.google.com/url?q=http://codeforces.com/contest/979/problem/E&amp;sa=D&amp;ust=1605639552081000&amp;usg=AFQjCNElSmTc_z845XlrEv2i9PocQmsklg" xr:uid="{2D430A0F-4009-4EF2-8C01-9E27C6835704}"/>
    <hyperlink ref="A1136" r:id="rId920" display="https://www.google.com/url?q=http://codeforces.com/contest/477/problem/D&amp;sa=D&amp;ust=1605639552082000&amp;usg=AFQjCNG983KP3s0WFIR_Gp__0xUL3GB9GA" xr:uid="{83A84E82-0BB9-41F1-A979-8F5E329AA673}"/>
    <hyperlink ref="A1138" r:id="rId921" display="https://www.google.com/url?q=http://codeforces.com/contest/939/problem/F&amp;sa=D&amp;ust=1605639552083000&amp;usg=AFQjCNG0NA3Pv7BixMpDGLltiJsPjL2p4g" xr:uid="{07BDCE26-F74B-470F-9E29-20407FFBE703}"/>
    <hyperlink ref="D5026" r:id="rId922" display="https://www.google.com/url?q=https://github.com/mostafa-saad/MyCompetitiveProgramming/blob/master/Codeforces/CF939-D2-F.txt&amp;sa=D&amp;ust=1605639552083000&amp;usg=AFQjCNGmnfiEjL7I5-YgwaWLj1Kt7vSElQ" xr:uid="{EB58EBDA-C315-4138-9017-360AB63ABE4A}"/>
    <hyperlink ref="D4672" r:id="rId923" display="https://www.google.com/url?q=https://github.com/shanto86/Training/blob/master/TopCoder/SRM452-D1-500.cpp&amp;sa=D&amp;ust=1605639552084000&amp;usg=AFQjCNFZ9vbF346BnDADjx5P3ce4LSuoog" xr:uid="{49E166BF-A518-41E9-8A7D-94E9202A363A}"/>
    <hyperlink ref="A1140" r:id="rId924" display="https://www.google.com/url?q=http://codeforces.com/contest/150/problem/D&amp;sa=D&amp;ust=1605639552084000&amp;usg=AFQjCNF-mtibEHAjjRvGgoxYnYgGGtFp_A" xr:uid="{80405990-577F-4EBB-8E82-250275803AC2}"/>
    <hyperlink ref="A1141" r:id="rId925" display="https://www.google.com/url?q=http://codeforces.com/contest/58/problem/E&amp;sa=D&amp;ust=1605639552085000&amp;usg=AFQjCNGszz0TEZFFhO8rTMwZGLRdu_84Cw" xr:uid="{114623E0-69DB-4B5A-A279-808D53D283B1}"/>
    <hyperlink ref="A1142" r:id="rId926" display="https://www.google.com/url?q=https://codeforces.com/contest/913/problem/F&amp;sa=D&amp;ust=1605639552085000&amp;usg=AFQjCNFaZsIUux4uOZl1cPzzNhYX6ONnuA" xr:uid="{A283FC35-3AA3-4D6F-BFEA-C19E89131B38}"/>
    <hyperlink ref="A1137" r:id="rId927" display="https://www.google.com/url?q=http://codeforces.com/contest/407/problem/D&amp;sa=D&amp;ust=1605639552086000&amp;usg=AFQjCNEhInVdFnRghgtW6iK9E8LlJGMTlg" xr:uid="{B3D9BE77-572D-4A47-8E65-AECAD914C08A}"/>
    <hyperlink ref="A1143" r:id="rId928" display="https://www.google.com/url?q=http://codeforces.com/contest/1055/problem/E&amp;sa=D&amp;ust=1605639552086000&amp;usg=AFQjCNGwXJ-_XniFGvowvhrzS0jc8dpG9g" xr:uid="{C8D7E162-CCDD-4ACB-97CB-09E4795D3FB5}"/>
    <hyperlink ref="A1144" r:id="rId929" display="https://www.google.com/url?q=https://www.codechef.com/problems/BIPFAMIL&amp;sa=D&amp;ust=1605639552087000&amp;usg=AFQjCNFe8inORzXynqqSLM281h9qrqlHLw" xr:uid="{758B9852-FAFC-41F6-A396-91766278C905}"/>
    <hyperlink ref="A1145" r:id="rId930" display="https://www.google.com/url?q=https://atcoder.jp/contests/agc035/tasks/agc035_d&amp;sa=D&amp;ust=1605639552087000&amp;usg=AFQjCNFqRgwvvThvbfAPU4DPpG78Nhhcew" xr:uid="{8B5CCA47-F573-4ADA-ABD2-0E614AF3F6A6}"/>
    <hyperlink ref="A1146" r:id="rId931" display="https://www.google.com/url?q=https://codeforces.com/contest/1146/problem/H&amp;sa=D&amp;ust=1605639552088000&amp;usg=AFQjCNHwIEz2B7TJSgeCSM9Rvni0E_IWUA" xr:uid="{08CDE0F1-53D9-4903-82C0-C8E1307F3D57}"/>
    <hyperlink ref="A1147" r:id="rId932" display="https://www.google.com/url?q=https://codeforces.com/contest/1056/problem/F&amp;sa=D&amp;ust=1605639552088000&amp;usg=AFQjCNH9Re-ks6W4rDWpNxted7CUZR78bQ" xr:uid="{5A0F719C-DE64-4FF8-BC6D-104B191FB771}"/>
    <hyperlink ref="A1148" r:id="rId933" display="https://www.google.com/url?q=http://codeforces.com/contest/126/problem/D&amp;sa=D&amp;ust=1605639552089000&amp;usg=AFQjCNGITcg5zN67MpyEU_bPJdCEIK4L5g" xr:uid="{6D62A08A-B058-4D25-B5AC-1F0BC7D7FF9A}"/>
    <hyperlink ref="D4683" r:id="rId934" display="https://www.google.com/url?q=https://github.com/shanto86/Training/blob/master/TopCoder/SRM315-D1-1000.cpp&amp;sa=D&amp;ust=1605639552089000&amp;usg=AFQjCNEzZLSFAnU9HGtiYdGFpq5bljwC3w" xr:uid="{43B502E2-F3C1-419F-AAC1-ED6BC5CA7CC1}"/>
    <hyperlink ref="A1150" r:id="rId935" display="https://www.google.com/url?q=https://atcoder.jp/contests/arc086/tasks/arc086_c&amp;sa=D&amp;ust=1605639552089000&amp;usg=AFQjCNEWjgOmWw4ZmDMunqjwi0dCOkJclA" xr:uid="{0287A581-D9F5-4BCB-9B72-8E57599EC65E}"/>
    <hyperlink ref="A1151" r:id="rId936" display="https://www.google.com/url?q=https://www.facebook.com/hackercup/problem/359971574540051/&amp;sa=D&amp;ust=1605639552090000&amp;usg=AFQjCNECGejatsNycMPC83BODjDJJ0Mjeg" xr:uid="{4EF4D703-B07C-4263-9653-0E605DA161E3}"/>
    <hyperlink ref="D4686" r:id="rId937" display="https://www.google.com/url?q=https://github.com/shanto86/Training/blob/master/TopCoder/SRM728-D1-500.cpp&amp;sa=D&amp;ust=1605639552090000&amp;usg=AFQjCNHsH8QsmpdUFDH-FkuTiLZmVqQJ1Q" xr:uid="{071DE8F7-F906-4FD8-81D8-8144DC6C95AC}"/>
    <hyperlink ref="A1153" r:id="rId938" display="https://www.google.com/url?q=https://atcoder.jp/contests/yahoo-procon2019-qual/tasks/yahoo_procon2019_qual_d&amp;sa=D&amp;ust=1605639552091000&amp;usg=AFQjCNEI3kvw4E9HxcHtC0qCe8yXa0C23w" xr:uid="{2C76ED03-0C20-4489-9E8E-97BA028CB1C6}"/>
    <hyperlink ref="A1154" r:id="rId939" display="https://www.google.com/url?q=https://www.facebook.com/hackercup/problem/469838700128124/&amp;sa=D&amp;ust=1605639552091000&amp;usg=AFQjCNFDfOmCG8ZH0lbTllgfpi-Rj_A_Ew" xr:uid="{68803275-BDED-4D54-91B1-38046B50F68B}"/>
    <hyperlink ref="A1155" r:id="rId940" display="https://www.google.com/url?q=http://codeforces.com/contest/356/problem/D&amp;sa=D&amp;ust=1605639552092000&amp;usg=AFQjCNHWdg_hcgpgz4-_5-xIHqTBZ0VunQ" xr:uid="{EFA5E643-DDAB-4A7A-840E-B9FA7732C818}"/>
    <hyperlink ref="A1156" r:id="rId941" display="https://www.google.com/url?q=http://codeforces.com/contest/365/problem/D&amp;sa=D&amp;ust=1605639552092000&amp;usg=AFQjCNHONZeICklIoHIHc0qtuytserZ1ng" xr:uid="{6F606FCC-B92F-4B74-AC62-A1B1B0CA085C}"/>
    <hyperlink ref="A1157" r:id="rId942" display="https://www.google.com/url?q=http://codeforces.com/contest/655/problem/E&amp;sa=D&amp;ust=1605639552093000&amp;usg=AFQjCNEu5VIqfRCEyEjRoAXoG3ld6wSaoQ" xr:uid="{CFBC4BBA-C92A-4E12-9B11-C9672E22A5F6}"/>
    <hyperlink ref="A1165" r:id="rId943" display="https://www.google.com/url?q=https://www.codechef.com/OCT18A/problems/BBRICKS&amp;sa=D&amp;ust=1605639552096000&amp;usg=AFQjCNEO9hiGogzEu2J5OLJtUE0ZERAqbA" xr:uid="{25DF2C5B-A824-4FA9-A880-351FE982B868}"/>
    <hyperlink ref="D4699" r:id="rId944" display="https://www.google.com/url?q=https://discuss.codechef.com/questions/137810/bbricks-editorial&amp;sa=D&amp;ust=1605639552097000&amp;usg=AFQjCNG5h04aLP_QRHIho1SWEQL4dUPBhQ" xr:uid="{EF8AD372-61DB-435A-B454-B17905A2B356}"/>
    <hyperlink ref="A1237" r:id="rId945" display="https://www.google.com/url?q=http://codeforces.com/contest/261/problem/D&amp;sa=D&amp;ust=1605639552097000&amp;usg=AFQjCNH_kudZqKD2Vt-JYfYJwjBZKgb9Hg" xr:uid="{04091B8B-9D54-4652-867C-9DDD389E57A4}"/>
    <hyperlink ref="A1239" r:id="rId946" display="https://www.google.com/url?q=http://codeforces.com/gym/101492/problem/J&amp;sa=D&amp;ust=1605639552098000&amp;usg=AFQjCNHRSs8CsZXDSGoxPXXI1MUA9iAQMw" xr:uid="{8F408714-C5E1-4D13-A467-B0EF66D4681E}"/>
    <hyperlink ref="A1240" r:id="rId947" display="https://www.google.com/url?q=https://www.codechef.com/problems/RIVER&amp;sa=D&amp;ust=1605639552098000&amp;usg=AFQjCNEArxEzNCaiRPANlyNiJ_0h_MvqwA" xr:uid="{D126AB42-DD76-4991-85B1-EE90E3636605}"/>
    <hyperlink ref="A1241" r:id="rId948" display="https://www.google.com/url?q=http://codeforces.com/contest/95/problem/E&amp;sa=D&amp;ust=1605639552099000&amp;usg=AFQjCNGtaGdSjvNI2ZYu44tYGv97LvYlmw" xr:uid="{9498461C-61CB-47A7-A8D4-E1EA164BE58C}"/>
    <hyperlink ref="A1243" r:id="rId949" display="https://www.google.com/url?q=http://codeforces.com/contest/685/problem/E&amp;sa=D&amp;ust=1605639552100000&amp;usg=AFQjCNEWq5ZpobZVucaRQyFu509coDAUyw" xr:uid="{444C27BB-0D98-484D-9742-0A1A36C551D1}"/>
    <hyperlink ref="A1246" r:id="rId950" display="https://www.google.com/url?q=http://codeforces.com/contest/352/problem/E&amp;sa=D&amp;ust=1605639552101000&amp;usg=AFQjCNEM6ljM0mrvLIBxNuwGpHn7-ta97Q" xr:uid="{3EF40A13-5F64-44BF-A80B-1466340D95B1}"/>
    <hyperlink ref="A1247" r:id="rId951" display="https://www.google.com/url?q=http://codeforces.com/contest/77/problem/D&amp;sa=D&amp;ust=1605639552102000&amp;usg=AFQjCNHRW8QOM_jwpjQJrGnK2YPsRJT4xw" xr:uid="{F501B4D6-98E7-4619-8684-51613B5DDC70}"/>
    <hyperlink ref="A1248" r:id="rId952" display="https://www.google.com/url?q=http://codeforces.com/contest/198/problem/D&amp;sa=D&amp;ust=1605639552102000&amp;usg=AFQjCNF3pA-yuE4FffIBXuLPc0qThOOL3w" xr:uid="{942B5092-6512-40CE-B3CB-BA186D1491F3}"/>
    <hyperlink ref="A1249" r:id="rId953" display="https://www.google.com/url?q=http://codeforces.com/contest/283/problem/D&amp;sa=D&amp;ust=1605639552102000&amp;usg=AFQjCNF0E9ri_hxt1zfebn2BUa4Rt8_FuQ" xr:uid="{8829FD67-9D88-417E-962B-439E115BAA9A}"/>
    <hyperlink ref="A1250" r:id="rId954" display="https://www.google.com/url?q=http://codeforces.com/gym/101490/attachments/download/5853/2016-benelux-algorithm-programming-contest-bapc-16-en.pdf&amp;sa=D&amp;ust=1605639552103000&amp;usg=AFQjCNESlA2V-fSGiw2QPYdOtVTHS-xH9g" xr:uid="{31AF0C2A-39B8-4D11-AB49-0A2398AE6B66}"/>
    <hyperlink ref="D4713" r:id="rId955" display="https://www.google.com/url?q=https://github.com/MedoN11/CompetitiveProgramming/blob/master/CodeForces/CF101490-GYM-H.cpp&amp;sa=D&amp;ust=1605639552103000&amp;usg=AFQjCNGpNL7vlWqzm2xpmQQkMJtd5kCK-A" xr:uid="{A7C3EF46-D560-4325-8203-8C18F51B794C}"/>
    <hyperlink ref="A1251" r:id="rId956" display="https://www.google.com/url?q=http://codeforces.com/problemset/problem/1065/G&amp;sa=D&amp;ust=1605639552103000&amp;usg=AFQjCNFLhNu4W1PWYd0JaatE_cydgi-mDw" xr:uid="{3C7D4310-606F-41A2-8EA9-07E66A4F12DB}"/>
    <hyperlink ref="A1326" r:id="rId957" display="https://www.google.com/url?q=https://codeforces.com/contest/1178/problem/F2&amp;sa=D&amp;ust=1605639552104000&amp;usg=AFQjCNGk4Yv0oDUknbCXwn7UrkoIHy24kg" xr:uid="{8F3BC714-360C-4D0F-A7EA-13145DC24A00}"/>
    <hyperlink ref="A1327" r:id="rId958" display="https://www.google.com/url?q=http://codeforces.com/contest/500/problem/F&amp;sa=D&amp;ust=1605639552104000&amp;usg=AFQjCNECbHle8DwwvuEqs2-2mgEFgbEVUg" xr:uid="{9F6867C3-0EC9-47CA-BD2B-55B1A24108D9}"/>
    <hyperlink ref="A1328" r:id="rId959" display="https://www.google.com/url?q=http://codeforces.com/contest/801/problem/E&amp;sa=D&amp;ust=1605639552105000&amp;usg=AFQjCNEwJsjiljyB2-fOlGyODlXcSggDmA" xr:uid="{DD934F8F-E5FE-492A-9BB0-99EC169ACDC0}"/>
    <hyperlink ref="A1329" r:id="rId960" display="https://www.google.com/url?q=https://www.facebook.com/hackercup/problem/421194065345355/&amp;sa=D&amp;ust=1605639552105000&amp;usg=AFQjCNG62Tl5iNlGnFkGgm6Z7Ur6YvilFQ" xr:uid="{ED09EC27-BCD4-43C9-AD36-E9F8D1FFB7F2}"/>
    <hyperlink ref="A1330" r:id="rId961" display="https://www.google.com/url?q=http://agc019.contest.atcoder.jp/tasks/agc019_d&amp;sa=D&amp;ust=1605639552107000&amp;usg=AFQjCNFKYfgszcpD2o2tyglZTZD-eADVmw" xr:uid="{4201C8E8-AA4C-4E83-8DCF-EBBA057B5437}"/>
    <hyperlink ref="A1331" r:id="rId962" display="https://www.google.com/url?q=http://codeforces.com/contest/650/problem/D&amp;sa=D&amp;ust=1605639552107000&amp;usg=AFQjCNHROW8NX2SgSQDqQl5srpq4mBpsew" xr:uid="{EAA666F6-DBBC-4187-98D6-562E39D7EC6D}"/>
    <hyperlink ref="A1364" r:id="rId963" display="https://www.google.com/url?q=http://codeforces.com/problemset/gymProblem/101522/J&amp;sa=D&amp;ust=1605639552108000&amp;usg=AFQjCNEzn8I3WpMLViquVBLXwNBVuOidnw" xr:uid="{2C065DF0-2D96-40EA-9BB5-351A7C7DA3C7}"/>
    <hyperlink ref="D4407" r:id="rId964" display="https://www.google.com/url?q=https://github.com/mostafa-saad/MyCompetitiveProgramming/blob/master/Codeforces/CF101522-GYM-J.txt&amp;sa=D&amp;ust=1605639552108000&amp;usg=AFQjCNEpldCzt0PKU-2IoGCpjWc_vnotbA" xr:uid="{810A7E00-8DF9-4B5D-9EDA-31F73B46ADA3}"/>
    <hyperlink ref="A1365" r:id="rId965" display="https://www.google.com/url?q=http://codeforces.com/contest/624/problem/D&amp;sa=D&amp;ust=1605639552108000&amp;usg=AFQjCNEDurdVjKZz8iO3LE8iNXQGm4a3UA" xr:uid="{3DBA5FED-DB9A-45A1-9EA2-0E340886D5F9}"/>
    <hyperlink ref="A1366" r:id="rId966" display="https://www.google.com/url?q=http://codeforces.com/contest/296/problem/E&amp;sa=D&amp;ust=1605639552109000&amp;usg=AFQjCNHQkL-hzEzoeP853nMRK670xbGS3w" xr:uid="{BAA1D01C-7A17-419C-B135-06B12532179B}"/>
    <hyperlink ref="A1436" r:id="rId967" display="https://www.google.com/url?q=https://atcoder.jp/contests/yahoo-procon2019-qual/tasks/yahoo_procon2019_qual_f&amp;sa=D&amp;ust=1605639552109000&amp;usg=AFQjCNHLfWvg18tNhlR-ElM5ixqtdidD9g" xr:uid="{E9DA9C57-1DF9-4907-A747-640A53A8383B}"/>
    <hyperlink ref="A1437" r:id="rId968" display="https://www.google.com/url?q=http://agc032.contest.atcoder.jp/tasks/agc032_d&amp;sa=D&amp;ust=1605639552110000&amp;usg=AFQjCNH_C2Jy2mNp6pDuOLnxP9yWmN2grw" xr:uid="{121E5AAD-8691-42CA-99ED-49CE11536096}"/>
    <hyperlink ref="A1463" r:id="rId969" display="https://www.google.com/url?q=http://codeforces.com/contest/178/problem/F3&amp;sa=D&amp;ust=1605639552110000&amp;usg=AFQjCNHrdn-EsKzuzCAVvWfBi_9lrorHEg" xr:uid="{7D56A303-780B-453B-B031-3E20D6CB0195}"/>
    <hyperlink ref="D4072" r:id="rId970" display="https://www.google.com/url?q=https://github.com/mostafa-saad/MyCompetitiveProgramming/blob/master/Codeforces/CF178-D12-F3.txt&amp;sa=D&amp;ust=1605639552111000&amp;usg=AFQjCNGJOBcJ9Y28gY5KCDiS43kjoBvcUg" xr:uid="{E2156684-F1C6-4A01-8234-EC108AF8B92C}"/>
    <hyperlink ref="A1464" r:id="rId971" display="https://www.google.com/url?q=https://www.codechef.com/problems/COINDENO&amp;sa=D&amp;ust=1605639552111000&amp;usg=AFQjCNGE8KrhjjGcmGFU8P3r0JfQIiaJCg" xr:uid="{1F8BA9D4-006E-4F5C-A6F4-B231A6D695E3}"/>
    <hyperlink ref="D4073" r:id="rId972" display="https://www.google.com/url?q=https://github.com/tmwilliamlin168/CompetitiveProgramming/blob/master/CodeChef/COINDENO.cpp&amp;sa=D&amp;ust=1605639552111000&amp;usg=AFQjCNEWVOjq0mH38IrO2v4wdIRGqm3mBA" xr:uid="{97099522-5229-4C5A-AD57-029C6B32E323}"/>
    <hyperlink ref="A1465" r:id="rId973" display="https://www.google.com/url?q=http://codeforces.com/problemset/problem/645/E&amp;sa=D&amp;ust=1605639552111000&amp;usg=AFQjCNFvRKFP01fgxT9kKTdL0gGzwKJuSg" xr:uid="{E02752D7-4291-4853-8655-1C20B1D1284E}"/>
    <hyperlink ref="A1466" r:id="rId974" display="https://www.google.com/url?q=http://codeforces.com/contest/888/problem/F&amp;sa=D&amp;ust=1605639552112000&amp;usg=AFQjCNFkuJuyy4l6SQhaG6R_UlNPljr-8g" xr:uid="{D52AE2A1-DF6C-4E98-B745-D30DBE9B6936}"/>
    <hyperlink ref="A1467" r:id="rId975" display="https://www.google.com/url?q=https://community.topcoder.com/stat?c%3Dproblem_statement%26pm%3D10902&amp;sa=D&amp;ust=1605639552113000&amp;usg=AFQjCNGFt9iRjFNjGSgIpWy9rU-KgMHpAA" xr:uid="{09FF4FB2-A304-4083-8DB5-C98882E736A2}"/>
    <hyperlink ref="D4077" r:id="rId976" display="https://www.google.com/url?q=https://github.com/mostafa-saad/MyCompetitiveProgramming/blob/master/Timus/TIMUS_1223.txt&amp;sa=D&amp;ust=1605639552113000&amp;usg=AFQjCNHt6AC66VBN8kxFgd770yLJiBC6cA" xr:uid="{C0794323-BC8C-4137-9903-B47649A245B7}"/>
    <hyperlink ref="A1469" r:id="rId977" display="https://www.google.com/url?q=https://codeforces.com/contest/1131/problem/E&amp;sa=D&amp;ust=1605639552113000&amp;usg=AFQjCNHmH4ANRaatAcIsOVpF-Oko-2Y9Mw" xr:uid="{744FD87F-13A4-498B-AAFF-34DB8169B459}"/>
    <hyperlink ref="A1470" r:id="rId978" display="https://www.google.com/url?q=https://codeforces.com/contest/1264/problem/D1&amp;sa=D&amp;ust=1605639552114000&amp;usg=AFQjCNHD7S-jRvc6R1dFGxflm-ukFOgtXA" xr:uid="{A69BD733-A009-4CCD-8D42-DF2BDD9D6307}"/>
    <hyperlink ref="A1471" r:id="rId979" display="https://www.google.com/url?q=http://codeforces.com/contest/845/problem/F&amp;sa=D&amp;ust=1605639552114000&amp;usg=AFQjCNEnNAiJGiYTGHF7XBrZpZmzMUt17g" xr:uid="{429764BB-7CF4-467F-AC48-5B472FBFF246}"/>
    <hyperlink ref="A1472" r:id="rId980" display="https://www.google.com/url?q=https://www.hackerrank.com/contests/codeagon/challenges/number-of-ways-1&amp;sa=D&amp;ust=1605639552115000&amp;usg=AFQjCNHWpSotzcLxxf6nDRD2OjfTr9NXCw" xr:uid="{AA0A1A55-DC44-45F6-98DC-207C45757CC3}"/>
    <hyperlink ref="A1473" r:id="rId981" display="https://www.google.com/url?q=https://codeforces.com/contest/1189/problem/E&amp;sa=D&amp;ust=1605639552115000&amp;usg=AFQjCNE-HjDCRk_ygoUBTQJleiGeJ71sNg" xr:uid="{9DF4CFBB-687C-47E6-88D2-FFBBC4E0A14D}"/>
    <hyperlink ref="A1474" r:id="rId982" display="https://www.google.com/url?q=http://codeforces.com/contest/1051/problem/E&amp;sa=D&amp;ust=1605639552116000&amp;usg=AFQjCNFunMmgJrD3vC7xp34zl8foXjWj5Q" xr:uid="{3088CA3D-D806-46DC-BC0C-860CDA188A9D}"/>
    <hyperlink ref="A1201" r:id="rId983" display="https://www.google.com/url?q=http://codeforces.com/contest/796/problem/E&amp;sa=D&amp;ust=1605639552116000&amp;usg=AFQjCNEh1N3xgYnpabweu5efjr3jdfJ14g" xr:uid="{F81EECFB-EB0D-40EA-B1AB-186C8CC29E6E}"/>
    <hyperlink ref="A1202" r:id="rId984" display="https://www.google.com/url?q=https://codeforces.com/contest/1043/problem/F&amp;sa=D&amp;ust=1605639552117000&amp;usg=AFQjCNH8dNWFFB9EAJwK-CFvm2ICRMjRjg" xr:uid="{5DFCF697-C123-43D5-90C3-833893C37C39}"/>
    <hyperlink ref="D4086" r:id="rId985" display="https://www.google.com/url?q=https://github.com/nya-nya-meow/CompetitiveProgramming/blob/master/CodeForces/CF1043-D12-F.cpp&amp;sa=D&amp;ust=1605639552117000&amp;usg=AFQjCNFV5MJj00Wz32DelkcBtSD5LlyfgQ" xr:uid="{ED39832F-2096-4F32-9AA4-2FFF951A3948}"/>
    <hyperlink ref="D4087" r:id="rId986" display="https://www.google.com/url?q=https://github.com/MetalBall887/Competitive-Programming/blob/master/TopCoder/SRM418-D1-500.cpp&amp;sa=D&amp;ust=1605639552119000&amp;usg=AFQjCNHMqcsc_RyTtDsyA8YF7jMARVNVIQ" xr:uid="{4197474B-5201-4D9B-9F86-A2DE7C9BED27}"/>
    <hyperlink ref="A1208" r:id="rId987" display="https://www.google.com/url?q=http://codeforces.com/contest/17/problem/C&amp;sa=D&amp;ust=1605639552119000&amp;usg=AFQjCNEER5GGG5B-St_y1myB35PDq02K9w" xr:uid="{93863651-B36E-460E-93A1-65B56E848ABB}"/>
    <hyperlink ref="A1209" r:id="rId988" display="https://www.google.com/url?q=https://codeforces.com/problemset/problem/1032/F&amp;sa=D&amp;ust=1605639552120000&amp;usg=AFQjCNHSRAszL8OVAyn7BAc0ZG3F8FrqQw" xr:uid="{E947E4E0-5F29-4222-9A38-A7AEBE9BA206}"/>
    <hyperlink ref="A1210" r:id="rId989" display="https://www.google.com/url?q=https://codeforces.com/contest/1253/problem/E&amp;sa=D&amp;ust=1605639552120000&amp;usg=AFQjCNF5G72e3yAOJ8gi3Ffh4nFKynEnUg" xr:uid="{7C0CA5B7-CEEE-4365-A11C-D3306A989DB5}"/>
    <hyperlink ref="D4090" r:id="rId990" display="https://www.google.com/url?q=https://github.com/farmerboy95/CompetitiveProgramming/blob/master/Codeforces/CF1253-D2-E.cpp&amp;sa=D&amp;ust=1605639552120000&amp;usg=AFQjCNFBPScSHPWgl1GYA2tzNp0DwQ1wGg" xr:uid="{0C3C99A3-681C-46B5-A7A8-423B162BBF21}"/>
    <hyperlink ref="A1211" r:id="rId991" display="https://www.google.com/url?q=https://codeforces.com/contest/1088/problem/F&amp;sa=D&amp;ust=1605639552121000&amp;usg=AFQjCNFyxSwcSswpsOJYhSqsuAu8D7oXyw" xr:uid="{4C274DF9-4A2B-414A-8A9E-1643B3D6C7B1}"/>
    <hyperlink ref="A1212" r:id="rId992" display="https://www.google.com/url?q=https://atcoder.jp/contests/caddi2018/tasks/caddi2018_d&amp;sa=D&amp;ust=1605639552121000&amp;usg=AFQjCNHjQItOICIFYyQcDSLH217AdqpBaQ" xr:uid="{07A02A42-3441-4D67-8CB7-78F8ACE7C38E}"/>
    <hyperlink ref="A1213" r:id="rId993" display="https://www.google.com/url?q=https://codeforces.com/contest/1068/problem/D&amp;sa=D&amp;ust=1605639552122000&amp;usg=AFQjCNEsJiggxtLYYYYpQqRdSWzNPhlqKQ" xr:uid="{122DBCF0-57DD-4A03-AEED-4927A05938B3}"/>
    <hyperlink ref="A1215" r:id="rId994" display="https://www.google.com/url?q=http://codeforces.com/contest/373/problem/E&amp;sa=D&amp;ust=1605639552122000&amp;usg=AFQjCNEuJwHmABqXUJcQay9SSAd0kxbjWA" xr:uid="{A3BA6308-D4CA-4C89-95D8-4422F7C89428}"/>
    <hyperlink ref="A1216" r:id="rId995" display="https://www.google.com/url?q=http://codeforces.com/contest/480/problem/C&amp;sa=D&amp;ust=1605639552122000&amp;usg=AFQjCNGoOldIUB91xFymwk1ACdELcPNmEg" xr:uid="{BBD49D92-23B5-4566-95D4-9815DF8F14AE}"/>
    <hyperlink ref="A1217" r:id="rId996" display="https://www.google.com/url?q=http://codeforces.com/problemset/problem/744/C&amp;sa=D&amp;ust=1605639552123000&amp;usg=AFQjCNEUF14u9rPfwx1m6sJKqfY3FMBTCA" xr:uid="{5DBA0A19-EDC4-4737-B1D6-D53769EC889A}"/>
    <hyperlink ref="A1218" r:id="rId997" display="https://www.google.com/url?q=https://www.codechef.com/problems/KNICOV&amp;sa=D&amp;ust=1605639552123000&amp;usg=AFQjCNHH2gBWIBPyP4wDgdEwgrLnvOfcmQ" xr:uid="{7F5CEB9B-1D57-4C31-B922-D3EF1F4D393B}"/>
    <hyperlink ref="A1219" r:id="rId998" display="https://www.google.com/url?q=https://www.facebook.com/hackercup/problem/271442536778669/&amp;sa=D&amp;ust=1605639552123000&amp;usg=AFQjCNEh51Y9YG4PJ27SeaNLWRo3y9T5ng" xr:uid="{AA499707-9893-41CE-95FB-30B72D2A1BCB}"/>
    <hyperlink ref="A1221" r:id="rId999" display="https://www.google.com/url?q=http://codeforces.com/contest/71/problem/E&amp;sa=D&amp;ust=1605639552124000&amp;usg=AFQjCNE0nKIwbGp_MIJfhk2Kclx6x6RslA" xr:uid="{7623FE59-E451-4358-8E46-F0F007E67490}"/>
    <hyperlink ref="A1222" r:id="rId1000" display="https://www.google.com/url?q=http://codeforces.com/contest/536/problem/D&amp;sa=D&amp;ust=1605639552125000&amp;usg=AFQjCNEDaFlzutvTt17mVai7nsjwKLAU3w" xr:uid="{5D63F332-CD39-4AC4-8696-53AB0F473342}"/>
    <hyperlink ref="A1223" r:id="rId1001" display="https://www.google.com/url?q=https://www.codechef.com/problems/DANYANUM&amp;sa=D&amp;ust=1605639552125000&amp;usg=AFQjCNE0AyS9VZxskBH5rhzHE0S_j5pETw" xr:uid="{ECF25C2A-5228-4E77-BA8C-9EA4EB0DCA09}"/>
    <hyperlink ref="A1225" r:id="rId1002" display="https://www.google.com/url?q=http://codeforces.com/contest/697/problem/C&amp;sa=D&amp;ust=1605639552126000&amp;usg=AFQjCNGOQHRvJ1oPSynuT45BJjzzEzGKhg" xr:uid="{DC76BE3A-5810-481E-A293-4557DE573D3C}"/>
    <hyperlink ref="A1226" r:id="rId1003" display="https://www.google.com/url?q=http://community.topcoder.com/stat?c%3Dproblem_statement%26pm%3D6215&amp;sa=D&amp;ust=1605639552126000&amp;usg=AFQjCNFu9Uifee8zOOcr3wLyxOdOBgDoUQ" xr:uid="{4E664628-BFB3-4723-AB4D-C6F1EB532C6F}"/>
    <hyperlink ref="A1227" r:id="rId1004" display="https://www.google.com/url?q=https://codeforces.com/contest/1247/problem/E&amp;sa=D&amp;ust=1605639552127000&amp;usg=AFQjCNHWKsgQxYnVrgm0s1Q0se46cB5Fjw" xr:uid="{4F2F793B-61CC-4064-AA89-0ECE2EEDA7EE}"/>
    <hyperlink ref="A1228" r:id="rId1005" display="https://www.google.com/url?q=http://codeforces.com/contest/814/problem/E&amp;sa=D&amp;ust=1605639552128000&amp;usg=AFQjCNFbqZDEPuWJ4pZ11ZWShsAoYtAieg" xr:uid="{EA23EE26-6F19-48B9-B7B8-8DBCE953E433}"/>
    <hyperlink ref="A1229" r:id="rId1006" display="https://www.google.com/url?q=http://codeforces.com/contest/981/problem/E&amp;sa=D&amp;ust=1605639552128000&amp;usg=AFQjCNERHPeYhOKnAVLljcza_KG-49w_AQ" xr:uid="{1D454405-5E22-4368-A1B6-A446026083D5}"/>
    <hyperlink ref="D3919" r:id="rId1007" display="https://www.google.com/url?q=https://github.com/tmwilliamlin168/CompetitiveProgramming/blob/master/CodeForces/CF981-D12-E.cpp&amp;sa=D&amp;ust=1605639552128000&amp;usg=AFQjCNGoR9R3GdKizHMqUddFER_aQ8Vl4w" xr:uid="{91E560BE-B35F-450B-8196-E1594B12A37D}"/>
    <hyperlink ref="A1230" r:id="rId1008" display="https://www.google.com/url?q=https://codeforces.com/contest/1237/problem/E&amp;sa=D&amp;ust=1605639552129000&amp;usg=AFQjCNFWPJABvlko4yJqKFXTLHLcnSGH1w" xr:uid="{D23D4A17-6808-4307-9598-C5FCAB03A10D}"/>
    <hyperlink ref="A1231" r:id="rId1009" display="https://www.google.com/url?q=https://atcoder.jp/contests/caddi2018/tasks/caddi2018_c&amp;sa=D&amp;ust=1605639552129000&amp;usg=AFQjCNFkc76Kx4molBHGzBIkwd9QbTle_w" xr:uid="{3B9ACCCF-0DAD-416F-9764-9EA40F4445D3}"/>
    <hyperlink ref="D3921" r:id="rId1010" display="https://www.google.com/url?q=https://github.com/fiv2001/CompetitiveProgramming/blob/master/Atcoder/Atcoder-caddi2018-C&amp;sa=D&amp;ust=1605639552130000&amp;usg=AFQjCNEI06m_iUdmkzobeEdoQG9nbtrydw" xr:uid="{12445D34-E8A9-4928-9027-4C5F91694A4B}"/>
    <hyperlink ref="A1232" r:id="rId1011" display="https://www.google.com/url?q=http://codeforces.com/contest/490/problem/F&amp;sa=D&amp;ust=1605639552130000&amp;usg=AFQjCNGzO-c-aP2ZIRUnj4MLtKMa-00y_w" xr:uid="{CFE0AD51-DB57-4152-A859-490C570481B1}"/>
    <hyperlink ref="A1233" r:id="rId1012" display="https://www.google.com/url?q=https://codeforces.com/contest/1146/problem/F&amp;sa=D&amp;ust=1605639552131000&amp;usg=AFQjCNGDkqpW3NyN9IMmA-zWsRMoKbb3xg" xr:uid="{318AB4DF-DADD-4709-A34B-7A7C04D234D0}"/>
    <hyperlink ref="A1234" r:id="rId1013" display="https://www.google.com/url?q=https://codeforces.com/contest/1206/problem/E&amp;sa=D&amp;ust=1605639552131000&amp;usg=AFQjCNGo9RRv_KgkIEh1vdqxpEdax6CiiQ" xr:uid="{F959654A-4747-4F8A-AB74-1F7A2ACABE7A}"/>
    <hyperlink ref="A1235" r:id="rId1014" display="https://www.google.com/url?q=https://codeforces.com/contest/1178/problem/F1&amp;sa=D&amp;ust=1605639552132000&amp;usg=AFQjCNEOd2q1T7rTUR0QLwYJ8y99DCkQFA" xr:uid="{A5DCA285-A0DD-43B1-9321-07087561455C}"/>
    <hyperlink ref="A1236" r:id="rId1015" display="https://www.google.com/url?q=https://codeforces.com/contest/1105/problem/E&amp;sa=D&amp;ust=1605639552132000&amp;usg=AFQjCNENkbx2lGNlbjafK2DbsXzhrEYFsw" xr:uid="{9A139331-349F-46E4-B0BF-B751518D52AE}"/>
    <hyperlink ref="A1252" r:id="rId1016" display="https://www.google.com/url?q=http://codeforces.com/contest/569/problem/D&amp;sa=D&amp;ust=1605639552133000&amp;usg=AFQjCNEQFNU07YfhhsiaoHnyKVSWB5Jmzg" xr:uid="{8C07457A-0749-443E-8124-059E1275073C}"/>
    <hyperlink ref="A1253" r:id="rId1017" display="https://www.google.com/url?q=https://codeforces.com/contest/922/problem/E&amp;sa=D&amp;ust=1605639552133000&amp;usg=AFQjCNE00nyaUAohUQQUK7VEAj7yefFMiw" xr:uid="{548536E8-2F03-4362-8F16-A97C31847DD7}"/>
    <hyperlink ref="A1254" r:id="rId1018" display="https://www.google.com/url?q=http://codeforces.com/contest/133/problem/E&amp;sa=D&amp;ust=1605639552134000&amp;usg=AFQjCNHp6OqVpaawgfqem7kkq0L0g_7LBQ" xr:uid="{89D25546-3B65-436B-9C12-E9A2F083E96C}"/>
    <hyperlink ref="A1256" r:id="rId1019" display="https://www.google.com/url?q=https://codeforces.com/contest/486/problem/E&amp;sa=D&amp;ust=1605639552134000&amp;usg=AFQjCNGa3yC3J6O3EVv82r6fFwDchrSKhA" xr:uid="{6C01B0C2-9A1F-4796-9C66-04A48ED64070}"/>
    <hyperlink ref="A1258" r:id="rId1020" display="https://www.google.com/url?q=http://codeforces.com/contest/124/problem/E&amp;sa=D&amp;ust=1605639552135000&amp;usg=AFQjCNE5ZEFEkLw9bFuCUANNkHJniDJkSg" xr:uid="{750B8D74-2300-4DFC-AB6C-060DC35D1581}"/>
    <hyperlink ref="D3643" r:id="rId1021" display="https://www.google.com/url?q=https://github.com/peon-pasado/CompetitiveProgramming/blob/master/codeforces/CF124-D2-E.cpp&amp;sa=D&amp;ust=1605639552135000&amp;usg=AFQjCNEAM185_gwHfTzUUyWqa0lJCShA7Q" xr:uid="{C6CE64B7-7931-4985-80A2-35B66F05F495}"/>
    <hyperlink ref="A1259" r:id="rId1022" display="https://www.google.com/url?q=http://codeforces.com/contest/505/problem/D&amp;sa=D&amp;ust=1605639552136000&amp;usg=AFQjCNHE88NnTf82OJlxwiMVZd6rCJnqXA" xr:uid="{457BDE34-58C6-4CDD-8E5A-80C642FDD8F0}"/>
    <hyperlink ref="A1261" r:id="rId1023" display="https://www.google.com/url?q=http://codeforces.com/contest/623/problem/B&amp;sa=D&amp;ust=1605639552137000&amp;usg=AFQjCNGz-PKgunDBTtOLS9D9XMw3US1CKA" xr:uid="{9CF03E84-0079-4FB7-92C3-4D1EFC8B8AA0}"/>
    <hyperlink ref="D3107" r:id="rId1024" display="https://www.google.com/url?q=https://github.com/mostafa-saad/MyCompetitiveProgramming/blob/master/Timus/TIMUS_1223.txt&amp;sa=D&amp;ust=1605639552137000&amp;usg=AFQjCNEmopHw05ieyHdyjQxS1TC6haDx8g" xr:uid="{49E4EFA6-93A9-42ED-B7AC-81FFE954D2BE}"/>
    <hyperlink ref="A1263" r:id="rId1025" display="https://www.google.com/url?q=https://codeforces.com/contest/1260/problem/E&amp;sa=D&amp;ust=1605639552137000&amp;usg=AFQjCNGAWQbeE8V1SE68OGJqoqQ3DylFhg" xr:uid="{BFDDADC1-028B-44C3-BE39-C5C258F23476}"/>
    <hyperlink ref="A1264" r:id="rId1026" display="https://www.google.com/url?q=https://atcoder.jp/contests/abc145/tasks/abc145_f&amp;sa=D&amp;ust=1605639552138000&amp;usg=AFQjCNGYzpYNpD763OXVy3ADe80qmqxFbQ" xr:uid="{310C92DD-4584-4E7E-81FC-1B0F03FB9E0A}"/>
    <hyperlink ref="D3109" r:id="rId1027" display="https://www.google.com/url?q=https://github.com/farmerboy95/CompetitiveProgramming/blob/master/AtCoder/AtCoder145-ABC-F.cpp&amp;sa=D&amp;ust=1605639552138000&amp;usg=AFQjCNFKDVonMOkIcSa5Hl8cXucbVVEhUw" xr:uid="{74CAF41C-23DD-4DB5-916C-DF49B17A1208}"/>
    <hyperlink ref="D3110" r:id="rId1028" display="https://www.google.com/url?q=https://github.com/Ownography/CP/blob/master/UVA%252013179&amp;sa=D&amp;ust=1605639552138000&amp;usg=AFQjCNEDxcvv-7ZOCZ62I4_lXq-kHQiB6g" xr:uid="{FEE2C604-9001-418F-8B7C-D1E8223D9F62}"/>
    <hyperlink ref="A1266" r:id="rId1029" display="https://www.google.com/url?q=https://codeforces.com/contest/1175/problem/E&amp;sa=D&amp;ust=1605639552139000&amp;usg=AFQjCNGX68dtrWybbi2GOkiIjBp1mOZb_Q" xr:uid="{BA818790-C1C4-4768-A828-49C66F80367A}"/>
    <hyperlink ref="A1268" r:id="rId1030" display="https://www.google.com/url?q=http://codeforces.com/contest/1121/problem/F&amp;sa=D&amp;ust=1605639552139000&amp;usg=AFQjCNHhwXFvTBX08lcZ_aOSy1MdUDINYA" xr:uid="{BEE941F5-25A0-4010-A5CA-613CAF882C5B}"/>
    <hyperlink ref="A1269" r:id="rId1031" display="https://www.google.com/url?q=https://codeforces.com/contest/1257/problem/E&amp;sa=D&amp;ust=1605639552140000&amp;usg=AFQjCNFI4y-zmxJ9sCPDeEqCYCdiF-FtfQ" xr:uid="{4CD34447-F28A-4B43-983B-17E2F6B0015E}"/>
    <hyperlink ref="A1270" r:id="rId1032" display="https://www.google.com/url?q=https://codeforces.com/contest/1169/problem/E&amp;sa=D&amp;ust=1605639552141000&amp;usg=AFQjCNHff1gTWXifHshID_hmjyo7LgfGNw" xr:uid="{B21FCEE6-46C0-4883-972C-0BCB1A07CF7C}"/>
    <hyperlink ref="A1271" r:id="rId1033" display="https://www.google.com/url?q=https://codeforces.com/gym/102014&amp;sa=D&amp;ust=1605639552142000&amp;usg=AFQjCNFzlwiI7t-G9rhhIeFKT-W6_ugpsg" xr:uid="{30D13F5B-7590-4B7A-9FA0-858E26653AFE}"/>
    <hyperlink ref="D3116" r:id="rId1034" display="https://www.google.com/url?q=https://github.com/ZeyadKhattab/Competitive-Programming/blob/master/Codeforces/Gyms/102014/CF102014-GYM-I.java&amp;sa=D&amp;ust=1605639552142000&amp;usg=AFQjCNHqx5jRM7nkPR1u1jnFoqLAnYfVAg" xr:uid="{7090EBF5-6C23-43BD-A4B3-7550923E7D45}"/>
    <hyperlink ref="A1272" r:id="rId1035" display="https://www.google.com/url?q=https://codeforces.com/contest/1174/problem/E&amp;sa=D&amp;ust=1605639552142000&amp;usg=AFQjCNGpVDtLbbauAMH_xscSZpwWEJ_mCw" xr:uid="{9EBBC1F7-EFA4-4449-B43E-644702CB63E3}"/>
    <hyperlink ref="A1273" r:id="rId1036" display="https://www.google.com/url?q=https://agc007.contest.atcoder.jp/tasks/agc007_d&amp;sa=D&amp;ust=1605639552142000&amp;usg=AFQjCNEBDvW9kJXo6xftvn1m1wMnxHR_Hw" xr:uid="{23A27314-C63F-4DFC-BA8D-6D3EBA79B29A}"/>
    <hyperlink ref="A1275" r:id="rId1037" display="https://www.google.com/url?q=http://codeforces.com/contest/611/problem/D&amp;sa=D&amp;ust=1605639552143000&amp;usg=AFQjCNFEH7WEj6nvrGoFMhRDrCDbCgcsyw" xr:uid="{3D864016-2DEB-47B9-9A8F-83F1553B4EFE}"/>
    <hyperlink ref="D3120" r:id="rId1038" display="https://www.google.com/url?q=https://github.com/goswami-rahul/competitive-coding/blob/master/CompetitiveProgramming/codeforces/CF611-D12-D.cpp&amp;sa=D&amp;ust=1605639552143000&amp;usg=AFQjCNGn22ZnsxScSCes8-D3KIXLytIuMA" xr:uid="{14BCA85C-A312-44E4-8606-B6C49A6DA70D}"/>
    <hyperlink ref="A1276" r:id="rId1039" display="https://www.google.com/url?q=https://www.codechef.com/problems/ABDTOLL&amp;sa=D&amp;ust=1605639552144000&amp;usg=AFQjCNFu3hyIj1YzuCvB9-9NHKv4_DysVQ" xr:uid="{87AA9EDB-173D-4BCE-919B-EDDBBD761218}"/>
    <hyperlink ref="D3122" r:id="rId1040" display="https://www.google.com/url?q=https://ideone.com/Zliix2&amp;sa=D&amp;ust=1605639552145000&amp;usg=AFQjCNGPYQ6iiBG2Xan4GsShQi1qFpXWcw" xr:uid="{8DC35235-5CC4-45C0-B7C0-2BE64131FA1C}"/>
    <hyperlink ref="D3123" r:id="rId1041" display="https://www.google.com/url?q=https://github.com/mostafa-saad/MyCompetitiveProgramming/blob/master/LiveArchive/LIVEARCHIVE_6175.txt&amp;sa=D&amp;ust=1605639552145000&amp;usg=AFQjCNFxyAa2fhWNVl4zp2HGPh6gm-MATQ" xr:uid="{D90AE929-5877-44E6-92AA-8EADCCBAB478}"/>
    <hyperlink ref="A1279" r:id="rId1042" display="https://www.google.com/url?q=https://onlinejudge.org/index.php?option%3Donlinejudge%26Itemid%3D8%26page%3Dshow_problem%26problem%3D4902&amp;sa=D&amp;ust=1605639552145000&amp;usg=AFQjCNHr1Ex6FwHl1j4_CN0Lv-a7xCD9Mg" xr:uid="{E910F812-7376-4D72-8AE7-75BEB0BCF9A9}"/>
    <hyperlink ref="D3124" r:id="rId1043" display="https://www.google.com/url?q=https://github.com/DrSchwad/CompetitiveProgramming/blob/master/UVA/UVA%252013014.cpp&amp;sa=D&amp;ust=1605639552146000&amp;usg=AFQjCNGnuiZ1zaVaev1UTyTQXKK6vrtehg" xr:uid="{11C1A3E7-A680-4E1C-948B-0DF071C729FD}"/>
    <hyperlink ref="A1280" r:id="rId1044" display="https://www.google.com/url?q=https://codeforces.com/problemset/gymProblem/100503/F&amp;sa=D&amp;ust=1605639552146000&amp;usg=AFQjCNGWe5Q77iJPQTgVWj22h0kzewu_zw" xr:uid="{7494A387-AED8-423C-BB6B-7759C8CA96FA}"/>
    <hyperlink ref="D3125" r:id="rId1045" display="https://www.google.com/url?q=https://github.com/WaleedAbdelhakim/Competitive-Programming/blob/master/CodeForces/CF252112-GYM-F.cpp&amp;sa=D&amp;ust=1605639552146000&amp;usg=AFQjCNGrAFK1ZGoY5CcfLFc-MHFQUXAYRw" xr:uid="{EA2D68FC-0DD5-4C76-B303-5FDA4F8D8BCA}"/>
    <hyperlink ref="D3126" r:id="rId1046" display="https://www.google.com/url?q=https://github.com/tmwilliamlin168/CompetitiveProgramming/blob/master/UVA/1427.cpp&amp;sa=D&amp;ust=1605639552147000&amp;usg=AFQjCNEMwqYOvlAyqo5WWUP9R5Qm0ILKsg" xr:uid="{A0EC442A-18FA-4D3E-87C3-9ED519CBA863}"/>
    <hyperlink ref="A1283" r:id="rId1047" display="https://www.google.com/url?q=https://codeforces.com/contest/1078/problem/B&amp;sa=D&amp;ust=1605639552147000&amp;usg=AFQjCNGaJUYe546_NeqAyq0hCKCo0A-h8Q" xr:uid="{5F6C526D-A2D0-4E48-A6B9-4DD81BC6B282}"/>
    <hyperlink ref="D3128" r:id="rId1048" display="https://www.google.com/url?q=https://github.com/Huvok/CompetitiveProgramming/blob/master/Codeforces/CF1079-D2-E.cpp&amp;sa=D&amp;ust=1605639552148000&amp;usg=AFQjCNEQoDnBN2uCiYB3bmE9ZuV_5ozZBA" xr:uid="{423F5472-3327-4D73-A4A7-4BF088C3030A}"/>
    <hyperlink ref="A1284" r:id="rId1049" display="https://www.google.com/url?q=http://codeforces.com/contest/920/problem/D&amp;sa=D&amp;ust=1605639552148000&amp;usg=AFQjCNEz7rsoFpBsOlVv559cE-21oe8wXg" xr:uid="{8D46B7ED-FFB2-4428-B3DA-72798C58682F}"/>
    <hyperlink ref="D3129" r:id="rId1050" display="https://www.google.com/url?q=https://github.com/VAMPIER000001/CompetitiveProgramming/blob/dd04e50225a4acfb86449f9c42a1eeb99604201f/CF/CF920-D2-D.Cpp&amp;sa=D&amp;ust=1605639552148000&amp;usg=AFQjCNHMNrOJNHIjpGFl-k1KsvrjUyAgRQ" xr:uid="{B37D4F80-2F2D-40CF-AEED-0277F4024F98}"/>
    <hyperlink ref="A1285" r:id="rId1051" display="https://www.google.com/url?q=https://codeforces.com/contest/372/problem/C&amp;sa=D&amp;ust=1605639552149000&amp;usg=AFQjCNGza02JqBpWtCJVAw1U4iLU34xs3Q" xr:uid="{2EF167C5-7A08-41E3-BE85-500E0F38F731}"/>
    <hyperlink ref="A1286" r:id="rId1052" display="https://www.google.com/url?q=http://codeforces.com/contest/984/problem/D&amp;sa=D&amp;ust=1605639552149000&amp;usg=AFQjCNGaabpzY5lLNLZkqK4H3Rijo6tyaQ" xr:uid="{75F1B4C8-C9A3-439C-8212-B409A38B69DA}"/>
    <hyperlink ref="A1287" r:id="rId1053" display="https://www.google.com/url?q=https://icpcarchive.ecs.baylor.edu/index.php?option%3Dcom_onlinejudge%26Itemid%3D8%26category%3D592%26page%3Dshow_problem%26problem%3D4773&amp;sa=D&amp;ust=1605639552150000&amp;usg=AFQjCNG-HrxPRV8cb0FOO7HN2KKRzgYLOA" xr:uid="{C7800F96-6C7E-465A-8727-D28721138AE9}"/>
    <hyperlink ref="D3132" r:id="rId1054" display="https://www.google.com/url?q=https://github.com/omaryasser/Competitive-Programming/blob/master/Live%2520Archive%2520Solutions/6761%2520-%2520Super%2520Ants.cpp&amp;sa=D&amp;ust=1605639552150000&amp;usg=AFQjCNGSBOnhGiHJPW--S_lW_9P0_sVxMg" xr:uid="{2B74BE82-0D78-4F74-9DD5-7E14097EA7DF}"/>
    <hyperlink ref="A1288" r:id="rId1055" display="https://www.google.com/url?q=http://codeforces.com/contest/476/problem/E&amp;sa=D&amp;ust=1605639552150000&amp;usg=AFQjCNG4oLx47vSlKZqMi85QgFiwwuXY9w" xr:uid="{2D463920-918D-4026-BB74-4ABC04283015}"/>
    <hyperlink ref="A1289" r:id="rId1056" display="https://www.google.com/url?q=http://codeforces.com/gym/101492/problem/L&amp;sa=D&amp;ust=1605639552151000&amp;usg=AFQjCNGMRNN9PIlg81CnRrQHV-UEp7wijw" xr:uid="{21D9FF65-219C-46A8-8D14-9B822C7448AA}"/>
    <hyperlink ref="A1290" r:id="rId1057" display="https://www.google.com/url?q=http://codeforces.com/contest/208/problem/B&amp;sa=D&amp;ust=1605639552152000&amp;usg=AFQjCNFaq6bmI4rK3sI7GC5hMO4iy23nFQ" xr:uid="{4B212282-65B6-4F65-BB70-EC22C889B2FF}"/>
    <hyperlink ref="A1291" r:id="rId1058" display="https://www.google.com/url?q=http://codeforces.com/contest/590/problem/D&amp;sa=D&amp;ust=1605639552153000&amp;usg=AFQjCNETyK1_96pIR7inuc6ETSn6XvTVVw" xr:uid="{D6074320-AC96-483C-A53B-CA80CF6F7B70}"/>
    <hyperlink ref="A1292" r:id="rId1059" display="https://www.google.com/url?q=http://codeforces.com/contest/675/problem/E&amp;sa=D&amp;ust=1605639552153000&amp;usg=AFQjCNGShXVEnp6jbwoBZMZQQ3GkFm9NIw" xr:uid="{FFB9163E-663B-470B-BB64-68DC1E7E3F28}"/>
    <hyperlink ref="A1296" r:id="rId1060" display="https://www.google.com/url?q=http://codeforces.com/contest/300/problem/D&amp;sa=D&amp;ust=1605639552155000&amp;usg=AFQjCNHdiIC5Xtvjt_BKQag5J9yzF6SS0g" xr:uid="{1CBC176F-A067-4B6A-B322-85791AC88866}"/>
    <hyperlink ref="D3142" r:id="rId1061" display="https://www.google.com/url?q=http://pavelsimo.blogspot.com/2012/07/uva-11654-arithmetic-subsequence.html&amp;sa=D&amp;ust=1605639552155000&amp;usg=AFQjCNHXSOgW91jJtBJ9p4gT1TRSArelVA" xr:uid="{A9ACB194-5631-446C-8EE8-7774A8799E5B}"/>
    <hyperlink ref="A1299" r:id="rId1062" display="https://www.google.com/url?q=http://codeforces.com/contest/677/problem/D&amp;sa=D&amp;ust=1605639552156000&amp;usg=AFQjCNFhoYQo7nOHzUgOE0tk76ZZXhqOlg" xr:uid="{CF8F378A-18BA-4AD6-868E-95B925278DB0}"/>
    <hyperlink ref="A1300" r:id="rId1063" display="https://www.google.com/url?q=http://codeforces.com/contest/235/problem/B&amp;sa=D&amp;ust=1605639552156000&amp;usg=AFQjCNF33JE9LHgI0IMGTghxHxVjJ1O9Gw" xr:uid="{44BBDD31-E6D0-486E-AA21-039A77BC4CEF}"/>
    <hyperlink ref="A1304" r:id="rId1064" display="https://www.google.com/url?q=http://codeforces.com/contest/157/problem/E&amp;sa=D&amp;ust=1605639552158000&amp;usg=AFQjCNH1E4nzuqpIv6zvppSPg99WslaSqw" xr:uid="{D1BC745F-9C60-468B-9F86-28FA59DF4362}"/>
    <hyperlink ref="A1306" r:id="rId1065" display="https://www.google.com/url?q=https://www.codechef.com/problems/MKSTR&amp;sa=D&amp;ust=1605639552159000&amp;usg=AFQjCNHCzEbzSSkgCu7fyFGf_5W8uWoYAQ" xr:uid="{EBC7FCA8-E6BD-482B-8464-4BEF18B049C8}"/>
    <hyperlink ref="D3152" r:id="rId1066" display="https://www.google.com/url?q=https://github.com/goswami-rahul/competitive-coding/blob/master/CompetitiveProgramming/zoj/2349.cpp&amp;sa=D&amp;ust=1605639552159000&amp;usg=AFQjCNENDXlF9WH-Rb1kEhthVsHAEruFEA" xr:uid="{51181917-57C9-4D2D-8391-CAD524DA2802}"/>
    <hyperlink ref="A1308" r:id="rId1067" display="https://www.google.com/url?q=http://codeforces.com/contest/1025/problem/D&amp;sa=D&amp;ust=1605639552160000&amp;usg=AFQjCNHHun_zGBZYFc6KEIip3bQLil8sOA" xr:uid="{4CB407C8-411A-4F1B-B348-2C60E8063D7F}"/>
    <hyperlink ref="A1309" r:id="rId1068" display="https://www.google.com/url?q=http://codeforces.com/contest/313/problem/D&amp;sa=D&amp;ust=1605639552160000&amp;usg=AFQjCNEHbsgm8CfhyfaDN9MMawUdx0n4GA" xr:uid="{B51885D9-CF0D-4B43-BBBC-E97F61D4D2B9}"/>
    <hyperlink ref="A1310" r:id="rId1069" display="https://www.google.com/url?q=http://codeforces.com/contest/488/problem/D&amp;sa=D&amp;ust=1605639552161000&amp;usg=AFQjCNGndcC5rekLxnl__R5U7nOOyCWZLw" xr:uid="{6F9CF39B-9932-4F2E-813A-F025B171AB25}"/>
    <hyperlink ref="A1311" r:id="rId1070" display="https://www.google.com/url?q=http://codeforces.com/contest/822/problem/D&amp;sa=D&amp;ust=1605639552161000&amp;usg=AFQjCNGzEKxDumT-l_XNyuLqRnoPq3YhQQ" xr:uid="{CC31AC46-96D7-43D0-B060-DA5BBA6B58DD}"/>
    <hyperlink ref="A1312" r:id="rId1071" display="https://www.google.com/url?q=http://codeforces.com/contest/762/problem/D&amp;sa=D&amp;ust=1605639552162000&amp;usg=AFQjCNHmFC3l3ShJFuhKs6wXTHeK8ax4jg" xr:uid="{632FF336-82EA-4B6A-B3A8-7FEBB75FCA3D}"/>
    <hyperlink ref="A1313" r:id="rId1072" display="https://www.google.com/url?q=http://codeforces.com/contest/1013/problem/E&amp;sa=D&amp;ust=1605639552162000&amp;usg=AFQjCNFWAGvxVNtKhTA7aShII5Vgezrc8A" xr:uid="{83A556DE-978C-4F4F-8F8F-3AAD53BBA268}"/>
    <hyperlink ref="A1314" r:id="rId1073" display="https://www.google.com/url?q=http://codeforces.com/contest/149/problem/D&amp;sa=D&amp;ust=1605639552163000&amp;usg=AFQjCNFyKN9yZLpHXmQXVXYE1rQTgXVKxw" xr:uid="{764A7C69-7008-4071-879F-E3FF017648C9}"/>
    <hyperlink ref="D2553" r:id="rId1074" display="https://www.google.com/url?q=https://github.com/osamahatem/CompetitiveProgramming/blob/master/Codeforces/149D.%2520Coloring%2520Brackets.cpp&amp;sa=D&amp;ust=1605639552163000&amp;usg=AFQjCNHOgc5YA0Zp65n9lk2u5ddz4GSlBw" xr:uid="{CF6DE3C9-CE15-4219-BA30-3D02DC0B87D9}"/>
    <hyperlink ref="A1315" r:id="rId1075" display="https://www.google.com/url?q=http://codeforces.com/contest/10/problem/D&amp;sa=D&amp;ust=1605639552163000&amp;usg=AFQjCNF_pvTRmr0vO9lFa9ODqdjpmg91Hg" xr:uid="{DCF7525D-7699-4B50-901E-226F5C3E8768}"/>
    <hyperlink ref="A1316" r:id="rId1076" display="https://www.google.com/url?q=https://codeforces.com/contest/18/problem/E&amp;sa=D&amp;ust=1605639552164000&amp;usg=AFQjCNGYjr1a22cz5_jX12EJsOLhQDzIBA" xr:uid="{CBED27B8-EED1-4B39-B22F-4101E0EC83AA}"/>
    <hyperlink ref="A1317" r:id="rId1077" display="https://www.google.com/url?q=https://codingcompetitions.withgoogle.com/kickstart/round/0000000000050ff2/0000000000150a0d&amp;sa=D&amp;ust=1605639552165000&amp;usg=AFQjCNHEWToSYcKISiCsn5wObst9uXJ7kA" xr:uid="{2C8A2037-1C8B-4FBA-8AB0-618A88A6ACAE}"/>
    <hyperlink ref="A1320" r:id="rId1078" display="https://www.google.com/url?q=http://codeforces.com/contest/264/problem/C&amp;sa=D&amp;ust=1605639552166000&amp;usg=AFQjCNFeGa9GXuRqobxa8Fo7FK8WGI6L6A" xr:uid="{09979D12-7F82-4FA3-8654-B9088B7232C4}"/>
    <hyperlink ref="A1321" r:id="rId1079" display="https://www.google.com/url?q=http://codeforces.com/contest/808/problem/E&amp;sa=D&amp;ust=1605639552167000&amp;usg=AFQjCNFMRceYd_O2nQQ4k-_eLsR5gJoOvg" xr:uid="{402D0990-F869-40B8-B23E-ED42A3D0DB13}"/>
    <hyperlink ref="A1322" r:id="rId1080" display="https://www.google.com/url?q=http://codeforces.com/contest/284/problem/D&amp;sa=D&amp;ust=1605639552167000&amp;usg=AFQjCNGFgkmnxoa35adFxKOHDxonNJr18w" xr:uid="{49683C9B-4C32-44A7-B089-90C5F9C83D7A}"/>
    <hyperlink ref="A1324" r:id="rId1081" display="https://www.google.com/url?q=https://codeforces.com/contest/1066/problem/F&amp;sa=D&amp;ust=1605639552168000&amp;usg=AFQjCNEIHqf1JT2_n67HiNFDoZfS7df32A" xr:uid="{451DE866-7305-4354-9246-F359D152F773}"/>
    <hyperlink ref="A1325" r:id="rId1082" display="https://www.google.com/url?q=https://codeforces.com/contest/1271/problem/D&amp;sa=D&amp;ust=1605639552169000&amp;usg=AFQjCNHFvyXztJQ_-Y6A6Y5KlLrKjtrPyQ" xr:uid="{8A03064A-986E-4B85-8F6E-158F8FF6392C}"/>
    <hyperlink ref="A1332" r:id="rId1083" display="https://www.google.com/url?q=https://codeforces.com/gym/102021/attachments&amp;sa=D&amp;ust=1605639552169000&amp;usg=AFQjCNH0fSrWYXQ2XA7iFxJhdzCTx10sAQ" xr:uid="{47406FA6-29D9-43C6-B1F4-9F8590EB5537}"/>
    <hyperlink ref="A1333" r:id="rId1084" display="https://www.google.com/url?q=https://codeforces.com/contest/1151/problem/E&amp;sa=D&amp;ust=1605639552169000&amp;usg=AFQjCNF5xVGSh16Z04xWB6AddX39JU_TFQ" xr:uid="{DD833FDA-A727-45F4-8F56-6E8FB2599260}"/>
    <hyperlink ref="A1334" r:id="rId1085" display="https://www.google.com/url?q=https://codeforces.com/gym/102021/attachments&amp;sa=D&amp;ust=1605639552170000&amp;usg=AFQjCNFGOTaF-LzpxmaGNubF41Fdeydm7Q" xr:uid="{D9FC2249-33DD-4C8F-A80E-6E11269E2C14}"/>
    <hyperlink ref="D2567" r:id="rId1086" display="https://www.google.com/url?q=https://github.com/YazanZebak/CompetitiveProgramming/blob/master/Codeforces/CF102021-GYM-K.cpp&amp;sa=D&amp;ust=1605639552170000&amp;usg=AFQjCNEv4uC2K3IDTvCOPykdXIIxldQNDQ" xr:uid="{C48C2B92-86E8-47C4-ABFE-D57B9B615364}"/>
    <hyperlink ref="A1335" r:id="rId1087" display="https://www.google.com/url?q=https://uva.onlinejudge.org/index.php?option%3Dcom_onlinejudge%26Itemid%3D8%26page%3Dshow_problem%26problem%3D284&amp;sa=D&amp;ust=1605639552170000&amp;usg=AFQjCNF9iM8_a0cGDi8X8UU_OSJvt6Le-w" xr:uid="{34142910-EBE2-4994-8C88-06EB1A527F69}"/>
    <hyperlink ref="D2568" r:id="rId1088" display="https://www.google.com/url?q=https://github.com/mostafa-saad/MyCompetitiveProgramming/blob/master/UVA/UVA_348.txt&amp;sa=D&amp;ust=1605639552171000&amp;usg=AFQjCNEvBc5cG_kPLhUP59yzAZmclFpSqA" xr:uid="{6B493B8F-CE6C-4561-808F-66091CF900D1}"/>
    <hyperlink ref="A1336" r:id="rId1089" display="https://www.google.com/url?q=https://codingcompetitions.withgoogle.com/kickstart/round/0000000000050edd/00000000001a286d&amp;sa=D&amp;ust=1605639552171000&amp;usg=AFQjCNEIxmmugvQauZXp2Y7LRLIjyz7bMQ" xr:uid="{D06D89DB-319C-420F-8CBD-2C44226FAA4C}"/>
    <hyperlink ref="D2569" r:id="rId1090" display="https://www.google.com/url?q=https://github.com/farmerboy95/CompetitiveProgramming/blob/master/Google%2520Kickstart/Kickstart%252019-RH-C.cpp&amp;sa=D&amp;ust=1605639552171000&amp;usg=AFQjCNH1AO976BDjv3PUOpktBkLYda2dZQ" xr:uid="{CF3C922E-A450-4593-A8A3-37CFBB363B82}"/>
    <hyperlink ref="A1337" r:id="rId1091" display="https://www.google.com/url?q=http://codeforces.com/problemset/problem/895/C&amp;sa=D&amp;ust=1605639552171000&amp;usg=AFQjCNHdAHTs6ix4w61qWempEePqfTeG2Q" xr:uid="{743F4899-9D09-4DBD-A36A-CD5A3DE502A4}"/>
    <hyperlink ref="A1339" r:id="rId1092" display="https://www.google.com/url?q=https://codeforces.com/contest/1148/problem/D&amp;sa=D&amp;ust=1605639552172000&amp;usg=AFQjCNFa2uSJkvKdXedh1iSVwf8hZv3ucQ" xr:uid="{A9A9C6D2-9E88-4939-B1A5-EF385A2A2080}"/>
    <hyperlink ref="A1340" r:id="rId1093" display="https://www.google.com/url?q=https://codeforces.com/contest/1114/problem/D&amp;sa=D&amp;ust=1605639552173000&amp;usg=AFQjCNHtgZKld-lFJ97OqJjGmpv3guOi_w" xr:uid="{82C29C50-036F-4852-9E3E-21F8E0E2312A}"/>
    <hyperlink ref="A1341" r:id="rId1094" display="https://www.google.com/url?q=https://codeforces.com/contest/1256/problem/E&amp;sa=D&amp;ust=1605639552173000&amp;usg=AFQjCNFg04xXRLTDGKMDNnOs61WcUV5gOg" xr:uid="{C484D7FB-F7A6-4DB5-A3AD-0404F8999914}"/>
    <hyperlink ref="A1342" r:id="rId1095" display="https://www.google.com/url?q=https://codeforces.com/contest/1077/problem/F2&amp;sa=D&amp;ust=1605639552173000&amp;usg=AFQjCNFUItNKRSg72KRVgAkpOA1OHaueDA" xr:uid="{C2299888-03B2-4A94-A176-493170A45D70}"/>
    <hyperlink ref="A1343" r:id="rId1096" display="https://www.google.com/url?q=http://codeforces.com/contest/1012/problem/C&amp;sa=D&amp;ust=1605639552174000&amp;usg=AFQjCNFqsFj44jcgnyxkYGpEs92w84URpA" xr:uid="{3A98949B-0AEF-48AF-8DD9-6E62E0B239C0}"/>
    <hyperlink ref="A1344" r:id="rId1097" display="https://www.google.com/url?q=https://www.codechef.com/COOK105B/problems/DINCPATH&amp;sa=D&amp;ust=1605639552174000&amp;usg=AFQjCNHeQb-t9LWygLnL_ScXDvNQZH_qxA" xr:uid="{A094F58E-BA7D-4628-8252-15BA9EDA0397}"/>
    <hyperlink ref="D2579" r:id="rId1098" display="https://www.google.com/url?q=https://github.com/ahmedsamir221/CompetitiveProgramming/blob/master/Timus/TIMUS%25201156.cpp&amp;sa=D&amp;ust=1605639552176000&amp;usg=AFQjCNEYW4FeT1PaMkocJRomq5MzX_EemQ" xr:uid="{81CA603B-9728-4EE7-A766-2A0F97293419}"/>
    <hyperlink ref="D2584" r:id="rId1099" display="https://www.google.com/url?q=https://github.com/3agwa/CompetitiveProgramming/blob/master/TopCoder/SRM366-D1-1000.cpp&amp;sa=D&amp;ust=1605639552177000&amp;usg=AFQjCNG7NzA9PotDMm1gXjPPZC52brqh0g" xr:uid="{E1F568E1-C328-45E2-8D59-33FACAF03142}"/>
    <hyperlink ref="A1357" r:id="rId1100" display="https://www.google.com/url?q=http://codeforces.com/contest/285/problem/D&amp;sa=D&amp;ust=1605639552180000&amp;usg=AFQjCNHJAr4EcJGQIWbjd_3mdlQdLqu1Sg" xr:uid="{D6B61983-6518-4E84-A5E8-4B132B43ABDF}"/>
    <hyperlink ref="A1358" r:id="rId1101" display="https://www.google.com/url?q=https://www.codechef.com/problems/KGP13G&amp;sa=D&amp;ust=1605639552180000&amp;usg=AFQjCNHt1lNzMXv2XmlF6HSpWtmXu-gn1A" xr:uid="{85646F98-B7F5-482C-B6A1-049D04548D20}"/>
    <hyperlink ref="A1360" r:id="rId1102" display="https://www.google.com/url?q=http://codeforces.com/contest/361/problem/D&amp;sa=D&amp;ust=1605639552181000&amp;usg=AFQjCNEnn3sOwEWy6-W5V4tbwiWYP_qdMA" xr:uid="{333BCD54-EE25-4B1E-B2F1-ED95780938AD}"/>
    <hyperlink ref="A1361" r:id="rId1103" display="https://www.google.com/url?q=http://codeforces.com/contest/627/problem/A&amp;sa=D&amp;ust=1605639552181000&amp;usg=AFQjCNG0ZELXrF0YgeWvPyfDd_AQReLHgQ" xr:uid="{7C1ACC18-F4C9-431A-BB88-1FADDC9E052C}"/>
    <hyperlink ref="A1369" r:id="rId1104" display="https://www.google.com/url?q=http://codeforces.com/contest/404/problem/D&amp;sa=D&amp;ust=1605639552183000&amp;usg=AFQjCNFYgqQVpHTIRrMmZcw8DGZF-mE_sg" xr:uid="{1415636F-33BB-4FFC-B060-FC66C44EDF50}"/>
    <hyperlink ref="A1370" r:id="rId1105" display="https://www.google.com/url?q=https://atcoder.jp/contests/abc120/tasks/abc118_d&amp;sa=D&amp;ust=1605639552183000&amp;usg=AFQjCNGIdl-yUxT9wIdTloaNPruzGHb3pA" xr:uid="{E76F11E9-4CC8-44CF-B196-DA8E660BDB74}"/>
    <hyperlink ref="A1371" r:id="rId1106" display="https://www.google.com/url?q=http://codeforces.com/contest/202/problem/D&amp;sa=D&amp;ust=1605639552184000&amp;usg=AFQjCNG-oAeBYXaRh7XCP0lYUg7eR1sZPA" xr:uid="{BD307272-072D-4505-8454-823969B0C659}"/>
    <hyperlink ref="A1375" r:id="rId1107" display="https://www.google.com/url?q=http://codeforces.com/contest/1071/problem/B&amp;sa=D&amp;ust=1605639552185000&amp;usg=AFQjCNHnVo3omUAFARe3tlZy6SPMuru1Jg" xr:uid="{7F5ADFC3-7669-479C-BBEE-D94CDBAFB5FA}"/>
    <hyperlink ref="A1377" r:id="rId1108" display="https://www.google.com/url?q=https://codeforces.com/contest/6/problem/D&amp;sa=D&amp;ust=1605639552186000&amp;usg=AFQjCNGSHVF0jNcIT5oTOvGhMQ6hkTvz6g" xr:uid="{30988705-8455-4FCC-92D3-65968F9D0AF4}"/>
    <hyperlink ref="A1378" r:id="rId1109" display="https://www.google.com/url?q=https://codeforces.com/gym/101979/problem/D&amp;sa=D&amp;ust=1605639552188000&amp;usg=AFQjCNHfSBAhT_g2UB8sc3aBc-3Uzu10EQ" xr:uid="{69D29134-A980-4B78-B505-A13E3AC83297}"/>
    <hyperlink ref="A1379" r:id="rId1110" display="https://www.google.com/url?q=http://codeforces.com/contest/459/problem/E&amp;sa=D&amp;ust=1605639552188000&amp;usg=AFQjCNGIWj8abmUr6LnIXYfQ4rMmKvmdlg" xr:uid="{FCEC1734-6E0B-43A6-AB0A-8C434B0BD9DB}"/>
    <hyperlink ref="A1380" r:id="rId1111" display="https://www.google.com/url?q=http://codeforces.com/contest/598/problem/E&amp;sa=D&amp;ust=1605639552189000&amp;usg=AFQjCNEJXrfLdEKYI49klaULmjFVKsMHaw" xr:uid="{B7245734-FCD7-4E59-A7B3-A86D996C1727}"/>
    <hyperlink ref="A1381" r:id="rId1112" display="https://www.google.com/url?q=https://www.codechef.com/MAY18B/problems/CHSIGN&amp;sa=D&amp;ust=1605639552189000&amp;usg=AFQjCNHxY0ye8yXAowKbpjcZm5LnKci_Xg" xr:uid="{0F0B44C7-91B2-444E-93D9-9430BE49DB9D}"/>
    <hyperlink ref="D1705" r:id="rId1113" display="https://www.google.com/url?q=https://github.com/timpostuvan/CompetitiveProgramming/blob/master/CodeChef/CHSIGN.cpp&amp;sa=D&amp;ust=1605639552189000&amp;usg=AFQjCNFO4jB2gFEG_zthFt2_p9vaZozCpQ" xr:uid="{372D359D-5417-431A-815F-8A999F10B63F}"/>
    <hyperlink ref="A1382" r:id="rId1114" display="https://www.google.com/url?q=http://codeforces.com/problemset/problem/494/B&amp;sa=D&amp;ust=1605639552190000&amp;usg=AFQjCNHmPt6AM9ZniMjb2Cm8PQvfq_5k-Q" xr:uid="{82B148A0-A462-4A2A-A0A2-C6ABA92B318E}"/>
    <hyperlink ref="A1383" r:id="rId1115" display="https://www.google.com/url?q=https://arc087.contest.atcoder.jp/tasks/arc087_b&amp;sa=D&amp;ust=1605639552190000&amp;usg=AFQjCNErOgfKm29KuO6DFCQHcrFqBRxwRQ" xr:uid="{FAC47ED8-0F0F-4A59-8DBC-FC52DDFDA8FF}"/>
    <hyperlink ref="A1384" r:id="rId1116" display="https://www.google.com/url?q=https://codeforces.com/contest/1132/problem/F&amp;sa=D&amp;ust=1605639552190000&amp;usg=AFQjCNFbDw8D5AK1qv2uR1KEd1sMjUNJXA" xr:uid="{FB9CFEBE-0259-490E-BC93-56ABAA0099E0}"/>
    <hyperlink ref="A1385" r:id="rId1117" display="https://www.google.com/url?q=http://codeforces.com/contest/13/problem/C&amp;sa=D&amp;ust=1605639552191000&amp;usg=AFQjCNHobaQuxk1HmZ9muGaBkJqaf3CHZg" xr:uid="{46FCF586-ECBE-4384-A725-4254CCE73B47}"/>
    <hyperlink ref="A1386" r:id="rId1118" display="https://www.google.com/url?q=http://codeforces.com/contest/383/problem/D&amp;sa=D&amp;ust=1605639552191000&amp;usg=AFQjCNG5MHrNpNKI3J9K8GxNHBbhGhXZTw" xr:uid="{B0CE857F-6E79-4679-836A-FE6DC50AD66A}"/>
    <hyperlink ref="A1387" r:id="rId1119" display="https://www.google.com/url?q=http://codeforces.com/problemset/problem/900/E&amp;sa=D&amp;ust=1605639552192000&amp;usg=AFQjCNHYkv7KBBMQ2sXkGL9GyPjy-DkFmQ" xr:uid="{11C011CB-4B63-42B4-9581-01C6A7E9F1DF}"/>
    <hyperlink ref="D1711" r:id="rId1120" display="https://www.google.com/url?q=https://github.com/MedoN11/CompetitiveProgramming/blob/master/CodeForces/CF450-D2-E.cpp&amp;sa=D&amp;ust=1605639552192000&amp;usg=AFQjCNHKBUwrEXQEh7bofHoPlcQXAYXmMg" xr:uid="{E88CEEF1-6503-4D75-AEB1-E7DA95BDC9F5}"/>
    <hyperlink ref="D1712" r:id="rId1121" display="https://www.google.com/url?q=https://github.com/AhmedElsisy/CompetitiveProgramming/blob/master/SPOJ/SPOJ%2520NUMTSN.cpp&amp;sa=D&amp;ust=1605639552192000&amp;usg=AFQjCNFY4jLB8qwG7kvWESv0rT5qMI4oXQ" xr:uid="{D205B20B-71E5-469F-B526-19096E92EFAA}"/>
    <hyperlink ref="A1389" r:id="rId1122" display="https://www.google.com/url?q=https://codeforces.com/contest/1241/problem/D&amp;sa=D&amp;ust=1605639552193000&amp;usg=AFQjCNHL1K1bvjSkC8vmiiMM8_MZkdidtw" xr:uid="{713C1970-2862-44DE-91F3-DD5F078E5304}"/>
    <hyperlink ref="D1714" r:id="rId1123" display="https://www.google.com/url?q=https://github.com/AhmedElsisy/CompetitiveProgramming/blob/master/SPOJ/SPOJ%2520COLORSEG.cpp&amp;sa=D&amp;ust=1605639552194000&amp;usg=AFQjCNE3jrRb4zVZ9SXup-tFnOatqZI8Dw" xr:uid="{DBC3E99F-19AC-4DCE-BC68-1CAE88724D63}"/>
    <hyperlink ref="A1391" r:id="rId1124" display="https://www.google.com/url?q=https://uva.onlinejudge.org/index.php?option%3Dcom_onlinejudge%26Itemid%3D8%26page%3Dshow_problem%26problem%3D1475&amp;sa=D&amp;ust=1605639552194000&amp;usg=AFQjCNGcXdxt50KxYchsv1CH_AVOXCsgKw" xr:uid="{11969BF9-3EC4-45CF-9CF2-9F36B30C4877}"/>
    <hyperlink ref="D1715" r:id="rId1125" display="https://www.google.com/url?q=https://github.com/AliOsm/CompetitiveProgramming/blob/master/UVA/10534%2520-%2520Wavio%2520Sequence.cpp&amp;sa=D&amp;ust=1605639552194000&amp;usg=AFQjCNHMxfEWpT6OnMX9IvcYOHCuNvoWdQ" xr:uid="{0811C474-9F80-45B1-A1EE-042965276D47}"/>
    <hyperlink ref="A1392" r:id="rId1126" display="https://www.google.com/url?q=http://codeforces.com/contest/340/problem/D&amp;sa=D&amp;ust=1605639552195000&amp;usg=AFQjCNHQlfWVx4twmKj41-OQaEf0_TfWDQ" xr:uid="{EF327FD7-60EC-4CBE-BBE3-C4535242F190}"/>
    <hyperlink ref="A1393" r:id="rId1127" display="https://www.google.com/url?q=https://atcoder.jp/contests/abc132/tasks/abc132_f&amp;sa=D&amp;ust=1605639552195000&amp;usg=AFQjCNEM7CdRfWErZDcvwXuWxVX7rqFakg" xr:uid="{831466F1-74A8-426E-8C89-B005A24A6DCA}"/>
    <hyperlink ref="A1394" r:id="rId1128" display="https://www.google.com/url?q=https://codeforces.com/contest/1197/problem/D&amp;sa=D&amp;ust=1605639552196000&amp;usg=AFQjCNFvwLQmaTVVUHXZ68SmmzqavNPHkg" xr:uid="{63177393-39BD-4F9F-90E3-348AF535B219}"/>
    <hyperlink ref="A1395" r:id="rId1129" display="https://www.google.com/url?q=http://codeforces.com/contest/265/problem/D&amp;sa=D&amp;ust=1605639552196000&amp;usg=AFQjCNEdICx_5IdDZ0gkWTMAofAhBjicyg" xr:uid="{8409F5CA-7B0E-427A-A607-96A77C5E369F}"/>
    <hyperlink ref="A1396" r:id="rId1130" display="https://www.google.com/url?q=https://atcoder.jp/contests/abc145/tasks/abc145_e&amp;sa=D&amp;ust=1605639552197000&amp;usg=AFQjCNETf_VdzaWEpA4QYNmYRvPEN0yt-w" xr:uid="{A933EE6D-95E0-42C8-B3AC-045E64BE8DC0}"/>
    <hyperlink ref="D1720" r:id="rId1131" display="https://www.google.com/url?q=https://github.com/farmerboy95/CompetitiveProgramming/blob/master/AtCoder/AtCoder145-ABC-E.cpp&amp;sa=D&amp;ust=1605639552197000&amp;usg=AFQjCNGY8SWexSZdlslo489EYEh8yZiy_g" xr:uid="{68D5244E-4403-44EF-A4DE-A1A92B652DDB}"/>
    <hyperlink ref="D1721" r:id="rId1132" display="https://www.google.com/url?q=https://github.com/Coder-Boy1/UVA/blob/master/10690&amp;sa=D&amp;ust=1605639552197000&amp;usg=AFQjCNFd1CjefLed3b7kRQFbm5l1h_Yc4A" xr:uid="{9525F63D-AF66-41B5-B3A9-CC272550254C}"/>
    <hyperlink ref="A1398" r:id="rId1133" display="https://www.google.com/url?q=http://codeforces.com/contest/366/problem/C&amp;sa=D&amp;ust=1605639552198000&amp;usg=AFQjCNGugVFwgyzpmylpBwj9GtSEFH0SYA" xr:uid="{D1A67696-02B1-496E-A856-0709008B99D5}"/>
    <hyperlink ref="A1399" r:id="rId1134" display="https://www.google.com/url?q=https://atcoder.jp/contests/abc155/tasks/abc155_e&amp;sa=D&amp;ust=1605639552198000&amp;usg=AFQjCNFZHBCMS471O-Snc0cJ_7WUxC-WNw" xr:uid="{333F47AB-EEED-4F3B-A517-940CEFE6F5C8}"/>
    <hyperlink ref="A1400" r:id="rId1135" display="https://www.google.com/url?q=https://codeforces.com/contest/1140/problem/D&amp;sa=D&amp;ust=1605639552200000&amp;usg=AFQjCNF5jKu7lyl655Q_-Ac7sFCuoq9weg" xr:uid="{00B20704-20A2-48EE-8F41-08818BDD31E7}"/>
    <hyperlink ref="A1401" r:id="rId1136" display="https://www.google.com/url?q=http://codeforces.com/contest/101/problem/B&amp;sa=D&amp;ust=1605639552200000&amp;usg=AFQjCNHT6fWLUQT3-yeqkHltSozymXXrAg" xr:uid="{D0D2E5E3-C0EA-4D12-8FF8-41153A534833}"/>
    <hyperlink ref="D1725" r:id="rId1137" display="https://www.google.com/url?q=https://github.com/Huvok/CompetitiveProgramming/blob/master/Codeforces/CF101-D1-B.cpp&amp;sa=D&amp;ust=1605639552201000&amp;usg=AFQjCNFuKgg_My96eFicC-xKRAesw2cPnA" xr:uid="{22F6B00B-2D93-4DB7-A7F5-45ADD0A97617}"/>
    <hyperlink ref="A1402" r:id="rId1138" display="https://www.google.com/url?q=http://codeforces.com/contest/721/problem/C&amp;sa=D&amp;ust=1605639552201000&amp;usg=AFQjCNHb6ITzSxpbNWjoTiADglf3fxpNHA" xr:uid="{3FFB0254-21C1-4605-B518-4477CCECA5FB}"/>
    <hyperlink ref="A1403" r:id="rId1139" display="https://www.google.com/url?q=https://codeforces.com/contest/1107/problem/D&amp;sa=D&amp;ust=1605639552202000&amp;usg=AFQjCNFKXfsmajXnFskC7xE6TUd5PeAraA" xr:uid="{3E7E549B-8D6E-47A4-860C-EC7F0DEFA9EB}"/>
    <hyperlink ref="A1404" r:id="rId1140" display="https://www.google.com/url?q=http://codeforces.com/contest/2/problem/B&amp;sa=D&amp;ust=1605639552202000&amp;usg=AFQjCNHFr4LJA1Of0VEayIzdXQL2fNRKyA" xr:uid="{4549DBB5-9646-4C99-9D23-C6A30DAB1177}"/>
    <hyperlink ref="A1405" r:id="rId1141" display="https://www.google.com/url?q=http://codeforces.com/contest/506/problem/A&amp;sa=D&amp;ust=1605639552202000&amp;usg=AFQjCNFq2ja3GwmFOJCgNgIjpYRjL48srA" xr:uid="{2E225D48-B9D3-4740-97A8-D337BCEF5664}"/>
    <hyperlink ref="A1406" r:id="rId1142" display="https://www.google.com/url?q=http://codeforces.com/contest/946/problem/D&amp;sa=D&amp;ust=1605639552203000&amp;usg=AFQjCNEOHa8rgvHFEAGXq9yFVvv2krwrig" xr:uid="{97287872-51DD-446E-8D87-E1B2AEF7823A}"/>
    <hyperlink ref="A1407" r:id="rId1143" display="https://www.google.com/url?q=http://codeforces.com/contest/608/problem/C&amp;sa=D&amp;ust=1605639552203000&amp;usg=AFQjCNGG9G5wVdSm04JqrMazVK1VZy8SGw" xr:uid="{D2F08B4B-A6CF-42A1-896A-337D012C2F8E}"/>
    <hyperlink ref="D1732" r:id="rId1144" display="https://www.google.com/url?q=https://github.com/StavrosChryselis/spoj/blob/master/FATAWY.cpp&amp;sa=D&amp;ust=1605639552204000&amp;usg=AFQjCNHy52qN9LhivdjH_njT2JVqq5c0sw" xr:uid="{4ADDE34A-7EB7-4A95-A8DB-C60CCD6280D8}"/>
    <hyperlink ref="A1411" r:id="rId1145" display="https://www.google.com/url?q=http://agc021.contest.atcoder.jp/tasks/agc021_d&amp;sa=D&amp;ust=1605639552205000&amp;usg=AFQjCNEDcD6Yw-atEbAk1kcZ2Zvm-3WGlw" xr:uid="{35F0E806-2AA3-4587-9309-2FB8F732D772}"/>
    <hyperlink ref="A1412" r:id="rId1146" display="https://www.google.com/url?q=https://codeforces.com/contest/1096/problem/D&amp;sa=D&amp;ust=1605639552206000&amp;usg=AFQjCNHFD3ZUjDCTq6ZPsVVhDWgytVj6qA" xr:uid="{FE77C70C-F36D-490B-ADEC-FB758DAF8290}"/>
    <hyperlink ref="A1413" r:id="rId1147" display="https://www.google.com/url?q=http://codeforces.com/contest/225/problem/C&amp;sa=D&amp;ust=1605639552206000&amp;usg=AFQjCNEE1kFlE_-ufiGR9WoXZAhL1CQkqw" xr:uid="{26111C8B-7742-4D88-9ECA-9A959CA08628}"/>
    <hyperlink ref="A1414" r:id="rId1148" display="https://www.google.com/url?q=http://codeforces.com/contest/407/problem/B&amp;sa=D&amp;ust=1605639552207000&amp;usg=AFQjCNE5Ykma7SkJTbQKqgfUcnEaf4qkPQ" xr:uid="{B46032EE-E9D6-4CF8-9D98-5DECF5922883}"/>
    <hyperlink ref="A1415" r:id="rId1149" display="https://www.google.com/url?q=http://codeforces.com/contest/699/problem/C&amp;sa=D&amp;ust=1605639552207000&amp;usg=AFQjCNFfxcYvyb1M8Uvq16_tEIMbvOV1qA" xr:uid="{8A285BEF-59D9-4A7A-951D-423BC6AF9BC5}"/>
    <hyperlink ref="A1416" r:id="rId1150" display="https://www.google.com/url?q=http://codeforces.com/contest/811/problem/C&amp;sa=D&amp;ust=1605639552208000&amp;usg=AFQjCNHI_nZaP7WQX6CY1bXXQ_fi2qtsiQ" xr:uid="{B08D2648-8815-42C9-86F5-8FC307F9D501}"/>
    <hyperlink ref="A1417" r:id="rId1151" display="https://www.google.com/url?q=https://www.codechef.com/problems/RWALK&amp;sa=D&amp;ust=1605639552208000&amp;usg=AFQjCNH8x-GOO1zlBjha53bNIc3AgOJQfQ" xr:uid="{8B8D14D2-B47B-491B-848C-30305944DED1}"/>
    <hyperlink ref="A1426" r:id="rId1152" display="https://www.google.com/url?q=http://codeforces.com/contest/991/problem/D&amp;sa=D&amp;ust=1605639552212000&amp;usg=AFQjCNGj1MF0BTVpnLKKsrccMLIMhRPrig" xr:uid="{223C94D3-57AB-4366-9CD9-DE68C017BB4C}"/>
    <hyperlink ref="A1427" r:id="rId1153" display="https://www.google.com/url?q=http://codeforces.com/contest/527/problem/D&amp;sa=D&amp;ust=1605639552213000&amp;usg=AFQjCNFtRzBpeaxB6EeE6FwbzOIUZIO3Uw" xr:uid="{DD469A8A-238E-484E-8DEB-3C6D7AE18DE2}"/>
    <hyperlink ref="A1428" r:id="rId1154" display="https://www.google.com/url?q=https://www.codechef.com/problems/VOGOZO&amp;sa=D&amp;ust=1605639552214000&amp;usg=AFQjCNHbq5Nybbt2ETRNjzfg40HpEYF_Sg" xr:uid="{00E8886B-5FA8-46AB-B96F-B31F907642E6}"/>
    <hyperlink ref="D1752" r:id="rId1155" display="https://www.google.com/url?q=https://github.com/MedoN11/CompetitiveProgramming/blob/master/CodeChef/VOGOZO.cpp&amp;sa=D&amp;ust=1605639552214000&amp;usg=AFQjCNE3DNn_NelmSjDNJXHit4fEHzdf5A" xr:uid="{B389CDCC-67E4-4E8E-A94C-6775986E4F8A}"/>
    <hyperlink ref="A1429" r:id="rId1156" display="https://www.google.com/url?q=http://codeforces.com/problemset/gymProblem/101411/H&amp;sa=D&amp;ust=1605639552215000&amp;usg=AFQjCNFAPYcadsN4c8Z4-TCY8Wuba3DORw" xr:uid="{1C728D7D-3803-40C2-9E74-7FF07446DDA4}"/>
    <hyperlink ref="A1432" r:id="rId1157" display="https://www.google.com/url?q=http://codeforces.com/contest/607/problem/D&amp;sa=D&amp;ust=1605639552216000&amp;usg=AFQjCNGLqto-jUZrRhsxoEjE_LyOWzJmnQ" xr:uid="{88F94ECB-E212-4E64-84C0-5CC6E70DE244}"/>
    <hyperlink ref="A1433" r:id="rId1158" display="https://www.google.com/url?q=http://codeforces.com/contest/417/problem/D&amp;sa=D&amp;ust=1605639552216000&amp;usg=AFQjCNFYfq-13fI70GrVaPbaaAQvZk1dIQ" xr:uid="{EB0F4033-1E03-4DC0-A64B-70D108FB9B0B}"/>
    <hyperlink ref="A1438" r:id="rId1159" display="https://www.google.com/url?q=http://codeforces.com/contest/270/problem/D&amp;sa=D&amp;ust=1605639552218000&amp;usg=AFQjCNHvhOnIn00lyj-UzrvjILhZV9gthQ" xr:uid="{08F69298-9964-4128-AE18-F2A40BE96CC1}"/>
    <hyperlink ref="A1439" r:id="rId1160" display="https://www.google.com/url?q=https://csacademy.com/contest/round-61/task/strictly-increasing-array/&amp;sa=D&amp;ust=1605639552218000&amp;usg=AFQjCNEf9-ImSgQWynWMKM5xpyZ9P8S2iQ" xr:uid="{49E6FE3C-2671-4F2F-9ED5-B151F525BB35}"/>
    <hyperlink ref="D1762" r:id="rId1161" display="https://www.google.com/url?q=https://github.com/AliOsm/CompetitiveProgramming/blob/master/SPOJ/BRDGHRD%2520-%2520Building%2520Bridges(HARD).cpp&amp;sa=D&amp;ust=1605639552218000&amp;usg=AFQjCNHxz65LKdH_dsrwnCng9PBGtAeGUA" xr:uid="{C42A9462-C22B-41C4-B9E2-1083B6641C4A}"/>
    <hyperlink ref="A1442" r:id="rId1162" display="https://www.google.com/url?q=https://codeforces.com/contest/245/problem/H&amp;sa=D&amp;ust=1605639552219000&amp;usg=AFQjCNHsgQenMfDFEcEhawhY1D80_lhn7g" xr:uid="{920AB955-6D80-45B6-AE66-7DCE415318D9}"/>
    <hyperlink ref="A1446" r:id="rId1163" display="https://www.google.com/url?q=http://codeforces.com/problemset/problem/842/C&amp;sa=D&amp;ust=1605639552221000&amp;usg=AFQjCNH9bMONSq5HaGqbEEKjLeZbaj4jSA" xr:uid="{A4C1C889-93A4-4465-881D-66DBC690CB23}"/>
    <hyperlink ref="D1768" r:id="rId1164" display="https://www.google.com/url?q=https://github.com/MedoN11/CompetitiveProgramming/blob/master/CodeForces/CF842-D2-C.cpp&amp;sa=D&amp;ust=1605639552221000&amp;usg=AFQjCNF_MCKYSIJcvuqpoQdszSGeAO5kRg" xr:uid="{980A138D-518D-44DF-B495-74D812D7E1B3}"/>
    <hyperlink ref="D1219" r:id="rId1165" display="https://www.google.com/url?q=https://github.com/ahmedsamir221/CompetitiveProgramming/blob/master/SPOJ/SPOJ%2520NAIVELOK.cpp&amp;sa=D&amp;ust=1605639552222000&amp;usg=AFQjCNFXabsV6q5wLakhN7tWe18oTVU45A" xr:uid="{44005674-8E8E-4022-B336-CD139225803A}"/>
    <hyperlink ref="A1449" r:id="rId1166" display="https://www.google.com/url?q=http://codeforces.com/contest/706/problem/C&amp;sa=D&amp;ust=1605639552222000&amp;usg=AFQjCNFjq_8bo85VcQwFMhuqzNd30gyfrg" xr:uid="{CE17D63A-5E2E-4C15-81CB-8EAA7C5CBF12}"/>
    <hyperlink ref="A1450" r:id="rId1167" display="https://www.google.com/url?q=https://www.facebook.com/hackercup/problem/1632703893518337/&amp;sa=D&amp;ust=1605639552223000&amp;usg=AFQjCNF3oVaXaY-5iimp2OWRJrmkc-tnDQ" xr:uid="{681F3349-17B0-4588-AD57-64D5A6991F97}"/>
    <hyperlink ref="D1221" r:id="rId1168" display="https://www.google.com/url?q=https://github.com/SpeedOfMagic/CompetitiveProgramming/blob/master/FbHkrCup/FbHkrCup%252018-Tourist.cpp&amp;sa=D&amp;ust=1605639552223000&amp;usg=AFQjCNFfL2TLL7zzb_Gz4AtFytZewSos9Q" xr:uid="{AD5DF934-B2A3-4501-A235-CB4DBDD8373D}"/>
    <hyperlink ref="A1451" r:id="rId1169" display="https://www.google.com/url?q=http://codeforces.com/contest/430/problem/D&amp;sa=D&amp;ust=1605639552223000&amp;usg=AFQjCNGZhrkIv7Jqbokt0ZUgiHxRzEqICg" xr:uid="{42367A33-39F2-43EB-9502-CFA07476FD5C}"/>
    <hyperlink ref="A1452" r:id="rId1170" display="https://www.google.com/url?q=http://codeforces.com/contest/358/problem/D&amp;sa=D&amp;ust=1605639552224000&amp;usg=AFQjCNFC_tuLhpqlTi3vSDJeH9fP82fqAw" xr:uid="{9410130A-E95F-412B-A453-538FA2AEBCF0}"/>
    <hyperlink ref="A1453" r:id="rId1171" display="https://www.google.com/url?q=http://codeforces.com/contest/408/problem/D&amp;sa=D&amp;ust=1605639552224000&amp;usg=AFQjCNHVzWjmxUqC14vOS8myPmNruOpKIQ" xr:uid="{EEB394B9-ED52-421C-A4B0-416499B56884}"/>
    <hyperlink ref="A1454" r:id="rId1172" display="https://www.google.com/url?q=http://codeforces.com/contest/456/problem/C&amp;sa=D&amp;ust=1605639552225000&amp;usg=AFQjCNEA484TEI-IUlYHhqdhmmhSXBJZ-A" xr:uid="{E556826C-D256-4CE1-AE8B-91C3C9428200}"/>
    <hyperlink ref="A1455" r:id="rId1173" display="https://www.google.com/url?q=http://codeforces.com/contest/682/problem/D&amp;sa=D&amp;ust=1605639552226000&amp;usg=AFQjCNGZ1uBGsUeMr_HQGMNn4sXEdZLF-A" xr:uid="{FBC59BDA-7E50-4B6C-9380-C2D90302E03E}"/>
    <hyperlink ref="A1456" r:id="rId1174" display="https://www.google.com/url?q=http://codeforces.com/contest/711/problem/C&amp;sa=D&amp;ust=1605639552226000&amp;usg=AFQjCNFjXc3ZaJAHowAhJky_2fXPkz8Esg" xr:uid="{E8BE99E1-AA8C-4260-B53D-9928F3AE72EB}"/>
    <hyperlink ref="D1228" r:id="rId1175" display="https://www.google.com/url?q=https://github.com/Maverick10/Competitive-Programming/blob/master/Solutions/World%2520Finals/2017%2520-%2520F.cpp&amp;sa=D&amp;ust=1605639552226000&amp;usg=AFQjCNFtdXnSHYGPGTZsLhDt3TF-FNTMwg" xr:uid="{2294FC8B-51FE-46E7-847B-CFE66483FD44}"/>
    <hyperlink ref="A1458" r:id="rId1176" display="https://www.google.com/url?q=https://uva.onlinejudge.org/index.php?option%3Dcom_onlinejudge%26Itemid%3D8%26page%3Dshow_problem%26problem%3D1558&amp;sa=D&amp;ust=1605639552227000&amp;usg=AFQjCNHGuzy4m9nvWRSOgmDXQ-iXlgVQjQ" xr:uid="{B5086827-6957-4CC0-98DD-4B30EF6FD8F0}"/>
    <hyperlink ref="A1459" r:id="rId1177" display="https://www.google.com/url?q=https://uva.onlinejudge.org/index.php?option%3Donlinejudge%26page%3Dshow_problem%26problem%3D548&amp;sa=D&amp;ust=1605639552227000&amp;usg=AFQjCNF49rnGADHrmUx-LuLNi63d_i3G_w" xr:uid="{10BC187C-F610-4E7F-82D2-28A9D5143214}"/>
    <hyperlink ref="D1230" r:id="rId1178" display="https://www.google.com/url?q=https://github.com/MichaelMounir12/CompetitiveProgramming/blob/69c0dba2b0b29083ebad94dfd18be25dcf903235/UVA/UVA_607.cpp&amp;sa=D&amp;ust=1605639552227000&amp;usg=AFQjCNFTwxsTy4bmOVWp0vHcwkRjxI_P7w" xr:uid="{7FCC2F56-4863-4A73-94A6-D20ADA0B490E}"/>
    <hyperlink ref="A1461" r:id="rId1179" display="https://www.google.com/url?q=https://www.codechef.com/problems/TACNTSTR&amp;sa=D&amp;ust=1605639552228000&amp;usg=AFQjCNFTVSJdlyr7THGAf97W4EEgm2jtdQ" xr:uid="{D197D454-CA3D-4583-91B1-4F8973145342}"/>
    <hyperlink ref="A1462" r:id="rId1180" display="https://www.google.com/url?q=https://atcoder.jp/contests/abc119/tasks/abc119_c&amp;sa=D&amp;ust=1605639552229000&amp;usg=AFQjCNFdEf0_QZ_wqOApIIbPxIXcl5gqzg" xr:uid="{F704ABEA-A928-4CBD-A24E-F09EB023F5AA}"/>
    <hyperlink ref="A1475" r:id="rId1181" display="https://www.google.com/url?q=http://codeforces.com/contest/792/problem/C&amp;sa=D&amp;ust=1605639552229000&amp;usg=AFQjCNF2bYBOnhKWC2yBIONqj8YHwh9RGA" xr:uid="{007F950A-D991-4C58-A5AC-9F54F0E1831F}"/>
    <hyperlink ref="D1235" r:id="rId1182" display="https://www.google.com/url?q=http://ideone.com/HN1fLp&amp;sa=D&amp;ust=1605639552229000&amp;usg=AFQjCNFRl9RlSMO2xlkd8ck41vJFrS1jnA" xr:uid="{60DC93DA-B062-41F3-90B2-C6661D3E36A4}"/>
    <hyperlink ref="A1477" r:id="rId1183" display="https://www.google.com/url?q=http://codeforces.com/contest/4/problem/D&amp;sa=D&amp;ust=1605639552230000&amp;usg=AFQjCNEBC4xNQlIxjsyQupGbzX94Q-MVgQ" xr:uid="{1D7F120C-456D-4BBC-AD90-0120E0689ECD}"/>
    <hyperlink ref="A1478" r:id="rId1184" display="https://www.google.com/url?q=https://www.hackerrank.com/contests/moodys-analytics-2018-university-codesprint/challenges/short-trade-transaction&amp;sa=D&amp;ust=1605639552230000&amp;usg=AFQjCNE5ZRM5ncdOzIxwgGHvAlW3sZ-1OQ" xr:uid="{B6FC00EB-BDE9-4201-AB1D-B0495B44919B}"/>
    <hyperlink ref="D1139" r:id="rId1185" display="https://www.google.com/url?q=https://github.com/SpeedOfMagic/CompetitiveProgramming/blob/master/MAUC/18-short-trade-transaction.cpp&amp;sa=D&amp;ust=1605639552231000&amp;usg=AFQjCNFSAGjcC58PN3kBmmVHNyCFXqKkPQ" xr:uid="{797B0896-C917-4678-8170-AEFE47099D55}"/>
    <hyperlink ref="A1482" r:id="rId1186" display="https://www.google.com/url?q=http://codeforces.com/contest/604/problem/C&amp;sa=D&amp;ust=1605639552232000&amp;usg=AFQjCNF7_fU2tY61gJEEHYCWKjdto-zkdg" xr:uid="{6B52F8B7-FEC2-42EC-89B7-E23AC1D7990E}"/>
    <hyperlink ref="A1483" r:id="rId1187" display="https://www.google.com/url?q=https://codeforces.com/contest/1057/problem/C&amp;sa=D&amp;ust=1605639552232000&amp;usg=AFQjCNEHoDLX0Exr04ijIWmBroMedqLIYg" xr:uid="{25A66280-E845-46BC-BA0B-2A22829E258B}"/>
    <hyperlink ref="A1484" r:id="rId1188" display="https://www.google.com/url?q=https://codeforces.com/contest/1102/problem/F&amp;sa=D&amp;ust=1605639552233000&amp;usg=AFQjCNEqrcHnfscavFoteBzZAhub4ZZXqw" xr:uid="{976CF6D5-0488-4225-B0EA-4C54542CDB23}"/>
    <hyperlink ref="D698" r:id="rId1189" display="https://www.google.com/url?q=https://github.com/mostafa-saad/MyCompetitiveProgramming/blob/master/ZOJ/ZOJ_1025.txt&amp;sa=D&amp;ust=1605639552234000&amp;usg=AFQjCNG8s0KfOO-8rVe5awkjw-PPYebojA" xr:uid="{6008A9AF-E875-4826-A416-4C7618D2AC74}"/>
    <hyperlink ref="D700" r:id="rId1190" display="https://www.google.com/url?q=https://github.com/arvindr9/CompetitiveProgramming/blob/master/UVA/UVA%252010980.cpp&amp;sa=D&amp;ust=1605639552235000&amp;usg=AFQjCNGfqe-N2Eiojb4bS8B4rxuPChQvig" xr:uid="{C62E6FEA-858F-4C6B-86FD-3B9C4AABD1D3}"/>
    <hyperlink ref="A1488" r:id="rId1191" display="https://www.google.com/url?q=http://codeforces.com/contest/221/problem/D&amp;sa=D&amp;ust=1605639552235000&amp;usg=AFQjCNFt1WqzyW3H9pce9NT_rwkgaN63YQ" xr:uid="{4F956046-CCF8-4896-A0EE-794AFE67E81D}"/>
    <hyperlink ref="A1489" r:id="rId1192" display="https://www.google.com/url?q=http://codeforces.com/contest/415/problem/D&amp;sa=D&amp;ust=1605639552235000&amp;usg=AFQjCNGRoXd37efmcLvpEHPTI_tzenRdyg" xr:uid="{B443A009-65DE-4944-BE0D-6DB58654EE63}"/>
    <hyperlink ref="A1167" r:id="rId1193" display="https://www.google.com/url?q=https://uva.onlinejudge.org/index.php?option%3Dcom_onlinejudge%26Itemid%3D8%26page%3Dshow_problem%26problem%3D1680&amp;sa=D&amp;ust=1605639552238000&amp;usg=AFQjCNFrzAG0W53_D__7Dft0WK-S6xjI-w" xr:uid="{5899321E-CEB0-41A3-A2EA-0FC1391EDF3F}"/>
    <hyperlink ref="A1169" r:id="rId1194" display="https://www.google.com/url?q=https://uva.onlinejudge.org/index.php?option%3Donlinejudge%26page%3Dshow_problem%26problem%3D3215&amp;sa=D&amp;ust=1605639552239000&amp;usg=AFQjCNE01NeQKg1cAHHwtR5dSp9OBPl6VA" xr:uid="{1D9735C1-D25C-42F5-AD61-E16F5564AC51}"/>
    <hyperlink ref="D710" r:id="rId1195" display="https://www.google.com/url?q=https://github.com/HeartBlue/CompetitiveProgramming/blob/master/UVA/UVA%252011026%2520A%2520Grouping%2520Problem.cpp&amp;sa=D&amp;ust=1605639552240000&amp;usg=AFQjCNE8_6R-jKbwzxqAwA60Ff3vvzH46A" xr:uid="{B445798A-3D6C-4094-AD88-2557486BCD8F}"/>
    <hyperlink ref="A1173" r:id="rId1196" display="https://www.google.com/url?q=https://uva.onlinejudge.org/index.php?option%3Donlinejudge%26page%3Dshow_problem%26problem%3D1760&amp;sa=D&amp;ust=1605639552241000&amp;usg=AFQjCNElvPB_v1GRocIrlQi7VyFvN3P84Q" xr:uid="{99987DB6-0490-4C20-8E75-6DA864F58A92}"/>
    <hyperlink ref="A1175" r:id="rId1197" display="https://www.google.com/url?q=http://codeforces.com/contest/545/problem/C&amp;sa=D&amp;ust=1605639552241000&amp;usg=AFQjCNHCAeXcMQjvxEinjxnCNxv1JlzQ9w" xr:uid="{18ADDC3E-2809-46D8-B5A2-EA334FD2AEBE}"/>
    <hyperlink ref="A1177" r:id="rId1198" display="https://www.google.com/url?q=http://codeforces.com/contest/489/problem/C&amp;sa=D&amp;ust=1605639552242000&amp;usg=AFQjCNF12NEGK0tXl3gpHySoT27kk-yVfQ" xr:uid="{9CC13BEC-33E4-43C9-9DC7-A2F8C75FCC50}"/>
    <hyperlink ref="A1178" r:id="rId1199" display="https://www.google.com/url?q=http://codeforces.com/contest/41/problem/D&amp;sa=D&amp;ust=1605639552243000&amp;usg=AFQjCNH3KikIhzkwoQyzrNc4r1Iy1lw_bQ" xr:uid="{4A038E4C-A73D-4EB2-84EA-C91A188909DF}"/>
    <hyperlink ref="A1180" r:id="rId1200" display="https://www.google.com/url?q=http://codeforces.com/contest/463/problem/D&amp;sa=D&amp;ust=1605639552244000&amp;usg=AFQjCNEYuf3i6OVJ_6iei6eMl3vmoSlOXg" xr:uid="{80382D76-A02D-4C4E-A717-005E734A0C17}"/>
    <hyperlink ref="A1181" r:id="rId1201" display="https://www.google.com/url?q=https://uva.onlinejudge.org/index.php?option%3Dcom_onlinejudge%26Itemid%3D8%26page%3Dshow_problem%26problem%3D438&amp;sa=D&amp;ust=1605639552244000&amp;usg=AFQjCNEPhzW7YvBSK-ddEfmSrd30fTfMdg" xr:uid="{E47F8A20-9B50-46F3-A551-B6F5D65925FA}"/>
    <hyperlink ref="D493" r:id="rId1202" display="https://www.google.com/url?q=https://github.com/Ownography/CP/blob/master/SPOJ%2520UOFTAB&amp;sa=D&amp;ust=1605639552246000&amp;usg=AFQjCNGb05LdHMmFT7L3t6wv14jVa633Pw" xr:uid="{4D6B5ECB-2051-4CA3-9B6F-BF4A3261E073}"/>
    <hyperlink ref="A1188" r:id="rId1203" display="https://www.google.com/url?q=https://uva.onlinejudge.org/index.php?option%3Donlinejudge%26page%3Dshow_problem%26problem%3D1041&amp;sa=D&amp;ust=1605639552247000&amp;usg=AFQjCNH7k2vxlhTHBsLCKQkjt1gcGQ4mgA" xr:uid="{0663A258-BE13-4581-BB08-E19F9F4BEE9D}"/>
    <hyperlink ref="D176" r:id="rId1204" display="https://www.google.com/url?q=https://github.com/AhmedElsisy/CompetitiveProgramming/blob/master/SPOJ/SPOJ%2520NOVICE63.cpp&amp;sa=D&amp;ust=1605639552248000&amp;usg=AFQjCNGtTvmyYCQAX_W_TPjga7GP7orQAg" xr:uid="{49CCBE4E-B076-4BAC-9536-FBDFD25BABD8}"/>
    <hyperlink ref="A1192" r:id="rId1205" display="https://www.google.com/url?q=https://uva.onlinejudge.org/index.php?option%3Dcom_onlinejudge%26Itemid%3D8%26page%3Dshow_problem%26problem%3D944&amp;sa=D&amp;ust=1605639552249000&amp;usg=AFQjCNFwBaXmQBdLjAaG_aBMbbkR4y9jtw" xr:uid="{DA52D207-639A-4454-87A0-6A9042604481}"/>
    <hyperlink ref="A1193" r:id="rId1206" display="https://www.google.com/url?q=https://uva.onlinejudge.org/index.php?option%3Dcom_onlinejudge%26Itemid%3D8%26page%3Dshow_problem%26problem%3D977&amp;sa=D&amp;ust=1605639552250000&amp;usg=AFQjCNE2HTEZFpQMjagFQFBtCRa6osnlzg" xr:uid="{F258FFC2-67DA-4BB9-9A24-483EE4E3695F}"/>
    <hyperlink ref="D179" r:id="rId1207" display="https://www.google.com/url?q=https://github.com/MonaAhmed810/CompetitiveProgramming/blob/master/SPOJ/DCOWS.cpp&amp;sa=D&amp;ust=1605639552251000&amp;usg=AFQjCNEIVO6bTolkSbxOt4UacUwhA43a0g" xr:uid="{904626F5-B520-49A0-8E3E-47B7971363E7}"/>
    <hyperlink ref="A1195" r:id="rId1208" display="https://www.google.com/url?q=http://www.spoj.com/problems/TRT/&amp;sa=D&amp;ust=1605639552252000&amp;usg=AFQjCNEyd-JJkdfprpttwdqQHQiVacBahQ" xr:uid="{26BC25BF-6BEB-4C58-9CA9-4DFBCB58C2D4}"/>
    <hyperlink ref="D184" r:id="rId1209" display="https://www.google.com/url?q=https://github.com/Maverick10/Competitive-Programming/blob/master/Solutions/UVa/UVa%2520-%25201231.cpp&amp;sa=D&amp;ust=1605639552253000&amp;usg=AFQjCNHNat13M2dPICDMckVUvTVVepqSSg" xr:uid="{A8482CFA-BAC3-45DB-8F3E-A5BC1039E233}"/>
    <hyperlink ref="A1203" r:id="rId1210" display="https://www.google.com/url?q=https://uva.onlinejudge.org/index.php?option%3Dcom_onlinejudge%26Itemid%3D8%26page%3Dshow_problem%26problem%3D503&amp;sa=D&amp;ust=1605639552254000&amp;usg=AFQjCNEXSBMDjdGvXUR4ttEUc4sNKP36QA" xr:uid="{722B3025-2014-452C-B311-EB3F2D68A32B}"/>
    <hyperlink ref="A1206" r:id="rId1211" display="https://www.google.com/url?q=http://codeforces.com/contest/677/problem/A&amp;sa=D&amp;ust=1605639552256000&amp;usg=AFQjCNFntbFyybSUMqi-oR-GiXWRhmcg2A" xr:uid="{854EC0EA-9E27-4E5E-8EDE-EDB246D96AFE}"/>
    <hyperlink ref="A1492" r:id="rId1212" display="https://www.google.com/url?q=https://uva.onlinejudge.org/index.php?option%3Donlinejudge%26page%3Dshow_problem%26problem%3D1133&amp;sa=D&amp;ust=1605639552256000&amp;usg=AFQjCNEYxdiJ61bi9Z8yVWJQMI00FytVBA" xr:uid="{3D171C3F-FB94-4915-ABDE-BFF0FF56B88E}"/>
    <hyperlink ref="A1497" r:id="rId1213" display="https://www.google.com/url?q=http://www.spoj.com/problems/BYTESM2/&amp;sa=D&amp;ust=1605639552258000&amp;usg=AFQjCNHi74F_tIlpBm9QJN0q-Ojv2ubYKA" xr:uid="{BBBF8AF5-F082-4766-95F4-326AEC3A2D53}"/>
    <hyperlink ref="A1500" r:id="rId1214" display="https://www.google.com/url?q=https://codeforces.com/problemset/problem/1225/G&amp;sa=D&amp;ust=1605639552260000&amp;usg=AFQjCNFFXmGwk_t6xQlcrnNYIq0-aqaF0g" xr:uid="{0D85DEE1-9507-441F-9A19-C7F32ACF87F7}"/>
    <hyperlink ref="A1501" r:id="rId1215" display="https://www.google.com/url?q=https://codeforces.com/contest/506/problem/E&amp;sa=D&amp;ust=1605639552260000&amp;usg=AFQjCNEx9baJY-J9FlZk4r5Ka2F6BSxe-A" xr:uid="{7086975E-13F3-453D-99CB-F5FFB65359BE}"/>
    <hyperlink ref="D5710" r:id="rId1216" display="https://www.google.com/url?q=https://codeforces.com/blog/entry/61306&amp;sa=D&amp;ust=1605639552260000&amp;usg=AFQjCNHipJfPYhopacoV0tm5KkXDdSKRYA" xr:uid="{200F3932-49F2-4738-A712-C9685FAE4C21}"/>
    <hyperlink ref="A1502" r:id="rId1217" display="https://www.google.com/url?q=https://uva.onlinejudge.org/index.php?option%3Dcom_onlinejudge%26Itemid%3D8%26page%3Dshow_problem%26problem%3D4159&amp;sa=D&amp;ust=1605639552261000&amp;usg=AFQjCNFCHbvJu16ua31Lmt003sasTuClNg" xr:uid="{DD2FF19D-E233-414A-9352-9CE97A719CCD}"/>
    <hyperlink ref="A1503" r:id="rId1218" display="https://www.google.com/url?q=http://codeforces.com/contest/24/problem/D&amp;sa=D&amp;ust=1605639552261000&amp;usg=AFQjCNHSnbOD9AJ8vspIWahRX3ye2nanuQ" xr:uid="{46542AC6-F2EC-4E51-B4B2-0F31B4B3D0DD}"/>
    <hyperlink ref="A1505" r:id="rId1219" display="https://www.google.com/url?q=https://www.hackerrank.com/challenges/palindromes&amp;sa=D&amp;ust=1605639552262000&amp;usg=AFQjCNGS-o2oSU1LjsfvqNA-_5pX368OEw" xr:uid="{DDD54AE8-673B-489C-A400-57FE64888534}"/>
    <hyperlink ref="D4411" r:id="rId1220" display="https://www.google.com/url?q=https://github.com/mostafa-saad/MyCompetitiveProgramming/blob/master/UVA/UVA_1390.txt&amp;sa=D&amp;ust=1605639552264000&amp;usg=AFQjCNFRnQrEPkfErFP0m0ZcI2TJVC1eGg" xr:uid="{F9A140DB-8E74-4583-9194-41C74FEDC14E}"/>
    <hyperlink ref="A1507" r:id="rId1221" display="https://www.google.com/url?q=https://code.google.com/codejam/contest/188266/dashboard%23s%3Dp2&amp;sa=D&amp;ust=1605639552264000&amp;usg=AFQjCNF22qfBulbF9O-Q8lgweMQJUntrhQ" xr:uid="{91DA891D-5C2F-49A7-AFE8-C80CAAD4D13A}"/>
    <hyperlink ref="D4106" r:id="rId1222" display="https://www.google.com/url?q=https://github.com/mostafa-saad/MyCompetitiveProgramming/blob/master/GoogleCodeJam/CODEJAM-09-R1A-C.txt&amp;sa=D&amp;ust=1605639552265000&amp;usg=AFQjCNFe5Jq0VjHwV3sfx55HtWkJS8wBzw" xr:uid="{1CC8594B-C419-426E-9860-8458FA1FDEFC}"/>
    <hyperlink ref="A1508" r:id="rId1223" display="https://www.google.com/url?q=https://community.topcoder.com/stat?c%3Dproblem_statement%26pm%3D8595&amp;sa=D&amp;ust=1605639552265000&amp;usg=AFQjCNGRFgAVxbaJfX6DKHtK4TqynG4yFQ" xr:uid="{BF30B553-F513-47FA-B045-2599802708DF}"/>
    <hyperlink ref="A1510" r:id="rId1224" display="https://www.google.com/url?q=https://codeforces.com/gym/102190/attachments&amp;sa=D&amp;ust=1605639552266000&amp;usg=AFQjCNHG7C6DBiCELbxQwlKsR2yBwzVpmQ" xr:uid="{8C3705E4-921E-4B8E-886C-E3813BF89422}"/>
    <hyperlink ref="D3755" r:id="rId1225" display="https://www.google.com/url?q=https://github.com/mostafa-saad/MyCompetitiveProgramming/blob/master/Codeforces/CF102190-GYM-B.txt&amp;sa=D&amp;ust=1605639552266000&amp;usg=AFQjCNHda_vgsSLbvVR0mkw0HbNm_xPBFw" xr:uid="{C8957BEB-F36E-445E-BC1C-12604AD14693}"/>
    <hyperlink ref="D3756" r:id="rId1226" display="https://www.google.com/url?q=https://github.com/mostafa-saad/MyCompetitiveProgramming/blob/master/UVA/UVA_11755.txt&amp;sa=D&amp;ust=1605639552267000&amp;usg=AFQjCNGKgi9h4gsKiPbR7NZIvh5hrkNs5w" xr:uid="{1E7CAA6E-A8CC-41DA-A373-EF889F97EC07}"/>
    <hyperlink ref="D3153" r:id="rId1227" display="https://www.google.com/url?q=https://github.com/mostafa-saad/MyCompetitiveProgramming/blob/master/SPOJ/SPOJ_GS.txt&amp;sa=D&amp;ust=1605639552268000&amp;usg=AFQjCNF3M0swXVggo87o-xuN3RZpxAI7xw" xr:uid="{A69F646A-F7D6-4D94-B633-958EAD9522F0}"/>
    <hyperlink ref="D1770" r:id="rId1228" display="https://www.google.com/url?q=https://github.com/MedoN11/CompetitiveProgramming/blob/master/TopCoder/SRM568-D2-1000.java&amp;sa=D&amp;ust=1605639552269000&amp;usg=AFQjCNGT7oBnrssxdZ_FYcc8dNnny8c32Q" xr:uid="{52FE45CC-1A3C-4478-99BC-9DA70822A2C7}"/>
    <hyperlink ref="A1517" r:id="rId1229" display="https://www.google.com/url?q=https://agc004.contest.atcoder.jp/tasks/agc004_e&amp;sa=D&amp;ust=1605639552270000&amp;usg=AFQjCNEeZFKMa7Q6aWh2V5ZG8LsYivK2pw" xr:uid="{0B329402-357C-4E81-8C70-D0FB145FA8C6}"/>
    <hyperlink ref="D4412" r:id="rId1230" display="https://www.google.com/url?q=https://github.com/mostafa-saad/MyCompetitiveProgramming/blob/master/UVA/UVA_12099.txt&amp;sa=D&amp;ust=1605639552271000&amp;usg=AFQjCNGb6--svFy-TTcXJboeVp-tktffbA" xr:uid="{43216CFF-7F32-4135-9FB3-511C8CD1547C}"/>
    <hyperlink ref="A1519" r:id="rId1231" display="https://www.google.com/url?q=http://community.topcoder.com/stat?c%3Dproblem_statement%26pm%3D11504%26rd%3D14569&amp;sa=D&amp;ust=1605639552271000&amp;usg=AFQjCNFyqUqDlTIvguhmHDARzSciNNhCsg" xr:uid="{6E70A467-1D66-490F-AD0B-C915769A3EED}"/>
    <hyperlink ref="D3923" r:id="rId1232" display="https://www.google.com/url?q=https://github.com/nya-nya-meow/CompetitiveProgramming/blob/master/TopCoder/TC(SISTERSERASINGLETTERS).cpp&amp;sa=D&amp;ust=1605639552272000&amp;usg=AFQjCNGxLUEyIVuAMcfMZiUwiFiC0DoBcQ" xr:uid="{09314EAA-4056-41AB-8BA3-1C967B1E056B}"/>
    <hyperlink ref="A1520" r:id="rId1233" display="https://www.google.com/url?q=http://codeforces.com/contest/351/problem/C&amp;sa=D&amp;ust=1605639552272000&amp;usg=AFQjCNG2d-76F7DhpnvG8uNO4DWK-TIjLA" xr:uid="{6B2EAD29-C3C5-43AA-B958-10769E2A443B}"/>
    <hyperlink ref="D3757" r:id="rId1234" display="https://www.google.com/url?q=https://github.com/tmwilliamlin168/CompetitiveProgramming/blob/master/CodeForces/0351C.cpp&amp;sa=D&amp;ust=1605639552272000&amp;usg=AFQjCNEENbhkSYR4fyIikcpgpKIJmX8MTQ" xr:uid="{16F80156-A1F3-46E7-888C-E77A4C0482DC}"/>
    <hyperlink ref="A1773" r:id="rId1235" display="https://www.google.com/url?q=http://codeforces.com/contest/559/problem/C&amp;sa=D&amp;ust=1605639552273000&amp;usg=AFQjCNG9kga0eRErQp8QjXnVDTP1EdqEtg" xr:uid="{775ECFDD-A6A3-46FB-A406-25E2B70B8384}"/>
    <hyperlink ref="A1774" r:id="rId1236" display="https://www.google.com/url?q=https://codeforces.com/contest/1140/problem/E&amp;sa=D&amp;ust=1605639552273000&amp;usg=AFQjCNGWUIwuaxIQG5ToyniSvoaHBEre4g" xr:uid="{F0B0CBAB-9E65-435A-AAE2-18B9DE1CC4A1}"/>
    <hyperlink ref="D3156" r:id="rId1237" display="https://www.google.com/url?q=https://github.com/Mahmoud3ali/CompetitiveProgramming/blob/master/TopCoder/SRM508-D1-500.cpp&amp;sa=D&amp;ust=1605639552274000&amp;usg=AFQjCNExmAVJjP3uAFutkj1TRZUAmzQHgw" xr:uid="{19F6BA32-1196-4019-9123-126CC1750684}"/>
    <hyperlink ref="A1776" r:id="rId1238" display="https://www.google.com/url?q=http://lightoj.com/volume_showproblem.php?problem%3D1126&amp;sa=D&amp;ust=1605639552274000&amp;usg=AFQjCNEQhjY69M2iQOPEvzIfAgGshpUnxw" xr:uid="{7FABAF6F-8579-4715-A0B7-4609078CD1C6}"/>
    <hyperlink ref="D2605" r:id="rId1239" display="https://www.google.com/url?q=https://github.com/nya-nya-meow/CompetitiveProgramming/blob/master/LightOJ/1126.cpp&amp;sa=D&amp;ust=1605639552275000&amp;usg=AFQjCNFP_9KfMpW3VxF0FNKrEbuyF4y7tw" xr:uid="{3100D7A7-6DA4-4C07-B3A5-231BFAE51F04}"/>
    <hyperlink ref="A1777" r:id="rId1240" display="https://www.google.com/url?q=http://codeforces.com/contest/837/problem/D&amp;sa=D&amp;ust=1605639552275000&amp;usg=AFQjCNGypFYE54X2Fhzso_S6fvwJWXrJzQ" xr:uid="{F2D61BF3-0448-489D-B62C-06E0021787B4}"/>
    <hyperlink ref="A1780" r:id="rId1241" display="https://www.google.com/url?q=https://www.hackerrank.com/challenges/billboards&amp;sa=D&amp;ust=1605639552277000&amp;usg=AFQjCNHkGGKZC2EF7MmdGXwmuU_pAw7I8A" xr:uid="{466CDC9A-16A4-4BF2-8AE6-3CBA5E0145EE}"/>
    <hyperlink ref="D3157" r:id="rId1242" display="https://www.google.com/url?q=https://github.com/sggutier/CompetitiveProgramming/blob/master/HackerRank/billboards.cpp&amp;sa=D&amp;ust=1605639552278000&amp;usg=AFQjCNGoTkEF7ZdRC0qmGGLwI28tfVNgvA" xr:uid="{584BF473-4291-49B1-9590-E110F7204848}"/>
    <hyperlink ref="A1782" r:id="rId1243" display="https://www.google.com/url?q=https://codeforces.com/contest/1199/problem/F&amp;sa=D&amp;ust=1605639552279000&amp;usg=AFQjCNF_y7KV4YNlSaKpAEOf-lTTbkwdpQ" xr:uid="{A60FC434-3E96-433C-81D5-E879D13E6E06}"/>
    <hyperlink ref="D2616" r:id="rId1244" display="https://www.google.com/url?q=https://github.com/mostafa-saad/MyCompetitiveProgramming/blob/master/SPOJ/SPOJ_FISHES.txt&amp;sa=D&amp;ust=1605639552280000&amp;usg=AFQjCNEz7sLmFSFBo6RtJl2EUJ2ce46iMw" xr:uid="{3DFC8308-225A-4C72-88AC-A14331083A1F}"/>
    <hyperlink ref="A1786" r:id="rId1245" display="https://www.google.com/url?q=http://codeforces.com/contest/75/problem/D&amp;sa=D&amp;ust=1605639552281000&amp;usg=AFQjCNGAAwpgNuFdYWNqAc7OIcVWCe7SwQ" xr:uid="{C76DAD36-BDF5-4EC8-ACAC-309AF79D6484}"/>
    <hyperlink ref="D3645" r:id="rId1246" display="https://www.google.com/url?q=https://github.com/aviroop123/CompetitiveProgramming/blob/master/TopCoder/SRM358-D1-500.cpp&amp;sa=D&amp;ust=1605639552284000&amp;usg=AFQjCNGWx7BdR1Glw8--fR3IVxkEyH2mug" xr:uid="{717F736A-EAD3-4E68-885E-BD261E7ECCB5}"/>
    <hyperlink ref="A1797" r:id="rId1247" display="https://www.google.com/url?q=http://codeforces.com/contest/38/problem/F&amp;sa=D&amp;ust=1605639552285000&amp;usg=AFQjCNFWDZVx8Gh-JxpczjRKkUrpDSKkBw" xr:uid="{3F5B9B4F-22C5-4831-9237-2455FDF00E53}"/>
    <hyperlink ref="A1800" r:id="rId1248" display="https://www.google.com/url?q=https://www.codechef.com/problems/BUYING&amp;sa=D&amp;ust=1605639552287000&amp;usg=AFQjCNEF6OqqgvsVD5DIMu5Q4b27Dcmf2A" xr:uid="{289A616B-99D1-461D-938C-29A55BF8E77B}"/>
    <hyperlink ref="D5098" r:id="rId1249" display="https://www.google.com/url?q=https://github.com/shanto86/Training/blob/master/Codechef/CODECHEF%2520BUYING.cpp&amp;sa=D&amp;ust=1605639552287000&amp;usg=AFQjCNFycFY6ZftG0t158Z1xDhTdyl49qg" xr:uid="{95DECF5F-D3F1-40C9-829C-BC664FF132BF}"/>
    <hyperlink ref="A1802" r:id="rId1250" display="https://www.google.com/url?q=http://codeforces.com/contest/600/problem/E&amp;sa=D&amp;ust=1605639552288000&amp;usg=AFQjCNEFdh1u2SkK77JOmZXBlYFEWBO1xA" xr:uid="{D533C399-3F4A-47F6-840E-04388E91EBA1}"/>
    <hyperlink ref="D3174" r:id="rId1251" display="https://www.google.com/url?q=https://github.com/stefdasca/CompetitiveProgramming/blob/master/TopCoder/SRM416-D1-500.cpp&amp;sa=D&amp;ust=1605639552288000&amp;usg=AFQjCNGXpCzjYRXs7z3m0PDV2FjvkAw9oA" xr:uid="{436F7291-7038-4999-9BB2-64F28806549D}"/>
    <hyperlink ref="D3175" r:id="rId1252" display="https://www.google.com/url?q=https://github.com/sggutier/CompetitiveProgramming/blob/master/LiveArchive/3930.cpp&amp;sa=D&amp;ust=1605639552289000&amp;usg=AFQjCNHGX1DG17F44xDBm08O6aV_Rfp0wQ" xr:uid="{315137D3-EFC3-4713-B036-DB615C7662A6}"/>
    <hyperlink ref="A1860" r:id="rId1253" display="https://www.google.com/url?q=http://codeforces.com/contest/1051/problem/D&amp;sa=D&amp;ust=1605639552292000&amp;usg=AFQjCNFQ2PVViFrq9_u9YxVqbRyX9RDVBQ" xr:uid="{D82AB182-1143-46D3-B6DA-9B16999C7E22}"/>
    <hyperlink ref="A1995" r:id="rId1254" display="https://www.google.com/url?q=https://www.facebook.com/hackercup/problem/180494849326631/&amp;sa=D&amp;ust=1605639552292000&amp;usg=AFQjCNExaJuehTS4FvF3cnjkAp1LJDmVdA" xr:uid="{EB7EEE0C-F8F9-478D-8E2C-AFFE5B3F851B}"/>
    <hyperlink ref="A1996" r:id="rId1255" display="https://www.google.com/url?q=https://onlinejudge.org/index.php?option%3Donlinejudge%26Itemid%3D8%26page%3Dshow_problem%26problem%3D3665&amp;sa=D&amp;ust=1605639552293000&amp;usg=AFQjCNEDexI1Ms6I0725uCMG7kGIFiHsHg" xr:uid="{1FEBB641-6913-4FD6-9315-36888EC4EEDE}"/>
    <hyperlink ref="D1808" r:id="rId1256" display="https://www.google.com/url?q=https://algorithmist.com/wiki/UVa_10918&amp;sa=D&amp;ust=1605639552293000&amp;usg=AFQjCNHu7owcoB9UUglqVJBa-Jg3ZaKjww" xr:uid="{C9ABBDCB-FD1D-4BDD-886C-402B778F428E}"/>
    <hyperlink ref="D756" r:id="rId1257" display="https://www.google.com/url?q=https://github.com/mostafa-saad/MyCompetitiveProgramming/blob/master/UVA/UVA_10940.txt&amp;sa=D&amp;ust=1605639552295000&amp;usg=AFQjCNFva-jB9Ed9a3Ks6AKvrENR_J3mVg" xr:uid="{3453C858-9267-445F-AD8B-5AC41FD98B0D}"/>
    <hyperlink ref="A2002" r:id="rId1258" display="https://www.google.com/url?q=http://codeforces.com/contest/840/problem/C&amp;sa=D&amp;ust=1605639552296000&amp;usg=AFQjCNFTcD2NejrzDmCU1qvgVi9ySJoRbQ" xr:uid="{BE82B643-BAFB-4329-92AC-D534B93BA3D7}"/>
    <hyperlink ref="D5027" r:id="rId1259" display="https://www.google.com/url?q=https://github.com/nya-nya-meow/CompetitiveProgramming/blob/master/CodeForces/CF840-D1-C.cpp&amp;sa=D&amp;ust=1605639552296000&amp;usg=AFQjCNGrcRmmpEYbR9cDih5yYJ84zq3gmA" xr:uid="{664FD4A5-0E65-48C0-8CDE-DD1636618302}"/>
    <hyperlink ref="A2003" r:id="rId1260" display="https://www.google.com/url?q=http://codeforces.com/gym/101606/problem/E&amp;sa=D&amp;ust=1605639552296000&amp;usg=AFQjCNHz1uWXzAFMxrruBlXFd6-yF7lLUg" xr:uid="{E9D154C9-EA39-4015-9761-8EAA7D995CD5}"/>
    <hyperlink ref="D4721" r:id="rId1261" display="https://www.google.com/url?q=https://github.com/OmarHashim/Competitive-Programming/blob/master/CodeForces/CF101606-GYM-E&amp;sa=D&amp;ust=1605639552297000&amp;usg=AFQjCNHp0W9Ei53KciraAEKzNIgEXboVCA" xr:uid="{67CAA150-BEC7-455E-9111-7A0373B98C78}"/>
    <hyperlink ref="A2004" r:id="rId1262" display="https://www.google.com/url?q=http://codeforces.com/gym/100283/problem/C&amp;sa=D&amp;ust=1605639552297000&amp;usg=AFQjCNE2HWWV6u_0JaCVC0jzpolvY9qDgA" xr:uid="{1585101D-D571-4EBF-A6AF-53DC1C83F9F7}"/>
    <hyperlink ref="D4417" r:id="rId1263" display="https://www.google.com/url?q=https://github.com/mostafa-saad/MyCompetitiveProgramming/blob/master/Codeforces/CF100283-Gym-C.txt&amp;sa=D&amp;ust=1605639552297000&amp;usg=AFQjCNHhdeiHOzVOx9eF-cKqGt9vvwsODg" xr:uid="{D89BE802-7651-43DF-AA0B-D7F71D83CEDD}"/>
    <hyperlink ref="A2005" r:id="rId1264" display="https://www.google.com/url?q=https://codeforces.com/contest/570/problem/E&amp;sa=D&amp;ust=1605639552298000&amp;usg=AFQjCNGpJVW6EsaG2swjFcvtqQzW-WS9DA" xr:uid="{DAF6E034-F171-4CFC-AA07-BBE769E11822}"/>
    <hyperlink ref="A2006" r:id="rId1265" display="https://www.google.com/url?q=http://codeforces.com/gym/101490/attachments/download/5853/2016-benelux-algorithm-programming-contest-bapc-16-en.pdf&amp;sa=D&amp;ust=1605639552298000&amp;usg=AFQjCNHmVMDYAhoUB5hzWQgoJeis4t-qYQ" xr:uid="{7A289162-2A96-4089-9455-15E82762287F}"/>
    <hyperlink ref="D4419" r:id="rId1266" display="https://www.google.com/url?q=https://github.com/MedoN11/CompetitiveProgramming/blob/master/CodeForces/CF101490-GYM-D.cpp&amp;sa=D&amp;ust=1605639552298000&amp;usg=AFQjCNHOCoYox4H9c8AhztMFvNYaKWPV7w" xr:uid="{0413E1A8-6CA4-4F3E-981F-F692B3275551}"/>
    <hyperlink ref="A2007" r:id="rId1267" display="https://www.google.com/url?q=https://www.codechef.com/problems/AMBALLS&amp;sa=D&amp;ust=1605639552298000&amp;usg=AFQjCNHxG5bMM3suDdCWaZhRRfSFmX_jPQ" xr:uid="{BC58099D-2F6A-404F-9B61-14E2493D7894}"/>
    <hyperlink ref="A2077" r:id="rId1268" display="https://www.google.com/url?q=https://csacademy.com/contest/round-40/task/restricted-permutations/&amp;sa=D&amp;ust=1605639552299000&amp;usg=AFQjCNGQ5YkcdCg00BguQl8zLSi-4AEj3A" xr:uid="{D9CEBA39-B778-45A0-A70D-37FD61627973}"/>
    <hyperlink ref="D4117" r:id="rId1269" display="https://www.google.com/url?q=https://github.com/nya-nya-meow/CompetitiveProgramming/blob/master/CSAcademy/CSA40-D.cpp&amp;sa=D&amp;ust=1605639552299000&amp;usg=AFQjCNHnFg_capU7qVynIpB1CgOhKa9lsw" xr:uid="{D6C73712-6F8E-4064-A77F-2E8606A45459}"/>
    <hyperlink ref="A2078" r:id="rId1270" display="https://www.google.com/url?q=http://codeforces.com/contest/570/problem/E&amp;sa=D&amp;ust=1605639552300000&amp;usg=AFQjCNEjtV8M8wMzRBaKKn-FvOqrkW0xIw" xr:uid="{16F0749D-EFEF-49DE-BF6B-3EB48BF7CE7B}"/>
    <hyperlink ref="A2080" r:id="rId1271" display="https://www.google.com/url?q=https://codeforces.com/contest/940/problem/E&amp;sa=D&amp;ust=1605639552300000&amp;usg=AFQjCNGrxbjUXU0aAokpUK64fM6K-Qp8hQ" xr:uid="{53506F3F-E5BF-4CEA-A29C-228DD4233B9B}"/>
    <hyperlink ref="A2081" r:id="rId1272" display="https://www.google.com/url?q=http://codeforces.com/contest/813/problem/D&amp;sa=D&amp;ust=1605639552301000&amp;usg=AFQjCNEHJ33acS1wBZ-idSDtQkP2NbPNgg" xr:uid="{33DEA1EE-CFDF-4468-88C7-D4B84CA3B8CF}"/>
    <hyperlink ref="D3765" r:id="rId1273" display="https://www.google.com/url?q=https://github.com/tmwilliamlin168/CompetitiveProgramming/blob/master/CodeForces/CF813-D12-D.cpp&amp;sa=D&amp;ust=1605639552301000&amp;usg=AFQjCNG-x8G8IOoiywJhkUg_uHmxEDMI4A" xr:uid="{9D56921F-3300-4FCD-A977-6694F99D41AC}"/>
    <hyperlink ref="A2082" r:id="rId1274" display="https://www.google.com/url?q=http://codeforces.com/contest/710/problem/E&amp;sa=D&amp;ust=1605639552302000&amp;usg=AFQjCNGcetRruxMOvlF4QTsLbpILTIWP_Q" xr:uid="{E22410E7-8EBF-4666-A398-248160679599}"/>
    <hyperlink ref="D3646" r:id="rId1275" display="https://www.google.com/url?q=https://github.com/mostafa-saad/MyCompetitiveProgramming/blob/master/Codeforces/CF710-D12-E.txt&amp;sa=D&amp;ust=1605639552302000&amp;usg=AFQjCNH1yeuvSNOT9HqUJUDwvF8phnhwqQ" xr:uid="{6CDE6521-1F36-49B6-80F0-A51E1F7ED88E}"/>
    <hyperlink ref="A2083" r:id="rId1276" display="https://www.google.com/url?q=http://codeforces.com/contest/418/problem/B&amp;sa=D&amp;ust=1605639552303000&amp;usg=AFQjCNE4Y45nOReqCPf24jH3301ERCtmRQ" xr:uid="{C3FCA758-F6F0-41D9-A81E-58A3676EE854}"/>
    <hyperlink ref="D2621" r:id="rId1277" display="https://www.google.com/url?q=https://github.com/mostafa-saad/MyCompetitiveProgramming/blob/master/ZOJ/ZOJ_3305.txt&amp;sa=D&amp;ust=1605639552304000&amp;usg=AFQjCNEVxsNOTqMlvSbtk4cCRQ_j9KUORQ" xr:uid="{A5533505-25C6-4706-91DA-0322A2BAD6E4}"/>
    <hyperlink ref="A2161" r:id="rId1278" display="https://www.google.com/url?q=https://onlinejudge.org/index.php?option%3Donlinejudge%26Itemid%3D8%26page%3Dshow_problem%26problem%3D2233&amp;sa=D&amp;ust=1605639552304000&amp;usg=AFQjCNFL6MNaMoW_3ZoMgiAOEQ_nBW3VJw" xr:uid="{01C3048F-D138-4CC3-831C-A3AB26303273}"/>
    <hyperlink ref="D2622" r:id="rId1279" display="https://www.google.com/url?q=https://morris821028.github.io/2014/07/06/oj/uva/uva-11266/&amp;sa=D&amp;ust=1605639552304000&amp;usg=AFQjCNGR6sOsnRFryTdOqZlK1FzEXUWqlg" xr:uid="{652C6128-7DB5-49B0-8B8D-9EA1BC9ED9EA}"/>
    <hyperlink ref="D2623" r:id="rId1280" display="https://www.google.com/url?q=https://github.com/andriy-zhuk/CompetitiveProgramming/blob/master/TopCoder/SRM534-D1-500.cpp&amp;sa=D&amp;ust=1605639552305000&amp;usg=AFQjCNHv-uC4mw2qQiKeO6J0uHNJNQBzpg" xr:uid="{FD665A70-FD7F-4B15-923E-C531EECE6642}"/>
    <hyperlink ref="A2252" r:id="rId1281" display="https://www.google.com/url?q=http://codeforces.com/contest/478/problem/D&amp;sa=D&amp;ust=1605639552305000&amp;usg=AFQjCNHhkJX3XUoV9n7l-B2r6MjM2N6y5w" xr:uid="{2007348F-4177-43B5-A455-9B6038D88A09}"/>
    <hyperlink ref="A2253" r:id="rId1282" display="https://www.google.com/url?q=http://codeforces.com/contest/192/problem/C&amp;sa=D&amp;ust=1605639552305000&amp;usg=AFQjCNGy0ZXCIyFdJE9OKzb305Wy3Ms6QQ" xr:uid="{3D050D85-7699-4C10-8595-AE19F77948D7}"/>
    <hyperlink ref="A2327" r:id="rId1283" display="https://www.google.com/url?q=http://codeforces.com/contest/667/problem/C&amp;sa=D&amp;ust=1605639552306000&amp;usg=AFQjCNFMD4RnhibM_Sn4kkyTBymZlq9uPg" xr:uid="{14C5CE9F-5471-46A8-94E7-A359731091E7}"/>
    <hyperlink ref="A2329" r:id="rId1284" display="https://www.google.com/url?q=http://codeforces.com/gym/101915/problem/E&amp;sa=D&amp;ust=1605639552307000&amp;usg=AFQjCNGO5-qD6sdmwOTEOFn4R-mJ4bHTQQ" xr:uid="{C1DFC9D7-1C62-4BD7-AC70-872CEA843C48}"/>
    <hyperlink ref="D5286" r:id="rId1285" display="https://www.google.com/url?q=https://github.com/swapnil119/CompetitiveProgramming/blob/master/CompetitiveProgramming/Codeforces/CF101915-GYM-E.cpp&amp;sa=D&amp;ust=1605639552307000&amp;usg=AFQjCNHbW9qFGkaCcZEU3Y-5hwCwaRzZbg" xr:uid="{B1C86AA5-5596-4684-9130-0C47052325D1}"/>
    <hyperlink ref="A2330" r:id="rId1286" display="https://www.google.com/url?q=http://codeforces.com/contest/662/problem/C&amp;sa=D&amp;ust=1605639552307000&amp;usg=AFQjCNF1o6nTUZBzosBwGRF_R1Hdlt018g" xr:uid="{1C19DBFC-B08F-4077-B05A-C2803F1120BC}"/>
    <hyperlink ref="A2331" r:id="rId1287" display="https://www.google.com/url?q=http://codeforces.com/contest/1198/problem/F&amp;sa=D&amp;ust=1605639552308000&amp;usg=AFQjCNEChhfXNOWJkXJqvlf_ZTdmX5lA2g" xr:uid="{D80E196A-3EDF-49E1-AC5F-4F2C21E2C115}"/>
    <hyperlink ref="A2334" r:id="rId1288" display="https://www.google.com/url?q=https://agc012.contest.atcoder.jp/tasks/agc012_e&amp;sa=D&amp;ust=1605639552309000&amp;usg=AFQjCNH_fJhcY1HVwed7MLrHCCRQGgq5Dg" xr:uid="{74FF7F3D-DB5A-4B66-91BB-4D2D3BC2D5CA}"/>
    <hyperlink ref="A2336" r:id="rId1289" display="https://www.google.com/url?q=http://codeforces.com/contest/544/problem/E&amp;sa=D&amp;ust=1605639552310000&amp;usg=AFQjCNFmVXTLoMkkb6Iof6cj7Yzh8uWhsQ" xr:uid="{87DB0098-901D-4DDC-B6E4-27BC93F8DC82}"/>
    <hyperlink ref="A2337" r:id="rId1290" display="https://www.google.com/url?q=http://codeforces.com/contest/367/problem/D&amp;sa=D&amp;ust=1605639552310000&amp;usg=AFQjCNHXkum6KIyK3n4JrIhvCVOT1Ol43Q" xr:uid="{C32535CB-9F32-453C-A636-01E4F32A005C}"/>
    <hyperlink ref="A2339" r:id="rId1291" display="https://www.google.com/url?q=http://codeforces.com/contest/543/problem/C&amp;sa=D&amp;ust=1605639552311000&amp;usg=AFQjCNH2uTwIEZzPpz-kaki7gHogv25EpA" xr:uid="{D2B7D58F-91D3-4166-AB3C-9F614CB1F991}"/>
    <hyperlink ref="A2340" r:id="rId1292" display="https://www.google.com/url?q=https://community.topcoder.com/stat?c%3Dproblem_statement%26pm%3D14662&amp;sa=D&amp;ust=1605639552312000&amp;usg=AFQjCNEXo38psjLS9XUlTHRWqGPaQUjCKA" xr:uid="{5295BDE3-52CF-4928-A27D-B3244DAEE31E}"/>
    <hyperlink ref="A2341" r:id="rId1293" display="https://www.google.com/url?q=http://codeforces.com/contest/454/problem/D&amp;sa=D&amp;ust=1605639552312000&amp;usg=AFQjCNEmby9Ke4UemTMySpzZqVkKZ_pgXw" xr:uid="{75F5130E-932C-4E2E-BCDD-0393B6B76A70}"/>
    <hyperlink ref="D4119" r:id="rId1294" display="https://www.google.com/url?q=https://github.com/Ownography/CP/blob/master/UVA%25201323&amp;sa=D&amp;ust=1605639552313000&amp;usg=AFQjCNE4K9-VEcLApStNJWb9z2HMStsvwg" xr:uid="{D68A622F-238F-4E48-945D-6930F4A1C3A0}"/>
    <hyperlink ref="A2343" r:id="rId1295" display="https://www.google.com/url?q=https://codeforces.com/contest/1313/problem/D&amp;sa=D&amp;ust=1605639552314000&amp;usg=AFQjCNFkMGyJQ9v60ePJb5c-mv3jTTVDfg" xr:uid="{A60B3680-ACD4-43EC-8080-B5A9DC461FEA}"/>
    <hyperlink ref="D4121" r:id="rId1296" display="https://www.google.com/url?q=https://github.com/MedoN11/CompetitiveProgramming/blob/master/TopCoder/SRM549-D2-1000.java&amp;sa=D&amp;ust=1605639552315000&amp;usg=AFQjCNEslsBFU_MJSW23p6UWXBgRUNtwXA" xr:uid="{A962C1E5-8C33-42E0-A6A4-A6E9682A1986}"/>
    <hyperlink ref="A2345" r:id="rId1297" display="https://www.google.com/url?q=http://codeforces.com/contest/413/problem/D&amp;sa=D&amp;ust=1605639552315000&amp;usg=AFQjCNEYA7AGJYTJr0T2Qkk7jeXcg6FHDA" xr:uid="{103C973F-202D-4784-A822-0F8B464692F3}"/>
    <hyperlink ref="A2346" r:id="rId1298" display="https://www.google.com/url?q=https://codeforces.com/contest/743/problem/E&amp;sa=D&amp;ust=1605639552316000&amp;usg=AFQjCNHDVEQibrhdpTG0UOcCjyXD38Zo7g" xr:uid="{5F92FC26-EC12-4D42-96FA-B864AF112BFA}"/>
    <hyperlink ref="A2347" r:id="rId1299" display="https://www.google.com/url?q=http://codeforces.com/contest/342/problem/D&amp;sa=D&amp;ust=1605639552316000&amp;usg=AFQjCNH5B1THlUopdT9NgcqbuidaONQeQg" xr:uid="{E9FE0FA5-A77D-4AC1-9BA3-BB21F8F2AD8B}"/>
    <hyperlink ref="A2348" r:id="rId1300" display="https://www.google.com/url?q=https://www.codechef.com/problems/FAVGAME&amp;sa=D&amp;ust=1605639552317000&amp;usg=AFQjCNF5hEWxcSWGJvn94rxgOa1Y6WExag" xr:uid="{8D9EF0EC-15F6-4A6D-BA72-42B553CE9143}"/>
    <hyperlink ref="A2349" r:id="rId1301" display="https://www.google.com/url?q=https://codeforces.com/contest/1209/problem/E2&amp;sa=D&amp;ust=1605639552317000&amp;usg=AFQjCNH-KH5lbMcvAWHB9dgJOYiVnTPktQ" xr:uid="{7E067CFD-DF31-4931-A17A-F892C974D1A4}"/>
    <hyperlink ref="D3954" r:id="rId1302" display="https://www.google.com/url?q=https://github.com/andriy-zhuk/CompetitiveProgramming/blob/master/Codeforces/CF1209-D12-E2.cpp&amp;sa=D&amp;ust=1605639552317000&amp;usg=AFQjCNFWXePpeocWjEU8npCGKiUa0dj8oA" xr:uid="{3D6DCD2D-93E4-4A7B-A140-AF3CA199B766}"/>
    <hyperlink ref="D3766" r:id="rId1303" display="https://www.google.com/url?q=https://github.com/jebouin/CompetitiveProgramming/blob/master/TopCoder/SRM356-D1-500.cpp&amp;sa=D&amp;ust=1605639552318000&amp;usg=AFQjCNF3pQZ1N-Qxgu90o3C1gO5h7hE7dw" xr:uid="{4A687895-E42D-4CB9-899B-DAF044CE3DCC}"/>
    <hyperlink ref="A2351" r:id="rId1304" display="https://www.google.com/url?q=https://codeforces.com/contest/378/problem/E&amp;sa=D&amp;ust=1605639552318000&amp;usg=AFQjCNHlin1ub63gz9AKJHHC_rVew62J7w" xr:uid="{C8B2BE6E-CE83-4AE2-BC76-817A3C166187}"/>
    <hyperlink ref="A2352" r:id="rId1305" display="https://www.google.com/url?q=https://www.hackerrank.com/contests/hack-the-interview-u-s-2/challenges/charity&amp;sa=D&amp;ust=1605639552319000&amp;usg=AFQjCNE55HRa4geb_29aDNSpd3IsnA9X5A" xr:uid="{0393A1C3-9352-4DBC-992A-7C71A55CC191}"/>
    <hyperlink ref="A2353" r:id="rId1306" display="https://www.google.com/url?q=http://codeforces.com/contest/907/problem/E&amp;sa=D&amp;ust=1605639552319000&amp;usg=AFQjCNGrmueGnmvAgt8LyLXtbD43BJLXWw" xr:uid="{FD016219-6793-48B5-853A-1D178901811B}"/>
    <hyperlink ref="D3769" r:id="rId1307" display="https://www.google.com/url?q=https://github.com/goswami-rahul/competitive-coding/blob/master/CompetitiveProgramming/codeforces/CF907-D2-E.cpp&amp;sa=D&amp;ust=1605639552319000&amp;usg=AFQjCNFkbImeEy6NRPS6imiTxR4XsiF9rw" xr:uid="{DEC23C9F-16DB-4582-9D65-E3BE1B4626B4}"/>
    <hyperlink ref="D3770" r:id="rId1308" display="https://www.google.com/url?q=https://github.com/Omaar22/CompetitiveProgramming/blob/master/SPOJ/SPOJ%2520DNALAB.cpp&amp;sa=D&amp;ust=1605639552320000&amp;usg=AFQjCNEv3Tk8I2Za7dcXrD6jg4b_qH2Uvg" xr:uid="{FDDBA2D8-3323-42AC-9E99-52C7E06FE1DF}"/>
    <hyperlink ref="D3647" r:id="rId1309" display="https://www.google.com/url?q=https://github.com/mostafa-saad/MyCompetitiveProgramming/blob/master/LiveArchive/LIVEARCHIVE_4970.txt&amp;sa=D&amp;ust=1605639552320000&amp;usg=AFQjCNGSHbWy2bFReY3ABu6gsG1Q3i-ncw" xr:uid="{46429C16-C88B-4BBB-A775-CD0F2535842E}"/>
    <hyperlink ref="A2356" r:id="rId1310" display="https://www.google.com/url?q=http://codeforces.com/contest/743/problem/E&amp;sa=D&amp;ust=1605639552320000&amp;usg=AFQjCNFmKAevuwrQlOS-71lRzb-M_z-Ofg" xr:uid="{D137D5F7-9601-42CE-9ABF-49396B0841AC}"/>
    <hyperlink ref="A1521" r:id="rId1311" display="https://www.google.com/url?q=http://codeforces.com/problemset/problem/453/B&amp;sa=D&amp;ust=1605639552321000&amp;usg=AFQjCNGzy7Sd_U5KMK1uHXLG0B2OpKVe9w" xr:uid="{76E6425E-DE91-4F55-BC2F-B6FBF70D0C1A}"/>
    <hyperlink ref="A1522" r:id="rId1312" display="https://www.google.com/url?q=https://codeforces.com/contest/757/problem/D&amp;sa=D&amp;ust=1605639552321000&amp;usg=AFQjCNFyQOQ39dXf20xGcgHMH7xH5vMNrA" xr:uid="{A522E0EE-3300-4094-8E11-543B7EFA8EAA}"/>
    <hyperlink ref="A1524" r:id="rId1313" display="https://www.google.com/url?q=http://codeforces.com/contest/1234/problem/F&amp;sa=D&amp;ust=1605639552322000&amp;usg=AFQjCNHWs6B0xLnrqVJn60Aswn7kzr4oTQ" xr:uid="{E9DDB104-A47F-489F-B215-E4B85E3E614B}"/>
    <hyperlink ref="A1525" r:id="rId1314" display="https://www.google.com/url?q=http://codeforces.com/gym/100212/attachments&amp;sa=D&amp;ust=1605639552323000&amp;usg=AFQjCNH2NYDs_zohmdVzcgDH50TfnLG0tA" xr:uid="{691C4ADF-21C4-4009-ADAB-7AC413849378}"/>
    <hyperlink ref="D3181" r:id="rId1315" display="https://www.google.com/url?q=https://github.com/khaledsliti/CompetitiveProgramming/blob/master/Codeforces/CF100212-GYM-E.cpp&amp;sa=D&amp;ust=1605639552323000&amp;usg=AFQjCNHCJvsciLNu1tUcyLPFSTz3zc5xQQ" xr:uid="{C49A31D1-8072-44CA-9F60-37842693070A}"/>
    <hyperlink ref="A1526" r:id="rId1316" display="https://www.google.com/url?q=http://codeforces.com/contest/385/problem/D&amp;sa=D&amp;ust=1605639552323000&amp;usg=AFQjCNFvup0mSqYf93S70WkDFgZJpbwzog" xr:uid="{27B41CB5-4D36-45EF-ABE4-EC5735A3C211}"/>
    <hyperlink ref="A1528" r:id="rId1317" display="https://www.google.com/url?q=https://beta.atcoder.jp/contests/abc113/tasks/abc113_d&amp;sa=D&amp;ust=1605639552324000&amp;usg=AFQjCNEzZOrbUocOLRYJkcDNx3YnDrZpZg" xr:uid="{09897BDC-007A-4B6B-8B9B-8C815022FD22}"/>
    <hyperlink ref="A1586" r:id="rId1318" display="https://www.google.com/url?q=http://codeforces.com/gym/101484/problem/E&amp;sa=D&amp;ust=1605639552325000&amp;usg=AFQjCNFZQ-z1vGOuqOByOrMAJNsYYYXfHw" xr:uid="{36D388CA-1612-48BC-BE29-9B533A9E5D0E}"/>
    <hyperlink ref="D3185" r:id="rId1319" display="https://www.google.com/url?q=https://github.com/HosamEissa/Competitive-programming-/blob/master/Codeforces/CF101484-GYM-K.cpp&amp;sa=D&amp;ust=1605639552326000&amp;usg=AFQjCNHWC3cj6wFQ9S2_4e2uk4BsmOijQg" xr:uid="{F8F9CA3B-9149-47A6-92A8-AF989A7CE77E}"/>
    <hyperlink ref="D3186" r:id="rId1320" display="https://www.google.com/url?q=https://github.com/OmarHashim/Competitive-Programming/blob/master/SPOJ/HELPBOB.cpp&amp;sa=D&amp;ust=1605639552326000&amp;usg=AFQjCNF1jy9oZUp-FvkS1QM2YhhnY-syTA" xr:uid="{F0A6D367-18F2-4AD8-BA0D-230584724BC8}"/>
    <hyperlink ref="A1588" r:id="rId1321" display="https://www.google.com/url?q=http://codeforces.com/contest/472/problem/G&amp;sa=D&amp;ust=1605639552327000&amp;usg=AFQjCNHWTNcBSX69LI0w8M2cw8cu49XLBg" xr:uid="{D5F05A23-2606-4EF9-BBDC-5D601E482739}"/>
    <hyperlink ref="D3189" r:id="rId1322" display="https://www.google.com/url?q=https://github.com/SaraElkadi/competitive-programming-/blob/master/UVA/11284.cpp&amp;sa=D&amp;ust=1605639552327000&amp;usg=AFQjCNFiX8IPBWSl0GMRPAicFfS8HZZ1JA" xr:uid="{C97EEAA6-81C9-4E94-B790-84B6C62CFA25}"/>
    <hyperlink ref="A1591" r:id="rId1323" display="https://www.google.com/url?q=http://codeforces.com/contest/510/problem/D&amp;sa=D&amp;ust=1605639552327000&amp;usg=AFQjCNH3vDjamkf2wXdt_WYxgtOPzRfJuQ" xr:uid="{B1B8CD39-182D-4C8F-AC4A-DD39469673AB}"/>
    <hyperlink ref="A1592" r:id="rId1324" display="https://www.google.com/url?q=https://codeforces.com/gym/102219/problem/F&amp;sa=D&amp;ust=1605639552328000&amp;usg=AFQjCNGs_O8jyZayGU6mO3slUySnxPc5CA" xr:uid="{FD72BA77-0F15-4EDA-82E1-5934B9F16783}"/>
    <hyperlink ref="D2624" r:id="rId1325" display="https://www.google.com/url?q=https://github.com/WaleedAbdelhakim/Competitive-Programming/blob/master/CodeForces/CF102219-GYM-F.cpp&amp;sa=D&amp;ust=1605639552328000&amp;usg=AFQjCNHh-wG1m8OJ2ijsAhoxUx2Q-VnhYw" xr:uid="{3391637E-5EAA-44C3-8E44-825DE98C87F2}"/>
    <hyperlink ref="D2625" r:id="rId1326" display="https://www.google.com/url?q=https://github.com/ilyesG/Competitive-Programming/blob/master/LiveArchive/LIVEARCHIVE%25203995.cpp&amp;sa=D&amp;ust=1605639552329000&amp;usg=AFQjCNGVeLLpHmXu4LnwXpuK8TDhSgIGwA" xr:uid="{68CFD421-A402-4AED-8C97-6308A7A8D262}"/>
    <hyperlink ref="A1594" r:id="rId1327" display="https://www.google.com/url?q=http://codeforces.com/problemset/gymProblem/100155/F&amp;sa=D&amp;ust=1605639552329000&amp;usg=AFQjCNGZ-LvfdMqOCZXfE5I8nYbF_dz1GQ" xr:uid="{CDB7F85F-E195-4C53-B32B-73D95D090319}"/>
    <hyperlink ref="D2626" r:id="rId1328" display="https://www.google.com/url?q=https://github.com/OmarHashim/Competitive-Programming/blob/master/CodeForces/CF100155-GYM-F.cpp&amp;sa=D&amp;ust=1605639552329000&amp;usg=AFQjCNEYGSMwIbXMB2oUAW-3bTb4C2Hf3Q" xr:uid="{20092399-96B1-4B2D-8E86-5F682F0517A4}"/>
    <hyperlink ref="A1596" r:id="rId1329" display="https://www.google.com/url?q=http://codeforces.com/contest/903/problem/F&amp;sa=D&amp;ust=1605639552330000&amp;usg=AFQjCNENSWFsnkA7F5RNNajRwpEmjNaSbA" xr:uid="{807C0777-7FA8-4570-82FD-50C2477F1639}"/>
    <hyperlink ref="D1816" r:id="rId1330" display="https://www.google.com/url?q=https://github.com/aboodJAD/CompetitiveProgramming/blob/master/UVA/UVA%252011806.cpp&amp;sa=D&amp;ust=1605639552331000&amp;usg=AFQjCNGogu8MLQVHp67KtCjZjJAZYpi8IA" xr:uid="{1A681F82-B509-40B8-931A-3040E01B19EC}"/>
    <hyperlink ref="D1817" r:id="rId1331" display="https://www.google.com/url?q=https://github.com/ilyesG/Competitive-Programming/blob/master/UVA/UVA%252011825.cpp&amp;sa=D&amp;ust=1605639552331000&amp;usg=AFQjCNGVF5Am2_0umiRIBGoq-irmCqRHKw" xr:uid="{3C57412B-F760-497A-B563-17408E6173EE}"/>
    <hyperlink ref="A1635" r:id="rId1332" display="https://www.google.com/url?q=http://codeforces.com/gym/101055/problem/E&amp;sa=D&amp;ust=1605639552331000&amp;usg=AFQjCNEXzdHscQFXlM9ZKJOFQWmByqo1lw" xr:uid="{3DF88B24-DFFA-49C2-B827-2FDDED3C1268}"/>
    <hyperlink ref="A1654" r:id="rId1333" display="https://www.google.com/url?q=http://acm.tju.edu.cn/toj/showp1189.html&amp;sa=D&amp;ust=1605639552333000&amp;usg=AFQjCNEZ07xWnMQNQZ9698LvvTMP0MfehQ" xr:uid="{B3D0542A-AB88-4E83-A2F4-F413D40F9BCE}"/>
    <hyperlink ref="D1829" r:id="rId1334" display="https://www.google.com/url?q=https://github.com/AmrMaghraby/Competitve-Programming/blob/master/UVA/UVA%252010944.cpp&amp;sa=D&amp;ust=1605639552335000&amp;usg=AFQjCNEOHlCG8bjn0c6Sa4_jSDwZbGWlfw" xr:uid="{D00FBE32-6D28-43DB-8EAD-F9B5666A7DCA}"/>
    <hyperlink ref="A1662" r:id="rId1335" display="https://www.google.com/url?q=https://uva.onlinejudge.org/index.php?option%3Dcom_onlinejudge%26Itemid%3D8%26page%3Dshow_problem%26problem%3D1205&amp;sa=D&amp;ust=1605639552337000&amp;usg=AFQjCNE_1PKpav97UIMIDtlRsps6hRtR1w" xr:uid="{9F320AA5-C07D-4828-8294-30159BA58440}"/>
    <hyperlink ref="D1255" r:id="rId1336" display="https://www.google.com/url?q=https://github.com/SaraElkadi/competitive-programming-/blob/master/UVA/10264.cpp&amp;sa=D&amp;ust=1605639552338000&amp;usg=AFQjCNHU_v4agVe-2Xrm4gL7Sch95cuMng" xr:uid="{09CDBC8E-E4C0-4012-B91A-AD427C672145}"/>
    <hyperlink ref="A1666" r:id="rId1337" display="https://www.google.com/url?q=http://codeforces.com/contest/580/problem/D&amp;sa=D&amp;ust=1605639552339000&amp;usg=AFQjCNG4hRT_HQgAXLank6cV5T8mZmG5pg" xr:uid="{19AB1AD2-CC44-49B2-B8AD-2B706780AA2B}"/>
    <hyperlink ref="A1667" r:id="rId1338" display="https://www.google.com/url?q=http://www.spoj.com/problems/PERMUT1/&amp;sa=D&amp;ust=1605639552340000&amp;usg=AFQjCNHxnjeXWQMq2B0vu0tXwk9Qrk-U8g" xr:uid="{0F450505-C2C6-4702-813D-E8FA6FB07B05}"/>
    <hyperlink ref="A1668" r:id="rId1339" display="https://www.google.com/url?q=https://uva.onlinejudge.org/index.php?option%3Dcom_onlinejudge%26Itemid%3D8%26page%3Dshow_problem%26problem%3D1592&amp;sa=D&amp;ust=1605639552340000&amp;usg=AFQjCNHxQlDfpbhqbS2pJvBffhrk77XpGA" xr:uid="{EC7A2F9B-23B9-4671-BD3F-DF76EEEFE229}"/>
    <hyperlink ref="A1669" r:id="rId1340" display="https://www.google.com/url?q=http://www.spoj.com/problems/ASSIGN/&amp;sa=D&amp;ust=1605639552341000&amp;usg=AFQjCNFXLO8Z4X1tG4QH4OA7ADSk5lcFrg" xr:uid="{AF40465C-DF83-466D-A8A9-76BA0136F66C}"/>
    <hyperlink ref="D763" r:id="rId1341" display="https://www.google.com/url?q=https://github.com/ahmedcpbl/CompetitiveProgramming/blob/master/UVA/11088.cpp&amp;sa=D&amp;ust=1605639552342000&amp;usg=AFQjCNHXw69jEbt1Gy4_s08uQ0PCIEdJLA" xr:uid="{0A150693-FEA2-4EB0-888D-2DD0CAD50AC5}"/>
    <hyperlink ref="D764" r:id="rId1342" display="https://www.google.com/url?q=https://github.com/MohamedNabil97/CompetitiveProgramming/tree/master/SPOJ/TRSTAGE.cpp&amp;sa=D&amp;ust=1605639552342000&amp;usg=AFQjCNHPrUoB8aPcJy_ZCUZplIGUgElyhA" xr:uid="{AB073A7C-A0A2-4C20-9C9E-7A156E7A1009}"/>
    <hyperlink ref="D765" r:id="rId1343" display="https://www.google.com/url?q=https://github.com/HosamEissa/Competitive-programming-/blob/master/ACM-ICPC%2520Live%2520Archive/5856.cpp&amp;sa=D&amp;ust=1605639552342000&amp;usg=AFQjCNHVb4aB-QdKOq1odjLytxN9iCRPNQ" xr:uid="{5F7583B9-522D-4775-A290-73313DE794F1}"/>
    <hyperlink ref="D503" r:id="rId1344" display="https://www.google.com/url?q=https://ideone.com/UPTPfz&amp;sa=D&amp;ust=1605639552344000&amp;usg=AFQjCNEyM-5JtMUL1LDL6XosACwF_IACCg" xr:uid="{D60553F5-19AB-4359-8516-24674ADB7DCD}"/>
    <hyperlink ref="A1692" r:id="rId1345" display="https://www.google.com/url?q=https://www.hackerrank.com/challenges/polita-sets&amp;sa=D&amp;ust=1605639552345000&amp;usg=AFQjCNG7hY6S6rp3pOE1YEKR0VVSI2FVzQ" xr:uid="{A1680131-7676-40B7-B7C7-27EC5A3C227A}"/>
    <hyperlink ref="A1693" r:id="rId1346" display="https://www.google.com/url?q=https://www.hackerrank.com/challenges/digit-products&amp;sa=D&amp;ust=1605639552345000&amp;usg=AFQjCNHxTMfOvtoAK1Vnnv3CM_yBgINolw" xr:uid="{3C3D20DA-9D65-46B0-B016-8C214EC9950E}"/>
    <hyperlink ref="A1694" r:id="rId1347" display="https://www.google.com/url?q=https://agc002.contest.atcoder.jp/tasks/agc002_f&amp;sa=D&amp;ust=1605639552345000&amp;usg=AFQjCNHbGj1f8uwtapRNTT1Zt1pQmAbWJA" xr:uid="{9954A5E7-4895-47DF-B7B1-72C97997A47E}"/>
    <hyperlink ref="A1695" r:id="rId1348" display="https://www.google.com/url?q=https://agc013.contest.atcoder.jp/tasks/agc013_e&amp;sa=D&amp;ust=1605639552346000&amp;usg=AFQjCNFxsSB_l5fRzoIRT_CCGB0-7luKqg" xr:uid="{0BBE75D4-BF9B-40E2-B33A-05C69D2D555D}"/>
    <hyperlink ref="A1696" r:id="rId1349" display="https://www.google.com/url?q=https://codeforces.com/problemset/problem/1034/C&amp;sa=D&amp;ust=1605639552346000&amp;usg=AFQjCNGB-yna1RmvtXYuNuW4FrBwFzN6kw" xr:uid="{1CA06309-5C72-4AF6-A2CC-882DA6430477}"/>
    <hyperlink ref="A1697" r:id="rId1350" display="https://www.google.com/url?q=https://agc009.contest.atcoder.jp/tasks/agc009_e&amp;sa=D&amp;ust=1605639552348000&amp;usg=AFQjCNFCYsg31FA_dPlIecIIz_BJ_XO6Yw" xr:uid="{EE5FB805-09F2-499D-8CCE-93ED5365540C}"/>
    <hyperlink ref="A1698" r:id="rId1351" display="https://www.google.com/url?q=https://www.codechef.com/problems/ADIMAT&amp;sa=D&amp;ust=1605639552348000&amp;usg=AFQjCNEI843hT879JIVB7bm4EmPxbLf_ng" xr:uid="{A6377A6E-032D-4DB3-ADEC-D100A6213B7B}"/>
    <hyperlink ref="A1699" r:id="rId1352" display="https://www.google.com/url?q=https://www.codechef.com/problems/TBGRAPH&amp;sa=D&amp;ust=1605639552349000&amp;usg=AFQjCNHaeUZlMT3sc9YboUCA-wElm_xqdQ" xr:uid="{73B299A9-D82B-40FC-83E4-EB0E7FFD6F70}"/>
    <hyperlink ref="D5293" r:id="rId1353" display="https://www.google.com/url?q=https://github.com/tmwilliamlin168/CompetitiveProgramming/blob/master/CodeChef/TBGRAPH.cpp&amp;sa=D&amp;ust=1605639552349000&amp;usg=AFQjCNEww3c15yq1_oi67NLYfmjvyjALMg" xr:uid="{F7EA0CEA-7CD5-418C-A843-D2FEE41BA75C}"/>
    <hyperlink ref="A1700" r:id="rId1354" display="https://www.google.com/url?q=https://codeforces.com/contest/1097/problem/G&amp;sa=D&amp;ust=1605639552349000&amp;usg=AFQjCNHty1d-77viByS2Whf4UwFc_3qHuw" xr:uid="{CC7DF78B-30FD-44E9-BF04-4DB9064832DC}"/>
    <hyperlink ref="A1701" r:id="rId1355" display="https://www.google.com/url?q=http://codeforces.com/contest/747/problem/F&amp;sa=D&amp;ust=1605639552350000&amp;usg=AFQjCNGFzWaPTg96GA6XU_yBqr5nAa7udQ" xr:uid="{389908BD-8271-490B-AAE8-B157C5290A24}"/>
    <hyperlink ref="A1704" r:id="rId1356" display="https://www.google.com/url?q=http://agc028.contest.atcoder.jp/tasks/agc028_d&amp;sa=D&amp;ust=1605639552351000&amp;usg=AFQjCNGHd8uMDCJCUO65ofG91xWURFH5Eg" xr:uid="{5BAB2347-806C-4666-8E66-74A633E9E7E0}"/>
    <hyperlink ref="A1705" r:id="rId1357" display="https://www.google.com/url?q=https://agc001.contest.atcoder.jp/tasks/agc001_e&amp;sa=D&amp;ust=1605639552351000&amp;usg=AFQjCNE9gKmbTAKwGWDe2Ev6JdbP11SvPQ" xr:uid="{C48B4042-4E5B-46E7-BD99-0720DE58BF04}"/>
    <hyperlink ref="A1708" r:id="rId1358" display="https://www.google.com/url?q=http://agc026.contest.atcoder.jp/tasks/agc026_d&amp;sa=D&amp;ust=1605639552352000&amp;usg=AFQjCNGJFItzgamLAFvWar6GLvRoVexFww" xr:uid="{7EE54879-B69F-4B47-B87A-5CD24FD0AF2F}"/>
    <hyperlink ref="A1709" r:id="rId1359" display="https://www.google.com/url?q=http://codeforces.com/contest/841/problem/E&amp;sa=D&amp;ust=1605639552352000&amp;usg=AFQjCNEjLMq1nolE2qFoGKBPOb_dhQ8vKw" xr:uid="{BA91D7BA-21B3-495B-A700-C064E8A78B2E}"/>
    <hyperlink ref="A1710" r:id="rId1360" display="https://www.google.com/url?q=https://www.hackerrank.com/contests/monthly/challenges/alien-languages/problem&amp;sa=D&amp;ust=1605639552353000&amp;usg=AFQjCNF_OsGJsJCcfsNXmNYN5p1maVFhiA" xr:uid="{283E92FC-89C2-4D17-B45E-7B852548547A}"/>
    <hyperlink ref="D4727" r:id="rId1361" display="https://www.google.com/url?q=https://github.com/tmwilliamlin168/CompetitiveProgramming/blob/master/Hackerrank/alien-languages.cpp&amp;sa=D&amp;ust=1605639552353000&amp;usg=AFQjCNHTo4ckfjIIXz4WG4ySI6QAIHiF7g" xr:uid="{3888356E-CF99-43FC-9165-985B457EA4F3}"/>
    <hyperlink ref="A1712" r:id="rId1362" display="https://www.google.com/url?q=http://codeforces.com/contest/295/problem/D&amp;sa=D&amp;ust=1605639552354000&amp;usg=AFQjCNEveFNazLLRW5cX_C5Nuv7SJMzsrg" xr:uid="{1E786209-C468-4259-9A62-F6D2C76160C5}"/>
    <hyperlink ref="A1714" r:id="rId1363" display="https://www.google.com/url?q=https://agc005.contest.atcoder.jp/tasks/agc005_d&amp;sa=D&amp;ust=1605639552355000&amp;usg=AFQjCNFtA8WZUytD72rkuybaHWWNfcBNQQ" xr:uid="{20B64C77-7C8E-47BD-BD7A-DD052E3B8511}"/>
    <hyperlink ref="A1715" r:id="rId1364" display="https://www.google.com/url?q=http://agc030.contest.atcoder.jp/tasks/agc030_d&amp;sa=D&amp;ust=1605639552355000&amp;usg=AFQjCNEv6ISQ5C-uUko2Al45ycFm5KqrJw" xr:uid="{18186CD2-FB2A-467B-A2EB-B012E2DAEF2D}"/>
    <hyperlink ref="A1716" r:id="rId1365" display="https://www.google.com/url?q=https://agc013.contest.atcoder.jp/tasks/agc013_d&amp;sa=D&amp;ust=1605639552355000&amp;usg=AFQjCNFr9OME9r-YuL-LPrKJklDd-PfntA" xr:uid="{99E1B9BD-0D7B-4926-A719-7813A3A72C3E}"/>
    <hyperlink ref="A1717" r:id="rId1366" display="https://www.google.com/url?q=https://codeforces.com/contest/1172/problem/C2&amp;sa=D&amp;ust=1605639552356000&amp;usg=AFQjCNHqAaOw8aPKUPuYypBYRK3p_9H56Q" xr:uid="{39E2C329-BFF4-486B-95ED-4B239749B7FE}"/>
    <hyperlink ref="D4350" r:id="rId1367" display="https://www.google.com/url?q=https://github.com/dasannagariraja/CompetitiveProgramming/blob/master/TopCoder/SRM532-D1-500.cpp&amp;sa=D&amp;ust=1605639552356000&amp;usg=AFQjCNHAbrVsQnfADxuBEEBna_bmsYep_Q" xr:uid="{9ED0D856-7D6A-48BA-8885-9D58BFDF0E7F}"/>
    <hyperlink ref="A1719" r:id="rId1368" display="https://www.google.com/url?q=http://codeforces.com/problemset/gymProblem/101064/B&amp;sa=D&amp;ust=1605639552357000&amp;usg=AFQjCNGTy1xZUh_QXeGBxrNlJaTLOHTp4g" xr:uid="{91AE9107-D718-45BE-95F9-396BE04415BC}"/>
    <hyperlink ref="D4336" r:id="rId1369" display="https://www.google.com/url?q=https://github.com/mostafa-saad/MyCompetitiveProgramming/blob/master/Codeforces/CF101064-GYM-B.txt&amp;sa=D&amp;ust=1605639552357000&amp;usg=AFQjCNHqUJrAOxnjaZGz3GvtQHlKGHBVQw" xr:uid="{9F52AF9F-6A84-4DB7-B49A-CDC9F4B6BFAA}"/>
    <hyperlink ref="A1720" r:id="rId1370" display="https://www.google.com/url?q=http://codeforces.com/contest/37/problem/D&amp;sa=D&amp;ust=1605639552357000&amp;usg=AFQjCNF0_h3fr40g7_nx0jMFoiXvxgadwg" xr:uid="{38779B38-09BA-4779-9CE8-5905E189542C}"/>
    <hyperlink ref="D4126" r:id="rId1371" display="https://www.google.com/url?q=https://github.com/Huvok/CompetitiveProgramming/blob/master/Codeforces/CF37-D12-D.cpp&amp;sa=D&amp;ust=1605639552358000&amp;usg=AFQjCNE0I9vrMm_SyPOQLzZvjGvKvTZuag" xr:uid="{4FD8514D-F5DD-4E83-AB1C-39B42EC53862}"/>
    <hyperlink ref="A1721" r:id="rId1372" display="https://www.google.com/url?q=https://codeforces.com/contest/1185/problem/G2&amp;sa=D&amp;ust=1605639552359000&amp;usg=AFQjCNFvPANRrZVIXiflfrnkdDThUXgJFA" xr:uid="{E8832D1F-716D-4F77-A518-374FF1927309}"/>
    <hyperlink ref="A1722" r:id="rId1373" display="https://www.google.com/url?q=https://codeforces.com/contest/1204/problem/E&amp;sa=D&amp;ust=1605639552359000&amp;usg=AFQjCNHXXpyprtX7YnaNnDLoRhFnPaegMw" xr:uid="{F7C029C0-A982-4056-8C06-6F45CB67CA02}"/>
    <hyperlink ref="A1723" r:id="rId1374" display="https://www.google.com/url?q=https://codeforces.com/contest/1237/problem/F&amp;sa=D&amp;ust=1605639552360000&amp;usg=AFQjCNGHIk-W6vm__ZyGiAzvzxlCuG1wNw" xr:uid="{5A244270-0946-4F99-AAF7-CF72A758D27F}"/>
    <hyperlink ref="A1724" r:id="rId1375" display="https://www.google.com/url?q=http://codeforces.com/contest/659/problem/G&amp;sa=D&amp;ust=1605639552360000&amp;usg=AFQjCNEQZ4G-P7v8VBzr6ZmWujVirY2P4g" xr:uid="{8EB56EA6-D808-4B90-8A9F-7493253BF49E}"/>
    <hyperlink ref="A1725" r:id="rId1376" display="https://www.google.com/url?q=http://codeforces.com/contest/129/problem/E&amp;sa=D&amp;ust=1605639552361000&amp;usg=AFQjCNFB_R1-4MUhGmlgDc5hDykqxjdEcA" xr:uid="{00E077E4-95A7-4BD6-885B-FFA111D1EA57}"/>
    <hyperlink ref="D4131" r:id="rId1377" display="https://www.google.com/url?q=https://github.com/IbraheemTuffaha/Competitive-Programming/blob/master/Codeforces/2018-Nov-15/CF129-D2-E.cpp&amp;sa=D&amp;ust=1605639552361000&amp;usg=AFQjCNGhANZQ4oRHA9yNH5jZu51uhfK-IA" xr:uid="{DAA27043-F605-476B-9E7E-0F027D5DC4E3}"/>
    <hyperlink ref="A1726" r:id="rId1378" display="https://www.google.com/url?q=https://www.codechef.com/problems/SEAEQ&amp;sa=D&amp;ust=1605639552361000&amp;usg=AFQjCNHeKW7aRhg9fGB-wBXS4xsOmuf33A" xr:uid="{253B7058-3837-4392-B965-66C0E87B0B38}"/>
    <hyperlink ref="A1727" r:id="rId1379" display="https://www.google.com/url?q=http://codeforces.com/contest/128/problem/C&amp;sa=D&amp;ust=1605639552362000&amp;usg=AFQjCNHTRRjliRD08wvYIJTe_Dp3HI9Yhg" xr:uid="{047A10C2-783B-4BA1-B96D-9D8B53473053}"/>
    <hyperlink ref="D4133" r:id="rId1380" display="https://www.google.com/url?q=https://github.com/mostafa-saad/MyCompetitiveProgramming/blob/master/Codeforces/CF128-D1-C.txt&amp;sa=D&amp;ust=1605639552362000&amp;usg=AFQjCNF_ZIwwT3RJtB_YQdZAQg-Ewg07Eg" xr:uid="{8163819A-9949-41BF-AB73-F90F9B6445B9}"/>
    <hyperlink ref="A1728" r:id="rId1381" display="https://www.google.com/url?q=http://codeforces.com/contest/403/problem/D&amp;sa=D&amp;ust=1605639552363000&amp;usg=AFQjCNFIfSCNuY_1pSG8yfdqY-e86KDN-A" xr:uid="{08D0F0D6-1FCA-4D88-8058-37994F959085}"/>
    <hyperlink ref="A1730" r:id="rId1382" display="https://www.google.com/url?q=https://codeforces.com/contest/1279/problem/E&amp;sa=D&amp;ust=1605639552363000&amp;usg=AFQjCNHQ3Qu7y0ABek279kB3sKHxHl3W5g" xr:uid="{193A5741-60DB-4E4F-8744-594A8F9DBC08}"/>
    <hyperlink ref="A1731" r:id="rId1383" display="https://www.google.com/url?q=http://codeforces.com/contest/295/problem/C&amp;sa=D&amp;ust=1605639552364000&amp;usg=AFQjCNHghZrXV37auiNQu30xH4nyB1mpMA" xr:uid="{1C68C81A-5837-4CC5-9DD4-F234F8B2919F}"/>
    <hyperlink ref="D3191" r:id="rId1384" display="https://www.google.com/url?q=https://ideone.com/N44vRX&amp;sa=D&amp;ust=1605639552366000&amp;usg=AFQjCNFBvDkK1cj6KbAWKF9YcoNV5NPbHg" xr:uid="{B2F9F379-BB5C-4C78-B104-1E4368D197D6}"/>
    <hyperlink ref="A1737" r:id="rId1385" display="https://www.google.com/url?q=http://codeforces.com/contest/258/problem/C&amp;sa=D&amp;ust=1605639552366000&amp;usg=AFQjCNGiLVVWmf9OahUE0__S5HhEmd8r8Q" xr:uid="{0533FFE3-9545-4E25-BED5-8947F49B35F7}"/>
    <hyperlink ref="A1738" r:id="rId1386" display="https://www.google.com/url?q=http://codeforces.com/contest/233/problem/D&amp;sa=D&amp;ust=1605639552367000&amp;usg=AFQjCNF0T4Ylvxicthr1zN8g0dkPs1ZmoA" xr:uid="{15ED37FC-404F-466A-A880-37AD30FD8B52}"/>
    <hyperlink ref="A1740" r:id="rId1387" display="https://www.google.com/url?q=https://codeforces.com/contest/1111/problem/D&amp;sa=D&amp;ust=1605639552368000&amp;usg=AFQjCNFtevtq_zuDE_eNMjahqAY6qmWhtQ" xr:uid="{549ED4CF-6AB3-4D7A-A071-2D8B4153315E}"/>
    <hyperlink ref="A1741" r:id="rId1388" display="https://www.google.com/url?q=https://codeforces.com/contest/1156/problem/F&amp;sa=D&amp;ust=1605639552368000&amp;usg=AFQjCNG82Wr3j0je9RUdC4zlAfdlJMLizw" xr:uid="{1B29D654-3E93-47E3-B6F8-791878A70DEB}"/>
    <hyperlink ref="A1742" r:id="rId1389" display="https://www.google.com/url?q=http://codeforces.com/contest/156/problem/C&amp;sa=D&amp;ust=1605639552369000&amp;usg=AFQjCNFxB54twDCalBlnyVxjErnRfXRzsg" xr:uid="{A8B95679-DBF6-4816-899A-7F1FFBD7C929}"/>
    <hyperlink ref="A1744" r:id="rId1390" display="https://www.google.com/url?q=http://codeforces.com/contest/489/problem/F&amp;sa=D&amp;ust=1605639552369000&amp;usg=AFQjCNHj3hjm_ziPAe0yzbDF3zgP-Jfa-A" xr:uid="{F388DF72-A9F2-4883-B210-0EB5672E6B3E}"/>
    <hyperlink ref="D2628" r:id="rId1391" display="https://www.google.com/url?q=https://github.com/mostafa-saad/MyCompetitiveProgramming/blob/master/TopCoder/SRM428-D2-1000.txt&amp;sa=D&amp;ust=1605639552373000&amp;usg=AFQjCNGG3gz8j3Da4IdGqYhUaxc2zy8m2Q" xr:uid="{B0E11482-7DF5-40AB-A92A-EEB7153CBA7B}"/>
    <hyperlink ref="A1751" r:id="rId1392" display="https://www.google.com/url?q=http://codeforces.com/contest/888/problem/D&amp;sa=D&amp;ust=1605639552373000&amp;usg=AFQjCNENTRB8xm0j16O0E_YpSFQ6JIHB5Q" xr:uid="{6F12B20E-CA0F-41F3-8954-A97EFB07E0BC}"/>
    <hyperlink ref="D1831" r:id="rId1393" display="https://www.google.com/url?q=https://github.com/MonaAhmed810/CompetitiveProgramming/blob/master/SPOJ/DCEPC810.cpp&amp;sa=D&amp;ust=1605639552374000&amp;usg=AFQjCNEG6h97MTPXJ0gDuyBEw5GJVupoEw" xr:uid="{E7FA06FE-DD74-482F-B35D-155EC7A44DBD}"/>
    <hyperlink ref="A1753" r:id="rId1394" display="https://www.google.com/url?q=http://codeforces.com/problemset/gymProblem/100531/K&amp;sa=D&amp;ust=1605639552375000&amp;usg=AFQjCNHtubq5218x6Q7i_MrD9OYbLRWllA" xr:uid="{A526F7C6-058C-4A1E-9EE5-A0634AB33E7F}"/>
    <hyperlink ref="A1754" r:id="rId1395" display="https://www.google.com/url?q=http://codeforces.com/contest/991/problem/E&amp;sa=D&amp;ust=1605639552375000&amp;usg=AFQjCNEpygB0b-yqkClX7MuZPJ88n885NA" xr:uid="{EE8C30BE-B1B2-43B6-B7D1-D9E2AC555B53}"/>
    <hyperlink ref="A1759" r:id="rId1396" display="https://www.google.com/url?q=https://www.hackerrank.com/challenges/volleyball-match&amp;sa=D&amp;ust=1605639552377000&amp;usg=AFQjCNHk7o7p7r3shDYDNEUuh54g7zCA5w" xr:uid="{196664C1-EC78-4A39-8E48-A48809DC1BDC}"/>
    <hyperlink ref="A1761" r:id="rId1397" display="https://www.google.com/url?q=https://codeforces.com/contest/1084/problem/C&amp;sa=D&amp;ust=1605639552378000&amp;usg=AFQjCNFNExFj5ctjUAJJK7852wdxHYAImg" xr:uid="{99B8E2DA-3689-4935-9145-F3605CCA914A}"/>
    <hyperlink ref="A1763" r:id="rId1398" display="https://www.google.com/url?q=http://codeforces.com/contest/474/problem/D&amp;sa=D&amp;ust=1605639552379000&amp;usg=AFQjCNHlFBxVQ_j2qtSK25BO9hgxJ34eEQ" xr:uid="{EE9EB6D5-AEC6-433E-A667-217F7405F634}"/>
    <hyperlink ref="A1767" r:id="rId1399" display="https://www.google.com/url?q=https://www.hackerrank.com/contests/101hack52/challenges/construct-the-array&amp;sa=D&amp;ust=1605639552380000&amp;usg=AFQjCNGNHWH7VNpAiYMSxi3uZwdq_rYcOA" xr:uid="{8C8AF9D7-8CF7-446B-A696-A8AA0676B408}"/>
    <hyperlink ref="A1768" r:id="rId1400" display="https://www.google.com/url?q=https://uva.onlinejudge.org/index.php?option%3Dcom_onlinejudge%26Itemid%3D8%26page%3Dshow_problem%26problem%3D1139&amp;sa=D&amp;ust=1605639552381000&amp;usg=AFQjCNHAjPfrmkpO75OLH6QQLfrl4XZ6Jw" xr:uid="{8912346C-F2BE-4A88-96A5-61546A31B68B}"/>
    <hyperlink ref="A1770" r:id="rId1401" display="https://www.google.com/url?q=http://codeforces.com/contest/431/problem/C&amp;sa=D&amp;ust=1605639552382000&amp;usg=AFQjCNEaDGT-EF8BZwl3jw6u32o8XmNmQg" xr:uid="{E4987B2F-CAC0-4E5D-B409-6D820DDC3B6F}"/>
    <hyperlink ref="A1771" r:id="rId1402" display="https://www.google.com/url?q=http://codeforces.com/contest/118/problem/D&amp;sa=D&amp;ust=1605639552382000&amp;usg=AFQjCNHo1WxnU1bjzzbY3tUTZmtUM1KJ8A" xr:uid="{B68274C7-C5A4-4EF0-A6A5-48B2F41BED06}"/>
    <hyperlink ref="A1804" r:id="rId1403" display="https://www.google.com/url?q=https://www.hackerrank.com/challenges/lexicographic-steps&amp;sa=D&amp;ust=1605639552385000&amp;usg=AFQjCNFAE60z2TuGR_gJ3BMDKQT9tNxJGQ" xr:uid="{BC240125-7288-48CF-8935-5B098346DFFC}"/>
    <hyperlink ref="A1805" r:id="rId1404" display="https://www.google.com/url?q=http://codeforces.com/contest/382/problem/E&amp;sa=D&amp;ust=1605639552385000&amp;usg=AFQjCNEV29emr5rJKOA_-nZ9dO1ZFVly6w" xr:uid="{7EA5BF7D-3588-4043-98F6-079081E44977}"/>
    <hyperlink ref="A1806" r:id="rId1405" display="https://www.google.com/url?q=http://codeforces.com/contest/317/problem/D&amp;sa=D&amp;ust=1605639552386000&amp;usg=AFQjCNHOWXxThq1RUGC2qzUmWARmMq6sSw" xr:uid="{EB97AAB5-4AE6-432B-B7BC-AF5DF816D2D6}"/>
    <hyperlink ref="D3774" r:id="rId1406" display="https://www.google.com/url?q=https://github.com/mostafa-saad/MyCompetitiveProgramming/blob/master/SPOJ/SPOJ_XOINC.txt&amp;sa=D&amp;ust=1605639552386000&amp;usg=AFQjCNFSb9KtUDJye0dJk6tO7nBM4RyfJw" xr:uid="{E22EC881-F65B-48C1-8158-964DCB6D71E5}"/>
    <hyperlink ref="D3651" r:id="rId1407" display="https://www.google.com/url?q=https://github.com/magdy-hasan/competitive-programming/blob/c9fdde70da7630affa45308221ab8d765a756ae9/Topcoder/SRM526-D1-500.cpp&amp;sa=D&amp;ust=1605639552387000&amp;usg=AFQjCNHia6FrzRms22xaA3dn8K3Abg1bEg" xr:uid="{83073C70-3BDF-4B10-A8A5-9FE6203777D1}"/>
    <hyperlink ref="A1809" r:id="rId1408" display="https://www.google.com/url?q=http://codeforces.com/contest/48/problem/E&amp;sa=D&amp;ust=1605639552388000&amp;usg=AFQjCNEwKLehMisE5vSH4ANHTOuWpVsu6A" xr:uid="{9DED7AC8-42F1-41B1-A2EA-F075163B6502}"/>
    <hyperlink ref="D3653" r:id="rId1409" display="https://www.google.com/url?q=https://github.com/arvindr9/CompetitiveProgramming/blob/master/TopCoder/SRM419-D1-500.cpp&amp;sa=D&amp;ust=1605639552388000&amp;usg=AFQjCNG85mD9n9T9t4sb1T9RagDwHilkTw" xr:uid="{E60F4461-AEA3-414F-8D17-6482C0BDECDC}"/>
    <hyperlink ref="A1813" r:id="rId1410" display="https://www.google.com/url?q=https://uva.onlinejudge.org/index.php?option%3Dcom_onlinejudge%26Itemid%3D8%26page%3Dshow_problem%26problem%3D1052&amp;sa=D&amp;ust=1605639552389000&amp;usg=AFQjCNEr-QxXfes4dX2HX9WfYDpzw18mIA" xr:uid="{D3FCE247-AF81-4404-A61B-0D9DBB359206}"/>
    <hyperlink ref="D2630" r:id="rId1411" display="https://www.google.com/url?q=https://github.com/mostafa-saad/MyCompetitiveProgramming/blob/master/UVA/UVA_10111.txt&amp;sa=D&amp;ust=1605639552390000&amp;usg=AFQjCNG9UOhXgnUKDDXzklRk61uyDvhPaA" xr:uid="{52F9DD32-EA58-4740-918E-759F2331A68D}"/>
    <hyperlink ref="A1815" r:id="rId1412" display="https://www.google.com/url?q=http://codeforces.com/contest/731/problem/E&amp;sa=D&amp;ust=1605639552391000&amp;usg=AFQjCNFsQ_pPKfvMpVmMwbCDvB9OcmpQ9g" xr:uid="{EC5C5816-1043-4212-BA59-E2F5133F0F5D}"/>
    <hyperlink ref="A1818" r:id="rId1413" display="https://www.google.com/url?q=http://codeforces.com/contest/63/problem/E&amp;sa=D&amp;ust=1605639552392000&amp;usg=AFQjCNHD8878Tt2SAMRezzkPDDJrOcrDqA" xr:uid="{942DD701-4CCC-4A8B-A74C-DD66F2598FF9}"/>
    <hyperlink ref="A1819" r:id="rId1414" display="https://www.google.com/url?q=http://codeforces.com/contest/917/problem/B&amp;sa=D&amp;ust=1605639552392000&amp;usg=AFQjCNG_oF9Cn6dRXm4XvuRWQHOHAc0YYQ" xr:uid="{5C0B0A85-1AAE-4B31-911F-5F2DDEBA6A14}"/>
    <hyperlink ref="A1820" r:id="rId1415" display="https://www.google.com/url?q=http://codeforces.com/contest/148/problem/D&amp;sa=D&amp;ust=1605639552393000&amp;usg=AFQjCNFXcTiVWl1Cr-9fzKDxPxxUUzdMNw" xr:uid="{F0B485A2-A488-4E8F-9BF6-DA9068CE4943}"/>
    <hyperlink ref="A1821" r:id="rId1416" display="https://www.google.com/url?q=https://uva.onlinejudge.org/index.php?option%3Dcom_onlinejudge%26Itemid%3D8%26page%3Dshow_problem%26problem%3D1519&amp;sa=D&amp;ust=1605639552393000&amp;usg=AFQjCNExWj5BwQBZeaWI7Gg6N7GYeg-w6A" xr:uid="{6AE314F9-E4B8-4E83-B1A8-27832B888539}"/>
    <hyperlink ref="D1264" r:id="rId1417" display="https://www.google.com/url?q=https://github.com/abdullaAshraf/Problem-Solving/blob/master/UVA/10578.cpp&amp;sa=D&amp;ust=1605639552393000&amp;usg=AFQjCNF2gDJosoixNbiZO7bv78cnEJvK4A" xr:uid="{87F16C0B-A3DA-4B41-BF33-0A89BF0099F2}"/>
    <hyperlink ref="D1265" r:id="rId1418" display="https://www.google.com/url?q=https://github.com/SaraElkadi/competitive-programming-/blob/master/UVA/10536.cpp&amp;sa=D&amp;ust=1605639552394000&amp;usg=AFQjCNHMPCAnkK4R5aHRJsAv6exGu_mH8Q" xr:uid="{443031B8-5E7F-4D97-BE6E-2316B6AC87E3}"/>
    <hyperlink ref="A1823" r:id="rId1419" display="https://www.google.com/url?q=https://codeforces.com/contest/1033/problem/C&amp;sa=D&amp;ust=1605639552394000&amp;usg=AFQjCNFJJydIfzTr9XkK4V-stcAMLpYQ4Q" xr:uid="{0A176EEF-AA02-41A1-9F39-F7E568918AB3}"/>
    <hyperlink ref="A1827" r:id="rId1420" display="https://www.google.com/url?q=https://uva.onlinejudge.org/index.php?option%3Dcom_onlinejudge%26Itemid%3D8%26page%3Dshow_problem%26problem%3D1345&amp;sa=D&amp;ust=1605639552397000&amp;usg=AFQjCNH03IVjXhJVnSASIoUZtSlJyMkJcw" xr:uid="{D398CB3A-93BB-407F-85C5-C86636E07ECC}"/>
    <hyperlink ref="D219" r:id="rId1421" display="https://www.google.com/url?q=https://github.com/VAMPIER000001/CompetitiveProgramming/blob/58946d0dcba06adfc2c5ec0b423546a6a0c6da9c/UVA/V-104/UVA%252010404.Cpp&amp;sa=D&amp;ust=1605639552397000&amp;usg=AFQjCNHCipWQxC3YxhguozlpdReBCR8dTQ" xr:uid="{639630A5-ABE9-45A8-86C9-4E3C6BB406EA}"/>
    <hyperlink ref="D221" r:id="rId1422" display="https://www.google.com/url?q=https://github.com/MeGaCrazy/CompetitiveProgramming/blob/fb2f21b7a3300927d3790593246856405b038276/UVA/UVA_12469.cpp&amp;sa=D&amp;ust=1605639552398000&amp;usg=AFQjCNFVUYw3sRtRwB25lNY15YT5CGxyOw" xr:uid="{4F69349E-667B-4733-B2F7-0682762FCE9D}"/>
    <hyperlink ref="A1832" r:id="rId1423" display="https://www.google.com/url?q=http://codeforces.com/contest/698/problem/C&amp;sa=D&amp;ust=1605639552399000&amp;usg=AFQjCNFuDlxX1-6I9Z_N5Of2GTVIhhVlXA" xr:uid="{CE6C8F2C-BAEB-49D0-A04C-68675FA14C7D}"/>
    <hyperlink ref="A1833" r:id="rId1424" display="https://www.google.com/url?q=http://codeforces.com/contest/249/problem/C&amp;sa=D&amp;ust=1605639552400000&amp;usg=AFQjCNEfDw0FZEoH0c6Rxld2Kt34TugGkA" xr:uid="{2DBD6C27-33ED-47D9-92E6-6795803F643B}"/>
    <hyperlink ref="A1834" r:id="rId1425" display="https://www.google.com/url?q=http://codeforces.com/contest/175/problem/D&amp;sa=D&amp;ust=1605639552400000&amp;usg=AFQjCNE0ZiKyvJOYiM7ekxiDSasuYhzQPA" xr:uid="{61494A79-3BAD-4848-AC03-F54EFAEF1598}"/>
    <hyperlink ref="A1836" r:id="rId1426" display="https://www.google.com/url?q=http://codeforces.com/contest/464/problem/D&amp;sa=D&amp;ust=1605639552401000&amp;usg=AFQjCNFbqzIcwjnrtxwau0YGuUw1iLSuPw" xr:uid="{FBE85DC6-A1E1-4A01-B051-4CA4FBD54019}"/>
    <hyperlink ref="D4732" r:id="rId1427" display="https://www.google.com/url?q=https://github.com/omaryasser/Competitive-Programming/blob/master/SPOJ%2520solutions/LIM%2520-%2520Lost%2520in%2520Madrid.java&amp;sa=D&amp;ust=1605639552402000&amp;usg=AFQjCNFntJG-qSYXfRhU1HfgM3KDstoyIA" xr:uid="{40E4B903-B283-48D8-9807-33A12DE30F90}"/>
    <hyperlink ref="A1839" r:id="rId1428" display="https://www.google.com/url?q=http://codeforces.com/contest/596/problem/D&amp;sa=D&amp;ust=1605639552402000&amp;usg=AFQjCNHo2JBJePYBwgQL68Izhgp05UeUZg" xr:uid="{E455C6D5-6D69-497A-8288-B584DE8FAA7E}"/>
    <hyperlink ref="A1840" r:id="rId1429" display="https://www.google.com/url?q=http://codeforces.com/contest/867/problem/D&amp;sa=D&amp;ust=1605639552403000&amp;usg=AFQjCNGS5Q0OK7WCaYmGHWh7S9lqiKVmgg" xr:uid="{F4BEE682-738F-4121-9617-3F7760902A7F}"/>
    <hyperlink ref="A1841" r:id="rId1430" display="https://www.google.com/url?q=http://codeforces.com/contest/513/problem/G2&amp;sa=D&amp;ust=1605639552403000&amp;usg=AFQjCNGUUPoyTHgwprpqrcybqNzzgmTR7g" xr:uid="{0AC49441-4132-47BF-8B2B-EEA135BE0933}"/>
    <hyperlink ref="A1843" r:id="rId1431" display="https://www.google.com/url?q=https://codeforces.com/contest/1097/problem/D&amp;sa=D&amp;ust=1605639552404000&amp;usg=AFQjCNFScW0hWcun2sSk5MoAhBFp2GSq_w" xr:uid="{DBC29092-84CA-4A18-8DAE-B45312CA79D4}"/>
    <hyperlink ref="A1844" r:id="rId1432" display="https://www.google.com/url?q=http://codeforces.com/contest/499/problem/D&amp;sa=D&amp;ust=1605639552405000&amp;usg=AFQjCNHDDMXIVrGroBSsN9_aKt4v1CRfbg" xr:uid="{A862BB2C-8C44-4101-9BA5-9DFC7AAF42D9}"/>
    <hyperlink ref="D4140" r:id="rId1433" display="https://www.google.com/url?q=https://apps.topcoder.com/wiki/display/tc/SRM%2B614&amp;sa=D&amp;ust=1605639552405000&amp;usg=AFQjCNHRwmuAdrYTyJ8ANRQH6BmsHVyslQ" xr:uid="{BD9AC453-7CE8-4AC0-BEAE-AF8E1028E567}"/>
    <hyperlink ref="A1849" r:id="rId1434" display="https://www.google.com/url?q=http://codeforces.com/contest/908/problem/D&amp;sa=D&amp;ust=1605639552407000&amp;usg=AFQjCNH9MWqnCdfk-omYuMrP4tfzpJ-kFQ" xr:uid="{39F198C6-4708-4A3A-AB53-01F7253B7EE4}"/>
    <hyperlink ref="D3208" r:id="rId1435" display="https://www.google.com/url?q=https://github.com/osamahatem/CompetitiveProgramming/blob/master/Codeforces/908D.%2520New%2520Year%2520and%2520Arbitrary%2520Arrangement.cpp&amp;sa=D&amp;ust=1605639552407000&amp;usg=AFQjCNFS4gGbRy-KGvN6bM77iA8txsT4TA" xr:uid="{D4D3D755-9350-4409-91D4-D2744F6CFF6A}"/>
    <hyperlink ref="D3209" r:id="rId1436" display="https://www.google.com/url?q=https://github.com/mostafa-saad/MyCompetitiveProgramming/blob/master/UVA/UVA_11176.txt&amp;sa=D&amp;ust=1605639552408000&amp;usg=AFQjCNEb_6uwzIzxbSM36SnobEKBgKLUKg" xr:uid="{AB7C8E9B-4918-4D01-A4C1-6A46BDD17AD2}"/>
    <hyperlink ref="A1851" r:id="rId1437" display="https://www.google.com/url?q=http://codeforces.com/contest/68/problem/D&amp;sa=D&amp;ust=1605639552409000&amp;usg=AFQjCNFT7LPBtJjdRO3HKKg5W_YXuNPAEA" xr:uid="{D3C82083-8C4C-4EB4-B22E-EEDA1F61205C}"/>
    <hyperlink ref="A1853" r:id="rId1438" display="https://www.google.com/url?q=http://codeforces.com/contest/236/problem/D&amp;sa=D&amp;ust=1605639552410000&amp;usg=AFQjCNEEYyqcNhFPjpLc4S-iJu_rGkiy7Q" xr:uid="{9928D14A-057B-492C-81B0-5C3C8F14D5D2}"/>
    <hyperlink ref="A1854" r:id="rId1439" display="https://www.google.com/url?q=http://codeforces.com/contest/167/problem/D&amp;sa=D&amp;ust=1605639552410000&amp;usg=AFQjCNFhZwz2JJnirk17W5H3FoGGMQP8dQ" xr:uid="{BC0013FF-0899-48D6-B877-781C1F1F6759}"/>
    <hyperlink ref="A1861" r:id="rId1440" display="https://www.google.com/url?q=http://codeforces.com/contest/768/problem/D&amp;sa=D&amp;ust=1605639552411000&amp;usg=AFQjCNGolmo5vgMglQbSbD0wpuI3u04I1A" xr:uid="{6A120BE3-7FE7-4E5C-B6A9-0B836825E8CB}"/>
    <hyperlink ref="A1862" r:id="rId1441" display="https://www.google.com/url?q=https://uva.onlinejudge.org/index.php?option%3Dcom_onlinejudge%26Itemid%3D8%26page%3Dshow_problem%26problem%3D1962&amp;sa=D&amp;ust=1605639552412000&amp;usg=AFQjCNGsV-Rf03Yi5YS3CjGtEUs9LaNahQ" xr:uid="{CB9AC8E6-B9A5-48ED-AD05-492B61B24DE5}"/>
    <hyperlink ref="D2632" r:id="rId1442" display="https://www.google.com/url?q=https://github.com/VAMPIER000001/CompetitiveProgramming/blob/master/UVA/V-110/UVA%252011021.cpp&amp;sa=D&amp;ust=1605639552412000&amp;usg=AFQjCNGO81O1F8JQUd-HuKoWEQVIWQfYXQ" xr:uid="{FAADC7A9-E2E2-484C-9969-BF0766A42111}"/>
    <hyperlink ref="A1863" r:id="rId1443" display="https://www.google.com/url?q=http://codeforces.com/contest/28/problem/C&amp;sa=D&amp;ust=1605639552413000&amp;usg=AFQjCNFxI_9z6GLVnTMXe2KJLff1tqVREw" xr:uid="{8690AB80-CF67-413D-9DFF-2F47BA3F58B9}"/>
    <hyperlink ref="D2411" r:id="rId1444" display="https://www.google.com/url?q=https://github.com/aabdelzaher/Competitive-Programming/blob/master/Codeforces/CF28-D12-C.java&amp;sa=D&amp;ust=1605639552413000&amp;usg=AFQjCNEqtsPzE4gWmPzaj1UHfz9j9Wv82A" xr:uid="{46CA2163-7825-4059-90CC-D5E14929C79B}"/>
    <hyperlink ref="A1864" r:id="rId1445" display="https://www.google.com/url?q=https://github.com/3agwa/CompetitiveProgramming/blob/master/UVA/UVA%252010169&amp;sa=D&amp;ust=1605639552413000&amp;usg=AFQjCNHO0JhF7Bxdh36y70jWdY0apAKEgA" xr:uid="{4CD6122A-7E96-43FD-8ACF-BD67E6A25791}"/>
    <hyperlink ref="D1846" r:id="rId1446" display="https://www.google.com/url?q=https://github.com/AliOsm/CompetitiveProgramming/blob/master/UVA/10169%2520-%2520Urn-ball%2520Probabilities!.cpp&amp;sa=D&amp;ust=1605639552413000&amp;usg=AFQjCNEp2FKURHeJlpyQz8w0pm7v_ML0LA" xr:uid="{0FAA6603-337B-4FFE-8638-AA7EF5B44430}"/>
    <hyperlink ref="A1865" r:id="rId1447" display="https://www.google.com/url?q=http://codeforces.com/contest/678/problem/E&amp;sa=D&amp;ust=1605639552414000&amp;usg=AFQjCNHqIuQ6mdPBhd3h3KRNt9PIopZCqw" xr:uid="{8972ABF1-B672-4747-926A-227FC0206932}"/>
    <hyperlink ref="A1866" r:id="rId1448" display="https://www.google.com/url?q=http://codeforces.com/contest/859/problem/D&amp;sa=D&amp;ust=1605639552414000&amp;usg=AFQjCNEGqpX61e3tJOuFFU1DshjszBuVUw" xr:uid="{14E40E35-D384-4809-8E2E-1855D6709E9C}"/>
    <hyperlink ref="A1867" r:id="rId1449" display="https://www.google.com/url?q=http://codeforces.com/contest/16/problem/E&amp;sa=D&amp;ust=1605639552415000&amp;usg=AFQjCNF523JCV1d3Kxj4UnzB50Pvmf_NYA" xr:uid="{9CA86724-3EDF-4B9F-BF01-760603A44C0F}"/>
    <hyperlink ref="D1849" r:id="rId1450" display="https://www.google.com/url?q=https://github.com/3agwa/CompetitiveProgramming/blob/master/CodeForces/CF16-D2-E.cpp&amp;sa=D&amp;ust=1605639552415000&amp;usg=AFQjCNFiZ51ycWMH63WrwZcmB8QeBzyjRw" xr:uid="{0075E85B-7101-4B95-8F56-29B4EEEAF889}"/>
    <hyperlink ref="D1850" r:id="rId1451" display="https://www.google.com/url?q=https://github.com/mostafa-saad/MyCompetitiveProgramming/blob/master/UVA/UVA_10218.txt&amp;sa=D&amp;ust=1605639552416000&amp;usg=AFQjCNFJTo-5M8iuW0VuVQezEpMRivcVdA" xr:uid="{12BEC46F-7563-4298-B88A-D1DD37521391}"/>
    <hyperlink ref="D1851" r:id="rId1452" display="https://www.google.com/url?q=https://github.com/mostafa-saad/MyCompetitiveProgramming/blob/master/PKU/PKU_3744.txt&amp;sa=D&amp;ust=1605639552416000&amp;usg=AFQjCNH77KPT_aBdIOTkKsXszFiwMcYS-w" xr:uid="{06A52692-2F52-48D3-A775-CE31ED27A86B}"/>
    <hyperlink ref="A1870" r:id="rId1453" display="https://www.google.com/url?q=http://poj.org/problem?id%3D2151&amp;sa=D&amp;ust=1605639552417000&amp;usg=AFQjCNFRKSRU80i9qilzFlRjEMePzQFRmg" xr:uid="{5FC69849-48DF-4D19-82C7-A0B393659D71}"/>
    <hyperlink ref="D1852" r:id="rId1454" display="https://www.google.com/url?q=https://github.com/mostafa-saad/MyCompetitiveProgramming/blob/master/PKU/PKU_2151.txt&amp;sa=D&amp;ust=1605639552417000&amp;usg=AFQjCNEarhVa4Vk6tQxCcxY2tUahU15nzg" xr:uid="{F6992214-69A0-4522-995C-11E8CC51971D}"/>
    <hyperlink ref="D1853" r:id="rId1455" display="https://www.google.com/url?q=https://github.com/mostafa-saad/MyCompetitiveProgramming/blob/master/UVA/UVA_12179.txt&amp;sa=D&amp;ust=1605639552417000&amp;usg=AFQjCNHfNgO09nC6nVh25lp5ed-eLSwncA" xr:uid="{4B30B0AA-A47B-48E2-B257-B5DE232E1F5C}"/>
    <hyperlink ref="A1874" r:id="rId1456" display="https://www.google.com/url?q=https://uva.onlinejudge.org/index.php?option%3Donlinejudge%26page%3Dshow_problem%26problem%3D483&amp;sa=D&amp;ust=1605639552419000&amp;usg=AFQjCNF9dztVWJeNjaRIhYz7AY1aD3Q1hw" xr:uid="{52EC84F5-D497-4011-8A6D-640041355107}"/>
    <hyperlink ref="D1266" r:id="rId1457" display="https://www.google.com/url?q=https://github.com/mostafa-saad/MyCompetitiveProgramming/blob/master/UVA/UVA_542.txt&amp;sa=D&amp;ust=1605639552419000&amp;usg=AFQjCNEp-zRT9SqtrM0jKtjL2twyfzD4SA" xr:uid="{A228519C-0A36-46CC-8C76-77003D2A8851}"/>
    <hyperlink ref="A1875" r:id="rId1458" display="https://www.google.com/url?q=http://codeforces.com/contest/540/problem/D&amp;sa=D&amp;ust=1605639552419000&amp;usg=AFQjCNF1t9au_inErL2BAdYnNKDUJmZdrQ" xr:uid="{6443ECDC-77D5-458E-B27D-5C60C9A5D0FB}"/>
    <hyperlink ref="D1269" r:id="rId1459" display="https://www.google.com/url?q=https://github.com/AliOsm/CompetitiveProgramming/blob/master/UVA/10759%2520-%2520Dice%2520Throwing.cpp&amp;sa=D&amp;ust=1605639552420000&amp;usg=AFQjCNFyj-QG2_lfNOazYTfxqpaqWz8kYA" xr:uid="{5EF88E9B-33DF-44A6-A46D-23B3D6C1A19A}"/>
    <hyperlink ref="D1270" r:id="rId1460" display="https://www.google.com/url?q=https://github.com/mostafa-saad/MyCompetitiveProgramming/blob/master/PKU/PKU_3071.txt&amp;sa=D&amp;ust=1605639552422000&amp;usg=AFQjCNED1lSSDAUxa2JO35g4NOyLmO9J1g" xr:uid="{FD39FBCF-388F-49C5-9D6E-394C2D891CD5}"/>
    <hyperlink ref="A1879" r:id="rId1461" display="https://www.google.com/url?q=http://codeforces.com/contest/168/problem/D&amp;sa=D&amp;ust=1605639552422000&amp;usg=AFQjCNH_s-NeGlZO6KJeQbpSm1QFP7sSow" xr:uid="{E4DCE6CD-6A0F-42AB-8F15-F3A7CEA4F886}"/>
    <hyperlink ref="A1881" r:id="rId1462" display="https://www.google.com/url?q=http://codeforces.com/gym/101726/problem/B&amp;sa=D&amp;ust=1605639552423000&amp;usg=AFQjCNEVKkB8Q9HW2pHLhq6FqsGuKcd3Wg" xr:uid="{63D2AEEC-8E48-4A9D-BB69-62356F8820CB}"/>
    <hyperlink ref="D777" r:id="rId1463" display="https://www.google.com/url?q=https://github.com/AliOsm/CompetitiveProgramming/blob/master/CodeForces%2520Gyms/2013%2520USP%2520Try-outs/B.%2520Spy%2520Duel.cpp&amp;sa=D&amp;ust=1605639552423000&amp;usg=AFQjCNG95QjMsepT-1BEWvii7PaYN0FeMw" xr:uid="{DDC4A8AC-CF1C-4C24-AEE8-1E2AE8FB7C8B}"/>
    <hyperlink ref="A1882" r:id="rId1464" display="https://www.google.com/url?q=http://codeforces.com/contest/54/problem/C&amp;sa=D&amp;ust=1605639552423000&amp;usg=AFQjCNEA-9I1u6VrotFj9w3HlX1RzJq3-g" xr:uid="{2C1F6418-B8EF-42E8-94C1-173E43B90625}"/>
    <hyperlink ref="A1883" r:id="rId1465" display="https://www.google.com/url?q=https://uva.onlinejudge.org/index.php?option%3Dcom_onlinejudge%26Itemid%3D8%26page%3Dshow_problem%26problem%3D3175&amp;sa=D&amp;ust=1605639552424000&amp;usg=AFQjCNG-PyasGpYoV_NYjE7QTYxOulAFHA" xr:uid="{3A6AADB8-4F98-49EC-A975-EA45228C9FA6}"/>
    <hyperlink ref="D779" r:id="rId1466" display="https://www.google.com/url?q=https://github.com/mostafa-saad/MyCompetitiveProgramming/blob/master/UVA/UVA_12024.txt&amp;sa=D&amp;ust=1605639552424000&amp;usg=AFQjCNGK7-Fl-R9KtQ3fGLD7_uBG7ltkPQ" xr:uid="{8BEE252C-80AB-44C7-A836-B925E37163E7}"/>
    <hyperlink ref="A1885" r:id="rId1467" display="https://www.google.com/url?q=https://github.com/3agwa/CompetitiveProgramming/blob/master/UVA/UVA%252012457&amp;sa=D&amp;ust=1605639552425000&amp;usg=AFQjCNGbg9D4qGC_l3O6P4XXR7VXgmXU3A" xr:uid="{BD53D4F5-2A30-4A9E-B646-0902E282B08E}"/>
    <hyperlink ref="D506" r:id="rId1468" display="https://www.google.com/url?q=https://github.com/3agwa/CompetitiveProgramming/blob/master/UVA/UVA%252012457&amp;sa=D&amp;ust=1605639552425000&amp;usg=AFQjCNGbg9D4qGC_l3O6P4XXR7VXgmXU3A" xr:uid="{05922E0B-65DA-4D5D-AB76-96CA6F7685ED}"/>
    <hyperlink ref="A1886" r:id="rId1469" display="https://www.google.com/url?q=http://acm.tju.edu.cn/toj/showp3051.html&amp;sa=D&amp;ust=1605639552426000&amp;usg=AFQjCNH3HT3mUVtmi8X_BtETIRPQoMzk7A" xr:uid="{D90B11FC-50AD-4A53-9AF2-544200D61439}"/>
    <hyperlink ref="A1887" r:id="rId1470" display="https://www.google.com/url?q=https://www.hackerrank.com/challenges/colorful-polygon&amp;sa=D&amp;ust=1605639552426000&amp;usg=AFQjCNH16wntutriGkx0YfBMmIQ2d0CkHQ" xr:uid="{4C63ED0D-9FE5-469E-B541-58245EB50E0C}"/>
    <hyperlink ref="A1889" r:id="rId1471" display="https://www.google.com/url?q=https://www.hackerrank.com/challenges/bear-and-dancing&amp;sa=D&amp;ust=1605639552427000&amp;usg=AFQjCNFifRpfIVCLNTH41JVpej4poGhoUA" xr:uid="{4C9F1A6A-E81A-469D-A6EF-4270EAD8E61E}"/>
    <hyperlink ref="A1890" r:id="rId1472" display="https://www.google.com/url?q=http://codeforces.com/contest/138/problem/D&amp;sa=D&amp;ust=1605639552427000&amp;usg=AFQjCNHBqi9f3F80_WvvFLmUCFTPJkXECA" xr:uid="{30C80B61-4F7C-47E1-A9BF-630FDB676E5F}"/>
    <hyperlink ref="A1891" r:id="rId1473" display="https://www.google.com/url?q=http://codeforces.com/contest/183/problem/D&amp;sa=D&amp;ust=1605639552427000&amp;usg=AFQjCNEheHK-HCPqhlTxgg_kcu0bctzdGQ" xr:uid="{94EA4F2E-AD04-48BC-94A3-C1A81342C430}"/>
    <hyperlink ref="A1893" r:id="rId1474" display="https://www.google.com/url?q=http://codeforces.com/contest/258/problem/D&amp;sa=D&amp;ust=1605639552428000&amp;usg=AFQjCNGXrFlHOzJvfjsFaMBgm-Zs7pgSKg" xr:uid="{04561E9F-B77D-48E8-BB0E-863F0845DB78}"/>
    <hyperlink ref="A1897" r:id="rId1475" display="https://www.google.com/url?q=http://codeforces.com/gym/101808/problem/D&amp;sa=D&amp;ust=1605639552430000&amp;usg=AFQjCNGWWjjue7k8Hj1oPcbbJbBC5ig0oA" xr:uid="{C7574DEC-24CD-4AA7-8B73-3E57C15A16A2}"/>
    <hyperlink ref="D4337" r:id="rId1476" display="https://www.google.com/url?q=https://github.com/MetalBall887/Competitive-Programming/blob/master/CodeForces/CF101808-gym-D.cpp&amp;sa=D&amp;ust=1605639552430000&amp;usg=AFQjCNGGSukruH_plgRy6hDp4MXLX8dS7g" xr:uid="{BDF66D4D-BF46-460A-8611-11EA7A8BE9EE}"/>
    <hyperlink ref="A1898" r:id="rId1477" display="https://www.google.com/url?q=http://codeforces.com/gym/101620&amp;sa=D&amp;ust=1605639552430000&amp;usg=AFQjCNFjZI-OqclKJx1AejgCcueLXyPYsg" xr:uid="{0380FC84-653C-4D42-9A65-9B634D4C5C1C}"/>
    <hyperlink ref="D4145" r:id="rId1478" display="https://www.google.com/url?q=https://github.com/nya-nya-meow/CompetitiveProgramming/blob/master/CodeForces/CF101620-GYM-G%2520-%2520Gambling%2520guide.cpp&amp;sa=D&amp;ust=1605639552431000&amp;usg=AFQjCNGJCJprvBhxrSNbV7xFeQbpiahdjQ" xr:uid="{BCF23C61-3B77-4652-80B6-006D95CC516A}"/>
    <hyperlink ref="A1899" r:id="rId1479" display="https://www.google.com/url?q=http://codeforces.com/contest/602/problem/E&amp;sa=D&amp;ust=1605639552431000&amp;usg=AFQjCNGIqVWcEfdeSlPEv6WbtAWRoh5YoA" xr:uid="{17E22130-3AF6-4F9C-BE61-C29E147E1DEC}"/>
    <hyperlink ref="A1900" r:id="rId1480" display="https://www.google.com/url?q=https://codeforces.com/contest/1278/problem/F&amp;sa=D&amp;ust=1605639552431000&amp;usg=AFQjCNHMRTm-52YEweFGfY7sAnVu_F0iTw" xr:uid="{DC29C83D-A7F9-4FA8-938C-F21594E4EFE2}"/>
    <hyperlink ref="A1901" r:id="rId1481" display="https://www.google.com/url?q=https://codeforces.com/contest/398/problem/B&amp;sa=D&amp;ust=1605639552433000&amp;usg=AFQjCNFsMdgP4zEPOB53pr_2FER-TZtheg" xr:uid="{176F28D2-1612-481F-BBFF-CCA752406214}"/>
    <hyperlink ref="A1902" r:id="rId1482" display="https://www.google.com/url?q=http://codeforces.com/contest/697/problem/D&amp;sa=D&amp;ust=1605639552434000&amp;usg=AFQjCNF-gTFuSRN1O8FnDP2RpnXYulN4vA" xr:uid="{C1731A19-7D1D-4274-8941-B91F0F52A07D}"/>
    <hyperlink ref="A1903" r:id="rId1483" display="https://www.google.com/url?q=https://www.hackerrank.com/challenges/connect-the-country&amp;sa=D&amp;ust=1605639552434000&amp;usg=AFQjCNGAFolk3E4FaIcaYfsjd9mglC89jg" xr:uid="{71EECD0E-2CBE-4A1C-AD97-7AAAD9A5EEAF}"/>
    <hyperlink ref="D3227" r:id="rId1484" display="https://www.google.com/url?q=https://github.com/mostafa-saad/MyCompetitiveProgramming/blob/master/Hackerearth/HACKR-connect-the-country.txt&amp;sa=D&amp;ust=1605639552435000&amp;usg=AFQjCNEp1ioDWfKf4q6EBZUlSe7WQ0Z3rg" xr:uid="{598BC809-82D2-43D9-9239-FF752B131DA0}"/>
    <hyperlink ref="A1906" r:id="rId1485" display="https://www.google.com/url?q=https://atcoder.jp/contests/abc144/tasks/abc144_f&amp;sa=D&amp;ust=1605639552436000&amp;usg=AFQjCNFaHtGRvMOb-1mEFinJKjebuL-oOA" xr:uid="{C8F94612-18E2-4546-89CD-FDD1271FE3BF}"/>
    <hyperlink ref="A1907" r:id="rId1486" display="https://www.google.com/url?q=https://atcoder.jp/contests/abc149/tasks/abc149_f&amp;sa=D&amp;ust=1605639552436000&amp;usg=AFQjCNGmQPki5278j3_2N6h_2Ix0liOEUA" xr:uid="{92FA7A83-F0BA-4308-A2AA-1444876B2CA9}"/>
    <hyperlink ref="A1908" r:id="rId1487" display="https://www.google.com/url?q=http://poj.org/problem?id%3D2096&amp;sa=D&amp;ust=1605639552437000&amp;usg=AFQjCNFdHkGvDaoEbk2JQgmKWPHZZTJG-A" xr:uid="{802E16AB-9712-4883-916A-9A2FB9084BB3}"/>
    <hyperlink ref="D2639" r:id="rId1488" display="https://www.google.com/url?q=https://github.com/mostafa-saad/MyCompetitiveProgramming/blob/master/PKU/PKU_2096.txt&amp;sa=D&amp;ust=1605639552437000&amp;usg=AFQjCNGMUx0ZR0gr0Zn1yFbAGz_-trmPxQ" xr:uid="{176A3EBB-8238-4F03-A2C1-89ACB0CF4B1A}"/>
    <hyperlink ref="A1909" r:id="rId1489" display="https://www.google.com/url?q=https://codeforces.com/contest/1245/problem/E&amp;sa=D&amp;ust=1605639552437000&amp;usg=AFQjCNFdjj8KQXviAXRxRAb_OJ3WLRspdQ" xr:uid="{AA07F32C-E3F2-4910-BEC8-5A5A28CDE43A}"/>
    <hyperlink ref="D1861" r:id="rId1490" display="https://www.google.com/url?q=https://github.com/racsosabe/CompetitiveProgramming/blob/master/SPOJ/LOOPEXP.cpp&amp;sa=D&amp;ust=1605639552438000&amp;usg=AFQjCNGAfgnCdy8H4lfKk_vDRYs3QL63zA" xr:uid="{A3064B00-685E-450A-A93A-A1544AB133C1}"/>
    <hyperlink ref="A1911" r:id="rId1491" display="https://www.google.com/url?q=https://github.com/3agwa/CompetitiveProgramming/blob/master/TopCoder/SRM420-D1-500&amp;sa=D&amp;ust=1605639552438000&amp;usg=AFQjCNHLiyIW2iu1n3cOuaFzhUQ3dv2sfg" xr:uid="{8BB8F4A8-34DB-4369-BAE1-31AA0CBE7983}"/>
    <hyperlink ref="D1862" r:id="rId1492" display="https://www.google.com/url?q=https://github.com/tanmoy13/CompetitveProgramming/blob/master/Online-Judge-Solutions/TopCoder/SRM420-D1-500.cpp&amp;sa=D&amp;ust=1605639552439000&amp;usg=AFQjCNFhbHWhkw6QLYApy26AlhwgdVdN0g" xr:uid="{78FA762D-2F65-4A32-AAC9-817CF57BD7D3}"/>
    <hyperlink ref="D1864" r:id="rId1493" display="https://www.google.com/url?q=https://github.com/racsosabe/CompetitiveProgramming/blob/master/UVA/10288.cpp&amp;sa=D&amp;ust=1605639552440000&amp;usg=AFQjCNG3XrkDzXeixdZWZks2NzhWF5IZJQ" xr:uid="{C312F52B-3733-4C6F-B320-F38FCC07A447}"/>
    <hyperlink ref="A1914" r:id="rId1494" display="https://www.google.com/url?q=https://codeforces.com/contest/1265/problem/E&amp;sa=D&amp;ust=1605639552440000&amp;usg=AFQjCNF38wSjIYYKd7dNISspSzaE1nlygw" xr:uid="{E7E3FBD8-F8A0-4905-8F60-8754E6767448}"/>
    <hyperlink ref="D1866" r:id="rId1495" display="https://www.google.com/url?q=https://ideone.com/kc7LDA&amp;sa=D&amp;ust=1605639552440000&amp;usg=AFQjCNFGpbuaociyf6FU_IVtis6iMkWU8Q" xr:uid="{D3FD2270-A36B-4AE4-924B-7BEF1E479EF0}"/>
    <hyperlink ref="D1867" r:id="rId1496" display="https://www.google.com/url?q=https://github.com/arvindr9/CompetitiveProgramming/blob/master/TopCoder/SRM184-D1-500.cpp&amp;sa=D&amp;ust=1605639552441000&amp;usg=AFQjCNEZH0_xMIrUd9YgU7-KQxySgHVN2A" xr:uid="{36D150AF-456F-438B-AC9B-862D104F60F2}"/>
    <hyperlink ref="A1921" r:id="rId1497" display="https://www.google.com/url?q=https://community.topcoder.com/stat?c%3Dproblem_statement%26pm%3D10988&amp;sa=D&amp;ust=1605639552442000&amp;usg=AFQjCNEkuNVOmKyRVOESgmuFssVQJqluJg" xr:uid="{C380BFEE-5A71-44D3-B8D0-83C0F49A4169}"/>
    <hyperlink ref="A1922" r:id="rId1498" display="https://www.google.com/url?q=http://codeforces.com/contest/30/problem/C&amp;sa=D&amp;ust=1605639552443000&amp;usg=AFQjCNG_4IhIC3REemdcchDRJEkatzor9w" xr:uid="{2092AB20-4831-4445-947D-7ED522F334D8}"/>
    <hyperlink ref="A1923" r:id="rId1499" display="https://www.google.com/url?q=http://codeforces.com/contest/518/problem/D&amp;sa=D&amp;ust=1605639552443000&amp;usg=AFQjCNGwXDIwTFGv1d1TdHuA4uYNY-VzvA" xr:uid="{E417C48B-329A-4181-895D-DBD2745BF177}"/>
    <hyperlink ref="A1925" r:id="rId1500" display="https://www.google.com/url?q=http://codeforces.com/contest/508/problem/E&amp;sa=D&amp;ust=1605639552445000&amp;usg=AFQjCNGyDoOYBXu08JD1WT6u0AlWJ0O-Tg" xr:uid="{21F261CC-5F22-4876-A0B6-19496E13114F}"/>
    <hyperlink ref="D3779" r:id="rId1501" display="https://www.google.com/url?q=https://csacademy.com/code/gAv1x3aG/&amp;sa=D&amp;ust=1605639552446000&amp;usg=AFQjCNGiLvQDSDHvPoEs2F3pLZ_qSQ0coA" xr:uid="{92A729A6-8F2B-4D0B-86E1-C032626EEFBE}"/>
    <hyperlink ref="A1930" r:id="rId1502" display="https://www.google.com/url?q=https://codeforces.com/contest/1107/problem/E&amp;sa=D&amp;ust=1605639552447000&amp;usg=AFQjCNHmDJrbfMN5b7f5NuO3wtJ7nAXJ7g" xr:uid="{F8098197-BC10-4748-BADB-D5BCEADD2487}"/>
    <hyperlink ref="D3231" r:id="rId1503" display="https://www.google.com/url?q=https://github.com/Huvok/CompetitiveProgramming/blob/master/UVA/1351.cpp&amp;sa=D&amp;ust=1605639552447000&amp;usg=AFQjCNGllk8jjjPQXIlyLXIIIgWKtdfmPg" xr:uid="{88F5F083-8F31-438A-AEFD-1594AF70D3FF}"/>
    <hyperlink ref="A1934" r:id="rId1504" display="https://www.google.com/url?q=https://uva.onlinejudge.org/index.php?option%3Dcom_onlinejudge%26Itemid%3D8%26page%3Dshow_problem%26problem%3D4501&amp;sa=D&amp;ust=1605639552448000&amp;usg=AFQjCNGDmeGOf5jeFvECFgFIFp_QrtHCLQ" xr:uid="{1DC203E9-FA0E-4F9E-AA69-2E5A6C9396A6}"/>
    <hyperlink ref="D2642" r:id="rId1505" display="https://www.google.com/url?q=https://github.com/mostafa-saad/MyCompetitiveProgramming/blob/master/UVA/UVA_1626.txt&amp;sa=D&amp;ust=1605639552449000&amp;usg=AFQjCNFNkz1X8One6qFYNp3wq6RJWMqwVA" xr:uid="{3BB6C1AD-8307-4328-8464-B84D915D98A6}"/>
    <hyperlink ref="A1936" r:id="rId1506" display="https://www.google.com/url?q=https://uva.onlinejudge.org/index.php?option%3Dcom_onlinejudge%26Itemid%3D8%26page%3Dshow_problem%26problem%3D4108&amp;sa=D&amp;ust=1605639552449000&amp;usg=AFQjCNH4-RdoLgyvgo95y2lXBqLyJ0igZA" xr:uid="{6E4EFB0F-2817-4A37-B08E-14A5D61A758C}"/>
    <hyperlink ref="D2644" r:id="rId1507" display="https://www.google.com/url?q=https://github.com/abdullaAshraf/Problem-Solving/blob/master/UVA/1362.cpp&amp;sa=D&amp;ust=1605639552450000&amp;usg=AFQjCNEcp4Dzssh0pxlnlpdd8gN5qZCoGw" xr:uid="{3A874448-D0E7-4242-BC95-A7A4D719AF73}"/>
    <hyperlink ref="D1869" r:id="rId1508" display="https://www.google.com/url?q=https://github.com/MichaelMounir12/CompetitiveProgramming/blob/eb1a3bc5b6e5be70605a78b1769b4ce6df81bf89/UVA/UVA_1239.cpp&amp;sa=D&amp;ust=1605639552451000&amp;usg=AFQjCNEU6MJ9lsLjXSpEsOXcAMtpF2evaQ" xr:uid="{3555ED3A-079E-4A3E-ADFB-B4BED9960183}"/>
    <hyperlink ref="D1871" r:id="rId1509" display="https://www.google.com/url?q=https://github.com/yazanKabbany/CompetitiveProgramming/blob/master/UVA/UVA%252012245.cpp&amp;sa=D&amp;ust=1605639552451000&amp;usg=AFQjCNGBGXueHLNTQ5ActU9FzjVQp5uACQ" xr:uid="{C8FAD0FA-F2E1-40B9-B97F-B3EF644A7553}"/>
    <hyperlink ref="D1873" r:id="rId1510" display="https://www.google.com/url?q=https://github.com/AhmedRamadanAbdElghany/CompetitiveProgramming/blob/master/Spoj/GCJ1C09C.cpp&amp;sa=D&amp;ust=1605639552452000&amp;usg=AFQjCNHcnePYovEkxvAH8CwSHzDggVAMkQ" xr:uid="{4D9131E2-2C93-4CA6-8819-F7A4CAED6F54}"/>
    <hyperlink ref="D1874" r:id="rId1511" display="https://www.google.com/url?q=https://github.com/MichaelMounir12/CompetitiveProgramming/blob/6968e76a38d600c4a9f0f385050be2100e7f0f9f/UVA/UVA_10688.cpp&amp;sa=D&amp;ust=1605639552452000&amp;usg=AFQjCNEyKqEnBlzkBKDc3T1GSHnAYWuRvg" xr:uid="{9FBB1212-F514-4898-81F9-D92B693E52AE}"/>
    <hyperlink ref="A1946" r:id="rId1512" display="https://www.google.com/url?q=https://uva.onlinejudge.org/index.php?option%3Dcom_onlinejudge%26Itemid%3D8%26page%3Dshow_problem%26problem%3D2853&amp;sa=D&amp;ust=1605639552453000&amp;usg=AFQjCNHkzgDHP0wxSVB72NZMJN0P6EUg2A" xr:uid="{8E56B7B8-B9C3-49F2-999F-A123A1237A10}"/>
    <hyperlink ref="D230" r:id="rId1513" display="https://www.google.com/url?q=https://github.com/MichaelMounir12/CompetitiveProgramming/blob/7a8bea8c513222833368c1c475d51b705ced5fbf/Topcoder/SRM367-D2-1000.cpp&amp;sa=D&amp;ust=1605639552455000&amp;usg=AFQjCNGw8w3_JyIUpqMpCxoi8ND8rVgI7g" xr:uid="{3E474A7E-FA1C-4880-A312-7CF975B91702}"/>
    <hyperlink ref="A1951" r:id="rId1514" display="https://www.google.com/url?q=http://codeforces.com/problemset/problem/1054/G&amp;sa=D&amp;ust=1605639552456000&amp;usg=AFQjCNFpKYEjgi9AkOzykwACegQ8VHeSqw" xr:uid="{B282DF5C-52E1-4FA5-A4A0-EA6CB24F5107}"/>
    <hyperlink ref="A1953" r:id="rId1515" display="https://www.google.com/url?q=http://codeforces.com/contest/249/problem/B&amp;sa=D&amp;ust=1605639552456000&amp;usg=AFQjCNG7iEd_ikx91RP4-RQ9jM1rKoVLYw" xr:uid="{6094F7FD-EFAA-4242-82BE-B5454B6A9826}"/>
    <hyperlink ref="A1954" r:id="rId1516" display="https://www.google.com/url?q=http://codeforces.com/problemset/problem/1012/D&amp;sa=D&amp;ust=1605639552457000&amp;usg=AFQjCNHvnqOcldnRPFXnm7qPmlqde6jzHA" xr:uid="{AAC41026-E000-4F1B-B493-C85A9AC1416F}"/>
    <hyperlink ref="A1955" r:id="rId1517" display="https://www.google.com/url?q=https://www.hackerrank.com/contests/hourrank-30/challenges/diverse-strings/&amp;sa=D&amp;ust=1605639552457000&amp;usg=AFQjCNHpu_JL4L0Dmcyvq0WlRRnOmwo58A" xr:uid="{CF904314-5A2F-4E71-8331-84618652A586}"/>
    <hyperlink ref="A1956" r:id="rId1518" display="https://www.google.com/url?q=https://codeforces.com/problemset/problem/1147/E&amp;sa=D&amp;ust=1605639552457000&amp;usg=AFQjCNG2Hdr36Wh25ZroKG4l-gJgsvab4g" xr:uid="{98F28463-B2E1-4564-A203-2875099E8CF3}"/>
    <hyperlink ref="A1958" r:id="rId1519" display="https://www.google.com/url?q=http://codeforces.com/contest/42/problem/D&amp;sa=D&amp;ust=1605639552458000&amp;usg=AFQjCNGeT5LhdVuawYPDv6ToFyUQ1BtkyQ" xr:uid="{72405E76-350B-4B6D-91E8-F03114A69680}"/>
    <hyperlink ref="A1959" r:id="rId1520" display="https://www.google.com/url?q=http://codeforces.com/contest/725/problem/E&amp;sa=D&amp;ust=1605639552459000&amp;usg=AFQjCNHMCp4aLHIWzOyfWrb1a74qYseASQ" xr:uid="{2B33B354-D7B3-420B-81F8-A7B2DA1FC1EF}"/>
    <hyperlink ref="A1960" r:id="rId1521" display="https://www.google.com/url?q=http://codeforces.com/contest/767/problem/E&amp;sa=D&amp;ust=1605639552459000&amp;usg=AFQjCNFA3kXDplalSYCplEmxwBd0fPzwwQ" xr:uid="{4675AEAD-A87F-44F4-B4BB-608C240EA585}"/>
    <hyperlink ref="A1962" r:id="rId1522" display="https://www.google.com/url?q=http://codeforces.com/contest/436/problem/E&amp;sa=D&amp;ust=1605639552460000&amp;usg=AFQjCNFt4l7sINajRZOaMNOvASQUcTkTwg" xr:uid="{CFB38420-D60D-4A2B-ADDC-3442E672FED4}"/>
    <hyperlink ref="D4741" r:id="rId1523" display="https://www.google.com/url?q=https://github.com/tmwilliamlin168/CompetitiveProgramming/blob/master/CodeForces/CF436-D12-E.cpp&amp;sa=D&amp;ust=1605639552460000&amp;usg=AFQjCNHSON1bkjm2-sIoV_6GFrZR7jY42w" xr:uid="{1843049C-FED1-4C71-9A33-05D55535F479}"/>
    <hyperlink ref="A1963" r:id="rId1524" display="https://www.google.com/url?q=http://codeforces.com/contest/922/problem/F&amp;sa=D&amp;ust=1605639552461000&amp;usg=AFQjCNESAVzE2mMltRHVjY41rwlUM_asuA" xr:uid="{33DAF2CA-F7C7-4284-9989-BD6C63359D74}"/>
    <hyperlink ref="D4556" r:id="rId1525" display="https://www.google.com/url?q=https://github.com/farmerboy95/CompetitiveProgramming/blob/master/Codeforces/CF922-D2-F.cpp&amp;sa=D&amp;ust=1605639552461000&amp;usg=AFQjCNEGeN9KPEqwhyta7aMVi1_zWuOBnQ" xr:uid="{7DFA1DB3-A12A-49AD-BF79-FCC453C84835}"/>
    <hyperlink ref="A1964" r:id="rId1526" display="https://www.google.com/url?q=https://atcoder.jp/contests/agc037/tasks/agc037_e&amp;sa=D&amp;ust=1605639552461000&amp;usg=AFQjCNGj5oTB7-rnwtuRU1RkpGIsP2NyDQ" xr:uid="{F60A730F-EB32-4577-8B27-C5FA01D11DF1}"/>
    <hyperlink ref="A1965" r:id="rId1527" display="https://www.google.com/url?q=http://codeforces.com/contest/713/problem/C&amp;sa=D&amp;ust=1605639552462000&amp;usg=AFQjCNGNFGYn1Hluz0z4lsIAl0qPw7ONDA" xr:uid="{F60D9539-CCBF-49C0-9B03-7F1EE2E5B3C7}"/>
    <hyperlink ref="D4432" r:id="rId1528" display="https://www.google.com/url?q=https://github.com/mostafa-saad/MyCompetitiveProgramming/blob/master/Codeforces/CF713-D1-C.txt&amp;sa=D&amp;ust=1605639552462000&amp;usg=AFQjCNFIXIjFSwnXH6kJC7iguwDdc9G_Wg" xr:uid="{970C79E5-3447-4618-9C3B-349178CF4E7E}"/>
    <hyperlink ref="A1966" r:id="rId1529" display="https://www.google.com/url?q=https://atcoder.jp/contests/agc043/tasks/agc043_d&amp;sa=D&amp;ust=1605639552462000&amp;usg=AFQjCNGdvK-rBB9DSCfP5Jk65DD8t7RENw" xr:uid="{4DA50F94-2836-4CFF-A344-B7CE789EDF85}"/>
    <hyperlink ref="A1967" r:id="rId1530" display="https://www.google.com/url?q=https://codeforces.com/contest/1091/problem/F&amp;sa=D&amp;ust=1605639552463000&amp;usg=AFQjCNHtmqgbDgl3mg6x6tZDheJ_ESZFJQ" xr:uid="{0A5D12A3-8A92-4727-A4AD-632AE95428E5}"/>
    <hyperlink ref="A1968" r:id="rId1531" display="https://www.google.com/url?q=http://codeforces.com/contest/203/problem/E&amp;sa=D&amp;ust=1605639552463000&amp;usg=AFQjCNHgg6bhvccMM-JbLYR4JgJK1j2etA" xr:uid="{DF07D6A0-667E-4FE3-B068-49571DAD3BB1}"/>
    <hyperlink ref="A1969" r:id="rId1532" display="https://www.google.com/url?q=http://agc027.contest.atcoder.jp/tasks/agc027_d&amp;sa=D&amp;ust=1605639552464000&amp;usg=AFQjCNG3FBFxpMrFEZHcJsNlywxnuMfCQQ" xr:uid="{440EA33C-0F7E-4AB4-8A05-C4799916EE51}"/>
    <hyperlink ref="A1970" r:id="rId1533" display="https://www.google.com/url?q=https://beta.atcoder.jp/contests/arc103/tasks/arc103_b&amp;sa=D&amp;ust=1605639552464000&amp;usg=AFQjCNHK4gwPcU3wukuMdmI5xXLOlFTPrw" xr:uid="{690024A0-1430-4BAA-B5AA-096AB24AAC2B}"/>
    <hyperlink ref="A1971" r:id="rId1534" display="https://www.google.com/url?q=http://codeforces.com/contest/297/problem/C&amp;sa=D&amp;ust=1605639552465000&amp;usg=AFQjCNErGjcc5EnTIObyB1bxGOt-PAS14g" xr:uid="{F39C3E3E-CA23-433B-828E-DA346D2E9FB2}"/>
    <hyperlink ref="A1972" r:id="rId1535" display="https://www.google.com/url?q=https://atcoder.jp/contests/agc028/tasks/agc028_c&amp;sa=D&amp;ust=1605639552466000&amp;usg=AFQjCNGWXHIJ3944kiz8J-xzGj9bd6kXJA" xr:uid="{BDA2546F-11D6-42BE-980C-670D5570DB92}"/>
    <hyperlink ref="A1973" r:id="rId1536" display="https://www.google.com/url?q=http://codeforces.com/contest/1076/problem/F&amp;sa=D&amp;ust=1605639552467000&amp;usg=AFQjCNFFJDFET8DzTn7wYyW0vZEWgT8uaQ" xr:uid="{3566C05C-044E-4CFC-80B5-66303DCEE29F}"/>
    <hyperlink ref="A1974" r:id="rId1537" display="https://www.google.com/url?q=https://codeforces.com/problemset/problem/962/E&amp;sa=D&amp;ust=1605639552467000&amp;usg=AFQjCNE1LlbTUPJxsTIdMX9SKa8C1yx4HQ" xr:uid="{C9669C11-73C7-416B-A792-7FD9176F80A0}"/>
    <hyperlink ref="A1975" r:id="rId1538" display="https://www.google.com/url?q=http://codeforces.com/contest/144/problem/E&amp;sa=D&amp;ust=1605639552468000&amp;usg=AFQjCNGVcYsyq_RqrWIrNmPm0h2BeRrZ-w" xr:uid="{322959C4-9D48-4E00-8A34-F4F77E331E11}"/>
    <hyperlink ref="A1977" r:id="rId1539" display="https://www.google.com/url?q=http://codeforces.com/contest/273/problem/C&amp;sa=D&amp;ust=1605639552468000&amp;usg=AFQjCNGn-HgJdq1avG5XVKCzbP83z7jibw" xr:uid="{35DF4942-383F-4CE6-A3F7-68F29CC909EC}"/>
    <hyperlink ref="A1978" r:id="rId1540" display="https://www.google.com/url?q=http://codeforces.com/contest/1054/problem/E&amp;sa=D&amp;ust=1605639552469000&amp;usg=AFQjCNFrR1EptPzxmYeHAtGAOksW0NlBOg" xr:uid="{7DBBEDCB-67AA-4DE3-B8AD-1D7F37372F9C}"/>
    <hyperlink ref="A1981" r:id="rId1541" display="https://www.google.com/url?q=https://www.codechef.com/problems/STICKS2/&amp;sa=D&amp;ust=1605639552470000&amp;usg=AFQjCNFFMG9usuaK72TDvMVPaPG4ibfSdg" xr:uid="{0FCDDB04-97AC-4BD5-A37E-6BEFB2EB0248}"/>
    <hyperlink ref="A1982" r:id="rId1542" display="https://www.google.com/url?q=https://agc027.contest.atcoder.jp/tasks/agc027_b&amp;sa=D&amp;ust=1605639552470000&amp;usg=AFQjCNHqmqETz4O5WNOoWobfMeoZMhQ7xg" xr:uid="{F0F5C2A1-9038-418E-A09F-BB3F2E9E9392}"/>
    <hyperlink ref="A1983" r:id="rId1543" display="https://www.google.com/url?q=http://codeforces.com/contest/1013/problem/D&amp;sa=D&amp;ust=1605639552471000&amp;usg=AFQjCNEFPIyEdIm4WvGtPXschi3c15WNCw" xr:uid="{88ED6BC6-000D-4671-AEA3-98C8A629F237}"/>
    <hyperlink ref="A1984" r:id="rId1544" display="https://www.google.com/url?q=http://codeforces.com/contest/799/problem/E&amp;sa=D&amp;ust=1605639552471000&amp;usg=AFQjCNHlVYQU6TrEiGpvyWFufp6HEfXbGQ" xr:uid="{C6B85E65-1DAB-45C6-A90D-625ED5788030}"/>
    <hyperlink ref="A1985" r:id="rId1545" display="https://www.google.com/url?q=https://codeforces.com/contest/1132/problem/E&amp;sa=D&amp;ust=1605639552472000&amp;usg=AFQjCNGRWness_4MSrnvdyC73RR_WVraNw" xr:uid="{04DEF92F-50AC-4B55-98CA-490CEC346248}"/>
    <hyperlink ref="A1986" r:id="rId1546" display="https://www.google.com/url?q=https://codeforces.com/contest/1059/problem/E&amp;sa=D&amp;ust=1605639552472000&amp;usg=AFQjCNEwjwUo5dyM3siBft54H9n6lLOIpA" xr:uid="{F151F903-47B0-4C90-B231-7735CE4D6DA8}"/>
    <hyperlink ref="A1987" r:id="rId1547" display="https://www.google.com/url?q=http://codeforces.com/contest/404/problem/E&amp;sa=D&amp;ust=1605639552472000&amp;usg=AFQjCNEOiYYqn8jEuEVEeVDppuu-M4uu9w" xr:uid="{77FBAC97-884C-49CE-8B4A-096CE3155D19}"/>
    <hyperlink ref="A1988" r:id="rId1548" display="https://www.google.com/url?q=https://atcoder.jp/contests/abc143/tasks/abc143_f&amp;sa=D&amp;ust=1605639552473000&amp;usg=AFQjCNEOHnuAqOBBn_dIJi40clYLONHyNw" xr:uid="{478EA068-EB9C-41F3-A238-320361087D14}"/>
    <hyperlink ref="A1991" r:id="rId1549" display="https://www.google.com/url?q=https://codeforces.com/problemset/problem/996/E&amp;sa=D&amp;ust=1605639552474000&amp;usg=AFQjCNED-7xYgDZCxzgZF9ZNtTIogjB_zw" xr:uid="{2AA4B1B2-B3CF-49D3-9C6C-766BBF845197}"/>
    <hyperlink ref="A1992" r:id="rId1550" display="https://www.google.com/url?q=https://atcoder.jp/contests/agc030/tasks/agc030_b&amp;sa=D&amp;ust=1605639552474000&amp;usg=AFQjCNGIcbBxsCvjS6pJ0dzDV_-NZsS3lQ" xr:uid="{B5C1C145-3B90-46D0-A97C-A1B924C5776C}"/>
    <hyperlink ref="A2008" r:id="rId1551" display="https://www.google.com/url?q=https://agc001.contest.atcoder.jp/tasks/agc001_d&amp;sa=D&amp;ust=1605639552475000&amp;usg=AFQjCNG-gpfP4ToVYlCTgUNKvojUx2rD6Q" xr:uid="{3DAFFB4E-B6BF-4A5E-AEE6-D8D7C7718613}"/>
    <hyperlink ref="A2009" r:id="rId1552" display="https://www.google.com/url?q=http://codeforces.com/problemset/gymProblem/101498/G&amp;sa=D&amp;ust=1605639552475000&amp;usg=AFQjCNGVYL4aeNIgFXpiS_5uO2JFOW4Jcw" xr:uid="{4A18FFAB-5E8F-4AD7-A1E1-3C3CDF0CD4DB}"/>
    <hyperlink ref="D3796" r:id="rId1553" display="https://www.google.com/url?q=https://github.com/MedoN11/CompetitiveProgramming/blob/master/CodeForces/GYM/CF10149-GYM-G.cpp&amp;sa=D&amp;ust=1605639552476000&amp;usg=AFQjCNFbYsp59Z7rV6b-qdNH7_-u2Tkx3A" xr:uid="{4D4CFC04-1F39-4CCE-8087-A158644AF50E}"/>
    <hyperlink ref="A2013" r:id="rId1554" display="https://www.google.com/url?q=http://codeforces.com/contest/980/problem/E&amp;sa=D&amp;ust=1605639552478000&amp;usg=AFQjCNEoHIWdV7Z9Rs1xvBZ5F6fh1wXAyw" xr:uid="{5F203720-DB2D-4293-A1DE-42EA4D36319E}"/>
    <hyperlink ref="A2014" r:id="rId1555" display="https://www.google.com/url?q=https://codeforces.com/contest/867/problem/E&amp;sa=D&amp;ust=1605639552478000&amp;usg=AFQjCNELPUshgvt-6rlyQ-Pqwuu91uSYPw" xr:uid="{D6F725F9-770D-45AB-AC91-A3D5E3089078}"/>
    <hyperlink ref="A2016" r:id="rId1556" display="https://www.google.com/url?q=http://codeforces.com/contest/467/problem/E&amp;sa=D&amp;ust=1605639552479000&amp;usg=AFQjCNHq63NtufGNXaBpU7nJ11QN6uEU_w" xr:uid="{85D583C7-E384-49A6-B5B5-4FCAE5A8E8F9}"/>
    <hyperlink ref="A2017" r:id="rId1557" display="https://www.google.com/url?q=http://codeforces.com/contest/807/problem/E&amp;sa=D&amp;ust=1605639552479000&amp;usg=AFQjCNGMxdSkw3nN1sa07gXOMPEDBJD8AA" xr:uid="{70710F23-124E-45B4-8E12-B43A524AED42}"/>
    <hyperlink ref="A2018" r:id="rId1558" display="https://www.google.com/url?q=http://codeforces.com/contest/946/problem/E&amp;sa=D&amp;ust=1605639552480000&amp;usg=AFQjCNEAsFHXtfzBN8kVrilkoXoi3nvJSA" xr:uid="{E931474C-C7D0-49A5-9AB2-D11AF53BABFF}"/>
    <hyperlink ref="D3238" r:id="rId1559" display="https://www.google.com/url?q=https://github.com/MedoN11/CompetitiveProgramming/blob/master/CodeForces/CF946-D12-E.cpp&amp;sa=D&amp;ust=1605639552480000&amp;usg=AFQjCNHpS-dr7XhN6Xd7kqtSwkd7E6Eyrg" xr:uid="{AC7ED7AF-9880-4528-A270-997CAE746851}"/>
    <hyperlink ref="A2019" r:id="rId1560" display="https://www.google.com/url?q=https://codeforces.com/contest/1054/problem/D&amp;sa=D&amp;ust=1605639552480000&amp;usg=AFQjCNFpesbUWxJctokKq_y888qV0nnNxw" xr:uid="{0CF8B149-06A6-4A18-ABA2-22C908BECB45}"/>
    <hyperlink ref="A2020" r:id="rId1561" display="https://www.google.com/url?q=http://codeforces.com/contest/908/problem/F&amp;sa=D&amp;ust=1605639552481000&amp;usg=AFQjCNGYGJxbjcxshv1zDeTQn6krRgtt1A" xr:uid="{E07F48BC-54F3-4736-9254-8227BEB6F935}"/>
    <hyperlink ref="D3240" r:id="rId1562" display="https://www.google.com/url?q=https://github.com/osamahatem/CompetitiveProgramming/blob/master/Codeforces/908F.%2520New%2520Year%2520and%2520Rainbow%2520Roads.cpp&amp;sa=D&amp;ust=1605639552481000&amp;usg=AFQjCNFp0eobrIkBnI-a7Lgr9sflTdHiDQ" xr:uid="{65FB533D-F607-42BD-9351-8DCD1B4009E6}"/>
    <hyperlink ref="A2021" r:id="rId1563" display="https://www.google.com/url?q=http://codeforces.com/contest/1166/problem/D&amp;sa=D&amp;ust=1605639552481000&amp;usg=AFQjCNFg0xiFYsmXDY6OXQGu_2_6NyWa0Q" xr:uid="{D16DD37B-6084-406A-9439-693BF56B3B68}"/>
    <hyperlink ref="D3242" r:id="rId1564" display="https://www.google.com/url?q=https://github.com/aboodJAD/CompetitiveProgramming/blob/master/TopCoder/SRM378-D2-1000.cpp&amp;sa=D&amp;ust=1605639552481000&amp;usg=AFQjCNGRbi0YQoVrTe8F-sgw4bq8WUaYgg" xr:uid="{E83E17DD-A9B4-4B6A-898C-1170B8954471}"/>
    <hyperlink ref="D3243" r:id="rId1565" display="https://www.google.com/url?q=https://github.com/thackerhelik/Topcoder/blob/master/SRM612-D2-1000.cpp&amp;sa=D&amp;ust=1605639552482000&amp;usg=AFQjCNHyPeKwp5YuXMqmNu97r9EXOqGrCw" xr:uid="{45F6D097-AAC5-4915-A35D-5C3A70E1DFA9}"/>
    <hyperlink ref="A2024" r:id="rId1566" display="https://www.google.com/url?q=https://agc025.contest.atcoder.jp/tasks/agc025_c&amp;sa=D&amp;ust=1605639552482000&amp;usg=AFQjCNFM-UEzvIhGBuMZyE6pMprMVEgEVw" xr:uid="{96856C69-46FF-4A03-93FF-D19C5C96941A}"/>
    <hyperlink ref="D3244" r:id="rId1567" display="https://www.google.com/url?q=https://github.com/MetalBall887/Competitive-Programming/blob/master/AtCoder/AtCoder025-AGC-C.cpp&amp;sa=D&amp;ust=1605639552482000&amp;usg=AFQjCNF0b4pvN0sdMJioKIVZRUONbQaM0g" xr:uid="{C1D508C1-5E4D-4217-A3AE-AB41D86B5F31}"/>
    <hyperlink ref="A2025" r:id="rId1568" display="https://www.google.com/url?q=https://codeforces.com/contest/1178/problem/E&amp;sa=D&amp;ust=1605639552482000&amp;usg=AFQjCNFBMoBLQMLLOdMUiGnZUPe-MvNUyQ" xr:uid="{C4CD261D-8F11-41C1-BDD3-96FB24046088}"/>
    <hyperlink ref="D3246" r:id="rId1569" display="https://www.google.com/url?q=https://github.com/MedoN11/CompetitiveProgramming/blob/master/TopCoder/SRM345-D1-500.java&amp;sa=D&amp;ust=1605639552483000&amp;usg=AFQjCNGMuxXrN1LQfKnqge-F79XBr2WoGg" xr:uid="{CBED2F72-3E69-4944-9DC5-BBDA98F3F26A}"/>
    <hyperlink ref="A2029" r:id="rId1570" display="https://www.google.com/url?q=https://www.codechef.com/problems/GHMC&amp;sa=D&amp;ust=1605639552484000&amp;usg=AFQjCNHhTu2AqIaKYWhEYscPXku3SIpbIw" xr:uid="{5A1D8E0F-2FA3-4E34-BF30-7AC4B1B3DAC9}"/>
    <hyperlink ref="A2030" r:id="rId1571" display="https://www.google.com/url?q=https://atcoder.jp/contests/abc140/tasks/abc140_f&amp;sa=D&amp;ust=1605639552484000&amp;usg=AFQjCNF2SbXhn5NfbdRPi-Tf42ub0LOyDw" xr:uid="{1D191BFD-1CAE-4C97-8120-053914C0BC19}"/>
    <hyperlink ref="D3250" r:id="rId1572" display="https://www.google.com/url?q=https://github.com/farmerboy95/CompetitiveProgramming/blob/master/AtCoder/AtCoder140-ABC-F.cpp&amp;sa=D&amp;ust=1605639552484000&amp;usg=AFQjCNHwAnDzl-frhn9m4l5gWXwjcFA0dg" xr:uid="{2D813EB8-D2DE-48D3-B129-0CC4B27B08B5}"/>
    <hyperlink ref="A2031" r:id="rId1573" display="https://www.google.com/url?q=http://codeforces.com/contest/550/problem/E&amp;sa=D&amp;ust=1605639552485000&amp;usg=AFQjCNGoD2RbXdLcDE0Sk4gNXhNVIlCDAQ" xr:uid="{3F844058-28A9-4C24-8C3E-8B78834746AA}"/>
    <hyperlink ref="A2033" r:id="rId1574" display="https://www.google.com/url?q=http://codeforces.com/contest/432/problem/E&amp;sa=D&amp;ust=1605639552486000&amp;usg=AFQjCNG1H4tezmTSM9Kc3Uqekhx7FBvp3A" xr:uid="{DF18119E-0BDC-487C-8B3B-6276978F1758}"/>
    <hyperlink ref="A2034" r:id="rId1575" display="https://www.google.com/url?q=http://codeforces.com/contest/627/problem/C&amp;sa=D&amp;ust=1605639552486000&amp;usg=AFQjCNFu9yQoj96uW-l4aDSUUcjkK5utNg" xr:uid="{B962AE9E-0CB3-4FE6-B248-087AA51EAEC5}"/>
    <hyperlink ref="A2035" r:id="rId1576" display="https://www.google.com/url?q=http://codeforces.com/problemset/problem/884/D&amp;sa=D&amp;ust=1605639552487000&amp;usg=AFQjCNGbIEjB88_PH6EQxs5m8izHZnn3ww" xr:uid="{8D755265-9B2B-4A4A-A886-92F4A7844A11}"/>
    <hyperlink ref="A2036" r:id="rId1577" display="https://www.google.com/url?q=https://www.codechef.com/problems/CENTREE&amp;sa=D&amp;ust=1605639552488000&amp;usg=AFQjCNE-uYNJzewQc2gT2YCSeN8k82iopA" xr:uid="{254A43DE-3A0A-4FFF-9679-46FA763EFE6E}"/>
    <hyperlink ref="A2041" r:id="rId1578" display="https://www.google.com/url?q=http://codeforces.com/contest/679/problem/B&amp;sa=D&amp;ust=1605639552489000&amp;usg=AFQjCNHW07bpavnskXR6niR2LMaDhC2sSw" xr:uid="{86BDBCD2-A9EC-41B5-98D3-B3C7637E8773}"/>
    <hyperlink ref="A2042" r:id="rId1579" display="https://www.google.com/url?q=http://codeforces.com/contest/518/problem/E&amp;sa=D&amp;ust=1605639552489000&amp;usg=AFQjCNFa3BA4a4_ws7TBkLCoCQsrmM1Ayw" xr:uid="{B06867C6-85C6-4D30-9848-64E65544ACFD}"/>
    <hyperlink ref="A2043" r:id="rId1580" display="https://www.google.com/url?q=http://codeforces.com/problemset/problem/463/E&amp;sa=D&amp;ust=1605639552490000&amp;usg=AFQjCNG_j16QmWwNwOc3BGEuunEvgUWiXw" xr:uid="{6935C784-0BC9-4E87-8B8A-5440FFD9E08B}"/>
    <hyperlink ref="A2044" r:id="rId1581" display="https://www.google.com/url?q=http://codeforces.com/contest/748/problem/E&amp;sa=D&amp;ust=1605639552490000&amp;usg=AFQjCNEzHUJ4wew-XkfM_BB0OaQhle4HAA" xr:uid="{953FED83-63F1-40BC-8A50-E56270BB9CD0}"/>
    <hyperlink ref="A2045" r:id="rId1582" display="https://www.google.com/url?q=http://codeforces.com/contest/416/problem/D&amp;sa=D&amp;ust=1605639552491000&amp;usg=AFQjCNHhkygi63q59A1sgV24zAnzZFkQrg" xr:uid="{B525379B-9B26-4B8B-A084-7341E8180CF7}"/>
    <hyperlink ref="A2049" r:id="rId1583" display="https://www.google.com/url?q=http://codeforces.com/contest/86/problem/B&amp;sa=D&amp;ust=1605639552492000&amp;usg=AFQjCNHBgaEQoYBcMeloJIPC5npSxUnvHQ" xr:uid="{256C4F39-9114-44E9-9AEF-72EDE6E04214}"/>
    <hyperlink ref="A2050" r:id="rId1584" display="https://www.google.com/url?q=http://codeforces.com/contest/746/problem/E&amp;sa=D&amp;ust=1605639552493000&amp;usg=AFQjCNEMUNhUET_Ip9JxC1Dlo_sMcsltug" xr:uid="{1A49BAB9-EE21-49F9-BE27-04642DBD9B10}"/>
    <hyperlink ref="A2053" r:id="rId1585" display="https://www.google.com/url?q=https://www.codechef.com/problems/XTGR&amp;sa=D&amp;ust=1605639552494000&amp;usg=AFQjCNHiYdDde598ywBWmcc0HAqCX4LI9g" xr:uid="{1693EE53-2E87-4A5D-8239-CD447EF76B53}"/>
    <hyperlink ref="A2055" r:id="rId1586" display="https://www.google.com/url?q=http://codeforces.com/contest/976/problem/E&amp;sa=D&amp;ust=1605639552495000&amp;usg=AFQjCNEb66iOOf-lWgcjSZiOCk1VrnGWIA" xr:uid="{6B1F123B-6BC9-4CE1-A54E-3A5CD20B6A86}"/>
    <hyperlink ref="A2056" r:id="rId1587" display="https://www.google.com/url?q=http://codeforces.com/gym/100956/attachments&amp;sa=D&amp;ust=1605639552495000&amp;usg=AFQjCNEGCk-6aVGuDfCcFtQ0c-ySEjLNuA" xr:uid="{3C4B2E00-7E03-466E-BA9E-396D16797143}"/>
    <hyperlink ref="D2895" r:id="rId1588" display="https://www.google.com/url?q=https://github.com/mostafa-saad/MyCompetitiveProgramming/blob/master/Codeforces/CF100956-GYM-D.txt&amp;sa=D&amp;ust=1605639552496000&amp;usg=AFQjCNHcGkhUq3OnfXEl5h_a6QDbwxS2lg" xr:uid="{5DB3C7A5-4A73-428A-B592-E4CC9DBE44EE}"/>
    <hyperlink ref="A2057" r:id="rId1589" display="https://www.google.com/url?q=http://codeforces.com/contest/427/problem/E&amp;sa=D&amp;ust=1605639552496000&amp;usg=AFQjCNFyCB4ZLKpJDIbbat-kw6eTm7W8xQ" xr:uid="{48EE9267-C372-4DC8-AC01-7C254D3E53DA}"/>
    <hyperlink ref="A2058" r:id="rId1590" display="https://www.google.com/url?q=https://codeforces.com/contest/965/problem/D&amp;sa=D&amp;ust=1605639552496000&amp;usg=AFQjCNGTZ-TFDORztxk9zbom71J3sD-WGg" xr:uid="{9B2B666E-3BF9-4A15-B779-B70977DF280E}"/>
    <hyperlink ref="A2059" r:id="rId1591" display="https://www.google.com/url?q=http://codeforces.com/contest/981/problem/D&amp;sa=D&amp;ust=1605639552497000&amp;usg=AFQjCNFlKtD1rh9s1ckB85sBw8HI95lH2g" xr:uid="{C494B711-D743-4991-836C-AA7C332A74E5}"/>
    <hyperlink ref="A2060" r:id="rId1592" display="https://www.google.com/url?q=http://codeforces.com/contest/794/problem/C&amp;sa=D&amp;ust=1605639552497000&amp;usg=AFQjCNHedav0DvQv3JLwyLIzW39vj7lgQw" xr:uid="{8C9D6939-5BC9-4D88-BB50-9CA182289919}"/>
    <hyperlink ref="D2645" r:id="rId1593" display="https://www.google.com/url?q=https://github.com/WaleedAbdelhakim/Competitive-Programming/blob/master/TopCoder/SRM392-D1-1000.cpp&amp;sa=D&amp;ust=1605639552499000&amp;usg=AFQjCNFGITEDb4_XBwKCd4Cibf43VBB5_w" xr:uid="{BF6CE634-4012-4081-BEB4-553FDE3D00F9}"/>
    <hyperlink ref="A2062" r:id="rId1594" display="https://www.google.com/url?q=https://codeforces.com/contest/1099/problem/D&amp;sa=D&amp;ust=1605639552500000&amp;usg=AFQjCNH7iUtjxBWvryEDPIRfrqn7ExQiqQ" xr:uid="{F2255FE7-9B7C-4388-B87A-D756836B1E7C}"/>
    <hyperlink ref="A2063" r:id="rId1595" display="https://www.google.com/url?q=https://www.codechef.com/LTIME64B/problems/BJUDGE&amp;sa=D&amp;ust=1605639552500000&amp;usg=AFQjCNHnwu2Fbrd4U6GqO-KJudhK1DzIhg" xr:uid="{6C3BDE4E-BF77-460B-8573-2F68E8BF64CA}"/>
    <hyperlink ref="A2064" r:id="rId1596" display="https://www.google.com/url?q=https://agc008.contest.atcoder.jp/tasks/agc008_d&amp;sa=D&amp;ust=1605639552501000&amp;usg=AFQjCNFpmkev5uhKgTanrdDDagYWeARUqg" xr:uid="{545578D9-A279-497A-8C85-1125A6836639}"/>
    <hyperlink ref="A2065" r:id="rId1597" display="https://www.google.com/url?q=https://codeforces.com/contest/1061/problem/A&amp;sa=D&amp;ust=1605639552501000&amp;usg=AFQjCNEZnCTyF5muElA70Fd45h8K4Wf2qw" xr:uid="{D29B8B0E-29FA-4854-BC42-3CE7B8E6D2BB}"/>
    <hyperlink ref="A2066" r:id="rId1598" display="https://www.google.com/url?q=http://codeforces.com/contest/549/problem/B&amp;sa=D&amp;ust=1605639552501000&amp;usg=AFQjCNHMhg3TKERJW_8kUaOxuJkpwwJOJg" xr:uid="{8090E434-AB2E-4466-93C0-B5672D31A45E}"/>
    <hyperlink ref="A2067" r:id="rId1599" display="https://www.google.com/url?q=http://codeforces.com/contest/1023/problem/E&amp;sa=D&amp;ust=1605639552502000&amp;usg=AFQjCNFH3JW_UXaWzZfKIvaJS28xt2jveg" xr:uid="{B2BD7B27-7785-4B71-88CB-D056CC61A45A}"/>
    <hyperlink ref="A2068" r:id="rId1600" display="https://www.google.com/url?q=http://codeforces.com/contest/104/problem/D&amp;sa=D&amp;ust=1605639552502000&amp;usg=AFQjCNHP3KGoyVf9joex3TaWLK3H4f_-Vg" xr:uid="{A847CDE6-BCE6-44CC-8F45-9C1CF139697C}"/>
    <hyperlink ref="A2069" r:id="rId1601" display="https://www.google.com/url?q=http://codeforces.com/contest/1043/problem/E&amp;sa=D&amp;ust=1605639552503000&amp;usg=AFQjCNFkrximYO4WwTUBPUKuER7s2Z2gig" xr:uid="{8CA52A76-AF07-4C7F-98F8-18F92D4B38D5}"/>
    <hyperlink ref="A2070" r:id="rId1602" display="https://www.google.com/url?q=http://codeforces.com/contest/447/problem/D&amp;sa=D&amp;ust=1605639552503000&amp;usg=AFQjCNF79dyCuAVMcCoIV8G7axVwKswcbA" xr:uid="{38622617-D809-42FF-9CE1-CB8B1614FCC4}"/>
    <hyperlink ref="A2071" r:id="rId1603" display="https://www.google.com/url?q=http://codeforces.com/contest/402/problem/D&amp;sa=D&amp;ust=1605639552503000&amp;usg=AFQjCNGVGHjGmOO_nCRE-H3G_vymshZQrw" xr:uid="{60D91940-6246-4393-A47F-69D7B621483C}"/>
    <hyperlink ref="A2072" r:id="rId1604" display="https://www.google.com/url?q=http://codeforces.com/contest/496/problem/D&amp;sa=D&amp;ust=1605639552504000&amp;usg=AFQjCNGiH96-tgSldlO3aP6pyjf9fj7QGQ" xr:uid="{2404DFB5-DA35-4C04-BA86-6B5682B9DCA1}"/>
    <hyperlink ref="A2073" r:id="rId1605" display="https://www.google.com/url?q=http://codeforces.com/contest/672/problem/D&amp;sa=D&amp;ust=1605639552504000&amp;usg=AFQjCNFhlzsKqad5Hp0yvpx58ZpJ0KCP2Q" xr:uid="{4C313BB6-EC22-45A4-84CF-6EBC9401A4EE}"/>
    <hyperlink ref="A2074" r:id="rId1606" display="https://www.google.com/url?q=https://codeforces.com/problemset/problem/128/D&amp;sa=D&amp;ust=1605639552505000&amp;usg=AFQjCNEyT4KO0czxzEOdr7oUaE9yE2j9yg" xr:uid="{1F0030A1-FD8C-4073-8047-5C4D5DED2A18}"/>
    <hyperlink ref="A2075" r:id="rId1607" display="https://www.google.com/url?q=https://codingcompetitions.withgoogle.com/codejam/round/0000000000007707/000000000004b7fe&amp;sa=D&amp;ust=1605639552505000&amp;usg=AFQjCNGynJp4mo6ZH69HOwQdAMjhUPoIow" xr:uid="{7AAFAAC8-D6B7-462F-8EFE-806F6A19504F}"/>
    <hyperlink ref="D2659" r:id="rId1608" display="https://www.google.com/url?q=https://github.com/tmwilliamlin168/CompetitiveProgramming/blob/master/GoogleCodeJam/18-R3-A.java&amp;sa=D&amp;ust=1605639552505000&amp;usg=AFQjCNFq8xdNHwzi9ni_f71EGIZJXpV8qA" xr:uid="{E882C461-5512-4612-B93C-DA0F3DFB15D0}"/>
    <hyperlink ref="A2076" r:id="rId1609" display="https://www.google.com/url?q=https://codeforces.com/contest/1082/problem/E&amp;sa=D&amp;ust=1605639552506000&amp;usg=AFQjCNFpFnK7cYfKynjBEl1f_0lgolIjcg" xr:uid="{695D013E-8C22-450C-BC1E-D289E1FF0725}"/>
    <hyperlink ref="A2084" r:id="rId1610" display="https://www.google.com/url?q=http://codeforces.com/contest/76/problem/B&amp;sa=D&amp;ust=1605639552506000&amp;usg=AFQjCNEnE6nadB3PewtG58E-3rokS9B0ww" xr:uid="{6ECE5536-5BDD-4AE8-AC89-558E02564CC0}"/>
    <hyperlink ref="A2085" r:id="rId1611" display="https://www.google.com/url?q=http://codeforces.com/contest/897/problem/D&amp;sa=D&amp;ust=1605639552507000&amp;usg=AFQjCNHGvxsxepx9c3cTFgj-zwYFpWJORw" xr:uid="{05DA9440-02E7-42D4-9143-E7DE3C787F02}"/>
    <hyperlink ref="A2086" r:id="rId1612" display="https://www.google.com/url?q=http://codeforces.com/contest/135/problem/C&amp;sa=D&amp;ust=1605639552507000&amp;usg=AFQjCNHMpVZhGeDU94VFq7Wi0E9PNvDwPQ" xr:uid="{5DAA57F0-1120-4B6A-86F8-92C320BAEC49}"/>
    <hyperlink ref="A2087" r:id="rId1613" display="https://www.google.com/url?q=https://codeforces.com/contest/159/problem/E&amp;sa=D&amp;ust=1605639552508000&amp;usg=AFQjCNHPfWe7GJdDNs0VB9S6PlSgiA-_8g" xr:uid="{BB18B706-EE26-4369-9F28-E21970EE459A}"/>
    <hyperlink ref="A2088" r:id="rId1614" display="https://www.google.com/url?q=http://codeforces.com/contest/794/problem/C&amp;sa=D&amp;ust=1605639552508000&amp;usg=AFQjCNEOzaQ5ND--F4Oog1nmDRGmwqDIow" xr:uid="{EC2FC9B7-ABF6-4948-86B1-7F7E662636E2}"/>
    <hyperlink ref="A2089" r:id="rId1615" display="https://www.google.com/url?q=http://codeforces.com/contest/515/problem/D&amp;sa=D&amp;ust=1605639552509000&amp;usg=AFQjCNG54aRx5Emq7TCDYNQSYZSCQGGzbg" xr:uid="{5DBAC51A-709E-45A9-B514-18E25824B6D0}"/>
    <hyperlink ref="A2090" r:id="rId1616" display="https://www.google.com/url?q=http://codeforces.com/problemset/problem/893/D&amp;sa=D&amp;ust=1605639552510000&amp;usg=AFQjCNGYXK1xFaN9WW4WvNzrV3YtECa9qg" xr:uid="{97A4E37C-6D2B-45E9-97DE-9784398939F5}"/>
    <hyperlink ref="A2092" r:id="rId1617" display="https://www.google.com/url?q=https://agc003.contest.atcoder.jp/tasks/agc003_b&amp;sa=D&amp;ust=1605639552511000&amp;usg=AFQjCNEbRhQi1VktjCqzXpP5vQZ1deTNBQ" xr:uid="{AAE820F6-1BFF-4BC4-ADFA-2E38120C041C}"/>
    <hyperlink ref="A2093" r:id="rId1618" display="https://www.google.com/url?q=https://codeforces.com/gym/102215/problem/I&amp;sa=D&amp;ust=1605639552511000&amp;usg=AFQjCNHbpsmfEvI3k05msb6Y7wkF3b0bqw" xr:uid="{6A9F516F-53BB-48D5-9ADA-6D64A01AE4A6}"/>
    <hyperlink ref="A2095" r:id="rId1619" display="https://www.google.com/url?q=http://codeforces.com/contest/670/problem/F&amp;sa=D&amp;ust=1605639552512000&amp;usg=AFQjCNFMMxuRYQIDYNDk5V9yOyxsOj0zKA" xr:uid="{59E547B1-16E5-436F-87CA-0145B8B8E24E}"/>
    <hyperlink ref="A2096" r:id="rId1620" display="https://www.google.com/url?q=http://codeforces.com/contest/238/problem/B&amp;sa=D&amp;ust=1605639552513000&amp;usg=AFQjCNFj59PNS_iBK4M5aSdDO0-lAgCY_w" xr:uid="{CC8006E1-76A4-4518-A46D-B027312F3CCB}"/>
    <hyperlink ref="A2098" r:id="rId1621" display="https://www.google.com/url?q=http://codeforces.com/gym/101341/problem/E&amp;sa=D&amp;ust=1605639552514000&amp;usg=AFQjCNELHVgVJG-gq_OvvtW9BK9ki0hTTg" xr:uid="{F764710C-3EB6-4151-B196-464E90DD5E7B}"/>
    <hyperlink ref="D1879" r:id="rId1622" display="https://www.google.com/url?q=https://ideone.com/AwNNMM&amp;sa=D&amp;ust=1605639552514000&amp;usg=AFQjCNHdXuEANVDDwG5G-SoDffnzyzoNfg" xr:uid="{D6BDD380-895F-4565-9775-25157D3A8C01}"/>
    <hyperlink ref="A2099" r:id="rId1623" display="https://www.google.com/url?q=http://codeforces.com/contest/922/problem/D&amp;sa=D&amp;ust=1605639552515000&amp;usg=AFQjCNF4QY_OzVFF2kYqTQwDTWY9Nq9ULA" xr:uid="{1E05E5ED-945D-47DC-AB54-48D725A8D46D}"/>
    <hyperlink ref="A2100" r:id="rId1624" display="https://www.google.com/url?q=https://beta.atcoder.jp/contests/abc009/tasks/abc009_3&amp;sa=D&amp;ust=1605639552515000&amp;usg=AFQjCNEZOJk0Dzos5UenM4dG1KflUsGtSw" xr:uid="{BD4F4FBA-60DB-4705-949B-43ECA3ABF479}"/>
    <hyperlink ref="D1882" r:id="rId1625" display="https://www.google.com/url?q=https://github.com/Ownography/CP/blob/master/SPOJ%2520ROADTRIP&amp;sa=D&amp;ust=1605639552516000&amp;usg=AFQjCNFtqITKooG7lfbekcbWdEN2v6rwcQ" xr:uid="{AC1E872C-626B-4519-8F1C-8BFBEFAE1BBB}"/>
    <hyperlink ref="A2102" r:id="rId1626" display="https://www.google.com/url?q=http://codeforces.com/contest/709/problem/D&amp;sa=D&amp;ust=1605639552516000&amp;usg=AFQjCNEwgxxaaKIF-3CHBgYwXrQhFtIHOA" xr:uid="{B7950A28-4C94-433F-990E-FFFB627BFFB7}"/>
    <hyperlink ref="A2103" r:id="rId1627" display="https://www.google.com/url?q=http://codeforces.com/contest/141/problem/C&amp;sa=D&amp;ust=1605639552517000&amp;usg=AFQjCNGMkJNVZayY_mtU2-JsfQGsdsx71w" xr:uid="{44B188D6-96ED-4AA5-A378-B01C8C19C4D6}"/>
    <hyperlink ref="A2104" r:id="rId1628" display="https://www.google.com/url?q=https://codeforces.com/gym/101917/problem/B&amp;sa=D&amp;ust=1605639552517000&amp;usg=AFQjCNH12mlWavLy0Ad18xHqJ2ZpXJScHQ" xr:uid="{4E43C0A7-3E56-4FAE-B34D-49878C4422C8}"/>
    <hyperlink ref="D1885" r:id="rId1629" display="https://www.google.com/url?q=https://github.com/Huvok/CompetitiveProgramming/blob/master/Codeforces/CF101917-D12-B.cpp&amp;sa=D&amp;ust=1605639552518000&amp;usg=AFQjCNHMAQNNgLecBnQZK5DZQbzj6_iVCA" xr:uid="{AD320C4B-3295-4882-81FF-79D79A6F578B}"/>
    <hyperlink ref="A2105" r:id="rId1630" display="https://www.google.com/url?q=https://codeforces.com/contest/1256/problem/F&amp;sa=D&amp;ust=1605639552518000&amp;usg=AFQjCNGcSIr6_G6xGwm4POQHfkndu-MgYQ" xr:uid="{EA88F44C-05D5-4D2F-BD74-2E301702E647}"/>
    <hyperlink ref="A2106" r:id="rId1631" display="https://www.google.com/url?q=http://codeforces.com/contest/94/problem/D&amp;sa=D&amp;ust=1605639552519000&amp;usg=AFQjCNEpYn7d0jfelDQ7zilCZLtYWpDN-w" xr:uid="{9CA21BB0-6955-41CC-8826-4073267B3C2C}"/>
    <hyperlink ref="A2107" r:id="rId1632" display="https://www.google.com/url?q=https://codeforces.com/contest/1183/problem/G&amp;sa=D&amp;ust=1605639552519000&amp;usg=AFQjCNF61iXP7M-aTEcRH8IAAUDFfCusLg" xr:uid="{E06859EC-E5E5-484D-AD7C-2CA4BC371D0C}"/>
    <hyperlink ref="A2108" r:id="rId1633" display="https://www.google.com/url?q=https://codeforces.com/contest/1175/problem/D&amp;sa=D&amp;ust=1605639552520000&amp;usg=AFQjCNGdAT0hwLUVARrMXytxDCkY1GKmmw" xr:uid="{84E47B01-AB0F-487C-808F-49BB2DE930DE}"/>
    <hyperlink ref="A2109" r:id="rId1634" display="https://www.google.com/url?q=http://codeforces.com/contest/313/problem/C&amp;sa=D&amp;ust=1605639552520000&amp;usg=AFQjCNGj3CFf96iSKHAYjnOX9si6IW2_nA" xr:uid="{D990C377-05FB-4AC5-8BE4-55F823AA7D46}"/>
    <hyperlink ref="A2110" r:id="rId1635" display="https://www.google.com/url?q=https://codeforces.com/gym/101917/problem/D&amp;sa=D&amp;ust=1605639552521000&amp;usg=AFQjCNGwNjASPxiWvDsu0mwCPFGjxEzPXg" xr:uid="{B867221C-1DE9-4033-945F-63F547399BFC}"/>
    <hyperlink ref="D1891" r:id="rId1636" display="https://www.google.com/url?q=https://github.com/Huvok/CompetitiveProgramming/blob/master/Codeforces/CF101917-D12-D.cpp&amp;sa=D&amp;ust=1605639552521000&amp;usg=AFQjCNE-Px2C-DY0-YjjYQzDDAuybV8deg" xr:uid="{CF591B40-3FCE-44D7-865E-7D8F7FA45291}"/>
    <hyperlink ref="A2111" r:id="rId1637" display="https://www.google.com/url?q=https://codeforces.com/contest/1153/problem/D&amp;sa=D&amp;ust=1605639552521000&amp;usg=AFQjCNH1w_LdD5_lmN7mzCuLWGj4SAtmtg" xr:uid="{3B0F1D0A-0EA1-41F5-AA21-FCE7572BCAB5}"/>
    <hyperlink ref="A2112" r:id="rId1638" display="https://www.google.com/url?q=http://codeforces.com/contest/737/problem/C&amp;sa=D&amp;ust=1605639552522000&amp;usg=AFQjCNGCtaWVKWP53rdQZQgS44DU6GUSyA" xr:uid="{B0DAE50B-E0EE-446F-8CB5-43516B262B6A}"/>
    <hyperlink ref="A2113" r:id="rId1639" display="https://www.google.com/url?q=http://codeforces.com/contest/465/problem/C&amp;sa=D&amp;ust=1605639552522000&amp;usg=AFQjCNFeTyBjB1I-lce2GdlgW15t2F7Bqw" xr:uid="{1257368A-E9E7-4531-9A15-137054202B96}"/>
    <hyperlink ref="A2114" r:id="rId1640" display="https://www.google.com/url?q=http://codeforces.com/problemset/gymProblem/101149/G&amp;sa=D&amp;ust=1605639552524000&amp;usg=AFQjCNGNk33wzu3rhDpfhxY2tWpVJ2DJ9g" xr:uid="{4FA37711-1568-41EF-9983-6C67A632A60F}"/>
    <hyperlink ref="D1895" r:id="rId1641" display="https://www.google.com/url?q=https://github.com/BRAINOOOO/CompetitiveProgramming/blob/3057480d3a311cc86a6d64546655a9bb4017cbd6/CF/CF101149-GYM-G.Cpp&amp;sa=D&amp;ust=1605639552524000&amp;usg=AFQjCNG5iVKuhEL3zZCo6m4gxWxl_4IRoA" xr:uid="{63E1CD30-0AD1-4D1D-925A-358238595F7D}"/>
    <hyperlink ref="A2115" r:id="rId1642" display="https://www.google.com/url?q=http://codeforces.com/contest/1012/problem/A&amp;sa=D&amp;ust=1605639552525000&amp;usg=AFQjCNHhcpJn9TWzNQjUgTtVvrVv5K3sVg" xr:uid="{0433EC7A-5CE3-4480-910D-7BD812B45723}"/>
    <hyperlink ref="A2116" r:id="rId1643" display="https://www.google.com/url?q=https://agc002.contest.atcoder.jp/tasks/agc002_c&amp;sa=D&amp;ust=1605639552525000&amp;usg=AFQjCNHeWKpw9ukYErvLuoaNEx0laqyZ_g" xr:uid="{2593E024-4C2C-4705-88F4-5663758B4DFF}"/>
    <hyperlink ref="D1897" r:id="rId1644" display="https://www.google.com/url?q=https://github.com/Triplem5ds/Competitve-Programming/blob/master/atcoder/AtCoder002-AGC-C.cpp&amp;sa=D&amp;ust=1605639552525000&amp;usg=AFQjCNEOT2QHkhsl4Pk1TbCjp6_b_IQQAQ" xr:uid="{BC43B06D-4C2D-4DDC-8944-95AC51170F5D}"/>
    <hyperlink ref="A2117" r:id="rId1645" display="https://www.google.com/url?q=http://codeforces.com/problemsets/acmsguru/problem/99999/321&amp;sa=D&amp;ust=1605639552526000&amp;usg=AFQjCNFKhRbcvGwmNGMxpv6B3nyn8XG4cg" xr:uid="{9A8585A5-CB0E-4748-B20B-9B68044BD346}"/>
    <hyperlink ref="D1898" r:id="rId1646" display="https://www.google.com/url?q=https://github.com/mostafa-saad/MyCompetitiveProgramming/blob/master/SGU/SGU_321.txt&amp;sa=D&amp;ust=1605639552526000&amp;usg=AFQjCNGsqMYmaj8p4aPkp2s7W67SocDHZQ" xr:uid="{CD2B9B2B-EB48-420E-A31F-74BAAE601207}"/>
    <hyperlink ref="A2118" r:id="rId1647" display="https://www.google.com/url?q=http://codeforces.com/contest/242/problem/D&amp;sa=D&amp;ust=1605639552527000&amp;usg=AFQjCNG-98g3YiVmdenlRIfdJ0QTVEtz5A" xr:uid="{46104F96-515B-4BF5-A1FE-900BC52B5CD4}"/>
    <hyperlink ref="A2120" r:id="rId1648" display="https://www.google.com/url?q=http://codeforces.com/contest/1038/problem/D&amp;sa=D&amp;ust=1605639552528000&amp;usg=AFQjCNGQiJU-YLu_hMXDbJ7EDKJn7PDtuA" xr:uid="{B70B33F4-1902-423E-A8DA-0AEA2F1697AD}"/>
    <hyperlink ref="D1902" r:id="rId1649" display="https://www.google.com/url?q=https://github.com/yazanKabbany/CompetitiveProgramming/blob/master/UVA/UVA%252012325.cpp&amp;sa=D&amp;ust=1605639552528000&amp;usg=AFQjCNEAQRE9d0Q3YK-aX-K1kiWnaY3yZg" xr:uid="{228FA64A-7C70-44E9-86DB-D2D4FF9E1CB4}"/>
    <hyperlink ref="A2124" r:id="rId1650" display="https://www.google.com/url?q=https://www.facebook.com/hackercup/problem/2448144345414246/&amp;sa=D&amp;ust=1605639552529000&amp;usg=AFQjCNHYSZLi4G6NeH_xZSymlxQyzTZ3Lw" xr:uid="{5A874B68-8635-42B0-A33F-97DAB8941B59}"/>
    <hyperlink ref="A2125" r:id="rId1651" display="https://www.google.com/url?q=http://codeforces.com/contest/239/problem/D&amp;sa=D&amp;ust=1605639552530000&amp;usg=AFQjCNGztNqXrnFb9BPDc8tC9BoIGyxgkg" xr:uid="{C7038392-9B36-4953-8BD3-849B577BB390}"/>
    <hyperlink ref="D1906" r:id="rId1652" display="https://www.google.com/url?q=https://github.com/MedoN11/CompetitiveProgramming/blob/master/CodeForces/CF239-D2-D.java&amp;sa=D&amp;ust=1605639552530000&amp;usg=AFQjCNHq6yL8h-I5_waTh9cmdrQBeB9VQg" xr:uid="{6792794F-BCAF-4CF3-B435-59AA170A55C2}"/>
    <hyperlink ref="D1909" r:id="rId1653" display="https://www.google.com/url?q=https://github.com/mostafa-saad/MyCompetitiveProgramming/blob/master/SPOJ/SPOJ_SAM.txt&amp;sa=D&amp;ust=1605639552532000&amp;usg=AFQjCNEwlGh2CnYFUwrjrH_W8pxfZ7golA" xr:uid="{7BBDD7F0-3954-4BA8-A613-C38BAD8D8D92}"/>
    <hyperlink ref="A2129" r:id="rId1654" display="https://www.google.com/url?q=http://codeforces.com/contest/954/problem/E&amp;sa=D&amp;ust=1605639552532000&amp;usg=AFQjCNEvg3vR0h_0GpT6e5ZBlKq5nv6H0w" xr:uid="{A3AC4922-FE82-48BA-AEC5-1511F4523F43}"/>
    <hyperlink ref="A2130" r:id="rId1655" display="https://www.google.com/url?q=http://codeforces.com/contest/227/problem/D&amp;sa=D&amp;ust=1605639552533000&amp;usg=AFQjCNGGnUbruj6KC5NavvmKnFmobQU9bA" xr:uid="{CFA866E7-F904-4B00-A204-FBE19B9A4EEE}"/>
    <hyperlink ref="A2131" r:id="rId1656" display="https://www.google.com/url?q=http://codeforces.com/gym/100883/problem/h?mobile%3Dtrue&amp;sa=D&amp;ust=1605639552533000&amp;usg=AFQjCNHGXfNyVtcLu9KpeqMD5CZNGdTxsw" xr:uid="{C21F131F-0F85-4E42-A8C6-837D37E262BD}"/>
    <hyperlink ref="D1912" r:id="rId1657" display="https://www.google.com/url?q=https://github.com/aviroop123/CompetitiveProgramming/blob/master/CodeForces/CF100883-GYM-C.cpp&amp;sa=D&amp;ust=1605639552533000&amp;usg=AFQjCNFmdiLJsgB4C1ew2h1Dr_mi8Z6sLQ" xr:uid="{6E9F53C8-CF6C-4450-94C7-CC32AD01DA4F}"/>
    <hyperlink ref="A2132" r:id="rId1658" display="https://www.google.com/url?q=http://codeforces.com/problemset/gymProblem/101498/F&amp;sa=D&amp;ust=1605639552534000&amp;usg=AFQjCNH-ase64ugVZnsKgIK-EYJRwXzoEg" xr:uid="{66335E1D-F18F-42AF-857F-2098597B210A}"/>
    <hyperlink ref="D1913" r:id="rId1659" display="https://www.google.com/url?q=https://github.com/goswami-rahul/competitive-coding/blob/master/CompetitiveProgramming/codeforces/CF10149-GYM-F.cpp&amp;sa=D&amp;ust=1605639552534000&amp;usg=AFQjCNGovA5s03KBBc7QOEpuOmrCJ0JkGw" xr:uid="{8EB5DABC-2829-4B34-ACE4-614C72E13858}"/>
    <hyperlink ref="A2133" r:id="rId1660" display="https://www.google.com/url?q=http://codeforces.com/gym/101492/problem/E&amp;sa=D&amp;ust=1605639552534000&amp;usg=AFQjCNEIyTEXSKOFBdzz_aytwOUxwft1jg" xr:uid="{1D57CC4D-9E72-43C8-B29B-7031487867F4}"/>
    <hyperlink ref="D1914" r:id="rId1661" display="https://www.google.com/url?q=https://github.com/Mahmoud3ali/CompetitiveProgramming/blob/master/CodeForces/CF101492-GYM-E.cpp&amp;sa=D&amp;ust=1605639552535000&amp;usg=AFQjCNEDANTcpiloIURAf4-0jTmxP8TnPQ" xr:uid="{6BA10737-B7A4-454B-A251-4504D9D3C30C}"/>
    <hyperlink ref="A2134" r:id="rId1662" display="https://www.google.com/url?q=http://codeforces.com/contest/215/problem/D&amp;sa=D&amp;ust=1605639552535000&amp;usg=AFQjCNGfKh8KGfSTbKyRjQ9GwxXehIAP0A" xr:uid="{D94AD0CB-3226-474D-B825-7A95351FAE88}"/>
    <hyperlink ref="A2135" r:id="rId1663" display="https://www.google.com/url?q=http://codeforces.com/contest/738/problem/E&amp;sa=D&amp;ust=1605639552537000&amp;usg=AFQjCNH8ht_egiMdqL2nSzHT-fx0W3ER5w" xr:uid="{15CB05BA-724F-44A4-BCA0-D367730F0C49}"/>
    <hyperlink ref="A2136" r:id="rId1664" display="https://www.google.com/url?q=http://codeforces.com/contest/898/problem/E&amp;sa=D&amp;ust=1605639552537000&amp;usg=AFQjCNFDtRUBkYNO5r9akVQJp3H2i0NkfA" xr:uid="{839053D6-03CC-4E62-AB3B-AB68138A82AD}"/>
    <hyperlink ref="A2137" r:id="rId1665" display="https://www.google.com/url?q=http://codeforces.com/contest/950/problem/C&amp;sa=D&amp;ust=1605639552538000&amp;usg=AFQjCNFAHIlqhL1-xFx3cz9V9hWceUR8aw" xr:uid="{AE3E68F1-8677-4784-92E8-7F54CDD8FE66}"/>
    <hyperlink ref="A2138" r:id="rId1666" display="https://www.google.com/url?q=http://codeforces.com/contest/978/problem/G&amp;sa=D&amp;ust=1605639552538000&amp;usg=AFQjCNGIkDwQAfcDo_FBZL7jAADyQ-ZAEQ" xr:uid="{27C61BDF-0415-4453-9AE3-ABE5051C7036}"/>
    <hyperlink ref="A2139" r:id="rId1667" display="https://www.google.com/url?q=https://csacademy.com/contest/round-34/task/minimize-max-diff/&amp;sa=D&amp;ust=1605639552539000&amp;usg=AFQjCNHFG_x9HV8XDY0mgdvsLANldc8-TQ" xr:uid="{C81A4B21-F5E3-498A-A9B9-338B26B3D7C9}"/>
    <hyperlink ref="D1923" r:id="rId1668" display="https://www.google.com/url?q=https://github.com/AliOsm/CompetitiveProgramming/blob/master/Timus/1515.%2520Cashmaster.cpp&amp;sa=D&amp;ust=1605639552540000&amp;usg=AFQjCNESN_tM38hK8YOelVqaBwJGbJhs3g" xr:uid="{DE1A7C43-F3EC-42CC-B45D-16D3A918F866}"/>
    <hyperlink ref="A2143" r:id="rId1669" display="https://www.google.com/url?q=http://codeforces.com/contest/131/problem/E&amp;sa=D&amp;ust=1605639552540000&amp;usg=AFQjCNE1_DyMq_4XmXLsFOmRvd3LO5Psig" xr:uid="{71730923-5712-4261-B53B-153906864727}"/>
    <hyperlink ref="A2144" r:id="rId1670" display="https://www.google.com/url?q=http://codeforces.com/contest/551/problem/C&amp;sa=D&amp;ust=1605639552541000&amp;usg=AFQjCNHxExiORr559INjScnHD_FcMJRfRQ" xr:uid="{9282DDC6-B5C4-4F30-97DE-79F25E2BCA77}"/>
    <hyperlink ref="A2145" r:id="rId1671" display="https://www.google.com/url?q=http://codeforces.com/contest/286/problem/C&amp;sa=D&amp;ust=1605639552541000&amp;usg=AFQjCNFvZTLHzIK9dgCf-qcByH0CnTbAHw" xr:uid="{C696FF5B-E004-40A9-9E11-2524B131486A}"/>
    <hyperlink ref="A2146" r:id="rId1672" display="https://www.google.com/url?q=https://uva.onlinejudge.org/index.php?option%3Dcom_onlinejudge%26Itemid%3D8%26page%3Dshow_problem%26problem%3D4470&amp;sa=D&amp;ust=1605639552542000&amp;usg=AFQjCNH6Ec-40kVLn8VZWLlK8sXjv9_0FA" xr:uid="{7DB76871-C4D7-4291-9C05-82BDB815334C}"/>
    <hyperlink ref="A2148" r:id="rId1673" display="https://www.google.com/url?q=http://codeforces.com/contest/358/problem/C&amp;sa=D&amp;ust=1605639552543000&amp;usg=AFQjCNE8k8LHh6Hvu3Uk9Wi9xtcE6NXXWw" xr:uid="{64B53D21-75D2-4D15-BD2B-63EE719BF192}"/>
    <hyperlink ref="A2149" r:id="rId1674" display="https://www.google.com/url?q=http://codeforces.com/contest/917/problem/A&amp;sa=D&amp;ust=1605639552543000&amp;usg=AFQjCNFgnyC-itimASOxC0auiErrR1rWjw" xr:uid="{232EFFE7-9D2D-4D1F-8B91-5231EF83724F}"/>
    <hyperlink ref="A2150" r:id="rId1675" display="https://www.google.com/url?q=http://codeforces.com/contest/1062/problem/C&amp;sa=D&amp;ust=1605639552544000&amp;usg=AFQjCNFn1CgtC97LnP8CnvP1Uj9QbgD5-g" xr:uid="{862731EB-1DAC-4C36-AE5F-2F5B896E2119}"/>
    <hyperlink ref="A2151" r:id="rId1676" display="https://www.google.com/url?q=http://codeforces.com/contest/476/problem/D&amp;sa=D&amp;ust=1605639552544000&amp;usg=AFQjCNEGfoL6zJ3hbtuN_pAnY0O1ywG7Pw" xr:uid="{F2FFDC78-B1AA-44AA-B1EC-57291058F1C6}"/>
    <hyperlink ref="D1934" r:id="rId1677" display="https://www.google.com/url?q=https://github.com/AliOsm/CompetitiveProgramming/blob/master/UVA/13032%2520-%2520Marbles%2520in%2520Jars.cpp&amp;sa=D&amp;ust=1605639552545000&amp;usg=AFQjCNHIIN_Wc5DGyrPCV3Asg6o3Da14ag" xr:uid="{40C6C5BC-C3D9-405A-8F6A-FB7906A66199}"/>
    <hyperlink ref="A2155" r:id="rId1678" display="https://www.google.com/url?q=http://codeforces.com/contest/546/problem/D&amp;sa=D&amp;ust=1605639552546000&amp;usg=AFQjCNHnD19u_NsRjtlLFeHwuKA9CeQXcA" xr:uid="{D80AD9C8-22A0-4298-A6CA-74F121DAD891}"/>
    <hyperlink ref="A2158" r:id="rId1679" display="https://www.google.com/url?q=http://codeforces.com/contest/732/problem/E&amp;sa=D&amp;ust=1605639552547000&amp;usg=AFQjCNEvh6fChA9VVxLsUEtNszzpW6Nwrg" xr:uid="{7DAF8789-1F74-4AE8-A98A-C069DC1A2730}"/>
    <hyperlink ref="A2159" r:id="rId1680" display="https://www.google.com/url?q=https://agc003.contest.atcoder.jp/tasks/agc003_c&amp;sa=D&amp;ust=1605639552548000&amp;usg=AFQjCNFEfnS8DHYh6uyZFNVWFO3DIukD_A" xr:uid="{CE9C2FC7-B7C7-43E2-882B-C9A8DE9DBC65}"/>
    <hyperlink ref="A2162" r:id="rId1681" display="https://www.google.com/url?q=http://codeforces.com/contest/779/problem/C&amp;sa=D&amp;ust=1605639552548000&amp;usg=AFQjCNFCJ2JeIWZJiatuWPfyto1Ay7q43Q" xr:uid="{462350FB-4A27-4970-97AF-1D8357D4EA28}"/>
    <hyperlink ref="A2167" r:id="rId1682" display="https://www.google.com/url?q=http://codeforces.com/contest/222/problem/D&amp;sa=D&amp;ust=1605639552551000&amp;usg=AFQjCNHN80UBesZT2ZPSdT7ymeOwT66IqA" xr:uid="{CEB596BA-8995-4B76-A151-BD86CBD778C3}"/>
    <hyperlink ref="A2168" r:id="rId1683" display="https://www.google.com/url?q=http://codeforces.com/contest/529/problem/B&amp;sa=D&amp;ust=1605639552551000&amp;usg=AFQjCNGwfpElKm2mboygx6KfHTiBMqIiWw" xr:uid="{29C337B5-ABE8-4027-9529-C10FAB388F74}"/>
    <hyperlink ref="A2169" r:id="rId1684" display="https://www.google.com/url?q=http://codeforces.com/contest/797/problem/C&amp;sa=D&amp;ust=1605639552552000&amp;usg=AFQjCNEexCl7cxPHgGB-5yOMTRJ0gHbmuA" xr:uid="{B69A33BA-FF17-40F8-8710-E827CE9F361A}"/>
    <hyperlink ref="A2171" r:id="rId1685" display="https://www.google.com/url?q=https://codeforces.com/contest/1087/problem/D&amp;sa=D&amp;ust=1605639552552000&amp;usg=AFQjCNH_Z8JpGzbqdazF02Oku_bVkukEhQ" xr:uid="{9EB86429-3191-4320-8F7F-65862C680FCB}"/>
    <hyperlink ref="D1277" r:id="rId1686" display="https://www.google.com/url?q=https://github.com/thackerhelik/ZOJ/blob/master/1200.cpp&amp;sa=D&amp;ust=1605639552553000&amp;usg=AFQjCNH0pYeQrscFV0wmWqWqmBwCifBQrg" xr:uid="{334CC27E-DAF1-4A5A-98DB-C270A6DF947D}"/>
    <hyperlink ref="A2174" r:id="rId1687" display="https://www.google.com/url?q=http://codeforces.com/contest/729/problem/D&amp;sa=D&amp;ust=1605639552554000&amp;usg=AFQjCNHwn7dxS7k0wQOhHr2QhdBb8mxZzg" xr:uid="{D80C2918-CE38-4E6F-9858-EA09003927E7}"/>
    <hyperlink ref="A2175" r:id="rId1688" display="https://www.google.com/url?q=http://codeforces.com/contest/519/problem/D&amp;sa=D&amp;ust=1605639552554000&amp;usg=AFQjCNHYPpD3CD67ARqv1g5vscH1FPSEaQ" xr:uid="{07E4CE86-1FCA-431E-8CA9-CCE803DAFCB1}"/>
    <hyperlink ref="A2176" r:id="rId1689" display="https://www.google.com/url?q=http://codeforces.com/contest/486/problem/C&amp;sa=D&amp;ust=1605639552554000&amp;usg=AFQjCNFw-cAF1_5Uga08vP5TvL0fXc_zTQ" xr:uid="{3C3C74AC-C210-485C-8A73-1B9E2E022466}"/>
    <hyperlink ref="D1283" r:id="rId1690" display="https://www.google.com/url?q=https://github.com/ahmedsamir221/CompetitiveProgramming/blob/master/SPOJ/SPOJ%2520KAOS.cpp&amp;sa=D&amp;ust=1605639552555000&amp;usg=AFQjCNEhkEO59zEBCnLeN_iTfr79w1enfg" xr:uid="{8192BEC2-5957-4A43-B45F-F5E8FCD43366}"/>
    <hyperlink ref="A2179" r:id="rId1691" display="https://www.google.com/url?q=http://codeforces.com/contest/584/problem/C&amp;sa=D&amp;ust=1605639552555000&amp;usg=AFQjCNEPkQLLx0t5OcacNtNC5-Dwhvc5Bw" xr:uid="{E8E45343-B6F6-4B30-8830-60C08395C9E0}"/>
    <hyperlink ref="A2180" r:id="rId1692" display="https://www.google.com/url?q=http://codeforces.com/contest/735/problem/C&amp;sa=D&amp;ust=1605639552556000&amp;usg=AFQjCNF_Ns5fhGM7Ha-j1oyfGgIqwqh4lg" xr:uid="{44F485DB-5635-43F8-B278-AE2B5FB3283B}"/>
    <hyperlink ref="A2181" r:id="rId1693" display="https://www.google.com/url?q=http://codeforces.com/contest/230/problem/C&amp;sa=D&amp;ust=1605639552556000&amp;usg=AFQjCNHEpl9x5os8yzMODJ8iYPdyQNjKuQ" xr:uid="{A7B4FE9E-11D1-46CB-916E-A60AFBDB4116}"/>
    <hyperlink ref="A2182" r:id="rId1694" display="https://www.google.com/url?q=http://codeforces.com/contest/234/problem/H&amp;sa=D&amp;ust=1605639552557000&amp;usg=AFQjCNFeUGdyDrBlH1cdcvZ0T-NUfhQOVw" xr:uid="{825B9B56-E9C4-47B0-B990-0C0BEB01BFDD}"/>
    <hyperlink ref="A2183" r:id="rId1695" display="https://www.google.com/url?q=http://codeforces.com/contest/384/problem/C&amp;sa=D&amp;ust=1605639552557000&amp;usg=AFQjCNFXrJfi8ieggRndCdakibBzd4BalQ" xr:uid="{C2FCD8A9-6325-4C11-ABA9-2752C2DE399D}"/>
    <hyperlink ref="A2184" r:id="rId1696" display="https://www.google.com/url?q=http://codeforces.com/contest/508/problem/C&amp;sa=D&amp;ust=1605639552557000&amp;usg=AFQjCNFvp0i4YCllxrt1f0Rg-FyjiqImAA" xr:uid="{AB70AFFC-0346-454D-A4B5-52C92CC8E2F9}"/>
    <hyperlink ref="A2185" r:id="rId1697" display="https://www.google.com/url?q=http://codeforces.com/contest/720/problem/A&amp;sa=D&amp;ust=1605639552558000&amp;usg=AFQjCNFyae91rz7SUxzWUzmNlYh3ECgzFw" xr:uid="{2EB22A71-C22E-4514-AAF5-96DDEBA27E71}"/>
    <hyperlink ref="A2186" r:id="rId1698" display="https://www.google.com/url?q=http://codeforces.com/contest/721/problem/D&amp;sa=D&amp;ust=1605639552558000&amp;usg=AFQjCNEk56rzsx1WxV4vBcr8nUxo3lZOZA" xr:uid="{DFCCB951-A3DF-43B6-8F55-44DC64386674}"/>
    <hyperlink ref="A2187" r:id="rId1699" display="https://www.google.com/url?q=http://codeforces.com/contest/723/problem/C&amp;sa=D&amp;ust=1605639552558000&amp;usg=AFQjCNEXJWp6yqXEH221dCZsvGj35zeeWQ" xr:uid="{0DAB34E4-4EE6-4B63-B53F-B033360C3089}"/>
    <hyperlink ref="A2188" r:id="rId1700" display="https://www.google.com/url?q=http://codeforces.com/contest/898/problem/D&amp;sa=D&amp;ust=1605639552559000&amp;usg=AFQjCNHwrxgGnFxegNm1LN7fdfiCWwXSHQ" xr:uid="{BFE8A049-4228-4F06-B534-BF7B1857F254}"/>
    <hyperlink ref="A2189" r:id="rId1701" display="https://www.google.com/url?q=http://codeforces.com/contest/92/problem/C&amp;sa=D&amp;ust=1605639552560000&amp;usg=AFQjCNG253j2IoOu_YE9TwCWwudx9MI_Mw" xr:uid="{6A0DC358-D5DA-42FB-B08E-E03F92B94F5E}"/>
    <hyperlink ref="A2190" r:id="rId1702" display="https://www.google.com/url?q=http://codeforces.com/contest/985/problem/C&amp;sa=D&amp;ust=1605639552560000&amp;usg=AFQjCNE-jMp_EkgwR2XSrGBqRW95g6eg7A" xr:uid="{1677962E-932F-4DB9-989A-265AE5E333CF}"/>
    <hyperlink ref="A2193" r:id="rId1703" display="https://www.google.com/url?q=http://codeforces.com/contest/148/problem/C&amp;sa=D&amp;ust=1605639552561000&amp;usg=AFQjCNHmnJ01QPgbI-yBpqPpspOhX2uvKg" xr:uid="{625A28A8-7058-4ED3-916E-A323A332C7EF}"/>
    <hyperlink ref="A2194" r:id="rId1704" display="https://www.google.com/url?q=http://codeforces.com/contest/287/problem/C&amp;sa=D&amp;ust=1605639552562000&amp;usg=AFQjCNG-7Kh3yV22ghp1M3pvkp5LCBMiAg" xr:uid="{BE7375D8-3017-444D-A253-2E99CA742026}"/>
    <hyperlink ref="A2196" r:id="rId1705" display="https://www.google.com/url?q=http://codeforces.com/contest/371/problem/D&amp;sa=D&amp;ust=1605639552563000&amp;usg=AFQjCNHLNALCZifj_dTdD1vd9gEmQQYKlA" xr:uid="{BC46F7AC-8087-4259-AE92-E97FA4BB61BD}"/>
    <hyperlink ref="A2197" r:id="rId1706" display="https://www.google.com/url?q=http://codeforces.com/contest/260/problem/C&amp;sa=D&amp;ust=1605639552563000&amp;usg=AFQjCNGX2BGLs-NMANY98yk6GF4YLjtWBg" xr:uid="{96650DE6-6980-4FE0-8823-A1BA35E0AB2C}"/>
    <hyperlink ref="A2198" r:id="rId1707" display="https://www.google.com/url?q=http://codeforces.com/contest/387/problem/C&amp;sa=D&amp;ust=1605639552564000&amp;usg=AFQjCNFpUrZrZPA_Q0IbqGbjvgBcLpA_KQ" xr:uid="{6013BA44-0186-4A2A-8255-88D2A978BF1D}"/>
    <hyperlink ref="A2199" r:id="rId1708" display="https://www.google.com/url?q=http://codeforces.com/contest/405/problem/D&amp;sa=D&amp;ust=1605639552564000&amp;usg=AFQjCNHKvJu3Y-IPVtpnqG4GitYC3xkvag" xr:uid="{7E4A0CFE-5306-40F1-ACB7-C05420BF286E}"/>
    <hyperlink ref="A2200" r:id="rId1709" display="https://www.google.com/url?q=http://codeforces.com/contest/266/problem/C&amp;sa=D&amp;ust=1605639552564000&amp;usg=AFQjCNHmnmyHzihDhdSzWxSnTLzkrMGDdw" xr:uid="{D9E83C74-4BA1-4314-A9E9-8B30D057059B}"/>
    <hyperlink ref="D1307" r:id="rId1710" display="https://www.google.com/url?q=http://ideone.com/J4ZSf4&amp;sa=D&amp;ust=1605639552565000&amp;usg=AFQjCNFlpL-Q0r07xyfbclRs_O3Dw-lcew" xr:uid="{4EB128C2-248A-48F9-B6B9-DF62BBDA0736}"/>
    <hyperlink ref="A2203" r:id="rId1711" display="https://www.google.com/url?q=http://codeforces.com/contest/747/problem/D&amp;sa=D&amp;ust=1605639552566000&amp;usg=AFQjCNFxUSsStpLDqgbHDSvaeWaFUmw2rQ" xr:uid="{58A7A356-C309-4A78-AC2C-C8C708FA3C57}"/>
    <hyperlink ref="A2204" r:id="rId1712" display="https://www.google.com/url?q=http://codeforces.com/contest/58/problem/D&amp;sa=D&amp;ust=1605639552566000&amp;usg=AFQjCNEn4njPjQhj-V68b3zSuC8WByiHHg" xr:uid="{12D70C3A-BE78-43A7-AD83-4180F8B9BC43}"/>
    <hyperlink ref="A2205" r:id="rId1713" display="https://www.google.com/url?q=http://codeforces.com/contest/883/problem/K&amp;sa=D&amp;ust=1605639552566000&amp;usg=AFQjCNFV0495RNaJltoIGMF6R1tMz36_BQ" xr:uid="{A22309E4-37D1-4BAD-A238-2429BAFD7CDA}"/>
    <hyperlink ref="A2208" r:id="rId1714" display="https://www.google.com/url?q=https://uva.onlinejudge.org/index.php?option%3Donlinejudge%26page%3Dshow_problem%26problem%3D3276&amp;sa=D&amp;ust=1605639552568000&amp;usg=AFQjCNFHEM6Fjj33toGb0oK9aYyKA6Ka2A" xr:uid="{FD185748-BBB5-4FC5-ACBB-A0592CDBE0E3}"/>
    <hyperlink ref="D795" r:id="rId1715" display="https://www.google.com/url?q=https://github.com/mostafa-saad/MyCompetitiveProgramming/blob/master/UVA/UVA_12124.txt&amp;sa=D&amp;ust=1605639552568000&amp;usg=AFQjCNE6ZfYYx0P6VKM-rb8XdJX6nxzf-Q" xr:uid="{061E1F8A-38F1-4F60-928E-A5451EF42389}"/>
    <hyperlink ref="A2209" r:id="rId1716" display="https://www.google.com/url?q=https://www.codechef.com/problems/KSUM&amp;sa=D&amp;ust=1605639552568000&amp;usg=AFQjCNEKsrNmAXkvjTcU3dYbxIMn7YIdOg" xr:uid="{847151D9-89A2-478F-997B-79632B5FCA96}"/>
    <hyperlink ref="D796" r:id="rId1717" display="https://www.google.com/url?q=https://www.codechef.com/viewsolution/18635981&amp;sa=D&amp;ust=1605639552569000&amp;usg=AFQjCNGiW-4d3g_cN9wUuO2L9xQwpopBaw" xr:uid="{EE2D4319-A36C-4ACD-84FD-13790951960F}"/>
    <hyperlink ref="A2210" r:id="rId1718" display="https://www.google.com/url?q=https://codeforces.com/contest/1151/problem/D&amp;sa=D&amp;ust=1605639552569000&amp;usg=AFQjCNFFzdcTBst0BmujjbwyBDJlmU7W-g" xr:uid="{B8E6008B-12D1-4E61-AA65-A15D00BC43B1}"/>
    <hyperlink ref="A2212" r:id="rId1719" display="https://www.google.com/url?q=https://codeforces.com/contest/1064/problem/C&amp;sa=D&amp;ust=1605639552570000&amp;usg=AFQjCNGeH8In-vKAGeKmJ-Ngz5eA0HT2zg" xr:uid="{4B51E310-540D-468A-9C22-F6CC8C765D11}"/>
    <hyperlink ref="A2213" r:id="rId1720" display="https://www.google.com/url?q=http://codeforces.com/gym/101597/problem/J&amp;sa=D&amp;ust=1605639552570000&amp;usg=AFQjCNFAtaTmHRvGTE1EyQXjQLIZ62Uazg" xr:uid="{F786C275-BF70-4288-AEAB-CA0217FFE146}"/>
    <hyperlink ref="A2214" r:id="rId1721" display="https://www.google.com/url?q=http://codeforces.com/contest/534/problem/D&amp;sa=D&amp;ust=1605639552572000&amp;usg=AFQjCNHQ42lnv41nTTEoD_Kh-plBZH1dfA" xr:uid="{1BF6044F-25AD-418B-8DD7-B7201504157F}"/>
    <hyperlink ref="A2215" r:id="rId1722" display="https://www.google.com/url?q=http://codeforces.com/contest/1065/problem/C&amp;sa=D&amp;ust=1605639552572000&amp;usg=AFQjCNHVjiB_9sJMiv1HSz3b5EV3tZGGsQ" xr:uid="{E4CF66B3-9E03-4CE9-BF05-782029C64095}"/>
    <hyperlink ref="A2216" r:id="rId1723" display="https://www.google.com/url?q=http://codeforces.com/contest/445/problem/C&amp;sa=D&amp;ust=1605639552573000&amp;usg=AFQjCNExSYP0uEZgznY2nvZQnyycTU5AvA" xr:uid="{F486F131-EFD2-46E2-94F9-931C8A527C87}"/>
    <hyperlink ref="A2217" r:id="rId1724" display="https://www.google.com/url?q=http://codeforces.com/contest/567/problem/C&amp;sa=D&amp;ust=1605639552573000&amp;usg=AFQjCNGmBp4Q-fBZKGLdCRdHtt2jNx55VA" xr:uid="{9E176D3D-ABBD-4342-8CC4-929DBD7DCE86}"/>
    <hyperlink ref="A2218" r:id="rId1725" display="https://www.google.com/url?q=https://codeforces.com/contest/1056/problem/C&amp;sa=D&amp;ust=1605639552574000&amp;usg=AFQjCNEjQjrYMDTckapG7KPGITpJrLG60Q" xr:uid="{B268CDB0-F8A8-4DF4-8C5B-E65F9D7DBB61}"/>
    <hyperlink ref="A2220" r:id="rId1726" display="https://www.google.com/url?q=https://cses.fi/problemset/task/1084/&amp;sa=D&amp;ust=1605639552575000&amp;usg=AFQjCNGkplNuc3zeKRApeUbunNQfegZmxg" xr:uid="{20A12B5C-DE92-4082-9933-17B8A1B989C1}"/>
    <hyperlink ref="D807" r:id="rId1727" display="https://www.google.com/url?q=https://github.com/MedoN11/CompetitiveProgramming/blob/master/CSES%2520ProblemSet/apartmen.cpp&amp;sa=D&amp;ust=1605639552575000&amp;usg=AFQjCNHU9iWTHqvOpug9isog4geFqxeA0g" xr:uid="{4F635727-7EAA-45E9-B96B-33F5F3F2E1C7}"/>
    <hyperlink ref="A2221" r:id="rId1728" display="https://www.google.com/url?q=https://cses.fi/problemset/task/1090/&amp;sa=D&amp;ust=1605639552575000&amp;usg=AFQjCNFzf945K3ZmEZHLDaO7EyFz_Q53WA" xr:uid="{58814F31-170B-4701-8081-73E2EB0CC6A0}"/>
    <hyperlink ref="D808" r:id="rId1729" display="https://www.google.com/url?q=https://github.com/MedoN11/CompetitiveProgramming/blob/master/CSES%2520ProblemSet/main.cpp&amp;sa=D&amp;ust=1605639552576000&amp;usg=AFQjCNHvDxO4Bb8yKI-YZ5TZTM2E0lmfcA" xr:uid="{FBA7DC3A-A9A4-4A30-A73B-5B16F453850E}"/>
    <hyperlink ref="A2222" r:id="rId1730" display="https://www.google.com/url?q=http://codeforces.com/problemset/problem/899/C&amp;sa=D&amp;ust=1605639552576000&amp;usg=AFQjCNHyR0YQCDaRJIX4Z8BBXWq_0ZR1ag" xr:uid="{D6A6D4C6-ABAD-4869-86F1-1CE22BEC958E}"/>
    <hyperlink ref="A2223" r:id="rId1731" display="https://www.google.com/url?q=http://codeforces.com/contest/376/problem/D&amp;sa=D&amp;ust=1605639552576000&amp;usg=AFQjCNGl43IVcLph40go1b01EwI_xTNxwg" xr:uid="{7BCBE6F2-BD56-4E3D-A350-72728F5ECCED}"/>
    <hyperlink ref="A2224" r:id="rId1732" display="https://www.google.com/url?q=http://codeforces.com/contest/103/problem/C&amp;sa=D&amp;ust=1605639552577000&amp;usg=AFQjCNHjGeVkXyMjwHeL_hHmDrIRPkn5Vg" xr:uid="{73F90361-41A6-4FED-9F2A-13B174BC3819}"/>
    <hyperlink ref="A2225" r:id="rId1733" display="https://www.google.com/url?q=http://codeforces.com/contest/116/problem/D&amp;sa=D&amp;ust=1605639552577000&amp;usg=AFQjCNFxrsGuwo7epzAVYJfmohaKb_uAlA" xr:uid="{EDA975D2-FCE9-4FD6-A532-56EBB05CD6FB}"/>
    <hyperlink ref="A2226" r:id="rId1734" display="https://www.google.com/url?q=https://codeforces.com/contest/1180/problem/D&amp;sa=D&amp;ust=1605639552577000&amp;usg=AFQjCNGn2am6KivA0ShykRCSClEdzUD_Rg" xr:uid="{3E81CE38-58E8-42AA-8864-4327B72D4600}"/>
    <hyperlink ref="A2227" r:id="rId1735" display="https://www.google.com/url?q=http://codeforces.com/contest/216/problem/C&amp;sa=D&amp;ust=1605639552578000&amp;usg=AFQjCNFzhm0iUBCYz6htVuSJKsRrsb6xPw" xr:uid="{1E08328C-6FAF-41C6-A1F5-18B729AF1A4E}"/>
    <hyperlink ref="A2228" r:id="rId1736" display="https://www.google.com/url?q=http://codeforces.com/contest/240/problem/D&amp;sa=D&amp;ust=1605639552578000&amp;usg=AFQjCNF06VmvErHxiLgp26zEDmtp_P31bA" xr:uid="{D74D3BC7-B254-4035-9019-8C1BADEEAF67}"/>
    <hyperlink ref="A2229" r:id="rId1737" display="https://www.google.com/url?q=http://codeforces.com/contest/545/problem/D&amp;sa=D&amp;ust=1605639552579000&amp;usg=AFQjCNH5qWXag3FXl3ggR9otgxqHVFu_uw" xr:uid="{BD86095B-FDA4-450D-91C6-D7C203E1214E}"/>
    <hyperlink ref="A2230" r:id="rId1738" display="https://www.google.com/url?q=http://codeforces.com/contest/81/problem/D&amp;sa=D&amp;ust=1605639552579000&amp;usg=AFQjCNHFRbTuXQappLdMakZ-I1dOickayA" xr:uid="{7A838AFC-3221-438F-BB08-891AF193F63D}"/>
    <hyperlink ref="A2231" r:id="rId1739" display="https://www.google.com/url?q=http://codeforces.com/contest/920/problem/C&amp;sa=D&amp;ust=1605639552579000&amp;usg=AFQjCNEJd570MA-WMuFeXmfVa5yHRyla4w" xr:uid="{5BCF649A-9D14-409A-A427-3896BC854A8D}"/>
    <hyperlink ref="A2232" r:id="rId1740" display="https://www.google.com/url?q=http://codeforces.com/contest/980/problem/C&amp;sa=D&amp;ust=1605639552580000&amp;usg=AFQjCNG7QO5hVsxAvJytRMEjK7YwHKToSg" xr:uid="{99DA8605-5E42-4B74-95FB-9A2520F3D699}"/>
    <hyperlink ref="A2236" r:id="rId1741" display="https://www.google.com/url?q=http://codeforces.com/contest/754/problem/C&amp;sa=D&amp;ust=1605639552581000&amp;usg=AFQjCNE7abdL9Ywv1en3f8ZjACsAsknS8w" xr:uid="{DEF7B37D-FA4D-401A-9590-D87185FEC810}"/>
    <hyperlink ref="A2238" r:id="rId1742" display="https://www.google.com/url?q=http://codeforces.com/contest/909/problem/E&amp;sa=D&amp;ust=1605639552582000&amp;usg=AFQjCNHx1Odwkb6_SBqvkh_Ybk7EQ_aE5g" xr:uid="{6196AEA0-68FF-4A0C-97C3-B874FD691E60}"/>
    <hyperlink ref="A2239" r:id="rId1743" display="https://www.google.com/url?q=http://codeforces.com/contest/370/problem/C&amp;sa=D&amp;ust=1605639552583000&amp;usg=AFQjCNFZMag8cDlKyrISNI_sBliSAEb7gQ" xr:uid="{06AAD925-06DD-4685-AA08-1D8C1121D757}"/>
    <hyperlink ref="A2240" r:id="rId1744" display="https://www.google.com/url?q=http://codeforces.com/contest/401/problem/C&amp;sa=D&amp;ust=1605639552583000&amp;usg=AFQjCNH7dWLs3AbSil75lzHe1l98wh8GiQ" xr:uid="{6B43ADEB-C8BE-4049-8490-5690DE505E70}"/>
    <hyperlink ref="D828" r:id="rId1745" display="https://www.google.com/url?q=https://github.com/ilyesG/Competitive-Programming/blob/master/UVA/UVA%25201623.cpp&amp;sa=D&amp;ust=1605639552584000&amp;usg=AFQjCNGbhLi22zPqWrajRplpG7W5NdTRpw" xr:uid="{9363F4D0-E44B-4675-B0CD-14A261F3DDF5}"/>
    <hyperlink ref="A2242" r:id="rId1746" display="https://www.google.com/url?q=http://codeforces.com/contest/59/problem/D&amp;sa=D&amp;ust=1605639552584000&amp;usg=AFQjCNFg_99hG7sLHOQbXc46zn9sM9XMWg" xr:uid="{BD93A800-9B2A-4026-B222-D7C88C3146F6}"/>
    <hyperlink ref="A2243" r:id="rId1747" display="https://www.google.com/url?q=http://codeforces.com/contest/166/problem/C&amp;sa=D&amp;ust=1605639552585000&amp;usg=AFQjCNHCH2LwPj7BQLNjFldQJ9l9Ldb0CQ" xr:uid="{E8E5BA90-5459-498B-B9C1-22C50E888208}"/>
    <hyperlink ref="A2244" r:id="rId1748" display="https://www.google.com/url?q=http://codeforces.com/contest/515/problem/C&amp;sa=D&amp;ust=1605639552585000&amp;usg=AFQjCNGlBL0ksLECS6AKqg9nCDS_2_WZ0g" xr:uid="{B1A726AC-2E54-44E8-8F47-E502D56AAEA8}"/>
    <hyperlink ref="A2248" r:id="rId1749" display="https://www.google.com/url?q=http://codeforces.com/contest/137/problem/C&amp;sa=D&amp;ust=1605639552586000&amp;usg=AFQjCNFo4hMPDy_uyzyo9CWJ9mycRE9Krw" xr:uid="{5105FED0-C9C5-4807-BB4D-A53C3A9B6D34}"/>
    <hyperlink ref="A2249" r:id="rId1750" display="https://www.google.com/url?q=http://codeforces.com/contest/432/problem/C&amp;sa=D&amp;ust=1605639552587000&amp;usg=AFQjCNGEpazYvziu9XoIMWWN4P2GrMUNzw" xr:uid="{F42E5DA6-05CF-4825-A157-228D4AD4246B}"/>
    <hyperlink ref="A2250" r:id="rId1751" display="https://www.google.com/url?q=http://codeforces.com/contest/492/problem/C&amp;sa=D&amp;ust=1605639552587000&amp;usg=AFQjCNFlQfNqdtYqW2Txly--dIckOdka_g" xr:uid="{6843AE26-31A9-4A27-926B-DD61B3965D5C}"/>
    <hyperlink ref="A2257" r:id="rId1752" display="https://www.google.com/url?q=https://codeforces.com/contest/1104/problem/C&amp;sa=D&amp;ust=1605639552588000&amp;usg=AFQjCNHijtUxNYLfopEAqO9OPccFrlrutA" xr:uid="{73105A7D-A018-40C4-8732-1A7D252BD1F7}"/>
    <hyperlink ref="A2258" r:id="rId1753" display="https://www.google.com/url?q=http://codeforces.com/contest/416/problem/C&amp;sa=D&amp;ust=1605639552588000&amp;usg=AFQjCNGytSDxA_AQT__2CU7UiCyej54T-Q" xr:uid="{3135C691-0405-4299-89E6-3AE5EA5BDDE7}"/>
    <hyperlink ref="A2259" r:id="rId1754" display="https://www.google.com/url?q=http://codeforces.com/contest/979/problem/B&amp;sa=D&amp;ust=1605639552588000&amp;usg=AFQjCNGQX54KQWrGkHPc42ULfMR3PbNJuA" xr:uid="{F55CED82-07B4-4912-9118-46AFC9D38B82}"/>
    <hyperlink ref="A2260" r:id="rId1755" display="https://www.google.com/url?q=http://www.spoj.com/problems/CHOCOLA/&amp;sa=D&amp;ust=1605639552589000&amp;usg=AFQjCNFh_9yHjCAGx0897muN094EhSsn0Q" xr:uid="{9020A8C7-2B81-49CD-9907-42E1ED1483C4}"/>
    <hyperlink ref="A2261" r:id="rId1756" display="https://www.google.com/url?q=http://codeforces.com/contest/234/problem/G&amp;sa=D&amp;ust=1605639552589000&amp;usg=AFQjCNG2lAzGV85RND9Va93lkpfmhCTaxA" xr:uid="{7932FCBB-4C17-4BD9-9875-BA06CE4AD661}"/>
    <hyperlink ref="A2262" r:id="rId1757" display="https://www.google.com/url?q=https://codeforces.com/contest/1102/problem/E&amp;sa=D&amp;ust=1605639552590000&amp;usg=AFQjCNHxCbag59Ovs1VP0rE400LLOy8yTQ" xr:uid="{9E364781-48DC-42B6-8E04-468951A666F3}"/>
    <hyperlink ref="A2263" r:id="rId1758" display="https://www.google.com/url?q=http://codeforces.com/contest/597/problem/B&amp;sa=D&amp;ust=1605639552590000&amp;usg=AFQjCNFj6tk1qR83g7zD70IJMt2esXbf-w" xr:uid="{ADDF8AF8-9162-458D-B658-FFD8CD28DF13}"/>
    <hyperlink ref="A2264" r:id="rId1759" display="https://www.google.com/url?q=http://codeforces.com/contest/637/problem/B&amp;sa=D&amp;ust=1605639552590000&amp;usg=AFQjCNHYpufT4ZyYcJbIU3Bac9AXKaA0gg" xr:uid="{ABB5FD73-6E51-4667-BE0F-8C9E4ACFD51A}"/>
    <hyperlink ref="A2265" r:id="rId1760" display="https://www.google.com/url?q=http://codeforces.com/contest/51/problem/C&amp;sa=D&amp;ust=1605639552591000&amp;usg=AFQjCNExAV5ydEwnInZ3BmLdVR1Tcv6GDw" xr:uid="{64EBB29D-2B06-487F-9F12-AD1274EFC1C9}"/>
    <hyperlink ref="A2266" r:id="rId1761" display="https://www.google.com/url?q=http://codeforces.com/contest/847/problem/K&amp;sa=D&amp;ust=1605639552591000&amp;usg=AFQjCNFvvVEk1V7vG101lH9XA5mv_NUNug" xr:uid="{7C5E3544-397A-4181-AEDE-2400D9A7358F}"/>
    <hyperlink ref="A2271" r:id="rId1762" display="https://www.google.com/url?q=http://codeforces.com/contest/140/problem/C&amp;sa=D&amp;ust=1605639552594000&amp;usg=AFQjCNEfvJO0F_S-cf4UmWtfePHTNOZUoQ" xr:uid="{7C569545-B6FB-457C-B524-9FB96CB00E62}"/>
    <hyperlink ref="A2272" r:id="rId1763" display="https://www.google.com/url?q=http://codeforces.com/contest/265/problem/C&amp;sa=D&amp;ust=1605639552595000&amp;usg=AFQjCNEE8mUPHh2UW3k_0kR8X-3mAYVxjw" xr:uid="{00BB972E-EBD2-4699-AA5F-B73578C466EC}"/>
    <hyperlink ref="A2273" r:id="rId1764" display="https://www.google.com/url?q=http://codeforces.com/contest/350/problem/C&amp;sa=D&amp;ust=1605639552595000&amp;usg=AFQjCNGLVXmoFe82FmkcyR_YSaSr79xyGA" xr:uid="{E1AC275F-9D30-4EC1-A4C1-DE795EE92C92}"/>
    <hyperlink ref="A2274" r:id="rId1765" display="https://www.google.com/url?q=http://codeforces.com/contest/363/problem/C&amp;sa=D&amp;ust=1605639552595000&amp;usg=AFQjCNEkpyOU-6Fz-YknO4zbVD8HGeGeyA" xr:uid="{23EFA614-81C5-4E0B-8BEF-E5CC78DF231E}"/>
    <hyperlink ref="A2275" r:id="rId1766" display="https://www.google.com/url?q=http://codeforces.com/contest/659/problem/C&amp;sa=D&amp;ust=1605639552596000&amp;usg=AFQjCNHmqwbWDD5bwuT2ENrlbDqnZjIGkw" xr:uid="{1E1DE2BF-B48D-4CCA-9A34-76E5E225193B}"/>
    <hyperlink ref="A2276" r:id="rId1767" display="https://www.google.com/url?q=http://codeforces.com/contest/112/problem/C&amp;sa=D&amp;ust=1605639552596000&amp;usg=AFQjCNHk-KdnadRbfocFdsiTjRoCMzvevA" xr:uid="{D8433E83-A18C-4036-A419-D884DB507CA3}"/>
    <hyperlink ref="A2278" r:id="rId1768" display="https://www.google.com/url?q=http://codeforces.com/contest/203/problem/C&amp;sa=D&amp;ust=1605639552597000&amp;usg=AFQjCNHK-Ibby7APYD8gAfwTHFlF5DRzWA" xr:uid="{192172DC-88F2-4024-B899-A84274C09CEB}"/>
    <hyperlink ref="A2281" r:id="rId1769" display="https://www.google.com/url?q=https://agc001.contest.atcoder.jp/tasks/agc001_a&amp;sa=D&amp;ust=1605639552598000&amp;usg=AFQjCNF3YE2D16NIBrsETeyBfDpgmIWknQ" xr:uid="{41BBAF6F-8CD8-40A7-899E-F556317F2164}"/>
    <hyperlink ref="A2282" r:id="rId1770" display="https://www.google.com/url?q=https://agc005.contest.atcoder.jp/tasks/agc005_e&amp;sa=D&amp;ust=1605639552599000&amp;usg=AFQjCNEciaJ_ShBNiZs0K-AAEYC5B7bD0Q" xr:uid="{472F5661-9F05-48C4-97F6-3182735820FC}"/>
    <hyperlink ref="A2283" r:id="rId1771" display="https://www.google.com/url?q=https://agc002.contest.atcoder.jp/tasks/agc002_e&amp;sa=D&amp;ust=1605639552599000&amp;usg=AFQjCNE_OmILHzEIBRv5eSy8lrNxNxnO_g" xr:uid="{5DCCDB86-11D7-49E3-B05B-DEDBCA4B7F71}"/>
    <hyperlink ref="A2284" r:id="rId1772" display="https://www.google.com/url?q=http://codeforces.com/contest/154/problem/D&amp;sa=D&amp;ust=1605639552599000&amp;usg=AFQjCNEVRZjRQULFpczGs5sPVJOkdBfEqQ" xr:uid="{DDE90F13-CAEF-4215-88D8-0A3C20772419}"/>
    <hyperlink ref="D5201" r:id="rId1773" display="https://www.google.com/url?q=https://www.topcoder.com/tc?module%3DStatic%26d1%3Dmatch_editorials%26d2%3Dsrm338&amp;sa=D&amp;ust=1605639552600000&amp;usg=AFQjCNHntF3QoIsrSLVBi8bzNUV3uk952w" xr:uid="{B3072EB4-164B-45C7-8740-82DE7FCE89E9}"/>
    <hyperlink ref="A2287" r:id="rId1774" display="https://www.google.com/url?q=http://codeforces.com/contest/794/problem/E&amp;sa=D&amp;ust=1605639552601000&amp;usg=AFQjCNGl4VAWdqHL8b9RB-f7edk9Ux7n3A" xr:uid="{13FAABEA-64D4-4DC7-89E8-DCB807A9C241}"/>
    <hyperlink ref="D5029" r:id="rId1775" display="https://www.google.com/url?q=https://github.com/MetalBall887/Competitive-Programming/blob/master/CodeForces/CF794-D12-E.cpp&amp;sa=D&amp;ust=1605639552601000&amp;usg=AFQjCNFyuXiizDvOaDDsvqBPJvmHcCWdiA" xr:uid="{8191924E-CC41-41B6-BFA1-728910222D93}"/>
    <hyperlink ref="D4742" r:id="rId1776" display="https://www.google.com/url?q=https://github.com/Andres-Unt/problem_solving/blob/master/TopCoder/SRM423-D1-500.cpp&amp;sa=D&amp;ust=1605639552601000&amp;usg=AFQjCNEvfNsGXkxiTW1iBP4PCGbCblDWmQ" xr:uid="{F5FC1799-D933-4B2A-9D53-598EDDBA70DD}"/>
    <hyperlink ref="A2289" r:id="rId1777" display="https://www.google.com/url?q=https://onlinejudge.org/index.php?option%3Dcom_onlinejudge%26Itemid%3D8%26page%3Dshow_problem%26problem%3D4235&amp;sa=D&amp;ust=1605639552602000&amp;usg=AFQjCNGUW0pdTGPxktz-JpOuGcFWptqPxQ" xr:uid="{8A979283-C5DE-498E-BED3-3AC1DC3CF67D}"/>
    <hyperlink ref="A2290" r:id="rId1778" display="https://www.google.com/url?q=https://agc010.contest.atcoder.jp/tasks/agc010_d&amp;sa=D&amp;ust=1605639552602000&amp;usg=AFQjCNGI6qFTxJuhRk6rTpZuqjHRhCyl1Q" xr:uid="{980266C2-9B94-4629-8C60-1D915E2B71FD}"/>
    <hyperlink ref="D4157" r:id="rId1779" display="https://www.google.com/url?q=https://github.com/aviroop123/CompetitiveProgramming/blob/master/SPOJ/SPOJ%2520GAME2.cpp&amp;sa=D&amp;ust=1605639552603000&amp;usg=AFQjCNHjscMTDpKlVWYzbtCIlySVtdRHSQ" xr:uid="{71497BD6-46A2-47C6-AD12-45571AD514CE}"/>
    <hyperlink ref="A2292" r:id="rId1780" display="https://www.google.com/url?q=https://www.hackerrank.com/challenges/the-white-lotus-and-caterpillar-game&amp;sa=D&amp;ust=1605639552603000&amp;usg=AFQjCNFCHrGeztZPGTqSz3rM2uvWeHKBCQ" xr:uid="{3FBE45E6-56B0-4141-A506-7C60A4B7521E}"/>
    <hyperlink ref="D4158" r:id="rId1781" display="https://www.google.com/url?q=https://github.com/MetalBall887/Competitive-Programming/blob/master/HACKERRANK/HACKR%2520the-white-lotus-and-caterpillar-game.cpp&amp;sa=D&amp;ust=1605639552604000&amp;usg=AFQjCNFogP-7fwbzs_CP0bGkT8IKPjFVrg" xr:uid="{5D96A55C-2209-4396-8F1D-2A582DA1997A}"/>
    <hyperlink ref="A2293" r:id="rId1782" display="https://www.google.com/url?q=http://codeforces.com/contest/919/problem/F&amp;sa=D&amp;ust=1605639552605000&amp;usg=AFQjCNFxS-KE8ghP-ZoJ7fOzANP4KQKzbg" xr:uid="{F109B035-5CB0-4364-8B6D-9588689FB0C2}"/>
    <hyperlink ref="D3955" r:id="rId1783" display="https://www.google.com/url?q=https://github.com/MetalBall887/Competitive-Programming/blob/master/CodeForces/CF919-D2-F.cpp&amp;sa=D&amp;ust=1605639552605000&amp;usg=AFQjCNHz9cLTSwCKd_UFVstuqwV_pf0-kQ" xr:uid="{12741F34-C144-4A56-815B-CF73AF5A7266}"/>
    <hyperlink ref="A2294" r:id="rId1784" display="https://www.google.com/url?q=http://codeforces.com/contest/181/problem/E&amp;sa=D&amp;ust=1605639552606000&amp;usg=AFQjCNHCAScbE0ZFWEfqKHO7R2Sx-kQ-fQ" xr:uid="{D88A3A7A-DDDD-4B2D-8A03-32F36D9F17B5}"/>
    <hyperlink ref="A2295" r:id="rId1785" display="https://www.google.com/url?q=https://atcoder.jp/contests/arc064/tasks/arc064_b&amp;sa=D&amp;ust=1605639552606000&amp;usg=AFQjCNGAB1oHPksYTfPg_5cMTfMdvgIDVw" xr:uid="{C06E14E2-878F-40B5-A7C1-98CDF9EF712E}"/>
    <hyperlink ref="A2296" r:id="rId1786" display="https://www.google.com/url?q=https://codeforces.com/gym/101808/problem/I&amp;sa=D&amp;ust=1605639552607000&amp;usg=AFQjCNH_DoAPFtOpZc34yJnu6SmeCHB_3A" xr:uid="{71276701-C0CA-4060-A59F-E0B0ACE9E096}"/>
    <hyperlink ref="D3276" r:id="rId1787" display="https://www.google.com/url?q=https://github.com/MetalBall887/Competitive-Programming/blob/master/CodeForces/CF101808-GYM-I.cpp&amp;sa=D&amp;ust=1605639552607000&amp;usg=AFQjCNEQbtm_5p6Mk78x7D1rZuxe9rI03A" xr:uid="{5EF460BF-ED3B-487C-87D8-5C7EFB7FB01B}"/>
    <hyperlink ref="A2297" r:id="rId1788" display="https://www.google.com/url?q=http://codeforces.com/contest/549/problem/C&amp;sa=D&amp;ust=1605639552607000&amp;usg=AFQjCNHzSfHw7ozasS3wpxzjLrgk3BwCuA" xr:uid="{B9399CD6-EA06-4BDD-8F8C-39B7B9B15BDC}"/>
    <hyperlink ref="A2298" r:id="rId1789" display="https://www.google.com/url?q=http://codeforces.com/contest/136/problem/E&amp;sa=D&amp;ust=1605639552608000&amp;usg=AFQjCNEzcIHuYPJXdoGBsmE8bFynUzs5gQ" xr:uid="{12A07D59-D495-42EC-8375-A764741FF70E}"/>
    <hyperlink ref="A2299" r:id="rId1790" display="https://www.google.com/url?q=http://codeforces.com/contest/279/problem/E&amp;sa=D&amp;ust=1605639552608000&amp;usg=AFQjCNGyB7Hj8rWsVUxBd11rJBHKFRjJOA" xr:uid="{199F904A-4BF6-4058-8C77-8ABC04C12EA8}"/>
    <hyperlink ref="A2300" r:id="rId1791" display="https://www.google.com/url?q=https://codeforces.com/contest/1147/problem/C&amp;sa=D&amp;ust=1605639552609000&amp;usg=AFQjCNH39PaeKYwG5ZidQKlzXT6M7H15kg" xr:uid="{9B3FA169-9978-401B-B3C3-C657FE81E77C}"/>
    <hyperlink ref="D1950" r:id="rId1792" display="https://www.google.com/url?q=https://github.com/AliOsm/CompetitiveProgramming/blob/master/Timus/1051.%2520Simple%2520Game%2520on%2520a%2520Grid.cpp&amp;sa=D&amp;ust=1605639552609000&amp;usg=AFQjCNFuYEq7YlJSvTVvwcshQjsWeHU92Q" xr:uid="{1ADF7B88-384E-4C97-9A90-D8BF212108CB}"/>
    <hyperlink ref="A2302" r:id="rId1793" display="https://www.google.com/url?q=http://codeforces.com/problemset/problem/120/E&amp;sa=D&amp;ust=1605639552610000&amp;usg=AFQjCNH4LKyRNYSkEEutZLL5WxMK9ZsKPg" xr:uid="{B843D1CC-6753-4972-AD86-2D86018F3BE7}"/>
    <hyperlink ref="A2303" r:id="rId1794" display="https://www.google.com/url?q=https://www.codechef.com/COOK105B/problems/RANDGAME&amp;sa=D&amp;ust=1605639552610000&amp;usg=AFQjCNHRYpZLGmLqx44I-nforNtz8hUrWA" xr:uid="{42C8FF26-B756-43A3-A9CC-657474E28CF2}"/>
    <hyperlink ref="A2304" r:id="rId1795" display="https://www.google.com/url?q=http://codeforces.com/contest/936/problem/B&amp;sa=D&amp;ust=1605639552611000&amp;usg=AFQjCNGMexZlGt2LAZqyd7jwb9PZ1Ycnmg" xr:uid="{042C227E-9FBA-4909-A3B6-3AA9D3B2CE5F}"/>
    <hyperlink ref="D1954" r:id="rId1796" display="https://www.google.com/url?q=https://pastebin.com/udLvZbc9&amp;sa=D&amp;ust=1605639552611000&amp;usg=AFQjCNGnjBUA8H13N0Jp9qhW3iAnr-u8dA" xr:uid="{1F0F6590-C8F4-46E4-8892-FC244B42966D}"/>
    <hyperlink ref="A2306" r:id="rId1797" display="https://www.google.com/url?q=https://csacademy.com/contest/round-63/task/graph-game/&amp;sa=D&amp;ust=1605639552611000&amp;usg=AFQjCNEEuvQfrg5LPneB1CxaqReBYr_VAQ" xr:uid="{4625D5EE-14A5-497B-9868-49F50C202B91}"/>
    <hyperlink ref="A2307" r:id="rId1798" display="https://www.google.com/url?q=http://codeforces.com/contest/594/problem/A&amp;sa=D&amp;ust=1605639552612000&amp;usg=AFQjCNEJfLQsOzRTB9_KjgkTibHXSgW9cw" xr:uid="{F56ECCA0-E13F-4CFD-8AC6-8D433D6553B3}"/>
    <hyperlink ref="A2311" r:id="rId1799" display="https://www.google.com/url?q=https://codeforces.com/contest/1191/problem/D&amp;sa=D&amp;ust=1605639552613000&amp;usg=AFQjCNFLG5VQ77LghgjjjIEuYeUUdpELGw" xr:uid="{67D067B2-A516-4D5A-814A-C926C448EB85}"/>
    <hyperlink ref="A2312" r:id="rId1800" display="https://www.google.com/url?q=http://codeforces.com/contest/36/problem/D&amp;sa=D&amp;ust=1605639552613000&amp;usg=AFQjCNH33OJp8QAMWhjJYzJwS2Ohg-lpJQ" xr:uid="{14E40FD0-D2B0-412A-A764-66C2053E6A2B}"/>
    <hyperlink ref="A2313" r:id="rId1801" display="https://www.google.com/url?q=https://onlinejudge.org/index.php?option%3Donlinejudge%26page%3Dshow_problem%26problem%3D4796&amp;sa=D&amp;ust=1605639552613000&amp;usg=AFQjCNHw2Ab3boVN_pF8k5FAIOiQYwqwNA" xr:uid="{FAFF7AEC-D6AE-4A6A-842A-74B2ABE86E65}"/>
    <hyperlink ref="D1315" r:id="rId1802" display="https://www.google.com/url?q=https://github.com/morris821028/UVa/blob/master/temp/UVaDate/12917%2520-%2520Prop%2520hunt!.cpp&amp;sa=D&amp;ust=1605639552614000&amp;usg=AFQjCNHP0AiANBzK05DxIUpu0yfrAqcmkw" xr:uid="{BC1A42EB-38B1-4B6B-B963-B8045960C539}"/>
    <hyperlink ref="A2316" r:id="rId1803" display="https://www.google.com/url?q=http://codeforces.com/problemset/gymProblem/100090/H&amp;sa=D&amp;ust=1605639552616000&amp;usg=AFQjCNHzZCtraSKGETue5zy7atBcKXNMOg" xr:uid="{DDF62E11-5A03-473D-B133-4F4C36AC5E02}"/>
    <hyperlink ref="D842" r:id="rId1804" display="https://www.google.com/url?q=https://github.com/Mahmoud3ali/CompetitiveProgramming/blob/master/CodeForces/CF100090-GYM-H.cpp&amp;sa=D&amp;ust=1605639552616000&amp;usg=AFQjCNF5MYWZxcVdqMxWwooiT4hhtiKn5w" xr:uid="{644AEB37-4F2F-4520-A4FF-BCBFAE5422E6}"/>
    <hyperlink ref="A2317" r:id="rId1805" display="https://www.google.com/url?q=https://codeforces.com/gym/101979/problem/A&amp;sa=D&amp;ust=1605639552616000&amp;usg=AFQjCNFrTb1iTwr1ZTnlWBbHrEENsfhPNQ" xr:uid="{961AB573-61E7-42DE-AF7C-135FFCCD9C56}"/>
    <hyperlink ref="A2318" r:id="rId1806" display="https://www.google.com/url?q=http://codeforces.com/contest/151/problem/C&amp;sa=D&amp;ust=1605639552617000&amp;usg=AFQjCNE5QG_DGnzNFEiWLDgnnQjDxaYk3A" xr:uid="{1F6965F0-5D6F-4C11-8FF9-7D69A405B5E5}"/>
    <hyperlink ref="A2319" r:id="rId1807" display="https://www.google.com/url?q=http://codeforces.com/contest/347/problem/C&amp;sa=D&amp;ust=1605639552617000&amp;usg=AFQjCNFhZULkYXSR0pVn5zgjH2UysXiFpQ" xr:uid="{46139D7A-B58E-4A8D-832E-D559D17BFF12}"/>
    <hyperlink ref="A2320" r:id="rId1808" display="https://www.google.com/url?q=http://codeforces.com/problemset/gymProblem/101498/I&amp;sa=D&amp;ust=1605639552618000&amp;usg=AFQjCNGqPVF1coxQ--SXFsr1Z4TfZ3pmuQ" xr:uid="{63A455A7-9AEA-4CF2-93F4-4C321CFF2E3C}"/>
    <hyperlink ref="D846" r:id="rId1809" display="https://www.google.com/url?q=https://github.com/MedoN11/CompetitiveProgramming/blob/master/CodeForces/GYM/CF10149-GYM-I.cpp&amp;sa=D&amp;ust=1605639552618000&amp;usg=AFQjCNHqEHqt4gZnKQsjuwFxP351pZvDUQ" xr:uid="{D12D5561-1B04-4001-8CD8-83F1032E2292}"/>
    <hyperlink ref="A2321" r:id="rId1810" display="https://www.google.com/url?q=http://codeforces.com/gym/100500/attachments&amp;sa=D&amp;ust=1605639552618000&amp;usg=AFQjCNHdhD9dM7S2UAt3dDAvyrXzAnc6pw" xr:uid="{A38EAD1D-7696-4507-887A-488968422666}"/>
    <hyperlink ref="A2322" r:id="rId1811" display="https://www.google.com/url?q=http://codeforces.com/contest/78/problem/C&amp;sa=D&amp;ust=1605639552618000&amp;usg=AFQjCNHzdYyEd12KOuwj4hW_X3dzABnaNA" xr:uid="{58CC1F0F-B5CF-4689-A12D-DB64195B1C80}"/>
    <hyperlink ref="A2323" r:id="rId1812" display="https://www.google.com/url?q=https://uva.onlinejudge.org/index.php?option%3Donlinejudge%26page%3Dshow_problem%26problem%3D1309&amp;sa=D&amp;ust=1605639552619000&amp;usg=AFQjCNEhqofE4aODvz76wzb0BkuQDUlZmg" xr:uid="{673A00A7-E9DA-4D00-8959-AF82928E6477}"/>
    <hyperlink ref="D515" r:id="rId1813" display="https://www.google.com/url?q=https://github.com/mostafa-saad/MyCompetitiveProgramming/blob/master/UVA/UVA_10368.txt&amp;sa=D&amp;ust=1605639552619000&amp;usg=AFQjCNGuOZDVy32hjQpwuPzp8WVpw4zoMQ" xr:uid="{254F0561-DE3E-4F78-83FE-8D328DC8D50C}"/>
    <hyperlink ref="A2324" r:id="rId1814" display="https://www.google.com/url?q=http://codeforces.com/contest/914/problem/B&amp;sa=D&amp;ust=1605639552620000&amp;usg=AFQjCNHzsBv13wuOdTyNwVrVuNMnNBsrhQ" xr:uid="{1433FC35-A96E-453F-A927-A9F840BDB73D}"/>
    <hyperlink ref="A2325" r:id="rId1815" display="https://www.google.com/url?q=https://www.codechef.com/problems/NUMGAME&amp;sa=D&amp;ust=1605639552620000&amp;usg=AFQjCNFQlNMX13LVEXTGBB5aDzGkQY1jTw" xr:uid="{D35F26A3-77A7-4E3F-A145-74300BEBE868}"/>
    <hyperlink ref="A2326" r:id="rId1816" display="https://www.google.com/url?q=https://www.codechef.com/problems/NUMGAME2&amp;sa=D&amp;ust=1605639552621000&amp;usg=AFQjCNGXcV90_IVgkMqmFsKhzne_68OATg" xr:uid="{D55FCB94-113F-48A6-A802-09E2D97F75AB}"/>
    <hyperlink ref="A2360" r:id="rId1817" display="https://www.google.com/url?q=http://codeforces.com/contest/55/problem/C&amp;sa=D&amp;ust=1605639552622000&amp;usg=AFQjCNGt8_-WDNORP_Tkhk6BsqI82Bl91Q" xr:uid="{661F9254-B227-4CF8-8271-D37A9B412A97}"/>
    <hyperlink ref="A2362" r:id="rId1818" display="https://www.google.com/url?q=https://ipsc.ksp.sk/2010/real/problems/k.html&amp;sa=D&amp;ust=1605639552623000&amp;usg=AFQjCNHThavGO9smvIxaVxJt3ojztGTAGQ" xr:uid="{BEFD6244-C0C7-4D3E-9A7B-F2D142B0FEB1}"/>
    <hyperlink ref="D5303" r:id="rId1819" display="https://www.google.com/url?q=https://ipsc.ksp.sk/2010/real/solutions/booklet.pdf&amp;sa=D&amp;ust=1605639552623000&amp;usg=AFQjCNEgQKTSGwb94Oms71JW5nHVfH3jeA" xr:uid="{2384C10E-FEC7-455C-804A-8F85B19C567A}"/>
    <hyperlink ref="D5108" r:id="rId1820" display="https://www.google.com/url?q=http://codeforces.com/blog/entry/50572?%26mobile%3Dtrue%23comment-348227&amp;sa=D&amp;ust=1605639552624000&amp;usg=AFQjCNFhuT3MFeXU78wQAl13Vf8pLWvg0Q" xr:uid="{3FFD5E6C-786E-4B03-95D5-73FD907A286B}"/>
    <hyperlink ref="A2365" r:id="rId1821" display="https://www.google.com/url?q=https://www.spoj.com/problems/ADAXMAS/&amp;sa=D&amp;ust=1605639552625000&amp;usg=AFQjCNEvIxIc0sBktBDqZ_Lrg9gjX-1YVQ" xr:uid="{7912E740-447F-4CB7-A7DC-8C8FD24395B2}"/>
    <hyperlink ref="D4437" r:id="rId1822" display="https://www.google.com/url?q=https://github.com/MetalBall887/Competitive-Programming/blob/master/TopCoder/SRM309-D1-1000.cpp&amp;sa=D&amp;ust=1605639552625000&amp;usg=AFQjCNEVHxdJ-m2hu2jF1i4I0mD0l72GOw" xr:uid="{3537273E-E9D1-466B-BAFA-6FDCD5749B8E}"/>
    <hyperlink ref="A2367" r:id="rId1823" display="https://www.google.com/url?q=http://codeforces.com/contest/142/problem/D&amp;sa=D&amp;ust=1605639552625000&amp;usg=AFQjCNHmDwPcuMKkTYuwLLXUTGx5kuzAvg" xr:uid="{3AAB6DE1-4F6D-4128-B531-348F20110034}"/>
    <hyperlink ref="D4160" r:id="rId1824" display="https://www.google.com/url?q=https://github.com/Youssef-Abdel-Meguid/CompetitiveProgramming/blob/master/Topcoder/SRM396-D1-1000.cpp?fbclid%3DIwAR0ggSPkrogLh1kS7cdvOn5z5f0eut0qqhV-NkpByMHezdlRTI94eAKiIc4&amp;sa=D&amp;ust=1605639552626000&amp;usg=AFQjCNF5lzDecQIFklUjqdTPrK-Gj0QrQg" xr:uid="{E805072B-54C4-43AF-BC8F-06B524A8E4AA}"/>
    <hyperlink ref="A2369" r:id="rId1825" display="https://www.google.com/url?q=https://www.hackerrank.com/contests/world-codesprint-april/challenges/move-the-coins&amp;sa=D&amp;ust=1605639552627000&amp;usg=AFQjCNGN0lthnOwG4HVYiFnoLEox3QHQeQ" xr:uid="{6B888010-9C7D-4497-BE21-116E70309FEC}"/>
    <hyperlink ref="D848" r:id="rId1826" display="https://www.google.com/url?q=https://github.com/ahmedcpbl/CompetitiveProgramming/blob/master/PKU/1704.cpp&amp;sa=D&amp;ust=1605639552628000&amp;usg=AFQjCNFPgr5ld6RCZ94CpXtta6b5ruaMOw" xr:uid="{88D34C33-86CE-40F9-9E97-C2E79FD459E1}"/>
    <hyperlink ref="A2371" r:id="rId1827" display="https://www.google.com/url?q=https://www.codechef.com/problems/ABGAME&amp;sa=D&amp;ust=1605639552628000&amp;usg=AFQjCNGpHsDOg-VWOHRUbGGLPse2krD94A" xr:uid="{439BF3C3-6700-4416-B170-D8E8CCF476DE}"/>
    <hyperlink ref="A2372" r:id="rId1828" display="https://www.google.com/url?q=https://www.codechef.com/problems/QCJ6&amp;sa=D&amp;ust=1605639552629000&amp;usg=AFQjCNERYYNgf4ud3uH6CeYAkJXmpf7jTA" xr:uid="{CDD707FF-CC61-4AC0-8080-C673577CA765}"/>
    <hyperlink ref="D257" r:id="rId1829" display="https://www.google.com/url?q=https://github.com/AmrMorsySuperVision/-CompetitiveProgramming/blob/master/SRM558-D2-1000.cpp&amp;sa=D&amp;ust=1605639552629000&amp;usg=AFQjCNEsq24j6LEO72MsBHXR8S38vvnFwA" xr:uid="{0A719ED6-FD49-4141-AA0F-15F062CAEC94}"/>
    <hyperlink ref="D260" r:id="rId1830" display="https://www.google.com/url?q=https://www.quora.com/what-is-the-intuition-behind-this-spoj-com-problem-hubullu&amp;sa=D&amp;ust=1605639552631000&amp;usg=AFQjCNEnjdSY56JxT-tAXl01grcfvVzmRA" xr:uid="{88E8C34E-0AAE-45F9-913D-01230BA8CD72}"/>
    <hyperlink ref="A2379" r:id="rId1831" display="https://www.google.com/url?q=https://codeforces.com/gym/102394&amp;sa=D&amp;ust=1605639552632000&amp;usg=AFQjCNFGSjXd1gvcE4efRnijD3tVIHp4tQ" xr:uid="{8AEDAE1F-B2DD-4B2B-8E73-B06A6970FC05}"/>
    <hyperlink ref="D5711" r:id="rId1832" display="https://www.google.com/url?q=https://github.com/taow-com-prog/problemsolving/blob/master/CodeForces/CF102394-G.cpp&amp;sa=D&amp;ust=1605639552632000&amp;usg=AFQjCNEhoE1dSIkhGYDWU84uakzUwPSZNQ" xr:uid="{61C00962-F4D8-4B1D-B9D4-F2E118D30504}"/>
    <hyperlink ref="A2380" r:id="rId1833" display="https://www.google.com/url?q=https://www.codechef.com/problems/KNIGHT01&amp;sa=D&amp;ust=1605639552632000&amp;usg=AFQjCNGKiuaPMZkF8FEw-3CnB5VEqP3uIA" xr:uid="{59D18F6C-4693-4B5D-A7C9-B00E4EE28B3E}"/>
    <hyperlink ref="A2381" r:id="rId1834" display="https://www.google.com/url?q=https://www.codechef.com/problems/G3&amp;sa=D&amp;ust=1605639552633000&amp;usg=AFQjCNF1rvvhnic5A5ID47GJ15bNX-3kYg" xr:uid="{070D9564-C20F-4E61-AB62-70FDF40546BF}"/>
    <hyperlink ref="A2382" r:id="rId1835" display="https://www.google.com/url?q=https://www.codechef.com/problems/GTH&amp;sa=D&amp;ust=1605639552633000&amp;usg=AFQjCNFvNe1IjTqRDh4oMJLCf0Dr_pzGOQ" xr:uid="{BD267C02-E98C-4222-AF8D-B057C41A20B5}"/>
    <hyperlink ref="A1529" r:id="rId1836" display="https://www.google.com/url?q=https://www.codechef.com/problems/WPLAY&amp;sa=D&amp;ust=1605639552634000&amp;usg=AFQjCNEXQuZg5dlUPsLLhoIJk0fTPP7gSg" xr:uid="{2E0C7134-3AFA-44E4-96F0-33D88B621B66}"/>
    <hyperlink ref="A1531" r:id="rId1837" display="https://www.google.com/url?q=https://www.codechef.com/problems/ASTRGAME&amp;sa=D&amp;ust=1605639552635000&amp;usg=AFQjCNFUtlt0r5Fxwz9yb2dQqa1oyc5q1g" xr:uid="{9E299173-87ED-44DB-997C-5493A07CFA07}"/>
    <hyperlink ref="A1532" r:id="rId1838" display="https://www.google.com/url?q=https://www.codechef.com/problems/BIGPIZA&amp;sa=D&amp;ust=1605639552635000&amp;usg=AFQjCNHN1-4vSCG0oHEJas5qxgnB_NRWMg" xr:uid="{9ACF7C42-F5CF-4CB2-8F37-3078BB543781}"/>
    <hyperlink ref="A1533" r:id="rId1839" display="https://www.google.com/url?q=https://www.codechef.com/problems/CHEFBRO&amp;sa=D&amp;ust=1605639552635000&amp;usg=AFQjCNHKivG2dbGexjizw4hIgqKFo8qtRQ" xr:uid="{1D341692-BCF0-4D0E-AA0B-B8C88CF24738}"/>
    <hyperlink ref="A1534" r:id="rId1840" display="https://www.google.com/url?q=https://www.codechef.com/problems/TUZGMBR&amp;sa=D&amp;ust=1605639552636000&amp;usg=AFQjCNH4-XAQ2hoc_vSfoSpcBEYNL4M98A" xr:uid="{E0A0ECFE-EFF7-480E-B577-880A922F69F5}"/>
    <hyperlink ref="A1535" r:id="rId1841" display="https://www.google.com/url?q=https://coj.uci.cu/24h/problem.xhtml?pid%3D1822%26lang%3Den&amp;sa=D&amp;ust=1605639552636000&amp;usg=AFQjCNFO_LP_BUMkqPSbbG_AMy055WKX1Q" xr:uid="{126ECAD3-6601-43E8-A438-935523DEE262}"/>
    <hyperlink ref="A1536" r:id="rId1842" display="https://www.google.com/url?q=http://codeforces.com/problemset/problem/1037/G&amp;sa=D&amp;ust=1605639552637000&amp;usg=AFQjCNHRuu_eA_6IuxpB2Q_0Cm7GYG_1fw" xr:uid="{C182D366-1B69-4B25-8DE8-0F991F5F5B24}"/>
    <hyperlink ref="D5408" r:id="rId1843" display="https://www.google.com/url?q=https://github.com/tmwilliamlin168/CompetitiveProgramming/blob/master/CodeForces/CF1037-D12-G.cpp&amp;sa=D&amp;ust=1605639552637000&amp;usg=AFQjCNEsrMiqTWSnKmol4RT7aWWa6PwOyQ" xr:uid="{D15E845F-1FA7-45B8-912D-255E56606870}"/>
    <hyperlink ref="A1537" r:id="rId1844" display="https://www.google.com/url?q=https://arc087.contest.atcoder.jp/tasks/arc087_c&amp;sa=D&amp;ust=1605639552637000&amp;usg=AFQjCNHP0qJtNCd-MKrdCbkuwyybkLDaIA" xr:uid="{F1E51085-2CA5-469A-977C-AF04C93859EF}"/>
    <hyperlink ref="D4558" r:id="rId1845" display="https://www.google.com/url?q=https://github.com/racsosabe/CompetitiveProgramming/blob/master/AtCoder/AtCoder087-ARC-C.cpp&amp;sa=D&amp;ust=1605639552637000&amp;usg=AFQjCNFtFZewJCxBQig6xs8ljHZmsWcsKA" xr:uid="{929D95A2-7189-483F-82F1-A4830B4D486D}"/>
    <hyperlink ref="D4438" r:id="rId1846" display="https://www.google.com/url?q=https://github.com/MetalBall887/Competitive-Programming/blob/master/TopCoder/SRM561-D1-500.cpp&amp;sa=D&amp;ust=1605639552639000&amp;usg=AFQjCNGDJNSeBoiyEg-tzF1g2YkxilsPdA" xr:uid="{BC473BA5-EDCD-4293-99D3-9D4134D4950A}"/>
    <hyperlink ref="A1539" r:id="rId1847" display="https://www.google.com/url?q=https://atcoder.jp/contests/agc043/tasks/agc043_c&amp;sa=D&amp;ust=1605639552639000&amp;usg=AFQjCNHVfKb6QUuv6LTGx1ufFbhTeKQj_w" xr:uid="{CB7AF94D-7EC1-4C95-8D07-717A1A7ED079}"/>
    <hyperlink ref="A1540" r:id="rId1848" display="https://www.google.com/url?q=https://codeforces.com/gym/101908/problem/B&amp;sa=D&amp;ust=1605639552640000&amp;usg=AFQjCNEeqwtMWDlV57jGPCh8D2nMDo8hSg" xr:uid="{D766AEBF-2079-4DD8-B042-61DF5CE59863}"/>
    <hyperlink ref="D4163" r:id="rId1849" display="https://www.google.com/url?q=https://github.com/mostafa-saad/MyCompetitiveProgramming/blob/master/Codeforces/CF101908-GYM-B.txt&amp;sa=D&amp;ust=1605639552640000&amp;usg=AFQjCNGiSXmb5Y24-pmEzTMGK7oYwIVgWg" xr:uid="{B36D0134-6D49-4C4F-AA07-6C19E917B982}"/>
    <hyperlink ref="A1541" r:id="rId1850" display="https://www.google.com/url?q=https://www.codechef.com/COOK98A/problems/GHVSSI&amp;sa=D&amp;ust=1605639552640000&amp;usg=AFQjCNEVW7CpmzinQbOy3Xb_Jj_lmufGhA" xr:uid="{78457CDB-1D24-4D6E-9A56-BD193E627AED}"/>
    <hyperlink ref="D4164" r:id="rId1851" display="https://www.google.com/url?q=https://github.com/mostafa-saad/MyCompetitiveProgramming/blob/master/CodeChef/CODECHEF-GHVSSI.txt&amp;sa=D&amp;ust=1605639552641000&amp;usg=AFQjCNFNsRCmUtfc5A9saE6Lrd95lYWhFQ" xr:uid="{ACA896D1-757D-4F6B-8748-6D73ADA23ABA}"/>
    <hyperlink ref="A1542" r:id="rId1852" display="https://www.google.com/url?q=http://agc017.contest.atcoder.jp/tasks/agc017_d&amp;sa=D&amp;ust=1605639552641000&amp;usg=AFQjCNEdjb_jETZ0VWVijyfO334Kj4mwJg" xr:uid="{D11B82A4-E6B9-4CD1-AA3A-3CD9E41B4449}"/>
    <hyperlink ref="A1543" r:id="rId1853" display="https://www.google.com/url?q=http://codeforces.com/contest/305/problem/E&amp;sa=D&amp;ust=1605639552641000&amp;usg=AFQjCNFaHc1v79WezNKr-zE1ckiKUa5Nbw" xr:uid="{CF26841E-AC7F-4CCA-A8A1-B0D86B84B9E6}"/>
    <hyperlink ref="A1544" r:id="rId1854" display="https://www.google.com/url?q=https://onlinejudge.org/index.php?option%3Dcom_onlinejudge%26Itemid%3D8%26page%3Dshow_problem%26problem%3D4124&amp;sa=D&amp;ust=1605639552642000&amp;usg=AFQjCNHcHbBq4SrO-PF0RKIaaNE6Q0uU3A" xr:uid="{D4D0B79F-F216-4236-B478-AFF12859E145}"/>
    <hyperlink ref="D4167" r:id="rId1855" display="https://www.google.com/url?q=https://blog.csdn.net/y1196645376/article/details/52150885&amp;sa=D&amp;ust=1605639552642000&amp;usg=AFQjCNGFHt0y8rKmUiewzEM5klKiW-_cqQ" xr:uid="{F0A8D95D-B6E8-44BE-86A1-8EBC3BED44BD}"/>
    <hyperlink ref="D3800" r:id="rId1856" display="https://www.google.com/url?q=https://github.com/mostafa-saad/MyCompetitiveProgramming/blob/master/UVA/UVA_11840.txt&amp;sa=D&amp;ust=1605639552642000&amp;usg=AFQjCNFZP6nTPsholhq6QeTxhAQBev3pzQ" xr:uid="{088329B4-10BD-46A3-8BE7-FA905BA21277}"/>
    <hyperlink ref="D3801" r:id="rId1857" display="https://www.google.com/url?q=https://github.com/arvindr9/CompetitiveProgramming/blob/master/TopCoder/SRM389-D1-1000.cpp&amp;sa=D&amp;ust=1605639552643000&amp;usg=AFQjCNHVgYmJmPBHwVEW1rlFrAOfmu0LSw" xr:uid="{666C2B30-2BD3-4B82-9F28-57E2FC39E628}"/>
    <hyperlink ref="A1547" r:id="rId1858" display="https://www.google.com/url?q=https://codingcompetitions.withgoogle.com/codejam/round/00000000000516b9/0000000000134cdf&amp;sa=D&amp;ust=1605639552643000&amp;usg=AFQjCNHENmWZkvfnsRfrrM0Z7pfHWzb9DA" xr:uid="{A01936A1-5760-4CC8-A0FA-B21279A9D13F}"/>
    <hyperlink ref="A1548" r:id="rId1859" display="https://www.google.com/url?q=http://codeforces.com/contest/851/problem/E&amp;sa=D&amp;ust=1605639552644000&amp;usg=AFQjCNHEnIGcVCFDD2IoGQLw_xfv9ojzxQ" xr:uid="{A6207E0B-CE5F-4010-A0DC-66B4F22E51E0}"/>
    <hyperlink ref="A1549" r:id="rId1860" display="https://www.google.com/url?q=http://codeforces.com/contest/256/problem/C&amp;sa=D&amp;ust=1605639552644000&amp;usg=AFQjCNE38kpo99e2cusELVxDR87_Tfiuqw" xr:uid="{0F2B780F-7369-487F-891F-32190EE0AB21}"/>
    <hyperlink ref="A1550" r:id="rId1861" display="https://www.google.com/url?q=http://codeforces.com/contest/604/problem/E&amp;sa=D&amp;ust=1605639552644000&amp;usg=AFQjCNHyoesq-eqYNSWfP5tXWBob9K2Duw" xr:uid="{DB5F6D02-0E62-4BB5-9879-40F67B3FB220}"/>
    <hyperlink ref="A1551" r:id="rId1862" display="https://www.google.com/url?q=http://codeforces.com/contest/87/problem/C&amp;sa=D&amp;ust=1605639552645000&amp;usg=AFQjCNFuOhjwqv9pZqS01fCfwNvM0L_4Wg" xr:uid="{8D708A49-C310-4506-A8A2-A8683A395424}"/>
    <hyperlink ref="D3280" r:id="rId1863" display="https://www.google.com/url?q=https://github.com/arvindr9/CompetitiveProgramming/blob/master/CodeForces/CF87-D1-C.cpp&amp;sa=D&amp;ust=1605639552645000&amp;usg=AFQjCNE8v37fsNq1ThFwG4Zijrtq98HQ-w" xr:uid="{08CD0DE8-3E6D-494F-A0C6-9D7741CCA5C9}"/>
    <hyperlink ref="D3281" r:id="rId1864" display="https://www.google.com/url?q=https://github.com/goswami-rahul/competitive-coding/blob/master/CompetitiveProgramming/timus/1540.cpp&amp;sa=D&amp;ust=1605639552645000&amp;usg=AFQjCNHn00ayBy9XdDsiKk5pUa67txcwdw" xr:uid="{6CA9C06C-A65F-402E-8A3A-367B05E48552}"/>
    <hyperlink ref="A1553" r:id="rId1865" display="https://www.google.com/url?q=https://codeforces.com/gym/102058/problem/F&amp;sa=D&amp;ust=1605639552646000&amp;usg=AFQjCNH3s6mdXP4-wJ8DAeljChtgxC-iyA" xr:uid="{D10FCA68-911E-425D-9A9A-3FD050169B9D}"/>
    <hyperlink ref="D3282" r:id="rId1866" display="https://www.google.com/url?q=https://github.com/MetalBall887/Competitive-Programming/blob/master/CodeForces/CF102058-GYM-F.cpp&amp;sa=D&amp;ust=1605639552646000&amp;usg=AFQjCNFbU-spOlvypKbKdsxNcrkn2ckLLw" xr:uid="{5DF725C9-75F6-410A-BC04-50271EB31E45}"/>
    <hyperlink ref="D3283" r:id="rId1867" display="https://www.google.com/url?q=https://github.com/mostafa-saad/MyCompetitiveProgramming/blob/master/SPOJ/SPOJ_TRIOMINO.txt&amp;sa=D&amp;ust=1605639552646000&amp;usg=AFQjCNGiVygcdC_lBqxsH-hwNABI2T5VDw" xr:uid="{7921004F-116E-481D-B49E-787C4E5680A7}"/>
    <hyperlink ref="A1555" r:id="rId1868" display="https://www.google.com/url?q=https://www.codechef.com/COOK102B/problems/ADAPWNS&amp;sa=D&amp;ust=1605639552647000&amp;usg=AFQjCNH5MMVOyRaEr2aXJttpQf8JFZqF2A" xr:uid="{64F1446B-3966-4E1C-8FAF-7974EAA1B34F}"/>
    <hyperlink ref="A1556" r:id="rId1869" display="https://www.google.com/url?q=https://www.hackerrank.com/challenges/digits-square-board-1&amp;sa=D&amp;ust=1605639552647000&amp;usg=AFQjCNG9m5WBDLgI4F5N7bT6gMriZ37UMg" xr:uid="{39E060EA-6F5C-4C12-9B27-1E6BB96DB90F}"/>
    <hyperlink ref="A1557" r:id="rId1870" display="https://www.google.com/url?q=http://codeforces.com/contest/88/problem/E&amp;sa=D&amp;ust=1605639552648000&amp;usg=AFQjCNGcN4gQeGgdI29tChDGxBVkr2qFZQ" xr:uid="{9B35E1D0-8989-4025-9862-B3987B4CE072}"/>
    <hyperlink ref="A1558" r:id="rId1871" display="https://www.google.com/url?q=http://codeforces.com/contest/15/problem/C&amp;sa=D&amp;ust=1605639552649000&amp;usg=AFQjCNEwwLR_1WlP7ChOlHTAv_ARVJR5QQ" xr:uid="{13008CCF-969E-492A-88F0-20EF55189057}"/>
    <hyperlink ref="A1559" r:id="rId1872" display="https://www.google.com/url?q=https://onlinejudge.org/index.php?option%3Dcom_onlinejudge%26Itemid%3D8%26category%3D229%26page%3Dshow_problem%26problem%3D3078&amp;sa=D&amp;ust=1605639552649000&amp;usg=AFQjCNF_ffFfCw2b_d2P35tuim2VPpIq-Q" xr:uid="{0A8A3CCE-968A-437C-9035-5D030B488076}"/>
    <hyperlink ref="D2673" r:id="rId1873" display="https://www.google.com/url?q=https://blog.csdn.net/accelerator_/article/details/37881301&amp;sa=D&amp;ust=1605639552649000&amp;usg=AFQjCNFGWgBNPYNP7Yya7JuA9gciH_yy6w" xr:uid="{371928EC-1F95-4F98-BCE1-363286FC8734}"/>
    <hyperlink ref="A1560" r:id="rId1874" display="https://www.google.com/url?q=https://www.codechef.com/problems/PSHTBRTH&amp;sa=D&amp;ust=1605639552650000&amp;usg=AFQjCNGPi0L_sUk4qI5LZ6BHayv1gUKsow" xr:uid="{F6B2795A-F8EE-4BAF-8865-0D941D09CFFE}"/>
    <hyperlink ref="A1561" r:id="rId1875" display="https://www.google.com/url?q=https://www.hackerearth.com/fr/practice/algorithms/dynamic-programming/2-dimensional/practice-problems/algorithm/prime-game-1-2604365b/&amp;sa=D&amp;ust=1605639552650000&amp;usg=AFQjCNEDZsuKNuCJUCF9KhJw8OI_XqH3Hw" xr:uid="{F0E06161-01FD-409F-B76B-49B36EE82694}"/>
    <hyperlink ref="A1564" r:id="rId1876" display="https://www.google.com/url?q=http://codeforces.com/contest/768/problem/E&amp;sa=D&amp;ust=1605639552651000&amp;usg=AFQjCNHMWYgxaW-27IPFoGwKdPxXl4BaXQ" xr:uid="{C76E9F43-58D0-4E54-A23E-CA77BEB71EC1}"/>
    <hyperlink ref="A1568" r:id="rId1877" display="https://www.google.com/url?q=http://codeforces.com/gym/100500/&amp;sa=D&amp;ust=1605639552652000&amp;usg=AFQjCNGB5L1ENIKXqOPUp-fbl-dTrSE8RA" xr:uid="{CCE419D9-0647-43CB-9C6E-D1E6A5077FD8}"/>
    <hyperlink ref="A1569" r:id="rId1878" display="https://www.google.com/url?q=https://www.codechef.com/problems/LAMQUGAM&amp;sa=D&amp;ust=1605639552653000&amp;usg=AFQjCNF9u9Hgi_aB7izhy_hphGurjRRw9w" xr:uid="{2F3CEE62-7853-41A0-BE98-69EB7C527600}"/>
    <hyperlink ref="A1570" r:id="rId1879" display="https://www.google.com/url?q=http://codeforces.com/gym/100379/&amp;sa=D&amp;ust=1605639552653000&amp;usg=AFQjCNGJTreNcJUjwQ5-u3BMUgVbxD-zXg" xr:uid="{78089BD0-EB64-457E-9D3B-9989E707F377}"/>
    <hyperlink ref="A1571" r:id="rId1880" display="https://www.google.com/url?q=http://codeforces.com/contest/282/problem/D&amp;sa=D&amp;ust=1605639552653000&amp;usg=AFQjCNFO4WhlCjC0FCEZiorGWM_j0KwmBw" xr:uid="{0F85E36F-9ED7-4F29-BA67-8E7535525C0E}"/>
    <hyperlink ref="A1572" r:id="rId1881" display="https://www.google.com/url?q=http://acm.hdu.edu.cn/showproblem.php?pid%3D2177&amp;sa=D&amp;ust=1605639552654000&amp;usg=AFQjCNH50VM-4dRDLBwPuzneiP1Ui90QHw" xr:uid="{CF9EA84A-C037-4ED0-BC24-0A66FCC0912F}"/>
    <hyperlink ref="A1573" r:id="rId1882" display="https://www.google.com/url?q=http://codeforces.com/contest/98/problem/C&amp;sa=D&amp;ust=1605639552654000&amp;usg=AFQjCNHavTtoznfJQGTQZ9IbKLS_tUsXHg" xr:uid="{8B3E2714-0D2B-4E4F-8666-E4EA27C899E3}"/>
    <hyperlink ref="A1574" r:id="rId1883" display="https://www.google.com/url?q=https://www.hackerrank.com/challenges/hard-homework&amp;sa=D&amp;ust=1605639552655000&amp;usg=AFQjCNHWpFfRFNnNN70CegUAQKTX-2A0Zg" xr:uid="{5846EE22-E546-4EA1-A7B3-01E44745EB8B}"/>
    <hyperlink ref="A1575" r:id="rId1884" display="https://www.google.com/url?q=https://www.hackerrank.com/challenges/n-letter&amp;sa=D&amp;ust=1605639552655000&amp;usg=AFQjCNGOgOjbbfIvvRvTq74mUvngzx1CVg" xr:uid="{27E58492-FC65-46CD-81D0-52ED1C9D3A8E}"/>
    <hyperlink ref="A1581" r:id="rId1885" display="https://www.google.com/url?q=https://www.hackerrank.com/challenges/count-triangles&amp;sa=D&amp;ust=1605639552657000&amp;usg=AFQjCNH4KZfH7oUUvzKs61R943sEz-gddg" xr:uid="{8807F25A-9542-48B2-BB65-BDBF436D132B}"/>
    <hyperlink ref="A1582" r:id="rId1886" display="https://www.google.com/url?q=http://codeforces.com/contest/420/problem/E&amp;sa=D&amp;ust=1605639552657000&amp;usg=AFQjCNEJuiJqKbdWICNk7oT1l3mxAGE5Og" xr:uid="{5C4EF734-2E1C-4CE3-B6CE-1ED6830EBFA9}"/>
    <hyperlink ref="A1583" r:id="rId1887" display="https://www.google.com/url?q=http://codeforces.com/contest/213/problem/D&amp;sa=D&amp;ust=1605639552658000&amp;usg=AFQjCNHXyqc4vO_Irpxu4lBZhVOg4jjHig" xr:uid="{975A447E-95F9-4F01-82CA-289A54A07A32}"/>
    <hyperlink ref="A1598" r:id="rId1888" display="https://www.google.com/url?q=http://codeforces.com/contest/46/problem/G&amp;sa=D&amp;ust=1605639552660000&amp;usg=AFQjCNHdqwlsy9NHXqpeeCW23J7RK0Mf2A" xr:uid="{384E2F16-C0D8-4A10-A4A3-536D0EC573C6}"/>
    <hyperlink ref="A1599" r:id="rId1889" display="https://www.google.com/url?q=http://codeforces.com/contest/67/problem/E&amp;sa=D&amp;ust=1605639552660000&amp;usg=AFQjCNHrcK5Rqgs8xtTV1nXMNFEEbIKX4Q" xr:uid="{311B0DB5-388B-45B7-88C2-6AB8A4FBF337}"/>
    <hyperlink ref="A1600" r:id="rId1890" display="https://www.google.com/url?q=http://codeforces.com/contest/82/problem/E&amp;sa=D&amp;ust=1605639552660000&amp;usg=AFQjCNGeNk03x9tI6ztz2HctcM5U466rRA" xr:uid="{F2A6338F-F7A7-49B2-B10D-C4F1330ED690}"/>
    <hyperlink ref="A1601" r:id="rId1891" display="https://www.google.com/url?q=http://codeforces.com/contest/30/problem/D&amp;sa=D&amp;ust=1605639552661000&amp;usg=AFQjCNGX3xJRAaLQmvmfYOi33tCR7L3k0Q" xr:uid="{3BD01134-5CA9-4DAE-BA1D-2DF6DA01A12F}"/>
    <hyperlink ref="A1602" r:id="rId1892" display="https://www.google.com/url?q=http://codeforces.com/problemset/problem/1071/E&amp;sa=D&amp;ust=1605639552661000&amp;usg=AFQjCNFpb-tqZGB6g-9ux846hxlCKZ76HA" xr:uid="{7634D25E-DE77-49D1-9963-274E5C301009}"/>
    <hyperlink ref="A1603" r:id="rId1893" display="https://www.google.com/url?q=http://codeforces.com/contest/55/problem/E&amp;sa=D&amp;ust=1605639552662000&amp;usg=AFQjCNH9eQKmWYivyUF4CXxPipKKtYTlOg" xr:uid="{60969BEA-B819-4F8C-8229-808B411F127F}"/>
    <hyperlink ref="A1604" r:id="rId1894" display="https://www.google.com/url?q=http://codeforces.com/contest/13/problem/D&amp;sa=D&amp;ust=1605639552662000&amp;usg=AFQjCNGEP9DPLuX7QjZJM45WXX_y7m6qkA" xr:uid="{E6554B50-72EE-4708-B0F9-7E157BF41BC2}"/>
    <hyperlink ref="A1605" r:id="rId1895" display="https://www.google.com/url?q=http://codeforces.com/contest/62/problem/C&amp;sa=D&amp;ust=1605639552662000&amp;usg=AFQjCNE_fYd-4yTS54tQZgdxyxHISSzBAQ" xr:uid="{ADB68A32-DA2A-4D27-942C-BCDB3F501ABC}"/>
    <hyperlink ref="D5117" r:id="rId1896" display="https://www.google.com/url?q=https://github.com/infnty/acm/blob/master/acm.uva.es/10864.c&amp;sa=D&amp;ust=1605639552666000&amp;usg=AFQjCNEuB-ffzqV4qFKBy0eDyPykDFfEEw" xr:uid="{FF827955-6F2D-4246-AE37-96B059882FB4}"/>
    <hyperlink ref="A1617" r:id="rId1897" display="https://www.google.com/url?q=https://onlinejudge.org/index.php?option%3Donlinejudge%26page%3Dshow_problem%26problem%3D5136&amp;sa=D&amp;ust=1605639552667000&amp;usg=AFQjCNHjEf8UND4rcB4AL7K8ycxw49ANMQ" xr:uid="{91688EA1-A70C-4431-8ADC-48D0D44DCF52}"/>
    <hyperlink ref="A1618" r:id="rId1898" display="https://www.google.com/url?q=http://codeforces.com/contest/559/problem/D&amp;sa=D&amp;ust=1605639552667000&amp;usg=AFQjCNFU2MgtRwd1Vg21k7AB8lS_dX3zGQ" xr:uid="{F7646153-669D-464E-B2FB-55D28ABE0B5F}"/>
    <hyperlink ref="A1624" r:id="rId1899" display="https://www.google.com/url?q=http://codeforces.com/gym/100015/problem/E&amp;sa=D&amp;ust=1605639552670000&amp;usg=AFQjCNE6ewHLd5tcypsg9u6G4niq2Ca9lA" xr:uid="{58EF343B-83E5-4C34-8248-84F7C3FEE578}"/>
    <hyperlink ref="A1630" r:id="rId1900" display="https://www.google.com/url?q=http://codeforces.com/contest/592/problem/E&amp;sa=D&amp;ust=1605639552672000&amp;usg=AFQjCNGmjYlUckZGi2mOm04m8uCcLN_3RQ" xr:uid="{5062116E-71E5-4606-8EBB-BCB9D2028DBE}"/>
    <hyperlink ref="A1632" r:id="rId1901" display="https://www.google.com/url?q=https://www.hackerrank.com/challenges/isosceles-triangles&amp;sa=D&amp;ust=1605639552672000&amp;usg=AFQjCNGQ1Zjo7Y_kyx0zmq5fIailJ7TOMg" xr:uid="{CC484D10-E496-4B20-A471-8CB719D6E8C5}"/>
    <hyperlink ref="D4759" r:id="rId1902" display="https://www.google.com/url?q=https://github.com/shanto86/Training/blob/master/Hackerrank/HACKR%2520isosceles-triangles.cpp&amp;sa=D&amp;ust=1605639552672000&amp;usg=AFQjCNHBielgcAeZpyJ_W8o-g8tYRTVzCA" xr:uid="{1C1706DD-BB1B-4DD4-B2B2-CA757096BD1C}"/>
    <hyperlink ref="A1648" r:id="rId1903" display="https://www.google.com/url?q=https://onlinejudge.org/external/111/p11123.pdf&amp;sa=D&amp;ust=1605639552675000&amp;usg=AFQjCNFxmwYqFpOoRD-vczqJd2USF6RspA" xr:uid="{1553F7CF-1705-4A03-8EAC-4098FC8BA3F1}"/>
    <hyperlink ref="D4439" r:id="rId1904" display="https://www.google.com/url?q=https://github.com/DrSchwad/CompetitiveProgramming/blob/master/UVA/UVA%252011123.cpp&amp;sa=D&amp;ust=1605639552675000&amp;usg=AFQjCNFakXRaMlmcflLrec4qCX42PBUPwQ" xr:uid="{9B736AF9-361E-413C-88B4-48ECA3BDE17D}"/>
    <hyperlink ref="A1649" r:id="rId1905" display="https://www.google.com/url?q=https://codeforces.com/contest/1159/problem/F&amp;sa=D&amp;ust=1605639552675000&amp;usg=AFQjCNG1PNkBP7M7g6oPNtSPcfAxhILcyg" xr:uid="{03235E7A-7898-4DC3-8EC7-B2DA9BF6A466}"/>
    <hyperlink ref="D4441" r:id="rId1906" display="https://www.google.com/url?q=https://github.com/mostafa-saad/MyCompetitiveProgramming/blob/master/SPOJ/SPOJ_EQBOX.txt&amp;sa=D&amp;ust=1605639552676000&amp;usg=AFQjCNGb-R8KQoVJKzkAltppvg-KRFPpZw" xr:uid="{6D3ACDC2-46CB-48F0-B751-8B128B44561D}"/>
    <hyperlink ref="A1675" r:id="rId1907" display="https://www.google.com/url?q=https://codeforces.com/contest/667/problem/E&amp;sa=D&amp;ust=1605639552676000&amp;usg=AFQjCNGQtzhet44D1RN-NIVTFim51ef8Yg" xr:uid="{9993EBFB-A4A2-44CA-BDEA-86B6C906AF8D}"/>
    <hyperlink ref="D4442" r:id="rId1908" display="https://www.google.com/url?q=https://github.com/LeTrongDat/CompetitiveProgramming/blob/master/Codeforces/CF667-D2-E.cpp&amp;sa=D&amp;ust=1605639552676000&amp;usg=AFQjCNGnW8r1LLdUNnizzGcpCbtXveyb5A" xr:uid="{958B4150-36BF-4414-8319-6046EE868917}"/>
    <hyperlink ref="D4454" r:id="rId1909" display="https://www.google.com/url?q=http://www.cnblogs.com/jie-dcai/p/3871169.html&amp;sa=D&amp;ust=1605639552681000&amp;usg=AFQjCNH4rvjlBMVM7WvpiwMT4KdG8TQVqw" xr:uid="{E26BDCE8-B876-415F-9E18-CD097C80294F}"/>
    <hyperlink ref="D4168" r:id="rId1910" display="https://www.google.com/url?q=https://github.com/shanto86/Training/blob/master/TopCoder/SRM433-D1-500.cpp&amp;sa=D&amp;ust=1605639552681000&amp;usg=AFQjCNG-SbCVNyXXFZdES7nSvhf8HG98uA" xr:uid="{DC34889E-90CC-4E2D-B212-53EDD574A8B1}"/>
    <hyperlink ref="A2389" r:id="rId1911" display="https://www.google.com/url?q=http://codeforces.com/contest/76/problem/F&amp;sa=D&amp;ust=1605639552682000&amp;usg=AFQjCNFR_2fy_dQ9Yj_zhAVVktLOC8P6Rw" xr:uid="{5105CC5E-D921-4D8E-A2E3-6402B03B7F6E}"/>
    <hyperlink ref="D4176" r:id="rId1912" display="https://www.google.com/url?q=https://www.cnblogs.com/lienus/p/4330618.html&amp;sa=D&amp;ust=1605639552684000&amp;usg=AFQjCNE-grO1QQ7kUXtuT2ReV-Wzl5YOfg" xr:uid="{28CD2DA3-3C8F-47FD-86D5-CBCFED1124C4}"/>
    <hyperlink ref="D3804" r:id="rId1913" display="https://www.google.com/url?q=https://github.com/jebouin/CompetitiveProgramming/blob/master/Timus/TIMUS%25201451.cpp&amp;sa=D&amp;ust=1605639552686000&amp;usg=AFQjCNEqivXvOxBtqeRNnB80cPMjZWDGHQ" xr:uid="{705F77B5-F441-43E1-85C3-53838377EA62}"/>
    <hyperlink ref="D3806" r:id="rId1914" display="https://www.google.com/url?q=https://github.com/mostafa-saad/MyCompetitiveProgramming/blob/master/UVA/UVA_1333.txt&amp;sa=D&amp;ust=1605639552687000&amp;usg=AFQjCNHCdRhD5wbFNeYvnvfI3YoCuHLaNw" xr:uid="{D1C24A31-A819-4BD3-BEB1-ABDF213A73EE}"/>
    <hyperlink ref="A2413" r:id="rId1915" display="https://www.google.com/url?q=https://onlinejudge.org/index.php?option%3Dcom_onlinejudge%26Itemid%3D8%26page%3Dshow_problem%26problem%3D2119&amp;sa=D&amp;ust=1605639552687000&amp;usg=AFQjCNFtllcMwh9i3mGXxJOr98gFFVjwPg" xr:uid="{544833D2-3847-4167-B76C-5B5E811F06D5}"/>
    <hyperlink ref="D3807" r:id="rId1916" display="https://www.google.com/url?q=https://morris821028.github.io/2014/06/24/oj/uva/uva-11178/&amp;sa=D&amp;ust=1605639552688000&amp;usg=AFQjCNETSEqRVDZcbj1DQd0__sMYx-SCLQ" xr:uid="{5920DA0E-77E1-4DCF-8D77-AE2772E838B3}"/>
    <hyperlink ref="A2417" r:id="rId1917" display="https://www.google.com/url?q=http://codeforces.com/contest/281/problem/C&amp;sa=D&amp;ust=1605639552689000&amp;usg=AFQjCNHQ9bG8ji8clcWCYzc-RlfyZyY30A" xr:uid="{41E226D8-E7B6-4021-9005-727D066E883B}"/>
    <hyperlink ref="D3809" r:id="rId1918" display="https://www.google.com/url?q=https://github.com/sggutier/CompetitiveProgramming/blob/master/Codeforces/CF281-D2-C.cpp&amp;sa=D&amp;ust=1605639552689000&amp;usg=AFQjCNFeB4jtWlQeJxw2718XwI9xL0bvyg" xr:uid="{1024C4DF-7E0F-4C6F-ADA4-B562B4D972BB}"/>
    <hyperlink ref="A2418" r:id="rId1919" display="https://www.google.com/url?q=http://agc016.contest.atcoder.jp/tasks/agc016_b&amp;sa=D&amp;ust=1605639552690000&amp;usg=AFQjCNHVHGD8jFYLa6i30W1NmjXK_fKKww" xr:uid="{54893B9F-5FCA-40F5-950E-68F6F86032D6}"/>
    <hyperlink ref="A2419" r:id="rId1920" display="https://www.google.com/url?q=https://codeforces.com/contest/1270/problem/E&amp;sa=D&amp;ust=1605639552690000&amp;usg=AFQjCNGTyKPKSz26Ygnv1A5LIVy3wYOO6A" xr:uid="{F59EE929-D728-49AE-817C-1B64FF5D91A3}"/>
    <hyperlink ref="A2420" r:id="rId1921" display="https://www.google.com/url?q=http://codeforces.com/contest/23/problem/D&amp;sa=D&amp;ust=1605639552691000&amp;usg=AFQjCNFJUQ96rEPYj_HwWDlg3JrUyeIVTw" xr:uid="{2037B3CB-6B84-4845-BE79-DDD1506E574E}"/>
    <hyperlink ref="A2422" r:id="rId1922" display="https://www.google.com/url?q=https://www.hackerearth.com/problem/algorithm/flying-square-4a157cad/&amp;sa=D&amp;ust=1605639552691000&amp;usg=AFQjCNGvBZxWLQBHLf95zlJcwL7AD7hwOg" xr:uid="{72A6C69F-8649-4BA1-9C9E-AB6833439520}"/>
    <hyperlink ref="A2424" r:id="rId1923" display="https://www.google.com/url?q=https://codeforces.com/contest/703/problem/C&amp;sa=D&amp;ust=1605639552692000&amp;usg=AFQjCNGJN0wu71SUAbURWjtLCpZH4ANeHQ" xr:uid="{3A8D86AE-2350-4D17-933F-7D13FDBE649E}"/>
    <hyperlink ref="A2425" r:id="rId1924" display="https://www.google.com/url?q=http://codeforces.com/gym/101726/problem/J&amp;sa=D&amp;ust=1605639552693000&amp;usg=AFQjCNG2RIHr3cCxCZaqdM4cSSlQ4uUicA" xr:uid="{80BC9944-4FD8-421D-92C9-807A1F2ABF5C}"/>
    <hyperlink ref="D3292" r:id="rId1925" display="https://www.google.com/url?q=https://github.com/mostafa-saad/MyCompetitiveProgramming/blob/master/UVA/UVA_11648.txt&amp;sa=D&amp;ust=1605639552693000&amp;usg=AFQjCNFPyiGyLv-SE-L76zlNtq866D7egA" xr:uid="{0148BE79-B118-41EA-8BD9-3080181A139E}"/>
    <hyperlink ref="D3293" r:id="rId1926" display="https://www.google.com/url?q=https://github.com/ryuzmukhametov/CompetitiveProgramming/blob/master/livearchive/LIVEARCHIVE%25204043.cpp&amp;sa=D&amp;ust=1605639552694000&amp;usg=AFQjCNFfWwb6ma1b6HpJtbke5QNTZ-qoDQ" xr:uid="{FDB0F5FF-BB92-465E-8CBB-F36093DBF220}"/>
    <hyperlink ref="A2393" r:id="rId1927" display="https://www.google.com/url?q=https://codeforces.com/contest/1074/problem/C&amp;sa=D&amp;ust=1605639552694000&amp;usg=AFQjCNHuOEom-XpEKytQ9rQskf6reSch6g" xr:uid="{1573084F-DC86-4332-9283-C1616C44FFF2}"/>
    <hyperlink ref="D3296" r:id="rId1928" display="https://www.google.com/url?q=https://github.com/arvindr9/CompetitiveProgramming/blob/master/Timus/TIMUS%25201647.cpp&amp;sa=D&amp;ust=1605639552696000&amp;usg=AFQjCNHcQ2biY-KwYPQPQeph63DvSQdGiA" xr:uid="{BCAA0F96-5BB0-4718-98A2-AD73324799AA}"/>
    <hyperlink ref="D3297" r:id="rId1929" display="https://www.google.com/url?q=https://github.com/mostafa-saad/MyCompetitiveProgramming/blob/master/UVA/UVA_1331.txt&amp;sa=D&amp;ust=1605639552696000&amp;usg=AFQjCNGSzImPddwMQUiRCxIDuw8yQzTU1Q" xr:uid="{DF024336-D932-4353-8EC4-5E48926008AE}"/>
    <hyperlink ref="A2398" r:id="rId1930" display="https://www.google.com/url?q=https://codeforces.com/contest/600/problem/D&amp;sa=D&amp;ust=1605639552697000&amp;usg=AFQjCNE3lawUzEYao610waj6ZJaSYvl72w" xr:uid="{4601BF77-58F9-4A22-9C12-7DCCD65D0D03}"/>
    <hyperlink ref="D3300" r:id="rId1931" display="https://www.google.com/url?q=https://github.com/TheRealImaginary/CompetitiveProgramming/blob/master/UVA/UVA_11130_BilliardBounces.java&amp;sa=D&amp;ust=1605639552698000&amp;usg=AFQjCNGsXas92WWu3B9J3Z1R4AWElXfZBQ" xr:uid="{9E45AC88-8073-4A65-A320-369635765905}"/>
    <hyperlink ref="D3301" r:id="rId1932" display="https://www.google.com/url?q=https://github.com/ryuzmukhametov/CompetitiveProgramming/blob/master/uva/UVA%25201606.cpp&amp;sa=D&amp;ust=1605639552698000&amp;usg=AFQjCNHyAuAAsb4IrIMrHxdblm7WwSqbSw" xr:uid="{AE06C730-D9C4-40C5-8A92-91777EEA865C}"/>
    <hyperlink ref="A2401" r:id="rId1933" display="https://www.google.com/url?q=http://codeforces.com/contest/346/problem/D&amp;sa=D&amp;ust=1605639552698000&amp;usg=AFQjCNE0rFxqaARqDC6j6mUhRYjtGZlBGA" xr:uid="{D0E7B1D1-7887-4D3A-9E75-FB787CA9D37E}"/>
    <hyperlink ref="D3307" r:id="rId1934" display="https://www.google.com/url?q=http://harunurrashid-coding.blogspot.com/2014/08/problem-link-httpwww_19.html&amp;sa=D&amp;ust=1605639552701000&amp;usg=AFQjCNHieJ9HKspZu-_JnE6knWexiB0FEg" xr:uid="{4DC512D8-882A-490F-A878-B216977CBD7C}"/>
    <hyperlink ref="D2902" r:id="rId1935" display="https://www.google.com/url?q=https://ideone.com/Y9T8GY&amp;sa=D&amp;ust=1605639552702000&amp;usg=AFQjCNHz12YRZ1jE6yhh8UZox1GbdQEGdg" xr:uid="{B619A879-9909-46ED-BE2E-3A0A9ED6112F}"/>
    <hyperlink ref="D2675" r:id="rId1936" display="https://www.google.com/url?q=https://github.com/OmarHashim/Competitive-Programming/blob/master/UVA/10288.cpp&amp;sa=D&amp;ust=1605639552702000&amp;usg=AFQjCNF3i1ZdVFtZjJSXI8O_phI3LTnpUg" xr:uid="{F751ACCC-E608-4C6F-BAD9-15E03A2502A9}"/>
    <hyperlink ref="D2676" r:id="rId1937" display="https://www.google.com/url?q=https://github.com/mostafa-saad/MyCompetitiveProgramming/blob/master/UVA/UVA_11579.txt&amp;sa=D&amp;ust=1605639552703000&amp;usg=AFQjCNEudqmRMhV5A5f4lmGsYxUy0P3BuQ" xr:uid="{E02FF848-9412-423E-85E9-157B0A34049D}"/>
    <hyperlink ref="D2677" r:id="rId1938" display="https://www.google.com/url?q=https://github.com/goswami-rahul/competitive-coding/blob/master/CompetitiveProgramming/spoj/WRONG.cpp&amp;sa=D&amp;ust=1605639552703000&amp;usg=AFQjCNE2vhBPM7A4Ru7PhZClDJEwpAXCGQ" xr:uid="{5B89EF23-10CD-4430-A3A1-F0F331C3570A}"/>
    <hyperlink ref="A2435" r:id="rId1939" display="https://www.google.com/url?q=https://codeforces.com/gym/100112/attachments&amp;sa=D&amp;ust=1605639552703000&amp;usg=AFQjCNEY_QvJMeXmiXJX0mqvMJ8eykEf0w" xr:uid="{5CE438DB-9FF3-4D02-91E4-D663675365EF}"/>
    <hyperlink ref="D2678" r:id="rId1940" display="https://www.google.com/url?q=https://github.com/AhmedElsisy/CompetitiveProgramming/blob/master/Codeforces/CF100112-GYM-E.cpp&amp;sa=D&amp;ust=1605639552704000&amp;usg=AFQjCNHrPmkk9h0Lk6B-vYjqku0kW-hjLA" xr:uid="{E2D8766F-317C-4221-BB40-9350A62BB822}"/>
    <hyperlink ref="A2436" r:id="rId1941" display="https://www.google.com/url?q=https://codeforces.com/contest/1064/problem/E&amp;sa=D&amp;ust=1605639552704000&amp;usg=AFQjCNEKC5sT3vEfOUaTw6UTsbA1hmoQFQ" xr:uid="{3E1480E1-A827-49C0-AB20-E166678CB781}"/>
    <hyperlink ref="A2437" r:id="rId1942" display="https://www.google.com/url?q=https://agc001.contest.atcoder.jp/tasks/agc001_b&amp;sa=D&amp;ust=1605639552705000&amp;usg=AFQjCNG8wksYeJqKdoue76LXi2mBxAAlTg" xr:uid="{E1F3177E-3AA4-457D-92B6-A4A3299061E8}"/>
    <hyperlink ref="A2438" r:id="rId1943" display="https://www.google.com/url?q=https://www.codechef.com/FEB19A/problems/MANRECT&amp;sa=D&amp;ust=1605639552705000&amp;usg=AFQjCNG8JDVwgX2xbF4eCQj__xHWE45JFg" xr:uid="{70CA2F25-3EBB-4713-9FA4-F47180C321AD}"/>
    <hyperlink ref="A2439" r:id="rId1944" display="https://www.google.com/url?q=https://codeforces.com/gym/101917/problem/E&amp;sa=D&amp;ust=1605639552705000&amp;usg=AFQjCNGDOx2vwRnN9jLCfQxWRdPG5jfsxg" xr:uid="{9BBEEC27-3769-451E-81FA-DF3A0EC6FC9F}"/>
    <hyperlink ref="D2682" r:id="rId1945" display="https://www.google.com/url?q=https://github.com/Huvok/CompetitiveProgramming/blob/master/Codeforces/CF101917-D12-E.cpp&amp;sa=D&amp;ust=1605639552705000&amp;usg=AFQjCNEoJ7hFTMTjSEx5rzQXd14gR0_R3A" xr:uid="{DCDE3999-D942-4E04-A383-5AC54EB42268}"/>
    <hyperlink ref="A2440" r:id="rId1946" display="https://www.google.com/url?q=http://codeforces.com/gym/100531/problem/H&amp;sa=D&amp;ust=1605639552706000&amp;usg=AFQjCNGcYIY-Iq8ySQbriCPtO4-4uwWOKg" xr:uid="{3A56283E-BBFB-402E-AB55-EAD0B6802AC4}"/>
    <hyperlink ref="D2683" r:id="rId1947" display="https://www.google.com/url?q=https://github.com/OmarHashim/Competitive-Programming/blob/master/CodeForces/CF100531-GYM-H.cpp&amp;sa=D&amp;ust=1605639552706000&amp;usg=AFQjCNFiuCha8G8lJ_RS1XgmcNsEO6plXA" xr:uid="{D4D4BEDE-C439-40FC-920F-4DCE503AECC0}"/>
    <hyperlink ref="A2441" r:id="rId1948" display="https://www.google.com/url?q=http://codeforces.com/gym/101177/problem/D&amp;sa=D&amp;ust=1605639552706000&amp;usg=AFQjCNGKUUt006yoDIXOSY7JICcZmpgQkw" xr:uid="{D19B8215-9895-4A91-A99A-0A7901137D2B}"/>
    <hyperlink ref="D2684" r:id="rId1949" display="https://www.google.com/url?q=https://github.com/mostafa-saad/MyCompetitiveProgramming/blob/master/Codeforces/CF101177-GYM-D.txt&amp;sa=D&amp;ust=1605639552706000&amp;usg=AFQjCNFstmoljp07-QKfknh8ssts_tsgkg" xr:uid="{EC88447B-5817-449A-8F91-B1620931A7AD}"/>
    <hyperlink ref="D2686" r:id="rId1950" display="https://www.google.com/url?q=https://github.com/mostafa-saad/MyCompetitiveProgramming/blob/master/LiveArchive/LiveArchive_2688.txt&amp;sa=D&amp;ust=1605639552707000&amp;usg=AFQjCNGIHZ1F8GlUsJxGDF3DkH5jpU0zCA" xr:uid="{AEBDC391-19F0-47B3-9008-FEE2ED4E5092}"/>
    <hyperlink ref="A2444" r:id="rId1951" display="https://www.google.com/url?q=http://codeforces.com/contest/1030/problem/D&amp;sa=D&amp;ust=1605639552708000&amp;usg=AFQjCNGw7qtZvmWZSoDg28WIpW65MjvPlA" xr:uid="{A6E22898-8B0A-43A6-BD4A-C200A396D5FD}"/>
    <hyperlink ref="D1959" r:id="rId1952" display="https://www.google.com/url?q=https://github.com/mostafa-saad/MyCompetitiveProgramming/blob/master/UVA/UVA_11909.txt&amp;sa=D&amp;ust=1605639552708000&amp;usg=AFQjCNEsYAfI_puCPXB6m37TrZDslPcSDw" xr:uid="{F1472F8C-DECF-42DE-900F-174E7BEC791F}"/>
    <hyperlink ref="D1960" r:id="rId1953" display="https://www.google.com/url?q=https://github.com/arvindr9/CompetitiveProgramming/blob/master/Timus/TIMUS%25201084.cpp&amp;sa=D&amp;ust=1605639552709000&amp;usg=AFQjCNFyg3CcE7W9P9tlshPTm6wGTh4tOA" xr:uid="{0BFDFF7F-E575-4E38-8644-6880230CF309}"/>
    <hyperlink ref="D1961" r:id="rId1954" display="https://www.google.com/url?q=https://github.com/osamahatem/CompetitiveProgramming/blob/master/SPOJ/BILLIARD.cpp&amp;sa=D&amp;ust=1605639552709000&amp;usg=AFQjCNGX8LMDAyvl5ZrvbnaDuG-gM47ZMQ" xr:uid="{32A84FFA-DE76-4005-982D-FD833101DD07}"/>
    <hyperlink ref="A2609" r:id="rId1955" display="https://www.google.com/url?q=http://codeforces.com/gym/101064/problem/A&amp;sa=D&amp;ust=1605639552710000&amp;usg=AFQjCNFJe2CfqRfu9dCPw0Lj0B74R4rESw" xr:uid="{A4954502-B94A-4BD7-83A8-E1BBE271CB7D}"/>
    <hyperlink ref="D1962" r:id="rId1956" display="https://www.google.com/url?q=https://github.com/mostafa-saad/MyCompetitiveProgramming/blob/master/Codeforces/CF101064-GYM-A.txt&amp;sa=D&amp;ust=1605639552710000&amp;usg=AFQjCNGJnXIJ2WjRZ6NrVJO4yd2X4ZiOTA" xr:uid="{7C8BD5C6-5AF7-4467-9CC8-349555472C29}"/>
    <hyperlink ref="A2610" r:id="rId1957" display="https://www.google.com/url?q=http://codeforces.com/contest/342/problem/C&amp;sa=D&amp;ust=1605639552710000&amp;usg=AFQjCNHxzh5W5oPYcmgaPNC1AKYsHY4yMQ" xr:uid="{C6530CD4-E7FF-4900-98D2-FE8E404BE279}"/>
    <hyperlink ref="A2611" r:id="rId1958" display="https://www.google.com/url?q=https://vjudge.net/contest/310021?fbclid%3DIwAR1wDO-Fi2MaSKE96aGmv0AiVDlix3dVvk7LHHIDhjrUlaAftMiGFHZPot8%23problem/I&amp;sa=D&amp;ust=1605639552711000&amp;usg=AFQjCNEfMolxu7b_GbJJ6HQNYxFG-nZh2Q" xr:uid="{10334332-23D5-4627-92C2-9305D42E56D0}"/>
    <hyperlink ref="D1964" r:id="rId1959" display="https://www.google.com/url?q=https://ideone.com/zFUHeH&amp;sa=D&amp;ust=1605639552711000&amp;usg=AFQjCNH9_fONdjvJGxmoiLFQ9PhRbtGI0A" xr:uid="{FE2FACBD-85BC-4236-A1B0-933CAC09E2F0}"/>
    <hyperlink ref="A2612" r:id="rId1960" display="https://www.google.com/url?q=http://codeforces.com/contest/552/problem/D&amp;sa=D&amp;ust=1605639552711000&amp;usg=AFQjCNHXgtbiYuUxSuqmthsuaGSF96NfVA" xr:uid="{6A615BF0-8341-4B24-ADA0-E7511BBB67D8}"/>
    <hyperlink ref="A2613" r:id="rId1961" display="https://www.google.com/url?q=http://codeforces.com/gym/101864/problem/L&amp;sa=D&amp;ust=1605639552713000&amp;usg=AFQjCNGMwWqBrjVrdBTJBENa_ClgVfS6BA" xr:uid="{B7CA4FC9-03CD-4719-97A0-256EAC64889F}"/>
    <hyperlink ref="D1966" r:id="rId1962" display="https://www.google.com/url?q=https://github.com/mostafa-saad/MyCompetitiveProgramming/blob/master/Codeforces/CF101864-GYM-L.txt&amp;sa=D&amp;ust=1605639552713000&amp;usg=AFQjCNFp2o3fbXiSG5FznFvWFMMpuzP9DQ" xr:uid="{2A90E9EF-0458-4EE1-8D31-BF0274AC6674}"/>
    <hyperlink ref="A2614" r:id="rId1963" display="https://www.google.com/url?q=http://codeforces.com/contest/97/problem/B&amp;sa=D&amp;ust=1605639552713000&amp;usg=AFQjCNHLjeTQ3r4JcqtfKqrK97nbPLEOrQ" xr:uid="{9ED0B845-69EF-43AD-B9D1-79D76CB686B6}"/>
    <hyperlink ref="A2615" r:id="rId1964" display="https://www.google.com/url?q=https://github.com/racsosabe/CompetitiveProgramming/blob/master/CodeForces/CF1016-D2-E.cpp&amp;sa=D&amp;ust=1605639552714000&amp;usg=AFQjCNFfEgweKYSCJHio98OwNP5dELnb8w" xr:uid="{41990D4D-0F2C-49AD-BA4E-C3D7B9119D60}"/>
    <hyperlink ref="D1969" r:id="rId1965" display="https://www.google.com/url?q=https://github.com/MichaelMounir12/CompetitiveProgramming/blob/master/Contests/SuperVision-Contest-33139/UVA_12957.cpp&amp;sa=D&amp;ust=1605639552714000&amp;usg=AFQjCNFV853LfXc5AFn5ERyp_OtjzOCWBQ" xr:uid="{A31473AD-A534-4BB2-BCA6-BA6EC3BE17C0}"/>
    <hyperlink ref="D1970" r:id="rId1966" display="https://www.google.com/url?q=https://github.com/morris821028/UVa/blob/master/volume013/1342%2520-%2520That%2520Nice%2520Euler%2520Circuit.cpp&amp;sa=D&amp;ust=1605639552715000&amp;usg=AFQjCNGORSmQdSrPp8sZCDD8H0UZ1MTJeA" xr:uid="{4E50D3ED-BA85-41AB-A362-5D43B8ECCA22}"/>
    <hyperlink ref="A2635" r:id="rId1967" display="https://www.google.com/url?q=http://codeforces.com/contest/1058/problem/D&amp;sa=D&amp;ust=1605639552715000&amp;usg=AFQjCNEIOlJ-RKBM1gz4apVNMcVybfP4Eg" xr:uid="{514F1277-DDE3-4CE8-BC36-63A33AA3DA76}"/>
    <hyperlink ref="D1972" r:id="rId1968" display="https://www.google.com/url?q=https://github.com/morris821028/UVa/blob/master/volume105/10545%2520-%2520Maximal%2520Quadrilateral.cpp&amp;sa=D&amp;ust=1605639552715000&amp;usg=AFQjCNFbJZyUkSv2UqysQGTJngwFCEQeLw" xr:uid="{3F37C500-2150-4A23-9B96-2EBA03D7B4E1}"/>
    <hyperlink ref="D1973" r:id="rId1969" display="https://www.google.com/url?q=https://github.com/mostafa-saad/MyCompetitiveProgramming/blob/master/UVA/UVA_10250.txt&amp;sa=D&amp;ust=1605639552716000&amp;usg=AFQjCNHH6I67y9zrG146hoU1zeOYqNyljg" xr:uid="{69FB664A-BE68-4BC8-AE4E-7BF225798200}"/>
    <hyperlink ref="D1975" r:id="rId1970" display="https://www.google.com/url?q=https://github.com/mostafa-saad/MyCompetitiveProgramming/blob/master/UVA/UVA_1643.txt&amp;sa=D&amp;ust=1605639552716000&amp;usg=AFQjCNHsTm2Ii7kbtOA_R8-f8ELtYoob-A" xr:uid="{38B6B472-D407-4E9D-8260-EA512F26DB0F}"/>
    <hyperlink ref="A2694" r:id="rId1971" display="https://www.google.com/url?q=http://codeforces.com/gym/101726/problem/F&amp;sa=D&amp;ust=1605639552717000&amp;usg=AFQjCNEAo35PywmDiLE3nViyqdC9S1kIvw" xr:uid="{D41C4D66-4BFB-4275-AFC4-6E644073B11C}"/>
    <hyperlink ref="D1976" r:id="rId1972" display="https://www.google.com/url?q=https://github.com/tanmoy13/CompetitveProgramming/blob/master/Online-Judge-Solutions/CodeForces/CF101726-GYM-F.cpp&amp;sa=D&amp;ust=1605639552717000&amp;usg=AFQjCNGiDlIZvS7N-XU8eLAflBuUWrwF0Q" xr:uid="{D1D4344C-171E-4964-B274-26C91BF19D73}"/>
    <hyperlink ref="D1977" r:id="rId1973" display="https://www.google.com/url?q=https://github.com/MeGaCrazy/CompetitiveProgramming/blob/73811c5ecf7d479c97b30edbb3a4f89ed10e88b6/UVA/UVA_10678.cpp&amp;sa=D&amp;ust=1605639552717000&amp;usg=AFQjCNEHM-T7r6FtbuF7Rc9WH4ORx2T19w" xr:uid="{DEAFF7A5-304C-47E2-8D17-D59C28075B9C}"/>
    <hyperlink ref="A2696" r:id="rId1974" display="https://www.google.com/url?q=http://codeforces.com/contest/598/problem/C&amp;sa=D&amp;ust=1605639552718000&amp;usg=AFQjCNHA0cF6O5RIQPhYrBxn0z71uEaLUQ" xr:uid="{B151C916-6369-4E79-A2C8-BDF0F4E23C11}"/>
    <hyperlink ref="A2698" r:id="rId1975" display="https://www.google.com/url?q=http://codeforces.com/contest/404/problem/B&amp;sa=D&amp;ust=1605639552718000&amp;usg=AFQjCNGgOihKSqo1DTnr9fvJk3D1xuPzdA" xr:uid="{2BFC6F30-CEAC-4B9E-8576-2DE934879964}"/>
    <hyperlink ref="D1982" r:id="rId1976" display="https://www.google.com/url?q=https://github.com/MedoN11/CompetitiveProgramming/blob/master/TopCoder/SRM280-D1-500.java&amp;sa=D&amp;ust=1605639552719000&amp;usg=AFQjCNFVc3UFjxPT6ms3nFQBiC5vxPDS2A" xr:uid="{1A228813-E27B-4876-946A-D0355DB8A99D}"/>
    <hyperlink ref="A2790" r:id="rId1977" display="https://www.google.com/url?q=https://www.hackerrank.com/challenges/a-circle-and-a-square&amp;sa=D&amp;ust=1605639552720000&amp;usg=AFQjCNEGhWgaCpy2S5TaAOv0cyDqqMxH6Q" xr:uid="{F029CF6A-9E3B-4EDA-BC31-F1FE669E6977}"/>
    <hyperlink ref="A2843" r:id="rId1978" display="https://www.google.com/url?q=http://codeforces.com/contest/659/problem/D&amp;sa=D&amp;ust=1605639552720000&amp;usg=AFQjCNGc5YdV-pH83AuAqu8mB8iD1WZ9rA" xr:uid="{D04B2B0C-3E1C-4F46-AC8E-5968E7B8094D}"/>
    <hyperlink ref="A2844" r:id="rId1979" display="https://www.google.com/url?q=http://codeforces.com/contest/707/problem/C&amp;sa=D&amp;ust=1605639552721000&amp;usg=AFQjCNEWQI4Te9Q0sEe5tczAkAbpgGGDaA" xr:uid="{A4ABFCB8-B2F2-49E7-BE08-FEA495EB4F88}"/>
    <hyperlink ref="A2845" r:id="rId1980" display="https://www.google.com/url?q=http://www.spoj.com/problems/PIR/&amp;sa=D&amp;ust=1605639552721000&amp;usg=AFQjCNF9ElDTxKY4W3rymJ6QbJmJhsCCSQ" xr:uid="{6CAEE549-0AF4-4C51-B2D8-2CACE6A24584}"/>
    <hyperlink ref="D1321" r:id="rId1981" display="https://www.google.com/url?q=https://github.com/mostafa-saad/MyCompetitiveProgramming/blob/master/SPOJ/SPOJ_PIR.txt&amp;sa=D&amp;ust=1605639552722000&amp;usg=AFQjCNGvcP6W5dhpA93HV1c_3NfVonIiiA" xr:uid="{BC05ABD8-AB7F-433F-9AD7-D41713A22DAF}"/>
    <hyperlink ref="D1323" r:id="rId1982" display="https://www.google.com/url?q=https://github.com/mostafa-saad/MyCompetitiveProgramming/blob/master/UVA/UVA_10927.txt&amp;sa=D&amp;ust=1605639552723000&amp;usg=AFQjCNEYlMyOnqTWbbbPEPFh036e9qf70w" xr:uid="{BD44560D-DEAC-4E4F-944E-7B5A01C0C8D0}"/>
    <hyperlink ref="A2848" r:id="rId1983" display="https://www.google.com/url?q=https://atcoder.jp/contests/abc151/tasks/abc151_f&amp;sa=D&amp;ust=1605639552724000&amp;usg=AFQjCNFO2ME-BUWlP3qW6DGnHqE9p2w7ng" xr:uid="{07D78BEB-52F0-4373-9D22-AD3A5A82743A}"/>
    <hyperlink ref="A2445" r:id="rId1984" display="https://www.google.com/url?q=http://codeforces.com/contest/618/problem/C&amp;sa=D&amp;ust=1605639552724000&amp;usg=AFQjCNF8iTIXKCR5EQAY772lwY0T_UCsHw" xr:uid="{70A869C6-8C1D-4309-9052-BAD7157C97B4}"/>
    <hyperlink ref="D854" r:id="rId1985" display="https://www.google.com/url?q=https://github.com/MohamedNabil97/CompetitiveProgramming/blob/master/CodeForces/CF618-D12-C.cpp&amp;sa=D&amp;ust=1605639552725000&amp;usg=AFQjCNH-ICO25GHbfDKqn4DM1KVo8_eShg" xr:uid="{319CF6AB-8E36-4173-83F0-75D802FB495F}"/>
    <hyperlink ref="A2492" r:id="rId1986" display="https://www.google.com/url?q=https://codeforces.com/contest/1100/problem/C&amp;sa=D&amp;ust=1605639552726000&amp;usg=AFQjCNHPn_GauccQtfMfpDwvEzFJBsDyAQ" xr:uid="{FD6B00C2-8EE0-437D-BF56-39B8D5B4EC3C}"/>
    <hyperlink ref="A2493" r:id="rId1987" display="https://www.google.com/url?q=http://codeforces.com/contest/560/problem/C&amp;sa=D&amp;ust=1605639552726000&amp;usg=AFQjCNHeIuYUKNlqXQSv3cWG-DXml4Ai9A" xr:uid="{01B5CD9B-6043-468B-B91E-7CE98242E4E5}"/>
    <hyperlink ref="A2513" r:id="rId1988" display="https://www.google.com/url?q=https://www.hackerrank.com/challenges/xrange-and-pizza&amp;sa=D&amp;ust=1605639552727000&amp;usg=AFQjCNGDb3S3nKQ5xI8Igl9uTXhke9RTbQ" xr:uid="{8A5FC193-B0FB-42E7-8317-88B683F34BB0}"/>
    <hyperlink ref="D859" r:id="rId1989" display="https://www.google.com/url?q=https://github.com/AbdelrahmanRamadan/competitive-programming/blob/master/HackerRank/xrange-and-pizza.cpp&amp;sa=D&amp;ust=1605639552727000&amp;usg=AFQjCNEXqvpx8Ze9y8SFGYySKoRCQJ95PA" xr:uid="{01E106D9-BCC1-4973-A310-D2C90ED6FAA7}"/>
    <hyperlink ref="A2514" r:id="rId1990" display="https://www.google.com/url?q=http://codeforces.com/contest/60/problem/C&amp;sa=D&amp;ust=1605639552727000&amp;usg=AFQjCNFrmRSOnY69ls5EHiFwNJ7h7LTLrA" xr:uid="{FEF2B159-AFCC-4EAE-9F33-BF183AE9BE7E}"/>
    <hyperlink ref="D861" r:id="rId1991" display="https://www.google.com/url?q=https://github.com/mostafa-saad/MyCompetitiveProgramming/blob/master/SPOJ/SPOJ_FACENEMY.txt&amp;sa=D&amp;ust=1605639552728000&amp;usg=AFQjCNFvpDDYbFvV2ln0LEWCPRkN1MRzsA" xr:uid="{E5079C27-6176-4F24-AA6C-F694EFFA3EFB}"/>
    <hyperlink ref="D863" r:id="rId1992" display="https://www.google.com/url?q=https://ideone.com/RV8bWJ&amp;sa=D&amp;ust=1605639552728000&amp;usg=AFQjCNGByWeg3gzTW6npucDMsviSm-FxWQ" xr:uid="{93EA3DE7-02C3-4A77-A8E1-DDE338879B37}"/>
    <hyperlink ref="A2518" r:id="rId1993" display="https://www.google.com/url?q=http://codeforces.com/contest/275/problem/C&amp;sa=D&amp;ust=1605639552729000&amp;usg=AFQjCNFA-tYJG7kOrc80ie97r5I9K4lCfA" xr:uid="{304BFF81-0F87-4E91-BD3B-C3DFC62FDAED}"/>
    <hyperlink ref="A2519" r:id="rId1994" display="https://www.google.com/url?q=http://codeforces.com/contest/336/problem/B&amp;sa=D&amp;ust=1605639552729000&amp;usg=AFQjCNGCmehX3T3z8LqbcjoA2QhV4jHnaw" xr:uid="{030D01DF-D74A-4532-9461-19D41E734E56}"/>
    <hyperlink ref="A2520" r:id="rId1995" display="https://www.google.com/url?q=http://codeforces.com/contest/409/problem/B&amp;sa=D&amp;ust=1605639552730000&amp;usg=AFQjCNE6y5ZtEGZSNL-dpfj-renYQ3JcYw" xr:uid="{38662ECB-6F04-4B9A-ABCC-D6BC03D53CA0}"/>
    <hyperlink ref="D870" r:id="rId1996" display="https://www.google.com/url?q=https://github.com/MeGaCrazy/CompetitiveProgramming/blob/master/UVA/UVA_815.cpp&amp;sa=D&amp;ust=1605639552731000&amp;usg=AFQjCNF4tmPZFTWtDu7W70NyBx_-qtROQg" xr:uid="{1B6CB5D7-C70F-46D4-9EE1-4B954867B28A}"/>
    <hyperlink ref="A2525" r:id="rId1997" display="https://www.google.com/url?q=http://codeforces.com/contest/407/problem/A&amp;sa=D&amp;ust=1605639552732000&amp;usg=AFQjCNHi_-HD5TruL1ZQDkng1kicVRV71w" xr:uid="{2435FBD1-8C2E-4DC7-BFD6-545801E0C36B}"/>
    <hyperlink ref="A2526" r:id="rId1998" display="https://www.google.com/url?q=http://codeforces.com/contest/257/problem/C&amp;sa=D&amp;ust=1605639552732000&amp;usg=AFQjCNFCJZBJPZC-lzQbYq1JWyt7bJ-u2g" xr:uid="{96153B5D-85E9-4002-9979-9370B2F48CC5}"/>
    <hyperlink ref="D873" r:id="rId1999" display="https://www.google.com/url?q=https://github.com/MohamedNabil97/CompetitiveProgramming/blob/master/UVA/10991.cpp&amp;sa=D&amp;ust=1605639552733000&amp;usg=AFQjCNEoO1Ou6Cw4zE-EZLvL211QdorIcw" xr:uid="{D086214C-E636-47C7-8DD3-1D05F306DFEF}"/>
    <hyperlink ref="D875" r:id="rId2000" display="https://www.google.com/url?q=https://github.com/mostafa-saad/MyCompetitiveProgramming/blob/master/UVA/UVA_11519.txt&amp;sa=D&amp;ust=1605639552735000&amp;usg=AFQjCNGM5Hn8wAaGWAjDLjDy5kWOF09F6w" xr:uid="{A35B2087-369A-4810-BF4D-BEC44DB94F2B}"/>
    <hyperlink ref="A2530" r:id="rId2001" display="https://www.google.com/url?q=http://codeforces.com/contest/14/problem/C&amp;sa=D&amp;ust=1605639552735000&amp;usg=AFQjCNF7c22ImJK267pNjq2HRd9H6WKAiA" xr:uid="{E1AEC18D-36C2-4AD5-967F-155362845DD9}"/>
    <hyperlink ref="A2531" r:id="rId2002" display="https://www.google.com/url?q=http://codeforces.com/contest/590/problem/B&amp;sa=D&amp;ust=1605639552735000&amp;usg=AFQjCNF9TukchnEXpSiAvlYMrqZmpTnQAw" xr:uid="{C62191A3-9174-494A-AE51-57F9A806206F}"/>
    <hyperlink ref="A2533" r:id="rId2003" display="https://www.google.com/url?q=http://codeforces.com/contest/651/problem/C&amp;sa=D&amp;ust=1605639552736000&amp;usg=AFQjCNFDsh58Yum7jFS8HAcYABTYPus3eg" xr:uid="{89ED8C05-7311-4A86-829F-5BF0A7F7FD91}"/>
    <hyperlink ref="D881" r:id="rId2004" display="https://www.google.com/url?q=https://github.com/mostafa-saad/MyCompetitiveProgramming/blob/master/Misc/GreatCircle.txt&amp;sa=D&amp;ust=1605639552737000&amp;usg=AFQjCNHJhznJw-yXKn-DoZgmnwVQNzaVUA" xr:uid="{C7052671-9FED-4386-A86F-084A34CADF0F}"/>
    <hyperlink ref="A2545" r:id="rId2005" display="https://www.google.com/url?q=https://codeforces.com/contest/1096/problem/C&amp;sa=D&amp;ust=1605639552737000&amp;usg=AFQjCNFuE_A2LY6FuYiIsptsrHuSHD23dg" xr:uid="{02E0FAC0-BADD-41E6-89C6-8377C24FEDD2}"/>
    <hyperlink ref="D884" r:id="rId2006" display="https://www.google.com/url?q=https://github.com/MichaelMounir12/CompetitiveProgramming/blob/master/Contests/SuperVision-Contest-33139/ZOJ_3194.cpp&amp;sa=D&amp;ust=1605639552738000&amp;usg=AFQjCNFhfFBNw8QW7W9S91T-fBM_oYQR4Q" xr:uid="{92BBA30D-43F6-4FD6-8D0E-D23311E795DD}"/>
    <hyperlink ref="A2547" r:id="rId2007" display="https://www.google.com/url?q=https://codeforces.com/contest/1080/problem/C&amp;sa=D&amp;ust=1605639552738000&amp;usg=AFQjCNFp-WyaYaXW1Gedsrr1W02_WrxK0Q" xr:uid="{875C523E-949B-42DC-900C-7EE8DC3EDFFF}"/>
    <hyperlink ref="D886" r:id="rId2008" display="https://www.google.com/url?q=http://ideone.com/Bkg7WI&amp;sa=D&amp;ust=1605639552739000&amp;usg=AFQjCNFOXP_3WCJ1snSlJar_jqphxeMagA" xr:uid="{C90B9BA4-EBA7-4E94-8EF1-2715FD85818B}"/>
    <hyperlink ref="A2549" r:id="rId2009" display="https://www.google.com/url?q=https://uva.onlinejudge.org/index.php?option%3Donlinejudge%26page%3Dshow_problem%26problem%3D137&amp;sa=D&amp;ust=1605639552739000&amp;usg=AFQjCNGBm-BBrNnpfyYMIQxpPZhZaDXRDg" xr:uid="{6D380249-F7B5-4193-8FED-94D991FFA41E}"/>
    <hyperlink ref="D888" r:id="rId2010" display="https://www.google.com/url?q=https://github.com/MeGaCrazy/CompetitiveProgramming/blob/c9bb3ba255fbab3d09d831a4736cc1521ed23e1d/UVA/UVA_143.cpp&amp;sa=D&amp;ust=1605639552740000&amp;usg=AFQjCNErGg40ZQFgncVSh4Cs42U7KppiBw" xr:uid="{5B1E340B-6CB2-4B6A-954B-50B1705EFAD7}"/>
    <hyperlink ref="D889" r:id="rId2011" display="https://www.google.com/url?q=https://ideone.com/BTMmzG&amp;sa=D&amp;ust=1605639552740000&amp;usg=AFQjCNGQ_jwPPvLUaceUE9wTKGARI_Ru6g" xr:uid="{72742249-3E14-4809-B166-2C2933A0D28E}"/>
    <hyperlink ref="A2552" r:id="rId2012" display="https://www.google.com/url?q=http://codeforces.com/contest/474/problem/C&amp;sa=D&amp;ust=1605639552740000&amp;usg=AFQjCNHAyaVwQz1c-1ooX0VKxKoCVzkjPQ" xr:uid="{35B55BC7-AE52-4110-9D3C-97424FEA90B8}"/>
    <hyperlink ref="D516" r:id="rId2013" display="https://www.google.com/url?q=https://www.youtube.com/watch?v%3DTpRObCQT9Lw&amp;sa=D&amp;ust=1605639552741000&amp;usg=AFQjCNHkPX0YyplXTZiJC6KwCZTqZtNg4w" xr:uid="{8079809A-5847-4685-BAD6-3FE761048CB2}"/>
    <hyperlink ref="A2553" r:id="rId2014" display="https://www.google.com/url?q=https://uva.onlinejudge.org/index.php?option%3Donlinejudge%26page%3Dshow_problem%26problem%3D401&amp;sa=D&amp;ust=1605639552741000&amp;usg=AFQjCNGeWVETiwadey2J4sMkVAZzpz1FKQ" xr:uid="{9124A901-720D-4843-8D84-ACFB92050813}"/>
    <hyperlink ref="D519" r:id="rId2015" display="https://www.google.com/url?q=https://github.com/mostafa-saad/MyCompetitiveProgramming/blob/master/UVA/UVA_10466.txt&amp;sa=D&amp;ust=1605639552742000&amp;usg=AFQjCNEw3blbe0z3Ew6Iee3e5NuS4q5hkA" xr:uid="{9FC809BE-12CC-4C84-BB02-B17E33C7F2AC}"/>
    <hyperlink ref="A2556" r:id="rId2016" display="https://www.google.com/url?q=http://codeforces.com/contest/136/problem/D&amp;sa=D&amp;ust=1605639552742000&amp;usg=AFQjCNG3any83xbBEX55buQcBgGHs2sfxw" xr:uid="{B45418EC-C80C-4E72-B3C9-FA780E641119}"/>
    <hyperlink ref="A2558" r:id="rId2017" display="https://www.google.com/url?q=https://www.hackerrank.com/challenges/hyperspace-travel&amp;sa=D&amp;ust=1605639552743000&amp;usg=AFQjCNHXn3LwftGhMXhuS2WMk-u9Kn-SjQ" xr:uid="{36C43022-3614-461E-8586-8116CB9E8442}"/>
    <hyperlink ref="A2560" r:id="rId2018" display="https://www.google.com/url?q=http://codeforces.com/gym/101492/problem/F&amp;sa=D&amp;ust=1605639552744000&amp;usg=AFQjCNFVu0Cjz9E-dKPiat09uqqU4D_0Qw" xr:uid="{F1DF8661-EDEE-4DAE-9C9D-13CCA55880DC}"/>
    <hyperlink ref="A2561" r:id="rId2019" display="https://www.google.com/url?q=http://codeforces.com/problemset/problem/135/B&amp;sa=D&amp;ust=1605639552744000&amp;usg=AFQjCNHcyKvl7Zj67NShTcE0rSrytxGHdw" xr:uid="{113F1CA9-A3A2-4FFF-B988-28BFFADB8829}"/>
    <hyperlink ref="A2562" r:id="rId2020" display="https://www.google.com/url?q=http://codeforces.com/contest/498/problem/A&amp;sa=D&amp;ust=1605639552745000&amp;usg=AFQjCNFV11ePRdPX8nNW7KnZTr1AYX_mKA" xr:uid="{3824819D-D753-43BF-9549-843BB66F3C57}"/>
    <hyperlink ref="A2563" r:id="rId2021" display="https://www.google.com/url?q=http://codeforces.com/problemset/problem/559/A&amp;sa=D&amp;ust=1605639552746000&amp;usg=AFQjCNHvzTvGzbDlsiNPbH7FJ9HbJvUpNw" xr:uid="{7D116DED-65FD-4B34-8414-69D4B6830ED8}"/>
    <hyperlink ref="D272" r:id="rId2022" display="https://www.google.com/url?q=https://github.com/osamahatem/CompetitiveProgramming/blob/master/Timus/1020.%2520Rope.cpp&amp;sa=D&amp;ust=1605639552747000&amp;usg=AFQjCNFaKKRzzMlgMNQFd54kY8WXKDnHIw" xr:uid="{E2D0C54B-BC38-44A3-98C8-B4C2A333BAE3}"/>
    <hyperlink ref="D273" r:id="rId2023" display="https://www.google.com/url?q=https://github.com/AbdelrahmanRamadan/competitive-programming/blob/master/Timus/1405-goat-in-the-garden-5.cpp&amp;sa=D&amp;ust=1605639552748000&amp;usg=AFQjCNGNn-Q4nBhA2tIrmdyp53CT57iVog" xr:uid="{28B44501-061A-4205-900A-96493DEEB10B}"/>
    <hyperlink ref="A2570" r:id="rId2024" display="https://www.google.com/url?q=https://uva.onlinejudge.org/index.php?option%3Donlinejudge%26page%3Dshow_problem%26problem%3D417&amp;sa=D&amp;ust=1605639552748000&amp;usg=AFQjCNHbTYo3hxPkYlqS43WoSWbqKIC50g" xr:uid="{6FC68A11-79D3-46E3-B928-7D8261149428}"/>
    <hyperlink ref="A2572" r:id="rId2025" display="https://www.google.com/url?q=http://codeforces.com/contest/617/problem/C&amp;sa=D&amp;ust=1605639552749000&amp;usg=AFQjCNHBHbA1TQbKk9GO1B2SR-Tcr4YI3A" xr:uid="{2BCC48DC-C876-4DD2-8503-B481DE40D4AF}"/>
    <hyperlink ref="A2573" r:id="rId2026" display="https://www.google.com/url?q=http://codeforces.com/contest/908/problem/C&amp;sa=D&amp;ust=1605639552749000&amp;usg=AFQjCNEgUks655y4m_gj_Y6jhiyHBD0ALw" xr:uid="{B3D38C05-1ACB-4B54-9CBF-5937EF69D7E9}"/>
    <hyperlink ref="D279" r:id="rId2027" display="https://www.google.com/url?q=https://github.com/osamahatem/CompetitiveProgramming/blob/master/Codeforces/908C.%2520New%2520Year%2520and%2520Curling.cpp&amp;sa=D&amp;ust=1605639552750000&amp;usg=AFQjCNHMIDtrhQDxsJ6EZXVQHYeDJNGGuA" xr:uid="{DB5098A5-9A7B-4B56-8B5C-21CDED57C61E}"/>
    <hyperlink ref="A2574" r:id="rId2028" display="https://www.google.com/url?q=http://codeforces.com/contest/667/problem/A&amp;sa=D&amp;ust=1605639552750000&amp;usg=AFQjCNHyE7W82KAS2x8hF58wmA_ZTd-3SA" xr:uid="{552903EE-30F0-4937-89B6-AEB8B8C2DF87}"/>
    <hyperlink ref="A2578" r:id="rId2029" display="https://www.google.com/url?q=https://www.hackerrank.com/challenges/baby-step-giant-step&amp;sa=D&amp;ust=1605639552752000&amp;usg=AFQjCNHEA9TJSjb0O721ctVAl70Hmjmuzw" xr:uid="{20EAF648-7008-477A-9800-DCD5E3329133}"/>
    <hyperlink ref="A2579" r:id="rId2030" display="https://www.google.com/url?q=https://uva.onlinejudge.org/index.php?option%3Donlinejudge%26page%3Dshow_problem%26problem%3D1183&amp;sa=D&amp;ust=1605639552752000&amp;usg=AFQjCNFRqKvg6ytJjQ2q6232sWu4s9UGlQ" xr:uid="{AD4199EE-6253-4393-94DC-29E840B380FD}"/>
    <hyperlink ref="A2582" r:id="rId2031" display="https://www.google.com/url?q=https://uva.onlinejudge.org/index.php?option%3Donlinejudge%26page%3Dshow_problem%26problem%3D1806&amp;sa=D&amp;ust=1605639552754000&amp;usg=AFQjCNHIwxILiETyeCrlC-AbQrUmw2x86Q" xr:uid="{8909C819-3E77-4F3B-AD3A-B4B63817A42A}"/>
    <hyperlink ref="A2584" r:id="rId2032" display="https://www.google.com/url?q=https://uva.onlinejudge.org/index.php?option%3Dcom_onlinejudge%26Itemid%3D8%26page%3Dshow_problem%26category%3D24%26problem%3D1162%26mosmsg%3DSubmission%2Breceived%2Bwith%2BID%2B18897095&amp;sa=D&amp;ust=1605639552755000&amp;usg=AFQjCNHUknlbwgeQDHuBYKwQ1Crv0RKyFg" xr:uid="{439618C4-98BA-4CBA-9500-DE5DC640E684}"/>
    <hyperlink ref="A2586" r:id="rId2033" display="https://www.google.com/url?q=https://www.hackerrank.com/challenges/polar-angles&amp;sa=D&amp;ust=1605639552755000&amp;usg=AFQjCNEM66VMZPu5K-7OgVSy5eskFY-LRQ" xr:uid="{7D2A5CF7-0407-4960-A645-0A18FA6747AB}"/>
    <hyperlink ref="A2588" r:id="rId2034" display="https://www.google.com/url?q=http://codeforces.com/contest/706/problem/A&amp;sa=D&amp;ust=1605639552757000&amp;usg=AFQjCNEfH1JHrYqkxoUz9zG0btjALzZ3fg" xr:uid="{79B0190B-0459-46C8-8E3F-253B96A956C4}"/>
    <hyperlink ref="D59" r:id="rId2035" display="https://www.google.com/url?q=https://github.com/MichaelMounir12/CompetitiveProgramming/blob/master/Contests/SuperVision-Contest-33139/ZOJ_1496.cpp&amp;sa=D&amp;ust=1605639552759000&amp;usg=AFQjCNHPgLtcxHhoCNn3nu6jFdTMdv60Aw" xr:uid="{7BB372E7-B3EB-4A5D-8E85-2EEFC9389420}"/>
    <hyperlink ref="A2592" r:id="rId2036" display="https://www.google.com/url?q=https://www.hackerrank.com/challenges/points-on-rectangle&amp;sa=D&amp;ust=1605639552759000&amp;usg=AFQjCNGFR2hPqnFdMq_2lrkM51y_XPu_oQ" xr:uid="{E02315FE-2098-4B97-B792-BE6DC3DDEB7E}"/>
    <hyperlink ref="A2593" r:id="rId2037" display="https://www.google.com/url?q=http://codeforces.com/contest/593/problem/B&amp;sa=D&amp;ust=1605639552760000&amp;usg=AFQjCNGd6IybymDzNMGAvX_KjUDoHgQmTg" xr:uid="{05586AAA-8EE0-4104-8768-5F2C3268E100}"/>
    <hyperlink ref="A2594" r:id="rId2038" display="https://www.google.com/url?q=http://codeforces.com/contest/671/problem/A&amp;sa=D&amp;ust=1605639552760000&amp;usg=AFQjCNEbZnOUA_hhbbt7My4WY--LkMZm_w" xr:uid="{8193EA80-B552-45C4-9524-CBD1F23C835F}"/>
    <hyperlink ref="A2598" r:id="rId2039" display="https://www.google.com/url?q=http://codeforces.com/contest/442/problem/E&amp;sa=D&amp;ust=1605639552762000&amp;usg=AFQjCNFFMyInYIpYpVTut3X6AWYn0J7NVQ" xr:uid="{9D21D717-E0DA-4317-AC0C-97B7DF3AD1AF}"/>
    <hyperlink ref="D5308" r:id="rId2040" display="https://www.google.com/url?q=https://github.com/arvindr9/CompetitiveProgramming/blob/master/UVA/UVA%2520313.cpp&amp;sa=D&amp;ust=1605639552762000&amp;usg=AFQjCNFcfus5WuS0uEvlJ1rU1Iobgg1gTA" xr:uid="{54F2CE8B-3188-490D-99C4-B5E990E0B86A}"/>
    <hyperlink ref="D4772" r:id="rId2041" display="https://www.google.com/url?q=https://github.com/mostafa-saad/MyCompetitiveProgramming/blob/master/ZOJ/ZOJ_2318.txt&amp;sa=D&amp;ust=1605639552764000&amp;usg=AFQjCNEEU_KLLbmcAI5uciEaN4_31cZWrg" xr:uid="{354E1B7F-23F3-4505-9BF1-766775B75001}"/>
    <hyperlink ref="A2623" r:id="rId2042" display="https://www.google.com/url?q=http://codeforces.com/contest/2/problem/C&amp;sa=D&amp;ust=1605639552767000&amp;usg=AFQjCNERRw_XoJ6HYzQ4nkoQsU-P9cDpGA" xr:uid="{F55C8057-2E85-4205-8D88-4C3AF5B26276}"/>
    <hyperlink ref="D4182" r:id="rId2043" display="https://www.google.com/url?q=https://github.com/osamahatem/CompetitiveProgramming/blob/master/Codeforces/2C.%2520Commentator%2520problem.cpp&amp;sa=D&amp;ust=1605639552768000&amp;usg=AFQjCNE61iyV4OkakFkONKyaxZXDW0JLtg" xr:uid="{B173B02F-2464-4339-A961-B7DB5371A200}"/>
    <hyperlink ref="A2624" r:id="rId2044" display="https://www.google.com/url?q=http://codeforces.com/gym/101630&amp;sa=D&amp;ust=1605639552768000&amp;usg=AFQjCNGpkZz_guAsg566G5G1n1vO9Vc7Vw" xr:uid="{25F92A38-BC2C-4B44-B0D3-D5B8EA6104E1}"/>
    <hyperlink ref="A2625" r:id="rId2045" display="https://www.google.com/url?q=http://codeforces.com/gym/100200/problem/C&amp;sa=D&amp;ust=1605639552770000&amp;usg=AFQjCNEAcwvgWNxcTjEEX62iblWISGELdQ" xr:uid="{A8491A15-B97D-4953-84FD-9AF8EE07D374}"/>
    <hyperlink ref="D3810" r:id="rId2046" display="https://www.google.com/url?q=https://github.com/shanto86/Training/blob/master/CodeForces/CF100200-GYM-C.cpp&amp;sa=D&amp;ust=1605639552770000&amp;usg=AFQjCNFGJu949IqKHW8J5_FwajyA3k9f9A" xr:uid="{33979E90-696F-43B3-AFEC-8E9752C368A5}"/>
    <hyperlink ref="D3811" r:id="rId2047" display="https://www.google.com/url?q=https://github.com/mostafa-saad/MyCompetitiveProgramming/blob/master/UVA/UVA_10792.txt&amp;sa=D&amp;ust=1605639552771000&amp;usg=AFQjCNHxb2TMsrXwknOTgKmY2UyGg4pExQ" xr:uid="{C66DBF79-D578-4C45-8C35-E70B41101BCF}"/>
    <hyperlink ref="D3308" r:id="rId2048" display="https://www.google.com/url?q=https://github.com/shanto86/Training/blob/master/LiveArchive/LIVEARCHIVE%25203411.cpp&amp;sa=D&amp;ust=1605639552771000&amp;usg=AFQjCNFek0zJZktW4qRaBbLQ_V0fBM4y4w" xr:uid="{2CD4B3C3-DB07-4A7E-A1EB-81B71F9554EF}"/>
    <hyperlink ref="D3309" r:id="rId2049" display="https://www.google.com/url?q=https://github.com/mostafa-saad/MyCompetitiveProgramming/blob/master/UVA/UVA_10136.txt&amp;sa=D&amp;ust=1605639552772000&amp;usg=AFQjCNGaEYh_WQkFE3sRxcasTsVcW6TR5w" xr:uid="{555887F4-A4EA-4E39-B974-6B04262F4927}"/>
    <hyperlink ref="A2629" r:id="rId2050" display="https://www.google.com/url?q=https://www.hackerrank.com/challenges/house-location&amp;sa=D&amp;ust=1605639552772000&amp;usg=AFQjCNGsb5JHzrEbjLIE0q9Lu8BP9fyYYA" xr:uid="{04C8959F-3D99-412C-BF57-7A2C1B43D0D5}"/>
    <hyperlink ref="D2903" r:id="rId2051" display="https://www.google.com/url?q=https://github.com/arvindr9/CompetitiveProgramming/blob/master/Hackerrank/HACKR%2520house-location.cpp&amp;sa=D&amp;ust=1605639552772000&amp;usg=AFQjCNGuEB4YfB1L_6-XsgTBbrMQKJbb4w" xr:uid="{23025A00-61E5-49DA-90BA-BA2F7EF61D28}"/>
    <hyperlink ref="D2689" r:id="rId2052" display="https://www.google.com/url?q=https://github.com/OmarHashim/Competitive-Programming/blob/master/UVA/10180.cpp&amp;sa=D&amp;ust=1605639552773000&amp;usg=AFQjCNFfKEdyYKFeoOzgyXxS4IDNM7qFUw" xr:uid="{CDAFA1D1-1B88-4027-9F1E-C2DA4F664450}"/>
    <hyperlink ref="A2632" r:id="rId2053" display="https://www.google.com/url?q=https://codeforces.com/contest/1059/problem/D&amp;sa=D&amp;ust=1605639552774000&amp;usg=AFQjCNEY_Ma_jAf9Y3WhSjP-sYThO0H0jw" xr:uid="{83DF5359-F0CF-4F6B-8531-56FAB2ECEA79}"/>
    <hyperlink ref="A2637" r:id="rId2054" display="https://www.google.com/url?q=https://uva.onlinejudge.org/index.php?option%3Donlinejudge%26page%3Dshow_problem%26problem%3D946&amp;sa=D&amp;ust=1605639552774000&amp;usg=AFQjCNHn-k4__eSqJkQJ_ARuDlsmIg6vbA" xr:uid="{AB1D5085-8F0C-4CE3-821A-9409700D80BD}"/>
    <hyperlink ref="D1984" r:id="rId2055" display="https://www.google.com/url?q=https://github.com/mostafa-saad/MyCompetitiveProgramming/blob/master/UVA/UVA_10005.txt&amp;sa=D&amp;ust=1605639552774000&amp;usg=AFQjCNFBL9lNt3KBwHHNRx7AKMLndC3bqA" xr:uid="{CAD5D1F9-B6E1-4E94-9676-B58BC5D3D5DF}"/>
    <hyperlink ref="A2638" r:id="rId2056" display="https://www.google.com/url?q=https://codeforces.com/gym/102021/attachments&amp;sa=D&amp;ust=1605639552775000&amp;usg=AFQjCNH1tS9TVD1ndIgg13Zsre8z56jitg" xr:uid="{99E1820C-7333-4EC5-BB4D-7C3A3F7D4B87}"/>
    <hyperlink ref="D1985" r:id="rId2057" display="https://www.google.com/url?q=https://github.com/YazanZebak/CompetitiveProgramming/blob/master/Codeforces/CF102021-GYM-B.cpp&amp;sa=D&amp;ust=1605639552775000&amp;usg=AFQjCNE2z9swrUWPrXI0FvwudQ9U6k7v1Q" xr:uid="{30BB4412-C8FF-4524-A0B9-B55FADEC7BE2}"/>
    <hyperlink ref="A2640" r:id="rId2058" display="https://www.google.com/url?q=http://www.spoj.com/problems/ALIENS/&amp;sa=D&amp;ust=1605639552776000&amp;usg=AFQjCNExT8tkcrMoL2CcJnTlXX2vsiLs6Q" xr:uid="{B74D8A00-5F9D-4BD1-849C-721D96AE4C59}"/>
    <hyperlink ref="D1987" r:id="rId2059" display="https://www.google.com/url?q=https://github.com/mostafa-saad/MyCompetitiveProgramming/blob/master/SPOJ/SPOJ_ALIENS.txt&amp;sa=D&amp;ust=1605639552776000&amp;usg=AFQjCNGST2apwtABBAST5mVFRpcM934Z5A" xr:uid="{8272C345-7B67-450A-972B-6D0C23DCB13A}"/>
    <hyperlink ref="D1988" r:id="rId2060" display="https://www.google.com/url?q=https://github.com/ryuzmukhametov/CompetitiveProgramming/blob/master/uva/UVA%252010439.cpp&amp;sa=D&amp;ust=1605639552777000&amp;usg=AFQjCNEWzkAf00Dmj3jkg0G2nD8cDK3iFQ" xr:uid="{1E33AB61-D559-4877-9026-E092FEB3377E}"/>
    <hyperlink ref="D1324" r:id="rId2061" display="https://www.google.com/url?q=https://ideone.com/dFbdzh&amp;sa=D&amp;ust=1605639552778000&amp;usg=AFQjCNGwv7Bg1V6ZTu3_JH2Z_3kp3NZX_g" xr:uid="{0663A347-6C7C-4DFF-B053-390F81D4B5B5}"/>
    <hyperlink ref="A2645" r:id="rId2062" display="https://www.google.com/url?q=http://codeforces.com/contest/140/problem/A&amp;sa=D&amp;ust=1605639552778000&amp;usg=AFQjCNFnYxB7zwoRVX-bzyDfMiXqcffm3Q" xr:uid="{C1778CE6-6D8B-4A00-869F-D82D2E89BD47}"/>
    <hyperlink ref="A2646" r:id="rId2063" display="https://www.google.com/url?q=http://codeforces.com/contest/199/problem/B&amp;sa=D&amp;ust=1605639552779000&amp;usg=AFQjCNEBrjJHCirw4IK9s0XDnTaTOQozVg" xr:uid="{F8466A12-2A24-4004-8792-9815C7693473}"/>
    <hyperlink ref="D892" r:id="rId2064" display="https://www.google.com/url?q=https://github.com/MohamedNabil97/CompetitiveProgramming/blob/master/UVA/12240.cpp&amp;sa=D&amp;ust=1605639552780000&amp;usg=AFQjCNFw_wqHB7HMZ-pWhFilDRPyE64mJw" xr:uid="{113E2F35-A71F-4305-AC51-9619E355B8C8}"/>
    <hyperlink ref="D893" r:id="rId2065" display="https://www.google.com/url?q=https://github.com/mostafa-saad/MyCompetitiveProgramming/blob/master/UVA/UVA_11515.txt&amp;sa=D&amp;ust=1605639552780000&amp;usg=AFQjCNGhxTGmzI38sTjWFCxN4guE3Zc_0g" xr:uid="{3187089D-BC14-4D6E-9464-554E4D047D54}"/>
    <hyperlink ref="A2649" r:id="rId2066" display="https://www.google.com/url?q=http://codeforces.com/contest/84/problem/C&amp;sa=D&amp;ust=1605639552780000&amp;usg=AFQjCNGoJf_QvyMutqhOY97q1R7GkqtZgA" xr:uid="{556C8403-79DD-41B3-998C-7755E66F42D8}"/>
    <hyperlink ref="A2650" r:id="rId2067" display="https://www.google.com/url?q=https://uva.onlinejudge.org/index.php?option%3Dcom_onlinejudge%26Itemid%3D8%26page%3Dshow_problem%26problem%3D418&amp;sa=D&amp;ust=1605639552781000&amp;usg=AFQjCNHdGtpyk1qfoBc-J5LWlnWceNYCIQ" xr:uid="{21F7D671-6AA7-4F04-B0F2-31A38D287357}"/>
    <hyperlink ref="D522" r:id="rId2068" display="https://www.google.com/url?q=https://github.com/MeGaCrazy/CompetitiveProgramming/blob/5343b4e1aabd67db25a4864de4eb81eb094709e3/UVA/UVA_477.cpp&amp;sa=D&amp;ust=1605639552782000&amp;usg=AFQjCNFmoSZliKYXjfW5149jnFkeHDzU6Q" xr:uid="{279F2FBA-B130-4C46-97CF-19A4E45B14B9}"/>
    <hyperlink ref="A2651" r:id="rId2069" display="https://www.google.com/url?q=https://www.hackerrank.com/challenges/circle-city&amp;sa=D&amp;ust=1605639552783000&amp;usg=AFQjCNG9aIsf_GWUXySTfnJ96ElytK3_9Q" xr:uid="{207BE494-8F87-49B1-983F-8D1739E9C7B9}"/>
    <hyperlink ref="A2652" r:id="rId2070" display="https://www.google.com/url?q=https://uva.onlinejudge.org/index.php?option%3Donlinejudge%26page%3Dshow_problem%26problem%3D1242&amp;sa=D&amp;ust=1605639552783000&amp;usg=AFQjCNGe0nE3nKG7_G6ghG_fDhxJQav35A" xr:uid="{413CABF6-2900-449F-A896-9A9FF96C932A}"/>
    <hyperlink ref="D287" r:id="rId2071" display="https://www.google.com/url?q=https://github.com/MeGaCrazy/CompetitiveProgramming/blob/51252e18803855ed2eacedc50f53b90fe8d184e6/UVA/UVA_10301.cpp&amp;sa=D&amp;ust=1605639552784000&amp;usg=AFQjCNFMq2owN_-alEbr6xGWf5WnsH23lA" xr:uid="{90CE957F-AD5A-4C5B-AE39-6BF10B4A8A59}"/>
    <hyperlink ref="A2653" r:id="rId2072" display="https://www.google.com/url?q=https://uva.onlinejudge.org/index.php?option%3Donlinejudge%26page%3Dshow_problem%26problem%3D292&amp;sa=D&amp;ust=1605639552784000&amp;usg=AFQjCNG71_hBMPzNfWsBYlIj9xx9KjP-pA" xr:uid="{F559C3F5-EFBE-4605-9602-CDED9EBCA465}"/>
    <hyperlink ref="A2654" r:id="rId2073" display="https://www.google.com/url?q=https://uva.onlinejudge.org/index.php?option%3Donlinejudge%26page%3Dshow_problem%26problem%3D379&amp;sa=D&amp;ust=1605639552784000&amp;usg=AFQjCNGhrsqXozP7nd8A1GuTkgG0eXjR4A" xr:uid="{FE5F4A18-48D4-4D51-AD50-237AE8B3DC82}"/>
    <hyperlink ref="D289" r:id="rId2074" display="https://www.google.com/url?q=https://github.com/hosamk92/CompetitiveProgramming/blob/master/UVA/UVA%2520438.cpp&amp;sa=D&amp;ust=1605639552785000&amp;usg=AFQjCNEUHU4CQg91rq3SOw5ZnQaz99ktrw" xr:uid="{2EC5DF0C-09E2-4946-86A3-015432A8F915}"/>
    <hyperlink ref="A2655" r:id="rId2075" display="https://www.google.com/url?q=https://www.hackerrank.com/challenges/sherlock-and-geometry&amp;sa=D&amp;ust=1605639552785000&amp;usg=AFQjCNG_QReVVOc3ILIjqDe9MbcXNNFmEA" xr:uid="{D24C46CC-6310-4D43-8C7B-B6AF8E9EC448}"/>
    <hyperlink ref="D63" r:id="rId2076" display="https://www.google.com/url?q=https://github.com/MeGaCrazy/CompetitiveProgramming/blob/c099628e643065a7bae09af22c4cbce1216e4db9/UVA/UVA_453.cpp&amp;sa=D&amp;ust=1605639552786000&amp;usg=AFQjCNGTbtJRBuFfcn1aesfiZTrFhnPJ-Q" xr:uid="{F1D4B449-1EA0-413F-81F9-7778F1A2D66D}"/>
    <hyperlink ref="A2657" r:id="rId2077" display="https://www.google.com/url?q=https://uva.onlinejudge.org/index.php?option%3Donlinejudge%26page%3Dshow_problem%26problem%3D4601&amp;sa=D&amp;ust=1605639552786000&amp;usg=AFQjCNFbnNMenlDvZcw8B1eEbxxazpfBjQ" xr:uid="{F90656FE-3B1C-4935-83CF-4C1BDB03E51E}"/>
    <hyperlink ref="D64" r:id="rId2078" display="https://www.google.com/url?q=https://github.com/MeGaCrazy/CompetitiveProgramming/blob/29ebad1d90e70a17ac4e646e5f049b980fb777de/UVA/UVA_12748.cpp&amp;sa=D&amp;ust=1605639552786000&amp;usg=AFQjCNFOIg8FbCGtuvRpMWAkBHbkpnxRuQ" xr:uid="{0704E6B6-3871-42C7-BBA7-C318A5EEE972}"/>
    <hyperlink ref="A2662" r:id="rId2079" display="https://www.google.com/url?q=http://codeforces.com/contest/249/problem/A&amp;sa=D&amp;ust=1605639552788000&amp;usg=AFQjCNGTC4i5uR40Yj2O8bcNDWiZ4Q3qOg" xr:uid="{A330FDCA-B950-4D78-B174-BB2A5922F371}"/>
    <hyperlink ref="A2671" r:id="rId2080" display="https://www.google.com/url?q=http://codeforces.com/gym/101606/problem/L&amp;sa=D&amp;ust=1605639552791000&amp;usg=AFQjCNFFesL0kWGc_uI5tyAH_qfjvPLBKw" xr:uid="{34CD9C18-3EC8-48B0-8836-2AFAF982BCEF}"/>
    <hyperlink ref="D4782" r:id="rId2081" display="https://www.google.com/url?q=https://github.com/OmarHashim/Competitive-Programming/blob/master/CodeForces/CF101606-GYM-L&amp;sa=D&amp;ust=1605639552792000&amp;usg=AFQjCNEowwYFUZcAh4yhXc9rCnRb88RRgw" xr:uid="{FC62C178-6AA0-4CB0-B4D0-080D08F5FABB}"/>
    <hyperlink ref="D4184" r:id="rId2082" display="https://www.google.com/url?q=https://github.com/DrSchwad/CompetitiveProgramming/blob/master/TopCoder/SRM313-D1-1000.cpp&amp;sa=D&amp;ust=1605639552793000&amp;usg=AFQjCNFp4u0pa2mKIc6bkTmJjyssRxQaJg" xr:uid="{63C51A2F-3B28-4D90-8425-72A069D79060}"/>
    <hyperlink ref="D3812" r:id="rId2083" display="https://www.google.com/url?q=https://github.com/mostafa-saad/MyCompetitiveProgramming/blob/master/TopCoder/SRM355-D1-500.txt&amp;sa=D&amp;ust=1605639552795000&amp;usg=AFQjCNG96OG0CuDRghbkp2qe33-mZDmbnw" xr:uid="{CEEEA1D3-0540-4370-9E5C-28616AE1CDEE}"/>
    <hyperlink ref="D3813" r:id="rId2084" display="https://www.google.com/url?q=https://github.com/Huvok/CompetitiveProgramming/blob/master/PKU/1066.cpp&amp;sa=D&amp;ust=1605639552795000&amp;usg=AFQjCNECa-nXW1u3i6QU2kW9_w9S6CLESA" xr:uid="{2217A4C2-CCBE-4290-8863-7F56925C1B2C}"/>
    <hyperlink ref="D3814" r:id="rId2085" display="https://www.google.com/url?q=https://ideone.com/TTCl3U&amp;sa=D&amp;ust=1605639552796000&amp;usg=AFQjCNFNFJqJbtoPcK0pJXNTjmc99WEGEg" xr:uid="{5A7C16CF-5814-4C6C-A220-2D3514CB9A7E}"/>
    <hyperlink ref="D3815" r:id="rId2086" display="https://www.google.com/url?q=https://github.com/miguelAlessandro/CompetitiveProgramming/blob/master/UVA/11796.cpp&amp;sa=D&amp;ust=1605639552796000&amp;usg=AFQjCNFHsmLIcxPjMlCnuHYyN-qAbxzTiA" xr:uid="{79CB27B7-16D2-42FB-A1CB-A244170DD7F5}"/>
    <hyperlink ref="D3310" r:id="rId2087" display="https://www.google.com/url?q=https://github.com/Huvok/CompetitiveProgramming/blob/master/Topcoder/SRM244-D1-500.cpp&amp;sa=D&amp;ust=1605639552797000&amp;usg=AFQjCNFmQzeVsIR8kSZ2AhACD1NRfSafgw" xr:uid="{7AEF4ECE-1ADC-41EC-9C49-535A1DAD0B03}"/>
    <hyperlink ref="A2681" r:id="rId2088" display="https://www.google.com/url?q=https://csacademy.com/contest/round-33/task/subinterval-division/&amp;sa=D&amp;ust=1605639552797000&amp;usg=AFQjCNFRbEA7iFP1pIMIKFU8WKxwGh-OFQ" xr:uid="{938BF2A5-168E-40DE-8E4A-288CBD54303D}"/>
    <hyperlink ref="A2682" r:id="rId2089" display="https://www.google.com/url?q=http://codeforces.com/contest/248/problem/C&amp;sa=D&amp;ust=1605639552797000&amp;usg=AFQjCNHeOA8tRFiQwMIS19bjch99yT7KLg" xr:uid="{942E518F-7C33-4C86-870B-FE7EB9747552}"/>
    <hyperlink ref="D3312" r:id="rId2090" display="https://www.google.com/url?q=https://github.com/shanto86/Training/blob/master/CodeForces/CF248-D2-C.cpp&amp;sa=D&amp;ust=1605639552798000&amp;usg=AFQjCNHSwwF24pHbx2VKzAkCXtxJwx0_nQ" xr:uid="{9185DCAE-2BCD-4A3E-81C0-F28767452F8E}"/>
    <hyperlink ref="A2685" r:id="rId2091" display="https://www.google.com/url?q=https://codeforces.com/gym/100112/attachments&amp;sa=D&amp;ust=1605639552799000&amp;usg=AFQjCNEyCEWY1IztT0fGtuQ_pLNO18odmw" xr:uid="{7E66F872-34D3-488C-8FA0-13F15B0347E4}"/>
    <hyperlink ref="D1992" r:id="rId2092" display="https://www.google.com/url?q=https://github.com/AhmedElsisy/CompetitiveProgramming/blob/master/Codeforces/CF100112-GYM-G.cpp&amp;sa=D&amp;ust=1605639552799000&amp;usg=AFQjCNEptz-qnGjtaEuWa3QgPvPs21YktQ" xr:uid="{0C168583-83F7-48F7-92D2-0B5F29F63AC0}"/>
    <hyperlink ref="A2686" r:id="rId2093" display="https://www.google.com/url?q=http://codeforces.com/problemset/problem/961/D&amp;sa=D&amp;ust=1605639552799000&amp;usg=AFQjCNG2oEv1R7Wa6RRJRi4eUrBVD1a1fA" xr:uid="{27DF65C4-3847-4B92-8BCF-6F5A83FC4CFB}"/>
    <hyperlink ref="D1325" r:id="rId2094" display="https://www.google.com/url?q=https://github.com/mostafa-saad/MyCompetitiveProgramming/blob/master/UVA/UVA_10514.txt&amp;sa=D&amp;ust=1605639552800000&amp;usg=AFQjCNEV_HWj6OS3uScr55waK9ii-u7wLA" xr:uid="{472FF2CA-AEC3-4B7E-975D-83CC9A4143E9}"/>
    <hyperlink ref="D896" r:id="rId2095" display="https://www.google.com/url?q=https://github.com/AbdelrahmanRamadan/competitive-programming/blob/master/Topcoder/SRM373%2520RectangleCrossings.cpp&amp;sa=D&amp;ust=1605639552801000&amp;usg=AFQjCNEUdnBcnV2Lajvp45DjVXETYbB5Qw" xr:uid="{271114F9-CB3B-4BE0-A14E-1FE8495FE168}"/>
    <hyperlink ref="A2702" r:id="rId2096" display="https://www.google.com/url?q=https://uva.onlinejudge.org/index.php?option%3Dcom_onlinejudge%26Itemid%3D8%26page%3Dshow_problem%26problem%3D807&amp;sa=D&amp;ust=1605639552802000&amp;usg=AFQjCNGXJWekN9GxzT89pEKn_zKCXaCfsQ" xr:uid="{3910619C-FF81-4AEA-BFC5-9227EC32DD5A}"/>
    <hyperlink ref="D898" r:id="rId2097" display="https://www.google.com/url?q=https://github.com/MeGaCrazy/CompetitiveProgramming/blob/master/UVA/UVA_866.cpp&amp;sa=D&amp;ust=1605639552802000&amp;usg=AFQjCNGkXMLjXVIz9uSZ7X8VCvR5BwqNYQ" xr:uid="{31AF0893-3736-462F-9A25-33F6589DCD58}"/>
    <hyperlink ref="A2704" r:id="rId2098" display="https://www.google.com/url?q=https://uva.onlinejudge.org/index.php?option%3Donlinejudge%26page%3Dshow_problem%26problem%3D678&amp;sa=D&amp;ust=1605639552803000&amp;usg=AFQjCNGCFvkdqSNCwu1uzGc9ZHHREnYUOA" xr:uid="{9001AC38-E471-4A9A-A326-36BBA8115D9B}"/>
    <hyperlink ref="D900" r:id="rId2099" display="https://www.google.com/url?q=https://github.com/mostafa-saad/MyCompetitiveProgramming/blob/master/UVA/UVA_737.txt&amp;sa=D&amp;ust=1605639552803000&amp;usg=AFQjCNGhYbLoRpVwyiMuI9TK02iPvPlVnQ" xr:uid="{946CB488-E483-4968-9D62-1E0FBED8DB4D}"/>
    <hyperlink ref="A2705" r:id="rId2100" display="https://www.google.com/url?q=https://uva.onlinejudge.org/index.php?option%3Dcom_onlinejudge%26Itemid%3D8%26page%3Dshow_problem%26problem%3D774&amp;sa=D&amp;ust=1605639552804000&amp;usg=AFQjCNGRn-OFZptN4czDGUa-dpBwVaFTXg" xr:uid="{B2D00ED7-B685-4EB8-BF2C-93907F02B889}"/>
    <hyperlink ref="A2706" r:id="rId2101" display="https://www.google.com/url?q=https://www.hackerrank.com/challenges/stars&amp;sa=D&amp;ust=1605639552804000&amp;usg=AFQjCNHASzVTGII1Hs69vU1Jgn0MP_6szA" xr:uid="{297C5EB9-8494-4B86-82B9-CD1CF7A155D7}"/>
    <hyperlink ref="A2707" r:id="rId2102" display="https://www.google.com/url?q=https://uva.onlinejudge.org/index.php?option%3Donlinejudge%26page%3Dshow_problem%26problem%3D1731&amp;sa=D&amp;ust=1605639552805000&amp;usg=AFQjCNH8tjc6cneFfMl4ZCI2wVwosZcDVw" xr:uid="{1AABA507-5653-4B49-872A-6EA78A9E7680}"/>
    <hyperlink ref="D903" r:id="rId2103" display="https://www.google.com/url?q=https://github.com/MeGaCrazy/CompetitiveProgramming/blob/5b920a5ddab614e30ea12e7e3a7da12267a203ec/UVA/UVA_10790.cpp&amp;sa=D&amp;ust=1605639552805000&amp;usg=AFQjCNEoq3ngP0JYT19BNgwQNOxRlhgdoA" xr:uid="{3960ED24-B6B7-4EFA-A9DF-B426A9013F9F}"/>
    <hyperlink ref="D904" r:id="rId2104" display="https://www.google.com/url?q=https://github.com/jebouin/CompetitiveProgramming/blob/master/UVA/UVA%252010961.cpp&amp;sa=D&amp;ust=1605639552807000&amp;usg=AFQjCNFzz_ak9DCMCNvwPI-ECQvixfLRaw" xr:uid="{F89B6E6D-6602-41EA-B6FB-D6E561575168}"/>
    <hyperlink ref="A2710" r:id="rId2105" display="https://www.google.com/url?q=https://uva.onlinejudge.org/index.php?option%3Dcom_onlinejudge%26Itemid%3D8%26page%3Dshow_problem%26problem%3D314&amp;sa=D&amp;ust=1605639552807000&amp;usg=AFQjCNGh9OzQdj1gr5PNfi09bMDY6-rfmA" xr:uid="{60FF20FF-2455-4BA9-80EA-BFE9C9AA5ED9}"/>
    <hyperlink ref="D524" r:id="rId2106" display="https://www.google.com/url?q=https://github.com/AbdelrahmanRamadan/competitive-programming/blob/master/UVA/10902-Pick-up-Sticks.cpp&amp;sa=D&amp;ust=1605639552808000&amp;usg=AFQjCNFO34mbk_xoFRZxo8LXfAi7O0Iudg" xr:uid="{D16A00EE-C697-4702-97A7-E6F980B7B0F7}"/>
    <hyperlink ref="D525" r:id="rId2107" display="https://www.google.com/url?q=https://github.com/mostafa-saad/MyCompetitiveProgramming/blob/master/LiveArchive/LiveArchive_3381.txt&amp;sa=D&amp;ust=1605639552808000&amp;usg=AFQjCNEXvOgARmksUZTslp-g7IfLrCTI6A" xr:uid="{556C394B-CA33-4404-8C99-C59448FFC0F2}"/>
    <hyperlink ref="D526" r:id="rId2108" display="https://www.google.com/url?q=https://github.com/Maverick10/Competitive-Programming/blob/master/Solutions/UVa/UVa%2520-%252011783.cpp&amp;sa=D&amp;ust=1605639552809000&amp;usg=AFQjCNFGjmaL3atQlNraPliCIYq2ljPfOg" xr:uid="{70A69469-B520-436E-8399-EB30BD7E3FD7}"/>
    <hyperlink ref="A2714" r:id="rId2109" display="https://www.google.com/url?q=https://uva.onlinejudge.org/index.php?option%3Donlinejudge%26page%3Dshow_problem%26problem%3D1204&amp;sa=D&amp;ust=1605639552809000&amp;usg=AFQjCNGZYNjb7aleR-USrt7l0RKXUr9_sw" xr:uid="{75D3E644-87A4-4069-BCF4-CD1766FF4AD0}"/>
    <hyperlink ref="A2715" r:id="rId2110" display="https://www.google.com/url?q=https://uva.onlinejudge.org/index.php?option%3Dcom_onlinejudge%26Itemid%3D8%26page%3Dshow_problem%26problem%3D206&amp;sa=D&amp;ust=1605639552810000&amp;usg=AFQjCNG854gThNcZzPBTejx1AZSDM6nvdg" xr:uid="{F89EBE0B-E584-4803-82FC-F3C6175FC865}"/>
    <hyperlink ref="D291" r:id="rId2111" display="https://www.google.com/url?q=https://github.com/mostafa-saad/MyCompetitiveProgramming/blob/master/UVA/UVA_270.txt&amp;sa=D&amp;ust=1605639552810000&amp;usg=AFQjCNGBxewYYzuemr363Ra5NCu4wxo8tw" xr:uid="{DEEED261-C678-4D6F-B471-D845F192CDC6}"/>
    <hyperlink ref="A2716" r:id="rId2112" display="https://www.google.com/url?q=https://uva.onlinejudge.org/index.php?option%3Donlinejudge%26page%3Dshow_problem%26problem%3D2468&amp;sa=D&amp;ust=1605639552810000&amp;usg=AFQjCNHsiMU69K2VknYojTnvTuronIys7g" xr:uid="{ECC879F3-6263-4A81-A3EF-0AE9CFE7A262}"/>
    <hyperlink ref="D292" r:id="rId2113" display="https://www.google.com/url?q=https://github.com/osamahatem/CompetitiveProgramming/blob/master/UVA/11473%2520-%2520Campus%2520Roads.cpp&amp;sa=D&amp;ust=1605639552811000&amp;usg=AFQjCNHZS7xaAwff1wbHyY_aANNdE_JoEA" xr:uid="{2437B96A-D8FF-4031-965D-B359162C3AE2}"/>
    <hyperlink ref="A2717" r:id="rId2114" display="https://www.google.com/url?q=https://uva.onlinejudge.org/index.php?option%3Dcom_onlinejudge%26Itemid%3D8%26page%3Dshow_problem%26problem%3D209&amp;sa=D&amp;ust=1605639552811000&amp;usg=AFQjCNFDajINh-SqKJPFbjELUNY8pUX6WQ" xr:uid="{85B445C1-111A-43AC-8675-51B425C1EBE9}"/>
    <hyperlink ref="D293" r:id="rId2115" display="https://www.google.com/url?q=https://github.com/MeGaCrazy/CompetitiveProgramming/blob/6c8e6d79950bbe406f56e3b990159810fcca7431/UVA/UVA_273.cpp&amp;sa=D&amp;ust=1605639552811000&amp;usg=AFQjCNEZxFGkotpMLtgKGIa8bh9BAGsZfQ" xr:uid="{CF45D7B5-24DA-43F1-9350-634C31369B3E}"/>
    <hyperlink ref="A2718" r:id="rId2116" display="https://www.google.com/url?q=https://www.hackerrank.com/challenges/jim-beam&amp;sa=D&amp;ust=1605639552811000&amp;usg=AFQjCNFi9tiolE7az78ut8_HaN7nWDYTTA" xr:uid="{DE0B3D9D-08BB-4900-BF96-40CA82885E0F}"/>
    <hyperlink ref="D295" r:id="rId2117" display="https://www.google.com/url?q=https://github.com/yazanKabbany/CompetitiveProgramming/blob/master/ZOJ/1560.cpp&amp;sa=D&amp;ust=1605639552812000&amp;usg=AFQjCNEqiZr9VhgTw94Src3q_7slhau3ww" xr:uid="{78831995-0B63-4E9F-9A88-74E733BF1578}"/>
    <hyperlink ref="D297" r:id="rId2118" display="https://www.google.com/url?q=https://github.com/MeGaCrazy/CompetitiveProgramming/blob/05160f4c6128ab550de31f62b5ac6d1c0c266d12/UVA/UVA_10357.cpp&amp;sa=D&amp;ust=1605639552812000&amp;usg=AFQjCNGjRC48UD6_7oxNGQwaZtXXMnEyaA" xr:uid="{0CFE8C33-7522-40FA-A779-647C5D8CBE91}"/>
    <hyperlink ref="A2722" r:id="rId2119" display="https://www.google.com/url?q=http://codeforces.com/contest/617/problem/D&amp;sa=D&amp;ust=1605639552813000&amp;usg=AFQjCNEoQV-jMI8sTSun_GvJOc9YAvHzJQ" xr:uid="{D7171A7C-9FEC-4450-AF3A-7CEDF00FB6F0}"/>
    <hyperlink ref="A2723" r:id="rId2120" display="https://www.google.com/url?q=https://uva.onlinejudge.org/index.php?option%3Donlinejudge%26page%3Dshow_problem%26problem%3D127&amp;sa=D&amp;ust=1605639552813000&amp;usg=AFQjCNExqAMLQ0h_XtVmPlU2ypqjnVLH0Q" xr:uid="{4C0BC179-BAB2-4199-96FD-E3A1E179EF75}"/>
    <hyperlink ref="D299" r:id="rId2121" display="https://www.google.com/url?q=https://github.com/ajahuang/UVa/blob/master/UVa%2520191%2520-%2520Intersection.cpp&amp;sa=D&amp;ust=1605639552814000&amp;usg=AFQjCNGINA9r5VETekENnDqOoHx9DHBtBg" xr:uid="{48A7796D-9B6B-4FE5-84F4-82F4D402E544}"/>
    <hyperlink ref="A2724" r:id="rId2122" display="https://www.google.com/url?q=https://uva.onlinejudge.org/index.php?option%3Dcom_onlinejudge%26Itemid%3D8%26page%3Dshow_problem%26problem%3D2318&amp;sa=D&amp;ust=1605639552814000&amp;usg=AFQjCNH1gOin1aqeKY4RUWQE7KQVEMQ68Q" xr:uid="{4FD7FC00-C944-40E0-85F9-BB43F94767F8}"/>
    <hyperlink ref="D300" r:id="rId2123" display="https://www.google.com/url?q=https://github.com/hosamk92/CompetitiveProgramming/blob/master/UVA/UVA%252011343.cpp&amp;sa=D&amp;ust=1605639552814000&amp;usg=AFQjCNEWIOEOtI7XfH4294mZ_pbKQTw_Tg" xr:uid="{C0C0581F-A5CB-44E0-96D0-AEABC44185C3}"/>
    <hyperlink ref="D5510" r:id="rId2124" display="https://www.google.com/url?q=http://acm.student.cs.uwaterloo.ca/~acm00/080615/data/E.cc&amp;sa=D&amp;ust=1605639552818000&amp;usg=AFQjCNEKU4t7zVhlxVz2GFqQJfXVfCkcAQ" xr:uid="{FB741F05-150F-4154-949C-79A5F28D27BB}"/>
    <hyperlink ref="A2733" r:id="rId2125" display="https://www.google.com/url?q=https://www.hackerrank.com/challenges/polygons&amp;sa=D&amp;ust=1605639552818000&amp;usg=AFQjCNFlOH7ZFwIwIHO0uzGsVilYQJlWUA" xr:uid="{DA710E7B-0C20-44FE-9E70-C5BA34D0A336}"/>
    <hyperlink ref="D5312" r:id="rId2126" display="https://www.google.com/url?q=https://github.com/ryuzmukhametov/CompetitiveProgramming/blob/master/hackr/HACKR%2520polygons.cpp&amp;sa=D&amp;ust=1605639552819000&amp;usg=AFQjCNFzUZE1iMNEZTLuKsxdcly1brt5jg" xr:uid="{D52E02DE-67D5-4082-BACB-31F2A0967149}"/>
    <hyperlink ref="A2739" r:id="rId2127" display="https://www.google.com/url?q=https://onlinejudge.org/index.php?option%3Dcom_onlinejudge%26Itemid%3D8%26category%3D866%26page%3Dshow_problem%26problem%3D4897&amp;sa=D&amp;ust=1605639552820000&amp;usg=AFQjCNG-HOhVnV8SJyI_Ya1kCCaJ8ADL9g" xr:uid="{63359986-C261-4889-B496-D8198CC6A5AA}"/>
    <hyperlink ref="D5130" r:id="rId2128" display="https://www.google.com/url?q=http://morris821028.github.io/2016/04/30/uva-13009/&amp;sa=D&amp;ust=1605639552821000&amp;usg=AFQjCNHuMxuwkb179Lo67svZ171vTxfgXg" xr:uid="{AE649C37-F8CD-485F-AEF0-601641CFC898}"/>
    <hyperlink ref="D4787" r:id="rId2129" display="https://www.google.com/url?q=https://github.com/OmarHashim/Competitive-Programming/blob/master/UVA/132.cpp&amp;sa=D&amp;ust=1605639552822000&amp;usg=AFQjCNGKZ7p4Vl9D22vmLb7-REUcr0He-w" xr:uid="{58009BC6-2B02-4DB3-B6C1-1BA157BD8606}"/>
    <hyperlink ref="A2743" r:id="rId2130" display="https://www.google.com/url?q=https://www.hackerrank.com/challenges/good-point&amp;sa=D&amp;ust=1605639552822000&amp;usg=AFQjCNF5RfRgVJhuqknRtgKgph_s3H3KUQ" xr:uid="{FBEF5FE7-160E-4DCD-A95D-0D14DAA8FFCE}"/>
    <hyperlink ref="A2747" r:id="rId2131" display="https://www.google.com/url?q=https://www.codechef.com/problems/BALANPOL&amp;sa=D&amp;ust=1605639552823000&amp;usg=AFQjCNH1p9HJvnekwdNPdvtH_pS8ltGrAA" xr:uid="{0FD112A5-D13D-4905-940E-FC8E480D5CB1}"/>
    <hyperlink ref="D4793" r:id="rId2132" display="https://www.google.com/url?q=https://github.com/OmarHashim/Competitive-Programming/blob/master/LiveArchive/8039.cpp&amp;sa=D&amp;ust=1605639552823000&amp;usg=AFQjCNHg7YPvJnKZTGigZv087cUVUdUOWA" xr:uid="{3C06ED52-2EB7-4E84-A0DC-E84C63A0C3AC}"/>
    <hyperlink ref="A2758" r:id="rId2133" display="https://www.google.com/url?q=http://codeforces.com/contest/278/problem/D&amp;sa=D&amp;ust=1605639552827000&amp;usg=AFQjCNHUmWjb8MFp0PPWR2Mf4vyY85gHdA" xr:uid="{ED3D60CB-9A34-4A3C-8100-1905E0D66C59}"/>
    <hyperlink ref="D4189" r:id="rId2134" display="https://www.google.com/url?q=https://github.com/mostafa-saad/MyCompetitiveProgramming/blob/master/UVA/UVA_10406.txt&amp;sa=D&amp;ust=1605639552829000&amp;usg=AFQjCNHYCry0YuTb5MeQJ5r71G2lCzu74w" xr:uid="{08E0509E-62C3-45B5-A0EE-3DA8CE24862F}"/>
    <hyperlink ref="A2760" r:id="rId2135" display="https://www.google.com/url?q=http://codeforces.com/contest/975/problem/E&amp;sa=D&amp;ust=1605639552829000&amp;usg=AFQjCNHpLsq8hORh75YUQU6NxH9O8sL-JA" xr:uid="{0F7A20F1-1D0B-4D74-82D3-3736E0F5E73C}"/>
    <hyperlink ref="A2763" r:id="rId2136" display="https://www.google.com/url?q=http://codeforces.com/contest/1074/problem/C&amp;sa=D&amp;ust=1605639552830000&amp;usg=AFQjCNF35r8Awm5pd8hr4fjpFiQdtxmnAg" xr:uid="{D8DB385D-0937-4463-8D3E-618D1D334E5B}"/>
    <hyperlink ref="A2764" r:id="rId2137" display="https://www.google.com/url?q=http://codeforces.com/problemset/gymProblem/101142/I&amp;sa=D&amp;ust=1605639552831000&amp;usg=AFQjCNEeQThiSWn14dLx5we_vi7uYbw45A" xr:uid="{8351F752-8097-4B9B-8A90-E91A12E98296}"/>
    <hyperlink ref="D3657" r:id="rId2138" display="https://www.google.com/url?q=https://github.com/mostafa-saad/MyCompetitiveProgramming/blob/master/Codeforces/CF101142-GYM-I.txt&amp;sa=D&amp;ust=1605639552831000&amp;usg=AFQjCNEscYYgs6JO7McFwthpKIY6CiXXXQ" xr:uid="{DCC3E627-97BF-4F79-B0D3-46BED8138154}"/>
    <hyperlink ref="A2765" r:id="rId2139" display="https://www.google.com/url?q=http://codeforces.com/contest/166/problem/B&amp;sa=D&amp;ust=1605639552831000&amp;usg=AFQjCNEQf3BVNfdE6NFujFsiiKc9sTo6nw" xr:uid="{9578C6B3-73A5-4693-8638-1359395E0ACE}"/>
    <hyperlink ref="D3331" r:id="rId2140" display="https://www.google.com/url?q=https://github.com/ryuzmukhametov/CompetitiveProgramming/blob/master/pku/PKU%25203449.cpp&amp;sa=D&amp;ust=1605639552832000&amp;usg=AFQjCNHADtr1w7gFPA1rh3MBZwoCtTQrAQ" xr:uid="{E2633441-BB18-4DD4-9792-72C0D01166A7}"/>
    <hyperlink ref="A2768" r:id="rId2141" display="https://www.google.com/url?q=https://csacademy.com/contest/round-34/task/point-in-kgon/&amp;sa=D&amp;ust=1605639552833000&amp;usg=AFQjCNH224hNDPgb6jxNjOJDxHX6a3cfHg" xr:uid="{C88C8EFD-9CEF-49F0-B30D-615C6675272C}"/>
    <hyperlink ref="D3333" r:id="rId2142" display="https://www.google.com/url?q=https://github.com/LeTrongDat/CompetitiveProgramming/blob/master/Csacademy/CSA34-E.cpp&amp;sa=D&amp;ust=1605639552833000&amp;usg=AFQjCNGgAAAGrWGh-mvfPgT9hI0FnieMmw" xr:uid="{AE7EE8D5-719C-4051-9BDF-A83F4A924F4E}"/>
    <hyperlink ref="A2769" r:id="rId2143" display="https://www.google.com/url?q=https://uva.onlinejudge.org/index.php?option%3Donlinejudge%26page%3Dshow_problem%26problem%3D73&amp;sa=D&amp;ust=1605639552834000&amp;usg=AFQjCNFNnrQOpXY2Z6B6QqsKeaHly7qXEw" xr:uid="{4C447E37-9988-4E7D-B3E6-099BF0ECD2D3}"/>
    <hyperlink ref="D2702" r:id="rId2144" display="https://www.google.com/url?q=https://github.com/mostafa-saad/MyCompetitiveProgramming/blob/master/UVA/UVA_137.txt&amp;sa=D&amp;ust=1605639552834000&amp;usg=AFQjCNGVE8re0pVHGB4U9Bejm6Boeo-SkA" xr:uid="{263B0175-C53E-48A1-AEF6-6667E83FBA5B}"/>
    <hyperlink ref="A2771" r:id="rId2145" display="https://www.google.com/url?q=http://codeforces.com/contest/1017/problem/E&amp;sa=D&amp;ust=1605639552835000&amp;usg=AFQjCNHmwSK86dIy1COqKh7NKd_XUoJ-Bg" xr:uid="{8CB922F7-CF25-46F1-AE10-FE608935F8AC}"/>
    <hyperlink ref="A2772" r:id="rId2146" display="https://www.google.com/url?q=http://codeforces.com/contest/340/problem/B&amp;sa=D&amp;ust=1605639552835000&amp;usg=AFQjCNEHHPgF68ErQ59id1azK9koghzjeA" xr:uid="{8C41AACD-7704-4573-837F-DFE936151D93}"/>
    <hyperlink ref="A2773" r:id="rId2147" display="https://www.google.com/url?q=http://codeforces.com/contest/801/problem/D&amp;sa=D&amp;ust=1605639552836000&amp;usg=AFQjCNGn9VMaWgcmypsTom2N_epdIw8KwA" xr:uid="{2C550805-E50B-4564-B882-680CE3033EC4}"/>
    <hyperlink ref="D2009" r:id="rId2148" display="https://www.google.com/url?q=https://github.com/MeGaCrazy/CompetitiveProgramming/blob/ff934b5231a55818d401805db5e0caa0720a1fa4/Codeforces/CF801-D2-D.cpp&amp;sa=D&amp;ust=1605639552836000&amp;usg=AFQjCNHs3FGFkds4cUO1YID0wrSI5R_w4w" xr:uid="{4A1BBDF8-EA72-48B5-ABED-432010935BF2}"/>
    <hyperlink ref="D1332" r:id="rId2149" display="https://www.google.com/url?q=https://github.com/MeGaCrazy/CompetitiveProgramming/blob/aa9f393f5c9392dcb701cf469f207ad28cca29bf/UVA/UVA_10585.cpp&amp;sa=D&amp;ust=1605639552837000&amp;usg=AFQjCNHCFufE35pN7ECeJV-9LxCNIXZvNg" xr:uid="{3952F5A9-70CF-44A9-A709-BE50043F5602}"/>
    <hyperlink ref="D1333" r:id="rId2150" display="https://www.google.com/url?q=https://github.com/mostafa-saad/MyCompetitiveProgramming/blob/master/UVA/UVA_881.txt&amp;sa=D&amp;ust=1605639552837000&amp;usg=AFQjCNGI1xL_cd-NrGTscztOXp455XEibA" xr:uid="{60A3118A-B3E7-446A-BD13-315AB36D4749}"/>
    <hyperlink ref="D1334" r:id="rId2151" display="https://www.google.com/url?q=https://github.com/AbdelrahmanRamadan/competitive-programming/blob/master/Timus/1599-Winding-Number.cpp&amp;sa=D&amp;ust=1605639552838000&amp;usg=AFQjCNEMZx8HiP3G6jKwJHNYF-p0v1uY3Q" xr:uid="{A130DCD1-3AC5-4440-AA54-2EB952617AAE}"/>
    <hyperlink ref="D1335" r:id="rId2152" display="https://www.google.com/url?q=https://github.com/mostafa-saad/MyCompetitiveProgramming/blob/master/LiveArchive/LiveArchive_5108.txt&amp;sa=D&amp;ust=1605639552838000&amp;usg=AFQjCNHkLm5ioFDEHKi_XIOheXf0KOTBmg" xr:uid="{10F92EF3-4066-44CA-ABA5-0E76458343B4}"/>
    <hyperlink ref="D916" r:id="rId2153" display="https://www.google.com/url?q=https://github.com/mostafa-saad/MyCompetitiveProgramming/blob/master/UVA/UVA_12300.txt&amp;sa=D&amp;ust=1605639552839000&amp;usg=AFQjCNF5YWShbF_lJ48Mw4r6B3jkhD-ZeA" xr:uid="{0F4E9B23-8BA8-4CC8-8131-F3BB37D7F1D7}"/>
    <hyperlink ref="D917" r:id="rId2154" display="https://www.google.com/url?q=https://github.com/mostafa-saad/MyCompetitiveProgramming/blob/master/ZOJ/ZOJ_2157.txt&amp;sa=D&amp;ust=1605639552840000&amp;usg=AFQjCNG5WutXzstfGpsPTHv2eurgld0tKQ" xr:uid="{3A5C7061-C355-4DEC-89D8-1E9127EFAA35}"/>
    <hyperlink ref="A2781" r:id="rId2155" display="https://www.google.com/url?q=http://codeforces.com/contest/408/problem/C&amp;sa=D&amp;ust=1605639552841000&amp;usg=AFQjCNFSIFMqDu2NMxiA80_neZziWNm6Zw" xr:uid="{1F908BAD-7F05-4A99-B88C-206AA586CFE0}"/>
    <hyperlink ref="D919" r:id="rId2156" display="https://www.google.com/url?q=https://github.com/AbdelrahmanRamadan/competitive-programming/blob/master/UVA/11665%2520-%2520Chinese%2520Ink.cpp&amp;sa=D&amp;ust=1605639552842000&amp;usg=AFQjCNEp7LSVXqGCixEknO-c8i5OVceXlg" xr:uid="{50BF20CD-60C7-4ABB-AD7B-51EAE97FF49A}"/>
    <hyperlink ref="A2783" r:id="rId2157" display="https://www.google.com/url?q=http://codeforces.com/contest/1/problem/C&amp;sa=D&amp;ust=1605639552842000&amp;usg=AFQjCNGVcvsqIQllff8-M42LxTCZJikBMw" xr:uid="{BA40AB66-3FCD-4EE6-A340-BA05CCBCDDCE}"/>
    <hyperlink ref="D5315" r:id="rId2158" display="https://www.google.com/url?q=http://home.ustc.edu.cn/~lyishuai/code/acm/%25B4%25FA%25C2%25EB%25B2%25D6%25BF%25E2/bookcodes/ch4/la3890.cpp&amp;sa=D&amp;ust=1605639552843000&amp;usg=AFQjCNH3e1A1P6_PE4RTPUssdjwtjk9U5Q" xr:uid="{92D9DF1B-32D2-42EB-B15A-B02334129BDE}"/>
    <hyperlink ref="A2791" r:id="rId2159" display="https://www.google.com/url?q=http://poj.org/problem?id%3D1279&amp;sa=D&amp;ust=1605639552845000&amp;usg=AFQjCNEXmvSWHRzJFG3xg80VgZB8YnAaxA" xr:uid="{C1333297-9675-48F5-9107-F49226DEDF16}"/>
    <hyperlink ref="D4340" r:id="rId2160" display="https://www.google.com/url?q=https://github.com/quangloc99/CompetitiveProgramming/blob/master/POJ/1279.cpp&amp;sa=D&amp;ust=1605639552845000&amp;usg=AFQjCNGxYI8tVVYctDv7O9_RcAtFI6PQyA" xr:uid="{6E2BB80F-1769-4912-9C34-65CE1F03B0FF}"/>
    <hyperlink ref="D4193" r:id="rId2161" display="https://www.google.com/url?q=https://github.com/MetalBall887/Competitive-Programming/blob/master/UVA/UVA%252011265.cpp&amp;sa=D&amp;ust=1605639552845000&amp;usg=AFQjCNGcvE5bUzqeZg1BKqMXo5J1ltgY2g" xr:uid="{50713906-1E4B-48BB-BEC9-58F730C438CB}"/>
    <hyperlink ref="D4194" r:id="rId2162" display="https://www.google.com/url?q=https://morris821028.github.io/2014/11/15/oj/uva/uva-10117/&amp;sa=D&amp;ust=1605639552846000&amp;usg=AFQjCNGrkKPMkD53SCn87QWYqcyRa5A4Kg" xr:uid="{328CC558-7B61-41AE-B970-8213324F1C58}"/>
    <hyperlink ref="A2794" r:id="rId2163" display="https://www.google.com/url?q=https://uva.onlinejudge.org/index.php?option%3Dcom_onlinejudge%26Itemid%3D8%26page%3Dshow_problem%26problem%3D529&amp;sa=D&amp;ust=1605639552846000&amp;usg=AFQjCNHUCtqhswcT8U1Y3ow-G5Rk6iW2IQ" xr:uid="{B78FE380-C2F9-4EDB-A95C-79F99E3F6594}"/>
    <hyperlink ref="D3334" r:id="rId2164" display="https://www.google.com/url?q=https://github.com/mostafa-saad/MyCompetitiveProgramming/blob/master/UVA/588.cpp&amp;sa=D&amp;ust=1605639552847000&amp;usg=AFQjCNHWKxc5ZVKeqHEyvF158BeRKJRqwQ" xr:uid="{02CE70C2-A80C-44E2-9F9D-753FD35A13FA}"/>
    <hyperlink ref="D3335" r:id="rId2165" display="https://www.google.com/url?q=https://github.com/OmarAhmedSaleh/competitive-programming/blob/master/TJU/1537.%2520%2520%2520This%2520Takes%2520the%2520Cake.cpp&amp;sa=D&amp;ust=1605639552847000&amp;usg=AFQjCNGh8rbg_3U9xsBRBpUHRKYDaZtefQ" xr:uid="{DC8B713C-8257-48ED-A82C-F0AAD34C0E1C}"/>
    <hyperlink ref="D920" r:id="rId2166" display="https://www.google.com/url?q=https://github.com/MeGaCrazy/CompetitiveProgramming/blob/c9f4ed6571a135dbc26cfeeb099384a8fec2ff92/LiveArchive/LIVEARCHIVE_2831.cpp&amp;sa=D&amp;ust=1605639552849000&amp;usg=AFQjCNFf81ExQMwC7m6wdTE5iGbgu-dZhA" xr:uid="{965C3527-AF84-41DE-B703-7D1790B387B3}"/>
    <hyperlink ref="A2800" r:id="rId2167" display="https://www.google.com/url?q=https://www.hackerrank.com/challenges/elastic-rope&amp;sa=D&amp;ust=1605639552849000&amp;usg=AFQjCNH-2NelmZD7oG7KeLxSr5qs_kfbqQ" xr:uid="{0DACD2FB-000A-428D-AB0E-8885F102B900}"/>
    <hyperlink ref="A2801" r:id="rId2168" display="https://www.google.com/url?q=https://www.hackerrank.com/challenges/best-sum&amp;sa=D&amp;ust=1605639552850000&amp;usg=AFQjCNEN3RfbiY2xCr0oZdemlhgLvpB4WQ" xr:uid="{014227EA-8975-48F3-BAA8-D3B467DC8EEA}"/>
    <hyperlink ref="A2802" r:id="rId2169" display="https://www.google.com/url?q=http://codeforces.com/gym/101982&amp;sa=D&amp;ust=1605639552850000&amp;usg=AFQjCNFXpD-R8BCcb8WDmLdJ_vRQZrzJgA" xr:uid="{4CBAB6B2-F602-407F-AFFE-045DE38196C0}"/>
    <hyperlink ref="D5513" r:id="rId2170" display="https://www.google.com/url?q=http://codeforces.com/blog/entry/63070&amp;sa=D&amp;ust=1605639552850000&amp;usg=AFQjCNEIZSOJ4wQ0eotXpRXGwYhGe8OzPw" xr:uid="{0C5ECD8F-8F35-4963-A7DF-5CB375F8BC06}"/>
    <hyperlink ref="D5514" r:id="rId2171" display="https://www.google.com/url?q=http://blog.csdn.net/fuxey/article/details/50410233&amp;sa=D&amp;ust=1605639552851000&amp;usg=AFQjCNEM1RAgrUpTo5pSir9u5Qd1vEccIw" xr:uid="{54D63A8D-A431-402B-A032-ABED8CD770C7}"/>
    <hyperlink ref="D5133" r:id="rId2172" display="https://www.google.com/url?q=https://github.com/morris821028/UVa/blob/master/volume119/11919%2520-%2520Hybrid%2520Salientia.cpp&amp;sa=D&amp;ust=1605639552852000&amp;usg=AFQjCNFO8G2KryjtfMbN4eT1P1Jv2_xuTg" xr:uid="{1FB3D672-6877-45B3-9F87-3E688AE7F405}"/>
    <hyperlink ref="D5134" r:id="rId2173" display="https://www.google.com/url?q=https://morris821028.github.io/2014/08/29/oj/uva/uva-12307/&amp;sa=D&amp;ust=1605639552853000&amp;usg=AFQjCNGCL9VXxDMTljgjPzI2oacHvtvbeg" xr:uid="{48987F46-F7F4-408A-91BE-46DED51409A9}"/>
    <hyperlink ref="A2808" r:id="rId2174" display="https://www.google.com/url?q=http://codeforces.com/contest/70/problem/D&amp;sa=D&amp;ust=1605639552853000&amp;usg=AFQjCNFEmEftYlxDhLwfl6jirLVcG-Ygvw" xr:uid="{359D8BE2-992E-4735-A0EC-120232D44AF5}"/>
    <hyperlink ref="D5031" r:id="rId2175" display="https://www.google.com/url?q=https://github.com/farmerboy95/CompetitiveProgramming/blob/master/Codeforces/CF70-D12-D.cpp&amp;sa=D&amp;ust=1605639552854000&amp;usg=AFQjCNGUxysJTz5H2GGcC2GfxyNfNdu5zw" xr:uid="{F0C2FF03-82E5-460E-9DCE-49FCBED78F92}"/>
    <hyperlink ref="A2810" r:id="rId2176" display="https://www.google.com/url?q=http://codeforces.com/contest/682/problem/E&amp;sa=D&amp;ust=1605639552854000&amp;usg=AFQjCNHiplT-C1GoV6Tm0RfNuvXCUHM-pg" xr:uid="{A5A137B2-71C1-417E-A7D7-386C14020DF8}"/>
    <hyperlink ref="D4799" r:id="rId2177" display="https://www.google.com/url?q=https://github.com/mostafa-saad/MyCompetitiveProgramming/blob/master/Codeforces/CF682-D2-E.txt&amp;sa=D&amp;ust=1605639552855000&amp;usg=AFQjCNHsszxdR9qllLV55oq7hh9prBqXEw" xr:uid="{A8735D7D-22BC-4E4E-BBAA-5D0316FD4078}"/>
    <hyperlink ref="A2811" r:id="rId2178" display="https://www.google.com/url?q=http://codeforces.com/contest/536/problem/C&amp;sa=D&amp;ust=1605639552855000&amp;usg=AFQjCNFD6he51hsJTWJYWh3wwI3CidoIag" xr:uid="{23FD474B-25C1-4A5E-89D1-649A940C90AA}"/>
    <hyperlink ref="D4800" r:id="rId2179" display="https://www.google.com/url?q=https://github.com/tmwilliamlin168/CompetitiveProgramming/blob/master/CodeForces/0536C.cpp&amp;sa=D&amp;ust=1605639552855000&amp;usg=AFQjCNHi8dMWJnpnJJqhpDQ-qLCDGpdN4A" xr:uid="{3A23F709-6984-424E-AEB5-BA847C0C12FF}"/>
    <hyperlink ref="D4468" r:id="rId2180" display="https://www.google.com/url?q=https://github.com/dasannagariraja/CompetitiveProgramming/blob/master/SPOJ/SPOJ%2520SPOINTS.cpp&amp;sa=D&amp;ust=1605639552857000&amp;usg=AFQjCNHrpvF0fvJ3BENcFGkmCqRtUr6GqA" xr:uid="{FA8FA525-2C0A-4083-A44B-DF2B7EC78466}"/>
    <hyperlink ref="A2819" r:id="rId2181" display="https://www.google.com/url?q=https://codeforces.com/contest/1143/problem/F&amp;sa=D&amp;ust=1605639552858000&amp;usg=AFQjCNFTTk180gmAK_NhaJ9fGzokkcgnPQ" xr:uid="{4DC0A0D0-B181-4593-91F4-8879B57277C3}"/>
    <hyperlink ref="D4196" r:id="rId2182" display="https://www.google.com/url?q=https://github.com/quangloc99/CompetitiveProgramming/blob/master/SPOJ/TFOSS.cpp&amp;sa=D&amp;ust=1605639552859000&amp;usg=AFQjCNG_cu6mUF7AekS6a5OAdFxvEPTrUg" xr:uid="{153B3C6F-F16E-4B91-8A5C-7B1DB5AC8890}"/>
    <hyperlink ref="A2824" r:id="rId2183" display="https://www.google.com/url?q=https://www.codechef.com/problems/ADADET&amp;sa=D&amp;ust=1605639552860000&amp;usg=AFQjCNE4QiQbRnm2M1SHPP-livS6QqAEbQ" xr:uid="{CD216CFA-4D85-4B4E-B91F-785A1B528C36}"/>
    <hyperlink ref="A2825" r:id="rId2184" display="https://www.google.com/url?q=https://onlinejudge.org/index.php?option%3Donlinejudge%26Itemid%3D8%26category%3D242%26page%3Dshow_problem%26problem%3D3199&amp;sa=D&amp;ust=1605639552860000&amp;usg=AFQjCNFSWBrblhOyN7QyLULrSwhNpEf_mg" xr:uid="{99BE82CD-ECBA-401B-986A-DAFC6FE4C957}"/>
    <hyperlink ref="D4199" r:id="rId2185" display="https://www.google.com/url?q=https://morris821028.github.io/2014/08/28/oj/uva/uva-12048/&amp;sa=D&amp;ust=1605639552861000&amp;usg=AFQjCNFgAhVJqye9MTJdTrrg7Y9hwLPOdA" xr:uid="{BD304459-5F2E-4C25-8599-A622E104E54B}"/>
    <hyperlink ref="D2011" r:id="rId2186" display="https://www.google.com/url?q=https://github.com/MeGaCrazy/CompetitiveProgramming/blob/bec564a6ceb521c881f45109cf287c3ade0b7048/SPOJ/SPOJ_VMILI.cpp&amp;sa=D&amp;ust=1605639552861000&amp;usg=AFQjCNEp2fkngXYUF8kNdEk6wJ1adAD_uQ" xr:uid="{10FD3768-1B8D-4200-BDEA-577795957D55}"/>
    <hyperlink ref="D2012" r:id="rId2187" display="https://www.google.com/url?q=https://github.com/MeGaCrazy/CompetitiveProgramming/blob/53a480a068a190154a3b9a10ad0068d7d8082f3c/UVA/UVA_109.cpp&amp;sa=D&amp;ust=1605639552861000&amp;usg=AFQjCNGUweOoK4vWuS8MdGJMvQHJtqkX6A" xr:uid="{99E924DB-8A2F-49D6-BEC6-BD34EA4F97EB}"/>
    <hyperlink ref="A2829" r:id="rId2188" display="https://www.google.com/url?q=http://codeforces.com/gym/101484/problem/E&amp;sa=D&amp;ust=1605639552862000&amp;usg=AFQjCNFVRLOVVgRvNcXVe_Dtj06F-nQ_0g" xr:uid="{A7C792F7-FC2B-4913-A05E-652917BF24C2}"/>
    <hyperlink ref="D2013" r:id="rId2189" display="https://www.google.com/url?q=https://github.com/mostafa-saad/MyCompetitiveProgramming/blob/master/Codeforces/CF101484-GYM-E.txt&amp;sa=D&amp;ust=1605639552862000&amp;usg=AFQjCNHqyfm4MmBOKhESRHrf-8VP3IVJzg" xr:uid="{D0263452-F172-49C0-898F-ED5C8B611CF4}"/>
    <hyperlink ref="D2016" r:id="rId2190" display="https://www.google.com/url?q=https://github.com/MeGaCrazy/CompetitiveProgramming/blob/263085312d6acc5da8fb2a9f7c1df298d1e4c121/UVA/UVA_11168.cpp&amp;sa=D&amp;ust=1605639552864000&amp;usg=AFQjCNGrGMCWuuayJWGMO0RwrjHUG0lUAw" xr:uid="{3B49F634-83DA-4F1B-B44A-212FF15CE7FF}"/>
    <hyperlink ref="D1336" r:id="rId2191" display="https://www.google.com/url?q=https://github.com/MeGaCrazy/CompetitiveProgramming/blob/952b5006b2804265a3fbd2ac426f549b5ca7e3ed/LiveArchive/LIVEARCHIVE_4558.cpp&amp;sa=D&amp;ust=1605639552866000&amp;usg=AFQjCNESleYaU8kooRrd1QQY1DpbQvXjKQ" xr:uid="{E4085D94-C8D6-476F-BA63-F6D9E9676EE1}"/>
    <hyperlink ref="D1337" r:id="rId2192" display="https://www.google.com/url?q=https://github.com/MeGaCrazy/CompetitiveProgramming/blob/3cbda68406690211520916e985889ce97f3539b5/UVA/UVA_11626.cpp&amp;sa=D&amp;ust=1605639552867000&amp;usg=AFQjCNEV0Jv0R61iVDJKZxmR9FO8e11y9g" xr:uid="{7DC7109C-4633-4F31-BDCD-7F3A0AED86B4}"/>
    <hyperlink ref="D922" r:id="rId2193" display="https://www.google.com/url?q=https://github.com/MeGaCrazy/CompetitiveProgramming/blob/9ece9fb5793c170b4c0c7990925909f603bfe91d/SPOJ/SPOJ_BSHEEP.cpp&amp;sa=D&amp;ust=1605639552867000&amp;usg=AFQjCNEc1RrtIhVrj9UqNQEgTuLvh7HSMA" xr:uid="{601AFEDE-AE83-4C6B-A05F-EE1BCFBBCB6E}"/>
    <hyperlink ref="D69" r:id="rId2194" display="https://www.google.com/url?q=https://github.com/MeGaCrazy/CompetitiveProgramming/blob/c0be86b2a38768b19efa8a1665febb1b03a9edd6/UVA/UVA_10002.cpp&amp;sa=D&amp;ust=1605639552868000&amp;usg=AFQjCNFzF5YqVT5w_WJG2ZLXKgot9mvvFg" xr:uid="{3BB92925-8E70-4F13-8C9B-26E5582DDB1F}"/>
    <hyperlink ref="A2842" r:id="rId2195" display="https://www.google.com/url?q=https://www.hackerrank.com/challenges/polygon&amp;sa=D&amp;ust=1605639552868000&amp;usg=AFQjCNF9ySbUs9RVPn0FgSql_kzpCuvlXg" xr:uid="{4343C90F-5C76-46F8-84CB-E1937B9A8383}"/>
    <hyperlink ref="D2905" r:id="rId2196" display="https://www.google.com/url?q=https://searchcode.com/file/96026932/USACO/Chapter%25203/3.4.3%2520-%2520fence9.cpp&amp;sa=D&amp;ust=1605639552869000&amp;usg=AFQjCNFDSvsg6DrWPcsz_aTEvGXTeqUyZg" xr:uid="{E00C9094-A336-4D68-8C88-BE09087EF3EA}"/>
    <hyperlink ref="A2851" r:id="rId2197" display="https://www.google.com/url?q=https://uva.onlinejudge.org/index.php?option%3Donlinejudge%26page%3Dshow_problem%26problem%3D1029&amp;sa=D&amp;ust=1605639552870000&amp;usg=AFQjCNFeeyRXlvhGyNf4yXHjWYuXZBElhw" xr:uid="{1355BA3D-DDA8-470F-B646-A72DFCA74402}"/>
    <hyperlink ref="D2021" r:id="rId2198" display="https://www.google.com/url?q=https://github.com/ZeyadKhattab/Competitive-Programming/blob/master/UVA/UVA%252010088.java&amp;sa=D&amp;ust=1605639552870000&amp;usg=AFQjCNH-KTZ7o5N5sekat8XDKi_S5suP-g" xr:uid="{266351F7-B357-4FFE-9178-C397610CD1B3}"/>
    <hyperlink ref="D1338" r:id="rId2199" display="https://www.google.com/url?q=https://github.com/MeGaCrazy/CompetitiveProgramming/blob/8b73df41b564d85111013c8906f695b8420cd7d5/UVA/UVA_1641.cpp&amp;sa=D&amp;ust=1605639552870000&amp;usg=AFQjCNGBqMsFUwAqyHbfQ_ARD2e6UIVysA" xr:uid="{FF344C1F-5F2E-4849-B0C7-FE11A3471335}"/>
    <hyperlink ref="A2853" r:id="rId2200" display="https://www.google.com/url?q=http://acm.tju.edu.cn/toj/showp1011.html&amp;sa=D&amp;ust=1605639552871000&amp;usg=AFQjCNHATpA3XzIZ-4LrskzB_nVRCxV4iA" xr:uid="{E2193EDA-CD4D-4DE9-A7FF-3CAA1F7B8426}"/>
    <hyperlink ref="D1339" r:id="rId2201" display="https://www.google.com/url?q=https://github.com/MedoN11/CompetitiveProgramming/blob/master/TJU/1011.cpp&amp;sa=D&amp;ust=1605639552871000&amp;usg=AFQjCNGY-3tEUg7q0Cx0Q_ytARyZYUSYog" xr:uid="{CDA753F3-17B0-4A71-BD38-5578E8994E70}"/>
    <hyperlink ref="D5316" r:id="rId2202" display="https://www.google.com/url?q=https://github.com/DrSchwad/CompetitiveProgramming/blob/master/SPOJ/SPOJ%2520VCIRCLES.cpp&amp;sa=D&amp;ust=1605639552873000&amp;usg=AFQjCNHN4bg9nkVSqT1JObBJ5phPIY8iIA" xr:uid="{51734873-2A41-451A-878F-86119E756920}"/>
    <hyperlink ref="D5317" r:id="rId2203" display="https://www.google.com/url?q=https://github.com/shanto86/Training/blob/master/UVA/UVA%25201308.cpp&amp;sa=D&amp;ust=1605639552873000&amp;usg=AFQjCNEmT2CNrPUFLTIXhh1c7YgJR40EmA" xr:uid="{11383A61-1F7A-489A-87C1-27B0A33F9749}"/>
    <hyperlink ref="A2448" r:id="rId2204" display="https://www.google.com/url?q=http://codeforces.com/contest/35/problem/E&amp;sa=D&amp;ust=1605639552875000&amp;usg=AFQjCNFnYJg0z5Vop6Ha7V5heOyV2pEbQg" xr:uid="{56C1C05B-29A3-4B89-8CEC-0304C6E5A52C}"/>
    <hyperlink ref="A2449" r:id="rId2205" display="https://www.google.com/url?q=https://community.topcoder.com/stat?c%3Dproblem_statement%26pm%3D10796&amp;sa=D&amp;ust=1605639552876000&amp;usg=AFQjCNFwPg86QVJ4IyjiqCht2X9wZOsSAw" xr:uid="{A5EA68F4-FF61-4FEB-81BE-ABC035FCAA4E}"/>
    <hyperlink ref="D5135" r:id="rId2206" display="https://www.google.com/url?q=https://github.com/MedoN11/CompetitiveProgramming/blob/master/TopCoder/TC(CORNERSDECODING).cpp&amp;sa=D&amp;ust=1605639552876000&amp;usg=AFQjCNHLNJG1FSXWM-zrlS48NGolBmuO_Q" xr:uid="{4228DBB4-1356-4118-B874-3AFBDD586A88}"/>
    <hyperlink ref="A2452" r:id="rId2207" display="https://www.google.com/url?q=http://codeforces.com/contest/685/problem/D&amp;sa=D&amp;ust=1605639552877000&amp;usg=AFQjCNFQKBdtifzbicdtJ9Ahz8_5h6CiIQ" xr:uid="{AF3E6A8F-1A12-499F-B893-C61B81D25EEE}"/>
    <hyperlink ref="D4343" r:id="rId2208" display="https://www.google.com/url?q=https://github.com/mostafa-saad/MyCompetitiveProgramming/blob/master/SPOJ/SPOJ_RAIN1.txt&amp;sa=D&amp;ust=1605639552877000&amp;usg=AFQjCNF04S9URe3tqOqhhRLqANghaxyTAA" xr:uid="{AB5B079C-43CC-4124-B562-A222BFE8AB95}"/>
    <hyperlink ref="D4200" r:id="rId2209" display="https://www.google.com/url?q=https://github.com/mostafa-saad/MyCompetitiveProgramming/blob/master/UVA/UVA_10043.txt&amp;sa=D&amp;ust=1605639552878000&amp;usg=AFQjCNEgH3bgN04i45UyNinpO0SqhbANLg" xr:uid="{13850063-01F7-4F7A-AFE2-443914BDDE53}"/>
    <hyperlink ref="D4201" r:id="rId2210" display="https://www.google.com/url?q=https://www.quora.com/What-is-the-approach-to-solve-2051-cell-phone-CERC07C-on-SPOJ&amp;sa=D&amp;ust=1605639552878000&amp;usg=AFQjCNHw1ZuEyInhhPlDsIZmmGo8n6rvww" xr:uid="{316B368D-6C8F-4B65-8EEE-D764B0D8AFD5}"/>
    <hyperlink ref="D4202" r:id="rId2211" display="https://www.google.com/url?q=https://github.com/DrSchwad/CompetitiveProgramming/blob/master/UVA/UVA%252012226.cpp&amp;sa=D&amp;ust=1605639552878000&amp;usg=AFQjCNG3qiOqpOX9rCkS_GCClSUFiBYtSg" xr:uid="{EAB57595-5C7B-4BC0-8D9B-947E5318A9EF}"/>
    <hyperlink ref="A2458" r:id="rId2212" display="https://www.google.com/url?q=http://codeforces.com/contest/845/problem/E&amp;sa=D&amp;ust=1605639552879000&amp;usg=AFQjCNHb4QpGtVusSA2N-Il87FZVFMw79Q" xr:uid="{7ED776C1-D4A6-44CD-BF00-35CD9B84F11B}"/>
    <hyperlink ref="D4204" r:id="rId2213" display="https://www.google.com/url?q=https://github.com/mostafa-saad/MyCompetitiveProgramming/blob/master/UVA/UVA_303.txt&amp;sa=D&amp;ust=1605639552879000&amp;usg=AFQjCNGMmjgCqjfouhssaVwYuck859vvlA" xr:uid="{58FB12C0-34AC-4C34-9B11-C595D2A81ECC}"/>
    <hyperlink ref="A2460" r:id="rId2214" display="https://www.google.com/url?q=https://icpcarchive.ecs.baylor.edu/index.php?option%3Donlinejudge%26page%3Dshow_problem%26problem%3D3806&amp;sa=D&amp;ust=1605639552879000&amp;usg=AFQjCNHBiL0Z_nclnDbQvxoL0_yDOcBliQ" xr:uid="{EC5D7308-C37B-40CE-877B-53C74B41A15D}"/>
    <hyperlink ref="D4205" r:id="rId2215" display="https://www.google.com/url?q=https://gist.github.com/mejito/2166667&amp;sa=D&amp;ust=1605639552879000&amp;usg=AFQjCNHHkjcoF1QJ0gCp-479FXhIYZV2Hg" xr:uid="{4BD8EA71-2ECF-4565-B837-777744B48031}"/>
    <hyperlink ref="A2461" r:id="rId2216" display="https://www.google.com/url?q=https://onlinejudge.org/index.php?option%3Donlinejudge%26Itemid%3D8%26page%3Dshow_problem%26problem%3D1554&amp;sa=D&amp;ust=1605639552880000&amp;usg=AFQjCNGvfK_JUuoMzo0GyBYepj9mfIQDnQ" xr:uid="{4CE54608-2497-4F7C-833D-DAE2FE6F0A89}"/>
    <hyperlink ref="D3929" r:id="rId2217" display="https://www.google.com/url?q=https://github.com/DrSchwad/CompetitiveProgramming/blob/master/UVA/UVA%252010613.cpp&amp;sa=D&amp;ust=1605639552880000&amp;usg=AFQjCNGC2pGMur8Hqa_W_bLRZabC9U6Xww" xr:uid="{559FCB61-E26B-4C2B-A69F-D76E91D1B80C}"/>
    <hyperlink ref="D3823" r:id="rId2218" display="https://www.google.com/url?q=https://github.com/mostafa-saad/MyCompetitiveProgramming/blob/master/UVA/UVA_1468.txt&amp;sa=D&amp;ust=1605639552880000&amp;usg=AFQjCNF6Bf3-pyYWqKNuoxw4QbMeR0yD4g" xr:uid="{334104E8-B100-43A2-9A42-A4091D1AE90B}"/>
    <hyperlink ref="A2463" r:id="rId2219" display="https://www.google.com/url?q=https://onlinejudge.org/index.php?option%3Dcom_onlinejudge%26Itemid%3D8%26category%3D117%26page%3Dshow_problem%26problem%3D2751&amp;sa=D&amp;ust=1605639552880000&amp;usg=AFQjCNEpAIproGbqDY_uMa4kdlfWDAWYrQ" xr:uid="{D218BA7E-FD9E-43A7-BA57-E3A310CF3E3E}"/>
    <hyperlink ref="D3824" r:id="rId2220" display="https://www.google.com/url?q=https://github.com/DrSchwad/CompetitiveProgramming/blob/master/UVA/UVA%252011704.cpp&amp;sa=D&amp;ust=1605639552881000&amp;usg=AFQjCNEAkP-uemEGqulzVBRWllrf9KEGMg" xr:uid="{1ED93002-3032-46AA-87B0-9D460FB1E5DB}"/>
    <hyperlink ref="A2464" r:id="rId2221" display="https://www.google.com/url?q=https://csacademy.com/contest/round-67/task/falling-balls/&amp;sa=D&amp;ust=1605639552881000&amp;usg=AFQjCNFL-67mx5QtZKVfq3KErimdh0zjqw" xr:uid="{9B0156B5-4991-43F8-A82C-9AECD48FE01B}"/>
    <hyperlink ref="D3826" r:id="rId2222" display="https://www.google.com/url?q=https://github.com/pranavjangir/CompetitiveProgramming/blob/master/LiveArchive/LIVEARCHIVE%25206348.cpp&amp;sa=D&amp;ust=1605639552882000&amp;usg=AFQjCNHPlalsLM3ObQQk2nkO_6pNGQVV0g" xr:uid="{6874C925-8595-44CD-8979-6BFB7BD24C32}"/>
    <hyperlink ref="D3827" r:id="rId2223" display="https://www.google.com/url?q=https://github.com/mostafa-saad/MyCompetitiveProgramming/blob/master/SPOJ/SPOJ_WILD.txt&amp;sa=D&amp;ust=1605639552882000&amp;usg=AFQjCNHiNhQAVUWtONHv0uI-ZcBAKnClRQ" xr:uid="{314B20F8-2DF4-429A-BBF0-BBADBCAAEF73}"/>
    <hyperlink ref="A2467" r:id="rId2224" display="https://www.google.com/url?q=https://codeforces.com/contest/1284/problem/D&amp;sa=D&amp;ust=1605639552883000&amp;usg=AFQjCNHlc_TUBlhHMs2wXfXRYjEoBNHEJg" xr:uid="{2AE14B49-2C99-485F-82BF-45F4EF85E48F}"/>
    <hyperlink ref="A2468" r:id="rId2225" display="https://www.google.com/url?q=https://icpcarchive.ecs.baylor.edu/index.php?option%3Dcom_onlinejudge%26Itemid%3D8%26category%3D18%26page%3Dshow_problem%26problem%3D1526&amp;sa=D&amp;ust=1605639552884000&amp;usg=AFQjCNEYhCxr5KmMSg5Jm8hhD8b1dcF60A" xr:uid="{28A606CC-F33B-4813-8237-BCF72DE8596C}"/>
    <hyperlink ref="D3341" r:id="rId2226" display="https://www.google.com/url?q=https://algorithmist.com/wiki/LA_3525&amp;sa=D&amp;ust=1605639552884000&amp;usg=AFQjCNESF3-ilKomaz9FgrfOtayxus0IcQ" xr:uid="{4B234241-ECE8-43E7-ADCE-C34837FD1BA8}"/>
    <hyperlink ref="D3342" r:id="rId2227" display="https://www.google.com/url?q=https://github.com/mostafa-saad/MyCompetitiveProgramming/blob/master/SPOJ/SPOJ_SHORTCUT.txt&amp;sa=D&amp;ust=1605639552884000&amp;usg=AFQjCNGvzL0Ab_hSuUte4QtN4mUTo6ywNQ" xr:uid="{0D71156C-3BFD-4DB1-9A81-DD4EF64E58DC}"/>
    <hyperlink ref="A2472" r:id="rId2228" display="https://www.google.com/url?q=http://codeforces.com/gym/101147/problem/I&amp;sa=D&amp;ust=1605639552885000&amp;usg=AFQjCNFW9uqoOdSo54c9XcBs2F2w_9J-cQ" xr:uid="{447CB8A4-253B-404A-B0BF-7278424FAD81}"/>
    <hyperlink ref="D2705" r:id="rId2229" display="https://www.google.com/url?q=https://github.com/mostafa-saad/MyCompetitiveProgramming/blob/master/Codeforces/CF101147-GYM-I.txt&amp;sa=D&amp;ust=1605639552886000&amp;usg=AFQjCNHC-hW-ccvqkmm428ACPj_KdCGTNg" xr:uid="{F944FA7B-CC4D-4F47-A4B1-441D84BD1E6B}"/>
    <hyperlink ref="A2473" r:id="rId2230" display="https://www.google.com/url?q=https://codeforces.com/contest/1278/problem/D&amp;sa=D&amp;ust=1605639552886000&amp;usg=AFQjCNFauCXnhR-groTQC-w3CZ1jtuTN6w" xr:uid="{16048A19-10B9-44B6-A017-6C5A6A079502}"/>
    <hyperlink ref="A2474" r:id="rId2231" display="https://www.google.com/url?q=https://codeforces.com/contest/1046/problem/A&amp;sa=D&amp;ust=1605639552886000&amp;usg=AFQjCNF2l37aygOFNtmeBv_0NDPlLk4fUg" xr:uid="{67C828F0-9FA6-44DE-AF6E-557B87DB9850}"/>
    <hyperlink ref="A2475" r:id="rId2232" display="https://www.google.com/url?q=http://codeforces.com/contest/496/problem/E&amp;sa=D&amp;ust=1605639552887000&amp;usg=AFQjCNE3NOWLfad_1F6ntWH7CSK8xWRCBA" xr:uid="{22A05D27-3B06-4866-BDBD-9A9D6972C459}"/>
    <hyperlink ref="D2710" r:id="rId2233" display="https://www.google.com/url?q=https://github.com/mostafa-saad/MyCompetitiveProgramming/blob/master/TopCoder/SRM206-D1-500.txt&amp;sa=D&amp;ust=1605639552888000&amp;usg=AFQjCNHWOUauaMydaOynHfwTZBUuWa4qFA" xr:uid="{39D088FC-3C2A-402D-B04B-A65B6D0B3B9D}"/>
    <hyperlink ref="A2479" r:id="rId2234" display="https://www.google.com/url?q=http://codeforces.com/gym/100622/problem/C&amp;sa=D&amp;ust=1605639552888000&amp;usg=AFQjCNFv_9AqE7RRfYsBiypJWAtP0iDHZQ" xr:uid="{D1F066E2-7EA3-48DB-8E3A-5AB04BCE44B2}"/>
    <hyperlink ref="D2428" r:id="rId2235" display="https://www.google.com/url?q=https://github.com/MohamedNabil97/CompetitiveProgramming/blob/master/CodeForces/CF100622-GYM-C.cpp&amp;sa=D&amp;ust=1605639552889000&amp;usg=AFQjCNHbKaYDs_TWbzEnoLzB6u9F4g8zxg" xr:uid="{F5E1B367-E2A9-4514-816A-75C13B6196C7}"/>
    <hyperlink ref="D2023" r:id="rId2236" display="https://www.google.com/url?q=https://github.com/mostafa-saad/MyCompetitiveProgramming/blob/master/SPOJ/SPOJ_RIGHTTRI.txt&amp;sa=D&amp;ust=1605639552890000&amp;usg=AFQjCNHseZ83QCSsWAkN4cj5hU3x8rsG7Q" xr:uid="{301F65C8-93D2-48CA-86BE-F384DA6D0ABC}"/>
    <hyperlink ref="D1340" r:id="rId2237" display="https://www.google.com/url?q=https://github.com/mostafa-saad/MyCompetitiveProgramming/blob/master/PKU/PKU_1177.txt&amp;sa=D&amp;ust=1605639552890000&amp;usg=AFQjCNFZya-YR2x0AVR3uRYacNMVr4CE7w" xr:uid="{796A1230-AF3A-405A-9699-0E9EDA9863AA}"/>
    <hyperlink ref="D1341" r:id="rId2238" display="https://www.google.com/url?q=https://github.com/mostafa-saad/MyCompetitiveProgramming/blob/master/SPOJ/SPOJ_CEPC08B.txt&amp;sa=D&amp;ust=1605639552891000&amp;usg=AFQjCNGiJJL_UwVB7gdmCEc2tRME05k60Q" xr:uid="{812A92ED-3126-4B18-9629-A5D2F7011234}"/>
    <hyperlink ref="A2484" r:id="rId2239" display="https://www.google.com/url?q=http://codeforces.com/contest/1000/problem/C&amp;sa=D&amp;ust=1605639552891000&amp;usg=AFQjCNFDItgPZMGHcsR3Vom2jy9KtTYIYw" xr:uid="{086E1B01-A7A4-4566-848A-212E11E23C5D}"/>
    <hyperlink ref="D923" r:id="rId2240" display="https://www.google.com/url?q=https://github.com/mostafa-saad/MyCompetitiveProgramming/blob/master/SPOJ/SPOJ_NKMARS.txt&amp;sa=D&amp;ust=1605639552892000&amp;usg=AFQjCNFN2Cu2HVjnaWdsplPs8WyUUoy9tg" xr:uid="{EE64BF48-4D82-4731-A0CF-704A5F8D47B9}"/>
    <hyperlink ref="D924" r:id="rId2241" display="https://www.google.com/url?q=https://github.com/MohamedNabil97/CompetitiveProgramming/blob/master/UVA/11378.cpp&amp;sa=D&amp;ust=1605639552892000&amp;usg=AFQjCNHSm6f1H0hnkXEkHppRW0UELb9e2A" xr:uid="{6ED3E14B-74E9-4ED5-A4DF-081A9F4A26AA}"/>
    <hyperlink ref="A2487" r:id="rId2242" display="https://www.google.com/url?q=https://www.hackerrank.com/contests/hourrank-26/challenges/cloudy-day/problem&amp;sa=D&amp;ust=1605639552892000&amp;usg=AFQjCNHXKQxNGVFrxtd4avVMaGXLCFO2_A" xr:uid="{B23877C3-0A89-43E9-9BE4-AA654E1F3541}"/>
    <hyperlink ref="D529" r:id="rId2243" display="https://www.google.com/url?q=https://github.com/aboodJAD/CompetitiveProgramming/blob/master/UVA/UVA%252010750.cpp&amp;sa=D&amp;ust=1605639552893000&amp;usg=AFQjCNF3eSSai-5arKOC08nG7CiKcfoD0g" xr:uid="{7DA2EEEE-1C45-4CFF-8B5B-488C45DC8657}"/>
    <hyperlink ref="A2489" r:id="rId2244" display="https://www.google.com/url?q=http://codeforces.com/problemset/problem/845/C&amp;sa=D&amp;ust=1605639552894000&amp;usg=AFQjCNHax-pXs7RWMbxkB6CFmLnE9u7Q7A" xr:uid="{D084FF96-A49E-46A3-8365-4256DE08EADB}"/>
    <hyperlink ref="A2490" r:id="rId2245" display="https://www.google.com/url?q=https://uva.onlinejudge.org/index.php?option%3Dcom_onlinejudge%26Itemid%3D8%26page%3Dshow_problem%26problem%3D41&amp;sa=D&amp;ust=1605639552895000&amp;usg=AFQjCNHjgWbuJ5_tacgVtbsdOcNMurlDcQ" xr:uid="{AD5B2042-63ED-44A8-9B2D-CF59B04A2453}"/>
    <hyperlink ref="D308" r:id="rId2246" display="https://www.google.com/url?q=https://github.com/MohamedNabil97/CompetitiveProgramming/blob/master/UVA/105.cpp&amp;sa=D&amp;ust=1605639552895000&amp;usg=AFQjCNFt302ESlw01VNNC3qDcAEF_t5IBg" xr:uid="{BE9C3392-53FF-4FB4-8D8D-4F83664EAE2D}"/>
    <hyperlink ref="A2497" r:id="rId2247" display="https://www.google.com/url?q=http://codeforces.com/contest/89/problem/D&amp;sa=D&amp;ust=1605639552897000&amp;usg=AFQjCNFBve-1FQO6yAeFOCWC2rK95mWuGA" xr:uid="{7EC93554-8F4F-45E6-9040-7D64F2A553CE}"/>
    <hyperlink ref="D3345" r:id="rId2248" display="https://www.google.com/url?q=https://github.com/osamahatem/CompetitiveProgramming/blob/master/ZOJ/2369%2520-%2520Two%2520Cylinders.cpp&amp;sa=D&amp;ust=1605639552901000&amp;usg=AFQjCNGIgzbxLo7ak6wtrXc5GEYL57LPBw" xr:uid="{AFDA6067-96A4-4AE4-97CD-48477AD6C742}"/>
    <hyperlink ref="D2712" r:id="rId2249" display="https://www.google.com/url?q=https://github.com/AbdelrahmanRamadan/competitive-programming/blob/master/UVA/11232-Cylinder.cpp&amp;sa=D&amp;ust=1605639552901000&amp;usg=AFQjCNEbrq28rFlpJRaONClyM-vo7bRzKQ" xr:uid="{654DC911-5315-49E7-B791-F1A1F80AE946}"/>
    <hyperlink ref="A2511" r:id="rId2250" display="https://www.google.com/url?q=http://codeforces.com/contest/203/problem/D&amp;sa=D&amp;ust=1605639552902000&amp;usg=AFQjCNGBcPZDUMmky2n_NyodEEVrVE5xAA" xr:uid="{E53A9FB9-20F1-497D-BDAE-C56AB4213FF7}"/>
    <hyperlink ref="A2512" r:id="rId2251" display="https://www.google.com/url?q=http://codeforces.com/contest/65/problem/C&amp;sa=D&amp;ust=1605639552902000&amp;usg=AFQjCNEQ_pJV944KXhlHXTqTT4dq5xfbOg" xr:uid="{0A26BC07-AD92-4C1B-955F-C648240D93D0}"/>
    <hyperlink ref="A2536" r:id="rId2252" display="https://www.google.com/url?q=https://codeforces.com/contest/1237/problem/C2&amp;sa=D&amp;ust=1605639552903000&amp;usg=AFQjCNHOECKuoP0rNfRaf8at9HmRwh12qw" xr:uid="{FF919C85-1EFA-4F77-906A-4472C7976AA8}"/>
    <hyperlink ref="D926" r:id="rId2253" display="https://www.google.com/url?q=https://github.com/AbdelrahmanRamadan/competitive-programming/blob/master/UVA/10297%2520-%2520Beavergnaw.cpp&amp;sa=D&amp;ust=1605639552904000&amp;usg=AFQjCNHtFgWMcvIW_sR2NDUr4f5E4j0mwQ" xr:uid="{797DA9F2-A342-4783-90EC-042A072C5F8E}"/>
    <hyperlink ref="A2541" r:id="rId2254" display="https://www.google.com/url?q=https://www.hackerrank.com/challenges/spheres&amp;sa=D&amp;ust=1605639552905000&amp;usg=AFQjCNGwDAnhj8UdAFZDO9q4SeOXmQoa3w" xr:uid="{C9C9CE6E-90E7-43A6-9B61-E1F007AD10BB}"/>
    <hyperlink ref="D530" r:id="rId2255" display="https://www.google.com/url?q=https://github.com/osamahatem/CompetitiveProgramming/blob/master/Hackerrank/spheres.cpp&amp;sa=D&amp;ust=1605639552905000&amp;usg=AFQjCNG9yswo3vqVdFz8iMAXCzV92fwGag" xr:uid="{71E63E0C-CC43-4B25-97A3-4C644A135A77}"/>
    <hyperlink ref="A2863" r:id="rId2256" display="https://www.google.com/url?q=http://codeforces.com/contest/528/problem/C&amp;sa=D&amp;ust=1605639552906000&amp;usg=AFQjCNEE69GZEugJRZLRgJ8_pa9rOiywUg" xr:uid="{A5C25A3E-0A89-49BE-AF09-D9C3259CF9EC}"/>
    <hyperlink ref="A2864" r:id="rId2257" display="https://www.google.com/url?q=https://agc001.contest.atcoder.jp/tasks/agc001_f&amp;sa=D&amp;ust=1605639552907000&amp;usg=AFQjCNGieEGgy3RyWUf6V4oqDBYGRop5Ew" xr:uid="{BD577AF4-619D-42D3-B155-F28DF58D4DC3}"/>
    <hyperlink ref="A2904" r:id="rId2258" display="https://www.google.com/url?q=https://codeforces.com/contest/995/problem/E&amp;sa=D&amp;ust=1605639552907000&amp;usg=AFQjCNEgeawDPwXOkJ1HBIR-JWmQDkghUQ" xr:uid="{C80F137E-0449-4A1E-BF39-EFC99AACC5CD}"/>
    <hyperlink ref="A2935" r:id="rId2259" display="https://www.google.com/url?q=http://codeforces.com/contest/641/problem/G&amp;sa=D&amp;ust=1605639552908000&amp;usg=AFQjCNHPd_eEAYHjoDNhf7JWkGYp8Sj4zA" xr:uid="{50BC41F9-15E1-401A-B580-6CC0C391659E}"/>
    <hyperlink ref="A2936" r:id="rId2260" display="https://www.google.com/url?q=https://csacademy.com/contest/round-21/task/catch-the-thief/&amp;sa=D&amp;ust=1605639552908000&amp;usg=AFQjCNGKYyQcoMe19rD_-fln0cjKPH8_0Q" xr:uid="{65B92E3A-0127-4D8B-BBDB-60A171953D8D}"/>
    <hyperlink ref="A2937" r:id="rId2261" display="https://www.google.com/url?q=http://codeforces.com/contest/724/problem/G&amp;sa=D&amp;ust=1605639552909000&amp;usg=AFQjCNH1wLooDVOTC3I-ZiAwoBC17lYeDg" xr:uid="{C900DCC1-D001-4CF4-BF26-0B1CA2FDAE1D}"/>
    <hyperlink ref="A2865" r:id="rId2262" display="https://www.google.com/url?q=http://codeforces.com/gym/101968&amp;sa=D&amp;ust=1605639552909000&amp;usg=AFQjCNH0fBSZt8-akqXTEfnlwbS-QOS8fw" xr:uid="{ACE035BC-CE2D-4701-B00C-84E12EA5C9E6}"/>
    <hyperlink ref="D5417" r:id="rId2263" display="https://www.google.com/url?q=http://codeforces.com/blog/entry/62832&amp;sa=D&amp;ust=1605639552909000&amp;usg=AFQjCNGMEZoTB1urOGhShDMAfRr4tY4SfA" xr:uid="{C78BE814-772C-4DC1-ACD3-7A556EB268FA}"/>
    <hyperlink ref="A2874" r:id="rId2264" display="https://www.google.com/url?q=https://agc010.contest.atcoder.jp/tasks/agc010_e&amp;sa=D&amp;ust=1605639552910000&amp;usg=AFQjCNE_qceTijI2Ai9jtG8s24efnckdkA" xr:uid="{67C905E9-EA95-47E3-B8AB-E6603754260A}"/>
    <hyperlink ref="D5419" r:id="rId2265" display="https://www.google.com/url?q=https://github.com/mostafa-saad/MyCompetitiveProgramming/blob/master/SPOJ/SPOJ_QTREE4.txt&amp;sa=D&amp;ust=1605639552911000&amp;usg=AFQjCNETAeP0dK4YomEaF3deQLDlNzTN-w" xr:uid="{B29C35C3-353E-4A6C-8922-034A5028839E}"/>
    <hyperlink ref="A2880" r:id="rId2266" display="https://www.google.com/url?q=https://agc004.contest.atcoder.jp/tasks/agc004_f&amp;sa=D&amp;ust=1605639552911000&amp;usg=AFQjCNHaTI6RgCgyTfsZytujCJ4pczwj7g" xr:uid="{E0AB9D5A-2DD0-421D-9930-DA13C0AFE3C9}"/>
    <hyperlink ref="A2881" r:id="rId2267" display="https://www.google.com/url?q=http://codeforces.com/contest/297/problem/D&amp;sa=D&amp;ust=1605639552911000&amp;usg=AFQjCNGFPAyZkH6g7C-RMBQ1wb6N34-vXg" xr:uid="{1EA70CC5-03B2-423E-BF15-C4FBC45FCCB5}"/>
    <hyperlink ref="A2882" r:id="rId2268" display="https://www.google.com/url?q=https://codeforces.com/contest/1218/problem/H&amp;sa=D&amp;ust=1605639552912000&amp;usg=AFQjCNFj2n7eTEatBle64p0UzBgzFCWW-A" xr:uid="{EF17F076-EA90-4A6C-BF89-D06882FE2D79}"/>
    <hyperlink ref="D5324" r:id="rId2269" display="https://www.google.com/url?q=https://github.com/fiv2001/CompetitiveProgramming/blob/master/Codeforces/CF1218-H.cpp&amp;sa=D&amp;ust=1605639552912000&amp;usg=AFQjCNGE69vTzUT3u6DqYaHcrqilnwxWrQ" xr:uid="{DF6BA891-18EE-4AA9-A127-F5D85E85D2EA}"/>
    <hyperlink ref="A2883" r:id="rId2270" display="https://www.google.com/url?q=https://codeforces.com/problemset/problem/1129/E&amp;sa=D&amp;ust=1605639552913000&amp;usg=AFQjCNGvkIhccskgeNij1rOj4kgYb6NwJg" xr:uid="{A075B4FB-BE06-48BE-8EBA-FB20CBCE024E}"/>
    <hyperlink ref="A2884" r:id="rId2271" display="https://www.google.com/url?q=https://agc008.contest.atcoder.jp/tasks/agc008_e&amp;sa=D&amp;ust=1605639552913000&amp;usg=AFQjCNEvASydCEUgQN2xAOSwlg3cUtVN7Q" xr:uid="{3DB33715-3A5B-4063-AFA2-731AEE9ECC84}"/>
    <hyperlink ref="D5326" r:id="rId2272" display="https://www.google.com/url?q=https://github.com/tmwilliamlin168/CompetitiveProgramming/blob/master/AtCoder/G008-E.cpp&amp;sa=D&amp;ust=1605639552913000&amp;usg=AFQjCNFq9DsCPyp-m7gPiNx7wtmYNlOLhw" xr:uid="{47097432-E553-4276-85FF-EAE2E0A76098}"/>
    <hyperlink ref="A2889" r:id="rId2273" display="https://www.google.com/url?q=http://codeforces.com/gym/101669/problem/L&amp;sa=D&amp;ust=1605639552914000&amp;usg=AFQjCNHP8DBp_l0vvEmPvwp5JQQJ7IS6iQ" xr:uid="{BD68C451-583F-4ED7-A6EA-A41CE58E6F51}"/>
    <hyperlink ref="D5327" r:id="rId2274" display="https://www.google.com/url?q=https://github.com/swapnil119/CompetitiveProgramming/blob/master/CompetitiveProgramming/Codeforces/CF101669-GYM-L.cpp&amp;sa=D&amp;ust=1605639552914000&amp;usg=AFQjCNF9Fky_23n5pbg_VR680XIZ655fOQ" xr:uid="{84FB9118-B1A1-433D-8838-23E7FF820ECF}"/>
    <hyperlink ref="A2891" r:id="rId2275" display="https://www.google.com/url?q=http://codeforces.com/gym/100513/problem/L&amp;sa=D&amp;ust=1605639552914000&amp;usg=AFQjCNEkTo6q6xiYMKwzBKtnJ8beci3gcA" xr:uid="{BD307B1A-A514-483E-B466-0731B06C5263}"/>
    <hyperlink ref="A2892" r:id="rId2276" display="https://www.google.com/url?q=https://www.codechef.com/problems/GRAPHCNT&amp;sa=D&amp;ust=1605639552915000&amp;usg=AFQjCNH2rFvrxCTIHgTzv7ub247uOsGiTg" xr:uid="{9F9A2467-D401-4FDD-BA12-CD805B9FD703}"/>
    <hyperlink ref="A2893" r:id="rId2277" display="https://www.google.com/url?q=http://codeforces.com/gym/101726/problem/A&amp;sa=D&amp;ust=1605639552915000&amp;usg=AFQjCNHyv_xPSapazS_pXK9IYUAoe1MP2A" xr:uid="{472CEE2F-7FA0-49A9-AF7F-F41C17A881D6}"/>
    <hyperlink ref="D5331" r:id="rId2278" display="https://www.google.com/url?q=https://github.com/MedoN11/CompetitiveProgramming/blob/master/CodeForces/CFGYM-101726-A.cpp&amp;sa=D&amp;ust=1605639552915000&amp;usg=AFQjCNFPaqvf7tvsee_F_WJMs1HNNv5d_g" xr:uid="{0E26F1C2-158C-45AD-ABD4-9A07E391507C}"/>
    <hyperlink ref="A2895" r:id="rId2279" display="https://www.google.com/url?q=http://codeforces.com/problemset/problem/79/D&amp;sa=D&amp;ust=1605639552917000&amp;usg=AFQjCNFevpyALQ2ET7nIpOb1SIeHEbEzKg" xr:uid="{0977D662-27F6-41B2-AAB0-856CDECB445B}"/>
    <hyperlink ref="A2896" r:id="rId2280" display="https://www.google.com/url?q=https://codingcompetitions.withgoogle.com/codejam/round/0000000000007707/000000000004ba29&amp;sa=D&amp;ust=1605639552918000&amp;usg=AFQjCNFoxhyGGOkql3APtlQDMhrAlBcRiA" xr:uid="{7F041A71-1726-409E-B22E-0FAE79013005}"/>
    <hyperlink ref="D5140" r:id="rId2281" display="https://www.google.com/url?q=https://github.com/tmwilliamlin168/CompetitiveProgramming/blob/master/GoogleCodeJam/18-R3-B.java&amp;sa=D&amp;ust=1605639552918000&amp;usg=AFQjCNEbOuuVFHrh3oLV-gGFBhk07y6CMg" xr:uid="{C9100A9B-7CA5-463C-B724-8A9901E7D644}"/>
    <hyperlink ref="A2897" r:id="rId2282" display="https://www.google.com/url?q=https://codeforces.com/problemset/problem/1104/E&amp;sa=D&amp;ust=1605639552918000&amp;usg=AFQjCNFMGuPoytdr7BnwrE_yMf3Uh4VnMQ" xr:uid="{2F13FF96-FFFB-4929-AFA3-A1CADFE5A745}"/>
    <hyperlink ref="A2901" r:id="rId2283" display="https://www.google.com/url?q=https://arc103.contest.atcoder.jp/tasks/arc103_d&amp;sa=D&amp;ust=1605639552920000&amp;usg=AFQjCNHXpRmDFl8gFRow9s-fYU0fLYFbNg" xr:uid="{F504B92D-9663-4D5D-9CE1-9F7BE757FC09}"/>
    <hyperlink ref="A2902" r:id="rId2284" display="https://www.google.com/url?q=https://codingcompetitions.withgoogle.com/codejam/round/0000000000007706/00000000000459f4&amp;sa=D&amp;ust=1605639552920000&amp;usg=AFQjCNHvBtLJEN2yuOy-iFTwsmU4ds-I_A" xr:uid="{224873A9-CCFE-4B36-B98E-5EFAED33ACD0}"/>
    <hyperlink ref="D4815" r:id="rId2285" display="https://www.google.com/url?q=https://github.com/MetalBall887/Competitive-Programming/blob/master/GoogleCodeJam/CODEJAM%252018-R2-D.cpp&amp;sa=D&amp;ust=1605639552920000&amp;usg=AFQjCNE45IjpO3D0_7UTosYrogknOFD1iA" xr:uid="{A101A5D7-A97D-40AE-8E30-3F630290B0FF}"/>
    <hyperlink ref="A2903" r:id="rId2286" display="https://www.google.com/url?q=http://codeforces.com/contest/748/problem/F&amp;sa=D&amp;ust=1605639552921000&amp;usg=AFQjCNHBCPAFkKpKn4oBqgJt42m-GWwhuw" xr:uid="{A47D301E-1EE6-4B55-B43C-8FABF6908B89}"/>
    <hyperlink ref="A2905" r:id="rId2287" display="https://www.google.com/url?q=http://codeforces.com/contest/879/problem/E&amp;sa=D&amp;ust=1605639552921000&amp;usg=AFQjCNFHgaZkb8c9Oe7PnajDmqq-XKH4mw" xr:uid="{9AE251CB-953D-4A1D-83D4-9CCA09B0BD46}"/>
    <hyperlink ref="A2906" r:id="rId2288" display="https://www.google.com/url?q=https://codeforces.com/contest/1113/problem/E&amp;sa=D&amp;ust=1605639552922000&amp;usg=AFQjCNE5QoHA22xeUe1NA47pQ0e6RWxMoA" xr:uid="{56EA73A5-E613-4D37-9091-884FCC627CCF}"/>
    <hyperlink ref="A2908" r:id="rId2289" display="https://www.google.com/url?q=https://codeforces.com/contest/1168/problem/D&amp;sa=D&amp;ust=1605639552923000&amp;usg=AFQjCNG0YKPJoYl_uwvcP-EYKeyGehWaZA" xr:uid="{B125A00A-A060-4BFC-9112-32B6597C7FBE}"/>
    <hyperlink ref="A2913" r:id="rId2290" display="https://www.google.com/url?q=http://agc016.contest.atcoder.jp/tasks/agc016_d&amp;sa=D&amp;ust=1605639552924000&amp;usg=AFQjCNEqsQQf_iSycXtORyp8odrc4yqQew" xr:uid="{68FED38A-F522-4B6A-88D0-80A9CBE42940}"/>
    <hyperlink ref="A2914" r:id="rId2291" display="https://www.google.com/url?q=http://codeforces.com/contest/405/problem/E&amp;sa=D&amp;ust=1605639552925000&amp;usg=AFQjCNH86nTe75kg2XbrSO8MJRkDG6N4Bg" xr:uid="{1E8C621E-D9B1-46E7-B170-6B43B8559D7F}"/>
    <hyperlink ref="A2915" r:id="rId2292" display="https://www.google.com/url?q=https://codeforces.com/contest/1209/problem/F&amp;sa=D&amp;ust=1605639552925000&amp;usg=AFQjCNHMKrvU-RGPkhjt_dxLTRxW25Zk4A" xr:uid="{DC1AAE6E-B528-4B66-B224-257A4542E886}"/>
    <hyperlink ref="A2916" r:id="rId2293" display="https://www.google.com/url?q=https://www.codechef.com/IOITC181/problems/CYCLECOL&amp;sa=D&amp;ust=1605639552926000&amp;usg=AFQjCNHhFuzQEwBxSmbjWL8gNRFzglKcQA" xr:uid="{CF8644CE-364A-406D-AC33-6DD665049C0A}"/>
    <hyperlink ref="D4472" r:id="rId2294" display="https://www.google.com/url?q=https://github.com/stefdasca/CompetitiveProgramming/blob/master/CodeChef/cyclecol.cpp&amp;sa=D&amp;ust=1605639552926000&amp;usg=AFQjCNGM6bxhXqBkrJ09QljdU1R3bl2X-w" xr:uid="{507FAB00-13AB-4699-9B7D-A7E16A1E9809}"/>
    <hyperlink ref="A2918" r:id="rId2295" display="https://www.google.com/url?q=http://agc025.contest.atcoder.jp/tasks/agc025_d&amp;sa=D&amp;ust=1605639552927000&amp;usg=AFQjCNGlY3Fot8251BuTpKz5D_kB2XgCEg" xr:uid="{3F2B132B-8666-469C-ACDF-67FD02BDB380}"/>
    <hyperlink ref="A2919" r:id="rId2296" display="https://www.google.com/url?q=http://codeforces.com/contest/986/problem/C&amp;sa=D&amp;ust=1605639552927000&amp;usg=AFQjCNF3Be4n1-hlzKQLQIUdb0KrF3S6cg" xr:uid="{207AAEBA-0104-4DDD-A38C-08647DCC2D30}"/>
    <hyperlink ref="A2920" r:id="rId2297" display="https://www.google.com/url?q=https://open.kattis.com/problems/factorfree&amp;sa=D&amp;ust=1605639552927000&amp;usg=AFQjCNFZJhjsWXbxcWm0u4R5q1bSHCV5nw" xr:uid="{DCFDD59B-057E-46A5-92DF-AB4FF29485BA}"/>
    <hyperlink ref="D4206" r:id="rId2298" display="https://www.google.com/url?q=https://github.com/quangloc99/CompetitiveProgramming/blob/master/Livearchive/8257.cpp&amp;sa=D&amp;ust=1605639552929000&amp;usg=AFQjCNEwgclLepgBzlbBp8lK5ev2U1y6dw" xr:uid="{D656DB7C-18AD-4CFE-B904-499F9006AB24}"/>
    <hyperlink ref="D4207" r:id="rId2299" display="https://www.google.com/url?q=https://github.com/aneesh2312/CompetitiveProgramming/blob/master/Timus/1040.cpp&amp;sa=D&amp;ust=1605639552929000&amp;usg=AFQjCNE6C8apmxhjckJqMAjrecA36_bgoA" xr:uid="{4BAA6E70-320C-4241-BAC3-461F88C07A86}"/>
    <hyperlink ref="A2922" r:id="rId2300" display="https://www.google.com/url?q=https://codeforces.com/contest/1098/problem/C&amp;sa=D&amp;ust=1605639552929000&amp;usg=AFQjCNGnlGJLhNmk_WRxbHwXV6pSRVARsQ" xr:uid="{5A250AB3-B1F9-45FD-8A29-AF895C3FD862}"/>
    <hyperlink ref="A2923" r:id="rId2301" display="https://www.google.com/url?q=http://codeforces.com/contest/538/problem/E&amp;sa=D&amp;ust=1605639552930000&amp;usg=AFQjCNE_JBxd1zJO0SBfAinbSXlidaNG0Q" xr:uid="{FF769818-AEE6-4A49-BAC1-41F7B555BDDA}"/>
    <hyperlink ref="A2924" r:id="rId2302" display="https://www.google.com/url?q=https://codeforces.com/contest/1091/problem/E&amp;sa=D&amp;ust=1605639552930000&amp;usg=AFQjCNHV9X3op6L_CmXVNad1fo3jhlQb6Q" xr:uid="{79B56BCB-6468-46E4-ACD9-4A8C25C230E9}"/>
    <hyperlink ref="D4211" r:id="rId2303" display="https://www.google.com/url?q=https://github.com/aviroop123/CompetitiveProgramming/blob/master/CodeForces/CF997-D1-A.cpp&amp;sa=D&amp;ust=1605639552931000&amp;usg=AFQjCNHZFXPcpSHZxSEEK3x_Y_E01ac87w" xr:uid="{18EAFDBC-98C0-475F-9813-BDC70C8EBDFE}"/>
    <hyperlink ref="A2926" r:id="rId2304" display="https://www.google.com/url?q=http://codeforces.com/gym/101939/problem/K&amp;sa=D&amp;ust=1605639552931000&amp;usg=AFQjCNEnsTE_eLrar-F6F4wuht1n9cbNmw" xr:uid="{48A7EA05-A9A6-4277-B0DD-6F72FCB5134F}"/>
    <hyperlink ref="D3957" r:id="rId2305" display="https://www.google.com/url?q=https://github.com/mostafa-saad/MyCompetitiveProgramming/blob/master/Codeforces/CF101939-GYM-K.txt&amp;sa=D&amp;ust=1605639552931000&amp;usg=AFQjCNEvPKZC8INsRGOeWoaHcC6AZBVq-g" xr:uid="{A3D51D7F-03B6-445A-8E26-590EA0DDDCAC}"/>
    <hyperlink ref="D3930" r:id="rId2306" display="https://www.google.com/url?q=https://github.com/stefdasca/CompetitiveProgramming/blob/master/TopCoder/SRM460-D2-1000.cpp&amp;sa=D&amp;ust=1605639552932000&amp;usg=AFQjCNHmq_kwOmsHSsfUeEGizoPptXR1zQ" xr:uid="{F21CFBBD-047E-4CD1-83BD-1588F4C54ED5}"/>
    <hyperlink ref="A2928" r:id="rId2307" display="https://www.google.com/url?q=https://codeforces.com/contest/782/problem/E&amp;sa=D&amp;ust=1605639552932000&amp;usg=AFQjCNHdfVWO4t8ljF9Vk5H5TQIVCfwMPA" xr:uid="{34279D24-585E-4605-B7DF-C8AF1ACC72C7}"/>
    <hyperlink ref="A2929" r:id="rId2308" display="https://www.google.com/url?q=http://codeforces.com/contest/742/problem/E&amp;sa=D&amp;ust=1605639552932000&amp;usg=AFQjCNGhxfx5ksdYZtlUVRW_9-we_ksmxw" xr:uid="{E39E6D9F-C185-4F93-BC80-E8F1E6FD1FE9}"/>
    <hyperlink ref="D3828" r:id="rId2309" display="https://www.google.com/url?q=https://github.com/Huvok/CompetitiveProgramming/blob/master/Codeforces/CF742-D2-E.cpp&amp;sa=D&amp;ust=1605639552932000&amp;usg=AFQjCNFvgAZHMgGF6LNWcACcxUufjEpsMQ" xr:uid="{C13E244A-F190-47F2-9B6B-0A60E27C59A5}"/>
    <hyperlink ref="A2930" r:id="rId2310" display="https://www.google.com/url?q=https://arc099.contest.atcoder.jp/tasks/arc099_c&amp;sa=D&amp;ust=1605639552933000&amp;usg=AFQjCNECUphitGpy6VwlfJeThucUrCUXIA" xr:uid="{5AA2893A-60C5-4830-BB15-413F03F9496D}"/>
    <hyperlink ref="D3829" r:id="rId2311" display="https://www.google.com/url?q=https://github.com/magdy-hasan/competitive-programming/blob/a3da17cbe2abde9b9eb7d3adef7b8326c9eb2ddf/atcoder/AtCoder099-ARC-C.cpp&amp;sa=D&amp;ust=1605639552933000&amp;usg=AFQjCNHUHE_fYSpKZ0fiic8sVOu0wPqh8A" xr:uid="{A412BFD5-FBD4-4233-8D5A-3E81E1D7E360}"/>
    <hyperlink ref="A2931" r:id="rId2312" display="https://www.google.com/url?q=https://codeforces.com/contest/1199/problem/E&amp;sa=D&amp;ust=1605639552933000&amp;usg=AFQjCNEr4me3QMB9VWkaZl1GeNm7ntnRXA" xr:uid="{7FCA2B75-2760-4EE5-A340-0A378F1D732C}"/>
    <hyperlink ref="D3830" r:id="rId2313" display="https://www.google.com/url?q=https://github.com/Evilandrew228/CompetitiveProgramming/blob/master/CF1199-D2-E&amp;sa=D&amp;ust=1605639552933000&amp;usg=AFQjCNF8ZlwqCYyNxr2y0_NVwK03Dl8Hzw" xr:uid="{F0600937-53A8-408D-8FE5-FA09152B556D}"/>
    <hyperlink ref="A2932" r:id="rId2314" display="https://www.google.com/url?q=http://codeforces.com/gym/101484/problem/H&amp;sa=D&amp;ust=1605639552933000&amp;usg=AFQjCNHEjzcwL1UbeSq6jLvtdfchLnkx6Q" xr:uid="{97C678F8-D9ED-49D9-8C4E-BEAE2BA6BBA2}"/>
    <hyperlink ref="D3831" r:id="rId2315" display="https://www.google.com/url?q=https://github.com/HosamEissa/Competitive-programming-/blob/master/Codeforces/CF101484-GYM-H.cpp&amp;sa=D&amp;ust=1605639552934000&amp;usg=AFQjCNFsELf_eV7st2-XftWp1onI-hcTXg" xr:uid="{6E4BECAB-232F-4601-BB8B-6672B1080634}"/>
    <hyperlink ref="A2933" r:id="rId2316" display="https://www.google.com/url?q=https://codeforces.com/contest/1243/problem/E&amp;sa=D&amp;ust=1605639552934000&amp;usg=AFQjCNG2OL9VDi0SzbvC86Ld5grWeiliUw" xr:uid="{F318888E-C77F-49A3-AAC8-E7664270EB3F}"/>
    <hyperlink ref="D3832" r:id="rId2317" display="https://www.google.com/url?q=https://github.com/farmerboy95/CompetitiveProgramming/blob/master/Codeforces/CF1242-D1-C.cpp&amp;sa=D&amp;ust=1605639552934000&amp;usg=AFQjCNHwCXlRt_zLuzlcNCHEFAVybh8tRA" xr:uid="{CB631CD4-27D3-4A89-A8F4-EA02F0ECE353}"/>
    <hyperlink ref="A2939" r:id="rId2318" display="https://www.google.com/url?q=https://www.codechef.com/IOITC182/problems/CHANGNUM&amp;sa=D&amp;ust=1605639552935000&amp;usg=AFQjCNGvC0680lhx0TG4kwHb7nTT3FsLEA" xr:uid="{9FF4AB5E-C1B9-4B95-AEC7-0AC7035FB22B}"/>
    <hyperlink ref="D3835" r:id="rId2319" display="https://www.google.com/url?q=https://github.com/timpostuvan/CompetitiveProgramming/blob/master/CodeChef/CHANGNUM.cpp&amp;sa=D&amp;ust=1605639552935000&amp;usg=AFQjCNG9Q0kRCBQ-MKx2hd70RYksVVAnkA" xr:uid="{835141B1-C153-4E07-83B3-B6FFF0DB0FD1}"/>
    <hyperlink ref="D3658" r:id="rId2320" display="https://www.google.com/url?q=https://github.com/mostafa-saad/MyCompetitiveProgramming/blob/master/SPOJ/SPOJ_SPCE.txt&amp;sa=D&amp;ust=1605639552935000&amp;usg=AFQjCNGpWLGZaqI6k1p46DqjWdrtJlZAHw" xr:uid="{A67A0BD8-7AD1-4131-A29E-56E395A0C3F5}"/>
    <hyperlink ref="A2868" r:id="rId2321" display="https://www.google.com/url?q=http://codeforces.com/contest/272/problem/E&amp;sa=D&amp;ust=1605639552936000&amp;usg=AFQjCNFDSlKIu92pG0We0qcRhMv17ZP1oA" xr:uid="{EE128596-1A1A-45D4-AE26-BDB18F9AE6B4}"/>
    <hyperlink ref="A2869" r:id="rId2322" display="https://www.google.com/url?q=http://codeforces.com/contest/708/problem/C&amp;sa=D&amp;ust=1605639552936000&amp;usg=AFQjCNErFLn2sJXariiFWqeijNGkt7TLsA" xr:uid="{B345E5E3-EECF-4DCB-86B7-A284E8D093E0}"/>
    <hyperlink ref="A2870" r:id="rId2323" display="https://www.google.com/url?q=http://codeforces.com/contest/769/problem/C&amp;sa=D&amp;ust=1605639552937000&amp;usg=AFQjCNFBlFoBQCVuZJy9AVcstdwPk9v2Iw" xr:uid="{DE0C4C1C-3D96-4688-AD63-13DA66FAE8EA}"/>
    <hyperlink ref="A2871" r:id="rId2324" display="https://www.google.com/url?q=http://codeforces.com/contest/794/problem/D&amp;sa=D&amp;ust=1605639552937000&amp;usg=AFQjCNEmv6EVesMtbuKrljlaNK01ZOl9Kw" xr:uid="{93B17D6A-2DC1-4BCE-8CD2-2AD59690EF26}"/>
    <hyperlink ref="A2872" r:id="rId2325" display="https://www.google.com/url?q=https://codeforces.com/contest/412/problem/D&amp;sa=D&amp;ust=1605639552938000&amp;usg=AFQjCNH3_s5bE23nguo6WZjfn1_pViKf_A" xr:uid="{1F7B5755-994A-4183-BCF6-CFC4D8F939BD}"/>
    <hyperlink ref="D3348" r:id="rId2326" display="https://www.google.com/url?q=https://codeforces.com/blog/entry/68138&amp;sa=D&amp;ust=1605639552938000&amp;usg=AFQjCNH57APgBVLF6ctvJU_l-rEfcGR86A" xr:uid="{2B9413E8-3B9D-47C3-8665-BFB3A5B26B69}"/>
    <hyperlink ref="A2873" r:id="rId2327" display="https://www.google.com/url?q=https://codeforces.com/contest/1092/problem/E&amp;sa=D&amp;ust=1605639552938000&amp;usg=AFQjCNHRb5LVgOFeGib4IIPcOARmv50xDg" xr:uid="{3D45916D-87B6-4EB5-8126-66D9B1AD216F}"/>
    <hyperlink ref="A2875" r:id="rId2328" display="https://www.google.com/url?q=https://codeforces.com/contest/960/problem/D&amp;sa=D&amp;ust=1605639552938000&amp;usg=AFQjCNEvuP19D_bzGV9yZ3N_xwUTBWA8eg" xr:uid="{C448FD06-46D1-4492-960F-BDCEE71E3C66}"/>
    <hyperlink ref="A2876" r:id="rId2329" display="https://www.google.com/url?q=http://codeforces.com/contest/746/problem/G&amp;sa=D&amp;ust=1605639552938000&amp;usg=AFQjCNEd2zuh419Vf_DtXl8x27v88idhHQ" xr:uid="{B657EA3E-97FC-4E10-A81A-56DD415A7F1B}"/>
    <hyperlink ref="A2877" r:id="rId2330" display="https://www.google.com/url?q=http://codeforces.com/contest/402/problem/E&amp;sa=D&amp;ust=1605639552939000&amp;usg=AFQjCNHsC8SqRG0raPLl9RPEqCxts4Zl0Q" xr:uid="{A7E23C79-AB84-496B-880B-195A81E75616}"/>
    <hyperlink ref="A2878" r:id="rId2331" display="https://www.google.com/url?q=https://www.codechef.com/problems/F2NDMAX&amp;sa=D&amp;ust=1605639552939000&amp;usg=AFQjCNGsLltY8kiJijQ1o9d1rMhe2zqVXg" xr:uid="{217C7AB2-4E68-41D6-8C91-9DDEDE7FDA84}"/>
    <hyperlink ref="A2885" r:id="rId2332" display="https://www.google.com/url?q=http://codeforces.com/problemset/problem/155/E&amp;sa=D&amp;ust=1605639552939000&amp;usg=AFQjCNHj2o3MoSg95jKvTyBFrKOQx8lbqQ" xr:uid="{16203709-1863-4393-8A9A-B3F539FEA0DE}"/>
    <hyperlink ref="A2886" r:id="rId2333" display="https://www.google.com/url?q=http://codeforces.com/contest/510/problem/E&amp;sa=D&amp;ust=1605639552940000&amp;usg=AFQjCNFDkhGSwS9rkJzPH7Ed6LVnNK1pxQ" xr:uid="{87133671-13DC-4E9C-A0B5-A49335D18556}"/>
    <hyperlink ref="A2887" r:id="rId2334" display="https://www.google.com/url?q=http://codeforces.com/contest/362/problem/D&amp;sa=D&amp;ust=1605639552940000&amp;usg=AFQjCNGZ8JZqIeu8Bpr978OTNmv4-fwRXw" xr:uid="{AE00905A-AACA-4F65-8DB5-8BDC30A356EF}"/>
    <hyperlink ref="A2940" r:id="rId2335" display="https://www.google.com/url?q=http://codeforces.com/contest/315/problem/D&amp;sa=D&amp;ust=1605639552941000&amp;usg=AFQjCNH5kHOmgO3GZWtyEGBlIdFXW1ArSg" xr:uid="{A6459EB7-681F-4A6A-9F9B-E4E4F5929775}"/>
    <hyperlink ref="A2943" r:id="rId2336" display="https://www.google.com/url?q=http://codeforces.com/contest/27/problem/D&amp;sa=D&amp;ust=1605639552942000&amp;usg=AFQjCNHojhw3jXZY2jWNINXV5pf-v0lpJQ" xr:uid="{D31B0EC5-91E5-421A-B348-D33407B28B7C}"/>
    <hyperlink ref="A2944" r:id="rId2337" display="https://www.google.com/url?q=http://codeforces.com/gym/101490/attachments/download/5853/2016-benelux-algorithm-programming-contest-bapc-16-en.pdf&amp;sa=D&amp;ust=1605639552942000&amp;usg=AFQjCNHPuCrbQV4YvhS1B7BLSxI3UpHg2Q" xr:uid="{DB41BB9A-AB56-4178-9BDF-C1215EA72C48}"/>
    <hyperlink ref="A2945" r:id="rId2338" display="https://www.google.com/url?q=http://codeforces.com/contest/389/problem/D&amp;sa=D&amp;ust=1605639552942000&amp;usg=AFQjCNF-S8DnrDAv9M833zjdC1gGL_uE0w" xr:uid="{7435BC77-FC31-490A-AC8A-2E829D1DE374}"/>
    <hyperlink ref="D3364" r:id="rId2339" display="https://www.google.com/url?q=https://github.com/magdy-hasan/competitive-programming/blob/00b274d42ecd0bd42d9fb3b3a10532e5dadcc7c7/uva-/uva%252011202%2520-%2520The%2520least%2520possible%2520effort.cpp&amp;sa=D&amp;ust=1605639552943000&amp;usg=AFQjCNHNjhlka_fQwQLxDVk1PRQGf4zuSg" xr:uid="{6214DCF4-DFD4-4C1B-8746-C1F4DCE9E267}"/>
    <hyperlink ref="A2947" r:id="rId2340" display="https://www.google.com/url?q=http://codeforces.com/contest/542/problem/C&amp;sa=D&amp;ust=1605639552943000&amp;usg=AFQjCNF_9yZG_OXof9FjYgnsKN-VdzEBDw" xr:uid="{DA4A2EAB-0435-4232-ABF0-B7715C27E40D}"/>
    <hyperlink ref="D3366" r:id="rId2341" display="https://www.google.com/url?q=https://github.com/Maverick10/Competitive-Programming/blob/master/Solutions/UVa/UVa%2520-%252012118.cpp&amp;sa=D&amp;ust=1605639552943000&amp;usg=AFQjCNGnN_8cVZF53Ahb8MqLk7ejfE8QPg" xr:uid="{EA054212-6D30-4FC9-8B78-13DDAD0ADC90}"/>
    <hyperlink ref="A3158" r:id="rId2342" display="https://www.google.com/url?q=http://codeforces.com/contest/368/problem/E&amp;sa=D&amp;ust=1605639552944000&amp;usg=AFQjCNHV6sIchsepvXZfUwLXUQCIVZ1zHw" xr:uid="{9847ECB3-650E-4D48-AB41-D3E2925F2DB5}"/>
    <hyperlink ref="A3159" r:id="rId2343" display="https://www.google.com/url?q=http://codeforces.com/contest/332/problem/D&amp;sa=D&amp;ust=1605639552944000&amp;usg=AFQjCNF090HAA6mflQ2To1vNHdJgjVnWJw" xr:uid="{E71BF66C-ADCA-47F2-993B-90B518C4792E}"/>
    <hyperlink ref="A3160" r:id="rId2344" display="https://www.google.com/url?q=http://codeforces.com/gym/101615/attachments/download/6308/20172018-acmicpc-pacific-northwest-regional-contest-div-1-en.pdf&amp;sa=D&amp;ust=1605639552945000&amp;usg=AFQjCNFpQGpMOZqpBx7u6M706GIt7TKRgw" xr:uid="{AFF63474-25E4-4B05-9434-D479FD0FDA4E}"/>
    <hyperlink ref="D3370" r:id="rId2345" display="https://www.google.com/url?q=https://github.com/mostafa-saad/MyCompetitiveProgramming/blob/master/Codeforces/CF101615-GYM-G.txt&amp;sa=D&amp;ust=1605639552945000&amp;usg=AFQjCNFbWWVYKKEntZA-PtmNsJmbcJdLGQ" xr:uid="{56324203-3848-415E-8647-8D8196C3FC45}"/>
    <hyperlink ref="A3163" r:id="rId2346" display="https://www.google.com/url?q=http://codeforces.com/gym/101191/problem/G&amp;sa=D&amp;ust=1605639552946000&amp;usg=AFQjCNH1raK9yvtS13fm9ZwG2AJpmVV9FA" xr:uid="{E89C9212-51FC-46F0-B809-84DE1E2CF523}"/>
    <hyperlink ref="A3164" r:id="rId2347" display="https://www.google.com/url?q=http://codeforces.com/contest/275/problem/D&amp;sa=D&amp;ust=1605639552946000&amp;usg=AFQjCNHacLL-TMjPtY8NOgKimBGRCZDvpg" xr:uid="{B8FAA023-E2CD-4343-98B4-192D93C75607}"/>
    <hyperlink ref="D2906" r:id="rId2348" display="https://www.google.com/url?q=https://github.com/mostafa-saad/MyCompetitiveProgramming/blob/master/TopCoder/SRM608-D2-1000.txt&amp;sa=D&amp;ust=1605639552947000&amp;usg=AFQjCNFiQuiuslcaTTVEQ31zonTLphr2oA" xr:uid="{8463BD30-E493-4B1E-8747-D5AE8BF2E95B}"/>
    <hyperlink ref="A3166" r:id="rId2349" display="https://www.google.com/url?q=https://beta.atcoder.jp/contests/arc103/tasks/arc103_c&amp;sa=D&amp;ust=1605639552947000&amp;usg=AFQjCNGSdYi0KxLEE1Lnu6nVHHQhcmJV1A" xr:uid="{8F3FEB2F-48C8-49D9-95EC-CAE652F6EBF2}"/>
    <hyperlink ref="D2907" r:id="rId2350" display="https://www.google.com/url?q=https://github.com/gs15120/CompetitveProgrammingDirectories/blob/master/Atcoder/AtCoder103-ARC-E&amp;sa=D&amp;ust=1605639552947000&amp;usg=AFQjCNGgzDXbP4fPBbeGL8O-SJl1CCXZTQ" xr:uid="{611FFFD3-30E8-4FF0-BD64-72DEF07BCF9A}"/>
    <hyperlink ref="A3167" r:id="rId2351" display="https://www.google.com/url?q=https://codeforces.com/contest/1311/problem/E&amp;sa=D&amp;ust=1605639552947000&amp;usg=AFQjCNEzn6i8lYRRS6qZsVba3mjQ0gBckg" xr:uid="{D9212FAE-2F7D-4E1D-A2A2-94A1C14B86D7}"/>
    <hyperlink ref="A3168" r:id="rId2352" display="https://www.google.com/url?q=http://codeforces.com/contest/486/problem/D&amp;sa=D&amp;ust=1605639552947000&amp;usg=AFQjCNEM81MXw_dNEzjCM4nRrMxZMR20pg" xr:uid="{2C2E7F5F-9662-4863-8FCB-85E810120EB3}"/>
    <hyperlink ref="A3169" r:id="rId2353" display="https://www.google.com/url?q=http://codeforces.com/contest/1041/problem/E&amp;sa=D&amp;ust=1605639552948000&amp;usg=AFQjCNEOwBVhIp_sf7zGlWPR69KsIX7Izg" xr:uid="{5AAFEE24-5E4C-49DE-B0F0-9B2A52669F3C}"/>
    <hyperlink ref="A3170" r:id="rId2354" display="https://www.google.com/url?q=https://codeforces.com/contest/1269/problem/D&amp;sa=D&amp;ust=1605639552948000&amp;usg=AFQjCNFADZ7h0iFZxNTPeh2X4_f0-tHTXw" xr:uid="{1EBB753A-71DA-4566-8DC9-EDAE680422E0}"/>
    <hyperlink ref="D2716" r:id="rId2355" display="https://www.google.com/url?q=https://github.com/mostafa-saad/MyCompetitiveProgramming/blob/master/LiveArchive/LiveArchive_7616.txt&amp;sa=D&amp;ust=1605639552948000&amp;usg=AFQjCNHJyLhjOhWVfBoer7o5MsQuW8W7lQ" xr:uid="{3F935EAB-7F30-4DEC-9E7C-8E47D9ABE8CB}"/>
    <hyperlink ref="A3172" r:id="rId2356" display="https://www.google.com/url?q=http://codeforces.com/contest/233/problem/C&amp;sa=D&amp;ust=1605639552949000&amp;usg=AFQjCNHyejyxQEDiWVfxOyXwUrl1lx8hbw" xr:uid="{8B500F0C-4EC5-490A-A727-AF546D36D2BF}"/>
    <hyperlink ref="A3215" r:id="rId2357" display="https://www.google.com/url?q=https://codeforces.com/contest/154/problem/C&amp;sa=D&amp;ust=1605639552949000&amp;usg=AFQjCNFYJTU6OAS_HjNH2D8R3ouI8xTXxg" xr:uid="{7967485B-01A9-4D25-9FB1-CF9FC0049DF4}"/>
    <hyperlink ref="A3216" r:id="rId2358" display="https://www.google.com/url?q=http://codeforces.com/contest/797/problem/D&amp;sa=D&amp;ust=1605639552949000&amp;usg=AFQjCNH-0b1Bn3GbcWh0AK81ynvIYCAYSA" xr:uid="{0574595A-FD69-4779-9730-3F1CCA568440}"/>
    <hyperlink ref="A3217" r:id="rId2359" display="https://www.google.com/url?q=https://www.facebook.com/hackercup/problem/638251746380051/&amp;sa=D&amp;ust=1605639552950000&amp;usg=AFQjCNGnmL4aqRLJTl79ObL4PidHWBHXpA" xr:uid="{C96D6B91-E012-474A-876B-A09900A511BD}"/>
    <hyperlink ref="A3218" r:id="rId2360" display="https://www.google.com/url?q=http://codeforces.com/contest/664/problem/D&amp;sa=D&amp;ust=1605639552950000&amp;usg=AFQjCNHKME2izJGfXNAu562Pj1iIWC0Rtw" xr:uid="{FD242A65-4621-4657-965F-8592B9BE01CC}"/>
    <hyperlink ref="A3220" r:id="rId2361" display="https://www.google.com/url?q=http://codeforces.com/contest/557/problem/D&amp;sa=D&amp;ust=1605639552950000&amp;usg=AFQjCNF1oqWeyXnyR6lLsVUcMVpMw_wdXg" xr:uid="{FD2346AA-9562-46C9-BD83-31215E92EF99}"/>
    <hyperlink ref="A3223" r:id="rId2362" display="https://www.google.com/url?q=https://agc005.contest.atcoder.jp/tasks/agc005_c&amp;sa=D&amp;ust=1605639552951000&amp;usg=AFQjCNHDF52SPMMD5sStrBEeMa-rrqDcqw" xr:uid="{6FA97916-5E44-4F87-A270-0D3A6CDBD20F}"/>
    <hyperlink ref="A3314" r:id="rId2363" display="https://www.google.com/url?q=http://codeforces.com/contest/1003/problem/E&amp;sa=D&amp;ust=1605639552952000&amp;usg=AFQjCNHM3V2Zb6ysp-Swf0Q9lEg3fqEg8g" xr:uid="{D2771F34-3C5A-4479-93AC-1ED6AB778B99}"/>
    <hyperlink ref="A3316" r:id="rId2364" display="https://www.google.com/url?q=http://codeforces.com/contest/125/problem/C&amp;sa=D&amp;ust=1605639552953000&amp;usg=AFQjCNE53o-myLJ4bO9mo_d511hfkm8wHg" xr:uid="{39CF54E8-03D4-4EFB-ACC5-DF0A71621FA5}"/>
    <hyperlink ref="D2027" r:id="rId2365" display="https://www.google.com/url?q=https://github.com/AhmedElsisy/CompetitiveProgramming/blob/master/Codeforces/CF125-D12-C.cpp&amp;sa=D&amp;ust=1605639552953000&amp;usg=AFQjCNFjjiKA1XdCkoS0J4dTSskQDvR3FQ" xr:uid="{93C0FC7A-B760-4E8E-85F1-C710E8FC9A7B}"/>
    <hyperlink ref="A3317" r:id="rId2366" display="https://www.google.com/url?q=http://codeforces.com/contest/550/problem/D&amp;sa=D&amp;ust=1605639552953000&amp;usg=AFQjCNEsqGs5L2xf2LkU_dS-2LQ2tQ1kAQ" xr:uid="{38AA424A-A98A-4E1B-A722-DE216E48468E}"/>
    <hyperlink ref="A3318" r:id="rId2367" display="https://www.google.com/url?q=https://codeforces.com/contest/1146/problem/D&amp;sa=D&amp;ust=1605639552954000&amp;usg=AFQjCNGYndtiUPRmsK04bHeH8ZpgGiYp-w" xr:uid="{CD8BA55B-5458-4706-9A2D-FA36C00B1681}"/>
    <hyperlink ref="A3319" r:id="rId2368" display="https://www.google.com/url?q=https://codeforces.com/contest/1060/problem/D&amp;sa=D&amp;ust=1605639552954000&amp;usg=AFQjCNF4WXz2yOBJG-vnwLFgap2ZHEsSkw" xr:uid="{0A1176E4-6740-4838-9D04-59DE9EA2A2A0}"/>
    <hyperlink ref="D2031" r:id="rId2369" display="https://www.google.com/url?q=https://github.com/mostafa-saad/MyCompetitiveProgramming/blob/master/UVA/UVA_10982.txt&amp;sa=D&amp;ust=1605639552954000&amp;usg=AFQjCNG5peOMEnpl6ZSf2g3E_-n41Wk-lw" xr:uid="{2245A14E-B9BC-48BD-888D-9F0732864A6D}"/>
    <hyperlink ref="A3321" r:id="rId2370" display="https://www.google.com/url?q=https://codeforces.com/gym/102001/problem/G&amp;sa=D&amp;ust=1605639552955000&amp;usg=AFQjCNEe0hU0XJiFsoNs1d98sIBjPylNjA" xr:uid="{07489A49-99DA-47B3-B3B2-7C4B233BF9B5}"/>
    <hyperlink ref="D2032" r:id="rId2371" display="https://www.google.com/url?q=https://github.com/YazanZebak/CompetitiveProgramming/blob/master/Codeforces/CF102001-GYM-G.cpp&amp;sa=D&amp;ust=1605639552955000&amp;usg=AFQjCNEnqZFW-oo31LZw1eoTaXY6xqiykQ" xr:uid="{724C9A7E-A223-4088-9404-AB92E728745A}"/>
    <hyperlink ref="A3322" r:id="rId2372" display="https://www.google.com/url?q=https://tenka1-2018.contest.atcoder.jp/tasks/tenka1_2018_d&amp;sa=D&amp;ust=1605639552955000&amp;usg=AFQjCNE-QosUhhwXSG0o4jFUSVbnSKx6HQ" xr:uid="{9793AB30-9F3E-47A7-AC5F-E3E7627FAE0A}"/>
    <hyperlink ref="A3323" r:id="rId2373" display="https://www.google.com/url?q=https://codeforces.com/contest/1082/problem/D&amp;sa=D&amp;ust=1605639552955000&amp;usg=AFQjCNHpJ21KudDp6fYPWgjU3U07XsFi5A" xr:uid="{4A384672-BE17-4498-B0A4-15E6723CC981}"/>
    <hyperlink ref="A3324" r:id="rId2374" display="https://www.google.com/url?q=https://codeforces.com/contest/1296/problem/F&amp;sa=D&amp;ust=1605639552956000&amp;usg=AFQjCNGluv-N8ko7bJzRZO1nQpMpxboDHg" xr:uid="{0A6ACF35-6553-4260-A049-E09935E4ABC4}"/>
    <hyperlink ref="A3325" r:id="rId2375" display="https://www.google.com/url?q=https://codeforces.com/contest/1189/problem/D2&amp;sa=D&amp;ust=1605639552956000&amp;usg=AFQjCNHqHt2xFMK3DjdwcOyggFlzmeaVrw" xr:uid="{8F051A54-45B8-448A-BC25-2F78F09E2D87}"/>
    <hyperlink ref="A3327" r:id="rId2376" display="https://www.google.com/url?q=http://codeforces.com/contest/430/problem/C&amp;sa=D&amp;ust=1605639552956000&amp;usg=AFQjCNF9Tlk-NY1FfpaTmB_Ihys_fwm2RQ" xr:uid="{527D0EAB-AD2C-4191-BFF7-EF1C03A1E765}"/>
    <hyperlink ref="A3328" r:id="rId2377" display="https://www.google.com/url?q=http://codeforces.com/contest/741/problem/C&amp;sa=D&amp;ust=1605639552957000&amp;usg=AFQjCNFIPDhJN-oqSAwYEau6shDeyE7LiQ" xr:uid="{08369C40-BDDA-4E70-997E-22C880BBF151}"/>
    <hyperlink ref="A3397" r:id="rId2378" display="https://www.google.com/url?q=https://www.facebook.com/hackercup/problem/988017871357549/&amp;sa=D&amp;ust=1605639552957000&amp;usg=AFQjCNG7hUedfYYewZEoWTyz_B78DafbGA" xr:uid="{D4ED2B2D-4B2C-4A48-9821-0E38E27AF049}"/>
    <hyperlink ref="A3398" r:id="rId2379" display="https://www.google.com/url?q=http://codeforces.com/contest/363/problem/D&amp;sa=D&amp;ust=1605639552957000&amp;usg=AFQjCNEwY20TZE8DLfxb1a91tAhCRkCY2A" xr:uid="{B2A3E543-6367-4ED4-92FF-230D88AC641C}"/>
    <hyperlink ref="A3400" r:id="rId2380" display="https://www.google.com/url?q=https://codeforces.com/contest/1277/problem/E&amp;sa=D&amp;ust=1605639552958000&amp;usg=AFQjCNFz_sdPJE1G57X1KCffFdbfB6Pwzw" xr:uid="{D3FA8606-43CD-43BC-B92D-79CC9E29ABF2}"/>
    <hyperlink ref="A3534" r:id="rId2381" display="https://www.google.com/url?q=https://codeforces.com/contest/764/problem/C&amp;sa=D&amp;ust=1605639552959000&amp;usg=AFQjCNHURw9AUYxpUwGESvfp7b-JQNfRng" xr:uid="{A39D9532-12BB-45FE-870E-13964864CCC0}"/>
    <hyperlink ref="A3535" r:id="rId2382" display="https://www.google.com/url?q=http://codeforces.com/contest/902/problem/C&amp;sa=D&amp;ust=1605639552959000&amp;usg=AFQjCNFBo0CLTVhnZRLFtjKfgLMiBEnqrg" xr:uid="{D70263D4-6781-4C16-BB5A-2EBF1FA85CF6}"/>
    <hyperlink ref="A3552" r:id="rId2383" display="https://www.google.com/url?q=https://codeforces.com/contest/1068/problem/C&amp;sa=D&amp;ust=1605639552961000&amp;usg=AFQjCNFbz1ws90Sk6510KBu502Jgoni2HQ" xr:uid="{B606196D-D828-4078-BB6D-65784EAD03BF}"/>
    <hyperlink ref="A3594" r:id="rId2384" display="https://www.google.com/url?q=http://codeforces.com/contest/61/problem/D&amp;sa=D&amp;ust=1605639552961000&amp;usg=AFQjCNFrh02gUAz-5QH_mmCnvgkbw8ONRw" xr:uid="{E5747B63-7C2C-40B2-A64A-EFB124E6A3AA}"/>
    <hyperlink ref="A3595" r:id="rId2385" display="https://www.google.com/url?q=https://uva.onlinejudge.org/index.php?option%3Dcom_onlinejudge%26Itemid%3D8%26page%3Dshow_problem%26problem%3D556&amp;sa=D&amp;ust=1605639552962000&amp;usg=AFQjCNEw-GwVYnTqhafaXdHCb9OsSBv7fQ" xr:uid="{9CDC9451-8E57-4603-A953-D3CB422139CF}"/>
    <hyperlink ref="A3596" r:id="rId2386" display="https://www.google.com/url?q=http://codeforces.com/contest/106/problem/D&amp;sa=D&amp;ust=1605639552962000&amp;usg=AFQjCNHmLECcO7rKHehIZthRgGfReQ8Klw" xr:uid="{AF384A5C-3CCB-40CA-9393-F8217C64F34A}"/>
    <hyperlink ref="A3597" r:id="rId2387" display="https://www.google.com/url?q=http://codeforces.com/contest/246/problem/D&amp;sa=D&amp;ust=1605639552962000&amp;usg=AFQjCNF4VXQJ-MNLiJlxSb4ckTf3HTOpyg" xr:uid="{3F47394A-997C-4DDC-B674-0FBC29F1D61E}"/>
    <hyperlink ref="A3598" r:id="rId2388" display="https://www.google.com/url?q=http://codeforces.com/contest/586/problem/D&amp;sa=D&amp;ust=1605639552963000&amp;usg=AFQjCNH42g-n6sorssKhWbJwOiGxS8gbTA" xr:uid="{8148E384-0C3D-49F2-B54C-0C82604CF924}"/>
    <hyperlink ref="A3599" r:id="rId2389" display="https://www.google.com/url?q=https://csacademy.com/contest/round-41/task/bfs-dfs/statement/&amp;sa=D&amp;ust=1605639552963000&amp;usg=AFQjCNEYFK9viLFPRR7irsxtEE2UQdHsKQ" xr:uid="{7EC448BC-BEC7-4C2B-855C-FBFB8E68D990}"/>
    <hyperlink ref="D939" r:id="rId2390" display="https://www.google.com/url?q=https://github.com/TheRealImaginary/CompetitiveProgramming/blob/master/UVA/UVA_656_OptimalPrograms.java&amp;sa=D&amp;ust=1605639552963000&amp;usg=AFQjCNFm1wBY3fHZoydtx_AATrE3duJYxw" xr:uid="{8F9F27DA-E541-4189-A11B-AC181F03CC13}"/>
    <hyperlink ref="D941" r:id="rId2391" display="https://www.google.com/url?q=http://ideone.com/2aIxpi&amp;sa=D&amp;ust=1605639552964000&amp;usg=AFQjCNEF7dbDXcNZj8s5f0RVxqWTncUdzw" xr:uid="{8A29EBC8-FE22-45A0-A4F5-D2A34D41FA3A}"/>
    <hyperlink ref="D944" r:id="rId2392" display="https://www.google.com/url?q=https://www.facebook.com/groups/160725894286891/permalink/412072809152197/&amp;sa=D&amp;ust=1605639552965000&amp;usg=AFQjCNGF20L9seTlJbuibDThzoJ3Urb4Ww" xr:uid="{B64E4167-7557-421C-A975-438EC9051B3B}"/>
    <hyperlink ref="A3608" r:id="rId2393" display="https://www.google.com/url?q=https://uva.onlinejudge.org/index.php?option%3Donlinejudge%26page%3Dshow_problem%26problem%3D1393&amp;sa=D&amp;ust=1605639552965000&amp;usg=AFQjCNEhSG9mfaj6k4YaWhkbLHqS_gGneA" xr:uid="{1F160BB6-A07C-439F-9500-BF32BDDA03CA}"/>
    <hyperlink ref="A2950" r:id="rId2394" display="https://www.google.com/url?q=https://uva.onlinejudge.org/index.php?option%3Dcom_onlinejudge%26Itemid%3D8%26page%3Dshow_problem%26problem%3D58&amp;sa=D&amp;ust=1605639552966000&amp;usg=AFQjCNGUBKnSPxCfWcY8ETNGDTg6m_witQ" xr:uid="{5DB6A19A-B438-4CAA-983F-A9B8B12DC802}"/>
    <hyperlink ref="A2951" r:id="rId2395" display="https://www.google.com/url?q=http://codeforces.com/contest/441/problem/C&amp;sa=D&amp;ust=1605639552966000&amp;usg=AFQjCNGL2ArdCUc8UznLrdQ94gdLS6xZJw" xr:uid="{1A191287-B67D-4E15-B5BF-E032157AFB40}"/>
    <hyperlink ref="A2952" r:id="rId2396" display="https://www.google.com/url?q=https://codeforces.com/gym/102394&amp;sa=D&amp;ust=1605639552966000&amp;usg=AFQjCNGVVos_D1i8n1svIp_S2KNgNdyYig" xr:uid="{DED03ACE-BB89-4F92-BA7A-8AA42021CD3D}"/>
    <hyperlink ref="D5712" r:id="rId2397" display="https://www.google.com/url?q=https://github.com/taow-com-prog/problemsolving/blob/master/CodeForces/CF102394-A.cpp&amp;sa=D&amp;ust=1605639552966000&amp;usg=AFQjCNGBoEAQpDXiOyAKG4BLk1RektCpVA" xr:uid="{1A6EEB7F-A117-480A-899C-7C31BD664892}"/>
    <hyperlink ref="A2998" r:id="rId2398" display="https://www.google.com/url?q=https://codeforces.com/problemset/problem/1225/F&amp;sa=D&amp;ust=1605639552967000&amp;usg=AFQjCNEI2HQqv8bIQCCYdBSxNsC16zIC0g" xr:uid="{A0EC71D6-91D2-4EF0-8B96-2FC231AAACE0}"/>
    <hyperlink ref="A3051" r:id="rId2399" display="https://www.google.com/url?q=http://www.spoj.pl/problems/SPRING/&amp;sa=D&amp;ust=1605639552968000&amp;usg=AFQjCNGo_n0oUt8HNX2jrl2-idCEJVoR6w" xr:uid="{89B7D237-BFF6-4C07-AB13-C39C4EBD2A4E}"/>
    <hyperlink ref="D3837" r:id="rId2400" display="https://www.google.com/url?q=https://github.com/mostafa-saad/MyCompetitiveProgramming/blob/master/UVA/UVA_11090.txt&amp;sa=D&amp;ust=1605639552969000&amp;usg=AFQjCNHqve_t8U5ZBjpzAhPbQyBZiU-KBg" xr:uid="{37ABF064-0C99-4FE6-9939-57FBC568DDEC}"/>
    <hyperlink ref="A3057" r:id="rId2401" display="https://www.google.com/url?q=http://codeforces.com/gym/101498/problem/L&amp;sa=D&amp;ust=1605639552970000&amp;usg=AFQjCNEnGK6YjCZ1agCqfWWwuPGf80JB4A" xr:uid="{8E45ECF9-B24C-4F20-BB93-71AB5875FA9B}"/>
    <hyperlink ref="D3375" r:id="rId2402" display="https://www.google.com/url?q=https://github.com/mostafa-saad/MyCompetitiveProgramming/blob/master/Codeforces/CF101498-GYM-L.txt&amp;sa=D&amp;ust=1605639552970000&amp;usg=AFQjCNEGBvOAQs3omstAgDWzz393gLOkQQ" xr:uid="{3EAA44E2-283C-444D-B5B4-8C5D9762E0EF}"/>
    <hyperlink ref="D3376" r:id="rId2403" display="https://www.google.com/url?q=https://github.com/ryuzmukhametov/CompetitiveProgramming/blob/master/Topcoder/SRM270-D1-500.cpp&amp;sa=D&amp;ust=1605639552970000&amp;usg=AFQjCNF9mhFxT7DhgBF7vs8rHGTWz-pwqw" xr:uid="{E1C5AB69-D8FA-4766-92D4-6EB0DB6AA234}"/>
    <hyperlink ref="D3377" r:id="rId2404" display="https://www.google.com/url?q=https://github.com/goswami-rahul/competitive-coding/blob/master/CompetitiveProgramming/uva/11721.cpp&amp;sa=D&amp;ust=1605639552970000&amp;usg=AFQjCNEe9uiQgt9tM97kmzZL7scMJjwUCg" xr:uid="{0581EDF2-254C-4B40-81EB-BC85B0056FE9}"/>
    <hyperlink ref="D2728" r:id="rId2405" display="https://www.google.com/url?q=https://github.com/ryuzmukhametov/CompetitiveProgramming/blob/master/livearchive/LIVEARCHIVE%25204509.cpp&amp;sa=D&amp;ust=1605639552971000&amp;usg=AFQjCNEUGzYluYPRpAcAVbZ6Og93Zwd5-Q" xr:uid="{798A62C1-9186-4575-B9DD-09457EA90A5D}"/>
    <hyperlink ref="A3061" r:id="rId2406" display="https://www.google.com/url?q=https://www.codechef.com/problems/AVGSHORT&amp;sa=D&amp;ust=1605639552971000&amp;usg=AFQjCNH_cvmBEplnn0_15GvSye0xMfdoPQ" xr:uid="{65E1F212-2721-41C7-B05E-29010F5FCAE0}"/>
    <hyperlink ref="A3068" r:id="rId2407" display="https://www.google.com/url?q=http://codeforces.com/contest/29/problem/E&amp;sa=D&amp;ust=1605639552973000&amp;usg=AFQjCNGXItM4x36QXjD_jkta_FJBRcQdMA" xr:uid="{C7E8AC41-4645-4CFA-B7EB-483BEF528811}"/>
    <hyperlink ref="A3069" r:id="rId2408" display="https://www.google.com/url?q=http://codeforces.com/contest/591/problem/E&amp;sa=D&amp;ust=1605639552973000&amp;usg=AFQjCNEVPAwPau_aP2zir2Cs2TyUYpcC2w" xr:uid="{CE1AF537-EE86-49DE-BCAA-B8A52DEAF6BC}"/>
    <hyperlink ref="A3070" r:id="rId2409" display="https://www.google.com/url?q=http://codeforces.com/problemset/problem/1031/F&amp;sa=D&amp;ust=1605639552973000&amp;usg=AFQjCNF4aDza5oLX9zwNt-zY9NxkA00CtA" xr:uid="{2F639F25-2A16-4049-B096-7DFFD65477F5}"/>
    <hyperlink ref="A3071" r:id="rId2410" display="https://www.google.com/url?q=https://www.codechef.com/problems/BLOCKDRO&amp;sa=D&amp;ust=1605639552974000&amp;usg=AFQjCNG7zzXDssQeFpTbbrPtVZYeECGKAQ" xr:uid="{3FE55BA1-51C6-4F75-923A-2931873D87E8}"/>
    <hyperlink ref="A3076" r:id="rId2411" display="https://www.google.com/url?q=http://codeforces.com/contest/716/problem/D&amp;sa=D&amp;ust=1605639552975000&amp;usg=AFQjCNEsTC89gmNU4W3BysPC37BBnwCdTw" xr:uid="{83BD4C69-F166-4C62-8F2D-41BC0845EC96}"/>
    <hyperlink ref="A3093" r:id="rId2412" display="https://www.google.com/url?q=http://codeforces.com/contest/414/problem/D&amp;sa=D&amp;ust=1605639552977000&amp;usg=AFQjCNGMFiM9AVf6xcDSnOwa_PVstss65w" xr:uid="{0735A303-E623-430B-8E1D-78A8FF12D248}"/>
    <hyperlink ref="A3096" r:id="rId2413" display="https://www.google.com/url?q=http://codeforces.com/contest/354/problem/D&amp;sa=D&amp;ust=1605639552977000&amp;usg=AFQjCNGy5YYNCBiBPG70zcAb2LM8lA19tA" xr:uid="{A23A8D5F-68B4-46C2-8F1F-4437336155C1}"/>
    <hyperlink ref="D4838" r:id="rId2414" display="https://www.google.com/url?q=https://www.geeksforgeeks.org/0-1-bfs-shortest-path-binary-graph/&amp;sa=D&amp;ust=1605639552978000&amp;usg=AFQjCNE_d5R3NaSn3L5li_f-ST_qn_GUgw" xr:uid="{0F4E34AA-098A-4433-9C56-F0887849C51E}"/>
    <hyperlink ref="A3099" r:id="rId2415" display="https://www.google.com/url?q=http://codeforces.com/contest/789/problem/E&amp;sa=D&amp;ust=1605639552978000&amp;usg=AFQjCNH7Ukme4rZ81XZWsY7hNHlDyMFbiw" xr:uid="{66124857-0660-4D73-9F49-E108B80E4349}"/>
    <hyperlink ref="D4561" r:id="rId2416" display="https://www.google.com/url?q=https://github.com/tmwilliamlin168/CompetitiveProgramming/blob/master/CodeForces/CF789-D2-E.java&amp;sa=D&amp;ust=1605639552978000&amp;usg=AFQjCNFosmLP2ZuaUmrHwGoqCioBC8ZqWw" xr:uid="{33CCF24B-267E-46E5-AA6B-10AE105D1540}"/>
    <hyperlink ref="A3100" r:id="rId2417" display="https://www.google.com/url?q=http://acm.timus.ru/problem.aspx?space%3D1%26num%3D2034&amp;sa=D&amp;ust=1605639552979000&amp;usg=AFQjCNEbG2MAVSU-dpruJSdJEff7ru4Ndg" xr:uid="{FE042921-7B38-4F13-ABFD-F2DC2124BBAB}"/>
    <hyperlink ref="D4474" r:id="rId2418" display="https://www.google.com/url?q=https://github.com/antimirage/Problems-solutions/blob/master/%D0%9A%D0%BE%D1%80%D0%BE%D0%B2%D0%B0%D0%BD%D1%8B.cpp&amp;sa=D&amp;ust=1605639552979000&amp;usg=AFQjCNEYpEh71nWt2aS6J15XNKvBqHgDmg" xr:uid="{E6E4E4B7-E33B-4AD4-846A-7D63D25C5725}"/>
    <hyperlink ref="A3101" r:id="rId2419" display="https://www.google.com/url?q=http://codeforces.com/contest/369/problem/D&amp;sa=D&amp;ust=1605639552979000&amp;usg=AFQjCNEUXRSBbVSoQ2uhzLlXR6ebyGt0bg" xr:uid="{DB3E84E3-6481-43F6-A2B2-D81CE591171A}"/>
    <hyperlink ref="A3102" r:id="rId2420" display="https://www.google.com/url?q=https://onlinejudge.org/index.php?option%3Donlinejudge%26page%3Dshow_problem%26problem%3D1689&amp;sa=D&amp;ust=1605639552979000&amp;usg=AFQjCNEvagzjtBpWaHHzZkS19jvqHgDWSA" xr:uid="{41627033-D990-4F57-8953-0953BABF687F}"/>
    <hyperlink ref="D4212" r:id="rId2421" display="https://www.google.com/url?q=http://www.algorithmist.com/index.php/UVa_10748&amp;sa=D&amp;ust=1605639552979000&amp;usg=AFQjCNFQ0w_ZcqlPvR1mIuP2IXB1_iyMrg" xr:uid="{B7235D4E-2364-4701-BF7F-E5A7261C82F4}"/>
    <hyperlink ref="A3104" r:id="rId2422" display="https://www.google.com/url?q=http://codeforces.com/contest/651/problem/E&amp;sa=D&amp;ust=1605639552980000&amp;usg=AFQjCNEheS8sbvZ_p5boSeyP5TDZY4SgvQ" xr:uid="{3AF6232C-1F53-45AF-89D9-CA69FA73112F}"/>
    <hyperlink ref="A3106" r:id="rId2423" display="https://www.google.com/url?q=http://codeforces.com/contest/1037/problem/E&amp;sa=D&amp;ust=1605639552980000&amp;usg=AFQjCNGn2tMStJ5pax7H44Vfg9q7RdRhXg" xr:uid="{CFDFBD0C-9D1E-4B37-9298-EE40E635AA59}"/>
    <hyperlink ref="A3107" r:id="rId2424" display="https://www.google.com/url?q=https://codeforces.com/contest/187/problem/C&amp;sa=D&amp;ust=1605639552981000&amp;usg=AFQjCNEBhFEwleJ5n9tVkC0yNHAbRf-Wlg" xr:uid="{52989A00-C50B-4147-BAFD-CDFD4DE3B1B2}"/>
    <hyperlink ref="A3111" r:id="rId2425" display="https://www.google.com/url?q=http://codeforces.com/contest/679/problem/C&amp;sa=D&amp;ust=1605639552982000&amp;usg=AFQjCNG8FlH1P0NdHSD5UfG9xGhfbtLD6w" xr:uid="{B8ED025C-E73A-4350-9A08-D24ADD39CE69}"/>
    <hyperlink ref="D3378" r:id="rId2426" display="https://www.google.com/url?q=https://github.com/andriy-zhuk/CompetitiveProgramming/blob/master/Codeforces/CF679-D1-C.cpp&amp;sa=D&amp;ust=1605639552982000&amp;usg=AFQjCNG-NxpVFyIppPWub0iET1Ks5pNtNQ" xr:uid="{E3602463-09AE-43C9-BB7D-1319C7CE824F}"/>
    <hyperlink ref="A3112" r:id="rId2427" display="https://www.google.com/url?q=https://codeforces.com/contest/1262/problem/E&amp;sa=D&amp;ust=1605639552982000&amp;usg=AFQjCNHIccon-jaBiYzYA_ojDz3IOnZJGw" xr:uid="{AF4922B3-854F-4A76-9F3A-FAA3A263FEA8}"/>
    <hyperlink ref="D3380" r:id="rId2428" display="https://www.google.com/url?q=https://github.com/dasannagariraja/CompetitiveProgramming/blob/master/UVA/UVA%252010985.cpp&amp;sa=D&amp;ust=1605639552983000&amp;usg=AFQjCNFfMNKFhK0xAXesHN4O_cVhqYvuwA" xr:uid="{7DB80917-87FD-435C-9C8C-BB80726C41F3}"/>
    <hyperlink ref="A3114" r:id="rId2429" display="https://www.google.com/url?q=http://codeforces.com/contest/269/problem/C&amp;sa=D&amp;ust=1605639552983000&amp;usg=AFQjCNFTdORke73ZEcwOyN7iXzP6AZYAUw" xr:uid="{5831BCC0-01D9-4819-9BD4-5FD933CED98D}"/>
    <hyperlink ref="A3119" r:id="rId2430" display="https://www.google.com/url?q=http://codeforces.com/contest/359/problem/E&amp;sa=D&amp;ust=1605639552985000&amp;usg=AFQjCNGhptTGTGymmHzgHTW_RikjJSLDPQ" xr:uid="{1DBDA0C3-DD21-4030-BC5C-A8CCDFFC5226}"/>
    <hyperlink ref="A3124" r:id="rId2431" display="https://www.google.com/url?q=http://codeforces.com/contest/225/problem/D&amp;sa=D&amp;ust=1605639552986000&amp;usg=AFQjCNGBR1gL79ltt9g9nSu1SaAJopMl-Q" xr:uid="{63247525-E3C3-41AC-8E37-F9158B0D5FAD}"/>
    <hyperlink ref="A3125" r:id="rId2432" display="https://www.google.com/url?q=https://uva.onlinejudge.org/index.php?option%3Dcom_onlinejudge%26Itemid%3D8%26category%3D24%26page%3Dshow_problem%26problem%3D1858&amp;sa=D&amp;ust=1605639552986000&amp;usg=AFQjCNHTJ4ftiP5gcV4fBvySomd6ENMRmg" xr:uid="{0BF23F03-F66A-4511-BA83-D50E3F7953B7}"/>
    <hyperlink ref="A3126" r:id="rId2433" display="https://www.google.com/url?q=http://codeforces.com/contest/525/problem/D&amp;sa=D&amp;ust=1605639552986000&amp;usg=AFQjCNFjKqtXoD792VHBVkf9cwS9u3XuTg" xr:uid="{2779E486-8E63-42D7-944B-59A27F4786D5}"/>
    <hyperlink ref="A3128" r:id="rId2434" display="https://www.google.com/url?q=http://codeforces.com/contest/1065/problem/D&amp;sa=D&amp;ust=1605639552987000&amp;usg=AFQjCNEuXkwqL_zoieePpsGFaXwRQhNZUQ" xr:uid="{0A8F0B03-F2AC-4CC3-944C-588DE99C286A}"/>
    <hyperlink ref="A3129" r:id="rId2435" display="https://www.google.com/url?q=http://codeforces.com/contest/59/problem/E&amp;sa=D&amp;ust=1605639552987000&amp;usg=AFQjCNENBK8w-Od44njRcaKL0fOLXlSCfw" xr:uid="{070A64AF-B7F3-4F14-B88E-47F8AEB8F3E6}"/>
    <hyperlink ref="A3130" r:id="rId2436" display="https://www.google.com/url?q=http://codeforces.com/contest/821/problem/D&amp;sa=D&amp;ust=1605639552987000&amp;usg=AFQjCNGiIudMl_VhDNedqrjRXZvNYYYwGg" xr:uid="{4F8737A4-A8D6-42E3-AF10-5FC4E617CC06}"/>
    <hyperlink ref="A3132" r:id="rId2437" display="https://www.google.com/url?q=http://codeforces.com/contest/1005/problem/F&amp;sa=D&amp;ust=1605639552988000&amp;usg=AFQjCNHNUQLh5_Iylo5kGq2XoXhTYJJfaw" xr:uid="{CD6C535A-7606-4ED2-BDA3-8CC1EB69F5B7}"/>
    <hyperlink ref="A3133" r:id="rId2438" display="https://www.google.com/url?q=http://codeforces.com/contest/877/problem/D&amp;sa=D&amp;ust=1605639552988000&amp;usg=AFQjCNFde0rKiMaZ-Xjw-2JrRbrjUW5OXA" xr:uid="{7A8E5693-7307-4BFD-B61B-795C128743A9}"/>
    <hyperlink ref="D2733" r:id="rId2439" display="https://www.google.com/url?q=https://github.com/ahmedsamir221/CompetitiveProgramming/blob/master/SPOJ/SPOJ%2520MULTII.cpp&amp;sa=D&amp;ust=1605639552989000&amp;usg=AFQjCNFzcqSO5IOVd-YecEXQlXdivSSaqA" xr:uid="{0370EE69-E8F5-4276-8496-49DF54CD439F}"/>
    <hyperlink ref="A3135" r:id="rId2440" display="https://www.google.com/url?q=https://codeforces.com/contest/1206/problem/D&amp;sa=D&amp;ust=1605639552989000&amp;usg=AFQjCNEkb9Em2050OIHL3jNVgMGh8FqG2g" xr:uid="{187B7634-3F3A-4303-B9B4-48C6DB13BCD5}"/>
    <hyperlink ref="D2736" r:id="rId2441" display="https://www.google.com/url?q=https://github.com/goswami-rahul/competitive-coding/blob/master/CompetitiveProgramming/UVA/12544.cpp&amp;sa=D&amp;ust=1605639552989000&amp;usg=AFQjCNGR_lP7Tvmkj56xVM2cH8hQstuaIQ" xr:uid="{2E471CD0-9919-4890-9953-18350BF12CFF}"/>
    <hyperlink ref="A3138" r:id="rId2442" display="https://www.google.com/url?q=http://codeforces.com/contest/787/problem/C&amp;sa=D&amp;ust=1605639552990000&amp;usg=AFQjCNGkkfSGnjFpO7x68ACVeaW31H2JCg" xr:uid="{326D021C-97B5-43D5-BE1F-693022561B07}"/>
    <hyperlink ref="D2742" r:id="rId2443" display="https://www.google.com/url?q=https://github.com/AbdelrahmanRamadan/competitive-programming/blob/master/Topcoder/SRM368%2520Jumping%2520Board.cpp&amp;sa=D&amp;ust=1605639552992000&amp;usg=AFQjCNH-nTbvwisUnAet0S3aUFRDzH3FGA" xr:uid="{B92AA0A0-6FEA-4CB7-A960-C7F0318E6CD7}"/>
    <hyperlink ref="D2048" r:id="rId2444" display="https://www.google.com/url?q=https://github.com/mostafa-saad/MyCompetitiveProgramming/blob/master/UVA/UVA_11573.txt&amp;sa=D&amp;ust=1605639552992000&amp;usg=AFQjCNFSLrTLaIafuevQMT9fNDkPZVCX8A" xr:uid="{5E56D702-1128-4541-B18D-2B810A27C338}"/>
    <hyperlink ref="A3147" r:id="rId2445" display="https://www.google.com/url?q=https://www.hackerearth.com/practice/algorithms/graphs/breadth-first-search/practice-problems/algorithm/pasha-jumps-on-a-permutation-june-easy-19-9e608b68/&amp;sa=D&amp;ust=1605639552993000&amp;usg=AFQjCNEXG7ofNB78K1mviWnv7aLs_31jOg" xr:uid="{680C045C-BA4D-49F3-8562-047DAA5AC499}"/>
    <hyperlink ref="A3150" r:id="rId2446" display="https://www.google.com/url?q=https://codeforces.com/contest/1105/problem/D&amp;sa=D&amp;ust=1605639552994000&amp;usg=AFQjCNEOmAdGNK-00_sc3FMknm95MH0-Rw" xr:uid="{F41B6629-F62E-41CD-A51E-7ED06F7CE055}"/>
    <hyperlink ref="A3151" r:id="rId2447" display="https://www.google.com/url?q=http://codeforces.com/contest/811/problem/D&amp;sa=D&amp;ust=1605639552994000&amp;usg=AFQjCNFkpC6MIkcNX66s8UMCfUORVBmSbw" xr:uid="{1D82B43B-4D1B-4424-8471-F4B09B8F44CD}"/>
    <hyperlink ref="D2055" r:id="rId2448" display="https://www.google.com/url?q=https://github.com/A7medgamal/CompetitiveProgramming/blob/master/SPOJ/SPOJ%2520A_W_S_N.cpp&amp;sa=D&amp;ust=1605639552994000&amp;usg=AFQjCNELW3jWgdK3DDftke-TuHcpf7XWCg" xr:uid="{D44CF935-5E7D-44CF-937A-175B96E9F55B}"/>
    <hyperlink ref="A3154" r:id="rId2449" display="https://www.google.com/url?q=http://codeforces.com/contest/253/problem/C&amp;sa=D&amp;ust=1605639552995000&amp;usg=AFQjCNEv3JkCS29BqbtGD_whOgTAxzE__Q" xr:uid="{AD7AF414-EA1A-45E3-93D2-C0ABC4907F34}"/>
    <hyperlink ref="A3155" r:id="rId2450" display="https://www.google.com/url?q=https://codeforces.com/contest/131/problem/D&amp;sa=D&amp;ust=1605639552995000&amp;usg=AFQjCNFoknJoSe20AJxhPlTargmHqj92WA" xr:uid="{5BD67CE3-1BD1-4713-9A98-84C7C55869EC}"/>
    <hyperlink ref="A3156" r:id="rId2451" display="https://www.google.com/url?q=http://codeforces.com/problemset/problem/786/A&amp;sa=D&amp;ust=1605639552995000&amp;usg=AFQjCNEdvNIaulF7K9A7K2Y4_7Wg4rWmpw" xr:uid="{9278ED0F-9D81-43E4-85AE-83672208E7D7}"/>
    <hyperlink ref="A3180" r:id="rId2452" display="https://www.google.com/url?q=http://www.spoj.com/problems/MLASERP/&amp;sa=D&amp;ust=1605639552997000&amp;usg=AFQjCNG18wcvA26Nw5uCTVA8aei3xAu7hQ" xr:uid="{F01447B9-86D5-4044-8C29-7DBD20258230}"/>
    <hyperlink ref="D2068" r:id="rId2453" display="https://www.google.com/url?q=https://github.com/cacophonix/SPOJ/blob/master/MLASERP.cpp&amp;sa=D&amp;ust=1605639552997000&amp;usg=AFQjCNHvDQ1YsRH0mREat6Nll3pMeuUr-w" xr:uid="{F72E8E83-6F9C-445D-896D-57473339021F}"/>
    <hyperlink ref="A3182" r:id="rId2454" display="https://www.google.com/url?q=http://codeforces.com/problemset/problem/667/D&amp;sa=D&amp;ust=1605639552998000&amp;usg=AFQjCNF6rOeVLAt-Q16dIrQvZbOtXoddoA" xr:uid="{E6272B65-E45E-4B0D-B5C4-51A0C6125D2D}"/>
    <hyperlink ref="A3186" r:id="rId2455" display="https://www.google.com/url?q=http://codeforces.com/contest/954/problem/D&amp;sa=D&amp;ust=1605639553000000&amp;usg=AFQjCNHKfrDVEc1xCnSLDQz9vWypAZ3xbg" xr:uid="{49EE2A7B-7B0E-4C1D-BCAA-1C65B1EC310C}"/>
    <hyperlink ref="A3187" r:id="rId2456" display="https://www.google.com/url?q=http://www.spoj.com/problems/ANARC08A/&amp;sa=D&amp;ust=1605639553000000&amp;usg=AFQjCNGdVKXrFNwuipG_Gwfp-cooikslOA" xr:uid="{FF2D9502-2377-4C58-973B-7DC80B11D058}"/>
    <hyperlink ref="D2075" r:id="rId2457" display="https://www.google.com/url?q=https://github.com/mostafa-saad/MyCompetitiveProgramming/blob/master/SPOJ/SPOJ_ANARC08A.txt&amp;sa=D&amp;ust=1605639553000000&amp;usg=AFQjCNFonEHccKmwnWJUY_xid0yKhwFbCg" xr:uid="{7632FB3A-AC0E-4A7C-BFB9-F357E0199EA5}"/>
    <hyperlink ref="A3188" r:id="rId2458" display="https://www.google.com/url?q=http://codeforces.com/contest/242/problem/C&amp;sa=D&amp;ust=1605639553001000&amp;usg=AFQjCNF-lGZeGqlMdLbToazIN81IOPH9Ug" xr:uid="{278D1CCF-5498-40D9-BE41-E388F74FDF4A}"/>
    <hyperlink ref="A3189" r:id="rId2459" display="https://www.google.com/url?q=http://www.spoj.com/problems/CERC07K/&amp;sa=D&amp;ust=1605639553001000&amp;usg=AFQjCNGnM2jiHNQ21FMmjzNt7ViWdHt91A" xr:uid="{7D9A2EBC-E2CA-47E0-9372-F152A793A077}"/>
    <hyperlink ref="A3190" r:id="rId2460" display="https://www.google.com/url?q=http://codeforces.com/contest/676/problem/D&amp;sa=D&amp;ust=1605639553002000&amp;usg=AFQjCNE2Ooax9k3-7V07IjzHZlQQBuZWOw" xr:uid="{02BF38F8-615D-43C3-863F-F33F483F5830}"/>
    <hyperlink ref="A3191" r:id="rId2461" display="https://www.google.com/url?q=http://www.spoj.com/problems/QUEEN/&amp;sa=D&amp;ust=1605639553002000&amp;usg=AFQjCNHI-NGy1CJ9I5vKHVfncjYZZWNZvQ" xr:uid="{AD950A3F-D4F6-4198-BDF1-1A37368A64F3}"/>
    <hyperlink ref="A3192" r:id="rId2462" display="https://www.google.com/url?q=http://codeforces.com/contest/404/problem/C&amp;sa=D&amp;ust=1605639553003000&amp;usg=AFQjCNG3x6Cuh3sWgsaE2Vt1nmi4gbx0aA" xr:uid="{181A7F67-997E-45A5-B3B0-975B78C0E017}"/>
    <hyperlink ref="A3193" r:id="rId2463" display="https://www.google.com/url?q=http://codeforces.com/contest/489/problem/D&amp;sa=D&amp;ust=1605639553003000&amp;usg=AFQjCNFLNsvkapl1zsIOqjDwwfWvp6N8kA" xr:uid="{3AA81FA5-2383-4189-8C82-EE46FFFCA195}"/>
    <hyperlink ref="A3197" r:id="rId2464" display="https://www.google.com/url?q=http://www.spoj.com/problems/CATM/&amp;sa=D&amp;ust=1605639553005000&amp;usg=AFQjCNF_eQDJgPfzb04kw-7IEJg-P_gy8Q" xr:uid="{EA847B0F-F231-480A-9406-32D682616EB2}"/>
    <hyperlink ref="D1356" r:id="rId2465" display="https://www.google.com/url?q=https://github.com/mostafa-saad/MyCompetitiveProgramming/blob/master/SPOJ/SPOJ_CATM.txt&amp;sa=D&amp;ust=1605639553005000&amp;usg=AFQjCNFpY0wVTnUQZPFl1JwQMKcse9gACQ" xr:uid="{97B19E40-CF53-411F-A8C3-74C809B3DB5B}"/>
    <hyperlink ref="A3198" r:id="rId2466" display="https://www.google.com/url?q=http://codeforces.com/contest/230/problem/D&amp;sa=D&amp;ust=1605639553005000&amp;usg=AFQjCNE017kdydeXVDdRKNJTst4NePk4Eg" xr:uid="{B587A1A5-9D34-447A-B6C5-461796F81234}"/>
    <hyperlink ref="A3199" r:id="rId2467" display="https://www.google.com/url?q=http://www.spoj.com/problems/CLEANRBT/&amp;sa=D&amp;ust=1605639553006000&amp;usg=AFQjCNFIZWCALwpWnCB9RrJ-2KB9K7sYLQ" xr:uid="{E9457A33-91E1-4C54-9961-C34B11C4CE22}"/>
    <hyperlink ref="A3206" r:id="rId2468" display="https://www.google.com/url?q=https://codeforces.com/contest/1183/problem/E&amp;sa=D&amp;ust=1605639553008000&amp;usg=AFQjCNFqNhUXFKZJ3GvbQeCxT37YyInqeQ" xr:uid="{48A80CDB-6EAA-4267-8E96-BE27E315F999}"/>
    <hyperlink ref="A3207" r:id="rId2469" display="https://www.google.com/url?q=https://uva.onlinejudge.org/index.php?option%3Dcom_onlinejudge%26Itemid%3D8%26page%3Dshow_problem%26problem%3D512&amp;sa=D&amp;ust=1605639553009000&amp;usg=AFQjCNFTxUd11aFDiFEsPn4t2UULot6JXA" xr:uid="{5CD85A12-69E7-4285-8AE0-C69BE86FBBA4}"/>
    <hyperlink ref="A3208" r:id="rId2470" display="https://www.google.com/url?q=https://arc005.contest.atcoder.jp/tasks/arc005_3&amp;sa=D&amp;ust=1605639553009000&amp;usg=AFQjCNFL62vGHDZ86WcrQUqrwz0tz1xc4w" xr:uid="{5FCA301D-BE10-4CBE-B386-6946539459FC}"/>
    <hyperlink ref="D951" r:id="rId2471" display="https://www.google.com/url?q=https://github.com/MedoN11/CompetitiveProgramming/blob/master/Atcoder/ARC_005.java&amp;sa=D&amp;ust=1605639553009000&amp;usg=AFQjCNEi_X4zXKydfsRagINvqhDO2dcgAw" xr:uid="{16BE0B31-80C1-4B37-9B92-7082D818898E}"/>
    <hyperlink ref="A3210" r:id="rId2472" display="https://www.google.com/url?q=http://codeforces.com/contest/35/problem/C&amp;sa=D&amp;ust=1605639553010000&amp;usg=AFQjCNEKscItBIG4TMHuW2O-qysD37UcPA" xr:uid="{5457B64B-AE85-47CF-B64A-5215328575FC}"/>
    <hyperlink ref="A3211" r:id="rId2473" display="https://www.google.com/url?q=http://www.spoj.com/problems/TOE1/&amp;sa=D&amp;ust=1605639553011000&amp;usg=AFQjCNEPxuzzZR2D8ilBmP8Lt4dzHwcqBg" xr:uid="{6BC220AA-53C9-4A86-81AD-188ADE090B22}"/>
    <hyperlink ref="A3212" r:id="rId2474" display="https://www.google.com/url?q=http://www.spoj.com/problems/TOE2/&amp;sa=D&amp;ust=1605639553012000&amp;usg=AFQjCNHemCLqL6MD9YMk5GkVUgP7I91yJw" xr:uid="{6FA30CB2-7D66-4135-9780-E697E0D67860}"/>
    <hyperlink ref="A3229" r:id="rId2475" display="https://www.google.com/url?q=http://codeforces.com/contest/174/problem/D&amp;sa=D&amp;ust=1605639553015000&amp;usg=AFQjCNFg_SXDVfoeG8-1O_9kK2yagkAcVA" xr:uid="{AC8D9D0C-3150-4FEB-8BD1-45489E30E3F1}"/>
    <hyperlink ref="A3232" r:id="rId2476" display="https://www.google.com/url?q=https://uva.onlinejudge.org/index.php?option%3Dcom_onlinejudge%26Itemid%3D8%26page%3Dshow_problem%26problem%3D380&amp;sa=D&amp;ust=1605639553016000&amp;usg=AFQjCNFwJzl9mUXc__AcOrXF4q8zSAdqfQ" xr:uid="{4F6BACA8-AC78-44FA-91B8-CC96CEE4F663}"/>
    <hyperlink ref="A3234" r:id="rId2477" display="https://www.google.com/url?q=http://www.spoj.com/problems/CHMAZE/&amp;sa=D&amp;ust=1605639553017000&amp;usg=AFQjCNFr0EGKWIXxj49u3_ZGUxqriADKQQ" xr:uid="{0B6CD5CF-CAD6-4526-AD0C-B657D1562DAB}"/>
    <hyperlink ref="A3238" r:id="rId2478" display="https://www.google.com/url?q=http://www.spoj.com/problems/BITMAP/&amp;sa=D&amp;ust=1605639553018000&amp;usg=AFQjCNF_uZTR3r1960RMiOjJ_upqw7Xt-A" xr:uid="{BB6B8FF9-D221-4D32-85B9-F5EDF4F6415E}"/>
    <hyperlink ref="D318" r:id="rId2479" display="https://www.google.com/url?q=https://github.com/A7medgamal/SPOJ__-DCEPC706---Meeting-For-Party/blob/master/main.cpp&amp;sa=D&amp;ust=1605639553018000&amp;usg=AFQjCNE0NnAUIbCvNadth0RLITlvkLWS2Q" xr:uid="{95C790F8-275A-4E5C-823E-0238C4A8F8BB}"/>
    <hyperlink ref="A3240" r:id="rId2480" display="https://www.google.com/url?q=http://codeforces.com/contest/199/problem/D&amp;sa=D&amp;ust=1605639553019000&amp;usg=AFQjCNHCK1HR2_SKcKKzpZJW86aCh19YRg" xr:uid="{25050BF3-A412-47D6-8AB3-3ED47B54794F}"/>
    <hyperlink ref="A3241" r:id="rId2481" display="https://www.google.com/url?q=http://codeforces.com/contest/330/problem/D&amp;sa=D&amp;ust=1605639553019000&amp;usg=AFQjCNFl4fy7QlKSE34In20RIX0VmyR-tw" xr:uid="{7827F919-97FC-4446-B4D8-938058C9792C}"/>
    <hyperlink ref="A3243" r:id="rId2482" display="https://www.google.com/url?q=http://www.spoj.com/problems/POUR1/&amp;sa=D&amp;ust=1605639553020000&amp;usg=AFQjCNFKMyn7trXocL59FPL-9dgV2rl0Mw" xr:uid="{12094453-80BE-4432-82E0-907272F181D0}"/>
    <hyperlink ref="A3251" r:id="rId2483" display="https://www.google.com/url?q=http://codeforces.com/contest/911/problem/F&amp;sa=D&amp;ust=1605639553023000&amp;usg=AFQjCNFtQpbxgLQ1xihLMpX3YKjgP8H0wQ" xr:uid="{106DB855-E859-450D-9CD8-BCBD543A6144}"/>
    <hyperlink ref="A3253" r:id="rId2484" display="https://www.google.com/url?q=http://codeforces.com/contest/592/problem/D&amp;sa=D&amp;ust=1605639553024000&amp;usg=AFQjCNGjk886W7ujyG2azNB6BhPu9wyaqA" xr:uid="{EB6A4E64-92FD-46DB-BB93-48BD01D47A0A}"/>
    <hyperlink ref="D2744" r:id="rId2485" display="https://www.google.com/url?q=https://github.com/racsosabe/CompetitiveProgramming/blob/master/CodeForces/CF592-D2-D.cpp&amp;sa=D&amp;ust=1605639553025000&amp;usg=AFQjCNEuXpqC78TYBHhyJEym6xQlcuBRRg" xr:uid="{695B9416-D2CC-4C9C-925F-E127CD2802DF}"/>
    <hyperlink ref="A3254" r:id="rId2486" display="https://www.google.com/url?q=http://codeforces.com/contest/734/problem/E&amp;sa=D&amp;ust=1605639553025000&amp;usg=AFQjCNE_3E077ezN9W0DC7jYaFqwY5kw4w" xr:uid="{55BB8AC3-683E-42C9-BD2A-A2CA1195DB08}"/>
    <hyperlink ref="A3255" r:id="rId2487" display="https://www.google.com/url?q=https://codeforces.com/contest/1182/problem/D&amp;sa=D&amp;ust=1605639553025000&amp;usg=AFQjCNEIhDYDCixwIoggf0G8DimcPfif_w" xr:uid="{5E6054F3-E6B9-4A6B-8C36-46F0F91BB6AA}"/>
    <hyperlink ref="A3256" r:id="rId2488" display="https://www.google.com/url?q=http://codeforces.com/contest/14/problem/D&amp;sa=D&amp;ust=1605639553026000&amp;usg=AFQjCNHJ_gJR17YSDmKuJfdYbkPFdCwtyQ" xr:uid="{4425DAFD-EDD0-454B-AB42-8C40FC5617CD}"/>
    <hyperlink ref="A3257" r:id="rId2489" display="https://www.google.com/url?q=http://codeforces.com/contest/456/problem/E&amp;sa=D&amp;ust=1605639553026000&amp;usg=AFQjCNFFxUCHvwfDFl0QutGkcKi5DDOW-Q" xr:uid="{E63166D3-308F-475A-8D1F-BE43481CF447}"/>
    <hyperlink ref="A3258" r:id="rId2490" display="https://www.google.com/url?q=https://agc001.contest.atcoder.jp/tasks/agc001_c&amp;sa=D&amp;ust=1605639553026000&amp;usg=AFQjCNHSPjMWwC6rEGLZeRprn2rlsDhOCQ" xr:uid="{FBD801F5-F1A0-44B5-B5A4-04F3532862F2}"/>
    <hyperlink ref="D2418" r:id="rId2491" display="https://www.google.com/url?q=https://github.com/Triplem5ds/Competitve-Programming/blob/master/atcoder/AtCoder001-AGC-C.cpp&amp;sa=D&amp;ust=1605639553027000&amp;usg=AFQjCNGZPXZ-Reggua3hgDGQkXYswGBPYg" xr:uid="{BC53829D-DA98-4416-87F8-E6AFD5551682}"/>
    <hyperlink ref="A3260" r:id="rId2492" display="https://www.google.com/url?q=https://uva.onlinejudge.org/index.php?option%3Donlinejudge%26page%3Dshow_problem%26problem%3D1400&amp;sa=D&amp;ust=1605639553027000&amp;usg=AFQjCNHTUT_JjLYuGZC5TzOqqgUOdtDR8A" xr:uid="{E8058E23-CA3E-4BB5-894E-CFFCB5C88835}"/>
    <hyperlink ref="D1363" r:id="rId2493" display="https://www.google.com/url?q=https://github.com/VAMPIER000001/CompetitiveProgramming/blob/master/UVA/V-104/UVA%252010459.Cpp&amp;sa=D&amp;ust=1605639553028000&amp;usg=AFQjCNEIgjHilWdWZ_0UxcR-K6C3k-yhSA" xr:uid="{D50D568E-FCEE-4BEF-A72C-B62CEBE7F93D}"/>
    <hyperlink ref="A3262" r:id="rId2494" display="https://www.google.com/url?q=https://uva.onlinejudge.org/index.php?option%3Donlinejudge%26page%3Dshow_problem%26problem%3D3801&amp;sa=D&amp;ust=1605639553028000&amp;usg=AFQjCNFin948mTm_j-pZVacJuzNTk0Of5Q" xr:uid="{785C822D-59FE-4460-A07D-2F50070E697D}"/>
    <hyperlink ref="D969" r:id="rId2495" display="https://www.google.com/url?q=https://github.com/abdullaAshraf/Problem-Solving/blob/master/UVA/12379.cpp&amp;sa=D&amp;ust=1605639553029000&amp;usg=AFQjCNHWVzStCW5T88udNjdsmEXPoGoGeQ" xr:uid="{AF1E0412-CE1D-4B56-8BDC-E3F2D995B9E3}"/>
    <hyperlink ref="A3266" r:id="rId2496" display="https://www.google.com/url?q=https://uva.onlinejudge.org/index.php?option%3Dcom_onlinejudge%26Itemid%3D8%26page%3Dshow_problem%26problem%3D1249&amp;sa=D&amp;ust=1605639553030000&amp;usg=AFQjCNH3GppXHXLQhIoeXPp8tNLL1-s5EA" xr:uid="{90F64E50-FC4A-4298-BB00-872C7D25E3B1}"/>
    <hyperlink ref="D332" r:id="rId2497" display="https://www.google.com/url?q=https://github.com/ilyesG/Competitive-Programming/blob/master/UVA/UVA%252010308.cpp&amp;sa=D&amp;ust=1605639553030000&amp;usg=AFQjCNFDXED5FfyTjOOSyynfEZo0Vah-Jg" xr:uid="{353B3F09-F81E-454F-86D1-97F4EA0249FA}"/>
    <hyperlink ref="A3267" r:id="rId2498" display="https://www.google.com/url?q=http://www.spoj.com/problems/PT07Z/&amp;sa=D&amp;ust=1605639553030000&amp;usg=AFQjCNEkXov_eHYLDQB28Nd4R4s2MfMVYA" xr:uid="{FEAF7D10-2ED9-4E24-A936-E8981C789600}"/>
    <hyperlink ref="D333" r:id="rId2499" display="https://www.google.com/url?q=https://github.com/abdullaAshraf/Problem-Solving/blob/master/SPOJ/PT07Z.cpp&amp;sa=D&amp;ust=1605639553031000&amp;usg=AFQjCNGWP9z8MPgkMxevWLlgzvLSYJO5zw" xr:uid="{2E8C83C8-CCEA-448A-846A-B1594C7C02EF}"/>
    <hyperlink ref="A3273" r:id="rId2500" display="https://www.google.com/url?q=http://codeforces.com/contest/430/problem/E&amp;sa=D&amp;ust=1605639553033000&amp;usg=AFQjCNF6GA37V7-S5dlF7peygkhFvTeS8g" xr:uid="{4EF0EE5D-D169-4730-B031-CE653A279EBD}"/>
    <hyperlink ref="A3274" r:id="rId2501" display="https://www.google.com/url?q=http://codeforces.com/contest/671/problem/D&amp;sa=D&amp;ust=1605639553034000&amp;usg=AFQjCNGrJGg6xMcwj1RfbxVl80a0ni2jUQ" xr:uid="{439A6CB3-6C64-4657-831F-A78021E0D385}"/>
    <hyperlink ref="A3275" r:id="rId2502" display="https://www.google.com/url?q=https://codeforces.com/contest/858/problem/F&amp;sa=D&amp;ust=1605639553034000&amp;usg=AFQjCNEDyuNyWZ_c6DnGdQbRn_GAT2_9gg" xr:uid="{B60135A7-726E-4941-89C1-41BD3A32D7F6}"/>
    <hyperlink ref="D5337" r:id="rId2503" display="https://www.google.com/url?q=https://codeforces.com/blog/entry/68138&amp;sa=D&amp;ust=1605639553035000&amp;usg=AFQjCNHlhaES3l7tubXXoSzxy6vV6qNHOw" xr:uid="{9A97FBB0-FDB3-4F91-93A3-7E0B9B3C83EF}"/>
    <hyperlink ref="A3277" r:id="rId2504" display="https://www.google.com/url?q=http://codeforces.com/contest/406/problem/C&amp;sa=D&amp;ust=1605639553035000&amp;usg=AFQjCNHo4qQPTwAhnjqV6OwMFhnCTYusvg" xr:uid="{A7875A60-11A1-4A84-85D7-4A1210C5F263}"/>
    <hyperlink ref="A3278" r:id="rId2505" display="https://www.google.com/url?q=http://codeforces.com/contest/73/problem/D&amp;sa=D&amp;ust=1605639553035000&amp;usg=AFQjCNEY-61eB8Lc6QJOsjrbEzJD3u9gyA" xr:uid="{CC32738F-D326-429A-9B22-DFBA0D104057}"/>
    <hyperlink ref="A3279" r:id="rId2506" display="https://www.google.com/url?q=https://www.codechef.com/problems/TAPAIR&amp;sa=D&amp;ust=1605639553036000&amp;usg=AFQjCNGKrz-bLagORpJOFBxKR5AvyUrSFA" xr:uid="{5D0F48D5-17B7-415D-A7F7-67CE3F264598}"/>
    <hyperlink ref="A3280" r:id="rId2507" display="https://www.google.com/url?q=http://codeforces.com/contest/982/problem/F&amp;sa=D&amp;ust=1605639553036000&amp;usg=AFQjCNFGoNX-_sTabftunu-wggZLFjiWPg" xr:uid="{C4315461-B808-46A6-9FBE-3363CB357124}"/>
    <hyperlink ref="D5147" r:id="rId2508" display="https://www.google.com/url?q=https://github.com/timpostuvan/CompetitiveProgramming/blob/master/Codeforces/CF982-D2-F.cpp&amp;sa=D&amp;ust=1605639553037000&amp;usg=AFQjCNEjTNAY0oKmHn9USJEYuwCkiIbTnA" xr:uid="{7A0B612B-6E2F-48FF-B323-611C8D7985AB}"/>
    <hyperlink ref="A3281" r:id="rId2509" display="https://www.google.com/url?q=http://agc024.contest.atcoder.jp/tasks/agc024_d&amp;sa=D&amp;ust=1605639553037000&amp;usg=AFQjCNGLc_YT1sk4QF-8GZLtYc09a3FLxg" xr:uid="{7F22995D-E3D8-4F77-B3BD-CFAB686C8E5C}"/>
    <hyperlink ref="A3282" r:id="rId2510" display="https://www.google.com/url?q=http://agc018.contest.atcoder.jp/tasks/agc018_d&amp;sa=D&amp;ust=1605639553038000&amp;usg=AFQjCNECD7Hk4qesQHGxHIqKPYmXnCmTGg" xr:uid="{AE972793-4337-43F2-8836-16FA397DE9B0}"/>
    <hyperlink ref="A3284" r:id="rId2511" display="https://www.google.com/url?q=http://codeforces.com/contest/1103/problem/C&amp;sa=D&amp;ust=1605639553038000&amp;usg=AFQjCNHhwlA6F7wXJ1_LZQ5NyoOhxznxNA" xr:uid="{6F298B18-3143-4598-8435-6B5552CEBB70}"/>
    <hyperlink ref="A3285" r:id="rId2512" display="https://www.google.com/url?q=http://codeforces.com/contest/19/problem/E&amp;sa=D&amp;ust=1605639553039000&amp;usg=AFQjCNHPyKPWyagadIVWJtPWNMniWcSlTg" xr:uid="{52F61016-9C87-4369-BB42-55F151E26CF0}"/>
    <hyperlink ref="D4844" r:id="rId2513" display="https://www.google.com/url?q=https://codeforces.com/blog/entry/68138&amp;sa=D&amp;ust=1605639553039000&amp;usg=AFQjCNH9bBkxKX30AGAHdy_TA6Hsxv-PEg" xr:uid="{E9494B05-41D2-48B0-B391-3B2090C740AD}"/>
    <hyperlink ref="A3286" r:id="rId2514" display="https://www.google.com/url?q=https://agc009.contest.atcoder.jp/tasks/agc009_d&amp;sa=D&amp;ust=1605639553040000&amp;usg=AFQjCNFobMJ86aou61k7s3yOuVnt7LhQIw" xr:uid="{60A83DB0-70B0-41EE-9614-CFFD0CC8F94D}"/>
    <hyperlink ref="D4845" r:id="rId2515" display="https://www.google.com/url?q=https://github.com/MetalBall887/Competitive-Programming/blob/master/AtCoder/AtCoder009-AGC-D.cpp&amp;sa=D&amp;ust=1605639553040000&amp;usg=AFQjCNHT0HogSnBge3gxg5EWYRRbXA9nUw" xr:uid="{C681A624-54FE-458B-B51B-82AF625EA0DC}"/>
    <hyperlink ref="A3288" r:id="rId2516" display="https://www.google.com/url?q=https://www.codechef.com/problems/EXACTWAL&amp;sa=D&amp;ust=1605639553041000&amp;usg=AFQjCNGw7toxmo6Lv0vUqKfiEiFt8LXQNQ" xr:uid="{09E31B30-DBE0-42EC-9644-FCA4494F666C}"/>
    <hyperlink ref="D4847" r:id="rId2517" display="https://www.google.com/url?q=https://github.com/tmwilliamlin168/CompetitiveProgramming/blob/master/CodeChef/EXACTWAL.cpp&amp;sa=D&amp;ust=1605639553041000&amp;usg=AFQjCNFhgEA5oXcDXupxFN9soBBZMH3MNg" xr:uid="{E300B221-A450-416E-AA4D-A1EFB2D83EBD}"/>
    <hyperlink ref="A3290" r:id="rId2518" display="https://www.google.com/url?q=http://codeforces.com/contest/605/problem/D&amp;sa=D&amp;ust=1605639553041000&amp;usg=AFQjCNEKCdHf7rBDX_8PmkRE3wGIWbhrAA" xr:uid="{4FD778F7-D41A-4196-B0EE-790B9764A817}"/>
    <hyperlink ref="A3292" r:id="rId2519" display="https://www.google.com/url?q=http://codeforces.com/contest/85/problem/C&amp;sa=D&amp;ust=1605639553042000&amp;usg=AFQjCNFkt2Dbctppa30EglZxJSVC29qFQQ" xr:uid="{72D54C6D-0CD2-4616-99ED-F39BF029406B}"/>
    <hyperlink ref="A3293" r:id="rId2520" display="https://www.google.com/url?q=http://codeforces.com/contest/348/problem/B&amp;sa=D&amp;ust=1605639553042000&amp;usg=AFQjCNFiJTjgkslPybR0uZn6AV-FQJD30Q" xr:uid="{3FA84654-D545-408F-9481-D4AB6B22BAA6}"/>
    <hyperlink ref="A3295" r:id="rId2521" display="https://www.google.com/url?q=http://codeforces.com/contest/506/problem/D&amp;sa=D&amp;ust=1605639553043000&amp;usg=AFQjCNFFHVxpdsvxOrolH5_cLNvc-kSRpg" xr:uid="{CA4FA460-F4AD-430C-87F6-68AD2F35C675}"/>
    <hyperlink ref="D4480" r:id="rId2522" display="https://www.google.com/url?q=https://github.com/tfg50/Competitive-Programming/blob/master/Codeforces/CF506-D1-D.cpp&amp;sa=D&amp;ust=1605639553043000&amp;usg=AFQjCNGWBsd8JPXNzLHgqrDEtncFGK0QHA" xr:uid="{145EC082-EA07-4EA7-AA86-AEA4F6A1AA99}"/>
    <hyperlink ref="A3296" r:id="rId2523" display="https://www.google.com/url?q=https://atcoder.jp/contests/abc155/tasks/abc155_f&amp;sa=D&amp;ust=1605639553044000&amp;usg=AFQjCNFPF0OS9S3K38pnYxP7zLBEotAqNw" xr:uid="{E3B8CDAD-B859-41E9-9568-A9536553C518}"/>
    <hyperlink ref="A3298" r:id="rId2524" display="https://www.google.com/url?q=http://codeforces.com/gym/101806/problem/X&amp;sa=D&amp;ust=1605639553046000&amp;usg=AFQjCNGUucGboaDwSSOerYHeXBHlMLP86A" xr:uid="{B5B349E6-8940-48A3-AF45-FC13847F8E6A}"/>
    <hyperlink ref="D4483" r:id="rId2525" display="https://www.google.com/url?q=https://github.com/stefdasca/CompetitiveProgramming/blob/master/Codeforces/Gym/CF101806-GYM-X.cpp&amp;sa=D&amp;ust=1605639553046000&amp;usg=AFQjCNG0GWsGh6_ykRJfDf76qNXrZ1jmSg" xr:uid="{015A9BF4-7B3C-4B0D-80E9-83EC633C2122}"/>
    <hyperlink ref="A3299" r:id="rId2526" display="https://www.google.com/url?q=https://arc079.contest.atcoder.jp/tasks/arc079_d&amp;sa=D&amp;ust=1605639553046000&amp;usg=AFQjCNF9NqR_yALOfGxYzhb2D4zjyURFhA" xr:uid="{9D1BFEC4-9E5F-4D9F-9D9C-A8D5717925F9}"/>
    <hyperlink ref="D4484" r:id="rId2527" display="https://www.google.com/url?q=https://github.com/tmwilliamlin168/CompetitiveProgramming/blob/master/AtCoder/079-ARC-F.java&amp;sa=D&amp;ust=1605639553047000&amp;usg=AFQjCNHxV42sR8xLhEdRml6R3IX-qVd_5Q" xr:uid="{39BEDD70-32BD-44A3-AA7E-782206760448}"/>
    <hyperlink ref="A3301" r:id="rId2528" display="https://www.google.com/url?q=http://codeforces.com/contest/190/problem/E&amp;sa=D&amp;ust=1605639553047000&amp;usg=AFQjCNHJs8-Tud7519_TzSZlDjIFF-UPoA" xr:uid="{A025B876-F646-4C89-ABD8-30B15077750F}"/>
    <hyperlink ref="A3303" r:id="rId2529" display="https://www.google.com/url?q=https://uva.onlinejudge.org/index.php?option%3Dcom_onlinejudge%26Itemid%3D8%26page%3Dshow_problem%26problem%3D470&amp;sa=D&amp;ust=1605639553048000&amp;usg=AFQjCNGJPPqWhdTxUAHVMrOkuDlC_W978w" xr:uid="{A1B3E9E2-AA16-4730-910C-9D7462E3379D}"/>
    <hyperlink ref="D4219" r:id="rId2530" display="https://www.google.com/url?q=https://github.com/mostafa-saad/MyCompetitiveProgramming/blob/master/UVA/UVA_529.txt&amp;sa=D&amp;ust=1605639553049000&amp;usg=AFQjCNFriCyzuM5dLXdu7AC9Ym3oa1RhhQ" xr:uid="{D38EB331-27E5-4A15-8E18-7F19F725D034}"/>
    <hyperlink ref="A3304" r:id="rId2531" display="https://www.google.com/url?q=http://codeforces.com/contest/659/problem/F&amp;sa=D&amp;ust=1605639553049000&amp;usg=AFQjCNGgyt61gV6cVA1ikYOB81DKkNrzVQ" xr:uid="{6D1CD9F1-B3D2-4621-ACFF-F786335635D2}"/>
    <hyperlink ref="A3305" r:id="rId2532" display="https://www.google.com/url?q=https://codeforces.com/contest/1159/problem/E&amp;sa=D&amp;ust=1605639553049000&amp;usg=AFQjCNERyqB5BB0mrPXe8rsRrZ-c6bdxvQ" xr:uid="{BEC2ECDA-5E14-4CB6-92EC-5B6D71FFE1D7}"/>
    <hyperlink ref="A3306" r:id="rId2533" display="https://www.google.com/url?q=https://codeforces.com/contest/1174/problem/F&amp;sa=D&amp;ust=1605639553050000&amp;usg=AFQjCNE9gHq2V5dkOmYwrCM4Fw-aoCGJIQ" xr:uid="{45CC6A61-F252-40A6-9BBA-C81C786F22D1}"/>
    <hyperlink ref="D4223" r:id="rId2534" display="https://www.google.com/url?q=https://github.com/Huvok/CompetitiveProgramming/blob/master/UVA/1343.cpp&amp;sa=D&amp;ust=1605639553051000&amp;usg=AFQjCNEejpkHg5NGXr8ZHkQZaFbBZFwT7w" xr:uid="{DD5A5B3D-96B1-425D-BB7A-C6CD9D9AF1B4}"/>
    <hyperlink ref="A3311" r:id="rId2535" display="https://www.google.com/url?q=http://codeforces.com/contest/135/problem/D&amp;sa=D&amp;ust=1605639553052000&amp;usg=AFQjCNGV-0xgh3hZ3Axnl1Be23_qOjJa-Q" xr:uid="{E92BA494-041F-462C-A529-4EE7EB3A3C14}"/>
    <hyperlink ref="A3312" r:id="rId2536" display="https://www.google.com/url?q=http://codeforces.com/contest/441/problem/D&amp;sa=D&amp;ust=1605639553053000&amp;usg=AFQjCNFM2tDE4cYkllENOajcoN-3WYH3ig" xr:uid="{02813D66-D4E9-4477-8A89-17119E9F2F8B}"/>
    <hyperlink ref="A3330" r:id="rId2537" display="https://www.google.com/url?q=http://codeforces.com/contest/686/problem/D&amp;sa=D&amp;ust=1605639553053000&amp;usg=AFQjCNHnGtwhCUqWuD3ktEuRznKDEsFQPw" xr:uid="{52D7412D-3776-47E5-A32C-2018BE5B6C02}"/>
    <hyperlink ref="D3662" r:id="rId2538" display="https://www.google.com/url?q=https://github.com/ahmedsamir221/CompetitiveProgramming/blob/master/SPOJ/SPOJ%2520AMR10J.cpp&amp;sa=D&amp;ust=1605639553054000&amp;usg=AFQjCNF7zWThIqLGyaGqZDtOD_nU9NCyCw" xr:uid="{07F3C299-98D4-45D9-8A22-A3EB8F93825D}"/>
    <hyperlink ref="D3663" r:id="rId2539" display="https://www.google.com/url?q=https://github.com/goswami-rahul/competitive-coding/blob/master/CompetitiveProgramming/spoj/CAC.cpp&amp;sa=D&amp;ust=1605639553055000&amp;usg=AFQjCNE4bZgU77UiTE2pLmcLsgGM726xVA" xr:uid="{4DAC909E-0674-49FA-AFA9-C882F8E9D300}"/>
    <hyperlink ref="A3333" r:id="rId2540" display="https://www.google.com/url?q=https://codeforces.com/contest/1076/problem/E&amp;sa=D&amp;ust=1605639553055000&amp;usg=AFQjCNG-EMvUF0f5t0wwNTK6Pl50pBEuvA" xr:uid="{D1B53135-7E2B-4AD5-A15F-F2780DE2BA73}"/>
    <hyperlink ref="A3334" r:id="rId2541" display="https://www.google.com/url?q=http://codeforces.com/contest/701/problem/E&amp;sa=D&amp;ust=1605639553055000&amp;usg=AFQjCNG8kbnsy_3TZddfnMmm75wsrhK-ag" xr:uid="{39E5C98B-7AFB-4CFE-9E5A-060EA91E5D75}"/>
    <hyperlink ref="A3335" r:id="rId2542" display="https://www.google.com/url?q=http://codeforces.com/contest/22/problem/E&amp;sa=D&amp;ust=1605639553056000&amp;usg=AFQjCNEgIp5u3-EbJq6u8RfXiHxtonxNLw" xr:uid="{15836A19-59D8-4914-8AA3-D12650CE6054}"/>
    <hyperlink ref="A3336" r:id="rId2543" display="https://www.google.com/url?q=http://codeforces.com/contest/846/problem/E&amp;sa=D&amp;ust=1605639553057000&amp;usg=AFQjCNE47XsBLbBj3nbDz2SDT9rXde19cA" xr:uid="{4A929BDC-CEC4-45A2-9681-DD96E17C2369}"/>
    <hyperlink ref="A3337" r:id="rId2544" display="https://www.google.com/url?q=http://codeforces.com/contest/707/problem/D&amp;sa=D&amp;ust=1605639553058000&amp;usg=AFQjCNGudvF28IlArm5eTEKiUvFitUxA4Q" xr:uid="{EC0BC0EE-701D-4771-AC23-50F254946680}"/>
    <hyperlink ref="D3405" r:id="rId2545" display="https://www.google.com/url?q=https://github.com/AbdelrahmanRamadan/competitive-programming/blob/master/Codeforces/CF707-D2-D.cpp&amp;sa=D&amp;ust=1605639553058000&amp;usg=AFQjCNHv-U7fDlJqpXnOvr3wyQ36mxspRQ" xr:uid="{0005E404-33D6-4949-A1B1-136C0F1B8D65}"/>
    <hyperlink ref="A3338" r:id="rId2546" display="https://www.google.com/url?q=http://codeforces.com/contest/117/problem/C&amp;sa=D&amp;ust=1605639553058000&amp;usg=AFQjCNFvE5AAQaJfgAx1iZlOOyhfemk6Iw" xr:uid="{70E083B9-0542-4CB3-A702-E92AB4BA6BE1}"/>
    <hyperlink ref="A3339" r:id="rId2547" display="https://www.google.com/url?q=http://codeforces.com/contest/920/problem/E&amp;sa=D&amp;ust=1605639553059000&amp;usg=AFQjCNGQqJjdWP6cuNaLWJzV0CuY-r6p3w" xr:uid="{DF06F39B-814B-4DD4-AA48-EF22C5670177}"/>
    <hyperlink ref="A3340" r:id="rId2548" display="https://www.google.com/url?q=http://codeforces.com/contest/604/problem/D&amp;sa=D&amp;ust=1605639553059000&amp;usg=AFQjCNHuNhELv1iA5_PmYkECwyJGnRcIFA" xr:uid="{90713EE3-5119-4183-A652-CA204940D1CA}"/>
    <hyperlink ref="D3408" r:id="rId2549" display="https://www.google.com/url?q=https://github.com/MohamedNabil97/CompetitiveProgramming/blob/master/CodeForces/CF604-D2-D.cpp&amp;sa=D&amp;ust=1605639553060000&amp;usg=AFQjCNGY0j4ePsLCoY4xkI2LFupsZCM0sw" xr:uid="{62635C08-7526-4C62-9C1F-D809D23425AE}"/>
    <hyperlink ref="A3341" r:id="rId2550" display="https://www.google.com/url?q=http://codeforces.com/gym/101102/problem/K&amp;sa=D&amp;ust=1605639553060000&amp;usg=AFQjCNGJs9WCwUWALu3MzqwLnEBf5CFzcw" xr:uid="{CAB4D0BE-9277-4391-91F2-B3D554E014EB}"/>
    <hyperlink ref="D3409" r:id="rId2551" display="https://www.google.com/url?q=https://github.com/mostafa-saad/MyCompetitiveProgramming/blob/master/Codeforces/CF101102-GYM-K.txt&amp;sa=D&amp;ust=1605639553060000&amp;usg=AFQjCNHSKqGt720Ve6l3_Y1mO07-9VV-cQ" xr:uid="{34091BDC-CF23-487B-AA0A-8735ED765A1B}"/>
    <hyperlink ref="A3342" r:id="rId2552" display="https://www.google.com/url?q=http://codeforces.com/contest/653/problem/E&amp;sa=D&amp;ust=1605639553061000&amp;usg=AFQjCNHy4VY9Pf17okf3pNYY1KlYii1mGg" xr:uid="{74B88ADF-DC55-403D-ABB2-243810A05D49}"/>
    <hyperlink ref="A3344" r:id="rId2553" display="https://www.google.com/url?q=http://codeforces.com/contest/506/problem/B&amp;sa=D&amp;ust=1605639553061000&amp;usg=AFQjCNGuwLjE73KD7TyMP8AOMbUwr9hRzw" xr:uid="{0B440FB1-F189-4EB6-BFBE-3C3545B3F032}"/>
    <hyperlink ref="A3345" r:id="rId2554" display="https://www.google.com/url?q=https://beta.atcoder.jp/contests/soundhound2018-summer-qual/tasks/soundhound2018_summer_qual_e&amp;sa=D&amp;ust=1605639553062000&amp;usg=AFQjCNElvOYCJtS4f9B3m_Z24iweKOjQ4A" xr:uid="{A2922A07-2507-49B0-ADF8-FBEAC5C4DBDA}"/>
    <hyperlink ref="A3346" r:id="rId2555" display="https://www.google.com/url?q=http://codeforces.com/gym/100517/problem/L&amp;sa=D&amp;ust=1605639553062000&amp;usg=AFQjCNEML9qQdoQOG5RHW40J_g4JYHYO4w" xr:uid="{A97B5857-2661-4C47-8BF9-4A76036CB929}"/>
    <hyperlink ref="D3414" r:id="rId2556" display="https://www.google.com/url?q=https://github.com/osamahatem/CompetitiveProgramming/blob/master/Codeforces/100517L.%2520Least%2520Common%2520Ancestor.cpp&amp;sa=D&amp;ust=1605639553062000&amp;usg=AFQjCNGnBzRppp0b1SOUqyRPkLfnw8RTog" xr:uid="{2DC6A194-4566-4186-BD36-F1E678A78718}"/>
    <hyperlink ref="A3347" r:id="rId2557" display="https://www.google.com/url?q=http://codeforces.com/contest/596/problem/E&amp;sa=D&amp;ust=1605639553063000&amp;usg=AFQjCNGf_CzMJLxJhDThAKHlXyvDkSUcBg" xr:uid="{8957E350-509A-42E1-9454-D9F3DE008213}"/>
    <hyperlink ref="A3349" r:id="rId2558" display="https://www.google.com/url?q=https://codeforces.com/problemset/problem/1147/D&amp;sa=D&amp;ust=1605639553064000&amp;usg=AFQjCNHSEAFwdkCq6F2p5moW8oJUiaYPjA" xr:uid="{1BD13498-E31D-4899-AD5B-EB62C02F045C}"/>
    <hyperlink ref="A3352" r:id="rId2559" display="https://www.google.com/url?q=http://codeforces.com/contest/859/problem/E&amp;sa=D&amp;ust=1605639553065000&amp;usg=AFQjCNEFtP9ECRpMnuVluZuHTz_frWjP4Q" xr:uid="{6634E115-3EA3-4944-A6C9-4897AFB59A9D}"/>
    <hyperlink ref="A3353" r:id="rId2560" display="https://www.google.com/url?q=https://uva.onlinejudge.org/index.php?option%3Dcom_onlinejudge%26Itemid%3D8%26page%3Dshow_problem%26problem%3D648&amp;sa=D&amp;ust=1605639553065000&amp;usg=AFQjCNFjd197Qw6j6YnksKe6rTH0gm1H4Q" xr:uid="{99023A82-DF56-40AF-A846-A292EA673651}"/>
    <hyperlink ref="D2911" r:id="rId2561" display="https://www.google.com/url?q=https://github.com/mostafa-saad/MyCompetitiveProgramming/blob/master/UVA/UVA_707.txt&amp;sa=D&amp;ust=1605639553065000&amp;usg=AFQjCNEub-gBmGSoW_04LGjWYAtGqVnEQg" xr:uid="{02B01D66-6390-4944-AEF9-C132801F79AA}"/>
    <hyperlink ref="A3354" r:id="rId2562" display="https://www.google.com/url?q=http://codeforces.com/contest/197/problem/D&amp;sa=D&amp;ust=1605639553066000&amp;usg=AFQjCNFFvC_EgZArvznS8dmmhOTfVXYGPg" xr:uid="{9B99CC01-C00A-4985-8B6A-0BE60D280258}"/>
    <hyperlink ref="D2749" r:id="rId2563" display="https://www.google.com/url?q=https://github.com/A7medgamal/CompetitiveProgramming/blob/master/LiveArchive/LiveArchive%25206590.cpp&amp;sa=D&amp;ust=1605639553066000&amp;usg=AFQjCNHQlG6wK-OQhkenEXaYpjrWZocSUw" xr:uid="{C224B8B0-0BE9-40B2-9013-1B61158FD573}"/>
    <hyperlink ref="A3356" r:id="rId2564" display="https://www.google.com/url?q=http://codeforces.com/contest/915/problem/D&amp;sa=D&amp;ust=1605639553067000&amp;usg=AFQjCNH3AsVgUBOBWy7FIXRwwodKMPS6Rg" xr:uid="{633BBBB1-8F2B-4569-965F-16A9881BE4B0}"/>
    <hyperlink ref="A3357" r:id="rId2565" display="https://www.google.com/url?q=https://codeforces.com/contest/1187/problem/E&amp;sa=D&amp;ust=1605639553067000&amp;usg=AFQjCNFinUp0HXfTvTcSM5ugI_PMNgYKXQ" xr:uid="{B0D4F118-A926-49DF-955C-64DC689698CD}"/>
    <hyperlink ref="A3358" r:id="rId2566" display="https://www.google.com/url?q=http://codeforces.com/contest/237/problem/D&amp;sa=D&amp;ust=1605639553068000&amp;usg=AFQjCNE_90Ft2e-Rlq3IcSGh6gfoeAjrGw" xr:uid="{94EEE403-EA4D-4A05-B463-B724C5B3E6DC}"/>
    <hyperlink ref="D2753" r:id="rId2567" display="https://www.google.com/url?q=https://github.com/aboodJAD/CompetitiveProgramming/blob/master/SPOJ/SPOJ%2520LEGO.cpp&amp;sa=D&amp;ust=1605639553069000&amp;usg=AFQjCNHsJ_gKplhiNaHMMHhMqALahp2pUA" xr:uid="{6928EB13-9451-4E1D-BA35-430DF8BF7FF1}"/>
    <hyperlink ref="A3360" r:id="rId2568" display="https://www.google.com/url?q=https://agc004.contest.atcoder.jp/tasks/agc004_d&amp;sa=D&amp;ust=1605639553070000&amp;usg=AFQjCNEkcB8G9gTl77rAHLvY_lQhaVd2Sg" xr:uid="{461DCDF1-63A8-4081-AC3E-F6E318E76CF8}"/>
    <hyperlink ref="A3361" r:id="rId2569" display="https://www.google.com/url?q=http://codeforces.com/contest/1006/problem/E&amp;sa=D&amp;ust=1605639553070000&amp;usg=AFQjCNGVpVEPRsUTfdTRKBNtIkYDfsLL5g" xr:uid="{48CF1DF7-7D64-4BA5-A5A4-AC497E1F4CD6}"/>
    <hyperlink ref="D2084" r:id="rId2570" display="https://www.google.com/url?q=https://github.com/mostafa-saad/MyCompetitiveProgramming/blob/master/SPOJ/SPOJ-HOLI.txt&amp;sa=D&amp;ust=1605639553071000&amp;usg=AFQjCNGnrUur0MdqFZMQt-D_wizeSCnjkw" xr:uid="{47640A28-5194-4152-89D1-62246275AD74}"/>
    <hyperlink ref="A3363" r:id="rId2571" display="https://www.google.com/url?q=https://codeforces.com/contest/1093/problem/D&amp;sa=D&amp;ust=1605639553071000&amp;usg=AFQjCNHbxkGafbdbJLvRlJG2gMEUwaK6Xg" xr:uid="{1FD86F31-8167-4F0B-9DCD-40D9D4C7DF2F}"/>
    <hyperlink ref="A3364" r:id="rId2572" display="https://www.google.com/url?q=http://codeforces.com/contest/711/problem/D&amp;sa=D&amp;ust=1605639553072000&amp;usg=AFQjCNHjh8ps0FEezw2Rtxfe98jTq810hg" xr:uid="{4F6A36EA-FC80-4B84-9A89-C5C0477AF2D5}"/>
    <hyperlink ref="A3365" r:id="rId2573" display="https://www.google.com/url?q=http://codeforces.com/contest/1075/problem/D&amp;sa=D&amp;ust=1605639553072000&amp;usg=AFQjCNGoLNr8hHTVXQirBFPMgsWxUQ4chA" xr:uid="{AB8D0D5C-BA83-4F94-8CE2-87FBB2858292}"/>
    <hyperlink ref="A3366" r:id="rId2574" display="https://www.google.com/url?q=https://codeforces.com/contest/1056/problem/D&amp;sa=D&amp;ust=1605639553073000&amp;usg=AFQjCNFqtns6VBkRbYQEfMSfd84XNVYrVA" xr:uid="{5112A951-7D1F-41E4-846A-7F844AD79DF9}"/>
    <hyperlink ref="A3367" r:id="rId2575" display="https://www.google.com/url?q=http://codeforces.com/contest/861/problem/F&amp;sa=D&amp;ust=1605639553073000&amp;usg=AFQjCNGdj0WnhGA-orBXee8mLD8AGngLZA" xr:uid="{06F7E708-FE1D-41AC-BF43-9ABCE463106F}"/>
    <hyperlink ref="A3369" r:id="rId2576" display="https://www.google.com/url?q=http://codeforces.com/contest/1027/problem/D&amp;sa=D&amp;ust=1605639553074000&amp;usg=AFQjCNErHMujmjZW8_xpWqb8uE9LyCv3wQ" xr:uid="{5A1BDC74-68F8-4E53-BD45-FBA7875A8415}"/>
    <hyperlink ref="A3370" r:id="rId2577" display="https://www.google.com/url?q=http://codeforces.com/problemset/gymProblem/101064/G&amp;sa=D&amp;ust=1605639553075000&amp;usg=AFQjCNHjSrdXBV6hBl8BeIYbvnSSwso0Xw" xr:uid="{C6501CD2-AADA-47DD-833E-2BEE65A91205}"/>
    <hyperlink ref="A3371" r:id="rId2578" display="https://www.google.com/url?q=http://codeforces.com/contest/263/problem/D&amp;sa=D&amp;ust=1605639553075000&amp;usg=AFQjCNHq-dCTjrbcNjRH4enr4UyXWp-GPQ" xr:uid="{47D916A1-A662-4DE8-AF59-258EEF2F73F6}"/>
    <hyperlink ref="A3372" r:id="rId2579" display="https://www.google.com/url?q=http://www.spoj.com/problems/CDOWN/&amp;sa=D&amp;ust=1605639553076000&amp;usg=AFQjCNEYiKDX0AoXqW8B9TxtCLyoTtNtHg" xr:uid="{E0338B33-1314-412B-8D4E-3CCB5C3CA70E}"/>
    <hyperlink ref="A3374" r:id="rId2580" display="https://www.google.com/url?q=http://codeforces.com/contest/219/problem/D&amp;sa=D&amp;ust=1605639553076000&amp;usg=AFQjCNHklTn3EAWqF_ylsv9ezPISQr22Ag" xr:uid="{0B271F9C-4D15-47C1-A713-45326F561193}"/>
    <hyperlink ref="A3375" r:id="rId2581" display="https://www.google.com/url?q=http://codeforces.com/gym/101484/problem/F&amp;sa=D&amp;ust=1605639553077000&amp;usg=AFQjCNEarn4q3IE_U_HAc8A70HQ0IsiWGQ" xr:uid="{5C04007C-62BC-4A95-A81D-5EA24CBFF443}"/>
    <hyperlink ref="D2097" r:id="rId2582" display="https://www.google.com/url?q=https://github.com/HosamEissa/Competitive-programming-/blob/master/Codeforces/CF101484-GYM-F.cpp&amp;sa=D&amp;ust=1605639553077000&amp;usg=AFQjCNGm-cx8FYPFTyr8Mx1yk0rmVUuDag" xr:uid="{879A433D-D228-4424-8A5D-7D4CF0AE2F53}"/>
    <hyperlink ref="A3376" r:id="rId2583" display="https://www.google.com/url?q=http://codeforces.com/contest/939/problem/D&amp;sa=D&amp;ust=1605639553078000&amp;usg=AFQjCNEiyYrrnlI_0acZ8Js2oV1xIjGdHg" xr:uid="{F9AAEA43-3D9D-402F-B6F5-332DC4B2F865}"/>
    <hyperlink ref="A3377" r:id="rId2584" display="https://www.google.com/url?q=https://codeforces.com/contest/1282/problem/E&amp;sa=D&amp;ust=1605639553078000&amp;usg=AFQjCNFrIMjlBNQX7LfJhvMT_ro0JnBi1w" xr:uid="{2B830B9A-8BBA-4957-8052-3E79E6AB7372}"/>
    <hyperlink ref="A3378" r:id="rId2585" display="https://www.google.com/url?q=http://codeforces.com/contest/194/problem/C&amp;sa=D&amp;ust=1605639553078000&amp;usg=AFQjCNFPbL0e68_iKnZlxJZVBWPa1kTkow" xr:uid="{2213FBE7-3CFD-4E8B-AAA9-F5E759CBB451}"/>
    <hyperlink ref="A3380" r:id="rId2586" display="https://www.google.com/url?q=http://codeforces.com/contest/378/problem/C&amp;sa=D&amp;ust=1605639553079000&amp;usg=AFQjCNG0O6LL6iEgZ6eDkj_168NXPDjO8g" xr:uid="{0ACD6882-BA82-41E6-B0A6-F60A0DEF3644}"/>
    <hyperlink ref="A3381" r:id="rId2587" display="https://www.google.com/url?q=https://uva.onlinejudge.org/index.php?option%3Donlinejudge%26page%3Dshow_problem%26problem%3D1054&amp;sa=D&amp;ust=1605639553079000&amp;usg=AFQjCNHI5CKegO2x-gzHxWMINgK1omAHaA" xr:uid="{C5D755CE-C97D-44B3-A0A8-55E334FDF6EE}"/>
    <hyperlink ref="A3382" r:id="rId2588" display="https://www.google.com/url?q=http://codeforces.com/contest/540/problem/C&amp;sa=D&amp;ust=1605639553080000&amp;usg=AFQjCNFaMGK2odXrOTAapnQj3HNRt_3K1w" xr:uid="{CC70A3D8-A99B-4963-A102-087486EF5185}"/>
    <hyperlink ref="A3383" r:id="rId2589" display="https://www.google.com/url?q=http://codeforces.com/contest/982/problem/C&amp;sa=D&amp;ust=1605639553081000&amp;usg=AFQjCNHviHsPFSKFPn5CiIKl4fR9OG-Row" xr:uid="{299C47CB-BE42-418B-BCFE-06021782D74B}"/>
    <hyperlink ref="D1374" r:id="rId2590" display="https://www.google.com/url?q=https://github.com/yazanKabbany/CompetitiveProgramming/blob/master/Timus/1437.cpp&amp;sa=D&amp;ust=1605639553082000&amp;usg=AFQjCNEH2zL9OakllXntfFJO-bOO0YxKcg" xr:uid="{B7DA2625-0FA6-4C49-B70F-1482D9894BFB}"/>
    <hyperlink ref="A3387" r:id="rId2591" display="https://www.google.com/url?q=http://codeforces.com/contest/742/problem/D&amp;sa=D&amp;ust=1605639553082000&amp;usg=AFQjCNEwCMxSQ9TtRprQqPq-z57uvojO6Q" xr:uid="{57401B13-0602-4D36-B601-6A3AC5B94490}"/>
    <hyperlink ref="A3388" r:id="rId2592" display="https://www.google.com/url?q=http://codeforces.com/contest/25/problem/C&amp;sa=D&amp;ust=1605639553083000&amp;usg=AFQjCNGwZZinZZ3X-qVFYEIcziZFvMef5A" xr:uid="{2337D89E-0E4F-453F-BD9C-B756DE03EE5C}"/>
    <hyperlink ref="A3389" r:id="rId2593" display="https://www.google.com/url?q=http://codeforces.com/contest/546/problem/C&amp;sa=D&amp;ust=1605639553083000&amp;usg=AFQjCNG0r9eDS2tMM480DYuUg9S7AnDQag" xr:uid="{E56A6386-80F5-49FB-8BCF-83E6568BF53B}"/>
    <hyperlink ref="A3390" r:id="rId2594" display="https://www.google.com/url?q=http://codeforces.com/contest/580/problem/C&amp;sa=D&amp;ust=1605639553084000&amp;usg=AFQjCNHA71F3TSy-Fq9JF5zYvgkzXI_wOQ" xr:uid="{D9A56959-7B07-4225-A740-22AF13C72B80}"/>
    <hyperlink ref="A3391" r:id="rId2595" display="https://www.google.com/url?q=http://codeforces.com/contest/116/problem/C&amp;sa=D&amp;ust=1605639553084000&amp;usg=AFQjCNF333U4Iw2koZaO8z3OG_zCJQNpYw" xr:uid="{B2369DAE-C9C5-4C13-910A-80949396679C}"/>
    <hyperlink ref="A3392" r:id="rId2596" display="https://www.google.com/url?q=http://codeforces.com/contest/216/problem/B&amp;sa=D&amp;ust=1605639553085000&amp;usg=AFQjCNGVT_tgkkIxXb3VcpIt-qkPVbAxgg" xr:uid="{657C9317-00E7-416A-A7FF-75AB4E0B2741}"/>
    <hyperlink ref="A3393" r:id="rId2597" display="https://www.google.com/url?q=http://codeforces.com/contest/327/problem/D&amp;sa=D&amp;ust=1605639553085000&amp;usg=AFQjCNFMGp5_Rn5NCZ_yLOHvlWfT-hEvrw" xr:uid="{F511BE0C-E9A6-4969-BCE0-366C6F425AE0}"/>
    <hyperlink ref="A3394" r:id="rId2598" display="https://www.google.com/url?q=http://codeforces.com/contest/979/problem/C&amp;sa=D&amp;ust=1605639553085000&amp;usg=AFQjCNEheXu14pRjcYBTrVcOn1IfTHAk8g" xr:uid="{35FCC046-E314-4F12-838A-A167D206C784}"/>
    <hyperlink ref="A3403" r:id="rId2599" display="https://www.google.com/url?q=http://codeforces.com/contest/382/problem/D&amp;sa=D&amp;ust=1605639553087000&amp;usg=AFQjCNGRq3vvjJ4CsIcIRWCvVUIpZJMNdA" xr:uid="{C6ED26A4-F510-4FBF-8487-69E2F1BA5858}"/>
    <hyperlink ref="A3404" r:id="rId2600" display="https://www.google.com/url?q=http://codeforces.com/contest/699/problem/D&amp;sa=D&amp;ust=1605639553088000&amp;usg=AFQjCNFB11-7OxK1SGpWMluKa36g-u8JcQ" xr:uid="{CBCFC042-17F2-43A9-8CDC-11672C2A4925}"/>
    <hyperlink ref="A3405" r:id="rId2601" display="https://www.google.com/url?q=http://codeforces.com/contest/682/problem/C&amp;sa=D&amp;ust=1605639553088000&amp;usg=AFQjCNER6XnJ6cgyUzpmtGBpTtc8tpJsew" xr:uid="{1C5157D9-D1FE-4F4D-8EB4-3A8515E16753}"/>
    <hyperlink ref="D338" r:id="rId2602" display="https://www.google.com/url?q=https://github.com/AhmedElsisy/CompetitiveProgramming/blob/master/SPOJ/SPOJ%2520LEXSTR.cpp&amp;sa=D&amp;ust=1605639553089000&amp;usg=AFQjCNGWUDeLwYvBMxfsjbJDlp0XCGFWNw" xr:uid="{B85C5646-A81A-44D0-AE3C-A8F5AD71929E}"/>
    <hyperlink ref="D345" r:id="rId2603" display="https://www.google.com/url?q=https://ideone.com/DiPcFo&amp;sa=D&amp;ust=1605639553093000&amp;usg=AFQjCNEtr1dZt6uXpoGyPVy-O6mtf-kdMg" xr:uid="{3677289A-145C-4790-A3EB-19420DE962D7}"/>
    <hyperlink ref="D346" r:id="rId2604" display="https://www.google.com/url?q=https://github.com/Maverick10/Competitive-Programming/blob/master/Solutions/UVa/UVa%2520-%252010687.cpp&amp;sa=D&amp;ust=1605639553093000&amp;usg=AFQjCNGCsA7tuRoVJkEGaosQ8d3Q7qyPtw" xr:uid="{5942AACD-B360-4052-9B4E-E15647B0139D}"/>
    <hyperlink ref="D5632" r:id="rId2605" display="https://www.google.com/url?q=https://apps.topcoder.com/forums/?module%3DThread%26threadID%3D662332%26start%3D0%26mc%3D17&amp;sa=D&amp;ust=1605639553095000&amp;usg=AFQjCNEYWERVgbDyaH2SzciBlATsn8vULw" xr:uid="{65189B1F-0DBE-409E-8742-84EA02619CED}"/>
    <hyperlink ref="A3423" r:id="rId2606" display="https://www.google.com/url?q=http://codeforces.com/contest/360/problem/E&amp;sa=D&amp;ust=1605639553096000&amp;usg=AFQjCNEmmUdw6ETM3jNFD_Nqzm3CNhUUpQ" xr:uid="{67F235C8-ED45-49DA-9D0F-E0220CA5C419}"/>
    <hyperlink ref="A3426" r:id="rId2607" display="https://www.google.com/url?q=http://codeforces.com/contest/827/problem/F&amp;sa=D&amp;ust=1605639553097000&amp;usg=AFQjCNGua4A9KQLaGK1pshe1d7EA020ymA" xr:uid="{18CA9195-238C-4317-8D10-00778AFE8969}"/>
    <hyperlink ref="A3427" r:id="rId2608" display="https://www.google.com/url?q=https://www.codechef.com/problems/CROCDILE&amp;sa=D&amp;ust=1605639553097000&amp;usg=AFQjCNF-O06-J1AMP4e2tyn3ymPqcXLH6Q" xr:uid="{05604967-1B71-4F1B-B3CF-DD937C05A8F2}"/>
    <hyperlink ref="A3430" r:id="rId2609" display="https://www.google.com/url?q=http://codeforces.com/contest/913/problem/E&amp;sa=D&amp;ust=1605639553099000&amp;usg=AFQjCNFu3r4iFZ1yL6nxUhFCvTI4Cy_wmg" xr:uid="{CED0D2B8-BEA6-4A74-AF77-13296E2D18CF}"/>
    <hyperlink ref="A3432" r:id="rId2610" display="https://www.google.com/url?q=https://onlinejudge.org/index.php?option%3Donlinejudge%26Itemid%3D8%26page%3Dshow_problem%26problem%3D1207&amp;sa=D&amp;ust=1605639553099000&amp;usg=AFQjCNGb0zpesZCtT4IOKllhOStvVjkatw" xr:uid="{85869501-D2EA-457A-9ACA-412BA016C177}"/>
    <hyperlink ref="A3433" r:id="rId2611" display="https://www.google.com/url?q=https://onlinejudge.org/index.php?option%3Donlinejudge%26Itemid%3D8%26page%3Dshow_problem%26problem%3D4659&amp;sa=D&amp;ust=1605639553100000&amp;usg=AFQjCNH6M4_Mj-bkXnqVdgabTlBNee-29w" xr:uid="{DE99B9A4-ED23-43AB-82A7-75A90A49A8A5}"/>
    <hyperlink ref="A3435" r:id="rId2612" display="https://www.google.com/url?q=http://codeforces.com/contest/715/problem/B&amp;sa=D&amp;ust=1605639553100000&amp;usg=AFQjCNGOg5EHw5TQ2anqNf_bEOB5G1npzA" xr:uid="{85B4D735-87C5-4E59-9A93-464AB2037E15}"/>
    <hyperlink ref="A3436" r:id="rId2613" display="https://www.google.com/url?q=http://codeforces.com/contest/141/problem/D&amp;sa=D&amp;ust=1605639553101000&amp;usg=AFQjCNF3OCCu8BnoMqh0TaJ1stRyBkTcVA" xr:uid="{D456260F-6E45-4574-93E5-46FDDAFE45E2}"/>
    <hyperlink ref="D3664" r:id="rId2614" display="https://www.google.com/url?q=https://github.com/mostafa-saad/MyCompetitiveProgramming/blob/master/Codeforces/CF141-D2-D.txt&amp;sa=D&amp;ust=1605639553101000&amp;usg=AFQjCNF-8yp2aoKVIEt5oWVSZO1UCZgD2A" xr:uid="{9458A7D5-5A50-4D26-B576-068005A168DE}"/>
    <hyperlink ref="D3422" r:id="rId2615" display="https://www.google.com/url?q=https://github.com/mostafa-saad/MyCompetitiveProgramming/blob/master/UVA/UVA_11883.txt&amp;sa=D&amp;ust=1605639553102000&amp;usg=AFQjCNHCEUVncm3To7JZLN3-u7Q8kTX6KQ" xr:uid="{66D64800-2448-46B6-B156-746B3BCEA8B2}"/>
    <hyperlink ref="A3439" r:id="rId2616" display="https://www.google.com/url?q=http://codeforces.com/contest/567/problem/E&amp;sa=D&amp;ust=1605639553102000&amp;usg=AFQjCNE6Wvl1YsybqXCCtJmiZ0Qv7IcINQ" xr:uid="{84DFD1BE-D371-4C7E-8836-ED355A2D6DB7}"/>
    <hyperlink ref="A3441" r:id="rId2617" display="https://www.google.com/url?q=http://codeforces.com/contest/553/problem/D&amp;sa=D&amp;ust=1605639553103000&amp;usg=AFQjCNHWCN4Aic7bTQxfTsZqXcGwG8jF0g" xr:uid="{C2801632-4397-4D75-80CA-18E350FB837F}"/>
    <hyperlink ref="A3443" r:id="rId2618" display="https://www.google.com/url?q=https://icpcarchive.ecs.baylor.edu/index.php?option%3Dcom_onlinejudge%26Itemid%3D8%26page%3Dshow_problem%26problem%3D3865&amp;sa=D&amp;ust=1605639553104000&amp;usg=AFQjCNEnhGYeSD77zphHsO-JeQJ77fbPtQ" xr:uid="{996C1F9C-A8E9-4E85-9A77-F184D4C737D9}"/>
    <hyperlink ref="D3427" r:id="rId2619" display="https://www.google.com/url?q=https://github.com/tmwilliamlin168/CompetitiveProgramming/blob/master/LiveArchive/5854.cpp&amp;sa=D&amp;ust=1605639553104000&amp;usg=AFQjCNF08kySBeEK-ZgJfGLTSf3L05eODg" xr:uid="{FBD2D2F3-B0D9-42BE-8D96-B1B9382A842E}"/>
    <hyperlink ref="D2864" r:id="rId2620" display="https://www.google.com/url?q=https://github.com/ilyesG/Competitive-Programming/blob/master/TopCoder/SRM626-D2-1000.cpp&amp;sa=D&amp;ust=1605639553106000&amp;usg=AFQjCNE3Zisk6oEl_YeF2KLZWjFH6p1HOA" xr:uid="{1BB58972-2130-4191-8F11-55F40BCC0D05}"/>
    <hyperlink ref="A3450" r:id="rId2621" display="https://www.google.com/url?q=http://codeforces.com/gym/101666&amp;sa=D&amp;ust=1605639553107000&amp;usg=AFQjCNGAI1QKaf2nV0t5B61G_M1kj1zXEw" xr:uid="{3507BFF8-89DC-4D0E-9480-7B47A3EA5A10}"/>
    <hyperlink ref="D2756" r:id="rId2622" display="https://www.google.com/url?q=https://github.com/stefdasca/CompetitiveProgramming/blob/master/Codeforces/Gym/CF101666-gym-D.cpp&amp;sa=D&amp;ust=1605639553107000&amp;usg=AFQjCNEKFyjMX39x6QHhzlVhDROFd1CRaA" xr:uid="{14B2E5CD-1FF9-4237-92D3-4769A8AADA68}"/>
    <hyperlink ref="D2757" r:id="rId2623" display="https://www.google.com/url?q=https://github.com/mostafa-saad/MyCompetitiveProgramming/blob/master/UVA/UVA_10740.txt&amp;sa=D&amp;ust=1605639553107000&amp;usg=AFQjCNGFDpTMVyvqRnIClfHDC1j44CwfKQ" xr:uid="{F20B7D04-C766-4644-ADAB-3B9CA2DC3444}"/>
    <hyperlink ref="D2759" r:id="rId2624" display="https://www.google.com/url?q=https://ideone.com/x8zpRc&amp;sa=D&amp;ust=1605639553108000&amp;usg=AFQjCNHzzqOmWJtmS21BHUtDXJ5LLeXA6w" xr:uid="{22E98F0F-1D25-4CD9-BBDA-864FA2B2AAC7}"/>
    <hyperlink ref="A3454" r:id="rId2625" display="https://www.google.com/url?q=http://codeforces.com/problemset/gymProblem/100812/G&amp;sa=D&amp;ust=1605639553108000&amp;usg=AFQjCNFDr48dM1wTbAZr8R-dq7_BcO-JZA" xr:uid="{8F29B6B8-DB84-4897-B29E-D3A5C10CD8B9}"/>
    <hyperlink ref="D2760" r:id="rId2626" display="https://www.google.com/url?q=https://github.com/mostafa-saad/MyCompetitiveProgramming/blob/master/Codeforces/CF100182-GYM-G.txt&amp;sa=D&amp;ust=1605639553109000&amp;usg=AFQjCNGrVOrn1kYNj3pec4qncdSQzOgK5A" xr:uid="{1659E558-CFA5-4698-B98C-5B979CBDE9CF}"/>
    <hyperlink ref="A3457" r:id="rId2627" display="https://www.google.com/url?q=http://codeforces.com/contest/96/problem/D&amp;sa=D&amp;ust=1605639553110000&amp;usg=AFQjCNF38nDRPoHCphedjlurlNA2O98INw" xr:uid="{8E6A1042-E16D-4B29-BE7E-3C2D616D07F9}"/>
    <hyperlink ref="D2100" r:id="rId2628" display="https://www.google.com/url?q=https://github.com/ilyesG/Competitive-Programming/blob/master/UVA/UVA%252012047.cpp&amp;sa=D&amp;ust=1605639553110000&amp;usg=AFQjCNGIPVUvUH7wP4HNwMRrsE0GAE9svw" xr:uid="{645EACF0-B14D-41C0-B38D-9DAD1787A423}"/>
    <hyperlink ref="A3459" r:id="rId2629" display="https://www.google.com/url?q=http://codeforces.com/contest/1076/problem/D&amp;sa=D&amp;ust=1605639553110000&amp;usg=AFQjCNGh3Rr7k9O00hmKSLLGd5iFs4QwdA" xr:uid="{FB2FF19B-4F74-4F27-BDFE-048847F2A740}"/>
    <hyperlink ref="D2102" r:id="rId2630" display="https://www.google.com/url?q=https://github.com/BRAINOOO/CompetitiveProgramming/blob/master/UVA/V-116/UVA%252011635.Cpp&amp;sa=D&amp;ust=1605639553111000&amp;usg=AFQjCNFixiNAgEOLDQqkCKFng5wTgDm23Q" xr:uid="{4130A770-850C-4626-B0A2-7B20AE5E1982}"/>
    <hyperlink ref="A3461" r:id="rId2631" display="https://www.google.com/url?q=http://codeforces.com/gym/100959&amp;sa=D&amp;ust=1605639553111000&amp;usg=AFQjCNFaAjkTFHasablF_xJX5Wm958R2mw" xr:uid="{F6EEF4D6-F7B9-41C2-9D57-D48ABD38BCB2}"/>
    <hyperlink ref="A3462" r:id="rId2632" display="https://www.google.com/url?q=http://codeforces.com/contest/450/problem/D&amp;sa=D&amp;ust=1605639553112000&amp;usg=AFQjCNFYvTrbNLkKrao5b8kJwB-zXstf3A" xr:uid="{42FBA36D-62A8-4AE1-AE55-D73189373D8F}"/>
    <hyperlink ref="D2105" r:id="rId2633" display="https://www.google.com/url?q=https://github.com/Maverick10/Competitive-Programming/blob/master/Solutions/UVa/UVa%2520-%252010758.cpp&amp;sa=D&amp;ust=1605639553112000&amp;usg=AFQjCNHa7UK7WYMAXKXuGDMCOqcRotmPjA" xr:uid="{1A4EC80C-2F20-41F3-964F-6431F432D443}"/>
    <hyperlink ref="D2109" r:id="rId2634" display="https://www.google.com/url?q=https://www.youtube.com/watch?v%3DMR5APvYis-o%26feature%3Dyoutu.be&amp;sa=D&amp;ust=1605639553115000&amp;usg=AFQjCNGJeyrNX_zms5EvgbGleHWTGrR0BQ" xr:uid="{93730747-0224-4544-8A0E-015B807B5BDD}"/>
    <hyperlink ref="D2110" r:id="rId2635" display="https://www.google.com/url?q=https://github.com/Maverick10/Competitive-Programming/blob/master/Solutions/UVa/UVa%2520-%252012144.cpp&amp;sa=D&amp;ust=1605639553115000&amp;usg=AFQjCNHrbnOOLZ8EOZCjeRraHMD6zepdGw" xr:uid="{628F57F2-70D7-493F-A9EF-211E9C766095}"/>
    <hyperlink ref="A3469" r:id="rId2636" display="https://www.google.com/url?q=http://codeforces.com/problemset/problem/938/D&amp;sa=D&amp;ust=1605639553115000&amp;usg=AFQjCNHWcGy4Ad-_R7S0epWm0GuFcBwWYQ" xr:uid="{15087C36-5CD0-408B-9B14-4C0C7142BBEF}"/>
    <hyperlink ref="A3470" r:id="rId2637" display="https://www.google.com/url?q=http://codeforces.com/contest/507/problem/E&amp;sa=D&amp;ust=1605639553116000&amp;usg=AFQjCNEd9_MGD9oMuC_tFb8Wbp2958V_dQ" xr:uid="{CC255EBB-7210-4DFB-BBA6-A88DB36A7110}"/>
    <hyperlink ref="A3471" r:id="rId2638" display="https://www.google.com/url?q=http://arc064.contest.atcoder.jp/tasks/arc064_c&amp;sa=D&amp;ust=1605639553116000&amp;usg=AFQjCNFzbL6R2q4XRKE5ijrXK8sVngTJEg" xr:uid="{94611CD1-11D6-4399-99F4-8FACA6474E2F}"/>
    <hyperlink ref="A3472" r:id="rId2639" display="https://www.google.com/url?q=http://www.spoj.com/problems/MELE3/&amp;sa=D&amp;ust=1605639553116000&amp;usg=AFQjCNHmKgNxQ_22fw200TIep61AKrYFIg" xr:uid="{8D659AAC-390F-4073-9988-2D6AF69F9014}"/>
    <hyperlink ref="D1377" r:id="rId2640" display="https://www.google.com/url?q=https://github.com/VAMPIER000001/CompetitiveProgramming/blob/a5d714fa4de45e50f87306d421ec6c3c02026f76/Spoj/SPOJ%2520MELE3.Cpp&amp;sa=D&amp;ust=1605639553116000&amp;usg=AFQjCNFrEGrjwCg1i3sFloAwuQOP6rudKg" xr:uid="{8ED07B64-76A3-4C27-841A-E5D36037A9E1}"/>
    <hyperlink ref="A3473" r:id="rId2641" display="https://www.google.com/url?q=http://www.spoj.com/problems/ROADS/en/&amp;sa=D&amp;ust=1605639553117000&amp;usg=AFQjCNE_9P-C6bpX65lay23o_ZtCz6wAdA" xr:uid="{E3FA6790-985D-4373-895C-7ABEE39B6131}"/>
    <hyperlink ref="D1378" r:id="rId2642" display="https://www.google.com/url?q=https://github.com/mostafa-saad/MyCompetitiveProgramming/blob/master/SPOJ/SPOJ_ROADS.txt&amp;sa=D&amp;ust=1605639553117000&amp;usg=AFQjCNEvz-V0AryHJllsO5JmQzoeZ2Mwuw" xr:uid="{68EDC409-FF10-4419-98C0-75AF0A93AB3A}"/>
    <hyperlink ref="A3476" r:id="rId2643" display="https://www.google.com/url?q=http://codeforces.com/contest/144/problem/D&amp;sa=D&amp;ust=1605639553117000&amp;usg=AFQjCNEwVjRFihCPnTcbCPl1YUiQo-yMIA" xr:uid="{BDD2823C-35E7-46CA-BC54-9AD048F8FCB6}"/>
    <hyperlink ref="A3479" r:id="rId2644" display="https://www.google.com/url?q=https://uva.onlinejudge.org/index.php?option%3Donlinejudge%26page%3Dshow_problem%26problem%3D1742&amp;sa=D&amp;ust=1605639553118000&amp;usg=AFQjCNF8LRbyjtpDwTEf7wIzjS4lpP62yA" xr:uid="{18D18E86-D6EC-4580-84A2-49E5ECBC9DB9}"/>
    <hyperlink ref="A3480" r:id="rId2645" display="https://www.google.com/url?q=https://uva.onlinejudge.org/index.php?option%3Dcom_onlinejudge%26Itemid%3D8%26page%3Dshow_problem%26problem%3D277&amp;sa=D&amp;ust=1605639553118000&amp;usg=AFQjCNFlyGtf91p9dbDY-pMIgLum0nV7Xg" xr:uid="{A7991091-6AE8-4130-9FAF-C7E33A04D147}"/>
    <hyperlink ref="A3481" r:id="rId2646" display="https://www.google.com/url?q=https://uva.onlinejudge.org/index.php?option%3Dcom_onlinejudge%26Itemid%3D8%26page%3Dshow_problem%26problem%3D370&amp;sa=D&amp;ust=1605639553118000&amp;usg=AFQjCNGFiXhARNdlJTgMylcxpIRE5Rvgvg" xr:uid="{2721DB54-7C97-4F6C-A803-52C4D9A2B68F}"/>
    <hyperlink ref="A3483" r:id="rId2647" display="https://www.google.com/url?q=http://www.spoj.com/problems/GONDOR/&amp;sa=D&amp;ust=1605639553119000&amp;usg=AFQjCNEvzJkRx7r0WQJke_P-Nob3zkhDuQ" xr:uid="{5C198C59-48B1-4BBF-8C11-F1B0DF00CB88}"/>
    <hyperlink ref="D1386" r:id="rId2648" display="https://www.google.com/url?q=https://github.com/VAMPIER000001/CompetitiveProgramming/blob/master/Spoj/SPOJ%2520GONDOR.Cpp&amp;sa=D&amp;ust=1605639553119000&amp;usg=AFQjCNHWN6hqgbdqmB5CVVH7Aug5s6egLw" xr:uid="{D5091418-DE2C-4920-B9A1-C57BAE9B3085}"/>
    <hyperlink ref="A3484" r:id="rId2649" display="https://www.google.com/url?q=https://www.codechef.com/problems/CLIQUED&amp;sa=D&amp;ust=1605639553120000&amp;usg=AFQjCNGIpC5bhTUxMjxNVTU4oZ_L04Mz_w" xr:uid="{3C28E95A-467C-44EE-BD05-E62496863920}"/>
    <hyperlink ref="A3485" r:id="rId2650" display="https://www.google.com/url?q=https://www.hackerrank.com/challenges/synchronous-shopping&amp;sa=D&amp;ust=1605639553120000&amp;usg=AFQjCNEdDIhbR9pT1pmlRYW1w7N_EH4QAQ" xr:uid="{44640403-D054-4084-8BE3-81CB29160C45}"/>
    <hyperlink ref="A3488" r:id="rId2651" display="https://www.google.com/url?q=https://uva.onlinejudge.org/index.php?option%3Dcom_onlinejudge%26Itemid%3D8%26page%3Dshow_problem%26problem%3D703&amp;sa=D&amp;ust=1605639553121000&amp;usg=AFQjCNED1n8EtxHKm5CWH479ZZlfKM7I8g" xr:uid="{3984276D-BBAD-43A5-B7B3-F1F3E4A30CEE}"/>
    <hyperlink ref="D998" r:id="rId2652" display="https://www.google.com/url?q=https://github.com/magdy-hasan/competitive-programming/blob/master/uva-/uva%252011813%2520-%2520Shopping.cpp&amp;sa=D&amp;ust=1605639553122000&amp;usg=AFQjCNF24eUwfO5IQNeX6ESFI7fS8dPnpQ" xr:uid="{505E672D-E957-417A-B9FF-DA2BB0A429AA}"/>
    <hyperlink ref="D999" r:id="rId2653" display="https://www.google.com/url?q=https://github.com/AbdelrahmanRamadan/competitive-programming/blob/master/Topcoder/SRM368%2520Jumping%2520Board.cpp&amp;sa=D&amp;ust=1605639553123000&amp;usg=AFQjCNEWr5r7o4Rk9EgK9lZXri4JacICVA" xr:uid="{04029CC5-0B46-4179-8AA8-ED33B7C36E94}"/>
    <hyperlink ref="A3492" r:id="rId2654" display="https://www.google.com/url?q=http://www.spoj.com/problems/HIGHWAYS/&amp;sa=D&amp;ust=1605639553123000&amp;usg=AFQjCNFu3jCHEpek1gQTbeKlihCapAyScw" xr:uid="{64C94857-6E54-45B9-A8BF-887D9FF62FF0}"/>
    <hyperlink ref="A3494" r:id="rId2655" display="https://www.google.com/url?q=http://www.spoj.com/problems/SHOP/&amp;sa=D&amp;ust=1605639553124000&amp;usg=AFQjCNHuGmuKQszC3_WcWXTNYBoiFBkWnw" xr:uid="{1AC4D2B6-12B9-4D75-B2BD-CF8AE432458C}"/>
    <hyperlink ref="A3495" r:id="rId2656" display="https://www.google.com/url?q=https://uva.onlinejudge.org/index.php?option%3Dcom_onlinejudge%26Itemid%3D8%26page%3Dshow_problem%26problem%3D1927&amp;sa=D&amp;ust=1605639553124000&amp;usg=AFQjCNEczrOjKBZldfnSILmVwtOiwukYUw" xr:uid="{F8862338-7911-48D3-B54C-A046405340C4}"/>
    <hyperlink ref="A3504" r:id="rId2657" display="https://www.google.com/url?q=http://codeforces.com/contest/444/problem/E&amp;sa=D&amp;ust=1605639553127000&amp;usg=AFQjCNHbsGEszVZ3ls0cSGM-D4L4-MFJ5A" xr:uid="{ADD04458-B357-45ED-8DEB-A5A8AAFDD535}"/>
    <hyperlink ref="A3505" r:id="rId2658" display="https://www.google.com/url?q=http://codeforces.com/contest/36/problem/E&amp;sa=D&amp;ust=1605639553128000&amp;usg=AFQjCNFeJipYyz6FJ5u5yfS7NfYOQnv5Cg" xr:uid="{7F1487DA-7650-41DD-A229-9ADF6A7A7467}"/>
    <hyperlink ref="A3506" r:id="rId2659" display="https://www.google.com/url?q=http://codeforces.com/contest/46/problem/F&amp;sa=D&amp;ust=1605639553128000&amp;usg=AFQjCNFamKcdmgEY2-nRikGoZjlQ20t8Cw" xr:uid="{1DD09CC5-5E75-489A-B04D-AD1E46FA8030}"/>
    <hyperlink ref="A3507" r:id="rId2660" display="https://www.google.com/url?q=http://codeforces.com/contest/92/problem/E&amp;sa=D&amp;ust=1605639553128000&amp;usg=AFQjCNFW6pK2JUYcFI_QiasPLNUxc98rSA" xr:uid="{8E78175F-6F68-4D42-903F-499096D5AD4A}"/>
    <hyperlink ref="A3508" r:id="rId2661" display="https://www.google.com/url?q=https://codeforces.com/contest/1236/problem/E&amp;sa=D&amp;ust=1605639553129000&amp;usg=AFQjCNGvoHJj2w7llJnX7mcKfcrbTXbFHg" xr:uid="{401B7E8C-11D9-460E-A35C-57FCC61F786B}"/>
    <hyperlink ref="A3509" r:id="rId2662" display="https://www.google.com/url?q=http://codeforces.com/contest/875/problem/F&amp;sa=D&amp;ust=1605639553129000&amp;usg=AFQjCNF7q0r_XX4CnEG0dvoTC1D6xdIXtg" xr:uid="{90E3AC5F-DE8F-46DA-9789-10CEDDBDD5C3}"/>
    <hyperlink ref="A3510" r:id="rId2663" display="https://www.google.com/url?q=http://codeforces.com/contest/87/problem/D&amp;sa=D&amp;ust=1605639553129000&amp;usg=AFQjCNFgzf1za-CJaAU2ka7N7LaM_dls_A" xr:uid="{43BA5F8D-2372-46F9-8BE3-7181534FCB92}"/>
    <hyperlink ref="A3511" r:id="rId2664" display="https://www.google.com/url?q=https://codeforces.com/gym/101194/problem/G&amp;sa=D&amp;ust=1605639553130000&amp;usg=AFQjCNH5ZRrIY4CQ2VoE3797gSyKepSkQQ" xr:uid="{75D9552F-6D64-4B0D-BC9A-29D9D56D02C6}"/>
    <hyperlink ref="D4858" r:id="rId2665" display="https://www.google.com/url?q=https://github.com/nya-nya-meow/CompetitiveProgramming/blob/master/CodeForces/CF101194-GYM-G%2520-%2520Pandaria.cpp&amp;sa=D&amp;ust=1605639553130000&amp;usg=AFQjCNEYn1W9jok92HhD_FS7-yrQXuCRuw" xr:uid="{0E41CF98-DBD6-423E-A8E1-B6C472A121AF}"/>
    <hyperlink ref="A3512" r:id="rId2666" display="https://www.google.com/url?q=https://www.e-olymp.com/en/problems/3077&amp;sa=D&amp;ust=1605639553130000&amp;usg=AFQjCNHCHeArzYxSj1Edv8AmJAgEPL8Gzg" xr:uid="{4255BC9F-D861-4FE6-8006-72468C517681}"/>
    <hyperlink ref="A3515" r:id="rId2667" display="https://www.google.com/url?q=http://codeforces.com/contest/687/problem/D&amp;sa=D&amp;ust=1605639553131000&amp;usg=AFQjCNF5WsakynLOip1fFDd1thunaHqrfA" xr:uid="{D62702D9-7247-46B1-AE52-D62221B9FD23}"/>
    <hyperlink ref="A3516" r:id="rId2668" display="https://www.google.com/url?q=http://codeforces.com/contest/156/problem/D&amp;sa=D&amp;ust=1605639553132000&amp;usg=AFQjCNFzcU9NMB6vhAadsQmhfQM8gBX2_w" xr:uid="{2EFCF533-0DD8-4069-A7A3-03ECA7A18536}"/>
    <hyperlink ref="A3517" r:id="rId2669" display="https://www.google.com/url?q=http://codeforces.com/contest/884/problem/E&amp;sa=D&amp;ust=1605639553133000&amp;usg=AFQjCNG3YahgssBKypA9Hh-h7bGtV79SzA" xr:uid="{EC4821A3-AA58-433F-974B-F5A4A465FED2}"/>
    <hyperlink ref="A3518" r:id="rId2670" display="https://www.google.com/url?q=https://codeforces.com/contest/1166/problem/F&amp;sa=D&amp;ust=1605639553133000&amp;usg=AFQjCNGkhRKRRXKGAcEtRSMLetlX17ga4g" xr:uid="{0CD21CFB-FAFE-4354-B4F4-6B5EA66469F8}"/>
    <hyperlink ref="A3519" r:id="rId2671" display="https://www.google.com/url?q=https://agc012.contest.atcoder.jp/tasks/agc012_d&amp;sa=D&amp;ust=1605639553134000&amp;usg=AFQjCNFpy-KSNqyJdy795JAdoHvuZ8gnFg" xr:uid="{747A1B4B-60BC-4BCA-9832-243356C13B06}"/>
    <hyperlink ref="D4236" r:id="rId2672" display="https://www.google.com/url?q=https://github.com/MetalBall887/Competitive-Programming/blob/master/AtCoder/AtCoder012-AGC-D.cpp&amp;sa=D&amp;ust=1605639553134000&amp;usg=AFQjCNEzAvS1crFNjYwopscfFDbK9kE4NQ" xr:uid="{42DA2784-1706-40FE-A132-6BBEB65A0E95}"/>
    <hyperlink ref="A3520" r:id="rId2673" display="https://www.google.com/url?q=http://codeforces.com/contest/1074/problem/D&amp;sa=D&amp;ust=1605639553134000&amp;usg=AFQjCNHm8uGtbhXs4BLB_j61dMMcymoSRw" xr:uid="{D986CF5B-8EE3-403B-B43F-BB4F21884F77}"/>
    <hyperlink ref="A3521" r:id="rId2674" display="https://www.google.com/url?q=http://codeforces.com/contest/60/problem/D&amp;sa=D&amp;ust=1605639553135000&amp;usg=AFQjCNFrpt5wfSBORnzpGJUJ8lyCAjJCOg" xr:uid="{8CC2989A-C26F-4106-ACFC-BEA4971496B9}"/>
    <hyperlink ref="D4238" r:id="rId2675" display="https://www.google.com/url?q=https://github.com/farmerboy95/CompetitiveProgramming/blob/master/Codeforces/CF60-D12-D.cpp&amp;sa=D&amp;ust=1605639553135000&amp;usg=AFQjCNEwyneHz8kh_HqEc_XopgVSw0aK2g" xr:uid="{FAACEFCF-A23C-4E59-AD88-7322F7AFC5B5}"/>
    <hyperlink ref="A3522" r:id="rId2676" display="https://www.google.com/url?q=https://www.hackerrank.com/contests/world-codesprint-13/challenges/landslide&amp;sa=D&amp;ust=1605639553136000&amp;usg=AFQjCNHO70X6KNA-Bxnf0NNbj52-XX0q1g" xr:uid="{303F3EA8-2FCC-4FE2-8280-777434047DF8}"/>
    <hyperlink ref="D4239" r:id="rId2677" display="https://www.google.com/url?q=https://github.com/tmwilliamlin168/CompetitiveProgramming/blob/master/Hackerrank/landslide.cpp&amp;sa=D&amp;ust=1605639553136000&amp;usg=AFQjCNEySWeQvAc3Tvw9ztwZqSILHujFig" xr:uid="{3F2A572D-459C-40FF-8753-B6E5F27604D2}"/>
    <hyperlink ref="A3523" r:id="rId2678" display="https://www.google.com/url?q=http://codeforces.com/contest/723/problem/F&amp;sa=D&amp;ust=1605639553136000&amp;usg=AFQjCNGgyjIZmjpGvqBhzGI93y1wAKgFdQ" xr:uid="{8EFF7B15-3D68-4CBA-B9B1-9839284F7EAC}"/>
    <hyperlink ref="A3524" r:id="rId2679" display="https://www.google.com/url?q=http://codeforces.com/contest/160/problem/D&amp;sa=D&amp;ust=1605639553137000&amp;usg=AFQjCNGcXAEoxvni8r_F9Qo7_UIkZfMoAw" xr:uid="{B858F199-8B43-40B0-9ACB-F40ECB58D4AD}"/>
    <hyperlink ref="A3525" r:id="rId2680" display="https://www.google.com/url?q=http://codeforces.com/contest/915/problem/F&amp;sa=D&amp;ust=1605639553137000&amp;usg=AFQjCNFLonM7MSkK6rkZ6QOOKZHXw36asA" xr:uid="{721C80A9-A4F7-42E9-BEED-3402C2993A5A}"/>
    <hyperlink ref="A3526" r:id="rId2681" display="https://www.google.com/url?q=http://codeforces.com/contest/260/problem/D&amp;sa=D&amp;ust=1605639553138000&amp;usg=AFQjCNEEaNnhR4ceb3PPXNBrSHr9OiWhzQ" xr:uid="{BBF446D8-FDC5-4372-81D7-9329B383BEE0}"/>
    <hyperlink ref="A3527" r:id="rId2682" display="https://www.google.com/url?q=https://www.hackerrank.com/contests/moodys-analytics-2018-university-codesprint/challenges/brokers-predictions&amp;sa=D&amp;ust=1605639553138000&amp;usg=AFQjCNFJ9CpKGlE9yyOpO8oaEESvR8osfw" xr:uid="{85C202EF-0812-48BB-BF71-2958F41E2F9C}"/>
    <hyperlink ref="D3850" r:id="rId2683" display="https://www.google.com/url?q=https://github.com/SpeedOfMagic/CompetitiveProgramming/blob/master/MAUC/18-brokers-prediction.cpp&amp;sa=D&amp;ust=1605639553138000&amp;usg=AFQjCNGXciDXNxMVwGh8rME50x1fm-ahPA" xr:uid="{C7600D83-8EF5-4F3F-BDC6-3DDEACB66AD6}"/>
    <hyperlink ref="A3528" r:id="rId2684" display="https://www.google.com/url?q=http://codeforces.com/contest/1040/problem/E&amp;sa=D&amp;ust=1605639553139000&amp;usg=AFQjCNEw5rSQWUZGBrd2CyUjIZXVVLM8Tw" xr:uid="{37B14D7A-A1ED-43B2-9B98-BE199EA573BF}"/>
    <hyperlink ref="A3529" r:id="rId2685" display="https://www.google.com/url?q=http://codeforces.com/gym/101669/problem/D&amp;sa=D&amp;ust=1605639553139000&amp;usg=AFQjCNGbwusxr7lME1VWZarOGZw5rJeJoQ" xr:uid="{A37B9BFE-1FA8-4E75-BC45-74FD27182518}"/>
    <hyperlink ref="D3665" r:id="rId2686" display="https://www.google.com/url?q=https://github.com/swapnil119/CompetitiveProgramming/blob/master/CompetitiveProgramming/Codeforces/CF101669-GYM-D.cpp&amp;sa=D&amp;ust=1605639553140000&amp;usg=AFQjCNG9D9UESP8bRXN01RsDdWKu56qyYQ" xr:uid="{4B6841D6-7183-47CC-987D-253DB8796B18}"/>
    <hyperlink ref="A3530" r:id="rId2687" display="https://www.google.com/url?q=https://codeforces.com/gym/102299/problem/G&amp;sa=D&amp;ust=1605639553140000&amp;usg=AFQjCNFUkYgYipOyFhqvf-pb7WAPKweMRA" xr:uid="{C9CD7F19-693F-4D8D-8C6C-72979602AA39}"/>
    <hyperlink ref="D3433" r:id="rId2688" display="https://www.google.com/url?q=https://github.com/YazanZebak/CompetitiveProgramming/blob/master/Codeforces/CF102299-GYM-G.cpp&amp;sa=D&amp;ust=1605639553140000&amp;usg=AFQjCNFWPLbPLYYtqOkmslZH-ydJO7FCVw" xr:uid="{5DA7654F-2BB9-4D27-8E43-6122E25359A8}"/>
    <hyperlink ref="D3434" r:id="rId2689" display="https://www.google.com/url?q=https://github.com/achrafmam2/CompetitiveProgramming/blob/master/SPOJ/CHAIN.cc&amp;sa=D&amp;ust=1605639553141000&amp;usg=AFQjCNGWVqx1dYc1jE-j1zpCv0pG-jrQlw" xr:uid="{ECE7D67E-D0E3-4D8B-8870-A188C9A701F1}"/>
    <hyperlink ref="D3435" r:id="rId2690" display="https://www.google.com/url?q=https://github.com/mostafa-saad/MyCompetitiveProgramming/blob/master/Timus/TIMUS_1682.txt&amp;sa=D&amp;ust=1605639553141000&amp;usg=AFQjCNGALby_Ohi3bTvoG-KqpG4j2zIibQ" xr:uid="{7C7075AC-E142-4CE2-977F-3D5BFE62A7E7}"/>
    <hyperlink ref="D3437" r:id="rId2691" display="https://www.google.com/url?q=https://github.com/Maverick10/Competitive-Programming/blob/master/Solutions/SPOJ/SPOJ%2520INVENT.cpp&amp;sa=D&amp;ust=1605639553142000&amp;usg=AFQjCNEBHXEQlBf6pdpgVO-mNX5qAvJOJA" xr:uid="{E7138EE1-5959-44BB-82A5-F6DF33052D1C}"/>
    <hyperlink ref="D3438" r:id="rId2692" display="https://www.google.com/url?q=https://github.com/AMR-KELEG/Competitive-Programming/blob/master/ICPC-Archive/8028.cpp&amp;sa=D&amp;ust=1605639553143000&amp;usg=AFQjCNFBVaW-KZDeAk4IuU_dyHqBhgrKFw" xr:uid="{0FEB0B51-4027-4C32-94B0-937800BDF2D2}"/>
    <hyperlink ref="A3543" r:id="rId2693" display="https://www.google.com/url?q=http://codeforces.com/contest/433/problem/D&amp;sa=D&amp;ust=1605639553143000&amp;usg=AFQjCNEPCwgqEwv16lCtdh1fskOudnQ37g" xr:uid="{28A2C7DF-940D-4DD9-8461-34829C2A8292}"/>
    <hyperlink ref="A3544" r:id="rId2694" display="https://www.google.com/url?q=http://codeforces.com/contest/366/problem/D&amp;sa=D&amp;ust=1605639553145000&amp;usg=AFQjCNH9zvgj2cn3C3CIpVE6uW0LoOUm5w" xr:uid="{DC4C2FEA-8388-44B4-9B5B-144DB810E41C}"/>
    <hyperlink ref="A3545" r:id="rId2695" display="https://www.google.com/url?q=https://codeforces.com/contest/1243/problem/D&amp;sa=D&amp;ust=1605639553145000&amp;usg=AFQjCNE6sig1eAuE-KNMsuRHjbnpSWYVBg" xr:uid="{34169742-1E7D-441C-9AEC-199F56A11207}"/>
    <hyperlink ref="D2914" r:id="rId2696" display="https://www.google.com/url?q=https://github.com/farmerboy95/CompetitiveProgramming/blob/master/Codeforces/CF1242-D1-B.cpp&amp;sa=D&amp;ust=1605639553146000&amp;usg=AFQjCNGDCVQZU3e6wKidcuMKo0XlEZCeqg" xr:uid="{DEF2D149-6EAC-4CED-82F1-AE96C11AE4EA}"/>
    <hyperlink ref="A3546" r:id="rId2697" display="https://www.google.com/url?q=http://codeforces.com/contest/1012/problem/B&amp;sa=D&amp;ust=1605639553146000&amp;usg=AFQjCNExk2xLO2NNnHPdlQBT4M8jcrtsVw" xr:uid="{DC7AF8C0-449D-4B0E-8D34-D857C87A5FA2}"/>
    <hyperlink ref="A3548" r:id="rId2698" display="https://www.google.com/url?q=http://codeforces.com/contest/292/problem/D&amp;sa=D&amp;ust=1605639553147000&amp;usg=AFQjCNGryPm70jRgdEWmdvROpKqyePEKUw" xr:uid="{59371DF0-92DE-4D04-96FA-B47C84EFF6FC}"/>
    <hyperlink ref="D2763" r:id="rId2699" display="https://www.google.com/url?q=https://codeforces.com/contest/292/submission/51947683&amp;sa=D&amp;ust=1605639553147000&amp;usg=AFQjCNEz4-lO4049mlQCtGMfTxnEc_Pf2w" xr:uid="{BDCFA983-F99C-4045-BF05-06892C84AB78}"/>
    <hyperlink ref="D2764" r:id="rId2700" display="https://www.google.com/url?q=https://github.com/mostafa-saad/MyCompetitiveProgramming/blob/master/UVA/UVA_12128.txt&amp;sa=D&amp;ust=1605639553148000&amp;usg=AFQjCNGIWmaKStZPUI69yxQOE6ZaVDeWag" xr:uid="{1BF11D78-FF9D-4343-BD1E-6647853EE799}"/>
    <hyperlink ref="A3550" r:id="rId2701" display="https://www.google.com/url?q=https://github.com/AliOsm/CompetitiveProgramming/blob/master/CodeForces%2520Gyms/ACM%2520International%2520Collegiate%2520Programming%2520Contest%252C%2520Tishreen%2520Collegiate%2520Programming%2520Contest%2520(2017)/J.%2520The%2520Volcano%2520Eruption.cpp&amp;sa=D&amp;ust=1605639553148000&amp;usg=AFQjCNHfmF1dZJ2suOxqJKO-Z3DA3ME5fw" xr:uid="{44972662-9AC9-478D-BBC0-C33B30ECD53A}"/>
    <hyperlink ref="D2765" r:id="rId2702" display="https://www.google.com/url?q=https://github.com/AliOsm/CompetitiveProgramming/blob/master/CodeForces%2520Gyms/ACM%2520International%2520Collegiate%2520Programming%2520Contest%252C%2520Tishreen%2520Collegiate%2520Programming%2520Contest%2520(2017)/J.%2520The%2520Volcano%2520Eruption.cpp&amp;sa=D&amp;ust=1605639553148000&amp;usg=AFQjCNHfmF1dZJ2suOxqJKO-Z3DA3ME5fw" xr:uid="{AE80FE05-2169-41AA-BE5D-09FC17D8FA28}"/>
    <hyperlink ref="A3551" r:id="rId2703" display="https://www.google.com/url?q=http://codeforces.com/contest/437/problem/D&amp;sa=D&amp;ust=1605639553149000&amp;usg=AFQjCNHmIJ3pvsdBsDyrk-gRXuMZaTr_ug" xr:uid="{366A9AE5-9004-4747-A1A6-0763B1E44492}"/>
    <hyperlink ref="D2114" r:id="rId2704" display="https://www.google.com/url?q=https://github.com/abdullaAshraf/Problem-Solving/blob/master/CodeForces/CF437-D2-D.cpp&amp;sa=D&amp;ust=1605639553149000&amp;usg=AFQjCNHwIZqWQvrY36qXdNrNMLig0O821Q" xr:uid="{7EDA479E-7C1E-4162-B7A5-41082FE85E5B}"/>
    <hyperlink ref="A3553" r:id="rId2705" display="https://www.google.com/url?q=http://codeforces.com/contest/766/problem/D&amp;sa=D&amp;ust=1605639553149000&amp;usg=AFQjCNH1p-wWP_N984ww-kz9qQoHrJe_hA" xr:uid="{AF2C440D-BFD0-44FF-85E1-1CF2F85DA105}"/>
    <hyperlink ref="A3554" r:id="rId2706" display="https://www.google.com/url?q=https://www.facebook.com/hackercup/problem/294773441466017/&amp;sa=D&amp;ust=1605639553150000&amp;usg=AFQjCNGdg0bh_fYWQWRUqIanrivB-bKHFQ" xr:uid="{05210224-6371-4411-864A-B73190E879B6}"/>
    <hyperlink ref="A3555" r:id="rId2707" display="https://www.google.com/url?q=https://codeforces.com/contest/1131/problem/F&amp;sa=D&amp;ust=1605639553150000&amp;usg=AFQjCNE3vKTEt9Xhay-R_Z_Z1d0uMWqrKg" xr:uid="{B3724265-91A8-4896-AA7E-E21A105E67E2}"/>
    <hyperlink ref="A3556" r:id="rId2708" display="https://www.google.com/url?q=https://codeforces.com/contest/1245/problem/D&amp;sa=D&amp;ust=1605639553151000&amp;usg=AFQjCNGBmCyDo9-1XAcRgY8msCHnzJ_Mng" xr:uid="{CF62132F-DD58-4B39-B78F-A3B07768254E}"/>
    <hyperlink ref="A3557" r:id="rId2709" display="https://www.google.com/url?q=https://atcoder.jp/contests/abc120/tasks/abc120_d&amp;sa=D&amp;ust=1605639553151000&amp;usg=AFQjCNH12em5IPy-OTn0RV6Ef_S21RrazQ" xr:uid="{87FC05BB-B927-4991-8C0C-5866E623641B}"/>
    <hyperlink ref="A3558" r:id="rId2710" display="https://www.google.com/url?q=http://codeforces.com/problemset/gymProblem/100923/H&amp;sa=D&amp;ust=1605639553152000&amp;usg=AFQjCNHx2-eweqmKoGcmbodfbp4KRUYNyw" xr:uid="{7665F251-23D5-415A-B5FA-E0D991D73D6F}"/>
    <hyperlink ref="D2120" r:id="rId2711" display="https://www.google.com/url?q=https://ideone.com/q7qCpK&amp;sa=D&amp;ust=1605639553152000&amp;usg=AFQjCNEwwGFfRtnh05HpPmVE4Xm--A9sgw" xr:uid="{405A3120-EAC1-442B-BA07-55F094781CF2}"/>
    <hyperlink ref="A3560" r:id="rId2712" display="https://www.google.com/url?q=http://codeforces.com/gym/100570/problem/D&amp;sa=D&amp;ust=1605639553153000&amp;usg=AFQjCNFhm_4weS7Ccc-22fqsnkowAC6aSg" xr:uid="{7C8F653B-A515-4018-8E9D-599C1476018B}"/>
    <hyperlink ref="D2122" r:id="rId2713" display="https://www.google.com/url?q=https://github.com/HeartBlue/CompetitiveProgramming/blob/master/Codeforces/CF100570-GYM-D%2520TROY%2520Query.cpp&amp;sa=D&amp;ust=1605639553153000&amp;usg=AFQjCNEdUr7oHrOUddnvERKsjP1N_BD87g" xr:uid="{34ABDAF7-7D57-4ACA-9120-909373060DBA}"/>
    <hyperlink ref="D2123" r:id="rId2714" display="https://www.google.com/url?q=https://github.com/AliOsm/CompetitiveProgramming/blob/master/SPOJ/RELINETS%2520-%2520Reliable%2520Nets.cpp&amp;sa=D&amp;ust=1605639553153000&amp;usg=AFQjCNHGGpKQDZ8oq-s4hP3iTVs_pbXmQw" xr:uid="{B5D05E5B-38F0-4E38-B2DE-4F730B146E37}"/>
    <hyperlink ref="D1387" r:id="rId2715" display="https://www.google.com/url?q=https://github.com/VAMPIER000001/CompetitiveProgramming/blob/master/UVA/V-119/UVA%252011987.Cpp&amp;sa=D&amp;ust=1605639553154000&amp;usg=AFQjCNEerDvvsQ75llRbFVdibMSBku8zPw" xr:uid="{A82EAFA4-4172-4A8D-941F-95717703C439}"/>
    <hyperlink ref="A3563" r:id="rId2716" display="https://www.google.com/url?q=http://codeforces.com/contest/104/problem/C&amp;sa=D&amp;ust=1605639553154000&amp;usg=AFQjCNH92fQOGHN7q_pVZcgNE-WZVFvd6A" xr:uid="{9AFED9A0-B672-4899-9BAD-CB31E1919F37}"/>
    <hyperlink ref="A3564" r:id="rId2717" display="https://www.google.com/url?q=https://uva.onlinejudge.org/index.php?option%3Donlinejudge%26page%3Dshow_problem%26problem%3D1626&amp;sa=D&amp;ust=1605639553155000&amp;usg=AFQjCNGY_NxViHmthP44LoZICzWHQ_0Hlw" xr:uid="{4C715CDE-C735-4A14-BB18-9E8C98BAA374}"/>
    <hyperlink ref="A3565" r:id="rId2718" display="https://www.google.com/url?q=https://uva.onlinejudge.org/index.php?option%3Donlinejudge%26page%3Dshow_problem%26problem%3D1119&amp;sa=D&amp;ust=1605639553155000&amp;usg=AFQjCNEh_OBK92j5e65e87kbHVJpHo5W-g" xr:uid="{961FB7A1-E319-4EF8-9276-6B40E41C504E}"/>
    <hyperlink ref="D1001" r:id="rId2719" display="https://www.google.com/url?q=https://en.wikipedia.org/wiki/Planar_graph%23Euler%27s_formula&amp;sa=D&amp;ust=1605639553156000&amp;usg=AFQjCNF0i2iQfGc_LyvW41y_TfRQbUn2kA" xr:uid="{C56FF472-C511-4E48-A0A9-489FBCDE752C}"/>
    <hyperlink ref="A3566" r:id="rId2720" display="https://www.google.com/url?q=http://codeforces.com/contest/278/problem/C&amp;sa=D&amp;ust=1605639553156000&amp;usg=AFQjCNHWCHLBz2rfFIO4AxPeioCo-idjqQ" xr:uid="{3EADCF1A-9EA6-4365-AFD8-2B3651B30BEC}"/>
    <hyperlink ref="A3568" r:id="rId2721" display="https://www.google.com/url?q=https://uva.onlinejudge.org/index.php?option%3Donlinejudge%26page%3Dshow_problem%26problem%3D2498&amp;sa=D&amp;ust=1605639553157000&amp;usg=AFQjCNHW8arkQN0CZ3X2W5eysAKLLDsfQg" xr:uid="{218D8C74-A075-4C01-8D56-64A5424090FF}"/>
    <hyperlink ref="A3572" r:id="rId2722" display="https://www.google.com/url?q=http://codeforces.com/contest/25/problem/D&amp;sa=D&amp;ust=1605639553159000&amp;usg=AFQjCNFPqaex3FWDU81Nbk0ipdNqZCI19w" xr:uid="{BB8ECB39-F8B6-4E70-B14D-D4C05F85AC77}"/>
    <hyperlink ref="D353" r:id="rId2723" display="https://www.google.com/url?q=https://github.com/Maverick10/Competitive-Programming/blob/master/Solutions/SPOJ/SPOJ%2520IITWPC4I.cpp&amp;sa=D&amp;ust=1605639553160000&amp;usg=AFQjCNHa0IaMw6UIpsqdXaH7UTNnJyapHg" xr:uid="{7609CDD9-27F4-4634-B55A-F177A242A562}"/>
    <hyperlink ref="D356" r:id="rId2724" display="https://www.google.com/url?q=https://discuss.codechef.com/questions/50257/spoj-question-iitkwpci-wrong-answer&amp;sa=D&amp;ust=1605639553161000&amp;usg=AFQjCNF913tmBkj2nXNbJ2UEbbTKDFZi7A" xr:uid="{1B8FBFAE-2B81-492C-B5AD-E9C0B754DB85}"/>
    <hyperlink ref="D79" r:id="rId2725" display="https://www.google.com/url?q=https://github.com/VAMPIER000001/CompetitiveProgramming/blob/master/UVA/V-11/UVA%25201174.Cpp&amp;sa=D&amp;ust=1605639553161000&amp;usg=AFQjCNECv_Zm4NFu1bQYk7c45axWKlKO9g" xr:uid="{1E2DEFFA-1742-4118-B47A-37AB2FAAF0A0}"/>
    <hyperlink ref="A3581" r:id="rId2726" display="https://www.google.com/url?q=http://codeforces.com/contest/547/problem/D&amp;sa=D&amp;ust=1605639553162000&amp;usg=AFQjCNES5ktjDQDvnnS5MdoOOhb9JQnKHQ" xr:uid="{E165F8ED-713A-4F3F-960D-19F9D4E0346B}"/>
    <hyperlink ref="A3582" r:id="rId2727" display="https://www.google.com/url?q=https://onlinejudge.org/index.php?option%3Donlinejudge%26Itemid%3D8%26page%3Dshow_problem%26problem%3D5169&amp;sa=D&amp;ust=1605639553163000&amp;usg=AFQjCNHQHQPja8W0LOS08MbGDTjs0zL6uA" xr:uid="{3E250289-92F8-4BB9-903B-6670C0AA02B9}"/>
    <hyperlink ref="A3583" r:id="rId2728" display="https://www.google.com/url?q=http://codeforces.com/problemset/problem/1012/E&amp;sa=D&amp;ust=1605639553163000&amp;usg=AFQjCNGqbzvGLrZro9oQSQchiZyimCcMHg" xr:uid="{5E7A024F-BF4D-46F9-A2FF-D13DB0604C20}"/>
    <hyperlink ref="A3584" r:id="rId2729" display="https://www.google.com/url?q=http://codeforces.com/gym/101666&amp;sa=D&amp;ust=1605639553163000&amp;usg=AFQjCNEG28WRHEBDKnZffImVgpcDc5pOig" xr:uid="{95D72271-F04E-47BF-91AB-5175DBF47487}"/>
    <hyperlink ref="A3585" r:id="rId2730" display="https://www.google.com/url?q=http://codeforces.com/gym/101650&amp;sa=D&amp;ust=1605639553164000&amp;usg=AFQjCNE8fdQCLV29y45jNEjBFoCYuN64zQ" xr:uid="{E05B39BD-CA21-4B9C-94F0-986ECE0B56E6}"/>
    <hyperlink ref="D5153" r:id="rId2731" display="https://www.google.com/url?q=https://github.com/pranavjangir/CompetitiveProgramming/blob/master/CodeForces/CF101650-GYM-I.cpp&amp;sa=D&amp;ust=1605639553164000&amp;usg=AFQjCNEJCvwh7bQ3Z-dwzEoou1ywk5-uww" xr:uid="{AF743ADC-117E-4AD0-A4A6-6CC8D7E9B2C3}"/>
    <hyperlink ref="A3587" r:id="rId2732" display="https://www.google.com/url?q=http://codeforces.com/contest/358/problem/E&amp;sa=D&amp;ust=1605639553164000&amp;usg=AFQjCNEsPo9hinKnTVyhm8V8Iw_uOrOPhA" xr:uid="{5E54F91B-2470-4506-A6B6-B963B04FA9E3}"/>
    <hyperlink ref="A3589" r:id="rId2733" display="https://www.google.com/url?q=https://codeforces.com/gym/102001/problem/C&amp;sa=D&amp;ust=1605639553165000&amp;usg=AFQjCNFNfwGuAy-isp3G4flUqMm8UYn21Q" xr:uid="{08A08EBD-2691-4439-8277-443D546A3B74}"/>
    <hyperlink ref="D4242" r:id="rId2734" display="https://www.google.com/url?q=https://github.com/quangloc99/CompetitiveProgramming/blob/master/Codeforces/CF102001-Gym-C.cpp&amp;sa=D&amp;ust=1605639553165000&amp;usg=AFQjCNF1y8mKOgk08_bbKdhCzMZlTaa68A" xr:uid="{76C638AA-18DF-4B24-AAAC-A31A91BF323A}"/>
    <hyperlink ref="A3590" r:id="rId2735" display="https://www.google.com/url?q=https://codeforces.com/contest/1132/problem/G&amp;sa=D&amp;ust=1605639553166000&amp;usg=AFQjCNGFtV0tWZolC7GxP22b_ZbDHav8rw" xr:uid="{9A3BF055-35EB-4FAE-BBE6-87DC3E3AD217}"/>
    <hyperlink ref="A3591" r:id="rId2736" display="https://www.google.com/url?q=http://codeforces.com/contest/723/problem/E&amp;sa=D&amp;ust=1605639553167000&amp;usg=AFQjCNHs6E0eRVgEJHthYOEpWSG5YiXDzA" xr:uid="{BACBAEEA-B3D6-4E77-9924-9CDDFBD9E710}"/>
    <hyperlink ref="A3592" r:id="rId2737" display="https://www.google.com/url?q=https://codeforces.com/contest/1038/problem/E&amp;sa=D&amp;ust=1605639553167000&amp;usg=AFQjCNFdliCZHjbJOecXNxZseEnab8zC4Q" xr:uid="{E2ED0D7E-F605-4578-92A2-5E988F70D1D7}"/>
    <hyperlink ref="D3666" r:id="rId2738" display="https://www.google.com/url?q=https://github.com/mostafa-saad/MyCompetitiveProgramming/blob/master/UVA/UVA_10040.txt&amp;sa=D&amp;ust=1605639553168000&amp;usg=AFQjCNFssd92_Pc9R-IeFPqywFostAHPmA" xr:uid="{F26A34F4-D5D0-405E-A894-3E23B759161A}"/>
    <hyperlink ref="D3667" r:id="rId2739" display="https://www.google.com/url?q=https://github.com/Huvok/CompetitiveProgramming/blob/master/Topcoder/SRM298-D1-500.cpp&amp;sa=D&amp;ust=1605639553169000&amp;usg=AFQjCNHu6PPggjsFvW_RFyRA5LjSQ8rCLQ" xr:uid="{CEC7396A-B70E-422D-A630-901E3715B0D3}"/>
    <hyperlink ref="A3612" r:id="rId2740" display="https://www.google.com/url?q=http://codeforces.com/problemset/problem/789/D&amp;sa=D&amp;ust=1605639553169000&amp;usg=AFQjCNEDCK3dIYhbW-h3poHv5kDocmPfkA" xr:uid="{34CF6E86-8A70-47F5-9E78-EE7273FD14F6}"/>
    <hyperlink ref="A3613" r:id="rId2741" display="https://www.google.com/url?q=http://codeforces.com/contest/367/problem/C&amp;sa=D&amp;ust=1605639553169000&amp;usg=AFQjCNFbc_PhIZx8lTs8xL-46eHrrsD2Tg" xr:uid="{DC4D5074-E376-47C1-AF37-C05C59DD5F27}"/>
    <hyperlink ref="A3614" r:id="rId2742" display="https://www.google.com/url?q=http://codeforces.com/contest/62/problem/D&amp;sa=D&amp;ust=1605639553170000&amp;usg=AFQjCNGstsWw7fwRFUqMG_n5SfcnnQ9QAw" xr:uid="{A920062B-7708-4093-854F-B3AF059CE2A4}"/>
    <hyperlink ref="A3616" r:id="rId2743" display="https://www.google.com/url?q=http://codeforces.com/contest/1062/problem/D&amp;sa=D&amp;ust=1605639553171000&amp;usg=AFQjCNGCGZ3-ISD9c2OS-ryovIpLuS25Lg" xr:uid="{814681C3-9FBC-4072-96D2-3AFF604EE093}"/>
    <hyperlink ref="D2766" r:id="rId2744" display="https://www.google.com/url?q=https://github.com/nya-nya-meow/CompetitiveProgramming/blob/master/CodeForces/CF1062-D2-D.cpp&amp;sa=D&amp;ust=1605639553171000&amp;usg=AFQjCNH5ZBK4MW8pMITlFsVNNgQePbuPCw" xr:uid="{A69916AB-4D02-405F-8936-73050A8D15BA}"/>
    <hyperlink ref="A3617" r:id="rId2745" display="https://www.google.com/url?q=http://codeforces.com/contest/21/problem/D&amp;sa=D&amp;ust=1605639553172000&amp;usg=AFQjCNFrk_zMjPjZE7-ALLwZu-Q6_3iWRA" xr:uid="{759BAA85-ABA5-4C84-BE90-0F62D4C7F78A}"/>
    <hyperlink ref="D2767" r:id="rId2746" display="https://www.google.com/url?q=https://github.com/WaleedAbdelhakim/Competitive-Programming/blob/master/CodeForces/CF21-D12-D.cpp&amp;sa=D&amp;ust=1605639553172000&amp;usg=AFQjCNFHWJ7n2HvUjRv1sDf1ntWw9jpP-g" xr:uid="{D3BC41C3-455F-41C0-99C1-FA3C7EC3389E}"/>
    <hyperlink ref="A3618" r:id="rId2747" display="https://www.google.com/url?q=http://codeforces.com/contest/508/problem/D&amp;sa=D&amp;ust=1605639553172000&amp;usg=AFQjCNEMfHPRAkMCyPFbJqe-50TRqxqxCw" xr:uid="{4E965AC9-8A7A-4AD8-88CD-4EC0AB6C2576}"/>
    <hyperlink ref="D2124" r:id="rId2748" display="https://www.google.com/url?q=https://github.com/Huvok/CompetitiveProgramming/blob/master/Topcoder/SRM268-D1-500.cpp&amp;sa=D&amp;ust=1605639553173000&amp;usg=AFQjCNHnD9CDp2uc5mueifULvDjhX5sYMg" xr:uid="{7E82148F-E198-49CB-8F42-02FF2EAB9217}"/>
    <hyperlink ref="D1008" r:id="rId2749" display="https://www.google.com/url?q=https://github.com/shashank0107/CompetitiveProgramming/blob/master/UVA/10129.cpp&amp;sa=D&amp;ust=1605639553174000&amp;usg=AFQjCNE_Ge7BATwX8xxECOEtJLJVZHA53Q" xr:uid="{820E3E83-9E57-4585-B0BE-156198E68BEB}"/>
    <hyperlink ref="D543" r:id="rId2750" display="https://www.google.com/url?q=https://github.com/shashank0107/CompetitiveProgramming/blob/master/TIMUS/1137.cpp&amp;sa=D&amp;ust=1605639553176000&amp;usg=AFQjCNHVYX2JOZDMYm_188qAQZVn6BgwNA" xr:uid="{AD1FFD4A-3C80-4E21-89F2-2C2E632405FD}"/>
    <hyperlink ref="A3631" r:id="rId2751" display="https://www.google.com/url?q=http://codeforces.com/contest/416/problem/E&amp;sa=D&amp;ust=1605639553177000&amp;usg=AFQjCNHgHHfUm_m7Z-732YnpCCwA3G220A" xr:uid="{F1B8BC54-ECF4-4B6A-B493-553268E9156C}"/>
    <hyperlink ref="A3633" r:id="rId2752" display="https://www.google.com/url?q=https://uva.onlinejudge.org/index.php?option%3Dcom_onlinejudge%26Itemid%3D8%26page%3Dshow_problem%26problem%3D40&amp;sa=D&amp;ust=1605639553179000&amp;usg=AFQjCNHMs5ZMLdXn4W4OGYt4cjZB6Oim-A" xr:uid="{A263B144-1F04-4022-BD13-F9B076DA44C9}"/>
    <hyperlink ref="D2917" r:id="rId2753" display="https://www.google.com/url?q=https://github.com/abdullaAshraf/Problem-Solving/blob/master/UVA/104.cpp&amp;sa=D&amp;ust=1605639553180000&amp;usg=AFQjCNFvfNYP2LhOlLZe30wHSDR75QdMlQ" xr:uid="{E91B361B-5C5C-4856-81E0-035D1258C210}"/>
    <hyperlink ref="A2953" r:id="rId2754" display="https://www.google.com/url?q=https://uva.onlinejudge.org/index.php?option%3Donlinejudge%26page%3Dshow_problem%26problem%3D61&amp;sa=D&amp;ust=1605639553180000&amp;usg=AFQjCNGdaab_tIU3P4CsTB52YOUIQB3ZxQ" xr:uid="{0E71E55E-9F1D-4D9B-AD72-0B4C4808000F}"/>
    <hyperlink ref="D2769" r:id="rId2755" display="https://www.google.com/url?q=https://github.com/mostafa-saad/MyCompetitiveProgramming/blob/master/UVA/UVA_125.txt&amp;sa=D&amp;ust=1605639553180000&amp;usg=AFQjCNEsVaj9Ygh6DDxyEmEB6GGUmkw0_Q" xr:uid="{8E2145FB-8A8C-45F2-B817-01571F34CCF0}"/>
    <hyperlink ref="A2954" r:id="rId2756" display="https://www.google.com/url?q=https://uva.onlinejudge.org/index.php?option%3Donlinejudge%26page%3Dshow_problem%26problem%3D1928&amp;sa=D&amp;ust=1605639553181000&amp;usg=AFQjCNHfsk7Z1DBZwjHUIjW8F47NYCRJTQ" xr:uid="{3F8DFEB0-114F-4B10-B170-5F40549C57A6}"/>
    <hyperlink ref="D2770" r:id="rId2757" display="https://www.google.com/url?q=https://github.com/abdullaAshraf/Problem-Solving/blob/master/UVA/10987.cpp&amp;sa=D&amp;ust=1605639553181000&amp;usg=AFQjCNGWhUh5FTGXFM7WyaOY6IYy705fLQ" xr:uid="{40225459-D2BF-40C9-B238-D2A77E253FA2}"/>
    <hyperlink ref="A2955" r:id="rId2758" display="https://www.google.com/url?q=https://uva.onlinejudge.org/index.php?option%3Dcom_onlinejudge%26Itemid%3D8%26page%3Dshow_problem%26problem%3D1389&amp;sa=D&amp;ust=1605639553181000&amp;usg=AFQjCNGdedPnU6wtoHasHjr459F4Za_ckg" xr:uid="{3866B437-BA75-4F31-AFE4-A962CC633128}"/>
    <hyperlink ref="D2771" r:id="rId2759" display="https://www.google.com/url?q=https://www.youtube.com/watch?v%3DOWlJ8chpit0&amp;sa=D&amp;ust=1605639553182000&amp;usg=AFQjCNFcpxcnvHC99vxZy7l-GqpsxxCOWQ" xr:uid="{86F5C1CA-72B9-4A76-B0B8-4628C84785FF}"/>
    <hyperlink ref="A2960" r:id="rId2760" display="https://www.google.com/url?q=http://codeforces.com/contest/295/problem/B&amp;sa=D&amp;ust=1605639553184000&amp;usg=AFQjCNHyognphwFaxgQPg9jQjZgNAl2MSw" xr:uid="{A2E25180-3C0B-4131-A10A-1D6094C8094D}"/>
    <hyperlink ref="A2961" r:id="rId2761" display="https://www.google.com/url?q=https://codeforces.com/contest/1196/problem/F&amp;sa=D&amp;ust=1605639553184000&amp;usg=AFQjCNGhmD7BNNJFDWnWst1TaGwN9Lwhng" xr:uid="{94560AE2-31A0-473A-97A6-CD974A7E7847}"/>
    <hyperlink ref="A2962" r:id="rId2762" display="https://www.google.com/url?q=http://codeforces.com/contest/189/problem/D&amp;sa=D&amp;ust=1605639553185000&amp;usg=AFQjCNG3mWekFS43doCCB9tSirpkfTB4gQ" xr:uid="{5343FBD5-4EE8-4B30-BA3C-69920356F441}"/>
    <hyperlink ref="D2130" r:id="rId2763" display="https://www.google.com/url?q=https://github.com/OmarMekkawy/Problems-Solved-Codes/blob/master/CodeForces/189D.cpp&amp;sa=D&amp;ust=1605639553185000&amp;usg=AFQjCNGVBO5rOeHGQZZ3XaKUhQe8ZRBzUw" xr:uid="{5FEC5973-2121-4359-AC3A-FDBAE75073BE}"/>
    <hyperlink ref="A2963" r:id="rId2764" display="https://www.google.com/url?q=http://codeforces.com/contest/296/problem/D&amp;sa=D&amp;ust=1605639553186000&amp;usg=AFQjCNEA_H7h3fT6cvf8jElGVhajuEmCjA" xr:uid="{FB930FF6-8200-41C3-9122-37098D7759C2}"/>
    <hyperlink ref="A2964" r:id="rId2765" display="https://www.google.com/url?q=https://atcoder.jp/contests/abc143/tasks/abc143_e&amp;sa=D&amp;ust=1605639553186000&amp;usg=AFQjCNEsqz92dsRqqrB7ayUsstVD8aWX9Q" xr:uid="{E23432A2-BC8C-4503-B1DE-4F4B3A4BF020}"/>
    <hyperlink ref="A2965" r:id="rId2766" display="https://www.google.com/url?q=http://codeforces.com/contest/400/problem/D&amp;sa=D&amp;ust=1605639553187000&amp;usg=AFQjCNGkm18-DWBjDM2WC_oABWomQ1Ktgw" xr:uid="{FCA5A4D3-7B1A-4902-BB12-795B5673858E}"/>
    <hyperlink ref="A2966" r:id="rId2767" display="https://www.google.com/url?q=http://codeforces.com/contest/301/problem/B?mobile%3Dfalse&amp;sa=D&amp;ust=1605639553187000&amp;usg=AFQjCNF4MTiiNuSj6fc5RghvYWG3tIJBHQ" xr:uid="{EF2FFA9D-1566-4006-BD89-47B1A4546562}"/>
    <hyperlink ref="D2136" r:id="rId2768" display="https://www.google.com/url?q=https://github.com/ahmedcpbl/CompetitiveProgramming/blob/master/UVA/1198.cpp&amp;sa=D&amp;ust=1605639553188000&amp;usg=AFQjCNHevTb0LDwQBBG4-xlgodhUinKPmg" xr:uid="{21CF42C6-8101-4690-B780-7E704E760847}"/>
    <hyperlink ref="A2973" r:id="rId2769" display="https://www.google.com/url?q=https://uva.onlinejudge.org/index.php?option%3Dcom_onlinejudge%26Itemid%3D8%26page%3Dshow_problem%26problem%3D475&amp;sa=D&amp;ust=1605639553190000&amp;usg=AFQjCNFnkISkOCtKjli8qOG2Pbp_Hc3hkQ" xr:uid="{0F651EF1-4D8E-4F7C-949F-663580062503}"/>
    <hyperlink ref="D1390" r:id="rId2770" display="https://www.google.com/url?q=https://github.com/ilyesG/Competitive-Programming/blob/master/UVA/UVA%2520534.cpp&amp;sa=D&amp;ust=1605639553190000&amp;usg=AFQjCNFQEmBLwt9NTc2Ytn1VW3bJrBVCgA" xr:uid="{9062D421-66DD-4BA3-9131-8B110A9A194B}"/>
    <hyperlink ref="A2974" r:id="rId2771" display="https://www.google.com/url?q=https://uva.onlinejudge.org/index.php?option%3Donlinejudge%26page%3Dshow_problem%26problem%3D1757&amp;sa=D&amp;ust=1605639553191000&amp;usg=AFQjCNFBoLr2pq8_apiV5Ptgksbp-Zjf2Q" xr:uid="{B8007863-F82B-40D2-B16A-1174C3FBB5BD}"/>
    <hyperlink ref="D1391" r:id="rId2772" display="https://www.google.com/url?q=https://github.com/VAMPIER000001/CompetitiveProgramming/blob/master/UVA/V-108/UVA%252010816.Cpp&amp;sa=D&amp;ust=1605639553191000&amp;usg=AFQjCNF07TH0BwL5qEaEkcw2upLkQ-9h6w" xr:uid="{9141E0E8-26FF-4377-B81E-D2032BE81863}"/>
    <hyperlink ref="A2975" r:id="rId2773" display="https://www.google.com/url?q=http://codeforces.com/gym/100341/attachments&amp;sa=D&amp;ust=1605639553192000&amp;usg=AFQjCNGVgDMwnB2XvQ5iL979VeWkzdjDZQ" xr:uid="{06C14E95-663C-470E-9ECF-F60E56D5B25E}"/>
    <hyperlink ref="D1392" r:id="rId2774" display="https://www.google.com/url?q=https://github.com/Coder-Boy1/CodeForces/blob/master/100341-GYM-J&amp;sa=D&amp;ust=1605639553193000&amp;usg=AFQjCNH1eqKyxUMD4sBtSD7MG1CoVUpBOg" xr:uid="{8321F6AE-69D4-40DF-8252-5C246D20DFD4}"/>
    <hyperlink ref="A2976" r:id="rId2775" display="https://www.google.com/url?q=https://uva.onlinejudge.org/index.php?option%3Dcom_onlinejudge%26Itemid%3D8%26page%3Dshow_problem%26problem%3D270&amp;sa=D&amp;ust=1605639553193000&amp;usg=AFQjCNGFLYmxkT91BaxgheywsM8QZPCh5w" xr:uid="{9DEA6B68-A5DC-4841-8F65-B1D2F9D0418F}"/>
    <hyperlink ref="A2977" r:id="rId2776" display="https://www.google.com/url?q=http://codeforces.com/contest/602/problem/C&amp;sa=D&amp;ust=1605639553194000&amp;usg=AFQjCNHGVx-LjB9qbqaADSSoDmoFtTvjAA" xr:uid="{494E5A25-E999-447E-8FE1-5F0DF4A385BA}"/>
    <hyperlink ref="A2978" r:id="rId2777" display="https://www.google.com/url?q=https://uva.onlinejudge.org/index.php?option%3Donlinejudge%26page%3Dshow_problem%26problem%3D464&amp;sa=D&amp;ust=1605639553194000&amp;usg=AFQjCNGkLHfeEvbMlzXB08gV_0skQgwWhg" xr:uid="{7C93BE5C-C971-415F-8034-178BBB75C9D6}"/>
    <hyperlink ref="D1395" r:id="rId2778" display="https://www.google.com/url?q=https://github.com/abdullaAshraf/Problem-Solving/blob/master/UVA/523.cpp&amp;sa=D&amp;ust=1605639553194000&amp;usg=AFQjCNGdNgDXrt0ITYqs4m09wUXfuABgfA" xr:uid="{E963E50C-5EBF-4CFF-9661-DB90D4ADE7A5}"/>
    <hyperlink ref="D1396" r:id="rId2779" display="https://www.google.com/url?q=https://drive.google.com/file/d/0B8jkfQFfgLYXMzIzOWU3ZWItNzRmYy00NmNjLTgyZjktM2Y3NjdlMWQzMTA2/view?ddrp%3D1%26hl%3Den&amp;sa=D&amp;ust=1605639553195000&amp;usg=AFQjCNFBq5DfTO3uMsonKZ-gOmzLhge8Zg" xr:uid="{49E0CDBD-5E79-49B6-AFAB-99B5D43EB8AB}"/>
    <hyperlink ref="A2982" r:id="rId2780" display="https://www.google.com/url?q=https://uva.onlinejudge.org/index.php?option%3Donlinejudge%26page%3Dshow_problem%26problem%3D122&amp;sa=D&amp;ust=1605639553196000&amp;usg=AFQjCNH0Dj2-C47-XyyzcQlfovvuYrbVsw" xr:uid="{5CB44927-66D5-4767-827A-C280802FC814}"/>
    <hyperlink ref="D1010" r:id="rId2781" display="https://www.google.com/url?q=https://github.com/VAMPIER000001/CompetitiveProgramming/blob/master/UVA/V-1/UVA%2520186.Cpp&amp;sa=D&amp;ust=1605639553196000&amp;usg=AFQjCNG8fA_YWgauYjnh33XizTCVK3SryA" xr:uid="{A15E3136-1926-45E7-9D8C-D0AD1D1ACACC}"/>
    <hyperlink ref="A2983" r:id="rId2782" display="https://www.google.com/url?q=https://www.facebook.com/hackercup/problem/862237970786911/&amp;sa=D&amp;ust=1605639553196000&amp;usg=AFQjCNFTCHKiX_FEDNmLyJ2SF9YJFWRjBg" xr:uid="{6A261088-1A95-458D-B0BE-6884DDDE2649}"/>
    <hyperlink ref="D1013" r:id="rId2783" display="https://www.google.com/url?q=https://github.com/ahmedcpbl/CompetitiveProgramming/blob/master/UVA/12319.cpp&amp;sa=D&amp;ust=1605639553198000&amp;usg=AFQjCNF3_ZfiLD1FuCZVbpBNs1pzQ1SPRw" xr:uid="{50268E5E-AB15-4F7D-8158-0E15975E0C49}"/>
    <hyperlink ref="D1016" r:id="rId2784" display="https://www.google.com/url?q=https://github.com/ahmedcpbl/CompetitiveProgramming/blob/master/UVA/1233.cpp&amp;sa=D&amp;ust=1605639553199000&amp;usg=AFQjCNENZmgKqfzeVvVI7TydC8cuwE0Eug" xr:uid="{DCD73279-1BD3-4251-85B2-3F7248CB73B2}"/>
    <hyperlink ref="D1018" r:id="rId2785" display="https://www.google.com/url?q=http://ideone.com/mzXQ8U&amp;sa=D&amp;ust=1605639553199000&amp;usg=AFQjCNE0gllYj4HqUxLG1-DCY_Kydv0sWQ" xr:uid="{2A56E124-5DBB-46B2-B620-7A29930451F3}"/>
    <hyperlink ref="A2999" r:id="rId2786" display="https://www.google.com/url?q=https://www.codechef.com/problems/ANUBTT&amp;sa=D&amp;ust=1605639553202000&amp;usg=AFQjCNGJ_VhlL77h4JCxnYGcyGfufOBXaw" xr:uid="{70AB21D2-60CF-4CC3-AFA6-AA19CBDF4B51}"/>
    <hyperlink ref="A3000" r:id="rId2787" display="https://www.google.com/url?q=https://www.codechef.com/problems/CAKE2AM&amp;sa=D&amp;ust=1605639553202000&amp;usg=AFQjCNG15uSUUAuMpfG9fZvRNlg7krGOtQ" xr:uid="{9CB29226-EFE8-4E71-A30E-C422FC01BD62}"/>
    <hyperlink ref="A3001" r:id="rId2788" display="https://www.google.com/url?q=https://www.codechef.com/problems/ORDERAAM&amp;sa=D&amp;ust=1605639553204000&amp;usg=AFQjCNGkaz2z6zoh-R512aqVZMWwEmf_4Q" xr:uid="{8D6D5296-9B08-4FA0-A9E3-C2E8C10C481C}"/>
    <hyperlink ref="A3004" r:id="rId2789" display="https://www.google.com/url?q=http://codeforces.com/contest/704/problem/D&amp;sa=D&amp;ust=1605639553205000&amp;usg=AFQjCNEtnJYR3kKVDwSKPT21is8yKZ4l5g" xr:uid="{7B2E21BD-2F9C-4F49-856C-3D2C836F97B1}"/>
    <hyperlink ref="A3005" r:id="rId2790" display="https://www.google.com/url?q=https://www.codechef.com/problems/PARADE&amp;sa=D&amp;ust=1605639553205000&amp;usg=AFQjCNGtYGIz1TRoqjAnUGEDyEY0Itkn-w" xr:uid="{2ADD487D-2481-40C6-92CE-B813D29E33A3}"/>
    <hyperlink ref="A3006" r:id="rId2791" display="https://www.google.com/url?q=https://www.codechef.com/problems/LONGART&amp;sa=D&amp;ust=1605639553206000&amp;usg=AFQjCNHKf1aaP54En4UW5sY3tygb4SytGQ" xr:uid="{67E1A07B-ECB2-4779-B591-E8EE48FA1930}"/>
    <hyperlink ref="D5531" r:id="rId2792" display="https://www.google.com/url?q=https://github.com/swapnil119/CompetitiveProgramming/blob/master/CompetitiveProgramming/Codeforces/CF101873-GYM-F.cpp&amp;sa=D&amp;ust=1605639553207000&amp;usg=AFQjCNGS2SgJJyXblfiNpGMqpMBhw_r-3w" xr:uid="{CEF6B774-73F0-4C4D-A72B-B9EC139C4C3F}"/>
    <hyperlink ref="A3009" r:id="rId2793" display="https://www.google.com/url?q=http://codeforces.com/gym/101606/problem/K&amp;sa=D&amp;ust=1605639553207000&amp;usg=AFQjCNFaZ6ZkZgsgdzlSf5uNh2cGEiofVA" xr:uid="{C5AB153B-FCE3-4270-8EBB-A0717A9DF118}"/>
    <hyperlink ref="D5532" r:id="rId2794" display="https://www.google.com/url?q=https://github.com/OmarHashim/Competitive-Programming/blob/master/CodeForces/CF101606-GYM-K&amp;sa=D&amp;ust=1605639553207000&amp;usg=AFQjCNFsA1tamQ3EmtAz3AzRIswXuAmeRQ" xr:uid="{2DC759F5-FE37-43E6-B117-ACF6A2B0823F}"/>
    <hyperlink ref="A3010" r:id="rId2795" display="https://www.google.com/url?q=http://codeforces.com/contest/708/problem/D&amp;sa=D&amp;ust=1605639553208000&amp;usg=AFQjCNH_6krAP18syfWmT3Xm8LDWsog6Zw" xr:uid="{1510259C-6E83-483C-B920-785D0C52DF21}"/>
    <hyperlink ref="D5533" r:id="rId2796" display="https://www.google.com/url?q=http://codeforces.com/contest/708/submission/35136300&amp;sa=D&amp;ust=1605639553208000&amp;usg=AFQjCNGvHwuv87zzi1q2ZWdSj_AdwOWmhA" xr:uid="{1536BED0-CAAF-4C97-B3E3-BC5EE072FE52}"/>
    <hyperlink ref="A3012" r:id="rId2797" display="https://www.google.com/url?q=http://codeforces.com/contest/513/problem/F2&amp;sa=D&amp;ust=1605639553208000&amp;usg=AFQjCNEpbaP4gNk2xIpNjEdtMID5f_Plww" xr:uid="{A20DFAE0-32CD-4FA4-B80F-7F6A0D230E75}"/>
    <hyperlink ref="A3013" r:id="rId2798" display="https://www.google.com/url?q=http://codeforces.com/gym/101656/problem/K&amp;sa=D&amp;ust=1605639553209000&amp;usg=AFQjCNG3Nxycke8wzFFXwm0n2KUbwUA3Lg" xr:uid="{8F365301-9B98-42E0-821E-D83D1991FDF9}"/>
    <hyperlink ref="D5346" r:id="rId2799" display="https://www.google.com/url?q=https://github.com/OmarHashim/Competitive-Programming/blob/master/CodeForces/CF101656-GYM-K.cpp&amp;sa=D&amp;ust=1605639553209000&amp;usg=AFQjCNEeyioh0YAmJPJmsyGTMR4GFfkS7Q" xr:uid="{F4946204-7749-4736-9BE2-AA47BD7E7EF8}"/>
    <hyperlink ref="A3014" r:id="rId2800" display="https://www.google.com/url?q=https://codeforces.com/gym/101908/problem/G&amp;sa=D&amp;ust=1605639553210000&amp;usg=AFQjCNHjYNAT6R3vV358npdp0l7eilktqA" xr:uid="{8F13D3EC-3B22-476A-97B9-C6B44772C7CC}"/>
    <hyperlink ref="D5347" r:id="rId2801" display="https://www.google.com/url?q=https://github.com/swapnil119/CompetitiveProgramming/blob/master/CompetitiveProgramming/Codeforces/CF101908-GYM-G.cpp&amp;sa=D&amp;ust=1605639553210000&amp;usg=AFQjCNFQxe1S2Xjsjv3SC2Y1146co4UHZA" xr:uid="{5AC2A30D-90F4-4DD0-9A7A-A6086A1D88F5}"/>
    <hyperlink ref="D5348" r:id="rId2802" display="https://www.google.com/url?q=https://github.com/MohamedNabil97/CompetitiveProgramming/blob/master/TJU/2616.cpp&amp;sa=D&amp;ust=1605639553211000&amp;usg=AFQjCNGxWD83OpFYMKqK2kejoJCkwadHbg" xr:uid="{70DD4C43-FD96-47C1-BB12-967A3CB6B6AC}"/>
    <hyperlink ref="D5154" r:id="rId2803" display="https://www.google.com/url?q=https://github.com/HeartBlue/CompetitiveProgramming/blob/master/SPOJ/SPOJ%2520NWERC11D%2520Piece%2520it%2520together.cpp&amp;sa=D&amp;ust=1605639553211000&amp;usg=AFQjCNEOFFxW8j465QGGvS1dSW1LQPwQ1g" xr:uid="{18F54A56-D8EF-4B19-9AF8-E4E138636590}"/>
    <hyperlink ref="A3018" r:id="rId2804" display="https://www.google.com/url?q=https://codeforces.com/contest/1082/problem/G&amp;sa=D&amp;ust=1605639553212000&amp;usg=AFQjCNHGwYLH182QPmV0PPnyRTT9UnC6uA" xr:uid="{A8936BE3-9A76-41E3-8168-D883C4F810D7}"/>
    <hyperlink ref="D4867" r:id="rId2805" display="https://www.google.com/url?q=https://github.com/MohamedNabil97/CompetitiveProgramming/blob/master/SPOJ/PROFIT.cpp&amp;sa=D&amp;ust=1605639553212000&amp;usg=AFQjCNFhJoxsItelshR-k8JGrTr70NEmgQ" xr:uid="{685377C1-8C58-4F30-8455-FBC47B83708C}"/>
    <hyperlink ref="D4868" r:id="rId2806" display="https://www.google.com/url?q=https://ideone.com/3UsZip&amp;sa=D&amp;ust=1605639553213000&amp;usg=AFQjCNGpuGpCQ3-Uazq3O9VobqzvfpNvbQ" xr:uid="{D254D7C3-C425-480B-98A9-910D73A06DF0}"/>
    <hyperlink ref="D4869" r:id="rId2807" display="https://www.google.com/url?q=https://github.com/MohamedNabil97/CompetitiveProgramming/tree/master/CodeForces/CF101128-GYM-F.cpp&amp;sa=D&amp;ust=1605639553213000&amp;usg=AFQjCNHPQaA3FGvUO6z281zK9Yezz4CwwA" xr:uid="{BB8C8454-B64A-41B6-89FF-83E63F551CB9}"/>
    <hyperlink ref="D4870" r:id="rId2808" display="https://www.google.com/url?q=https://github.com/MohamedNabil97/CompetitiveProgramming/tree/master/CodeForces/CF101201-GYM-G.cpp&amp;sa=D&amp;ust=1605639553214000&amp;usg=AFQjCNG3xqxvnSTypGcDpM3HJgdJ3KCkhQ" xr:uid="{0DF57BB9-C128-40C5-8FFE-DAD7465BDCD1}"/>
    <hyperlink ref="D4872" r:id="rId2809" display="https://www.google.com/url?q=https://github.com/aviroop123/CompetitiveProgramming/blob/master/CodeChef/CODECHEF%2520SEAGRP.cpp&amp;sa=D&amp;ust=1605639553216000&amp;usg=AFQjCNHmt3Bkgsleo0d36Yk1QIl1BwP4OA" xr:uid="{AC34AAC4-34CF-4337-8F16-C6E224033E36}"/>
    <hyperlink ref="A3031" r:id="rId2810" display="https://www.google.com/url?q=https://codeforces.com/contest/1252/problem/L&amp;sa=D&amp;ust=1605639553217000&amp;usg=AFQjCNETv165kuKsJLL4zVO1IJM7xJNnlg" xr:uid="{41A53493-8532-43C1-A7F8-4E4A7F558306}"/>
    <hyperlink ref="D4244" r:id="rId2811" display="https://www.google.com/url?q=https://github.com/farmerboy95/CompetitiveProgramming/blob/master/Codeforces/CF1252-D12-L.cpp&amp;sa=D&amp;ust=1605639553217000&amp;usg=AFQjCNHBiHA6kW0w2HIEWZ_fZEumIV1Vxg" xr:uid="{4E1BE3F3-5207-4715-8788-5E4B213B6B0D}"/>
    <hyperlink ref="A3032" r:id="rId2812" display="https://www.google.com/url?q=https://onlinejudge.org/index.php?option%3Dcom_onlinejudge%26Itemid%3D8%26page%3Dshow_problem%26problem%3D4122&amp;sa=D&amp;ust=1605639553217000&amp;usg=AFQjCNH7hHNFwBXU2h-_zf2t3jN6Kg5EoQ" xr:uid="{EC23BA89-1B45-4315-A7A9-72774CB94CF1}"/>
    <hyperlink ref="A3033" r:id="rId2813" display="https://www.google.com/url?q=https://www.codechef.com/problems/GNUM&amp;sa=D&amp;ust=1605639553218000&amp;usg=AFQjCNH-rcB3Em_R-3QKKSTVWMpvF7CfCw" xr:uid="{95221018-DEEF-4D80-99C8-DFC50E2FBA5B}"/>
    <hyperlink ref="D3959" r:id="rId2814" display="https://www.google.com/url?q=https://github.com/goswami-rahul/competitive-coding/blob/master/CompetitiveProgramming/codechef/GNUM.cpp&amp;sa=D&amp;ust=1605639553218000&amp;usg=AFQjCNHLSqbcpXyTnXavQhjdHAqdRnzSXA" xr:uid="{E674E165-D1B6-4C2E-B518-B48F22BD8957}"/>
    <hyperlink ref="A3034" r:id="rId2815" display="https://www.google.com/url?q=http://poj.org/problem?id%3D3308&amp;sa=D&amp;ust=1605639553218000&amp;usg=AFQjCNHTivjV1sQzTau0gvz749LTp8uHzw" xr:uid="{EF958718-1209-47C6-9E3A-35D6D8B50B94}"/>
    <hyperlink ref="D3855" r:id="rId2816" display="https://www.google.com/url?q=https://github.com/mostafa-saad/MyCompetitiveProgramming/blob/master/PKU/PKU_3308.txt&amp;sa=D&amp;ust=1605639553218000&amp;usg=AFQjCNGCSLXXpIlle1ob4C2ijKhTrgE5rQ" xr:uid="{E97015F3-37B6-429C-AFF8-9A300B486A06}"/>
    <hyperlink ref="D3446" r:id="rId2817" display="https://www.google.com/url?q=https://github.com/achrafmam2/CompetitiveProgramming/blob/master/UVA/10779.cc&amp;sa=D&amp;ust=1605639553219000&amp;usg=AFQjCNFurfsAHrf7brt6llf8sjlx3EZo_w" xr:uid="{FCE89346-EADD-46A6-BFCB-0E28EE43DD35}"/>
    <hyperlink ref="A3038" r:id="rId2818" display="https://www.google.com/url?q=https://codeforces.com/contest/1184/problem/B3&amp;sa=D&amp;ust=1605639553220000&amp;usg=AFQjCNF82GG1MthT72_VQPDT6amxfvlmQA" xr:uid="{38ADD2CB-29F5-484D-B100-6C75C480B9F0}"/>
    <hyperlink ref="A3039" r:id="rId2819" display="https://www.google.com/url?q=http://codeforces.com/problemset/problem/546/E&amp;sa=D&amp;ust=1605639553220000&amp;usg=AFQjCNHRDdvwxrD6qcTnT_U71PNaAh21fQ" xr:uid="{506135E6-CECC-4216-B696-A6DBB6284921}"/>
    <hyperlink ref="A3040" r:id="rId2820" display="https://www.google.com/url?q=https://www.spoj.com/problems/AMR12A/&amp;sa=D&amp;ust=1605639553221000&amp;usg=AFQjCNHpvw4iFW3yK0fNPX19G8upucT2iQ" xr:uid="{C103482C-B070-4AE0-993B-F0F1272458E1}"/>
    <hyperlink ref="D3450" r:id="rId2821" display="https://www.google.com/url?q=https://github.com/MohamedNabil97/CompetitiveProgramming/tree/master/SPOJ/NETADMIN.cpp&amp;sa=D&amp;ust=1605639553221000&amp;usg=AFQjCNEFSxhRzU07_2ae6L20pWIeDAsFDg" xr:uid="{0FE02E5F-D554-42F8-B0D9-BC0F128B76D2}"/>
    <hyperlink ref="D3451" r:id="rId2822" display="https://www.google.com/url?q=https://github.com/MohamedNabil97/CompetitiveProgramming/blob/master/TopCoder/SRM589-D1-500.cpp&amp;sa=D&amp;ust=1605639553222000&amp;usg=AFQjCNEKbMnFYl1_jc7kJOOzafmjoCmeOA" xr:uid="{37608D2F-E76B-465F-B8CA-131C2342DBD8}"/>
    <hyperlink ref="D3452" r:id="rId2823" display="https://www.google.com/url?q=https://github.com/mostafa-saad/MyCompetitiveProgramming/blob/master/LiveArchive/LIVEARCHIVE_5804.txt&amp;sa=D&amp;ust=1605639553222000&amp;usg=AFQjCNFPVOmFd6LU6FT_mvi4w7xKvcohbA" xr:uid="{A1C4DDB1-E19C-4268-AEF4-293181673C8D}"/>
    <hyperlink ref="D3453" r:id="rId2824" display="https://www.google.com/url?q=https://github.com/TheRealImaginary/CompetitiveProgramming/blob/master/ZOJ/ZOJ_2760_HowManyShortestPath.java&amp;sa=D&amp;ust=1605639553222000&amp;usg=AFQjCNFAi_DogEMbZYS_jA7HDC_2Yx6yCQ" xr:uid="{45DAB837-DCFF-4D9E-9989-BA47660FC70B}"/>
    <hyperlink ref="D2918" r:id="rId2825" display="https://www.google.com/url?q=https://github.com/achrafmam2/CompetitiveProgramming/blob/master/UVA/10511.cc&amp;sa=D&amp;ust=1605639553224000&amp;usg=AFQjCNFAYGwiCBNHvKcgJuMkehxIhLeM5g" xr:uid="{D8AC0A30-9162-479E-9289-95FA2E1A9019}"/>
    <hyperlink ref="A3049" r:id="rId2826" display="https://www.google.com/url?q=http://codeforces.com/contest/653/problem/D&amp;sa=D&amp;ust=1605639553224000&amp;usg=AFQjCNEY9ZCNPokXtg5GolVc5Q9XYNMAJA" xr:uid="{30194982-0CC1-44C9-9A86-8A5BD01F447B}"/>
    <hyperlink ref="A3050" r:id="rId2827" display="https://www.google.com/url?q=http://www.spoj.com/problems/IM&amp;sa=D&amp;ust=1605639553224000&amp;usg=AFQjCNE5PkX1fFGfMJdFkqdi2wcvnlQSLA" xr:uid="{8AF00514-8407-42A0-B922-CCE221A6B8D2}"/>
    <hyperlink ref="D2776" r:id="rId2828" display="https://www.google.com/url?q=https://github.com/mostafa-saad/MyCompetitiveProgramming/blob/master/SPOJ/SPOJ_IM.txt&amp;sa=D&amp;ust=1605639553226000&amp;usg=AFQjCNG7K9YLvXJPacR9uWvMRl-zntIzdQ" xr:uid="{5CC104F5-F652-4723-9487-90B6DF6C966A}"/>
    <hyperlink ref="A3079" r:id="rId2829" display="https://www.google.com/url?q=https://uva.onlinejudge.org/index.php?option%3Dcom_onlinejudge%26Itemid%3D8%26page%3Dshow_problem%26problem%3D504&amp;sa=D&amp;ust=1605639553226000&amp;usg=AFQjCNHBhQOuTxOhFtTLFuHXzFNP4WyulQ" xr:uid="{0993B575-0B2F-44A4-9C23-E6A0EDB88317}"/>
    <hyperlink ref="D2777" r:id="rId2830" display="https://www.google.com/url?q=https://github.com/BRAINOOOO/CompetitiveProgramming/blob/d60a5d1364a8f6aba3cd785c1e5d7825bf3818bc/UVA/UVA%2520563.Cpp&amp;sa=D&amp;ust=1605639553226000&amp;usg=AFQjCNHPATuHcEu81valcMMFozLXj2339w" xr:uid="{7FA55DDE-A016-4559-A9E0-CEFA48691CC9}"/>
    <hyperlink ref="A3080" r:id="rId2831" display="https://www.google.com/url?q=https://www.spoj.com/problems/ADACITY/&amp;sa=D&amp;ust=1605639553227000&amp;usg=AFQjCNGUH-2UPziqewnjhjX22A_RoIl05Q" xr:uid="{2B61960E-28E9-4166-A483-8C3E7F401638}"/>
    <hyperlink ref="D2780" r:id="rId2832" display="https://www.google.com/url?q=https://github.com/MohamedNabil97/CompetitiveProgramming/blob/master/TJU/2842.cpp&amp;sa=D&amp;ust=1605639553227000&amp;usg=AFQjCNHNakZufjW5tLIGr0pv-SSMo3MV5g" xr:uid="{530DAC81-0908-476C-9FAF-22B0F808F42F}"/>
    <hyperlink ref="A3084" r:id="rId2833" display="https://www.google.com/url?q=http://acm.tju.edu.cn/toj/showp2823.html&amp;sa=D&amp;ust=1605639553228000&amp;usg=AFQjCNHo8O0Be6lJ2g48Hu_aaP_FtP2ztQ" xr:uid="{594CED30-CACE-40EA-8160-3BF14A31DCEB}"/>
    <hyperlink ref="D2141" r:id="rId2834" display="https://www.google.com/url?q=https://github.com/MohamedNabil97/CompetitiveProgramming/blob/master/TJU/2823.cpp&amp;sa=D&amp;ust=1605639553228000&amp;usg=AFQjCNFYlG2q9t0BX3G_RzJ4iJxaGWIXjA" xr:uid="{9C67C6B6-AF7B-4AFF-86A2-DBE1764AE3DE}"/>
    <hyperlink ref="A3085" r:id="rId2835" display="https://www.google.com/url?q=https://uva.onlinejudge.org/index.php?option%3Dcom_onlinejudge%26Itemid%3D8%26page%3Dshow_problem%26problem%3D3277&amp;sa=D&amp;ust=1605639553228000&amp;usg=AFQjCNGQ5KkUHEcVzMVSZx2xsJvE3ApALw" xr:uid="{547C0B11-29F5-4ED2-BCF4-2EFF73B0BC3F}"/>
    <hyperlink ref="D2142" r:id="rId2836" display="https://www.google.com/url?q=https://github.com/mostafa-saad/MyCompetitiveProgramming/blob/master/UVA/UVA_12125.txt&amp;sa=D&amp;ust=1605639553229000&amp;usg=AFQjCNFjoZyjr34le1MHy6R6r9qOR-R7WQ" xr:uid="{B9ED3765-67D8-48D7-828D-C0CBDB68D06F}"/>
    <hyperlink ref="A3087" r:id="rId2837" display="https://www.google.com/url?q=http://codeforces.com/contest/546/problem/E&amp;sa=D&amp;ust=1605639553229000&amp;usg=AFQjCNFKKHUwe926fIPpXmKiZwsa9SEAcg" xr:uid="{8726DCD4-CACA-4C5C-80B0-5FB726179518}"/>
    <hyperlink ref="D2146" r:id="rId2838" display="https://www.google.com/url?q=https://ideone.com/gvetG2&amp;sa=D&amp;ust=1605639553230000&amp;usg=AFQjCNFhVPCfRx70b8NkE1_tZ6kzFgrepw" xr:uid="{0868EDD1-C8FC-4CA4-97CE-66F75366ECB0}"/>
    <hyperlink ref="A3091" r:id="rId2839" display="https://www.google.com/url?q=http://codeforces.com/gym/101845/problem/F&amp;sa=D&amp;ust=1605639553231000&amp;usg=AFQjCNGcL8-QLjcKdFJZbqx7F5Jb2KV16A" xr:uid="{5DB2E507-1B73-49D8-8964-CC83BAC71035}"/>
    <hyperlink ref="D2148" r:id="rId2840" display="https://www.google.com/url?q=https://github.com/magdy-hasan/competitive-programming/blob/983dc6255dce4f556eba3139f1ea985905559403/Codeforces/CF101845-GYM-F.cpp&amp;sa=D&amp;ust=1605639553231000&amp;usg=AFQjCNFTMgzzQP1Odl40isl4Bfe4j1Xn8A" xr:uid="{CA7BDADA-D0B3-4984-915C-B253E46958D5}"/>
    <hyperlink ref="A3635" r:id="rId2841" display="https://www.google.com/url?q=https://uva.onlinejudge.org/index.php?option%3Dcom_onlinejudge%26Itemid%3D8%26page%3Dshow_problem%26problem%3D1033&amp;sa=D&amp;ust=1605639553232000&amp;usg=AFQjCNHoAltMLWO8zaGMbma1c1WcForQYA" xr:uid="{70E2BE20-0439-4CB9-8F1B-79FD395EFFB6}"/>
    <hyperlink ref="D1400" r:id="rId2842" display="https://www.google.com/url?q=https://github.com/3agwa/CompetitiveProgramming/blob/master/SPOJ/SPOJ%2520FASTFLOW.cpp&amp;sa=D&amp;ust=1605639553232000&amp;usg=AFQjCNGxq8z0c5c4q_71XIEiSrstG5dw4w" xr:uid="{1FE89E10-6519-4769-B694-0835F0C66DF1}"/>
    <hyperlink ref="A3638" r:id="rId2843" display="https://www.google.com/url?q=https://uva.onlinejudge.org/index.php?option%3Donlinejudge%26page%3Dshow_problem%26problem%3D1271&amp;sa=D&amp;ust=1605639553233000&amp;usg=AFQjCNEBVViJKCwNcxhYlKTShBM1Thpfww" xr:uid="{A4C33082-6E78-4BBE-B97F-DE4D254ABD18}"/>
    <hyperlink ref="D1019" r:id="rId2844" display="https://www.google.com/url?q=https://github.com/ilyesG/Competitive-Programming/blob/master/UVA/UVA%252010330.cpp&amp;sa=D&amp;ust=1605639553233000&amp;usg=AFQjCNFa7zzY3xhdCAp62M3OAsUswfavUQ" xr:uid="{8E42E94B-7694-4F5A-9857-1B01124A87DF}"/>
    <hyperlink ref="A3639" r:id="rId2845" display="https://www.google.com/url?q=http://www.spoj.com/problems/POTHOLE/&amp;sa=D&amp;ust=1605639553233000&amp;usg=AFQjCNEKI2lC_PlaQAnKVIslow64Vd2gNQ" xr:uid="{4737801E-035A-48AC-9F62-EE8E51D7EDC4}"/>
    <hyperlink ref="D362" r:id="rId2846" display="https://www.google.com/url?q=https://github.com/BRAINOOOO/CompetitiveProgramming/blob/682cdb2f527d2ab262a9f616687b53a158b281a4/Spoj/SPOJ%2520POTHOLE.Cpp&amp;sa=D&amp;ust=1605639553234000&amp;usg=AFQjCNFLlVUgBu-VrOoe_qfHHIghAY6W8w" xr:uid="{290D6DAD-0128-42A7-A161-1A76D5E4607B}"/>
    <hyperlink ref="D5575" r:id="rId2847" display="https://www.google.com/url?q=https://github.com/mostafa-saad/MyCompetitiveProgramming/blob/master/Timus/TIMUS_2038.txt&amp;sa=D&amp;ust=1605639553236000&amp;usg=AFQjCNHXzErqlmIKBJs59wg0yuDhSGE4Rg" xr:uid="{12197138-5A62-4464-B456-17045291CBBA}"/>
    <hyperlink ref="A3645" r:id="rId2848" display="https://www.google.com/url?q=https://www.codechef.com/problems/MATCH&amp;sa=D&amp;ust=1605639553236000&amp;usg=AFQjCNHaQ-TXHgvKjvpMSbPyE4B5ef_Rbg" xr:uid="{CFD17983-AB35-4738-8A2E-19E180C3502A}"/>
    <hyperlink ref="D5535" r:id="rId2849" display="https://www.google.com/url?q=https://icpc.camp/new-meta/Topcoder%25E4%25B8%2593%25E9%25A2%2598%23alienskislopes-srm687-hard&amp;sa=D&amp;ust=1605639553237000&amp;usg=AFQjCNEl8jLFK1_l3DhTnj1Jrpv22vgtUA" xr:uid="{8AFB9682-033D-4FCA-8D2D-E57A51617FEE}"/>
    <hyperlink ref="A3647" r:id="rId2850" display="https://www.google.com/url?q=http://codeforces.com/gym/101666/problem/E&amp;sa=D&amp;ust=1605639553237000&amp;usg=AFQjCNHDswVQSvjWRYF5WRVplix2Tb0ELA" xr:uid="{E7D00AD9-22A2-443E-BD2C-DD5854C9A3B3}"/>
    <hyperlink ref="D5536" r:id="rId2851" display="https://www.google.com/url?q=https://github.com/swapnil119/CompetitiveProgramming/blob/master/CompetitiveProgramming/Codeforces/CF101666-GYM-E.cpp&amp;sa=D&amp;ust=1605639553237000&amp;usg=AFQjCNFBv6H9eb8QmpBnuA4WAYtWw7NmxQ" xr:uid="{20C06AD0-8BB1-444F-8A5C-1DA1DBDA9BA0}"/>
    <hyperlink ref="A3648" r:id="rId2852" display="https://www.google.com/url?q=http://codeforces.com/contest/78/problem/E&amp;sa=D&amp;ust=1605639553238000&amp;usg=AFQjCNF203mkGKAs0qbbS_RNo-6K3tLzaw" xr:uid="{6A7C448F-CCE2-4C8E-813C-C31C52E6626B}"/>
    <hyperlink ref="A3650" r:id="rId2853" display="https://www.google.com/url?q=https://community.topcoder.com/stat?c%3Dproblem_statement%26pm%3D1931%26rd%3D4709&amp;sa=D&amp;ust=1605639553238000&amp;usg=AFQjCNFU7XGQutLyEdDsucfGZKRZVoHRyA" xr:uid="{6F528799-9770-4756-AA46-A9B146DDFC86}"/>
    <hyperlink ref="A3651" r:id="rId2854" display="https://www.google.com/url?q=http://codeforces.com/contest/499/problem/E&amp;sa=D&amp;ust=1605639553239000&amp;usg=AFQjCNF5e7tZuvysX2WxXdZT3w2Q17eLag" xr:uid="{3732D666-B562-48C7-B032-723864441AF2}"/>
    <hyperlink ref="A3652" r:id="rId2855" display="https://www.google.com/url?q=https://www.codechef.com/problems/TWOCOMP&amp;sa=D&amp;ust=1605639553239000&amp;usg=AFQjCNFuVM4JVM7vffrfQ08HJe0otbMbGg" xr:uid="{D57572FC-8CEF-40BE-8564-EF08143F32AC}"/>
    <hyperlink ref="A3653" r:id="rId2856" display="https://www.google.com/url?q=http://codeforces.com/contest/512/problem/C&amp;sa=D&amp;ust=1605639553239000&amp;usg=AFQjCNHTrp_ZGlukeFnMqNZznSOt3Iosfg" xr:uid="{3B299520-BE1D-42F7-AD83-5F3B4A5124F2}"/>
    <hyperlink ref="D5155" r:id="rId2857" display="https://www.google.com/url?q=https://github.com/mostafa-saad/MyCompetitiveProgramming/blob/master/UVA/UVA_10735.txt&amp;sa=D&amp;ust=1605639553240000&amp;usg=AFQjCNHnng902X1Xy15D5bjzizA-sGqYRQ" xr:uid="{A989278F-FBA0-4D6E-A540-B818D7DE5394}"/>
    <hyperlink ref="A3657" r:id="rId2858" display="https://www.google.com/url?q=https://www.codechef.com/problems/KPERFMAT&amp;sa=D&amp;ust=1605639553241000&amp;usg=AFQjCNGCUtDUVs7QxQkZQsfluNsocamxyA" xr:uid="{5FCFB93F-65BB-49CC-B497-9883562816A9}"/>
    <hyperlink ref="D5156" r:id="rId2859" display="https://www.google.com/url?q=https://github.com/tmwilliamlin168/CompetitiveProgramming/blob/master/CodeChef/KPERFMAT.cpp&amp;sa=D&amp;ust=1605639553241000&amp;usg=AFQjCNFvYZ6as8Wnj4dsD21ZFx7_PgA05g" xr:uid="{BA7F1E86-F8A6-44D4-AFC1-BA09FF03795A}"/>
    <hyperlink ref="D5035" r:id="rId2860" display="https://www.google.com/url?q=https://github.com/mostafa-saad/MyCompetitiveProgramming/blob/master/LiveArchive/LIVEARCHIVE_2937.txt&amp;sa=D&amp;ust=1605639553241000&amp;usg=AFQjCNGAJX3vcOhHkPTjXJ1DIHRSilAGqQ" xr:uid="{C1D1E1A0-9BEF-4729-8168-1C777534F223}"/>
    <hyperlink ref="A3659" r:id="rId2861" display="https://www.google.com/url?q=https://atcoder.jp/contests/agc037/tasks/agc037_d&amp;sa=D&amp;ust=1605639553241000&amp;usg=AFQjCNGWpOsVayLUf1o48-In3kw3wUI9jQ" xr:uid="{32B19FD5-54A8-4DAB-AB5D-15008CA10B75}"/>
    <hyperlink ref="D4876" r:id="rId2862" display="https://www.google.com/url?q=https://ideone.com/B7SwUL&amp;sa=D&amp;ust=1605639553242000&amp;usg=AFQjCNFLxkJN8rRTqRB4_psYsMmYLEYq_Q" xr:uid="{0034B7B2-6327-4778-8EC1-7D69662C291C}"/>
    <hyperlink ref="A3661" r:id="rId2863" display="https://www.google.com/url?q=http://codeforces.com/problemset/problem/1054/F&amp;sa=D&amp;ust=1605639553242000&amp;usg=AFQjCNHy_t0DpuGK4QiSmRDTv5Ybur6uPA" xr:uid="{7D9A99B6-929A-4C0E-B555-EB54AF037125}"/>
    <hyperlink ref="D4878" r:id="rId2864" display="https://www.google.com/url?q=https://github.com/quangloc99/CompetitiveProgramming/blob/master/Topcoder/SRM527-D1-500.cpp&amp;sa=D&amp;ust=1605639553243000&amp;usg=AFQjCNGT72Bd71kJGK9NnnyxkkfAaNThBA" xr:uid="{1880A4BF-E51A-4DC8-B93D-2DBC3644621F}"/>
    <hyperlink ref="A3663" r:id="rId2865" display="https://www.google.com/url?q=https://code.google.com/codejam/contest/204113/dashboard%23s%3Dp2%26a%3D2&amp;sa=D&amp;ust=1605639553243000&amp;usg=AFQjCNEK-K6xbyxr9WS2fJm6xzSfo0BRQg" xr:uid="{37BAAE7C-CE6A-40CE-AA66-04B9FEA2D4C4}"/>
    <hyperlink ref="A3667" r:id="rId2866" display="https://www.google.com/url?q=https://codeforces.com/contest/1139/problem/E&amp;sa=D&amp;ust=1605639553244000&amp;usg=AFQjCNF6Ahr3AK83BMSZwP5CPwEijytiNw" xr:uid="{869D7B40-2A4D-4142-9449-3CDC3A9611B0}"/>
    <hyperlink ref="A3668" r:id="rId2867" display="https://www.google.com/url?q=http://codeforces.com/contest/387/problem/D&amp;sa=D&amp;ust=1605639553245000&amp;usg=AFQjCNFjWVfjCU_tQ7GrdBACGNQQDWTdSw" xr:uid="{EB367677-D885-4EFC-9BB9-3E7387884F8B}"/>
    <hyperlink ref="A3669" r:id="rId2868" display="https://www.google.com/url?q=https://codejam.withgoogle.com/2018/challenges/0000000000007706/dashboard/0000000000045875&amp;sa=D&amp;ust=1605639553246000&amp;usg=AFQjCNGVazJ1HaL9oIlVKN3gWuyi6CO9Kw" xr:uid="{706116C0-8B1E-421E-930C-61F4F86C2054}"/>
    <hyperlink ref="D3857" r:id="rId2869" display="https://www.google.com/url?q=https://github.com/BRAINOOOO/CompetitiveProgramming/blob/master/UVA/V-6/UVA%2520663.Cpp&amp;sa=D&amp;ust=1605639553247000&amp;usg=AFQjCNF9AetYaa6_k4MLe23XgQrWfdheJg" xr:uid="{2F3A5A24-E0A4-444B-9EDF-9D1AEBD61EC7}"/>
    <hyperlink ref="A3674" r:id="rId2870" display="https://www.google.com/url?q=https://www.spoj.com/problems/ADAPATH/&amp;sa=D&amp;ust=1605639553247000&amp;usg=AFQjCNGIBWdfJX67UzBaDmmEAnfPc56rSA" xr:uid="{03CD0B99-487E-49C0-AF35-874E810F0C97}"/>
    <hyperlink ref="D3858" r:id="rId2871" display="https://www.google.com/url?q=https://github.com/goswami-rahul/competitive-coding/blob/master/CompetitiveProgramming/spoj/ADAPATH.cpp&amp;sa=D&amp;ust=1605639553247000&amp;usg=AFQjCNH9XAWSDJmauEIiug5BCIoxLaSIeQ" xr:uid="{8B611A74-0C18-4933-B974-470470046826}"/>
    <hyperlink ref="A3676" r:id="rId2872" display="https://www.google.com/url?q=https://www.spoj.com/problems/ADABLOOM/&amp;sa=D&amp;ust=1605639553248000&amp;usg=AFQjCNEZtXYqbXsAIFUK8w0L7_pHlLSNtg" xr:uid="{F5C50A81-5DBD-41DF-BE61-4E39932CDA81}"/>
    <hyperlink ref="D3457" r:id="rId2873" display="https://www.google.com/url?q=https://github.com/Coder-Boy1/SPOJ/blob/master/SPOJ%2520ADABLOOM&amp;sa=D&amp;ust=1605639553248000&amp;usg=AFQjCNGUATXSo-kpgf6pAjQjAvpt4ZZQZw" xr:uid="{589658E7-E652-4C85-9339-6BC30BF3C2C2}"/>
    <hyperlink ref="A3679" r:id="rId2874" display="https://www.google.com/url?q=https://codeforces.com/contest/1152/problem/D&amp;sa=D&amp;ust=1605639553249000&amp;usg=AFQjCNGUj4_1LH6R7UP6J_2nqremkJNo-g" xr:uid="{539EAA02-DE44-4EE8-97D9-82477F9DBE38}"/>
    <hyperlink ref="A3634" r:id="rId2875" display="https://www.google.com/url?q=https://codeforces.com/contest/1034/problem/B&amp;sa=D&amp;ust=1605639553250000&amp;usg=AFQjCNH4PceuLOr4OIZa2-fPz-ryZK7wYw" xr:uid="{B7863C07-6701-4C90-9593-1A888858C2EB}"/>
    <hyperlink ref="D3462" r:id="rId2876" display="https://www.google.com/url?q=https://github.com/BRAINOOOO/CompetitiveProgramming/blob/master/UVA/V-121/UVA%252012168.Cpp&amp;sa=D&amp;ust=1605639553250000&amp;usg=AFQjCNEIU5uQfIrRb6_q4eMvkbrGWWoCKA" xr:uid="{D4862F49-528E-4765-9C73-383E12C3D2A3}"/>
    <hyperlink ref="A3680" r:id="rId2877" display="https://www.google.com/url?q=http://codeforces.com/contest/498/problem/C&amp;sa=D&amp;ust=1605639553251000&amp;usg=AFQjCNHnOoAdCKIt5SCQOKLlIeGSWdKqbg" xr:uid="{75019247-6BB2-4287-AA72-5F31D49B9D00}"/>
    <hyperlink ref="D3466" r:id="rId2878" display="https://www.google.com/url?q=https://github.com/mostafa-saad/MyCompetitiveProgramming/blob/master/SPOJ/SPOJ_OILCOMP.txt&amp;sa=D&amp;ust=1605639553252000&amp;usg=AFQjCNEOdclfYsqB5OtbKs5RHRlLidkNcg" xr:uid="{33C7727B-86A3-4F7D-BEFD-BBFBBFFB9919}"/>
    <hyperlink ref="A3684" r:id="rId2879" display="https://www.google.com/url?q=https://csacademy.com/contest/round-66/task/flipping-matrix/&amp;sa=D&amp;ust=1605639553252000&amp;usg=AFQjCNEl6WVl1HsEQJz155eK8Is4NK8XRQ" xr:uid="{DDB79541-A692-480D-B910-9DE856523BC8}"/>
    <hyperlink ref="A3685" r:id="rId2880" display="https://www.google.com/url?q=http://codeforces.com/contest/166/problem/D&amp;sa=D&amp;ust=1605639553253000&amp;usg=AFQjCNFrh4vjX02Of_4HBNk8E21YaWkXfA" xr:uid="{4D5CA4D1-4E9B-4ACD-9017-FC75A0AD1FA2}"/>
    <hyperlink ref="D2781" r:id="rId2881" display="https://www.google.com/url?q=https://github.com/mostafa-saad/MyCompetitiveProgramming/blob/master/UVA/UVA_1194.txt&amp;sa=D&amp;ust=1605639553254000&amp;usg=AFQjCNFoOI4pbwqHBU4yij7UdaHejnng0A" xr:uid="{868E5665-C75E-4B9F-A35A-12F6D9339B63}"/>
    <hyperlink ref="A3759" r:id="rId2882" display="https://www.google.com/url?q=https://uva.onlinejudge.org/index.php?option%3Donlinejudge%26page%3Dshow_problem%26problem%3D1290&amp;sa=D&amp;ust=1605639553254000&amp;usg=AFQjCNG3QjXw5za3A1qxER-IkNBhXueJ4A" xr:uid="{99549D9D-0BF2-4A42-9553-F5880A74023E}"/>
    <hyperlink ref="D2782" r:id="rId2883" display="https://www.google.com/url?q=https://github.com/mostafa-saad/MyCompetitiveProgramming/blob/master/UVA/UVA_10349.txt&amp;sa=D&amp;ust=1605639553254000&amp;usg=AFQjCNH5K-XPHF_NAfY4tassuzQDqCdiKw" xr:uid="{FDC9DD60-540A-4EE3-BAE2-513DBE99ECC2}"/>
    <hyperlink ref="D2783" r:id="rId2884" display="https://www.google.com/url?q=https://github.com/mostafa-saad/MyCompetitiveProgramming/blob/master/SPOJ/SPOJ_QUEST4.txt&amp;sa=D&amp;ust=1605639553256000&amp;usg=AFQjCNEIMrLdvne-G4ImcKTHq4x0Ga1D8g" xr:uid="{095D2800-C333-47F9-B7D8-820F660B9FAB}"/>
    <hyperlink ref="A3761" r:id="rId2885" display="https://www.google.com/url?q=https://uva.onlinejudge.org/index.php?option%3Dcom_onlinejudge%26Itemid%3D8%26page%3Dshow_problem%26problem%3D2100&amp;sa=D&amp;ust=1605639553256000&amp;usg=AFQjCNF_D0bub2_8GayJjcylKp90QcV-kQ" xr:uid="{2E0ABE17-F814-46A3-BA17-88E827C36EC3}"/>
    <hyperlink ref="D2784" r:id="rId2886" display="https://www.google.com/url?q=https://github.com/mostafa-saad/MyCompetitiveProgramming/blob/master/UVA/UVA_11159.txt&amp;sa=D&amp;ust=1605639553256000&amp;usg=AFQjCNEnTIJfPxaNF0L5i-qRBpv6gS_2Bg" xr:uid="{55EFE39E-2648-4BE9-A839-D90926D8DD08}"/>
    <hyperlink ref="A3762" r:id="rId2887" display="https://www.google.com/url?q=http://codeforces.com/gym/101047/problem/H&amp;sa=D&amp;ust=1605639553257000&amp;usg=AFQjCNFtGjaLCpbxaPWzvTwqH2M22KJ7Rw" xr:uid="{BA98010B-40F7-45A5-BFF2-C8BDC45D0554}"/>
    <hyperlink ref="D2785" r:id="rId2888" display="https://www.google.com/url?q=https://github.com/OmarKharouba/CompetitiveProgramming/blob/master/CodeForces/CF101047_GYM_H.java&amp;sa=D&amp;ust=1605639553257000&amp;usg=AFQjCNGyDVJX5yH3g36iBYOuVkAsZsJgfQ" xr:uid="{FA5E11C6-66C1-45D0-8D9E-C993F4694FA8}"/>
    <hyperlink ref="D2420" r:id="rId2889" display="https://www.google.com/url?q=https://github.com/Coder-Boy1/SPOJ/blob/master/SPOJ%2520STEAD&amp;sa=D&amp;ust=1605639553258000&amp;usg=AFQjCNGJ2KerHhW7ni6BfRTlSBgQBIZ3AA" xr:uid="{762F1038-1C40-408B-AA0A-B48148C25921}"/>
    <hyperlink ref="D2150" r:id="rId2890" display="https://www.google.com/url?q=https://github.com/mostafa-saad/MyCompetitiveProgramming/blob/master/LiveArchive/LIVEARCHIVE_3752.txt&amp;sa=D&amp;ust=1605639553258000&amp;usg=AFQjCNFhDR-wn0paE2HpmmLMV60AXao4Cg" xr:uid="{D2BABF84-411D-47F6-8DC0-5657B38F0CCE}"/>
    <hyperlink ref="D2151" r:id="rId2891" display="https://www.google.com/url?q=https://github.com/tanmoy13/CompetitveProgramming/blob/master/Online-Judge-Solutions/UVA/670%2520-%2520The%2520dog%2520task.cpp&amp;sa=D&amp;ust=1605639553259000&amp;usg=AFQjCNF10vhrhogmnBRQyiOYJxKeg_iBQQ" xr:uid="{78707101-8502-454D-9C71-DBFA223FE0C9}"/>
    <hyperlink ref="D2152" r:id="rId2892" display="https://www.google.com/url?q=https://github.com/AhmedRamadanAbdElghany/CompetitiveProgramming/blob/master/UVA/1184.cpp&amp;sa=D&amp;ust=1605639553259000&amp;usg=AFQjCNGuCmsGPR2o4pOUA4YZb-3XBhIiGQ" xr:uid="{C4ACF7F0-F05D-4D4F-ACA5-B3B3EFB5EFBC}"/>
    <hyperlink ref="A3819" r:id="rId2893" display="https://www.google.com/url?q=https://uva.onlinejudge.org/index.php?option%3Donlinejudge%26page%3Dshow_problem%26problem%3D694&amp;sa=D&amp;ust=1605639553260000&amp;usg=AFQjCNH0DFBzmfSHRq7NCzPNtBRi-13xIA" xr:uid="{494241C5-17EE-4634-8C73-2A81AB4A60AE}"/>
    <hyperlink ref="D2154" r:id="rId2894" display="https://www.google.com/url?q=https://github.com/mostafa-saad/MyCompetitiveProgramming/blob/master/UVA/UVA_753.txt&amp;sa=D&amp;ust=1605639553260000&amp;usg=AFQjCNEJoUEXaxkLz6vZGRMErs8saabBNQ" xr:uid="{364F2C52-2121-462C-8F3C-E843D26BDDC2}"/>
    <hyperlink ref="D2155" r:id="rId2895" display="https://www.google.com/url?q=http://ideone.com/bXUDTg&amp;sa=D&amp;ust=1605639553260000&amp;usg=AFQjCNFBQCg5WRfaLT5nLzej_1y_dxxsDQ" xr:uid="{52D0865B-2C35-44C6-8335-D8D7E308ABFC}"/>
    <hyperlink ref="D1402" r:id="rId2896" display="https://www.google.com/url?q=https://github.com/shashank0107/CompetitiveProgramming/blob/master/SPOJ/NITT4.cpp&amp;sa=D&amp;ust=1605639553261000&amp;usg=AFQjCNE49KwGkZTl2Kp1zFcc_B-gRhMs7g" xr:uid="{35B1EC3C-9486-4C8D-B1D0-AFDD19C116C2}"/>
    <hyperlink ref="A3876" r:id="rId2897" display="https://www.google.com/url?q=https://uva.onlinejudge.org/index.php?option%3Dcom_onlinejudge%26Itemid%3D8%26page%3Dshow_problem%26problem%3D195&amp;sa=D&amp;ust=1605639553262000&amp;usg=AFQjCNHmwrahE4hzFKLMaMfxwwcdNnH4tg" xr:uid="{44A6056F-D817-43BE-9447-34CD8B1A9F13}"/>
    <hyperlink ref="D1404" r:id="rId2898" display="https://www.google.com/url?q=https://github.com/mostafa-saad/MyCompetitiveProgramming/blob/master/UVA/UVA_259.txt&amp;sa=D&amp;ust=1605639553262000&amp;usg=AFQjCNH1-VwrhGNDFO5VVftvuvyQNyzO4A" xr:uid="{A6BCFD23-7F11-4F01-9DFD-ED5D19BBA8E0}"/>
    <hyperlink ref="D1020" r:id="rId2899" display="https://www.google.com/url?q=https://github.com/AhmedRamadanAbdElghany/CompetitiveProgramming/blob/master/UVA/11045.cpp&amp;sa=D&amp;ust=1605639553263000&amp;usg=AFQjCNFLmb1M7UZIxU9Kk3Ma5Wmgfrb3Qw" xr:uid="{AE8CCF2B-0AA9-40D7-986B-61660CB4BA0A}"/>
    <hyperlink ref="D1021" r:id="rId2900" display="https://www.google.com/url?q=https://github.com/andmej/live-archive/blob/master/2038%2520-%2520Strategic%2520game/2038.3.cpp&amp;sa=D&amp;ust=1605639553263000&amp;usg=AFQjCNE1BEbPDGCcjf1yGiWdqiAnvXCB2A" xr:uid="{3954666B-F0A7-4806-BB96-4200AD3C7A8A}"/>
    <hyperlink ref="D1022" r:id="rId2901" display="https://www.google.com/url?q=https://github.com/tanmoy13/CompetitveProgramming/blob/master/Online-Judge-Solutions/LiveArchive/3128%2520-%2520Card%2520Game%2520Cheater.cpp&amp;sa=D&amp;ust=1605639553264000&amp;usg=AFQjCNFai3MFByYDQ56kLqBR478vzbzkdQ" xr:uid="{26AC8D96-8CF4-4858-8A04-806D5D9CC79C}"/>
    <hyperlink ref="A3724" r:id="rId2902" display="https://www.google.com/url?q=https://uva.onlinejudge.org/index.php?option%3Dcom_onlinejudge%26Itemid%3D8%26page%3Dshow_problem%26problem%3D1021&amp;sa=D&amp;ust=1605639553265000&amp;usg=AFQjCNHemupopoZx6U4nC_om0VQ_DM2ZAA" xr:uid="{20C64F93-B493-4614-8351-C8EC898A5CAF}"/>
    <hyperlink ref="D1025" r:id="rId2903" display="https://www.google.com/url?q=https://github.com/ilyesG/Competitive-Programming/blob/master/UVA/UVA%252010080.cpp&amp;sa=D&amp;ust=1605639553265000&amp;usg=AFQjCNGhfup0WHbK2l-IrjYN2-G8GCu9wg" xr:uid="{3AFFA5FE-1CDE-472A-B9E9-31A3ADD1075B}"/>
    <hyperlink ref="D1027" r:id="rId2904" display="https://www.google.com/url?q=https://github.com/3agwa/CompetitiveProgramming/blob/master/SPOJ/SPOJ%2520MATCHING.cpp&amp;sa=D&amp;ust=1605639553266000&amp;usg=AFQjCNEtvfRqaecKPNewkaZugJDMNDfQFQ" xr:uid="{5507D89D-37FB-45CD-B425-A075FCB77865}"/>
    <hyperlink ref="A3730" r:id="rId2905" display="https://www.google.com/url?q=http://codeforces.com/contest/802/problem/N&amp;sa=D&amp;ust=1605639553268000&amp;usg=AFQjCNGDXnX4oFn30y9e4dZnVNhR2IiqZg" xr:uid="{851823BF-96D3-4849-9E73-E272C97154E2}"/>
    <hyperlink ref="D5350" r:id="rId2906" display="https://www.google.com/url?q=http://codeforces.com/blog/entry/51600&amp;sa=D&amp;ust=1605639553268000&amp;usg=AFQjCNGtpGvJyq3-kLlgzKX34GiEE_v71g" xr:uid="{23A03E17-3625-47AF-900A-172BA4487A74}"/>
    <hyperlink ref="A3731" r:id="rId2907" display="https://www.google.com/url?q=https://codeforces.com/contest/1288/problem/F&amp;sa=D&amp;ust=1605639553268000&amp;usg=AFQjCNGFAWpajbup3F5J7mH3C5xtak-v-Q" xr:uid="{7D47D4A8-9E76-410B-8061-683853924610}"/>
    <hyperlink ref="A3733" r:id="rId2908" display="https://www.google.com/url?q=http://agc034.contest.atcoder.jp/tasks/agc034_d&amp;sa=D&amp;ust=1605639553269000&amp;usg=AFQjCNHJb3rpIbsToAoMSxvo_0HFD-Dsog" xr:uid="{B0CAEDF0-F5A8-42E8-B081-ACCDADCE23BA}"/>
    <hyperlink ref="A3734" r:id="rId2909" display="https://www.google.com/url?q=http://codeforces.com/contest/316/problem/C2&amp;sa=D&amp;ust=1605639553269000&amp;usg=AFQjCNFoNGioN7REuHg2zLs-Y2SbA25R9A" xr:uid="{A94F3F9E-A2DB-4563-A5C7-A21063725EF6}"/>
    <hyperlink ref="A3743" r:id="rId2910" display="https://www.google.com/url?q=https://codeforces.com/contest/1107/problem/F&amp;sa=D&amp;ust=1605639553270000&amp;usg=AFQjCNE5qOMQ8fqiy1a_nR_esziWCHwsZA" xr:uid="{C0C6889A-AD55-4998-9733-96E8A05A1F73}"/>
    <hyperlink ref="D4879" r:id="rId2911" display="https://www.google.com/url?q=https://github.com/khaledsliti/CompetitiveProgramming/blob/master/Codeforces/CF1107-D12-F.cpp&amp;sa=D&amp;ust=1605639553270000&amp;usg=AFQjCNH3FUtO5XwbeabqIO6rXG9MTB1KKA" xr:uid="{44FB0439-C5AB-4A9D-8430-428655B9B240}"/>
    <hyperlink ref="A3744" r:id="rId2912" display="https://www.google.com/url?q=https://www.codechef.com/LTIME70B/problems/TREF&amp;sa=D&amp;ust=1605639553270000&amp;usg=AFQjCNHNAtDkA5yM3RuENGVD3Ea6nKK6Fw" xr:uid="{E36B07E1-52D3-4DAA-BE1A-737B49B43C44}"/>
    <hyperlink ref="A3745" r:id="rId2913" display="https://www.google.com/url?q=http://www.spoj.com/problems/TOURS/&amp;sa=D&amp;ust=1605639553271000&amp;usg=AFQjCNFxD7bxAF40kPnS1Gc16tBZyRBASg" xr:uid="{E22241A3-B8D2-4796-A9DC-3A8FF6A8363B}"/>
    <hyperlink ref="A3746" r:id="rId2914" display="https://www.google.com/url?q=http://codeforces.com/contest/863/problem/F&amp;sa=D&amp;ust=1605639553271000&amp;usg=AFQjCNFRdXixjFhDukIeORBjthO-CE7yhg" xr:uid="{B5DB3CFE-6DB0-4A9E-AD9A-F47CF9A8286C}"/>
    <hyperlink ref="A3748" r:id="rId2915" display="https://www.google.com/url?q=http://codeforces.com/contest/277/problem/E&amp;sa=D&amp;ust=1605639553272000&amp;usg=AFQjCNG2J3h6pYKAcCJH2lgbYo7djP5Aag" xr:uid="{A192619F-510B-44AB-8C98-6C7DF7896366}"/>
    <hyperlink ref="A3749" r:id="rId2916" display="https://www.google.com/url?q=http://codeforces.com/contest/818/problem/G&amp;sa=D&amp;ust=1605639553272000&amp;usg=AFQjCNHzuqD888Pvl71GhG_DO_1DjPEwxQ" xr:uid="{C167DF85-D484-4771-BB46-AB4BEAF2B25E}"/>
    <hyperlink ref="A3751" r:id="rId2917" display="https://www.google.com/url?q=https://www.hackerrank.com/contests/w38/challenges/cargo-delivery/&amp;sa=D&amp;ust=1605639553273000&amp;usg=AFQjCNH7UAVvJxpziWGNn4h4VTDyj6Fr-A" xr:uid="{3170A285-AE9B-4262-A70B-3CF7998E1C66}"/>
    <hyperlink ref="D4253" r:id="rId2918" display="https://www.google.com/url?q=https://github.com/tmwilliamlin168/CompetitiveProgramming/blob/master/HackerRank/cargo-delivery.cpp&amp;sa=D&amp;ust=1605639553273000&amp;usg=AFQjCNHIEtWdYhIEGrygyBccf68GTm9Vdw" xr:uid="{DFD6913F-E594-44FC-BA94-4073E4EEE606}"/>
    <hyperlink ref="D2920" r:id="rId2919" display="https://www.google.com/url?q=https://apps.topcoder.com/forums/;jsessionid%3DEDD17CB539B3717B0D70ED5488A0CAD4?module%3DThread%26threadID%3D514536%26start%3D0%26mc%3D24%23572589&amp;sa=D&amp;ust=1605639553275000&amp;usg=AFQjCNFr_EUB4K8N4AoKL9jaHGS68-pB3A" xr:uid="{0DDB90F7-9088-49E2-A66A-A37496CB54C6}"/>
    <hyperlink ref="A3765" r:id="rId2920" display="https://www.google.com/url?q=http://codeforces.com/problemset/problem/237/E&amp;sa=D&amp;ust=1605639553277000&amp;usg=AFQjCNElq9vSY1zSK21JmMtZR88q4Ey_Kg" xr:uid="{11ECF673-ADAA-42A3-978C-85344F9ADBE7}"/>
    <hyperlink ref="D2159" r:id="rId2921" display="https://www.google.com/url?q=https://github.com/TheRealImaginary/CompetitiveProgramming/blob/master/PKU/PKU_3422_KakasMatrixTravels.java&amp;sa=D&amp;ust=1605639553278000&amp;usg=AFQjCNEhiCPeZ9b7g_5dfmVxI84clWCN5g" xr:uid="{6E2BF19C-ADA7-4189-9825-493D1A24ECE5}"/>
    <hyperlink ref="A3774" r:id="rId2922" display="https://www.google.com/url?q=http://codeforces.com/contest/240/problem/E&amp;sa=D&amp;ust=1605639553279000&amp;usg=AFQjCNFH9RGx_hP1aUtM5iY2yqNNBDmdGQ" xr:uid="{6DAF12E1-8716-42D4-BA9D-BE7C55382013}"/>
    <hyperlink ref="D5545" r:id="rId2923" display="https://www.google.com/url?q=https://codeforces.com/blog/entry/5531?%23comment-108144&amp;sa=D&amp;ust=1605639553279000&amp;usg=AFQjCNEUtxS3_vr9nIzyWLOKti5-u77aeA" xr:uid="{96D07AF3-2E3E-4AFC-8E20-2F2C5DD1E66B}"/>
    <hyperlink ref="A3775" r:id="rId2924" display="https://www.google.com/url?q=https://csacademy.com/contest/round-82/task/water-supply/&amp;sa=D&amp;ust=1605639553280000&amp;usg=AFQjCNHfZ77Kd7Tvu8SkFK0IroJNfj5uFw" xr:uid="{8A691476-5BAF-4458-936F-B7FD59E47ECB}"/>
    <hyperlink ref="D5353" r:id="rId2925" display="https://www.google.com/url?q=https://github.com/tmwilliamlin168/CompetitiveProgramming/blob/master/CSAcademy/82-E.java&amp;sa=D&amp;ust=1605639553280000&amp;usg=AFQjCNFq_G4BzjMPN0j1zVsO1cStqt2LQQ" xr:uid="{64A29A6C-72DF-42B7-8FCF-A564B70654E2}"/>
    <hyperlink ref="A3779" r:id="rId2926" display="https://www.google.com/url?q=https://naipc17.kattis.com/problems/blazingnewtrails&amp;sa=D&amp;ust=1605639553281000&amp;usg=AFQjCNFxxAgzss453A7-qI-YTSus5B6u_Q" xr:uid="{59830D7D-CCF4-4810-B1FD-455FBE703586}"/>
    <hyperlink ref="D5158" r:id="rId2927" display="https://www.google.com/url?q=https://github.com/taow-com-prog/problemsolving/blob/master/Kattis/kattis%2520blazingnewtrails.cpp&amp;sa=D&amp;ust=1605639553281000&amp;usg=AFQjCNHvv8Tbj9QHf-RFpXQEDDNW2ldQTA" xr:uid="{44BB1B9D-1C33-40A8-AA9B-3126492420B2}"/>
    <hyperlink ref="A3780" r:id="rId2928" display="https://www.google.com/url?q=http://codeforces.com/contest/1023/problem/F&amp;sa=D&amp;ust=1605639553281000&amp;usg=AFQjCNG6z0RhLewmoBxk5L_s2VRVvXynmQ" xr:uid="{5E2CF11F-BBE2-4AD8-9D0B-C385DF9B814D}"/>
    <hyperlink ref="D5159" r:id="rId2929" display="https://www.google.com/url?q=https://github.com/tmwilliamlin168/CompetitiveProgramming/blob/master/CodeForces/1023F(2).cpp&amp;sa=D&amp;ust=1605639553282000&amp;usg=AFQjCNESTh82TShTVQuxXurElx35UC7NLQ" xr:uid="{1A569234-CED4-4EBE-92FB-0BA36CEB912A}"/>
    <hyperlink ref="A3781" r:id="rId2930" display="https://www.google.com/url?q=http://codeforces.com/contest/892/problem/E&amp;sa=D&amp;ust=1605639553282000&amp;usg=AFQjCNF99fXRJSIqenkEa1WGPqMu3NIM3Q" xr:uid="{428D783C-A784-4ABE-983F-81AB45930E7F}"/>
    <hyperlink ref="D5160" r:id="rId2931" display="https://www.google.com/url?q=https://codeforces.com/contest/892/submission/47343108&amp;sa=D&amp;ust=1605639553282000&amp;usg=AFQjCNGjMGP4-7fe0Uyx8D85vbmhxMIHtA" xr:uid="{0399129F-5B13-4AA7-A383-70C611B75F23}"/>
    <hyperlink ref="A3782" r:id="rId2932" display="https://www.google.com/url?q=https://codeforces.com/contest/951/problem/D&amp;sa=D&amp;ust=1605639553283000&amp;usg=AFQjCNHWsv7pOVWe8kp1oTG_3opWaLmdJw" xr:uid="{37D9FD68-38E2-49B7-8D60-8D6AD1D92BF1}"/>
    <hyperlink ref="D5161" r:id="rId2933" display="https://www.google.com/url?q=https://github.com/LeTrongDat/CompetitiveProgramming/blob/master/Codeforces/CF951-D1-D.cpp&amp;sa=D&amp;ust=1605639553283000&amp;usg=AFQjCNF5DZGDTY6ZXEeWP6VEkH0esTQ7kw" xr:uid="{6262E0D4-B4EA-443F-BA5B-5D235B8F8C96}"/>
    <hyperlink ref="D5036" r:id="rId2934" display="https://www.google.com/url?q=https://github.com/mostafa-saad/MyCompetitiveProgramming/blob/master/SPOJ/SPOJ_MSTS.txt&amp;sa=D&amp;ust=1605639553283000&amp;usg=AFQjCNHx9uRhROscvqfLxkx8499NjW1lOg" xr:uid="{007AACC6-5E26-46CD-8189-DEBC13D76027}"/>
    <hyperlink ref="A3784" r:id="rId2935" display="https://www.google.com/url?q=https://codeforces.com/contest/1051/problem/F&amp;sa=D&amp;ust=1605639553284000&amp;usg=AFQjCNHYbccR4pah7obeN_b_Vg8JVD0NWA" xr:uid="{C2BE0C64-BFE5-4227-8998-82ED10682C05}"/>
    <hyperlink ref="D4885" r:id="rId2936" display="https://www.google.com/url?q=https://blog.csdn.net/u012596172/article/details/42610761&amp;sa=D&amp;ust=1605639553284000&amp;usg=AFQjCNG0dCksJfEVGLAo807-KseR5JcYdQ" xr:uid="{15A590EF-E98A-415B-AD8A-345F161C3C28}"/>
    <hyperlink ref="A3786" r:id="rId2937" display="https://www.google.com/url?q=http://codeforces.com/contest/266/problem/D&amp;sa=D&amp;ust=1605639553284000&amp;usg=AFQjCNHjjV6wrk4daUzSGno2rhVUFrO9UQ" xr:uid="{E259E63D-3587-49B8-8A74-78EB604BF45B}"/>
    <hyperlink ref="A3787" r:id="rId2938" display="https://www.google.com/url?q=https://codeforces.com/contest/891/problem/C&amp;sa=D&amp;ust=1605639553285000&amp;usg=AFQjCNG-4Nj6EiHqiZ1eSrmyKh_4Iuya2A" xr:uid="{D3AF8320-81CC-4464-9B47-416BFF145754}"/>
    <hyperlink ref="D4562" r:id="rId2939" display="https://www.google.com/url?q=https://github.com/MetalBall887/Competitive-Programming/blob/master/CodeForces/CF891-D1-C.cpp&amp;sa=D&amp;ust=1605639553285000&amp;usg=AFQjCNFjv2-Y8Gx845DTGOQqZQ2oHvSJJA" xr:uid="{2EF619CE-DDB5-4EAA-BFD3-CF052B1EC0B5}"/>
    <hyperlink ref="D4499" r:id="rId2940" display="https://www.google.com/url?q=https://github.com/AbdelrahmanRamadan/competitive-programming/blob/master/World%2520Finals/2005/3271%2520-%2520The%2520Traveling%2520Judges%2520Problem.cpp&amp;sa=D&amp;ust=1605639553286000&amp;usg=AFQjCNGHs6M6CDH_EDTr71t5s7LVF5FhgQ" xr:uid="{B74365FA-A1A9-48A0-9F22-E2BA570DA460}"/>
    <hyperlink ref="A3789" r:id="rId2941" display="https://www.google.com/url?q=http://codeforces.com/contest/141/problem/E&amp;sa=D&amp;ust=1605639553287000&amp;usg=AFQjCNHtjRmOAkfBs6Foilz5ZmAP-tD3hA" xr:uid="{7C72C7EE-CB6F-419C-A47C-4EB55C9145A6}"/>
    <hyperlink ref="A3790" r:id="rId2942" display="https://www.google.com/url?q=http://codeforces.com/problemset/problem/888/G&amp;sa=D&amp;ust=1605639553287000&amp;usg=AFQjCNF9zQE2vlbVsI6D31_67J6xKE4-Qw" xr:uid="{60E229A2-D50E-42E9-AC63-1E88B60754FD}"/>
    <hyperlink ref="D4257" r:id="rId2943" display="https://www.google.com/url?q=https://github.com/tanmoy13/CompetitveProgramming/blob/master/Online-Judge-Solutions/UVA/10805%2520-%2520Cockroach%2520Escape%2520Networks.cpp&amp;sa=D&amp;ust=1605639553288000&amp;usg=AFQjCNHX5g8p2TeS2OQkm17frkH69DWQNg" xr:uid="{C3484CB4-A07D-4EFC-BA3C-2076C0547212}"/>
    <hyperlink ref="A3793" r:id="rId2944" display="https://www.google.com/url?q=http://codeforces.com/contest/76/problem/A&amp;sa=D&amp;ust=1605639553288000&amp;usg=AFQjCNGq8WSRLIZQFKCwfSXp3BxSACfA7w" xr:uid="{5EAD2340-62A8-47FE-B89C-6F2CC5AA1FA2}"/>
    <hyperlink ref="D3861" r:id="rId2945" display="https://www.google.com/url?q=https://github.com/ryuzmukhametov/CompetitiveProgramming/blob/master/uva/UVA%25201151.cpp&amp;sa=D&amp;ust=1605639553289000&amp;usg=AFQjCNGVK0iHR9GaLA40jmzs_dkb6gr9cQ" xr:uid="{B95A0574-30D1-43F2-A2C5-13BCC3E5285D}"/>
    <hyperlink ref="A3796" r:id="rId2946" display="https://www.google.com/url?q=http://codeforces.com/gym/100283/problem/B&amp;sa=D&amp;ust=1605639553290000&amp;usg=AFQjCNHtLS1PTEUoFwQvqGxTvrHRrRotPw" xr:uid="{E2896AA2-9D64-42EA-98A7-62632555880D}"/>
    <hyperlink ref="D3477" r:id="rId2947" display="https://www.google.com/url?q=https://github.com/mostafa-saad/MyCompetitiveProgramming/blob/master/Codeforces/CF100283-GYM-B.txt&amp;sa=D&amp;ust=1605639553290000&amp;usg=AFQjCNHWgH-1oA7HGk6QOcMXmSnXVeKZ0Q" xr:uid="{4FD44C40-7D7E-4D00-856D-1A5005425F67}"/>
    <hyperlink ref="A3797" r:id="rId2948" display="https://www.google.com/url?q=https://www.hackerrank.com/contests/june-world-codesprint/challenges/johnland&amp;sa=D&amp;ust=1605639553290000&amp;usg=AFQjCNFWy0txtcsJBOUJiwYchMQBp7Nmpg" xr:uid="{68A70182-432C-4C4C-95BB-4472E4EEA631}"/>
    <hyperlink ref="D3479" r:id="rId2949" display="https://www.google.com/url?q=https://github.com/mostafa-saad/MyCompetitiveProgramming/blob/master/UVA/UVA_11354.txt&amp;sa=D&amp;ust=1605639553291000&amp;usg=AFQjCNFs8nTxN3cVlu6rB0EXRR2mvCQKzQ" xr:uid="{6FD84303-C336-4A8F-86C1-A86155F36C54}"/>
    <hyperlink ref="A3799" r:id="rId2950" display="https://www.google.com/url?q=https://codeforces.com/problemset/problem/1107/F&amp;sa=D&amp;ust=1605639553291000&amp;usg=AFQjCNFOZeD7kRWvOHECLD7aHnn_JeOIHg" xr:uid="{9F623A53-24A5-4189-907A-E612B279FC9C}"/>
    <hyperlink ref="D2791" r:id="rId2951" display="https://www.google.com/url?q=https://github.com/nya-nya-meow/CompetitiveProgramming/blob/master/CodeForces/CF1108-D3-F%2520-%2520MST%2520Unification..cpp&amp;sa=D&amp;ust=1605639553291000&amp;usg=AFQjCNH61Qy_1BRwIVmAk9Zt4QdI6mSAmg" xr:uid="{B4EEA727-5C9D-4CC9-B02A-EBFA83C97045}"/>
    <hyperlink ref="A3800" r:id="rId2952" display="https://www.google.com/url?q=https://codeforces.com/gym/102021/attachments&amp;sa=D&amp;ust=1605639553291000&amp;usg=AFQjCNEXGMr0DVyBprFDxDwbPu3u0pQH-Q" xr:uid="{27DD5FEE-40BE-46ED-973A-9C01FA321818}"/>
    <hyperlink ref="D2792" r:id="rId2953" display="https://www.google.com/url?q=https://github.com/YazanZebak/CompetitiveProgramming/blob/master/Codeforces/CF102021-GYM-M.cpp&amp;sa=D&amp;ust=1605639553292000&amp;usg=AFQjCNGJq4j9ZWquMX3oNH5JfwMIOQxxCQ" xr:uid="{A2FD2CD7-F623-4083-B355-26C7C3F67A9E}"/>
    <hyperlink ref="A3801" r:id="rId2954" display="https://www.google.com/url?q=https://codeforces.com/gym/101286/problem/E&amp;sa=D&amp;ust=1605639553292000&amp;usg=AFQjCNFOsgtbuNz-l8Z15B8hPhCnGVz8Og" xr:uid="{9E8C25AC-1103-4A98-8D8D-EEFBE21CA933}"/>
    <hyperlink ref="D2793" r:id="rId2955" display="https://www.google.com/url?q=https://github.com/SpeedOfMagic/CompetitiveProgramming/blob/master/CodeforcesGym/CF101286-GYM-E.cpp&amp;sa=D&amp;ust=1605639553292000&amp;usg=AFQjCNHL_MQhNtxX0r6gJ22HUc8f_8L_xw" xr:uid="{D9900C4E-0EEC-4A33-8742-DFDA2221A337}"/>
    <hyperlink ref="A3805" r:id="rId2956" display="https://www.google.com/url?q=https://codeforces.com/contest/1095/problem/F&amp;sa=D&amp;ust=1605639553293000&amp;usg=AFQjCNFMCQ_8WM6gev7f4ZhNFM2sl3hD5A" xr:uid="{BF63C32B-B18C-4881-97C5-5DB41419902D}"/>
    <hyperlink ref="D2162" r:id="rId2957" display="https://www.google.com/url?q=https://github.com/AhmedElsisy/CompetitiveProgramming/blob/master/SPOJ/SPOJ%2520IITKWPCG.cpp&amp;sa=D&amp;ust=1605639553294000&amp;usg=AFQjCNFOO82GTGX5SXn_Sa9cHPiDe2xyKA" xr:uid="{EEA9526D-591C-45DF-9F77-046A4262D2FC}"/>
    <hyperlink ref="A3809" r:id="rId2958" display="https://www.google.com/url?q=http://codeforces.com/contest/472/problem/D&amp;sa=D&amp;ust=1605639553295000&amp;usg=AFQjCNH-S6O5CAIQgaUong7_fmBM8bZ72Q" xr:uid="{797A002E-88BE-4E3B-9FEF-1F221CA27492}"/>
    <hyperlink ref="A3810" r:id="rId2959" display="https://www.google.com/url?q=http://codeforces.com/contest/606/problem/D&amp;sa=D&amp;ust=1605639553295000&amp;usg=AFQjCNEyPViWNoAGHuRl_qagwOMig-1gFQ" xr:uid="{5F49641A-35EC-49B9-AF6E-5D624CB976FD}"/>
    <hyperlink ref="A3811" r:id="rId2960" display="https://www.google.com/url?q=https://codeforces.com/contest/1081/problem/D&amp;sa=D&amp;ust=1605639553297000&amp;usg=AFQjCNGIZgjTLdIFELjVxqB0YGHaZrotsQ" xr:uid="{70E42EC0-00E9-46E5-9DFF-191F130CE5FB}"/>
    <hyperlink ref="A3812" r:id="rId2961" display="https://www.google.com/url?q=https://uva.onlinejudge.org/index.php?option%3Dcom_onlinejudge%26Itemid%3D8%26page%3Dshow_problem%26problem%3D3675&amp;sa=D&amp;ust=1605639553297000&amp;usg=AFQjCNGDC8p-tSSJ7LI_qpB2UljEkDe0Fw" xr:uid="{192CE529-DEC8-41BF-A44D-EF1CE1937DA3}"/>
    <hyperlink ref="D2168" r:id="rId2962" display="https://www.google.com/url?q=https://github.com/MohamedNabil97/CompetitiveProgramming/tree/master/UVA/1234.cpp&amp;sa=D&amp;ust=1605639553297000&amp;usg=AFQjCNGooITgTCay79ac9PTYuIzGkmJ_YQ" xr:uid="{A9ABAED2-986E-4E74-A28F-01CE326D0C22}"/>
    <hyperlink ref="A3813" r:id="rId2963" display="https://www.google.com/url?q=https://uva.onlinejudge.org/index.php?option%3Dcom_onlinejudge%26Itemid%3D8%26page%3Dshow_problem%26problem%3D1310&amp;sa=D&amp;ust=1605639553298000&amp;usg=AFQjCNHMBqEa0xw5D6RiLtKSaWLGiiFNqQ" xr:uid="{47BF9961-AB88-4ADF-8C5A-554C50BDE0A7}"/>
    <hyperlink ref="D2170" r:id="rId2964" display="https://www.google.com/url?q=https://github.com/ilyesG/Competitive-Programming/blob/master/UVA/UVA%25201395.cpp&amp;sa=D&amp;ust=1605639553298000&amp;usg=AFQjCNEC-Wr4zFPhz4rCSNuqgBq2MP1AaQ" xr:uid="{5A47925A-B83D-494D-8FEC-AC1D6E4CEAE8}"/>
    <hyperlink ref="D2171" r:id="rId2965" display="https://www.google.com/url?q=https://github.com/Huvok/CompetitiveProgramming/blob/master/SPOJ/NITTROAD.cpp&amp;sa=D&amp;ust=1605639553299000&amp;usg=AFQjCNEVTGuc187URUYEa0DUdyFiiPN6QQ" xr:uid="{2F3CDAFC-B8E5-4063-96D9-1383B3A86BA7}"/>
    <hyperlink ref="A3823" r:id="rId2966" display="https://www.google.com/url?q=https://icpcarchive.ecs.baylor.edu/index.php?option%3Donlinejudge%26page%3Dshow_problem%26problem%3D2327&amp;sa=D&amp;ust=1605639553299000&amp;usg=AFQjCNHI9ZX1NIqip94EgY8vbzAJZExm8w" xr:uid="{04F270E4-A8C4-48BC-9893-FA62E152FF35}"/>
    <hyperlink ref="A3824" r:id="rId2967" display="https://www.google.com/url?q=http://codeforces.com/contest/959/problem/E&amp;sa=D&amp;ust=1605639553300000&amp;usg=AFQjCNHK1iLzBNvtZCN7debCBLGTKN4z0g" xr:uid="{40D240BD-8718-4795-AE93-AA87B14F715D}"/>
    <hyperlink ref="A3825" r:id="rId2968" display="https://www.google.com/url?q=https://uva.onlinejudge.org/index.php?option%3Dcom_onlinejudge%26Itemid%3D8%26page%3Dshow_problem%26problem%3D1541&amp;sa=D&amp;ust=1605639553300000&amp;usg=AFQjCNF-vFCz6-raNKebFiTW8druUVMEaw" xr:uid="{385623F3-42A4-4060-B13D-42F3FC6EA686}"/>
    <hyperlink ref="D1408" r:id="rId2969" display="https://www.google.com/url?q=https://github.com/ilyesG/Competitive-Programming/blob/master/UVA/UVA%252010600.cpp&amp;sa=D&amp;ust=1605639553300000&amp;usg=AFQjCNHeTFZi9F37p1r0sXCpQcC0pxIw2Q" xr:uid="{C1AD6079-D90B-4385-A1E9-FF7519ADDB1B}"/>
    <hyperlink ref="D1409" r:id="rId2970" display="https://www.google.com/url?q=https://ideone.com/lXrzWF&amp;sa=D&amp;ust=1605639553301000&amp;usg=AFQjCNEaRgYqhsmt-UZ5cA4bxi0WBY0APA" xr:uid="{A58A60FF-60E1-44C8-9D12-AB236A800B05}"/>
    <hyperlink ref="D1029" r:id="rId2971" display="https://www.google.com/url?q=https://www.geeksforgeeks.org/total-number-spanning-trees-graph/&amp;sa=D&amp;ust=1605639553301000&amp;usg=AFQjCNEdVi_bds8o2U6oW23RaIWkYdG-sw" xr:uid="{051B08D1-9083-48E4-A37F-567150FA3E18}"/>
    <hyperlink ref="D1032" r:id="rId2972" display="https://www.google.com/url?q=https://github.com/AbdelrahmanRamadan/competitive-programming/blob/master/Topcoder/SRM368%2520Jumping%2520Board.cpp&amp;sa=D&amp;ust=1605639553302000&amp;usg=AFQjCNEPCMFsBayM9UQzS2Bh9FbNRe-bhQ" xr:uid="{6AC0AB11-6468-4AE7-A95F-47E5DD6FD01B}"/>
    <hyperlink ref="A3835" r:id="rId2973" display="https://www.google.com/url?q=https://uva.onlinejudge.org/index.php?option%3Dcom_onlinejudge%26Itemid%3D8%26page%3Dshow_problem%26problem%3D1088&amp;sa=D&amp;ust=1605639553304000&amp;usg=AFQjCNEIAyoO_PAuPvaOAA8uSJyhX2Carg" xr:uid="{BAEA6F16-EE99-4CC4-88C9-C513BCB33F03}"/>
    <hyperlink ref="A3838" r:id="rId2974" display="https://www.google.com/url?q=https://uva.onlinejudge.org/index.php?option%3Donlinejudge%26page%3Dshow_problem%26problem%3D1403&amp;sa=D&amp;ust=1605639553305000&amp;usg=AFQjCNHkluitnAMimG1Q0lb1OXau0_vVGg" xr:uid="{7D252228-65C2-47DA-A57B-78D0323FA37F}"/>
    <hyperlink ref="D4887" r:id="rId2975" display="https://www.google.com/url?q=https://github.com/DrSchwad/CompetitiveProgramming/blob/master/UVA/UVA%252011390.cpp&amp;sa=D&amp;ust=1605639553306000&amp;usg=AFQjCNHnnrLlh-Xi9i5yTMDuRSkZYbwGWA" xr:uid="{D4A8D96A-9875-4CB1-88C4-FB3773AD645D}"/>
    <hyperlink ref="A3840" r:id="rId2976" display="https://www.google.com/url?q=http://codeforces.com/problemset/problem/1065/F&amp;sa=D&amp;ust=1605639553306000&amp;usg=AFQjCNH_ebbrWCVsAxAAjYFQECIzbeImew" xr:uid="{9AF43676-1483-4F00-BEBB-FC595B9BE6E4}"/>
    <hyperlink ref="A3841" r:id="rId2977" display="https://www.google.com/url?q=https://codeforces.com/contest/1239/problem/D&amp;sa=D&amp;ust=1605639553306000&amp;usg=AFQjCNGEoKdIuyEN_AkYY4iYmCkSHJn89Q" xr:uid="{94960736-9B7E-4E94-B9CC-8440C1F4EA4C}"/>
    <hyperlink ref="D3935" r:id="rId2978" display="https://www.google.com/url?q=https://github.com/stefdasca/CompetitiveProgramming/blob/master/SPOJ/CHASE1.cpp&amp;sa=D&amp;ust=1605639553308000&amp;usg=AFQjCNFyJm2Q_Rm-B0hOvoiAYrwxr4yEFQ" xr:uid="{026DC53B-196F-4640-92C2-8C8A371089FA}"/>
    <hyperlink ref="A3845" r:id="rId2979" display="https://www.google.com/url?q=http://codeforces.com/contest/403/problem/C&amp;sa=D&amp;ust=1605639553308000&amp;usg=AFQjCNGIe8nAj08qzoPTCWdYsBlgC1jwHg" xr:uid="{DFA660CA-C604-4AB1-B3DA-D833B69C1DC7}"/>
    <hyperlink ref="D3480" r:id="rId2980" display="https://www.google.com/url?q=https://github.com/aviroop123/CompetitiveProgramming/blob/master/SPOJ/SPOJ%2520BREAK.cpp&amp;sa=D&amp;ust=1605639553309000&amp;usg=AFQjCNFvVri1xJ4mCF41Q6mY-lbf0qjuhg" xr:uid="{5A4B1B94-0C83-4739-9B62-B6B8172F1B6C}"/>
    <hyperlink ref="A3849" r:id="rId2981" display="https://www.google.com/url?q=https://code.google.com/codejam/contest/dashboard?c%3D4304486%23s%3Dp2&amp;sa=D&amp;ust=1605639553310000&amp;usg=AFQjCNHE7P5LYnySvc00mWM6bUoqdwe9SA" xr:uid="{783C5F2C-9950-4991-A16C-43180330463C}"/>
    <hyperlink ref="A3850" r:id="rId2982" display="https://www.google.com/url?q=http://codeforces.com/contest/950/problem/E&amp;sa=D&amp;ust=1605639553310000&amp;usg=AFQjCNEaaMuuKAMmhe1795EBgh6Py1ospA" xr:uid="{AB162512-FD42-47A2-A4DA-C9CAE454687B}"/>
    <hyperlink ref="A3851" r:id="rId2983" display="https://www.google.com/url?q=https://atcoder.jp/contests/abc142/tasks/abc142_f&amp;sa=D&amp;ust=1605639553311000&amp;usg=AFQjCNF5HlGaSe6H_3ZADNqoH161Y2juyA" xr:uid="{2E1E938D-EDC6-45CA-B9B8-303535464085}"/>
    <hyperlink ref="A3852" r:id="rId2984" display="https://www.google.com/url?q=https://uva.onlinejudge.org/index.php?option%3Dcom_onlinejudge%26Itemid%3D8%26page%3Dshow_problem%26problem%3D3319&amp;sa=D&amp;ust=1605639553311000&amp;usg=AFQjCNGzbNZDbdBvNx8O05au4Nnz5b0BKw" xr:uid="{BE54790D-EA02-45F0-AF21-F8CAF32CA2B0}"/>
    <hyperlink ref="D2175" r:id="rId2985" display="https://www.google.com/url?q=https://github.com/abdullaAshraf/Problem-Solving/blob/master/UVA/12167.cpp&amp;sa=D&amp;ust=1605639553312000&amp;usg=AFQjCNH33Zdm4GObIXpTyFVM0BSyrApsqw" xr:uid="{F4E31300-F0D1-45FD-97EC-533CA56D5088}"/>
    <hyperlink ref="A3855" r:id="rId2986" display="https://www.google.com/url?q=http://codeforces.com/contest/467/problem/D&amp;sa=D&amp;ust=1605639553313000&amp;usg=AFQjCNFox5Mc1iGWSo9hXow-7KcKIAI_tw" xr:uid="{0B04E57D-EF9F-4795-AA38-414F01EA5A25}"/>
    <hyperlink ref="A3857" r:id="rId2987" display="https://www.google.com/url?q=https://uva.onlinejudge.org/index.php?option%3Donlinejudge%26page%3Dshow_problem%26problem%3D2499&amp;sa=D&amp;ust=1605639553313000&amp;usg=AFQjCNGKJ4AmO5tMFmtsKTVummMHXYcybA" xr:uid="{0A6893C9-31F5-4E67-A6F4-A4541C4F9897}"/>
    <hyperlink ref="D1410" r:id="rId2988" display="https://www.google.com/url?q=https://github.com/mostafa-saad/MyCompetitiveProgramming/blob/master/UVA/UVA_11504.txt&amp;sa=D&amp;ust=1605639553314000&amp;usg=AFQjCNEfXqyiilEvGxM1Dc3Kr6dk8DTGvQ" xr:uid="{4F9C0CCC-6C69-4480-B5D2-B2086A3536FC}"/>
    <hyperlink ref="A3859" r:id="rId2989" display="https://www.google.com/url?q=http://acm.tju.edu.cn/toj/showp2233.html&amp;sa=D&amp;ust=1605639553314000&amp;usg=AFQjCNHhlhASjXsUb78NgHYoJ8hXrAqL8w" xr:uid="{78E9077F-9AFE-47EF-AA6A-43371CB06777}"/>
    <hyperlink ref="D1413" r:id="rId2990" display="https://www.google.com/url?q=https://github.com/shashank0107/CompetitiveProgramming/blob/master/UVA/1263.cpp&amp;sa=D&amp;ust=1605639553315000&amp;usg=AFQjCNHZflXNBDWU8l9q3Y3JwG0apd5efw" xr:uid="{53E4F0ED-5B5D-4114-8D8F-AA919D789E2B}"/>
    <hyperlink ref="A3861" r:id="rId2991" display="https://www.google.com/url?q=http://www.spoj.com/problems/TOUR/&amp;sa=D&amp;ust=1605639553315000&amp;usg=AFQjCNEdsfnHdrwiEmm9TbwPDWnZ_tSi5A" xr:uid="{3DB19F0B-659A-4897-B46D-FF43D43BC94F}"/>
    <hyperlink ref="A3862" r:id="rId2992" display="https://www.google.com/url?q=http://www.spoj.com/problems/BOTTOM/&amp;sa=D&amp;ust=1605639553316000&amp;usg=AFQjCNF27UmW6WtiC8WWpd7Iu29yqxoIZA" xr:uid="{7BC7A9E9-D3A5-4206-89F9-B9DF3A1BA63E}"/>
    <hyperlink ref="D548" r:id="rId2993" display="https://www.google.com/url?q=https://github.com/BRAINOOOO/CompetitiveProgramming/blob/master/Spoj/SPOJ%2520BOTTOM.Cpp&amp;sa=D&amp;ust=1605639553316000&amp;usg=AFQjCNFAYgZr8YvwdDbQSZQW_74RYQHkhw" xr:uid="{45BCAB7D-C759-4EF0-B5BF-7532D7800769}"/>
    <hyperlink ref="A3863" r:id="rId2994" display="https://www.google.com/url?q=https://uva.onlinejudge.org/index.php?option%3Donlinejudge%26page%3Dshow_problem%26problem%3D1672&amp;sa=D&amp;ust=1605639553316000&amp;usg=AFQjCNETnMrFs9Fds3Pj1oq-jWK--3X62g" xr:uid="{8580B53B-75D3-4A6D-B866-5C860B0087AE}"/>
    <hyperlink ref="D549" r:id="rId2995" display="https://www.google.com/url?q=https://github.com/ilyesLtifi/Competitive-Programming/blob/master/UVA/UVA%252010731.cpp&amp;sa=D&amp;ust=1605639553317000&amp;usg=AFQjCNE7LL84eoqnVmjSsRW_ClkMHkXsNg" xr:uid="{BB411048-AE06-499A-82B3-D874919FA5EA}"/>
    <hyperlink ref="D372" r:id="rId2996" display="https://www.google.com/url?q=https://github.com/ahmedsamir221/CompetitiveProgramming/blob/master/SPOJ/SPOJ%2520MOWS.cpp&amp;sa=D&amp;ust=1605639553317000&amp;usg=AFQjCNFWqeB3T9hy2iZtGZ5urtJ78QL3uQ" xr:uid="{161F5A7F-996E-4813-BBFB-452BE07895A8}"/>
    <hyperlink ref="A3866" r:id="rId2997" display="https://www.google.com/url?q=http://codeforces.com/contest/427/problem/C&amp;sa=D&amp;ust=1605639553318000&amp;usg=AFQjCNGJsje87JsamMjU9uG9YafhdZt-tg" xr:uid="{900FD877-CD2A-42B3-85A3-C643F20226C6}"/>
    <hyperlink ref="D374" r:id="rId2998" display="https://www.google.com/url?q=https://github.com/morris821028/UVa/blob/master/volume002/247%2520-%2520Calling%2520Circles.cpp&amp;sa=D&amp;ust=1605639553319000&amp;usg=AFQjCNE4jzeuw69s4FzgIzUGvpvS1YZq3A" xr:uid="{B53484D8-07B6-4EDF-827E-DC3009A089FF}"/>
    <hyperlink ref="A3869" r:id="rId2999" display="https://www.google.com/url?q=http://codeforces.com/contest/538/problem/H&amp;sa=D&amp;ust=1605639553320000&amp;usg=AFQjCNESEl4DXgMHhy6JFAk8qM410kSQkg" xr:uid="{023BE233-7201-4389-BA94-837E3B55D899}"/>
    <hyperlink ref="D5356" r:id="rId3000" display="https://www.google.com/url?q=https://github.com/HeartBlue/CompetitiveProgramming/blob/master/Codeforces/CF538-D12-H%2520Summer%2520Dichotomy.cpp&amp;sa=D&amp;ust=1605639553320000&amp;usg=AFQjCNFJQhjdklBzSUZyv2xYPWaIb3HSIQ" xr:uid="{1B8A9684-D925-4111-8167-6AB76DED634D}"/>
    <hyperlink ref="A3870" r:id="rId3001" display="https://www.google.com/url?q=http://codeforces.com/contest/588/problem/F&amp;sa=D&amp;ust=1605639553320000&amp;usg=AFQjCNHih0khhM2LNbGQPXjnXrYJ29sbXA" xr:uid="{438334E1-BC08-4E41-95CA-0E6F18FB8B73}"/>
    <hyperlink ref="A3871" r:id="rId3002" display="https://www.google.com/url?q=http://codeforces.com/contest/569/problem/E&amp;sa=D&amp;ust=1605639553321000&amp;usg=AFQjCNE76_6CNWG2kLkP_F0ZRRXaqzV6Vw" xr:uid="{B354B4FE-E786-4F4B-AB43-6C1AE93AC338}"/>
    <hyperlink ref="D4892" r:id="rId3003" display="https://www.google.com/url?q=https://github.com/HeartBlue/CompetitiveProgramming/blob/master/LIVEARCHIVE/LIVEARCHIVE%25205764%2520Eliminate%2520the%2520Conflict.cpp&amp;sa=D&amp;ust=1605639553322000&amp;usg=AFQjCNGccX2vCXypIhIAUpEn6WNlaJMIeQ" xr:uid="{02A935CA-CC3E-4366-BF6E-36F0049B5DBE}"/>
    <hyperlink ref="A3877" r:id="rId3004" display="https://www.google.com/url?q=http://lightoj.com/volume_showproblem.php?problem%3D1251&amp;sa=D&amp;ust=1605639553323000&amp;usg=AFQjCNFR0i9q_om8YUa00edE6JmgErIVdw" xr:uid="{15CF0D7D-03DA-454A-8B51-98F65DF730F7}"/>
    <hyperlink ref="D4893" r:id="rId3005" display="https://www.google.com/url?q=https://github.com/HeartBlue/CompetitiveProgramming/blob/master/LightOJ/LightOJ%25201251%2520Forming%2520the%2520Council.cpp&amp;sa=D&amp;ust=1605639553323000&amp;usg=AFQjCNGk-yhwFa3k5YuciRoAy-k-Nwfx9g" xr:uid="{39F94229-0DB2-4FC1-A8D7-BFEA13558734}"/>
    <hyperlink ref="A3878" r:id="rId3006" display="https://www.google.com/url?q=http://lightoj.com/volume_showproblem.php?problem%3D1407&amp;sa=D&amp;ust=1605639553323000&amp;usg=AFQjCNF1k9zJHwS_u5qLC1vkMtJ7susHQQ" xr:uid="{8D2B3219-1A0F-4E45-BFBD-BBD9B1F81AC3}"/>
    <hyperlink ref="D4894" r:id="rId3007" display="https://www.google.com/url?q=https://github.com/HeartBlue/CompetitiveProgramming/blob/master/LightOJ/LightOJ%25201407%2520Explosion.cpp&amp;sa=D&amp;ust=1605639553323000&amp;usg=AFQjCNETyEDyI1YnZAJWbJrVkLuuc5pxHw" xr:uid="{E376DD2E-954D-4514-8EAE-AC4F63E2FB36}"/>
    <hyperlink ref="D4895" r:id="rId3008" display="https://www.google.com/url?q=https://github.com/HeartBlue/CompetitiveProgramming/blob/master/PKU/PKU%25203683%2520Priest%2520John%27s%2520Busiest%2520Day.cpp&amp;sa=D&amp;ust=1605639553324000&amp;usg=AFQjCNEWV1oVrLNFI9ybu6u3IukO2VPVBQ" xr:uid="{8CC11071-916C-4C0C-AD88-AE3F9522F982}"/>
    <hyperlink ref="A3881" r:id="rId3009" display="https://www.google.com/url?q=https://codeforces.com/contest/1215/problem/F&amp;sa=D&amp;ust=1605639553324000&amp;usg=AFQjCNG9wR5JfTsXaImxBggyeBOAKOD5yw" xr:uid="{54D027BF-2137-4A2A-90DA-EECD97E32F11}"/>
    <hyperlink ref="D4503" r:id="rId3010" display="https://www.google.com/url?q=https://github.com/mostafa-saad/MyCompetitiveProgramming/blob/master/UVA/UVA_11294.txt&amp;sa=D&amp;ust=1605639553325000&amp;usg=AFQjCNGMGavVpAHwmlf4HXK9FFxCH1kFwA" xr:uid="{8A40A204-9E68-4EF3-9CD1-D7C881FFE2E9}"/>
    <hyperlink ref="D4260" r:id="rId3011" display="https://www.google.com/url?q=https://github.com/HeartBlue/CompetitiveProgramming/blob/master/LIVEARCHIVE/LIVEARCHIVE%25202973%2520Map%2520Labeler.cpp&amp;sa=D&amp;ust=1605639553326000&amp;usg=AFQjCNFyRei7bBRwLZbPxWYw0ASSGz7fhA" xr:uid="{2BFFB274-8B52-42DF-A9AA-0127DB458E8C}"/>
    <hyperlink ref="D4261" r:id="rId3012" display="https://www.google.com/url?q=https://github.com/HeartBlue/CompetitiveProgramming/blob/master/LIVEARCHIVE/LIVEARCHIVE%25206067%2520Bit%2520Magic.cpp&amp;sa=D&amp;ust=1605639553326000&amp;usg=AFQjCNHURmZR7QQdkPkmVCEwIrSyRepKvQ" xr:uid="{CEBED7F0-A222-41E9-8B2E-C3F63928F9C5}"/>
    <hyperlink ref="A3887" r:id="rId3013" display="https://www.google.com/url?q=http://codeforces.com/contest/469/problem/D&amp;sa=D&amp;ust=1605639553327000&amp;usg=AFQjCNHsaaGU-1pPZDtqz01lGR_wIA2phg" xr:uid="{6CB4C4E0-406F-460E-B3ED-743D850F8889}"/>
    <hyperlink ref="A3888" r:id="rId3014" display="https://www.google.com/url?q=https://codeforces.com/contest/1218/problem/I&amp;sa=D&amp;ust=1605639553327000&amp;usg=AFQjCNE2k9fSPHk7jkfAyfsstuZvZ6vsgw" xr:uid="{60EE3C93-33AE-4035-BF47-4439F91B9365}"/>
    <hyperlink ref="A3889" r:id="rId3015" display="https://www.google.com/url?q=https://www.codechef.com/COOK102A/problems/ADAMTR&amp;sa=D&amp;ust=1605639553328000&amp;usg=AFQjCNFI32GDSymh1TU0uarZjGTyFIt8TQ" xr:uid="{7A328419-C6E7-449B-8E6C-EDD1C4A653EF}"/>
    <hyperlink ref="A3890" r:id="rId3016" display="https://www.google.com/url?q=https://www.codechef.com/LTIME65A/problems/ROBAGAIN&amp;sa=D&amp;ust=1605639553328000&amp;usg=AFQjCNGVPZt8CGZryFupCRj8LEIbzmX04w" xr:uid="{F51EFD1F-6050-4A9B-B4CC-0CA95F177419}"/>
    <hyperlink ref="D3486" r:id="rId3017" display="https://www.google.com/url?q=https://github.com/HeartBlue/CompetitiveProgramming/blob/master/LIVEARCHIVE/LIVEARCHIVE%25205010%2520Go%2520Deeper.cpp&amp;sa=D&amp;ust=1605639553330000&amp;usg=AFQjCNFi0PD5PSAEGNl9mdn8bAB8VaJSvA" xr:uid="{F7001CF2-606F-4C85-8286-29FD5C18E494}"/>
    <hyperlink ref="D3487" r:id="rId3018" display="https://www.google.com/url?q=https://github.com/HeartBlue/CompetitiveProgramming/blob/master/PKU/PKU%25202723%2520Get%2520Luffy%2520Out.cpp&amp;sa=D&amp;ust=1605639553331000&amp;usg=AFQjCNGxvjTqEhfZoA-pIAE4Ppmk8TpWQw" xr:uid="{7888A430-6919-4749-A442-705400E0BF49}"/>
    <hyperlink ref="D3488" r:id="rId3019" display="https://www.google.com/url?q=https://github.com/HeartBlue/CompetitiveProgramming/blob/master/PKU/PKU%25203207%2520Ikki%27s%2520Story%2520IV%2520-%2520Panda%27s%2520Trick.cpp&amp;sa=D&amp;ust=1605639553331000&amp;usg=AFQjCNE5m3Azn3gQPy90QsgdrXd_rcCBdg" xr:uid="{FB7E463D-BF49-4E6F-B3C4-D7CA3EE55E5D}"/>
    <hyperlink ref="D3489" r:id="rId3020" display="https://www.google.com/url?q=https://github.com/HeartBlue/CompetitiveProgramming/blob/master/PKU/PKU%25203678%2520Katu%2520Puzzle.cpp&amp;sa=D&amp;ust=1605639553332000&amp;usg=AFQjCNHICKMZHWAEsua-cAMXh1ZfR76xeA" xr:uid="{4BC8AA84-A6C6-457C-B65E-7D795C9201B8}"/>
    <hyperlink ref="D3491" r:id="rId3021" display="https://www.google.com/url?q=https://github.com/HeartBlue/CompetitiveProgramming/blob/master/UVA/UVA%25201146%2520Now%2520or%2520later.cpp&amp;sa=D&amp;ust=1605639553332000&amp;usg=AFQjCNFurwFMR1CJDW11VuGzdMgedXsExw" xr:uid="{CCA42ED6-EFD1-4B61-B775-942803222F4D}"/>
    <hyperlink ref="A3900" r:id="rId3022" display="https://www.google.com/url?q=http://codeforces.com/contest/766/problem/D&amp;sa=D&amp;ust=1605639553333000&amp;usg=AFQjCNGtPGFTt0eWH3-NzwZp8gfuIx9ooA" xr:uid="{4B827259-1D9F-4C8E-83FF-348B18DEC981}"/>
    <hyperlink ref="A3901" r:id="rId3023" display="https://www.google.com/url?q=https://icpcarchive.ecs.baylor.edu/index.php?option%3Dcom_onlinejudge%26Itemid%3D8%26page%3Dshow_problem%26problem%3D2186&amp;sa=D&amp;ust=1605639553333000&amp;usg=AFQjCNE7KPejg94YfN9WJaALtSjUVq8tFw" xr:uid="{290A0218-E18B-4FF4-9600-32EAA2A02965}"/>
    <hyperlink ref="D2180" r:id="rId3024" display="https://www.google.com/url?q=https://github.com/3agwa/CompetitiveProgramming/blob/master/LiveArchive/LIVEARCHIVE%25204185.cpp&amp;sa=D&amp;ust=1605639553334000&amp;usg=AFQjCNHQ1mlq9cay0z0XiWhU6vev2ASNeQ" xr:uid="{CDD0C152-1AE2-4DDB-894A-B38B5D361A86}"/>
    <hyperlink ref="A3902" r:id="rId3025" display="https://www.google.com/url?q=http://codeforces.com/contest/228/problem/E&amp;sa=D&amp;ust=1605639553334000&amp;usg=AFQjCNFSc0aQvq-4KCbC9oky9YTG4NKU0w" xr:uid="{44095785-CDAF-4612-8D7B-5FF5CE42FFFE}"/>
    <hyperlink ref="A3903" r:id="rId3026" display="https://www.google.com/url?q=https://www.spoj.com/problems/BUGLIFE/&amp;sa=D&amp;ust=1605639553334000&amp;usg=AFQjCNGRGvobSwmaTEsApcqVZg2ol1EyOw" xr:uid="{35491BEE-105C-4BC3-9621-74EB605C5CB6}"/>
    <hyperlink ref="D1034" r:id="rId3027" display="https://www.google.com/url?q=https://github.com/miguelAlessandro/CompetitiveProgramming/blob/master/spoj/BUGLIFE.cpp&amp;sa=D&amp;ust=1605639553334000&amp;usg=AFQjCNGPUQEWcPymuiy0ibMNspCyIMQeOg" xr:uid="{DA2AF43C-4EB0-415C-9878-B494A05A0721}"/>
    <hyperlink ref="D4504" r:id="rId3028" display="https://www.google.com/url?q=https://github.com/mostafa-saad/MyCompetitiveProgramming/blob/master/UVA/UVA_10510.txt&amp;sa=D&amp;ust=1605639553335000&amp;usg=AFQjCNEve2djb_rqQz21k0KK_J-vhIHt7g" xr:uid="{72D2D5DD-4365-4AF8-AF74-E090F3C773EB}"/>
    <hyperlink ref="A3688" r:id="rId3029" display="https://www.google.com/url?q=https://codeforces.com/contest/1250/problem/N&amp;sa=D&amp;ust=1605639553336000&amp;usg=AFQjCNG5ZevarLUkcnYGNxlV8kxChqsnUg" xr:uid="{8957EBB9-2190-49B3-9E8B-4598CED4D4C5}"/>
    <hyperlink ref="A3696" r:id="rId3030" display="https://www.google.com/url?q=http://codeforces.com/contest/980/problem/F&amp;sa=D&amp;ust=1605639553339000&amp;usg=AFQjCNFZ2iWJB6v1W_JSjBoztgblIMCt-Q" xr:uid="{DE0930AD-CB12-40C2-A4FB-94703A4BDF88}"/>
    <hyperlink ref="D4897" r:id="rId3031" display="https://www.google.com/url?q=https://github.com/mostafa-saad/MyCompetitiveProgramming/blob/master/SPOJ/SPOJ_ONBRIDGE.txt&amp;sa=D&amp;ust=1605639553340000&amp;usg=AFQjCNE0UUVLJiDaRGDqIYZ4hlQXiurP3Q" xr:uid="{C8CECB5F-4146-4FAF-B46A-ECCE83ACEB95}"/>
    <hyperlink ref="A3698" r:id="rId3032" display="https://www.google.com/url?q=http://codeforces.com/contest/700/problem/C&amp;sa=D&amp;ust=1605639553340000&amp;usg=AFQjCNFvMe66drU0vul-k6jS2slX8Ed3hw" xr:uid="{10E87BBB-5DB8-4718-9A39-31C0A28ECCD8}"/>
    <hyperlink ref="A3699" r:id="rId3033" display="https://www.google.com/url?q=http://codeforces.com/contest/555/problem/E&amp;sa=D&amp;ust=1605639553341000&amp;usg=AFQjCNF5QUiPjoVh3gRwuzdhwgJ6M85RdA" xr:uid="{33074A58-F3F9-4554-958F-532909245910}"/>
    <hyperlink ref="D4505" r:id="rId3034" display="https://www.google.com/url?q=https://github.com/mostafa-saad/MyCompetitiveProgramming/blob/master/UVA/UVA_1364.txt&amp;sa=D&amp;ust=1605639553342000&amp;usg=AFQjCNEzU3f6UB5FKcgHYeroa7SLEnZDng" xr:uid="{50A957D8-4FE1-42E4-97AC-3A2FF56D4624}"/>
    <hyperlink ref="D4264" r:id="rId3035" display="https://www.google.com/url?q=https://github.com/shanto86/Training/blob/master/LiveArchive/LIVEARCHIVE%25204218.cpp&amp;sa=D&amp;ust=1605639553343000&amp;usg=AFQjCNF--_NFNv_gFXEsSciD9HM_Ov0rtg" xr:uid="{104BBD84-E77D-43C7-ADBE-AD5ED7AF470B}"/>
    <hyperlink ref="A3704" r:id="rId3036" display="https://www.google.com/url?q=http://codeforces.com/contest/732/problem/F&amp;sa=D&amp;ust=1605639553343000&amp;usg=AFQjCNFbmrkxGRUCtcO80DbKlNhMOM1mIg" xr:uid="{EE61C4FF-6BC6-47A8-A796-763B6C662279}"/>
    <hyperlink ref="D3493" r:id="rId3037" display="https://www.google.com/url?q=https://github.com/goswami-rahul/competitive-coding/tree/master/CompetitiveProgramming/spoj/GRAFFDEF.cpp&amp;sa=D&amp;ust=1605639553344000&amp;usg=AFQjCNEEnv4s7fx0dnX-M61ta9FIC8QD7Q" xr:uid="{EE8AF669-0537-4F9F-8FBD-58D398C9472B}"/>
    <hyperlink ref="D3494" r:id="rId3038" display="https://www.google.com/url?q=https://github.com/miguelAlessandro/CompetitiveProgramming/blob/master/UVA/12363.cpp&amp;sa=D&amp;ust=1605639553344000&amp;usg=AFQjCNHXSGd2d7MGPCeG--NUGXgD0ThEbw" xr:uid="{1D8AFB1F-9DED-447D-8BE0-9F6325C3D29E}"/>
    <hyperlink ref="A3708" r:id="rId3039" display="https://www.google.com/url?q=http://codeforces.com/problemset/gymProblem/100676/H&amp;sa=D&amp;ust=1605639553345000&amp;usg=AFQjCNGOWF4JxoUOKXnvZA4yZE5Y-k1qIg" xr:uid="{089614F0-7FAD-4324-878B-A744E273DEBB}"/>
    <hyperlink ref="D3495" r:id="rId3040" display="https://www.google.com/url?q=https://github.com/WaleedAbdelhakim/Competitive-Programming/blob/master/CodeForces/CF100676-gym-H.cpp&amp;sa=D&amp;ust=1605639553345000&amp;usg=AFQjCNFgQRYYJdBGW27Y2A45jGADe9GmJg" xr:uid="{7568DB83-C67E-47A8-ADCD-3682DCC2DDA4}"/>
    <hyperlink ref="A3709" r:id="rId3041" display="https://www.google.com/url?q=https://www.codechef.com/problems/LONCYC&amp;sa=D&amp;ust=1605639553345000&amp;usg=AFQjCNGYDGKomIPCmWg19IJc2bQTdps8Aw" xr:uid="{C796F6F1-D5A0-45DB-85CD-0565C19F9B42}"/>
    <hyperlink ref="A3711" r:id="rId3042" display="https://www.google.com/url?q=https://codeforces.com/contest/1220/problem/E&amp;sa=D&amp;ust=1605639553346000&amp;usg=AFQjCNFLK7PG73KuGBNJQV5n7XL5hyU8Pw" xr:uid="{4CF7D89F-CB1C-47F3-A8F9-22C4747D9B40}"/>
    <hyperlink ref="D2799" r:id="rId3043" display="https://www.google.com/url?q=https://github.com/miguelAlessandro/CompetitiveProgramming/blob/master/UVA/610.cpp&amp;sa=D&amp;ust=1605639553346000&amp;usg=AFQjCNEp3Mw00uhsh6v9xXJ89Z_9RcZwng" xr:uid="{675C2B58-7634-4109-B618-BA8A6114CFFE}"/>
    <hyperlink ref="A3713" r:id="rId3044" display="https://www.google.com/url?q=http://codeforces.com/contest/1000/problem/E&amp;sa=D&amp;ust=1605639553346000&amp;usg=AFQjCNHO3aFPdkTqBtMJdSB7DKKE9scIYA" xr:uid="{DBFC1F1E-0BF2-475A-A899-216549B1B4FA}"/>
    <hyperlink ref="A3714" r:id="rId3045" display="https://www.google.com/url?q=https://codeforces.com/contest/1214/problem/D&amp;sa=D&amp;ust=1605639553347000&amp;usg=AFQjCNGm7SGeE0u_toDFr_xLIFX8pB4uzg" xr:uid="{AA2E3821-C536-43F1-AD9D-E93BAAF8460C}"/>
    <hyperlink ref="A3715" r:id="rId3046" display="https://www.google.com/url?q=http://codeforces.com/gym/100342/attachments&amp;sa=D&amp;ust=1605639553347000&amp;usg=AFQjCNHdzZ3jed5f3GhpYNEp-Qr3joIxtg" xr:uid="{3AD17953-56A9-4E82-A6E3-98A2E6F6933C}"/>
    <hyperlink ref="D2183" r:id="rId3047" display="https://www.google.com/url?q=http://codeforces.com/gym/100342/submission/34115410&amp;sa=D&amp;ust=1605639553348000&amp;usg=AFQjCNEKKJ_uj9UbCSqNn-iYuKSHYgCzZQ" xr:uid="{9EEDFD88-6E50-4EB8-A232-4F286CFB5767}"/>
    <hyperlink ref="A3716" r:id="rId3048" display="https://www.google.com/url?q=https://codeforces.com/gym/101979/problem/H&amp;sa=D&amp;ust=1605639553348000&amp;usg=AFQjCNFbSBdbMsQ2ikMBhpqdmmB3nK17ng" xr:uid="{262DB804-0089-4B8B-8D9D-7049D509A9A2}"/>
    <hyperlink ref="D2184" r:id="rId3049" display="https://www.google.com/url?q=https://github.com/ahmedsamir221/CompetitiveProgramming/blob/master/CodeForces/CF101979-GYM-H.cpp&amp;sa=D&amp;ust=1605639553348000&amp;usg=AFQjCNEuJE2W8s4iW3zNlPxk9p_47GK37g" xr:uid="{BAB68678-C8D2-4CDB-B7C1-C44F201266CC}"/>
    <hyperlink ref="A3719" r:id="rId3050" display="https://www.google.com/url?q=https://www.codechef.com/problems/TRIPS&amp;sa=D&amp;ust=1605639553349000&amp;usg=AFQjCNFywIq-64HhihwL_bLiTEsQNu6Y7A" xr:uid="{6A8B83C2-E297-4500-B9DB-A6824F0B504F}"/>
    <hyperlink ref="A3735" r:id="rId3051" display="https://www.google.com/url?q=http://codeforces.com/contest/494/problem/D&amp;sa=D&amp;ust=1605639553350000&amp;usg=AFQjCNHGOi35sbza5OlnP-XT08WY4Nyo8g" xr:uid="{5F2E5691-E9AA-434F-9BBF-37C09BC3E911}"/>
    <hyperlink ref="A3738" r:id="rId3052" display="https://www.google.com/url?q=http://codeforces.com/contest/418/problem/D&amp;sa=D&amp;ust=1605639553352000&amp;usg=AFQjCNGZD6a3T-rCxxExdEUUxA3h3O6rNA" xr:uid="{28D310DE-C481-4E8F-98CE-8EFD16F38E98}"/>
    <hyperlink ref="A3739" r:id="rId3053" display="https://www.google.com/url?q=http://codeforces.com/contest/916/problem/E&amp;sa=D&amp;ust=1605639553352000&amp;usg=AFQjCNHV4vbXnZxmtL2adMS77V0qZAxYZQ" xr:uid="{D01253FC-EB54-4576-AC7B-6068662504E1}"/>
    <hyperlink ref="A3741" r:id="rId3054" display="https://www.google.com/url?q=http://codeforces.com/contest/406/problem/D&amp;sa=D&amp;ust=1605639553353000&amp;usg=AFQjCNFUw51rJit98xLXp-pMaEPK_YV64g" xr:uid="{A6770097-C662-4A5F-962F-3CB8C31E9425}"/>
    <hyperlink ref="A3742" r:id="rId3055" display="https://www.google.com/url?q=http://codeforces.com/contest/593/problem/D&amp;sa=D&amp;ust=1605639553353000&amp;usg=AFQjCNEtSHxoqQJGYwE0E0WldHDayQ4W5g" xr:uid="{A0422A43-ED98-4A2F-8969-B1DE036E9AE6}"/>
    <hyperlink ref="A3906" r:id="rId3056" display="https://www.google.com/url?q=https://codeforces.com/gym/101908/problem/L&amp;sa=D&amp;ust=1605639553354000&amp;usg=AFQjCNFi_QyadlgdQqjfTeKPghwkIA7HXw" xr:uid="{B083894F-BF6D-47BF-BF86-980EA4193BFC}"/>
    <hyperlink ref="D4267" r:id="rId3057" display="https://www.google.com/url?q=https://github.com/mostafa-saad/MyCompetitiveProgramming/blob/master/Codeforces/CF101908-GYM-L.txt&amp;sa=D&amp;ust=1605639553354000&amp;usg=AFQjCNFx8mnzysiq_Yt4P7tTGGq1fP1a9w" xr:uid="{9580003B-E912-4BD4-9F65-0235FA8255B2}"/>
    <hyperlink ref="A3932" r:id="rId3058" display="https://www.google.com/url?q=http://codeforces.com/contest/1000/problem/G&amp;sa=D&amp;ust=1605639553354000&amp;usg=AFQjCNG1q6J3dgFCS8XLdLht9VqPRog3OQ" xr:uid="{002AAA4B-7A92-409E-BAE4-1AB51A1C341A}"/>
    <hyperlink ref="A3939" r:id="rId3059" display="https://www.google.com/url?q=http://codeforces.com/problemset/gymProblem/101142/G&amp;sa=D&amp;ust=1605639553355000&amp;usg=AFQjCNGxhpgi4tkdiwwOuCdWXo4zMqhpww" xr:uid="{AB519D8F-3798-4D6C-BF10-61485D46EE35}"/>
    <hyperlink ref="D3960" r:id="rId3060" display="https://www.google.com/url?q=https://github.com/BRAINOOOO/CompetitiveProgramming/blob/93e631948a1e52814850f1bc86f20c5ab9ed2fa2/CF/CF101142-gym-G&amp;sa=D&amp;ust=1605639553355000&amp;usg=AFQjCNG79rxIBHzmVi4VmVm5yo9Tu3PSUQ" xr:uid="{737ECA66-4F7D-4882-9DC9-AC3D465CD7B5}"/>
    <hyperlink ref="A3907" r:id="rId3061" display="https://www.google.com/url?q=http://codeforces.com/contest/165/problem/D&amp;sa=D&amp;ust=1605639553355000&amp;usg=AFQjCNGY_7CbN-FsWYzZGZT9j-as7Af0SQ" xr:uid="{C198C509-19BA-4D36-9578-8E46D42D2E61}"/>
    <hyperlink ref="A3908" r:id="rId3062" display="https://www.google.com/url?q=http://codeforces.com/contest/466/problem/E&amp;sa=D&amp;ust=1605639553355000&amp;usg=AFQjCNFeg4Q8k2Nmrt72AHvyACVRwVYilA" xr:uid="{D4CB7EE3-FA57-4362-8431-D1CC0C2867D1}"/>
    <hyperlink ref="A3909" r:id="rId3063" display="https://www.google.com/url?q=http://codeforces.com/contest/587/problem/C&amp;sa=D&amp;ust=1605639553356000&amp;usg=AFQjCNFGw95XQor8LhCMKVMIKpMVlchjtA" xr:uid="{0480016A-8C76-4D4A-959D-4039F1200AD7}"/>
    <hyperlink ref="A3913" r:id="rId3064" display="https://www.google.com/url?q=http://codeforces.com/contest/379/problem/F&amp;sa=D&amp;ust=1605639553356000&amp;usg=AFQjCNHrK_OHo7zfd2e948ygbXfWCxu_vA" xr:uid="{B39D88DA-B28F-4161-854F-B32DC018AE2B}"/>
    <hyperlink ref="A3914" r:id="rId3065" display="https://www.google.com/url?q=http://codeforces.com/contest/1045/problem/C&amp;sa=D&amp;ust=1605639553357000&amp;usg=AFQjCNEI3QRW2KI-ODQDjQMvKFcViMbcMQ" xr:uid="{EF7586FE-CDA2-48E3-A5D4-37B110CAE37A}"/>
    <hyperlink ref="D3497" r:id="rId3066" display="https://www.google.com/url?q=https://github.com/Szawinis/CompetitiveProgramming/blob/master/CodeForces/CF1045-D1-C.cpp&amp;sa=D&amp;ust=1605639553357000&amp;usg=AFQjCNE58reF5-3jRkbA_OUptA-_rzTujA" xr:uid="{BB9FB30F-D886-4058-85CC-749B9995F412}"/>
    <hyperlink ref="A3915" r:id="rId3067" display="https://www.google.com/url?q=http://codeforces.com/contest/231/problem/E&amp;sa=D&amp;ust=1605639553357000&amp;usg=AFQjCNH3Dl_5aGZSMgdIDYuNIoFUlG6Nqw" xr:uid="{1039F345-D9E3-4728-8DA9-0D7A1BCF8ECE}"/>
    <hyperlink ref="A3918" r:id="rId3068" display="https://www.google.com/url?q=http://codeforces.com/problemset/problem/838/B&amp;sa=D&amp;ust=1605639553358000&amp;usg=AFQjCNE83o7353otzdZ-SM9oOYDAeAddTQ" xr:uid="{7D5F24C6-0126-4518-82FB-E024BC365B36}"/>
    <hyperlink ref="D3499" r:id="rId3069" display="https://www.google.com/url?q=https://codeforces.com/contest/838/submission/46930329&amp;sa=D&amp;ust=1605639553358000&amp;usg=AFQjCNFG_VTcuoNeHWmMnV84iYlwSLUvNQ" xr:uid="{A08CD392-D333-4E3B-82FE-D5D0F94014FF}"/>
    <hyperlink ref="A3919" r:id="rId3070" display="https://www.google.com/url?q=http://codeforces.com/gym/100091/problem/D&amp;sa=D&amp;ust=1605639553358000&amp;usg=AFQjCNGxSv7jhPVakaM9EgwMm3MwQiKjYg" xr:uid="{9466475A-0F16-43D2-9D2E-700D6BC7072A}"/>
    <hyperlink ref="D3500" r:id="rId3071" display="https://www.google.com/url?q=https://github.com/SpeedOfMagic/CompetitiveProgramming/blob/master/CodeforcesGym/CF100091-GYM-D.cpp&amp;sa=D&amp;ust=1605639553358000&amp;usg=AFQjCNEvR1oQ28GPt8Xpm-c26wtQ0xZX6Q" xr:uid="{0DE74AE4-C44B-4F1C-8299-5E7F243896B6}"/>
    <hyperlink ref="A3920" r:id="rId3072" display="https://www.google.com/url?q=http://codeforces.com/contest/121/problem/C&amp;sa=D&amp;ust=1605639553359000&amp;usg=AFQjCNGUqJsHBmzRTVBiCxlF0pxRikqCew" xr:uid="{1AF8FA6E-74CA-487A-B0EF-A76F6B7A2A58}"/>
    <hyperlink ref="D2923" r:id="rId3073" display="https://www.google.com/url?q=https://github.com/BRAINOOOO/CompetitiveProgramming/blob/master/TIMUS/TIMUS%25201752&amp;sa=D&amp;ust=1605639553359000&amp;usg=AFQjCNHbCLxBNFikzmGx-CtDzUwoPdD4oQ" xr:uid="{8FCE927D-8A95-4F52-879D-A4B5684D32DF}"/>
    <hyperlink ref="A3922" r:id="rId3074" display="https://www.google.com/url?q=http://codeforces.com/contest/609/problem/E&amp;sa=D&amp;ust=1605639553359000&amp;usg=AFQjCNEHeLldBL2duRv-okZW3ats6HUrPw" xr:uid="{C11F904E-4B4C-4982-94DB-ECA87A8E4A03}"/>
    <hyperlink ref="A3923" r:id="rId3075" display="https://www.google.com/url?q=https://codeforces.com/gym/102215/problem/D&amp;sa=D&amp;ust=1605639553360000&amp;usg=AFQjCNGFnZwf_j2REbl0Ov56_aa5mEZX_w" xr:uid="{14B09845-0AD1-45F3-B0C9-458BA6463077}"/>
    <hyperlink ref="A3924" r:id="rId3076" display="https://www.google.com/url?q=https://codeforces.com/contest/191/problem/C&amp;sa=D&amp;ust=1605639553360000&amp;usg=AFQjCNF3klMFp8C_pxK4PJuJw4BgT_HqKg" xr:uid="{F3B80F1D-CF16-40CC-91E8-22301F26F2B0}"/>
    <hyperlink ref="A3925" r:id="rId3077" display="https://www.google.com/url?q=http://codeforces.com/gym/101808/problem/K&amp;sa=D&amp;ust=1605639553361000&amp;usg=AFQjCNE4ryDXMWVLzkOcF0QKW0xwfqpGRg" xr:uid="{E96B26E5-F83E-4786-B56C-42FB92CCBF0F}"/>
    <hyperlink ref="D2803" r:id="rId3078" display="https://www.google.com/url?q=https://ideone.com/P9tqg9&amp;sa=D&amp;ust=1605639553362000&amp;usg=AFQjCNHr2FwB-6_4Wooc4g-FMEw00U5uMg" xr:uid="{35C96775-2F2A-4CDA-B25E-8FF7CBB66D25}"/>
    <hyperlink ref="A3926" r:id="rId3079" display="https://www.google.com/url?q=http://codeforces.com/contest/519/problem/E&amp;sa=D&amp;ust=1605639553362000&amp;usg=AFQjCNFiYmcl7pxkyCgD1iempzYK_-rhBQ" xr:uid="{DDB7507F-CC4C-4028-9B95-12714FA91848}"/>
    <hyperlink ref="A3927" r:id="rId3080" display="https://www.google.com/url?q=https://www.spoj.com/problems/HACKERS/&amp;sa=D&amp;ust=1605639553363000&amp;usg=AFQjCNHXDNPWbZB0Pf4IqcImNxQF0qnzVw" xr:uid="{0C55CF25-1FAE-4A15-A8AE-642AA9FBB8F7}"/>
    <hyperlink ref="D2805" r:id="rId3081" display="https://www.google.com/url?q=https://github.com/ajfabian/Competitive-Programming/blob/master/SPOJ/HACKERS/a.cpp&amp;sa=D&amp;ust=1605639553363000&amp;usg=AFQjCNEfCynDnkE7NZjqmZwZn0dAgNlU9A" xr:uid="{E13CD1F8-916F-4977-8F2D-DE7C3AEF2626}"/>
    <hyperlink ref="A3928" r:id="rId3082" display="https://www.google.com/url?q=http://www.codechef.com/problems/RRTREE&amp;sa=D&amp;ust=1605639553363000&amp;usg=AFQjCNHMBhcZmw7XoHV6n63T2Is1mZ6HWA" xr:uid="{25AC2FE1-1F02-4BE7-ACE1-824078711345}"/>
    <hyperlink ref="D2807" r:id="rId3083" display="https://www.google.com/url?q=https://github.com/SpeedOfMagic/CompetitiveProgramming/blob/master/SPOJ/DISQUERY.cpp&amp;sa=D&amp;ust=1605639553364000&amp;usg=AFQjCNHoGh5frBlrF4I4jNUXZXqCBFqvHg" xr:uid="{F018BCBF-6483-4631-9F8A-D5E1BB435131}"/>
    <hyperlink ref="A3930" r:id="rId3084" display="https://www.google.com/url?q=https://open.kattis.com/problems/tourists&amp;sa=D&amp;ust=1605639553364000&amp;usg=AFQjCNFj26j193Wgov8hVEw3WsBhx4tLDw" xr:uid="{5C75E47B-C4B1-4310-A686-AFB7F003BCB9}"/>
    <hyperlink ref="D2808" r:id="rId3085" display="https://www.google.com/url?q=https://github.com/AymanSalah96/CompetitiveProgramming/blob/master/KATTIS/tourists.cpp&amp;sa=D&amp;ust=1605639553364000&amp;usg=AFQjCNHXQW6YFuFclrFl6ugQrw0takDwYQ" xr:uid="{78574230-48C5-40CE-B239-47C032413191}"/>
    <hyperlink ref="A3931" r:id="rId3086" display="https://www.google.com/url?q=http://codeforces.com/contest/33/problem/D&amp;sa=D&amp;ust=1605639553365000&amp;usg=AFQjCNEyfNpd4dV2bthpZ4rpwU6JTi26IA" xr:uid="{4F88BE97-7025-4F73-877F-C79D8F44D511}"/>
    <hyperlink ref="D2185" r:id="rId3087" display="https://www.google.com/url?q=http://codeforces.com/contest/33/submission/142981&amp;sa=D&amp;ust=1605639553365000&amp;usg=AFQjCNFlkDOKwm7CXxVQb_YdAotd86OVbQ" xr:uid="{917CB156-7813-44F9-A99B-0DCBC69FDDA5}"/>
    <hyperlink ref="D2186" r:id="rId3088" display="https://www.google.com/url?q=https://github.com/mostafa-saad/MyCompetitiveProgramming/blob/master/SPOJ/SPOJ_DRTREE.txt&amp;sa=D&amp;ust=1605639553365000&amp;usg=AFQjCNFr7DXMUHIGJy6zrdjUgcArPNL02w" xr:uid="{6229A5C7-6ECC-4385-9F2E-6DD0B032D05E}"/>
    <hyperlink ref="A3934" r:id="rId3089" display="https://www.google.com/url?q=http://codeforces.com/contest/192/problem/E&amp;sa=D&amp;ust=1605639553365000&amp;usg=AFQjCNGyamB3ES0tREPT67WxjNnV1h3K6w" xr:uid="{55CD7C90-7E98-4752-BFF0-9FCD8B9F09C7}"/>
    <hyperlink ref="D2187" r:id="rId3090" display="https://www.google.com/url?q=https://github.com/mostafa-saad/MyCompetitiveProgramming/blob/master/Codeforces/CF192-D2-E.txt&amp;sa=D&amp;ust=1605639553366000&amp;usg=AFQjCNE-U7EX0TyWm7xv_HrvRvOXwvYkAQ" xr:uid="{23D2D27A-B9F9-438E-97EB-17FFA1BF4429}"/>
    <hyperlink ref="A3935" r:id="rId3091" display="https://www.google.com/url?q=https://www.hackerearth.com/problem/algorithm/meetup-point-61916d93/&amp;sa=D&amp;ust=1605639553366000&amp;usg=AFQjCNFHFJRGOPFS7y_3DuUrw2uTi2Hhig" xr:uid="{9F98357A-ACE2-4DE5-9EC9-6FE25F932576}"/>
    <hyperlink ref="A3936" r:id="rId3092" display="https://www.google.com/url?q=http://codeforces.com/contest/832/problem/D&amp;sa=D&amp;ust=1605639553366000&amp;usg=AFQjCNHqWVqjcxlvquuOsmuQf9OQRGRIXA" xr:uid="{3F0E8EC0-5EFB-4857-B5BA-9E107CBBD200}"/>
    <hyperlink ref="A3937" r:id="rId3093" display="https://www.google.com/url?q=https://codeforces.com/group/viIfsUpAco/contest/102191/problem/I&amp;sa=D&amp;ust=1605639553367000&amp;usg=AFQjCNG_6-ADDpBvhigpUFP_YdQnof36rA" xr:uid="{2370E962-80A3-4454-BC74-7B5CCABF90C6}"/>
    <hyperlink ref="D2190" r:id="rId3094" display="https://www.google.com/url?q=https://ideone.com/TXPngv&amp;sa=D&amp;ust=1605639553367000&amp;usg=AFQjCNH8ks6lL6C9mCPxxxyTgmm6sOUdag" xr:uid="{84790767-41C6-4CB5-B061-5736ED8EC5C1}"/>
    <hyperlink ref="D1037" r:id="rId3095" display="https://www.google.com/url?q=https://github.com/ahmedsamir221/CompetitiveProgramming/blob/master/SPOJ/SPOJ%2520QTREE2.cpp&amp;sa=D&amp;ust=1605639553368000&amp;usg=AFQjCNGQW3Md_3hLgq-i93IW1ow_TMtT0w" xr:uid="{A85E3C79-0658-4E54-AF5B-F3155C3BE361}"/>
    <hyperlink ref="D4270" r:id="rId3096" display="https://www.google.com/url?q=https://github.com/aboodJAD/CompetitiveProgramming/blob/master/UVA/UVA%2520308.cpp&amp;sa=D&amp;ust=1605639553373000&amp;usg=AFQjCNFR4ZHm0ne2JsswSnxhF-lSHrwHpg" xr:uid="{39A7D8A1-783B-4823-A699-A7750F2E9E0F}"/>
    <hyperlink ref="A3952" r:id="rId3097" display="https://www.google.com/url?q=http://codeforces.com/contest/243/problem/C&amp;sa=D&amp;ust=1605639553373000&amp;usg=AFQjCNEgoi0dG9NjocP1CSTlTUfps-1_2A" xr:uid="{37062EFB-9043-4135-9BD6-9C4BA83E1A92}"/>
    <hyperlink ref="D3502" r:id="rId3098" display="https://www.google.com/url?q=https://github.com/mostafa-saad/MyCompetitiveProgramming/blob/master/UVA/UVA_870.txt&amp;sa=D&amp;ust=1605639553374000&amp;usg=AFQjCNGXhRvYW6sQAhR_WJCgNmenEFdx_A" xr:uid="{0973AA63-7C7F-45ED-9486-83A1AFC91B0A}"/>
    <hyperlink ref="A3954" r:id="rId3099" display="https://www.google.com/url?q=http://codeforces.com/contest/863/problem/E&amp;sa=D&amp;ust=1605639553374000&amp;usg=AFQjCNEaEZniD1BZFv6lI4En5x0oBBkSiA" xr:uid="{BC5B7B57-39FF-449E-B3ED-0304A069A2D8}"/>
    <hyperlink ref="A3959" r:id="rId3100" display="https://www.google.com/url?q=https://agc003.contest.atcoder.jp/tasks/agc003_f&amp;sa=D&amp;ust=1605639553375000&amp;usg=AFQjCNHlx_40_IyhTUA492PySoNLcd9ReQ" xr:uid="{BD1AA96B-EEB4-46FC-86E0-4557C89688BE}"/>
    <hyperlink ref="A3960" r:id="rId3101" display="https://www.google.com/url?q=https://agc005.contest.atcoder.jp/tasks/agc005_f&amp;sa=D&amp;ust=1605639553375000&amp;usg=AFQjCNGcQrvmYKbe5qR3Aa0fpTmO2UoyRA" xr:uid="{4CDDAC2C-E09C-4C5F-9DDB-0554B40E461B}"/>
    <hyperlink ref="A3962" r:id="rId3102" display="https://www.google.com/url?q=http://codeforces.com/contest/548/problem/C&amp;sa=D&amp;ust=1605639553376000&amp;usg=AFQjCNFkn7svao_DFyZhFhwt5J_do-ayaw" xr:uid="{932B4AF6-3461-4A23-8194-18F39AD1A793}"/>
    <hyperlink ref="A3944" r:id="rId3103" display="https://www.google.com/url?q=http://codeforces.com/contest/360/problem/D&amp;sa=D&amp;ust=1605639553376000&amp;usg=AFQjCNEawjsTCEm0UBAH2rBv-foc6y_A9A" xr:uid="{2E9BB16F-943D-495D-956F-911E7A63CA04}"/>
    <hyperlink ref="A3948" r:id="rId3104" display="https://www.google.com/url?q=http://codeforces.com/contest/73/problem/E&amp;sa=D&amp;ust=1605639553377000&amp;usg=AFQjCNFPk1e5TBsHVXbDaC56myFFI_UpPg" xr:uid="{8D6577EC-D790-4A9F-AB28-4FE00B1C62FE}"/>
    <hyperlink ref="A3949" r:id="rId3105" display="https://www.google.com/url?q=https://agc011.contest.atcoder.jp/tasks/agc011_e&amp;sa=D&amp;ust=1605639553378000&amp;usg=AFQjCNGc5XP0vPaZ3ooORu9ESWvqzRpCRw" xr:uid="{40624310-32D0-4FED-8F31-56BBE476FB7B}"/>
    <hyperlink ref="A3963" r:id="rId3106" display="https://www.google.com/url?q=https://codeforces.com/contest/1086/problem/F&amp;sa=D&amp;ust=1605639553378000&amp;usg=AFQjCNEUp8BLR1MZhi8-SEIDxevytD_Gug" xr:uid="{474831CC-8E40-4BE6-B95A-61DF13A8402F}"/>
    <hyperlink ref="A3964" r:id="rId3107" display="https://www.google.com/url?q=http://codeforces.com/problemset/problem/1030/G&amp;sa=D&amp;ust=1605639553378000&amp;usg=AFQjCNG-WwJkl74WwyYb0lVkfHmwSoOyUg" xr:uid="{F836DE14-C5B8-4C9D-9AC6-50172AB8A902}"/>
    <hyperlink ref="D5363" r:id="rId3108" display="https://www.google.com/url?q=https://github.com/sggutier/CompetitiveProgramming/blob/master/UVa/1451.cpp&amp;sa=D&amp;ust=1605639553379000&amp;usg=AFQjCNGk4dAGlRg6Dx91ge18ztttq_u0Ig" xr:uid="{53BCF655-2F22-421C-A68D-F538F82BFD3E}"/>
    <hyperlink ref="A3967" r:id="rId3109" display="https://www.google.com/url?q=https://ipsc.ksp.sk/2003/practice/problems/t.html&amp;sa=D&amp;ust=1605639553380000&amp;usg=AFQjCNFO6x-nI0_nLh9L7BOQQo6tQnBV5Q" xr:uid="{4C77EDA8-4F42-47A1-A892-C0F7D2D3AF47}"/>
    <hyperlink ref="A3968" r:id="rId3110" display="https://www.google.com/url?q=https://www.hackerrank.com/challenges/randomness&amp;sa=D&amp;ust=1605639553380000&amp;usg=AFQjCNGiDN59R4-YSLXDMCmwaZLXLAYUTw" xr:uid="{01C6FF8B-6497-40BF-AF26-4B44C167D273}"/>
    <hyperlink ref="A3971" r:id="rId3111" display="https://www.google.com/url?q=https://codeforces.com/contest/1137/problem/D&amp;sa=D&amp;ust=1605639553381000&amp;usg=AFQjCNE9gmcmIhw6jNnsdejrcnBQOYsINQ" xr:uid="{3AEB0D1A-4DCE-4323-8484-A8CD5BA217F1}"/>
    <hyperlink ref="A4110" r:id="rId3112" display="https://www.google.com/url?q=https://www.codechef.com/problems/BMASTER&amp;sa=D&amp;ust=1605639553383000&amp;usg=AFQjCNGjkC_audRaljuRgmjmp8lLFe9iJA" xr:uid="{CB8792A0-B682-4D8E-85E0-F3915BED18FB}"/>
    <hyperlink ref="A4111" r:id="rId3113" display="https://www.google.com/url?q=http://codeforces.com/problemset/problem/1063/D&amp;sa=D&amp;ust=1605639553384000&amp;usg=AFQjCNHgelsmzvADCOjym6IgOQpDEb7tpg" xr:uid="{7EBA5570-FA25-4EF9-BDE0-CE6CC5E78160}"/>
    <hyperlink ref="A4112" r:id="rId3114" display="https://www.google.com/url?q=https://codeforces.com/contest/1100/problem/F&amp;sa=D&amp;ust=1605639553384000&amp;usg=AFQjCNH0bg6tLpxASkf-DZ9Btlw6lwWe9g" xr:uid="{E2372BFD-2DA1-43B3-B265-891E82F7D19E}"/>
    <hyperlink ref="A4142" r:id="rId3115" display="https://www.google.com/url?q=https://codeforces.com/contest/518/problem/E&amp;sa=D&amp;ust=1605639553385000&amp;usg=AFQjCNEh-4PdSoQBfU_Y1tM7jHukrUEFmA" xr:uid="{4E0E5ECD-9BB3-4EC0-B357-C65C3A42AECE}"/>
    <hyperlink ref="A4143" r:id="rId3116" display="https://www.google.com/url?q=https://uva.onlinejudge.org/index.php?option%3Dcom_onlinejudge%26Itemid%3D8%26page%3Dshow_problem%26problem%3D3838&amp;sa=D&amp;ust=1605639553385000&amp;usg=AFQjCNE-3SCEEvEmfmE39fNu2X0L5Ey0fQ" xr:uid="{DEE07A4E-14B6-4ED1-9C8E-B88D152C26E0}"/>
    <hyperlink ref="D4908" r:id="rId3117" display="https://www.google.com/url?q=https://github.com/miguelAlessandro/CompetitiveProgramming/blob/master/UVA/12407.cpp&amp;sa=D&amp;ust=1605639553385000&amp;usg=AFQjCNES1NgKsIPCn_FNmr3VoDfpCzglUg" xr:uid="{45FA68F5-D7CD-48C9-9240-23C8C1B1FE8E}"/>
    <hyperlink ref="A4144" r:id="rId3118" display="https://www.google.com/url?q=https://codeforces.com/contest/758/problem/F&amp;sa=D&amp;ust=1605639553386000&amp;usg=AFQjCNHjAVBtsl9qa2riRP0TGyPVEgZrTQ" xr:uid="{4F0840C5-5D45-4852-8E83-178C24108B2E}"/>
    <hyperlink ref="A4185" r:id="rId3119" display="https://www.google.com/url?q=http://codeforces.com/contest/488/problem/E&amp;sa=D&amp;ust=1605639553386000&amp;usg=AFQjCNEtBSXZIqnsF34PgAC9xDKeEnFpvw" xr:uid="{F022F864-0C71-4692-A4B5-90CE86AD5D10}"/>
    <hyperlink ref="A4186" r:id="rId3120" display="https://www.google.com/url?q=http://codeforces.com/contest/641/problem/D&amp;sa=D&amp;ust=1605639553387000&amp;usg=AFQjCNGKaI3JlM3rL1ooFhf6ht4G3r6ulQ" xr:uid="{54A22C5F-331E-4AFA-8644-1E352C6E84E7}"/>
    <hyperlink ref="A4187" r:id="rId3121" display="https://www.google.com/url?q=https://codeforces.com/contest/1101/problem/G&amp;sa=D&amp;ust=1605639553387000&amp;usg=AFQjCNGFxQBCJhBSo588XW7LtxsOk69dfg" xr:uid="{DCC6C0E8-FCB3-4C2A-8331-42A673C28FD6}"/>
    <hyperlink ref="D4913" r:id="rId3122" display="https://www.google.com/url?q=https://github.com/ryuzmukhametov/CompetitiveProgramming/blob/master/Topcoder/SRM436-D2-1000.cpp&amp;sa=D&amp;ust=1605639553387000&amp;usg=AFQjCNFDmEt4UrdnGAWDbollgkxE8BuSxA" xr:uid="{61EAB923-AE01-466F-9E7C-775B3B476CBD}"/>
    <hyperlink ref="A4218" r:id="rId3123" display="https://www.google.com/url?q=http://codeforces.com/contest/40/problem/C&amp;sa=D&amp;ust=1605639553388000&amp;usg=AFQjCNE-mABOTfnYziB77cLdPmoyEHzpXA" xr:uid="{EDFFE23D-547E-4EFB-9D33-3CD262134CAA}"/>
    <hyperlink ref="A4310" r:id="rId3124" display="https://www.google.com/url?q=http://codeforces.com/contest/348/problem/D&amp;sa=D&amp;ust=1605639553389000&amp;usg=AFQjCNHyizarhc-kcpuboaAWs-GjYLdu-A" xr:uid="{740BD14E-B9A9-4B4F-92B3-A05D7D37A58C}"/>
    <hyperlink ref="D4508" r:id="rId3125" display="https://www.google.com/url?q=https://github.com/farmerboy95/CompetitiveProgramming/blob/master/TopCoder/SRM240-D1-500.cpp&amp;sa=D&amp;ust=1605639553391000&amp;usg=AFQjCNFxbEnmhd1pEuZepNoJL-Q40lTfUw" xr:uid="{4E3406FC-9AC9-4C58-B22F-FE795E7BC061}"/>
    <hyperlink ref="D4511" r:id="rId3126" display="https://www.google.com/url?q=https://apps.topcoder.com/forums//?module%3DThread%26threadID%3D743163%26start%3D0&amp;sa=D&amp;ust=1605639553393000&amp;usg=AFQjCNFT8KyXgYB2bZqCHzOe0agLuB1Asw" xr:uid="{F0757AAC-675D-4D6C-8EDD-0B3052AE1599}"/>
    <hyperlink ref="A4032" r:id="rId3127" display="https://www.google.com/url?q=https://codeforces.com/gym/102028/problem/J&amp;sa=D&amp;ust=1605639553394000&amp;usg=AFQjCNEyBE7Ymd5GbXpU35cuxaFBVd5tfA" xr:uid="{FE5DF952-D1D1-40C8-A5B2-B4E0910D0687}"/>
    <hyperlink ref="D4346" r:id="rId3128" display="https://www.google.com/url?q=https://github.com/WaleedAbdelhakim/Competitive-Programming/blob/master/CodeForces/CF102028-GYM-J.cpp&amp;sa=D&amp;ust=1605639553394000&amp;usg=AFQjCNF53ulzh3rkLV1CMijujVmQSUUgow" xr:uid="{107D480D-AF92-4C3D-A190-A933816D2CE9}"/>
    <hyperlink ref="A4033" r:id="rId3129" display="https://www.google.com/url?q=http://codeforces.com/contest/850/problem/B&amp;sa=D&amp;ust=1605639553395000&amp;usg=AFQjCNE0imfdwrOHLgSTvgIYZSVqk_W7Og" xr:uid="{9779D3BE-24BA-490F-9E65-BEDF66C0FB93}"/>
    <hyperlink ref="A4034" r:id="rId3130" display="https://www.google.com/url?q=https://www.codechef.com/LTIME64A/problems/COINPART&amp;sa=D&amp;ust=1605639553395000&amp;usg=AFQjCNE_Ir8OazC74m1wfIQ_bCepBMYsLg" xr:uid="{867066AA-7017-4E91-8034-1374E613D86C}"/>
    <hyperlink ref="A4035" r:id="rId3131" display="https://www.google.com/url?q=http://codeforces.com/contest/337/problem/E&amp;sa=D&amp;ust=1605639553396000&amp;usg=AFQjCNHlRUDfH0HZTiXg5YupXbVpVAZ9qw" xr:uid="{C85C22E3-44E5-4ED1-A2F2-3C2AB6BF4EA2}"/>
    <hyperlink ref="D4274" r:id="rId3132" display="https://www.google.com/url?q=https://github.com/DrSchwad/CompetitiveProgramming/blob/master/CodeForces/CF337-D2-E.cpp&amp;sa=D&amp;ust=1605639553396000&amp;usg=AFQjCNGEJc-dY7mRru-THtRzAhpItKPX5w" xr:uid="{8B300F9D-A1E2-484C-A8CB-4A9EF607D7D3}"/>
    <hyperlink ref="A4036" r:id="rId3133" display="https://www.google.com/url?q=https://codeforces.com/contest/1285/problem/F&amp;sa=D&amp;ust=1605639553396000&amp;usg=AFQjCNFNKSiinmA7oetUyUNssLbnxB7FPw" xr:uid="{86BC6A87-2073-4F61-A6D7-4BDF5E23A870}"/>
    <hyperlink ref="A4038" r:id="rId3134" display="https://www.google.com/url?q=http://codeforces.com/gym/101741/problem/F&amp;sa=D&amp;ust=1605639553397000&amp;usg=AFQjCNGgHbUVaR4IJa3KVEd-F4hQWBsPgA" xr:uid="{FD185CDA-96AA-4AE3-A2C1-1A439B396348}"/>
    <hyperlink ref="D4277" r:id="rId3135" display="https://www.google.com/url?q=https://github.com/ajfabian/Competitive-Programming/blob/master/CodeForces/CF101741-GYM-F/a.cpp&amp;sa=D&amp;ust=1605639553398000&amp;usg=AFQjCNG12noCWjrJc-vCB1nZpS_hi_bnVQ" xr:uid="{9515F740-6721-4E38-BE1E-4C5FDFD1DB3D}"/>
    <hyperlink ref="A4039" r:id="rId3136" display="https://www.google.com/url?q=https://codeforces.com/contest/1119/problem/E&amp;sa=D&amp;ust=1605639553398000&amp;usg=AFQjCNGtDSCdVPRPnYT0XkFuwEkIsmufyg" xr:uid="{C5DDFE18-2F7B-42E9-B64D-EE1742DEEF63}"/>
    <hyperlink ref="A4040" r:id="rId3137" display="https://www.google.com/url?q=https://www.codechef.com/problems/ARIGEOM&amp;sa=D&amp;ust=1605639553398000&amp;usg=AFQjCNFKdhBXxiAPopLmJ95_CcSzSAuL7w" xr:uid="{39312B70-9D1A-4062-9A59-67745C21274F}"/>
    <hyperlink ref="A4044" r:id="rId3138" display="https://www.google.com/url?q=https://atcoder.jp/contests/abc147/tasks/abc147_f&amp;sa=D&amp;ust=1605639553400000&amp;usg=AFQjCNEZgnCMHs1DaFf9AtX_b6FenHaBxg" xr:uid="{9D3FFAA4-750B-423B-A57B-A46B69F8AEBA}"/>
    <hyperlink ref="A4045" r:id="rId3139" display="https://www.google.com/url?q=http://codeforces.com/contest/602/problem/D&amp;sa=D&amp;ust=1605639553400000&amp;usg=AFQjCNEdKZ7IakhYzWo0ralErBx5Z25g9w" xr:uid="{7730CA13-7C5E-43A7-8EE0-065F3BB3F9F4}"/>
    <hyperlink ref="D3869" r:id="rId3140" display="https://www.google.com/url?q=https://github.com/andriy-zhuk/CompetitiveProgramming/blob/master/Codeforces/CF602-D2-D.cpp&amp;sa=D&amp;ust=1605639553400000&amp;usg=AFQjCNG-UFu2Qk4Le6d-tfBvzPiov4EJsg" xr:uid="{07DF2BEF-F967-4AF1-9517-88CC2034F1B6}"/>
    <hyperlink ref="A4058" r:id="rId3141" display="https://www.google.com/url?q=https://codeforces.com/contest/1088/problem/D&amp;sa=D&amp;ust=1605639553401000&amp;usg=AFQjCNEB4ZHz6UsZA85lCAOMSMl1Yu8KyQ" xr:uid="{680486E9-5244-4616-873D-09C29F2C87A8}"/>
    <hyperlink ref="A4059" r:id="rId3142" display="https://www.google.com/url?q=https://codingcompetitions.withgoogle.com/codejam/round/0000000000051706/0000000000122837&amp;sa=D&amp;ust=1605639553401000&amp;usg=AFQjCNEFCtJmByYa6_QkPYidzuPuaT4f0g" xr:uid="{014BDF5C-2B7B-42C4-B9F8-D048AA7214FC}"/>
    <hyperlink ref="A4060" r:id="rId3143" display="https://www.google.com/url?q=https://codingcompetitions.withgoogle.com/codejam/round/00000000000516b9/0000000000134e91&amp;sa=D&amp;ust=1605639553401000&amp;usg=AFQjCNHg4NXHZ0zNN-0DVeJ5s1BXWmxXfQ" xr:uid="{12EA66B4-CCB9-43AD-A690-6462605B42B1}"/>
    <hyperlink ref="A4061" r:id="rId3144" display="https://www.google.com/url?q=https://codeforces.com/contest/1130/problem/E&amp;sa=D&amp;ust=1605639553402000&amp;usg=AFQjCNHTln0e5wbXh-MBriukdXsBxKDIeg" xr:uid="{E0C667E7-A352-4718-9F68-75917562AC58}"/>
    <hyperlink ref="A4063" r:id="rId3145" display="https://www.google.com/url?q=http://codeforces.com/contest/225/problem/E&amp;sa=D&amp;ust=1605639553402000&amp;usg=AFQjCNH5eFiG6K_4jVhaChKGI2LspgHMyg" xr:uid="{F084D295-F45F-4E6E-8D97-CA6CECB8EDDD}"/>
    <hyperlink ref="A4064" r:id="rId3146" display="https://www.google.com/url?q=https://codeforces.com/contest/997/problem/B&amp;sa=D&amp;ust=1605639553402000&amp;usg=AFQjCNEBaSOPh42f3ZAe8JQOdy0cEm65VA" xr:uid="{055A14BD-42AF-44AF-A5FE-1A95BCE2C76F}"/>
    <hyperlink ref="A4066" r:id="rId3147" display="https://www.google.com/url?q=https://codeforces.com/contest/1186/problem/E&amp;sa=D&amp;ust=1605639553405000&amp;usg=AFQjCNEmtOu3dnLioNWMPZhzUt8M51bU0w" xr:uid="{DA0F8BA6-1A34-4B0E-991B-2F9973DEA3C5}"/>
    <hyperlink ref="A4067" r:id="rId3148" display="https://www.google.com/url?q=https://atcoder.jp/contests/agc043/tasks/agc043_b&amp;sa=D&amp;ust=1605639553405000&amp;usg=AFQjCNE5ScWuEmxEtiIpUs3c6XvIDHwYuA" xr:uid="{3DF40B58-4E85-4222-8761-501610E2FD5B}"/>
    <hyperlink ref="A4068" r:id="rId3149" display="https://www.google.com/url?q=https://codeforces.com/contest/1183/problem/F&amp;sa=D&amp;ust=1605639553405000&amp;usg=AFQjCNE-58eSKJD5G3Armlb3tnsxD0P9Pw" xr:uid="{2CEC4962-2499-4BFC-91BC-94D6EF76D54B}"/>
    <hyperlink ref="A4069" r:id="rId3150" display="https://www.google.com/url?q=https://codeforces.com/contest/1104/problem/D&amp;sa=D&amp;ust=1605639553406000&amp;usg=AFQjCNEysI6dVs5nT9eKfM5eiCtB6XQhWg" xr:uid="{5174C497-E4A0-4BFE-9EBD-3B7B98AAA805}"/>
    <hyperlink ref="A4070" r:id="rId3151" display="https://www.google.com/url?q=https://www.codechef.com/COME2019/problems/SWAPSIGN&amp;sa=D&amp;ust=1605639553406000&amp;usg=AFQjCNFUgCKFFnVIIfVT50S_2xCQ9OR4Sg" xr:uid="{16DED9FC-D884-4CD7-83D5-AD2270A9F6B0}"/>
    <hyperlink ref="A4071" r:id="rId3152" display="https://www.google.com/url?q=http://codeforces.com/contest/994/problem/E&amp;sa=D&amp;ust=1605639553406000&amp;usg=AFQjCNE2kX2IcSvfiAPRKirFEZCX9hbsuQ" xr:uid="{1992CBA1-D807-44B6-B921-4D346BC8F8FC}"/>
    <hyperlink ref="D3511" r:id="rId3153" display="https://www.google.com/url?q=https://github.com/MedoN11/CompetitiveProgramming/blob/master/Timus/2063.cpp&amp;sa=D&amp;ust=1605639553407000&amp;usg=AFQjCNHO8N78sSlBL0wfwBey96SgxICr1Q" xr:uid="{32FA8371-B1FC-4FFD-8726-AE2B2DDA34ED}"/>
    <hyperlink ref="A4073" r:id="rId3154" display="https://www.google.com/url?q=https://www.hackerrank.com/contests/world-codesprint-13/challenges/balanced-sequence&amp;sa=D&amp;ust=1605639553407000&amp;usg=AFQjCNEGDEHGvtMHO_Bicnzql0VyfBF9hw" xr:uid="{E0B5BED5-85F7-44B0-942F-E6279FD8F928}"/>
    <hyperlink ref="D3512" r:id="rId3155" display="https://www.google.com/url?q=https://github.com/tmwilliamlin168/CompetitiveProgramming/blob/master/HackerRank/balanced-sequence.cpp&amp;sa=D&amp;ust=1605639553407000&amp;usg=AFQjCNFv5aLvIdp5eOURQruKFfw7igQMQw" xr:uid="{49F73421-8CDA-40EB-A6DC-2235A6BF22AF}"/>
    <hyperlink ref="A4074" r:id="rId3156" display="https://www.google.com/url?q=https://codeforces.com/contest/1081/problem/E&amp;sa=D&amp;ust=1605639553408000&amp;usg=AFQjCNEH12HDAGX4spO3DKjs-evhslqbhQ" xr:uid="{2D72439C-9AA9-4A92-AFA7-0267ACEA9575}"/>
    <hyperlink ref="A4075" r:id="rId3157" display="https://www.google.com/url?q=https://codingcompetitions.withgoogle.com/codejam/round/0000000000051706/000000000012295c&amp;sa=D&amp;ust=1605639553408000&amp;usg=AFQjCNFBJbuAoz-eLIN53e_sx_YHEAMnnA" xr:uid="{9485CF1A-A045-452B-839F-F7206A01BBDC}"/>
    <hyperlink ref="A4076" r:id="rId3158" display="https://www.google.com/url?q=https://codeforces.com/contest/1090/problem/F&amp;sa=D&amp;ust=1605639553408000&amp;usg=AFQjCNG-QD_GNFz89Aa3WaXCKArBugxtcg" xr:uid="{6F866516-EF4B-47DE-A5E4-234C287C0780}"/>
    <hyperlink ref="A4077" r:id="rId3159" display="https://www.google.com/url?q=http://codeforces.com/contest/919/problem/E&amp;sa=D&amp;ust=1605639553409000&amp;usg=AFQjCNFnHsXMN8Z8-oUMQavsFFuDz8ocSg" xr:uid="{DA44415A-F603-4B3C-94C4-17099392192E}"/>
    <hyperlink ref="D3516" r:id="rId3160" display="https://www.google.com/url?q=https://github.com/yazanKabbany/CompetitiveProgramming/blob/master/Codeforces/CF919-D2-E.cpp&amp;sa=D&amp;ust=1605639553409000&amp;usg=AFQjCNGO4MtBXAwmttF7CIGd9riV3t3fSQ" xr:uid="{6ABAAC85-CF43-44FD-814A-3DC26A3DD958}"/>
    <hyperlink ref="A4078" r:id="rId3161" display="https://www.google.com/url?q=http://codeforces.com/contest/509/problem/E&amp;sa=D&amp;ust=1605639553409000&amp;usg=AFQjCNEmjyKP44bSQjRZe7MT0sb1i7jhSQ" xr:uid="{B368C937-B284-4917-BA49-DC08B984CB44}"/>
    <hyperlink ref="A4079" r:id="rId3162" display="https://www.google.com/url?q=http://codeforces.com/contest/216/problem/E&amp;sa=D&amp;ust=1605639553410000&amp;usg=AFQjCNHfyXbIAqWdXwZeYecmG3833cO6RA" xr:uid="{38E745B3-A569-4753-B05E-2ACA33CE37BF}"/>
    <hyperlink ref="D3525" r:id="rId3163" display="https://www.google.com/url?q=https://pastebin.com/4uSGv4sZ&amp;sa=D&amp;ust=1605639553411000&amp;usg=AFQjCNHw9c63u4DLIGhGIx7-JJHQlTd7ZQ" xr:uid="{45B78562-6C9E-402E-B6B4-78130233D183}"/>
    <hyperlink ref="A4088" r:id="rId3164" display="https://www.google.com/url?q=http://codeforces.com/contest/185/problem/B&amp;sa=D&amp;ust=1605639553412000&amp;usg=AFQjCNFiPh-YyL_LzXSW-mAvVZV23PetmA" xr:uid="{A73C917B-B637-40EA-B033-B59FF307466F}"/>
    <hyperlink ref="D3527" r:id="rId3165" display="https://www.google.com/url?q=https://brilliant.org/wiki/arithmetic-mean-geometric-mean/&amp;sa=D&amp;ust=1605639553412000&amp;usg=AFQjCNEe3uOPehxaig8DiJMiiYlla0ghCQ" xr:uid="{ACC76717-9CEC-4BCB-8594-C22B2BB48895}"/>
    <hyperlink ref="A4089" r:id="rId3166" display="https://www.google.com/url?q=http://codeforces.com/gym/101615/attachments/download/6308/20172018-acmicpc-pacific-northwest-regional-contest-div-1-en.pdf&amp;sa=D&amp;ust=1605639553413000&amp;usg=AFQjCNHR6qnUai-G2Pa64P4G4BdT1griDA" xr:uid="{114104B3-40D4-46C2-8F5F-27F9B13C071E}"/>
    <hyperlink ref="D3528" r:id="rId3167" display="https://www.google.com/url?q=https://github.com/MedoN11/CompetitiveProgramming/blob/master/CodeForces/CF101615-GYM-C.cpp&amp;sa=D&amp;ust=1605639553413000&amp;usg=AFQjCNGDoNclfLA7cNRehma_Gwlz_6y7fg" xr:uid="{212F4DA3-A142-4F3F-B86B-CCE0BE981ED7}"/>
    <hyperlink ref="D3529" r:id="rId3168" display="https://www.google.com/url?q=https://github.com/Andres-Unt/problem_solving/blob/master/TopCoder/SRM596-D2-1000.cpp&amp;sa=D&amp;ust=1605639553414000&amp;usg=AFQjCNH0ivovxYpY1ZAgjRrRwj19VTNzag" xr:uid="{992B7B93-7B65-4410-A2EC-4AA4F61195AE}"/>
    <hyperlink ref="A4092" r:id="rId3169" display="https://www.google.com/url?q=https://codeforces.com/contest/1189/problem/E&amp;sa=D&amp;ust=1605639553414000&amp;usg=AFQjCNF1P5DKz_I0sNUQBvcbV7liqIqDlg" xr:uid="{40CD5EA4-EB07-4CB5-B9C5-7E57A786EDBB}"/>
    <hyperlink ref="A4093" r:id="rId3170" display="https://www.google.com/url?q=http://codeforces.com/contest/352/problem/D&amp;sa=D&amp;ust=1605639553414000&amp;usg=AFQjCNFSWFLdlQRtRa3HNev1NbubGZnLYw" xr:uid="{A468BD45-E615-44E3-8D27-93218BE13BBA}"/>
    <hyperlink ref="D2810" r:id="rId3171" display="https://www.google.com/url?q=https://github.com/BRAINOOOO/CompetitiveProgramming/blob/0577cb43f4a000eca9870ccc375c95381224aed1/CF/CF352-D2-D&amp;sa=D&amp;ust=1605639553415000&amp;usg=AFQjCNGWJmzB4FWP8VjLNATq4L_PaTjr_Q" xr:uid="{45C06CB2-EE23-4DCA-AC28-BF345A07C064}"/>
    <hyperlink ref="A4094" r:id="rId3172" display="https://www.google.com/url?q=https://www.codechef.com/problems/REMMAX&amp;sa=D&amp;ust=1605639553415000&amp;usg=AFQjCNFF6OJ1DoovCZW7l-9NF1jjy1VGFA" xr:uid="{AB3176A3-345B-4AEC-AD43-74630A78C012}"/>
    <hyperlink ref="A4095" r:id="rId3173" display="https://www.google.com/url?q=http://codeforces.com/contest/1080/problem/D&amp;sa=D&amp;ust=1605639553415000&amp;usg=AFQjCNEqV_1kWG2b2bk6HERUGaGt5gYLtw" xr:uid="{BA784970-5B64-4035-876E-375F3658B7B3}"/>
    <hyperlink ref="A4096" r:id="rId3174" display="https://www.google.com/url?q=http://codeforces.com/contest/371/problem/E&amp;sa=D&amp;ust=1605639553416000&amp;usg=AFQjCNE3zHZFgqaHAFrNyb3XXSfo7QBbuw" xr:uid="{360AAEDD-D53B-404B-A44A-04574A76C5F5}"/>
    <hyperlink ref="A4097" r:id="rId3175" display="https://www.google.com/url?q=https://codeforces.com/contest/1271/problem/E&amp;sa=D&amp;ust=1605639553416000&amp;usg=AFQjCNHzFJB_gAQU84G4esA9YR-Jv6ePmg" xr:uid="{4802171D-AD46-458B-A2BE-E3402AAD9535}"/>
    <hyperlink ref="A4098" r:id="rId3176" display="https://www.google.com/url?q=https://atcoder.jp/contests/abc156/tasks/abc156_f&amp;sa=D&amp;ust=1605639553417000&amp;usg=AFQjCNG2WReXXwF0fwImU0H4COyRYpt8WQ" xr:uid="{5D4FCB14-B008-401E-952F-8601A2865716}"/>
    <hyperlink ref="A4099" r:id="rId3177" display="https://www.google.com/url?q=https://codeforces.com/contest/1119/problem/D&amp;sa=D&amp;ust=1605639553417000&amp;usg=AFQjCNHOE4pdRKbO1EYysh58vyOYPcZKeg" xr:uid="{D495EB27-145C-459C-BD6D-1234021F5959}"/>
    <hyperlink ref="A4100" r:id="rId3178" display="https://www.google.com/url?q=http://codeforces.com/problemset/problem/120/E&amp;sa=D&amp;ust=1605639553417000&amp;usg=AFQjCNHDZfTBsNSA-vAxubKlgCHCPTOSFA" xr:uid="{AFE7CF43-5781-4EE7-8F84-67D9D1470360}"/>
    <hyperlink ref="D2817" r:id="rId3179" display="https://www.google.com/url?q=https://github.com/Huvok/CompetitiveProgramming/blob/master/Codeforces/CF975-D2-D.cpp&amp;sa=D&amp;ust=1605639553418000&amp;usg=AFQjCNEIeiKSUrBh2XXEZ6HQk9a6hnAPVg" xr:uid="{9FFD54C9-33E5-4EFA-B737-5E38680537E4}"/>
    <hyperlink ref="A4101" r:id="rId3180" display="https://www.google.com/url?q=http://codeforces.com/contest/359/problem/C&amp;sa=D&amp;ust=1605639553418000&amp;usg=AFQjCNGlngynbhmRTh68nZqv0kOGs_U__A" xr:uid="{6633F413-9C00-44AE-A905-6C84A5D7B239}"/>
    <hyperlink ref="A4102" r:id="rId3181" display="https://www.google.com/url?q=https://www.codechef.com/problems/GCDSUM&amp;sa=D&amp;ust=1605639553419000&amp;usg=AFQjCNESp7RX4ftUx_MTu68ZVFdyVjcAsA" xr:uid="{F376C693-BDEA-46B0-A6CC-E276FDCAC63E}"/>
    <hyperlink ref="A4104" r:id="rId3182" display="https://www.google.com/url?q=https://www.facebook.com/hackercup/problem/175329729852444/&amp;sa=D&amp;ust=1605639553419000&amp;usg=AFQjCNEI4AAV19mfEuHKZXnZq74LtKVhJQ" xr:uid="{A2DB94A3-B935-473D-82EB-EEB8428E4E31}"/>
    <hyperlink ref="D2424" r:id="rId3183" display="https://www.google.com/url?q=https://github.com/SpeedOfMagic/CompetitiveProgramming/blob/master/FbHkrCup/FbHkrCup%252018-Intersection.cpp&amp;sa=D&amp;ust=1605639553419000&amp;usg=AFQjCNH4rOKhn6ukhlwO_rSAPZXHQ8tkyw" xr:uid="{70764E9A-CC3F-4C53-BCF1-8370D1D35955}"/>
    <hyperlink ref="A4105" r:id="rId3184" display="https://www.google.com/url?q=http://codeforces.com/problemset/problem/798/C&amp;sa=D&amp;ust=1605639553419000&amp;usg=AFQjCNFV00Xp9Bpjd-8_Ec7wqpQx8rStyg" xr:uid="{B72CA209-9FA9-4BAD-9486-CEBFF7FECA9D}"/>
    <hyperlink ref="A4106" r:id="rId3185" display="https://www.google.com/url?q=http://codeforces.com/problemset/problem/899/D&amp;sa=D&amp;ust=1605639553420000&amp;usg=AFQjCNH1LvnU8QAMBLfIvxLBggXYcHTmVQ" xr:uid="{553875AD-6CC3-463E-9DE8-7A124491526D}"/>
    <hyperlink ref="D2194" r:id="rId3186" display="https://www.google.com/url?q=https://github.com/AliOsm/CompetitiveProgramming/blob/master/TopCoder/SRM394-D2-1000.cpp&amp;sa=D&amp;ust=1605639553420000&amp;usg=AFQjCNG2nTQDh9WVIOUU6d3dSA9o5yad2Q" xr:uid="{5D47BAEF-797B-46E0-8552-FB312121EDC3}"/>
    <hyperlink ref="A4108" r:id="rId3187" display="https://www.google.com/url?q=http://codeforces.com/contest/1040/problem/D&amp;sa=D&amp;ust=1605639553421000&amp;usg=AFQjCNHobjh8x-itkzs0xAmKdAgk4npmoA" xr:uid="{2C4E63E2-8485-438F-8D25-7B7E876D14CF}"/>
    <hyperlink ref="D2195" r:id="rId3188" display="https://www.google.com/url?q=http://codeforces.com/blog/entry/61675&amp;sa=D&amp;ust=1605639553421000&amp;usg=AFQjCNEJFkaYWg1n9oO5lhFrVeQJ6TAYUQ" xr:uid="{A3A1D663-DB74-48B8-932F-E6384970CDA3}"/>
    <hyperlink ref="A4113" r:id="rId3189" display="https://www.google.com/url?q=http://codeforces.com/contest/349/problem/C&amp;sa=D&amp;ust=1605639553421000&amp;usg=AFQjCNEdpP6tmgdzx45LCxEJbrVdM1SOKQ" xr:uid="{87DE3E7E-4FDE-4BCA-A4B8-B229E344B044}"/>
    <hyperlink ref="A4114" r:id="rId3190" display="https://www.google.com/url?q=https://codeforces.com/contest/396/problem/A&amp;sa=D&amp;ust=1605639553422000&amp;usg=AFQjCNGACSh6lskfvf9eoUnl32i6cparsw" xr:uid="{B0D0063C-38EA-40A8-808B-DEE4E9831DEA}"/>
    <hyperlink ref="A4115" r:id="rId3191" display="https://www.google.com/url?q=https://www.codechef.com/JUNE19A/problems/CHFING&amp;sa=D&amp;ust=1605639553422000&amp;usg=AFQjCNEzLNpDc-pdMe9gKe3iv-uQa-rWhw" xr:uid="{67C5A959-B7CC-4849-BC01-F44018D2A5FC}"/>
    <hyperlink ref="A4116" r:id="rId3192" display="https://www.google.com/url?q=https://codingcompetitions.withgoogle.com/codejam/round/0000000000051705/000000000008830b&amp;sa=D&amp;ust=1605639553423000&amp;usg=AFQjCNGnEXtPDmLbgHa4-et52hmhbovmhA" xr:uid="{CBC1FAF6-8054-4E89-9D24-876DE1724411}"/>
    <hyperlink ref="A4117" r:id="rId3193" display="https://www.google.com/url?q=https://www.facebook.com/hackercup/problem/432000547357525/&amp;sa=D&amp;ust=1605639553424000&amp;usg=AFQjCNE3V-ovEXa5b8K3fxhB3-hMIkUPKQ" xr:uid="{DFDB4E07-2B9D-431E-8AC7-3033514739B7}"/>
    <hyperlink ref="A4118" r:id="rId3194" display="https://www.google.com/url?q=http://codeforces.com/contest/633/problem/A&amp;sa=D&amp;ust=1605639553424000&amp;usg=AFQjCNGDHkQyqUHFZRx1uaMqx9zzsKcIVw" xr:uid="{07B88AFB-370C-4AF6-B8CA-E9D7A4B5A025}"/>
    <hyperlink ref="A4119" r:id="rId3195" display="https://www.google.com/url?q=https://codeforces.com/contest/1220/problem/D&amp;sa=D&amp;ust=1605639553425000&amp;usg=AFQjCNHBd7QiuxJLXNF5HFglikFPO5nvCg" xr:uid="{AA9B69A4-6748-4E36-8DC9-8D4C1C14FA49}"/>
    <hyperlink ref="A4120" r:id="rId3196" display="https://www.google.com/url?q=http://codeforces.com/contest/451/problem/D&amp;sa=D&amp;ust=1605639553425000&amp;usg=AFQjCNHsnUMV00ZATDBqI5gzH2e3gitJNQ" xr:uid="{4BACA291-B065-4718-AC4F-B59C378F42C0}"/>
    <hyperlink ref="A4121" r:id="rId3197" display="https://www.google.com/url?q=http://codeforces.com/contest/701/problem/D&amp;sa=D&amp;ust=1605639553426000&amp;usg=AFQjCNEegBYpR7rC7c8X-jj2wvvGK8J4XQ" xr:uid="{D7C910F8-5F43-4EAA-8CF1-63ACD15D4535}"/>
    <hyperlink ref="D2204" r:id="rId3198" display="https://www.google.com/url?q=https://github.com/ahmedsamir221/CompetitiveProgramming/blob/master/CodeForces/CF701-D2-D.cpp&amp;sa=D&amp;ust=1605639553426000&amp;usg=AFQjCNG3Nw7c1TNM8MdE-nw_oDVkX_17XA" xr:uid="{910B4913-1074-4685-AF48-451F65A9E3B0}"/>
    <hyperlink ref="A4122" r:id="rId3199" display="https://www.google.com/url?q=https://www.codechef.com/DEC18A/problems/INTXOR&amp;sa=D&amp;ust=1605639553426000&amp;usg=AFQjCNEJNBu43ziyjD5P7qNK3z-mvZiYcw" xr:uid="{EA347E80-A7D9-4432-B44D-9D7A5B7FEC24}"/>
    <hyperlink ref="A4123" r:id="rId3200" display="https://www.google.com/url?q=http://codeforces.com/contest/1167/problem/F&amp;sa=D&amp;ust=1605639553427000&amp;usg=AFQjCNGxw-SdpSXtkO3Top7YodH6pWHpXg" xr:uid="{D551EE8B-E9CE-4C45-A8E9-CBDAD1617843}"/>
    <hyperlink ref="A4124" r:id="rId3201" display="https://www.google.com/url?q=https://codeforces.com/contest/1244/problem/C&amp;sa=D&amp;ust=1605639553427000&amp;usg=AFQjCNFuIsXoy27qTaKAeKc2lSqnFKpjRQ" xr:uid="{5A18CD86-9781-4EB2-89C5-09E02BD0CE66}"/>
    <hyperlink ref="A4125" r:id="rId3202" display="https://www.google.com/url?q=https://codeforces.com/contest/397/problem/D&amp;sa=D&amp;ust=1605639553428000&amp;usg=AFQjCNFLXcJFFyTVaHMziBhoT_E5VfhN3w" xr:uid="{73C8D7EE-3657-406E-819D-52F1230258FB}"/>
    <hyperlink ref="A4126" r:id="rId3203" display="https://www.google.com/url?q=http://codeforces.com/problemset/problem/1016/D&amp;sa=D&amp;ust=1605639553428000&amp;usg=AFQjCNHWB_oS56pyh9HwoJ2T1OfBI7iE0g" xr:uid="{CD09408B-B59F-4DDA-BDAF-976789D00DC1}"/>
    <hyperlink ref="A4127" r:id="rId3204" display="https://www.google.com/url?q=https://codeforces.com/contest/1079/problem/D&amp;sa=D&amp;ust=1605639553429000&amp;usg=AFQjCNGpF6sFoQyHrb4Kd6ABB7xbHdY5XQ" xr:uid="{87DCC317-A2E0-4968-8031-7CFB17773097}"/>
    <hyperlink ref="A4128" r:id="rId3205" display="https://www.google.com/url?q=https://codeforces.com/contest/1185/problem/D&amp;sa=D&amp;ust=1605639553429000&amp;usg=AFQjCNHtTRITzLC6z5b6XJk8uBBxF6C2lw" xr:uid="{E498CF68-3098-47CA-8660-2407157E0BC6}"/>
    <hyperlink ref="A4129" r:id="rId3206" display="https://www.google.com/url?q=https://uva.onlinejudge.org/index.php?option%3Dcom_onlinejudge%26Itemid%3D8%26page%3Dshow_problem%26problem%3D64&amp;sa=D&amp;ust=1605639553430000&amp;usg=AFQjCNFxLlpk1T_DScXK1rnss14JQGMZEg" xr:uid="{0996F83D-20B1-4FB0-AC83-6257C3DF703D}"/>
    <hyperlink ref="D2212" r:id="rId3207" display="https://www.google.com/url?q=http://roprogrammer.blogspot.com/2010/01/uva-problem-128-software-crc.html&amp;sa=D&amp;ust=1605639553430000&amp;usg=AFQjCNFBR4cPZT05e3vnAkxPIQ9sprAcqQ" xr:uid="{7C627AB2-C5D5-40FE-B82E-C91759ACCF43}"/>
    <hyperlink ref="A4130" r:id="rId3208" display="https://www.google.com/url?q=https://codeforces.com/contest/1130/problem/D2&amp;sa=D&amp;ust=1605639553430000&amp;usg=AFQjCNE4AdGxngsHKAOK3CKnm6I3ahUF1w" xr:uid="{741BF946-115F-4179-B4AA-E4E8CB02C4A1}"/>
    <hyperlink ref="A4131" r:id="rId3209" display="https://www.google.com/url?q=http://codeforces.com/contest/535/problem/C&amp;sa=D&amp;ust=1605639553431000&amp;usg=AFQjCNF2yjQwJJpdU6HmDBJhgS3zl1sIxA" xr:uid="{436EB26C-24A1-45DC-922E-2C7D6B30722C}"/>
    <hyperlink ref="A4132" r:id="rId3210" display="https://www.google.com/url?q=https://atcoder.jp/contests/abc140/tasks/abc140_e&amp;sa=D&amp;ust=1605639553431000&amp;usg=AFQjCNFqG8dnqDsir-ilFWyTfqdSmjm7WA" xr:uid="{E8157697-F772-45C2-91E4-76C6C8C7F4AB}"/>
    <hyperlink ref="D2215" r:id="rId3211" display="https://www.google.com/url?q=https://github.com/farmerboy95/CompetitiveProgramming/blob/master/AtCoder/AtCoder140-ABC-E.cpp&amp;sa=D&amp;ust=1605639553431000&amp;usg=AFQjCNFqHgNUvCpR_ZDgc3hb3gdyf4G_2A" xr:uid="{D899F187-D387-46CA-9F8B-AF9F03A286A5}"/>
    <hyperlink ref="A4133" r:id="rId3212" display="https://www.google.com/url?q=http://codeforces.com/contest/451/problem/C&amp;sa=D&amp;ust=1605639553432000&amp;usg=AFQjCNEiwIyinLjTj3tBNJ62rSGtFrHnFg" xr:uid="{0E128A36-4299-4AA1-BDE6-392917CC3EDF}"/>
    <hyperlink ref="A4134" r:id="rId3213" display="https://www.google.com/url?q=http://codeforces.com/problemset/problem/955/C&amp;sa=D&amp;ust=1605639553432000&amp;usg=AFQjCNGnwehgQ7AigN7pFVT2bI11wbO-Xw" xr:uid="{F11B6EAE-7665-4E88-9915-91B6558A7DBC}"/>
    <hyperlink ref="A4135" r:id="rId3214" display="https://www.google.com/url?q=http://codeforces.com/contest/45/problem/D&amp;sa=D&amp;ust=1605639553433000&amp;usg=AFQjCNH0ZAVaqDINMvPJSuxfbUCS88zuoQ" xr:uid="{020A9B42-A175-4374-ADDE-3E3CFE4D9430}"/>
    <hyperlink ref="D2218" r:id="rId3215" display="https://www.google.com/url?q=https://github.com/ahmedsamir221/CompetitiveProgramming/blob/master/CodeForces/CF45-D12-D.cpp&amp;sa=D&amp;ust=1605639553433000&amp;usg=AFQjCNHzW3_SsG8vrqkFXn_EPD25izq23w" xr:uid="{04354B71-3F3C-4871-94BE-5D67C7F701DD}"/>
    <hyperlink ref="A4136" r:id="rId3216" display="https://www.google.com/url?q=http://codeforces.com/contest/322/problem/C&amp;sa=D&amp;ust=1605639553433000&amp;usg=AFQjCNHqFAoqix66T53ypvkkxq1s7E--2Q" xr:uid="{0F5BD82C-41CE-40C6-83D1-F20609DEC947}"/>
    <hyperlink ref="A4137" r:id="rId3217" display="https://www.google.com/url?q=http://codeforces.com/contest/499/problem/C&amp;sa=D&amp;ust=1605639553435000&amp;usg=AFQjCNE14IpaBacRSd_kqKNtyOBY9pBwpQ" xr:uid="{EF8EC35F-323A-4690-99D1-4143FF896D4C}"/>
    <hyperlink ref="A4138" r:id="rId3218" display="https://www.google.com/url?q=https://beta.atcoder.jp/contests/agc028/tasks/agc028_a&amp;sa=D&amp;ust=1605639553435000&amp;usg=AFQjCNEZZ4lhQuIoGKtLlwytsuWi3HCBbQ" xr:uid="{CE929EEF-C69E-4DC4-93A7-94DD0AB08582}"/>
    <hyperlink ref="A4139" r:id="rId3219" display="https://www.google.com/url?q=http://codeforces.com/contest/1029/problem/D&amp;sa=D&amp;ust=1605639553436000&amp;usg=AFQjCNFSuaI_9nshKBqkFwGAAyUJLevfAQ" xr:uid="{2407CB6D-AB74-45B1-8763-241480EAC821}"/>
    <hyperlink ref="A4140" r:id="rId3220" display="https://www.google.com/url?q=http://codeforces.com/contest/199/problem/C&amp;sa=D&amp;ust=1605639553436000&amp;usg=AFQjCNHFiVZ_dqXkODRElfPBR97c7v5IMA" xr:uid="{F0F245E5-067B-43C8-AB3E-E9E681BBBF7F}"/>
    <hyperlink ref="A4141" r:id="rId3221" display="https://www.google.com/url?q=http://codeforces.com/contest/520/problem/C&amp;sa=D&amp;ust=1605639553437000&amp;usg=AFQjCNHuwqyhLTR3a1IZYu1-0CmCiu6IpQ" xr:uid="{81EECC7E-03C6-42C6-BD35-7293773857ED}"/>
    <hyperlink ref="A4145" r:id="rId3222" display="https://www.google.com/url?q=http://codeforces.com/contest/676/problem/E&amp;sa=D&amp;ust=1605639553437000&amp;usg=AFQjCNEShWTu5HJJ5sr7pJuDYdBJjBxqYA" xr:uid="{B5A14475-3F51-4803-AB3A-E2538AF9424C}"/>
    <hyperlink ref="A4146" r:id="rId3223" display="https://www.google.com/url?q=http://codeforces.com/contest/803/problem/C&amp;sa=D&amp;ust=1605639553437000&amp;usg=AFQjCNGO7hqYuyki60YuWyF-QsLXo709pQ" xr:uid="{B5B6F8D2-C2CB-4211-B872-4502F992707F}"/>
    <hyperlink ref="A4147" r:id="rId3224" display="https://www.google.com/url?q=http://codeforces.com/contest/957/problem/C&amp;sa=D&amp;ust=1605639553438000&amp;usg=AFQjCNG18kyC_bigUadCOoxGehXhd8Q3Ig" xr:uid="{AB1ED0B9-0B15-463F-B972-A5ABA6711BE7}"/>
    <hyperlink ref="A4148" r:id="rId3225" display="https://www.google.com/url?q=https://www.codechef.com/problems/PRMDIV&amp;sa=D&amp;ust=1605639553438000&amp;usg=AFQjCNGmZuoSVe7vJ-0nAfaZFLNDfejWQw" xr:uid="{ACC23921-DD3C-4AAB-8DA4-A9E041E6322B}"/>
    <hyperlink ref="A4153" r:id="rId3226" display="https://www.google.com/url?q=https://uva.onlinejudge.org/index.php?option%3Dcom_onlinejudge%26Itemid%3D8%26page%3Dshow_problem%26problem%3D62&amp;sa=D&amp;ust=1605639553440000&amp;usg=AFQjCNFxMhyRl3FOAhkAXCY_4ToAhso8dQ" xr:uid="{41482E8A-0631-4360-93D5-183084E997A3}"/>
    <hyperlink ref="D2233" r:id="rId3227" display="https://www.google.com/url?q=https://github.com/abdullaAshraf/Problem-Solving/blob/master/UVA/126.cpp&amp;sa=D&amp;ust=1605639553440000&amp;usg=AFQjCNFz4WIha4UYOzvtQ0vquwr6sDis9w" xr:uid="{C511FDFD-5541-4B3E-9731-F16A27FCDB83}"/>
    <hyperlink ref="D2234" r:id="rId3228" display="https://www.google.com/url?q=https://github.com/morris821028/UVa/blob/master/volume005/545%2520-%2520Heads.cpp&amp;sa=D&amp;ust=1605639553440000&amp;usg=AFQjCNFOfOtpN304qf2VgLIphktA5g4xkw" xr:uid="{1B6D0ED7-56B3-47F9-9FF5-8D718AC31005}"/>
    <hyperlink ref="A4156" r:id="rId3229" display="https://www.google.com/url?q=http://codeforces.com/contest/895/problem/D&amp;sa=D&amp;ust=1605639553441000&amp;usg=AFQjCNHTG0R3QQCCtahYwGOSM8Y__iDcLw" xr:uid="{49FE13A9-3136-4C74-B53E-E78887A5677B}"/>
    <hyperlink ref="A4157" r:id="rId3230" display="https://www.google.com/url?q=http://codeforces.com/contest/892/problem/D&amp;sa=D&amp;ust=1605639553441000&amp;usg=AFQjCNFuzq46VhKZBhSgHr_nD05XEiPerQ" xr:uid="{9D6412B1-FC9A-4524-B477-077CF17D2C6C}"/>
    <hyperlink ref="D2238" r:id="rId3231" display="https://www.google.com/url?q=https://ideone.com/Rgvbck&amp;sa=D&amp;ust=1605639553442000&amp;usg=AFQjCNHGURhGVy4_EykYYStvvzuoJgJhIA" xr:uid="{928D93EB-325B-49F1-A3F0-5B5FE7229565}"/>
    <hyperlink ref="D2239" r:id="rId3232" display="https://www.google.com/url?q=https://github.com/ryuzmukhametov/CompetitiveProgramming/blob/master/uva/UVA%252010442.cpp&amp;sa=D&amp;ust=1605639553442000&amp;usg=AFQjCNFFo5RhoHwRjMsvQT5qmLHEDpGLtg" xr:uid="{EB67108F-FE46-46A5-846E-DBEFDB11F250}"/>
    <hyperlink ref="A4160" r:id="rId3233" display="https://www.google.com/url?q=http://codeforces.com/contest/1062/problem/B&amp;sa=D&amp;ust=1605639553443000&amp;usg=AFQjCNGZrKYtiPBe_59_MuYXhSgB7DEn1A" xr:uid="{F03F1AC6-BE5A-455A-BABF-ED1680C8C611}"/>
    <hyperlink ref="A4161" r:id="rId3234" display="https://www.google.com/url?q=https://csacademy.com/contest/round-63/task/find-remainder/&amp;sa=D&amp;ust=1605639553443000&amp;usg=AFQjCNFPqeqkfgmdAbBxJ0zSVVg5OmbOPA" xr:uid="{6A9A1423-ECB7-414C-9541-45B6892CF4ED}"/>
    <hyperlink ref="A4163" r:id="rId3235" display="https://www.google.com/url?q=http://codeforces.com/gym/101102/problem/J&amp;sa=D&amp;ust=1605639553444000&amp;usg=AFQjCNETeN2rmTgwuZkTH9w44v7Yct6dXQ" xr:uid="{E05D8B2E-FD79-4C19-9127-3248CC79B333}"/>
    <hyperlink ref="D2243" r:id="rId3236" display="https://www.google.com/url?q=https://github.com/Mahmoud3ali/CompetitiveProgramming/blob/master/CodeForces/CF101102-GYM-J.cpp&amp;sa=D&amp;ust=1605639553444000&amp;usg=AFQjCNEbGNnus354yQW-6yVmr-C2oFL20w" xr:uid="{9D65AB59-9EE2-4BAA-A8AC-782241844132}"/>
    <hyperlink ref="A4164" r:id="rId3237" display="https://www.google.com/url?q=https://atcoder.jp/contests/abc134/tasks/abc134_f&amp;sa=D&amp;ust=1605639553445000&amp;usg=AFQjCNEbYOVaXIYQ2yi__Fb3Ll_kwdwTvA" xr:uid="{B585CA0C-8496-447A-9523-D9C8934DEDB5}"/>
    <hyperlink ref="D2245" r:id="rId3238" display="https://www.google.com/url?q=https://github.com/MedoN11/CompetitiveProgramming/blob/master/TopCoder/SRM552-D2-500.java&amp;sa=D&amp;ust=1605639553446000&amp;usg=AFQjCNHr-kS5NcRd1dt4I5iUq9goYZageg" xr:uid="{08DEDE44-0E89-45D8-A8A5-B6FA1CE09960}"/>
    <hyperlink ref="A4166" r:id="rId3239" display="https://www.google.com/url?q=http://agc016.contest.atcoder.jp/tasks/agc016_b&amp;sa=D&amp;ust=1605639553447000&amp;usg=AFQjCNGuFfAAN5CReCUzZiqLqOuKa6t_ZA" xr:uid="{4E6DDBBD-601B-4052-B65F-62AEB3D1D2CE}"/>
    <hyperlink ref="A4170" r:id="rId3240" display="https://www.google.com/url?q=http://codeforces.com/contest/195/problem/D&amp;sa=D&amp;ust=1605639553448000&amp;usg=AFQjCNF2lyX3dXd5McDXeugROmq_00e39A" xr:uid="{DA8D4C36-6D2F-41CC-89E6-307ACC40BC03}"/>
    <hyperlink ref="A4172" r:id="rId3241" display="https://www.google.com/url?q=https://codeforces.com/contest/1186/problem/C&amp;sa=D&amp;ust=1605639553449000&amp;usg=AFQjCNEBm5G4--b-zkGk-lpZp9XZAH3cgQ" xr:uid="{08DE5394-AA51-46FE-AD2D-AC67C65F7E2A}"/>
    <hyperlink ref="A4173" r:id="rId3242" display="https://www.google.com/url?q=https://codeforces.com/contest/1093/problem/C&amp;sa=D&amp;ust=1605639553449000&amp;usg=AFQjCNE_eYZGCz3fi9xmPK_o39C_O5hGGg" xr:uid="{69083759-C606-43A1-A8DC-78D6BEB64790}"/>
    <hyperlink ref="A4176" r:id="rId3243" display="https://www.google.com/url?q=https://uva.onlinejudge.org/index.php?option%3Dcom_onlinejudge%26Itemid%3D8%26page%3Dshow_problem%26problem%3D966&amp;sa=D&amp;ust=1605639553451000&amp;usg=AFQjCNEyxsF-lGRaHa1HP9OksoAgFXLecQ" xr:uid="{6F4F89E6-371D-46B1-95CA-6065BF2E3888}"/>
    <hyperlink ref="A4177" r:id="rId3244" display="https://www.google.com/url?q=http://codeforces.com/contest/844/problem/D&amp;sa=D&amp;ust=1605639553451000&amp;usg=AFQjCNGiAUWX_ym7lAdvIaBZS9IcOxcw_A" xr:uid="{EC96D5CA-D63F-4575-B380-0CF6881C95F9}"/>
    <hyperlink ref="A4178" r:id="rId3245" display="https://www.google.com/url?q=http://codeforces.com/contest/334/problem/C&amp;sa=D&amp;ust=1605639553451000&amp;usg=AFQjCNFNPm6Lw9Uwk-GW0TQV6XEtbrTROQ" xr:uid="{FF5C0366-8E9C-49A9-8B54-2B0526D7F7D7}"/>
    <hyperlink ref="A4179" r:id="rId3246" display="https://www.google.com/url?q=http://codeforces.com/contest/834/problem/C&amp;sa=D&amp;ust=1605639553452000&amp;usg=AFQjCNH_8jwEDe_34AEIzYmFkGucU0ZAnA" xr:uid="{B2EF407B-589B-4D63-A16B-C78F9AD2A4F0}"/>
    <hyperlink ref="A4181" r:id="rId3247" display="https://www.google.com/url?q=http://codeforces.com/contest/936/problem/A&amp;sa=D&amp;ust=1605639553452000&amp;usg=AFQjCNHIPM0GIyymVw6LFtx0vGa0GiGdaA" xr:uid="{1F5A3A91-ACFB-444E-9557-4A07E7FD88AF}"/>
    <hyperlink ref="A4182" r:id="rId3248" display="https://www.google.com/url?q=http://codeforces.com/contest/94/problem/C&amp;sa=D&amp;ust=1605639553453000&amp;usg=AFQjCNHsEP8Ws-X2W6Ov4eksqKRSk6xvjg" xr:uid="{9D357632-B49E-4B1A-BFFE-9FA7EE5A8F70}"/>
    <hyperlink ref="A4183" r:id="rId3249" display="https://www.google.com/url?q=https://codingcompetitions.withgoogle.com/codejam/round/0000000000051635/0000000000104f1a&amp;sa=D&amp;ust=1605639553453000&amp;usg=AFQjCNEC92TJjwLPiyFdpTwr4gNL_sePEg" xr:uid="{BA09097F-959B-45CC-8F48-9DA3A0623A32}"/>
    <hyperlink ref="A4191" r:id="rId3250" display="https://www.google.com/url?q=http://codeforces.com/contest/353/problem/C&amp;sa=D&amp;ust=1605639553455000&amp;usg=AFQjCNFKDGR7WvcL30vwnuce70nxNNFizQ" xr:uid="{59CE6067-0183-45F6-9E6A-7D8C5A80C9AB}"/>
    <hyperlink ref="A4192" r:id="rId3251" display="https://www.google.com/url?q=http://codeforces.com/contest/716/problem/C&amp;sa=D&amp;ust=1605639553456000&amp;usg=AFQjCNGtDolBJTS2L1g5PVHwVVDo4YD7qQ" xr:uid="{745275F8-D474-4F6B-812A-68C70B9D789A}"/>
    <hyperlink ref="A4193" r:id="rId3252" display="https://www.google.com/url?q=http://codeforces.com/contest/680/problem/C&amp;sa=D&amp;ust=1605639553456000&amp;usg=AFQjCNFI0fh-RCug-ML9yjrOtGYbWOyJGQ" xr:uid="{9A8338A6-430E-4DFE-902E-A0B65483140E}"/>
    <hyperlink ref="A4194" r:id="rId3253" display="https://www.google.com/url?q=http://codeforces.com/contest/727/problem/C&amp;sa=D&amp;ust=1605639553457000&amp;usg=AFQjCNE2aoy2nYYG6NWx3WBn8yUeqwUKdw" xr:uid="{57EE962C-E147-4376-B49B-B62C67FFF9BF}"/>
    <hyperlink ref="A4195" r:id="rId3254" display="https://www.google.com/url?q=http://codeforces.com/contest/320/problem/C&amp;sa=D&amp;ust=1605639553458000&amp;usg=AFQjCNHWFSsdUnr_uYNHM3toK1YnP0xeQQ" xr:uid="{8544CECF-90A0-4F5E-BFBE-FA52E6973D30}"/>
    <hyperlink ref="A4196" r:id="rId3255" display="https://www.google.com/url?q=https://codeforces.com/contest/1239/problem/A&amp;sa=D&amp;ust=1605639553458000&amp;usg=AFQjCNGcofsFAV29rUCH0AvnFIW9ZYfuQQ" xr:uid="{CB438924-F2CF-48D9-8BFF-E96034B1745D}"/>
    <hyperlink ref="A4197" r:id="rId3256" display="https://www.google.com/url?q=https://codeforces.com/contest/816/problem/B&amp;sa=D&amp;ust=1605639553459000&amp;usg=AFQjCNFbW1OSz9ZBKpV_gzAoDzLnBXW12A" xr:uid="{FCAAB400-F66D-4E9D-AAF8-1DD6C67A9A8A}"/>
    <hyperlink ref="A4198" r:id="rId3257" display="https://www.google.com/url?q=https://codeforces.com/contest/1059/problem/C&amp;sa=D&amp;ust=1605639553459000&amp;usg=AFQjCNGTNKqVyCgqHX1Fmwj3fSysyI-DtA" xr:uid="{DD7D3157-5C90-4472-86F4-7A8DE6B15AEF}"/>
    <hyperlink ref="A4199" r:id="rId3258" display="https://www.google.com/url?q=https://uva.onlinejudge.org/index.php?option%3Dcom_onlinejudge%26Itemid%3D8%26page%3Dshow_problem%26problem%3D49&amp;sa=D&amp;ust=1605639553459000&amp;usg=AFQjCNGCwQMsAS3I-1dvxy8hg7pPNdbgcQ" xr:uid="{5F61EE7A-6019-474D-8E83-B17491640658}"/>
    <hyperlink ref="D1041" r:id="rId3259" display="https://www.google.com/url?q=https://www.algorithmist.com/index.php/UVa_113&amp;sa=D&amp;ust=1605639553460000&amp;usg=AFQjCNF9cjJfRTsh4-b06VUMUIIvunyF1Q" xr:uid="{0528A632-5BA7-48E1-8759-C5D55E105AEE}"/>
    <hyperlink ref="A4200" r:id="rId3260" display="https://www.google.com/url?q=https://www.codechef.com/problems/GRIDTOUR&amp;sa=D&amp;ust=1605639553460000&amp;usg=AFQjCNGNwqICClS9isHSNK7QXz91ASJGdw" xr:uid="{F962D0F1-18A8-450D-A453-46A373E46E55}"/>
    <hyperlink ref="A4201" r:id="rId3261" display="https://www.google.com/url?q=https://uva.onlinejudge.org/index.php?option%3Dcom_onlinejudge%26Itemid%3D8%26page%3Dshow_problem%26problem%3D1647&amp;sa=D&amp;ust=1605639553460000&amp;usg=AFQjCNGEsjL_ZzIDA64FQqvuwvQJ6zrCIg" xr:uid="{8FC7FE09-0A92-4ACE-B9DE-0C11CAABB141}"/>
    <hyperlink ref="A4202" r:id="rId3262" display="https://www.google.com/url?q=https://codeforces.com/contest/1143/problem/D&amp;sa=D&amp;ust=1605639553461000&amp;usg=AFQjCNF301AnuBSS8phupMHNTmqg9XpwCg" xr:uid="{ABFAA777-7F29-468D-8D59-CFE582A4CBD5}"/>
    <hyperlink ref="A4203" r:id="rId3263" display="https://www.google.com/url?q=http://codeforces.com/contest/577/problem/C&amp;sa=D&amp;ust=1605639553461000&amp;usg=AFQjCNHwdnuiW8VqzZ4uWpCRCVjfQW0DRA" xr:uid="{699BEA19-61BD-42E9-9409-C445635398D0}"/>
    <hyperlink ref="A4204" r:id="rId3264" display="https://www.google.com/url?q=http://codeforces.com/contest/376/problem/C&amp;sa=D&amp;ust=1605639553462000&amp;usg=AFQjCNGw7qESTjRpuaPe-eJDqNhf1zUKVQ" xr:uid="{EE68F031-FCDD-482D-B376-981A1A56B89F}"/>
    <hyperlink ref="A4205" r:id="rId3265" display="https://www.google.com/url?q=https://uva.onlinejudge.org/index.php?option%3Dcom_onlinejudge%26Itemid%3D8%26page%3Dshow_problem%26problem%3D1917&amp;sa=D&amp;ust=1605639553462000&amp;usg=AFQjCNEB_qoY4VuK8JFnJS0bo99rS683uw" xr:uid="{6B36DEFA-0E40-4141-B770-BF772DA25121}"/>
    <hyperlink ref="A4206" r:id="rId3266" display="https://www.google.com/url?q=http://codeforces.com/gym/101864/problem/M&amp;sa=D&amp;ust=1605639553462000&amp;usg=AFQjCNHkuSvApzof9QWn9BSjn_moqEFzYg" xr:uid="{270DF9C4-08D1-45F9-8A34-F69384A9CC40}"/>
    <hyperlink ref="D1048" r:id="rId3267" display="https://www.google.com/url?q=https://github.com/SpeedOfMagic/CompetitiveProgramming/blob/master/CodeforcesGym/CF101864-GYM-M.cpp&amp;sa=D&amp;ust=1605639553463000&amp;usg=AFQjCNFXf_12dhn1xNZsyuuz9XRfVLJcIA" xr:uid="{306A7CFD-8B51-435B-8B9A-CE3BFE8CF4F3}"/>
    <hyperlink ref="A4207" r:id="rId3268" display="https://www.google.com/url?q=http://codeforces.com/contest/182/problem/D&amp;sa=D&amp;ust=1605639553463000&amp;usg=AFQjCNHkTV-KRa72FDQP1B0-FiaCVzM7CA" xr:uid="{1AC28F50-899F-4962-9043-E41328FF8583}"/>
    <hyperlink ref="A4208" r:id="rId3269" display="https://www.google.com/url?q=http://codeforces.com/contest/186/problem/C&amp;sa=D&amp;ust=1605639553463000&amp;usg=AFQjCNEJtmHeF0BHY8gF9su8ye4Js-gSFA" xr:uid="{1E32F86E-2294-4A64-8E48-12CC06B27C9B}"/>
    <hyperlink ref="A4209" r:id="rId3270" display="https://www.google.com/url?q=http://codeforces.com/contest/424/problem/C&amp;sa=D&amp;ust=1605639553464000&amp;usg=AFQjCNHvVxvqvU00Q0Grbk1-Ro2h9QGXZA" xr:uid="{335F2EFB-7087-465D-95C1-97E861873980}"/>
    <hyperlink ref="A4210" r:id="rId3271" display="https://www.google.com/url?q=http://codeforces.com/contest/588/problem/B&amp;sa=D&amp;ust=1605639553464000&amp;usg=AFQjCNE1PqakWOjgq9Ge--C3RO6FzmbgGg" xr:uid="{0F48BA75-6D5D-4367-BC0D-0C70E782B257}"/>
    <hyperlink ref="A4211" r:id="rId3272" display="https://www.google.com/url?q=https://uva.onlinejudge.org/index.php?option%3Dcom_onlinejudge%26Itemid%3D8%26page%3Dshow_problem%26problem%3D1051&amp;sa=D&amp;ust=1605639553464000&amp;usg=AFQjCNGVGC6GED0daUQYAInHLrpO3G_wwQ" xr:uid="{936A1442-0409-49F2-B652-86A331D3D9F3}"/>
    <hyperlink ref="A4213" r:id="rId3273" display="https://www.google.com/url?q=http://codeforces.com/contest/71/problem/C&amp;sa=D&amp;ust=1605639553465000&amp;usg=AFQjCNFbt3YUvibkOcxsDHWBX0lEmpnvBA" xr:uid="{94310EAE-71F2-4450-9D2A-88F87C39E45B}"/>
    <hyperlink ref="A4215" r:id="rId3274" display="https://www.google.com/url?q=http://codeforces.com/contest/978/problem/E&amp;sa=D&amp;ust=1605639553466000&amp;usg=AFQjCNEt77r1__delULlYZQ8Uc_yJPibBQ" xr:uid="{FD5B0352-338C-48BF-94F5-4BB4CC7651B6}"/>
    <hyperlink ref="A4216" r:id="rId3275" display="https://www.google.com/url?q=https://csacademy.com/contest/round-59/task/win-percentages/&amp;sa=D&amp;ust=1605639553466000&amp;usg=AFQjCNFa5FJ_-NKTthAx6JJwAI9jVSj1NA" xr:uid="{4D12608C-A7F7-49D1-88F5-BE8556347CAF}"/>
    <hyperlink ref="A4219" r:id="rId3276" display="https://www.google.com/url?q=http://codeforces.com/contest/304/problem/C&amp;sa=D&amp;ust=1605639553466000&amp;usg=AFQjCNEG0R5PLwEssAmAc7g-lcGSrBgaPg" xr:uid="{2597EB8D-487C-42E5-BB61-0576ECF849B1}"/>
    <hyperlink ref="A4221" r:id="rId3277" display="https://www.google.com/url?q=http://codeforces.com/contest/488/problem/B&amp;sa=D&amp;ust=1605639553468000&amp;usg=AFQjCNFZgPURu-X_RulYQ85ZJ-lIS_gmrA" xr:uid="{D4B9EE32-B3A5-4DEF-BB88-96099291A99E}"/>
    <hyperlink ref="A4224" r:id="rId3278" display="https://www.google.com/url?q=http://codeforces.com/contest/1076/problem/C&amp;sa=D&amp;ust=1605639553469000&amp;usg=AFQjCNHvDLQMyr0OaQcn287qjd1Utc7lkA" xr:uid="{856B9117-8145-4FAD-8B2A-E4A66A1DD51C}"/>
    <hyperlink ref="A4227" r:id="rId3279" display="https://www.google.com/url?q=https://www.codechef.com/problems/GCDMOD&amp;sa=D&amp;ust=1605639553470000&amp;usg=AFQjCNEZ6wb5ardbusVoFD9k9xT5lj6kbw" xr:uid="{A8BE388B-12DB-40A5-A48E-D1048636CB3C}"/>
    <hyperlink ref="D382" r:id="rId3280" display="https://www.google.com/url?q=https://github.com/tmwilliamlin168/CompetitiveProgramming/blob/master/CodeChef/GCDMOD.cpp&amp;sa=D&amp;ust=1605639553470000&amp;usg=AFQjCNHXoxK01Tk_OLbCMfCe4y0kdrGbDw" xr:uid="{DD8EB918-4BEE-4204-8167-1C905D93EB1F}"/>
    <hyperlink ref="A4228" r:id="rId3281" display="https://www.google.com/url?q=http://codeforces.com/contest/534/problem/C&amp;sa=D&amp;ust=1605639553470000&amp;usg=AFQjCNE9nbYGqtwU6cVxgm628J2QMUsZYA" xr:uid="{E5717DF6-449D-4D8C-B916-0C8FF355C758}"/>
    <hyperlink ref="A4230" r:id="rId3282" display="https://www.google.com/url?q=https://www.codechef.com/problems/MULTHREE&amp;sa=D&amp;ust=1605639553471000&amp;usg=AFQjCNFlAFO3tokMoUbxKQG3vW1jgDRDWA" xr:uid="{4B851692-D736-4865-99EE-0ED5081E0541}"/>
    <hyperlink ref="A4231" r:id="rId3283" display="https://www.google.com/url?q=http://codeforces.com/contest/758/problem/C&amp;sa=D&amp;ust=1605639553471000&amp;usg=AFQjCNGBh3LWu-rVCE6P0O7ijt2DKMxCag" xr:uid="{C5F98468-B9B4-4C82-9E13-6120710763E4}"/>
    <hyperlink ref="A4232" r:id="rId3284" display="https://www.google.com/url?q=http://codeforces.com/contest/86/problem/A&amp;sa=D&amp;ust=1605639553472000&amp;usg=AFQjCNETx4aT_KqDEqnEubv7K6QrgdzBPA" xr:uid="{B672F64A-468A-4761-B670-CEEE20A2ADDC}"/>
    <hyperlink ref="A4237" r:id="rId3285" display="https://www.google.com/url?q=http://codeforces.com/contest/689/problem/C&amp;sa=D&amp;ust=1605639553473000&amp;usg=AFQjCNGjyl567RUQJSyW-hoT8EkKErC-og" xr:uid="{154C8A31-457E-424E-95AD-F14EBAB0A646}"/>
    <hyperlink ref="A4240" r:id="rId3286" display="https://www.google.com/url?q=https://uva.onlinejudge.org/index.php?option%3Dcom_onlinejudge%26Itemid%3D8%26page%3Dshow_problem%26problem%3D1820&amp;sa=D&amp;ust=1605639553474000&amp;usg=AFQjCNEvF6dx1PSCAwjgruGOqR-PvoWfmw" xr:uid="{D21754E8-5D81-4460-897E-A5803C23687F}"/>
    <hyperlink ref="A4241" r:id="rId3287" display="https://www.google.com/url?q=https://uva.onlinejudge.org/index.php?option%3Dcom_onlinejudge%26Itemid%3D8%26page%3Dshow_problem%26problem%3D322&amp;sa=D&amp;ust=1605639553474000&amp;usg=AFQjCNGk7NJSYAg2NshQmKXhQ1Pa3o3Raw" xr:uid="{6624F94F-39EE-4DDC-94B0-DCFFEDE41F2A}"/>
    <hyperlink ref="D397" r:id="rId3288" display="https://www.google.com/url?q=http://sound-system-79.blogspot.com/2016/06/uva-983-localized-summing-for-blurring.html&amp;sa=D&amp;ust=1605639553475000&amp;usg=AFQjCNEi5OwGLeDes7jrCMRCiM2pjRLmAQ" xr:uid="{82C8D0F1-EB46-4322-928B-12E37DA6415B}"/>
    <hyperlink ref="A4243" r:id="rId3289" display="https://www.google.com/url?q=http://codeforces.com/problemset/problem/900/B&amp;sa=D&amp;ust=1605639553475000&amp;usg=AFQjCNEKzd7XYfy1bLrayKRaDO4Q2RiaZQ" xr:uid="{C6271E0E-807F-459A-B042-46458543FAC0}"/>
    <hyperlink ref="D84" r:id="rId3290" display="https://www.google.com/url?q=https://raw.githubusercontent.com/NadaAlaa/CompetitiveProgramming/master/LiveArchive/2557.cpp&amp;sa=D&amp;ust=1605639553476000&amp;usg=AFQjCNEYWPNy9jWAh9KB8oR7jufOdDDIIQ" xr:uid="{19A7E61B-6F80-4EE4-9BB8-E179516E99CD}"/>
    <hyperlink ref="A4245" r:id="rId3291" display="https://www.google.com/url?q=https://uva.onlinejudge.org/index.php?option%3Dcom_onlinejudge%26Itemid%3D8%26page%3Dshow_problem%26problem%3D1047&amp;sa=D&amp;ust=1605639553476000&amp;usg=AFQjCNF_mAkAKbbBN8-L0WHouFZ8w53lDA" xr:uid="{12B85DD8-A305-4732-BACB-F5EEC29DF7B4}"/>
    <hyperlink ref="A4246" r:id="rId3292" display="https://www.google.com/url?q=https://uva.onlinejudge.org/index.php?option%3Donlinejudge%26page%3Dshow_problem%26problem%3D1410&amp;sa=D&amp;ust=1605639553476000&amp;usg=AFQjCNH63HtdAJZcf5ZsHUqNr_GWGv8zJg" xr:uid="{39009473-B532-4A12-A4D0-DBFE6147F0B0}"/>
    <hyperlink ref="D86" r:id="rId3293" display="https://www.google.com/url?q=https://github.com/Diusrex/UVA-Solutions/blob/master/10469%2520To%2520Carry%2520or%2520not%2520to%2520Carry.cpp&amp;sa=D&amp;ust=1605639553478000&amp;usg=AFQjCNFaVRL9Xlf4T9L61hLLOmEMPG7_0A" xr:uid="{5A93BC31-B841-48C0-AB28-50A7B17E2E82}"/>
    <hyperlink ref="A4247" r:id="rId3294" display="https://www.google.com/url?q=https://uva.onlinejudge.org/index.php?option%3Donlinejudge%26page%3Dshow_problem%26problem%3D654&amp;sa=D&amp;ust=1605639553478000&amp;usg=AFQjCNEVN8xaGBy6Ly5hHLQeYD3S1iNuXg" xr:uid="{26C43D7E-D23D-4BD0-9C88-D15FBB0E8F4F}"/>
    <hyperlink ref="A4250" r:id="rId3295" display="https://www.google.com/url?q=http://codeforces.com/contest/272/problem/D&amp;sa=D&amp;ust=1605639553479000&amp;usg=AFQjCNHqDoIwQ3495IgkZJPXZAINMPSxAQ" xr:uid="{AD43DABE-281B-405F-B18C-05BCC1466FCD}"/>
    <hyperlink ref="D2257" r:id="rId3296" display="https://www.google.com/url?q=https://github.com/mostafa-saad/MyCompetitiveProgramming/blob/master/LiveArchive/LIVEARCHIVE_3498.txt&amp;sa=D&amp;ust=1605639553480000&amp;usg=AFQjCNF7f9LF4kqDZuCOWhFCoJPNnddmUg" xr:uid="{ACE587A6-26CB-4339-A70A-BB6A6EB30D0A}"/>
    <hyperlink ref="D2258" r:id="rId3297" display="https://www.google.com/url?q=https://github.com/dasannagariraja/CompetitiveProgramming/blob/master/SPOJ/SPOJ%2520MIB.cpp&amp;sa=D&amp;ust=1605639553480000&amp;usg=AFQjCNHBNni_s9LNCG-hyrfym-3xb4jnVw" xr:uid="{0D1AB682-7D8D-496E-AE07-9E1C5C11FB8B}"/>
    <hyperlink ref="A4253" r:id="rId3298" display="https://www.google.com/url?q=https://uva.onlinejudge.org/index.php?option%3Dcom_onlinejudge%26Itemid%3D8%26page%3Dshow_problem%26problem%3D89&amp;sa=D&amp;ust=1605639553481000&amp;usg=AFQjCNGVmSkmhyKpSDK9ELIunQ4Ppa5EOQ" xr:uid="{64F06DF2-64E5-44F8-9D5F-B25AA30C37DE}"/>
    <hyperlink ref="D1438" r:id="rId3299" display="https://www.google.com/url?q=https://github.com/ahmedcpbl/CompetitiveProgramming/blob/master/UVA/153.cpp&amp;sa=D&amp;ust=1605639553481000&amp;usg=AFQjCNGczagPOdGO30-tm3GN3NPA82Vhjg" xr:uid="{B2DC9240-C106-43E5-B38C-9A334ED5BBD1}"/>
    <hyperlink ref="D1067" r:id="rId3300" display="https://www.google.com/url?q=https://github.com/MedoN11/CompetitiveProgramming/blob/master/UVA/11415.cpp&amp;sa=D&amp;ust=1605639553482000&amp;usg=AFQjCNEIZK37EcNbW2Gr0OrvobtCy_Vy_g" xr:uid="{759C36DD-430B-4C45-BC2C-AB22D553B8A0}"/>
    <hyperlink ref="A4260" r:id="rId3301" display="https://www.google.com/url?q=http://codeforces.com/contest/194/problem/D&amp;sa=D&amp;ust=1605639553482000&amp;usg=AFQjCNFky7DfMGemogBWq7Z0YWOaSQKH9g" xr:uid="{ED166423-1D44-4835-A01B-D03492C4FA58}"/>
    <hyperlink ref="A4261" r:id="rId3302" display="https://www.google.com/url?q=http://codeforces.com/contest/554/problem/D&amp;sa=D&amp;ust=1605639553483000&amp;usg=AFQjCNHozq-VE_lb2LT_Cc5i3yijBjoUzQ" xr:uid="{F867BBA1-9BA9-44D8-9424-7F28FC8B5AD3}"/>
    <hyperlink ref="D3537" r:id="rId3303" display="https://www.google.com/url?q=https://github.com/ryuzmukhametov/CompetitiveProgramming/blob/master/Codeforces/CF554-D2-D.cpp&amp;sa=D&amp;ust=1605639553483000&amp;usg=AFQjCNHPlP_P0332fdQTNC3fnBBNBJfs3w" xr:uid="{BE7C3020-D624-43EE-81CB-DE9FC5263AFD}"/>
    <hyperlink ref="A4262" r:id="rId3304" display="https://www.google.com/url?q=http://codeforces.com/problemset/problem/551/D&amp;sa=D&amp;ust=1605639553483000&amp;usg=AFQjCNF_l_iLRHXZeRPiqLXlgUTMGzN1wg" xr:uid="{0FDAD356-0DAE-43F6-961E-587DA42088E1}"/>
    <hyperlink ref="D2259" r:id="rId3305" display="https://www.google.com/url?q=https://github.com/MuhammadMustafaAbdalqadir/Competitive-Programming-Workspace/blob/master/UVA/12041.cpp&amp;sa=D&amp;ust=1605639553484000&amp;usg=AFQjCNFycfURz-bRHxtqJamRU0NvkJz45w" xr:uid="{9F483D00-85DD-416F-9D00-F64D8121FD49}"/>
    <hyperlink ref="D2260" r:id="rId3306" display="https://www.google.com/url?q=https://github.com/Andres-Unt/problem_solving/blob/master/UVA/11582.cpp&amp;sa=D&amp;ust=1605639553485000&amp;usg=AFQjCNG0ycCpwMyXv0QVLrK_90srsTv50A" xr:uid="{00C396BB-87CB-4F34-945F-20047E8D39A4}"/>
    <hyperlink ref="A4267" r:id="rId3307" display="https://www.google.com/url?q=https://onlinejudge.org/index.php?option%3Donlinejudge%26page%3Dshow_problem%26problem%3D1568&amp;sa=D&amp;ust=1605639553485000&amp;usg=AFQjCNGZ6twprGzcP4bZHdgW-_m8w-ms2Q" xr:uid="{A5467580-D70B-46EE-B4F2-64589CC0D2FC}"/>
    <hyperlink ref="D4515" r:id="rId3308" display="https://www.google.com/url?q=http://www.voidcn.com/article/p-qcwodmzg-bha.html&amp;sa=D&amp;ust=1605639553486000&amp;usg=AFQjCNE8c5kO61F6VVynplITM6vJILC2FQ" xr:uid="{BC4EF50A-111B-4A38-8477-27575C48477B}"/>
    <hyperlink ref="A4268" r:id="rId3309" display="https://www.google.com/url?q=https://atcoder.jp/contests/yahoo-procon2019-qual/tasks/yahoo_procon2019_qual_c&amp;sa=D&amp;ust=1605639553486000&amp;usg=AFQjCNEVB86tpbypi0TRnIldI99X3tFUsA" xr:uid="{CF5BAC78-2EFE-48CB-AC07-EB4907091837}"/>
    <hyperlink ref="D2261" r:id="rId3310" display="https://www.google.com/url?q=https://pastebin.com/WHzEMUew&amp;sa=D&amp;ust=1605639553490000&amp;usg=AFQjCNG8owR0UwshFciOaSxFJ2osBelpyQ" xr:uid="{6ABC4CB5-61B5-4025-ACBD-F98BD9593C3B}"/>
    <hyperlink ref="A4278" r:id="rId3311" display="https://www.google.com/url?q=http://codeforces.com/contest/143/problem/D&amp;sa=D&amp;ust=1605639553490000&amp;usg=AFQjCNFpCDH4yg9LqJ_JkswKF6W3j_xHPw" xr:uid="{B4075852-7B24-4F1B-846D-297D63F389A7}"/>
    <hyperlink ref="A4284" r:id="rId3312" display="https://www.google.com/url?q=https://agc004.contest.atcoder.jp/tasks/agc004_a&amp;sa=D&amp;ust=1605639553492000&amp;usg=AFQjCNGvnuQhYS8ut85UBjs_Wy4lAvsFAA" xr:uid="{D2F3D075-9AC0-4BB0-9FEA-993866C841C4}"/>
    <hyperlink ref="A4290" r:id="rId3313" display="https://www.google.com/url?q=http://codeforces.com/contest/114/problem/E&amp;sa=D&amp;ust=1605639553494000&amp;usg=AFQjCNFFv4xnIjc0g9mvj20dDawpjCXp2A" xr:uid="{68166D7A-E177-49A8-866F-7AE52E085C18}"/>
    <hyperlink ref="A4291" r:id="rId3314" display="https://www.google.com/url?q=http://codeforces.com/contest/586/problem/E&amp;sa=D&amp;ust=1605639553494000&amp;usg=AFQjCNFsyyP8TzcRE5Mip3yVs_fASAIG9Q" xr:uid="{6B10F3BF-128E-4D04-96B4-216DFF4CCEA5}"/>
    <hyperlink ref="A4295" r:id="rId3315" display="https://www.google.com/url?q=http://codeforces.com/contest/582/problem/C&amp;sa=D&amp;ust=1605639553496000&amp;usg=AFQjCNFTNJkEEyJ8doK7Jykcyx3d-kTyjg" xr:uid="{FAAC14B8-600B-42CE-AD48-C94E8860C576}"/>
    <hyperlink ref="A4296" r:id="rId3316" display="https://www.google.com/url?q=http://codeforces.com/contest/509/problem/D&amp;sa=D&amp;ust=1605639553496000&amp;usg=AFQjCNHSFeMoJonmy11HPH-eF5lt_BKW0w" xr:uid="{ECA1564D-382D-4750-B1E5-29A89975005B}"/>
    <hyperlink ref="A4299" r:id="rId3317" display="https://www.google.com/url?q=http://codeforces.com/contest/417/problem/E&amp;sa=D&amp;ust=1605639553497000&amp;usg=AFQjCNH0f4L1AXgNWE1E67rlg_SlkQyVaw" xr:uid="{388E8648-6512-4624-965B-11D84BB9BDCA}"/>
    <hyperlink ref="A4300" r:id="rId3318" display="https://www.google.com/url?q=https://atcoder.jp/contests/agc038/tasks/agc038_c&amp;sa=D&amp;ust=1605639553497000&amp;usg=AFQjCNE9cElZsNpI8X7a73tGWpCg4Jev0Q" xr:uid="{8226EB36-52F4-4748-9D58-B831B165AE14}"/>
    <hyperlink ref="A4301" r:id="rId3319" display="https://www.google.com/url?q=http://codeforces.com/contest/271/problem/E&amp;sa=D&amp;ust=1605639553498000&amp;usg=AFQjCNG4EZyNQUc8a0pIFyPSlZzKoUqENQ" xr:uid="{384DA28E-F285-4B5D-ADD6-3CDD4B525036}"/>
    <hyperlink ref="A4302" r:id="rId3320" display="https://www.google.com/url?q=https://codeforces.com/contest/1230/problem/E&amp;sa=D&amp;ust=1605639553499000&amp;usg=AFQjCNFX67SsHXEnOQ3DBFL6vJGshkzP-w" xr:uid="{39FE20D1-059F-41A0-BCCD-6A777DB0D187}"/>
    <hyperlink ref="A4303" r:id="rId3321" display="https://www.google.com/url?q=http://codeforces.com/contest/357/problem/D&amp;sa=D&amp;ust=1605639553500000&amp;usg=AFQjCNECYpMpHE3MiGLpAKNguv2ltbboRA" xr:uid="{780E7544-306D-46DB-A517-7719D0DA0D71}"/>
    <hyperlink ref="D3676" r:id="rId3322" display="https://www.google.com/url?q=https://github.com/ryuzmukhametov/CompetitiveProgramming/blob/master/uva/UVA%252011761.cpp&amp;sa=D&amp;ust=1605639553500000&amp;usg=AFQjCNEbF3sHAIwpdXELdO3DWEJNB4YZ_g" xr:uid="{58F64683-898D-4189-935C-81FBCEB2A0D2}"/>
    <hyperlink ref="A4306" r:id="rId3323" display="https://www.google.com/url?q=http://codeforces.com/contest/492/problem/E&amp;sa=D&amp;ust=1605639553501000&amp;usg=AFQjCNEk_6albrxF9wH-j7Tqq3lPPQL0WA" xr:uid="{03F89759-B24F-418F-AC40-B043948C0A22}"/>
    <hyperlink ref="D3545" r:id="rId3324" display="https://www.google.com/url?q=https://github.com/Andres-Unt/problem_solving/blob/master/TopCoder/SRM179-D1-500.cpp&amp;sa=D&amp;ust=1605639553502000&amp;usg=AFQjCNFSbNe7IfLUaPm7Zbzu6x8o21TSGA" xr:uid="{55C0CD21-3A82-4FC7-AFA3-506BF18D6249}"/>
    <hyperlink ref="A4315" r:id="rId3325" display="https://www.google.com/url?q=http://codeforces.com/contest/902/problem/D&amp;sa=D&amp;ust=1605639553503000&amp;usg=AFQjCNENyAL-tGFV5NMzrCf7S_2-Bi6YMg" xr:uid="{C5E1E8B3-FAB9-4CAD-8FD4-7E1FD2E47C87}"/>
    <hyperlink ref="D2827" r:id="rId3326" display="https://www.google.com/url?q=https://github.com/mostafa-saad/MyCompetitiveProgramming/blob/master/LiveArchive/LiveArchive_6582.txt&amp;sa=D&amp;ust=1605639553503000&amp;usg=AFQjCNEorVwebqlzYE50gVRTeDgbqOpgkQ" xr:uid="{44E64C86-27DC-4C3A-A351-95BE90BAF172}"/>
    <hyperlink ref="A4317" r:id="rId3327" display="https://www.google.com/url?q=https://beta.atcoder.jp/contests/agc026/tasks/agc026_b&amp;sa=D&amp;ust=1605639553504000&amp;usg=AFQjCNHm6Jp3Pxo8iyN7DgFRZ_X_yCuhOg" xr:uid="{AF16603B-559C-4622-BCCC-D8CBFAE9EECB}"/>
    <hyperlink ref="D2828" r:id="rId3328" display="https://www.google.com/url?q=https://github.com/dasannagariraja/CompetitiveProgramming/blob/master/AtCoder/AtCoder026-AGC-B.cpp&amp;sa=D&amp;ust=1605639553504000&amp;usg=AFQjCNElh8nI2kvdSyNBtE41ycPpoZe-iw" xr:uid="{2CD875C3-B505-4AF0-B5D7-0930A325C4DB}"/>
    <hyperlink ref="A4318" r:id="rId3329" display="https://www.google.com/url?q=http://codeforces.com/contest/1010/problem/C&amp;sa=D&amp;ust=1605639553504000&amp;usg=AFQjCNEy-OBsP4g5-l24-Jc_ACb49-EHmQ" xr:uid="{5F3417B1-3B3B-491B-8A6C-F32F7AEBD9CF}"/>
    <hyperlink ref="D2830" r:id="rId3330" display="https://www.google.com/url?q=https://morris821028.github.io/2014/09/15/oj/uva/uva-12792/&amp;sa=D&amp;ust=1605639553505000&amp;usg=AFQjCNFUSHvGRIIf9bvn5msaxMh_kosuyw" xr:uid="{3877CABB-2625-4163-B7D2-55BFD1915B36}"/>
    <hyperlink ref="D2831" r:id="rId3331" display="https://www.google.com/url?q=https://github.com/Huvok/CompetitiveProgramming/blob/master/TIMUS/1286.cpp&amp;sa=D&amp;ust=1605639553505000&amp;usg=AFQjCNF95A788JnVzMEO_ryyBTYxRnUL-Q" xr:uid="{3D691F0D-A755-4B77-9D79-72DAE6821448}"/>
    <hyperlink ref="A4323" r:id="rId3332" display="https://www.google.com/url?q=http://codeforces.com/contest/344/problem/C&amp;sa=D&amp;ust=1605639553506000&amp;usg=AFQjCNFfjQzdkcLKdy_oQ6hKfKU_C9Nt9g" xr:uid="{B70DC818-5931-4534-A79A-F08102571CD2}"/>
    <hyperlink ref="A4324" r:id="rId3333" display="https://www.google.com/url?q=https://codeforces.com/contest/1055/problem/C&amp;sa=D&amp;ust=1605639553507000&amp;usg=AFQjCNHUKxcdoDaPOZIsyu7Kh_kwcbBCKA" xr:uid="{E8C54607-505C-4041-8FA2-04927CC711D5}"/>
    <hyperlink ref="A4325" r:id="rId3334" display="https://www.google.com/url?q=https://csacademy.com/contest/round-47/task/gcd-rebuild/&amp;sa=D&amp;ust=1605639553507000&amp;usg=AFQjCNGD72Mx5Hg2vYAfcxBkq6RA7ygBDg" xr:uid="{0246B37C-44C2-420F-ABD2-1E3F16D6BE04}"/>
    <hyperlink ref="A4327" r:id="rId3335" display="https://www.google.com/url?q=http://codeforces.com/contest/236/problem/C&amp;sa=D&amp;ust=1605639553508000&amp;usg=AFQjCNEcD6zvmJinvUIleOcEchFAnBFfVw" xr:uid="{C3835D04-10B8-4B3F-A655-590E46C28211}"/>
    <hyperlink ref="D2272" r:id="rId3336" display="https://www.google.com/url?q=https://pastebin.com/1s937M7e&amp;sa=D&amp;ust=1605639553509000&amp;usg=AFQjCNHJ2XnDkfKFfXVK27uFm-edVXE6Lg" xr:uid="{561496A9-106C-4F35-B831-16A15C084C42}"/>
    <hyperlink ref="A3976" r:id="rId3337" display="https://www.google.com/url?q=https://codeforces.com/contest/1091/problem/C&amp;sa=D&amp;ust=1605639553511000&amp;usg=AFQjCNHHSvRKKOvHcfRhiEIXj-OdlgM7Lg" xr:uid="{011E1377-7C5D-44FE-8A79-E71A7C732AAE}"/>
    <hyperlink ref="A3977" r:id="rId3338" display="https://www.google.com/url?q=http://codeforces.com/contest/592/problem/C&amp;sa=D&amp;ust=1605639553511000&amp;usg=AFQjCNEkYJQn_JWth26prRTbWg3VjVhuOA" xr:uid="{FD6EF2F1-2450-4955-852D-8BD6B1C8ABEB}"/>
    <hyperlink ref="A3979" r:id="rId3339" display="https://www.google.com/url?q=https://uva.onlinejudge.org/index.php?option%3Donlinejudge%26page%3Dshow_problem%26problem%3D1833&amp;sa=D&amp;ust=1605639553512000&amp;usg=AFQjCNEU4f_Xg2Lii5rBRxisjZA_yj-xEg" xr:uid="{226E443C-E939-48EC-8BC4-DC849FE415ED}"/>
    <hyperlink ref="D1071" r:id="rId3340" display="https://www.google.com/url?q=https://github.com/TheRealImaginary/CompetitiveProgramming/blob/master/UVA/UVA_10555_DeadFraction.java&amp;sa=D&amp;ust=1605639553513000&amp;usg=AFQjCNEmB0ybjptlkKHEOOc0tUGlpXp6vA" xr:uid="{4B3F1574-3DB0-435C-B795-AC378DDFE5DC}"/>
    <hyperlink ref="A3981" r:id="rId3341" display="https://www.google.com/url?q=http://codeforces.com/contest/894/problem/C&amp;sa=D&amp;ust=1605639553513000&amp;usg=AFQjCNE4yi6ttUrZEqNsV_BVQyl-1N5MGw" xr:uid="{2FD825EC-7E14-46C2-9D11-1478F103E602}"/>
    <hyperlink ref="A3982" r:id="rId3342" display="https://www.google.com/url?q=http://codeforces.com/contest/88/problem/C&amp;sa=D&amp;ust=1605639553513000&amp;usg=AFQjCNF_23D0hjub3tdU1WwgrMhpblBVcA" xr:uid="{5710B063-3822-4249-8D43-A5AA3D5496BD}"/>
    <hyperlink ref="A3983" r:id="rId3343" display="https://www.google.com/url?q=https://uva.onlinejudge.org/index.php?option%3Donlinejudge%26page%3Dshow_problem%26problem%3D1658&amp;sa=D&amp;ust=1605639553514000&amp;usg=AFQjCNGLJ3cLgXewJ9AP0O9yZmTlV18Oyw" xr:uid="{EEBD60DB-370E-4D8A-A499-E61542B7F95D}"/>
    <hyperlink ref="D1074" r:id="rId3344" display="https://www.google.com/url?q=https://github.com/magdy-hasan/competitive-programming/blob/master/uva-/uva%252010717%2520-%2520Mint.cpp&amp;sa=D&amp;ust=1605639553514000&amp;usg=AFQjCNGlM7pgtwfyb3XSpX4Td_bB3MZWDQ" xr:uid="{5961A2CB-86BC-4DBB-B3A4-2BDCFDE77D5E}"/>
    <hyperlink ref="D1075" r:id="rId3345" display="https://www.google.com/url?q=https://ideone.com/TwEO76&amp;sa=D&amp;ust=1605639553515000&amp;usg=AFQjCNE9vNZN5RgaYqclcIryiSCRqfmh3w" xr:uid="{FB420BF6-AAE1-46F6-A02A-49FECFFF4D13}"/>
    <hyperlink ref="A3986" r:id="rId3346" display="https://www.google.com/url?q=https://uva.onlinejudge.org/index.php?option%3Donlinejudge%26page%3Dshow_problem%26problem%3D353&amp;sa=D&amp;ust=1605639553515000&amp;usg=AFQjCNEeQ87uOYRyOOGAdcE_ywVMxmcaqw" xr:uid="{9ECD9B9B-5A62-46BD-A5D9-0309014F53CF}"/>
    <hyperlink ref="A3988" r:id="rId3347" display="https://www.google.com/url?q=https://uva.onlinejudge.org/index.php?option%3Donlinejudge%26page%3Dshow_problem%26problem%3D305&amp;sa=D&amp;ust=1605639553516000&amp;usg=AFQjCNF9BmwxU-Fqxsgg30Tu6g6eQKwvag" xr:uid="{3D76B487-F885-41AB-AA43-2FCE091DCDEA}"/>
    <hyperlink ref="A3991" r:id="rId3348" display="https://www.google.com/url?q=http://codeforces.com/contest/902/problem/D&amp;sa=D&amp;ust=1605639553517000&amp;usg=AFQjCNHfXeB2Npb39Ww17N3xyUiWNJuChg" xr:uid="{DE1B73B8-7E59-489F-9678-03A3AB062731}"/>
    <hyperlink ref="D4284" r:id="rId3349" display="https://www.google.com/url?q=https://github.com/Huvok/CompetitiveProgramming/blob/master/Codeforces/CF902-D2-D.cpp&amp;sa=D&amp;ust=1605639553518000&amp;usg=AFQjCNFd15OztkP3qMnVBLhsEF5QHWqjTg" xr:uid="{FA1EFA64-E79B-4CB4-83E9-B3D6F0888E5D}"/>
    <hyperlink ref="A3996" r:id="rId3350" display="https://www.google.com/url?q=http://codeforces.com/contest/337/problem/C&amp;sa=D&amp;ust=1605639553518000&amp;usg=AFQjCNGKV4CLezOTsVqYRF-hy__TzEsapA" xr:uid="{3070AB06-C4CE-4E9D-A048-376E4C494889}"/>
    <hyperlink ref="A3997" r:id="rId3351" display="https://www.google.com/url?q=https://uva.onlinejudge.org/index.php?option%3Donlinejudge%26page%3Dshow_problem%26problem%3D2096&amp;sa=D&amp;ust=1605639553518000&amp;usg=AFQjCNFM7Tt5lYG9jU5knMLqrTKd1LHObw" xr:uid="{82F7DB8F-FE0C-4625-9597-9A9A3216CE31}"/>
    <hyperlink ref="A3999" r:id="rId3352" display="https://www.google.com/url?q=https://uva.onlinejudge.org/index.php?option%3Donlinejudge%26page%3Dshow_problem%26problem%3D349&amp;sa=D&amp;ust=1605639553519000&amp;usg=AFQjCNG7WNFowYms4ORESTrJg5HuuLgthQ" xr:uid="{58EA4134-90D9-4BB8-812E-A69C9D395C40}"/>
    <hyperlink ref="A4002" r:id="rId3353" display="https://www.google.com/url?q=http://codeforces.com/contest/151/problem/D&amp;sa=D&amp;ust=1605639553520000&amp;usg=AFQjCNE1UUVqQfUW8ngLt_P7T0RoDKDTCw" xr:uid="{F3AE9C22-F3C0-4D98-B4F1-02BE4BC90FC5}"/>
    <hyperlink ref="A4003" r:id="rId3354" display="https://www.google.com/url?q=http://codeforces.com/contest/984/problem/C&amp;sa=D&amp;ust=1605639553521000&amp;usg=AFQjCNERM-5EwuflDfpLSMKxb1zTNO877Q" xr:uid="{FDC0E675-2C25-4D66-8D20-56678B5FC210}"/>
    <hyperlink ref="A4005" r:id="rId3355" display="https://www.google.com/url?q=https://www.hackerrank.com/challenges/extremely-dangerous-virus&amp;sa=D&amp;ust=1605639553522000&amp;usg=AFQjCNEaI6aCuE83MDYLm8E8nCMVcQiyJw" xr:uid="{3897CD98-DE84-492B-8734-F21DB0A0DC95}"/>
    <hyperlink ref="A4008" r:id="rId3356" display="https://www.google.com/url?q=https://uva.onlinejudge.org/index.php?option%3Donlinejudge%26page%3Dshow_problem%26problem%3D310&amp;sa=D&amp;ust=1605639553523000&amp;usg=AFQjCNEfY5wJy3fuylRYQAPAIUlriG1d9w" xr:uid="{568DD822-B465-4AAC-8E52-2C2DF0C136E3}"/>
    <hyperlink ref="A4015" r:id="rId3357" display="https://www.google.com/url?q=https://www.codechef.com/problems/C2&amp;sa=D&amp;ust=1605639553525000&amp;usg=AFQjCNEATF0D9mBKPPV0UigLvCXVaNim3A" xr:uid="{A6FFB79D-3195-45C9-B251-4B6F1A204E4D}"/>
    <hyperlink ref="D4933" r:id="rId3358" display="https://www.google.com/url?q=https://morris821028.github.io/2014/05/31/oj/uva/uva-11260/&amp;sa=D&amp;ust=1605639553526000&amp;usg=AFQjCNFiANGXHuoV6hi-A_W5u6opUmN8AQ" xr:uid="{F099C923-028F-4327-8328-C6A8D4D0CD47}"/>
    <hyperlink ref="D4518" r:id="rId3359" display="https://www.google.com/url?q=https://github.com/mostafa-saad/MyCompetitiveProgramming/blob/master/TopCoder/SRM231-D1-500.txt&amp;sa=D&amp;ust=1605639553527000&amp;usg=AFQjCNFQbl6gPZhRl6H0t9XrJB9VKBZvyw" xr:uid="{144E5D46-1F43-40C2-B44B-DCE2BC544CE9}"/>
    <hyperlink ref="D4289" r:id="rId3360" display="https://www.google.com/url?q=http://codeforces.com/blog/entry/22712&amp;sa=D&amp;ust=1605639553527000&amp;usg=AFQjCNFNOH2TR8-yiyKKpQyKShZkPR39fQ" xr:uid="{51BD1E18-C5DB-4BD5-B624-55D99F95F113}"/>
    <hyperlink ref="A4022" r:id="rId3361" display="https://www.google.com/url?q=https://codeforces.com/contest/616/problem/E&amp;sa=D&amp;ust=1605639553528000&amp;usg=AFQjCNHPiwLC78BN89bn3tWezxqTREPoJg" xr:uid="{9305D6B1-894B-4AE0-9D88-0BD11BEBB2A5}"/>
    <hyperlink ref="A4023" r:id="rId3362" display="https://www.google.com/url?q=http://codeforces.com/contest/599/problem/D&amp;sa=D&amp;ust=1605639553528000&amp;usg=AFQjCNFePZ_8iB_jDd8xwGBg7c6oE18NLw" xr:uid="{57D88802-3C66-4023-9009-F7104611447D}"/>
    <hyperlink ref="A4024" r:id="rId3363" display="https://www.google.com/url?q=http://codeforces.com/contest/731/problem/F&amp;sa=D&amp;ust=1605639553529000&amp;usg=AFQjCNH-ZrXCkLgFMx7kzpBkRIhZ9IWgRA" xr:uid="{2C0AAC06-FC0A-4544-8F08-7517A76BA14A}"/>
    <hyperlink ref="D2278" r:id="rId3364" display="https://www.google.com/url?q=https://github.com/mostafa-saad/MyCompetitiveProgramming/blob/master/UVA/UVA_1730.txt&amp;sa=D&amp;ust=1605639553529000&amp;usg=AFQjCNGRNYeqjLU1AGQTSN94a21cPs3JbQ" xr:uid="{B03DB9C6-4472-42EE-829B-A765BAB3B42B}"/>
    <hyperlink ref="A4026" r:id="rId3365" display="https://www.google.com/url?q=http://codeforces.com/contest/476/problem/C&amp;sa=D&amp;ust=1605639553530000&amp;usg=AFQjCNE3mpU7wt9y2mz-s40v_yPNjqrsIg" xr:uid="{B416CAB9-7FD0-4BB9-8EDB-AEB1245F33C9}"/>
    <hyperlink ref="D2279" r:id="rId3366" display="https://www.google.com/url?q=https://www.youtube.com/watch?v%3DKS9POnQMfmY&amp;sa=D&amp;ust=1605639553530000&amp;usg=AFQjCNFF2jSoVudZF4WiclW5tvv9wzBKnA" xr:uid="{499E8FED-7082-446F-A921-670E0865D039}"/>
    <hyperlink ref="D2280" r:id="rId3367" display="https://www.google.com/url?q=https://github.com/mostafa-saad/MyCompetitiveProgramming/blob/master/UVA/UVA_10830.txt&amp;sa=D&amp;ust=1605639553530000&amp;usg=AFQjCNG-_HGgSunF2kTX6EP-6xITIPn69g" xr:uid="{9CF44EB6-21E3-4F5E-AB30-962D2F2847EF}"/>
    <hyperlink ref="A4047" r:id="rId3368" display="https://www.google.com/url?q=http://codeforces.com/contest/76/problem/E&amp;sa=D&amp;ust=1605639553531000&amp;usg=AFQjCNEk2aIaysFg1SR-lA4pnnJHoucx2A" xr:uid="{F026534B-6971-4EEB-918C-5771F32CB3B2}"/>
    <hyperlink ref="A4048" r:id="rId3369" display="https://www.google.com/url?q=http://codeforces.com/contest/201/problem/B&amp;sa=D&amp;ust=1605639553531000&amp;usg=AFQjCNGRVF7NuQX8yEywmACgjTuY96MqEA" xr:uid="{DF22DDE5-F0F3-486F-AD82-E93B67E027B8}"/>
    <hyperlink ref="A4050" r:id="rId3370" display="https://www.google.com/url?q=https://www.hackerrank.com/challenges/jim-and-the-challenge&amp;sa=D&amp;ust=1605639553532000&amp;usg=AFQjCNEKU5LPYDwmQtn8_NRFGcXAAiES1A" xr:uid="{E9110F11-C1B1-4BF0-971F-A249C25AF921}"/>
    <hyperlink ref="A4052" r:id="rId3371" display="https://www.google.com/url?q=http://codeforces.com/contest/227/problem/C&amp;sa=D&amp;ust=1605639553534000&amp;usg=AFQjCNHWJPmocEGbCzfhrNfpUClg__3jYg" xr:uid="{FBD49423-F3FE-4BD4-BA66-A25E66D14742}"/>
    <hyperlink ref="D1446" r:id="rId3372" display="https://www.google.com/url?q=https://github.com/TheRealImaginary/CompetitiveProgramming/blob/master/UVA/UVA_655_Scrabble.java&amp;sa=D&amp;ust=1605639553534000&amp;usg=AFQjCNGxo6sRofyKGmOt-CE8iRkEJdUUuA" xr:uid="{BC633A83-2813-4897-9C75-3914BDB4DABA}"/>
    <hyperlink ref="A4332" r:id="rId3373" display="https://www.google.com/url?q=https://uva.onlinejudge.org/index.php?option%3Dcom_onlinejudge%26Itemid%3D8%26page%3Dshow_problem%26problem%3D668&amp;sa=D&amp;ust=1605639553536000&amp;usg=AFQjCNHEcs8ON2Hu48qbJvHTJ4FocUR4Dw" xr:uid="{8683FD65-25BB-4067-BCD3-AABDD53464E2}"/>
    <hyperlink ref="D410" r:id="rId3374" display="https://www.google.com/url?q=https://github.com/MohamedNabil97/CompetitiveProgramming/tree/master/UVA/12392.cpp&amp;sa=D&amp;ust=1605639553537000&amp;usg=AFQjCNF0vfU881fPxSizRbmBVzVdb4nzGg" xr:uid="{1B19DDD3-8A6E-4FF2-BC6E-A74B8679C269}"/>
    <hyperlink ref="D1447" r:id="rId3375" display="https://www.google.com/url?q=https://github.com/AmrMaghraby/Competitve-Programming/blob/master/UVA/UVA%252011666.cpp&amp;sa=D&amp;ust=1605639553538000&amp;usg=AFQjCNEylzXYqmBFQcLmnrSiThUXIK08JQ" xr:uid="{60DBA04B-E7FB-4ECF-A6CB-91AEF2C40FAD}"/>
    <hyperlink ref="D2287" r:id="rId3376" display="https://www.google.com/url?q=https://github.com/sggutier/CompetitiveProgramming/blob/master/PKU/3191.cpp&amp;sa=D&amp;ust=1605639553539000&amp;usg=AFQjCNElGD_eiRN78GljgUc9ZIBpkv_ePQ" xr:uid="{DC339ED3-0B3A-4ECD-9511-333B486A6A23}"/>
    <hyperlink ref="A4344" r:id="rId3377" display="https://www.google.com/url?q=http://codeforces.com/contest/113/problem/E&amp;sa=D&amp;ust=1605639553540000&amp;usg=AFQjCNHMENqCvg7xinf2dOunjAHbjd49bw" xr:uid="{C36DF598-B165-494B-93A8-72FF06E7741C}"/>
    <hyperlink ref="A4345" r:id="rId3378" display="https://www.google.com/url?q=http://codeforces.com/contest/145/problem/D&amp;sa=D&amp;ust=1605639553541000&amp;usg=AFQjCNFIXxwkDIeOWcUbrMeSr6imsu_eVg" xr:uid="{7E78F3D1-6A8D-415B-A504-23C3FA36D131}"/>
    <hyperlink ref="A4346" r:id="rId3379" display="https://www.google.com/url?q=http://codeforces.com/contest/698/problem/F&amp;sa=D&amp;ust=1605639553541000&amp;usg=AFQjCNFsxnSOCo4hUPEAJSifzTWoFBORvA" xr:uid="{EE946FC7-3374-4305-9008-0FF73EAFDFEF}"/>
    <hyperlink ref="A4330" r:id="rId3380" display="https://www.google.com/url?q=https://www.hackerrank.com/challenges/value-of-all-permutations&amp;sa=D&amp;ust=1605639553541000&amp;usg=AFQjCNHCbCEvtEKXO0fach96Sw9gAcACUw" xr:uid="{431FDD79-10D1-4A03-90D3-2A48F897B61A}"/>
    <hyperlink ref="A4331" r:id="rId3381" display="https://www.google.com/url?q=https://www.hackerrank.com/challenges/tile-painting-revisited&amp;sa=D&amp;ust=1605639553542000&amp;usg=AFQjCNFOlupBmU5UdDeC7zzytqklRn4JCQ" xr:uid="{79F52D09-86B6-43ED-9F01-63DDEDEBE922}"/>
    <hyperlink ref="D5557" r:id="rId3382" display="https://www.google.com/url?q=https://github.com/swapnil119/CompetitiveProgramming/blob/master/CompetitiveProgramming/Topcoder/SRM472-D1-500.cpp&amp;sa=D&amp;ust=1605639553542000&amp;usg=AFQjCNFHk2fEWRw89wHXYk_eiShCkdNL2w" xr:uid="{7210E4C4-19FB-4F06-BEC4-74C929D8590F}"/>
    <hyperlink ref="A4349" r:id="rId3383" display="https://www.google.com/url?q=http://codeforces.com/contest/224/problem/E&amp;sa=D&amp;ust=1605639553544000&amp;usg=AFQjCNHxX7n3sALsrefGM5GnmtC7RQ4UYg" xr:uid="{3B828AB9-9CD5-49E6-9FE9-156FFEE96FF4}"/>
    <hyperlink ref="A4350" r:id="rId3384" display="https://www.google.com/url?q=https://codeforces.com/contest/1205/problem/E&amp;sa=D&amp;ust=1605639553544000&amp;usg=AFQjCNHCgCbKAIBeb5JF_Qf8L3XEjfXsiw" xr:uid="{DC1ED896-6E37-4F52-92A4-718784EC1E58}"/>
    <hyperlink ref="A4351" r:id="rId3385" display="https://www.google.com/url?q=https://arc102.contest.atcoder.jp/tasks/arc102_c&amp;sa=D&amp;ust=1605639553545000&amp;usg=AFQjCNEUU5IUGgQ9X-KlK8xNMaR9U-5tVQ" xr:uid="{0A0E45CB-0740-40DC-B3D3-8DBE2085925D}"/>
    <hyperlink ref="A4352" r:id="rId3386" display="https://www.google.com/url?q=http://codeforces.com/contest/380/problem/D&amp;sa=D&amp;ust=1605639553545000&amp;usg=AFQjCNHta0holZq8kfDV1VdSABuOFxHxng" xr:uid="{9D2120E5-E58E-412F-9813-7488B9C0CEA0}"/>
    <hyperlink ref="A4353" r:id="rId3387" display="https://www.google.com/url?q=https://codeforces.com/problemset/problem/1261/F&amp;sa=D&amp;ust=1605639553546000&amp;usg=AFQjCNHWI97iEhYnZAmVtlgkVI3Vi3iiww" xr:uid="{9E079B3D-1E48-4715-8A70-0781BA3C1C80}"/>
    <hyperlink ref="A4354" r:id="rId3388" display="https://www.google.com/url?q=http://codeforces.com/contest/288/problem/D&amp;sa=D&amp;ust=1605639553546000&amp;usg=AFQjCNFdGrQmazlvboUZgdV1YcuCNk6FVQ" xr:uid="{A69FA233-E237-470B-92E3-0D90E1C86240}"/>
    <hyperlink ref="A4355" r:id="rId3389" display="https://www.google.com/url?q=http://codeforces.com/contest/653/problem/G&amp;sa=D&amp;ust=1605639553547000&amp;usg=AFQjCNFUN2Fd0J5NFTT6z8b3xe9khBe5Yw" xr:uid="{F12B63C0-3D27-4687-AFB8-74F6A54F31C0}"/>
    <hyperlink ref="D5177" r:id="rId3390" display="https://www.google.com/url?q=http://codeforces.com/blog/entry/43886?%23comment-285657&amp;sa=D&amp;ust=1605639553547000&amp;usg=AFQjCNFPyFYLSUtIgbm4P2QzXUIlorHGQQ" xr:uid="{C66EE1DF-12AA-4491-ACE6-1AB12C646F77}"/>
    <hyperlink ref="A4356" r:id="rId3391" display="https://www.google.com/url?q=https://codeforces.com/gym/102032/problem/E&amp;sa=D&amp;ust=1605639553547000&amp;usg=AFQjCNHdEGuzNhXf99QYKFXrxsZd64OSTQ" xr:uid="{02B11B46-C70C-481F-8E77-BA01A569AE89}"/>
    <hyperlink ref="D5178" r:id="rId3392" display="https://www.google.com/url?q=https://github.com/mraron/CompetitiveProgramming/blob/master/CodeForces/102032E.cpp&amp;sa=D&amp;ust=1605639553547000&amp;usg=AFQjCNGJ7Z2GVAqdHsxeQn7eKhFgh09LMg" xr:uid="{99A38740-5C1C-49A0-824B-15DE4F21B155}"/>
    <hyperlink ref="A4414" r:id="rId3393" display="https://www.google.com/url?q=https://codeforces.com/contest/1109/problem/D&amp;sa=D&amp;ust=1605639553548000&amp;usg=AFQjCNHi-rXCj790BVXKhCMDLmEUuvnmKA" xr:uid="{1B851449-CCF2-41DB-AAE0-203366EC682D}"/>
    <hyperlink ref="A4416" r:id="rId3394" display="https://www.google.com/url?q=https://www.codechef.com/problems/MDN&amp;sa=D&amp;ust=1605639553549000&amp;usg=AFQjCNHqqRkJfaN6_1wBGeleec5FwfY5ag" xr:uid="{F0E64618-D1B2-4834-BFEE-ED48DDA43890}"/>
    <hyperlink ref="A4427" r:id="rId3395" display="https://www.google.com/url?q=http://codeforces.com/contest/834/problem/E&amp;sa=D&amp;ust=1605639553549000&amp;usg=AFQjCNGkc6MB9oK4F1AkMLraP6PTLiHanA" xr:uid="{A0F27D6C-0A2D-4B95-B5B0-96B463BA2691}"/>
    <hyperlink ref="A4476" r:id="rId3396" display="https://www.google.com/url?q=https://codeforces.com/contest/833/problem/C&amp;sa=D&amp;ust=1605639553551000&amp;usg=AFQjCNHBeysUT_LzM85W17H_S0jJekA95w" xr:uid="{AA302DD5-FCB6-446C-BA5A-1725BD5DE744}"/>
    <hyperlink ref="A4477" r:id="rId3397" display="https://www.google.com/url?q=https://www.hackerearth.com/challenge/competitive/may-easy-18/algorithm/influential-groups-f5b40db9/&amp;sa=D&amp;ust=1605639553551000&amp;usg=AFQjCNHddsxs4BClC060x0H9hN_PlePl5w" xr:uid="{8D960B76-2BF4-4418-81E1-ECC1B46A681D}"/>
    <hyperlink ref="A4478" r:id="rId3398" display="https://www.google.com/url?q=http://codeforces.com/contest/633/problem/E&amp;sa=D&amp;ust=1605639553551000&amp;usg=AFQjCNE7i300dZMYSl36RkOEydxjrv0GOg" xr:uid="{EE2408D0-7BEF-4B00-AF57-54EAD06D6065}"/>
    <hyperlink ref="A4479" r:id="rId3399" display="https://www.google.com/url?q=http://codeforces.com/contest/305/problem/D&amp;sa=D&amp;ust=1605639553552000&amp;usg=AFQjCNFxF7Vz54ywMjBbtotQqfEQtcGCcw" xr:uid="{A521ED52-7F86-4177-9114-5AE82F41793C}"/>
    <hyperlink ref="A4498" r:id="rId3400" display="https://www.google.com/url?q=http://codeforces.com/contest/1065/problem/E&amp;sa=D&amp;ust=1605639553552000&amp;usg=AFQjCNHDazqgClRgh93-0WBiHNLpk62yGA" xr:uid="{4D25F17D-BDBD-4892-AF48-C26B792E301E}"/>
    <hyperlink ref="A4534" r:id="rId3401" display="https://www.google.com/url?q=https://codeforces.com/contest/1262/problem/F2&amp;sa=D&amp;ust=1605639553553000&amp;usg=AFQjCNG5-iKGN9Xb67EYlVgIueURD5G6xA" xr:uid="{7CD095D7-C188-416C-8E24-0F5C97726A7F}"/>
    <hyperlink ref="A4535" r:id="rId3402" display="https://www.google.com/url?q=http://codeforces.com/contest/336/problem/D&amp;sa=D&amp;ust=1605639553553000&amp;usg=AFQjCNHHyq6jHlLHD-v4SzW7GZRZT5WXMQ" xr:uid="{117FB153-0DE3-4AE3-9CE4-3EFDA9DE55D1}"/>
    <hyperlink ref="A4536" r:id="rId3403" display="https://www.google.com/url?q=https://codeforces.com/contest/691/problem/F&amp;sa=D&amp;ust=1605639553555000&amp;usg=AFQjCNEBbthOntPCBcX3aC7Es7wbn3L3tA" xr:uid="{0CA0A49A-854C-426C-88DC-D2F0C541576F}"/>
    <hyperlink ref="D3882" r:id="rId3404" display="https://www.google.com/url?q=https://github.com/LeTrongDat/CompetitiveProgramming/blob/master/Codeforces/CF691-D2-F.cpp&amp;sa=D&amp;ust=1605639553555000&amp;usg=AFQjCNEb2AYZVx9zjSx83UaoiRblo7viNA" xr:uid="{47144BAC-CB04-44CA-8219-09D3F0750EDF}"/>
    <hyperlink ref="A4357" r:id="rId3405" display="https://www.google.com/url?q=http://codeforces.com/contest/109/problem/C&amp;sa=D&amp;ust=1605639553556000&amp;usg=AFQjCNH94QCA-OkV38z9EXCaNxXH7ERW8w" xr:uid="{69BCD680-0999-49AC-82ED-89AF1AADF040}"/>
    <hyperlink ref="A4377" r:id="rId3406" display="https://www.google.com/url?q=https://codeforces.com/problemset/problem/893/E&amp;sa=D&amp;ust=1605639553556000&amp;usg=AFQjCNFfWDi3obxPytIjoMc2OB6249zLSA" xr:uid="{B7A23FCB-E286-404B-9E50-1888302B2A6E}"/>
    <hyperlink ref="A4378" r:id="rId3407" display="https://www.google.com/url?q=https://codeforces.com/contest/1284/problem/E&amp;sa=D&amp;ust=1605639553557000&amp;usg=AFQjCNHrpU60igDxjGH2y0m4hfZPtHvsqw" xr:uid="{D99F5BF2-A414-460B-B4C3-3D1E824DF9A9}"/>
    <hyperlink ref="A4379" r:id="rId3408" display="https://www.google.com/url?q=https://codeforces.com/contest/690/problem/D2&amp;sa=D&amp;ust=1605639553557000&amp;usg=AFQjCNFItQ9WbALOlCNvKqNT4mjg0qKOuA" xr:uid="{078CEB76-9536-4535-AD82-D52A555C37D1}"/>
    <hyperlink ref="D3555" r:id="rId3409" display="https://www.google.com/url?q=https://codeforces.com/contest/690/submission/45341025&amp;sa=D&amp;ust=1605639553558000&amp;usg=AFQjCNE7LV3wcJOA4sV16zGJhONUNhKihQ" xr:uid="{4F0E7E6E-5986-483D-9723-4027BCC6218E}"/>
    <hyperlink ref="A4380" r:id="rId3410" display="https://www.google.com/url?q=https://agc028.contest.atcoder.jp/tasks/agc028_b&amp;sa=D&amp;ust=1605639553558000&amp;usg=AFQjCNEEnqQPf1Z8OUdMybK53erxcQ4MXQ" xr:uid="{7AD3F355-0E3B-4B74-BE03-C8BB412A13B3}"/>
    <hyperlink ref="A4381" r:id="rId3411" display="https://www.google.com/url?q=http://codeforces.com/contest/938/problem/E&amp;sa=D&amp;ust=1605639553558000&amp;usg=AFQjCNG8mlUrhgRWEHSKO4d1Ldlmta-icw" xr:uid="{366A4CFD-6E7B-4E50-B31A-BF00CE64BFAF}"/>
    <hyperlink ref="A4383" r:id="rId3412" display="https://www.google.com/url?q=https://atcoder.jp/contests/abc154/tasks/abc154_f&amp;sa=D&amp;ust=1605639553559000&amp;usg=AFQjCNHq1MYu0ekO59p_hUgNMJN6JoVnUg" xr:uid="{173B90EB-9AF2-4BEF-8C49-119826589033}"/>
    <hyperlink ref="A4384" r:id="rId3413" display="https://www.google.com/url?q=http://codeforces.com/problemset/gymProblem/101498/D&amp;sa=D&amp;ust=1605639553560000&amp;usg=AFQjCNEyqb8GuBxYtnm4B7MiuEKYCri0EA" xr:uid="{533A0A1A-1E6A-43C6-8AB1-7C3BB3ACF1DF}"/>
    <hyperlink ref="D3560" r:id="rId3414" display="https://www.google.com/url?q=https://github.com/MedoN11/CompetitiveProgramming/blob/master/CodeForces/GYM/CF10149-GYM-D.cpp&amp;sa=D&amp;ust=1605639553560000&amp;usg=AFQjCNFOz-_sMrL3xk6bYhmFcap7_5rsWA" xr:uid="{9623DA07-A9B7-457B-9AF4-00F305B840F4}"/>
    <hyperlink ref="A4389" r:id="rId3415" display="https://www.google.com/url?q=http://codeforces.com/contest/340/problem/E&amp;sa=D&amp;ust=1605639553562000&amp;usg=AFQjCNEAAf36AHCoBci5TPgYol9SexUNuw" xr:uid="{C1E17C48-F7AD-4C35-B6F0-7FDE4B5294CC}"/>
    <hyperlink ref="A4390" r:id="rId3416" display="https://www.google.com/url?q=https://csacademy.com/contest/round-82/task/restricted-arrays/&amp;sa=D&amp;ust=1605639553562000&amp;usg=AFQjCNF-zpoucxS0KCj1GfzCLwyHDdCO2A" xr:uid="{05830ABC-A544-43A1-AE83-748A20811537}"/>
    <hyperlink ref="A4392" r:id="rId3417" display="https://www.google.com/url?q=https://www.codechef.com/NOV18B/problems/GMEDIAN&amp;sa=D&amp;ust=1605639553563000&amp;usg=AFQjCNG5Yome5rJ-IyKPIO4vONCqTSOinQ" xr:uid="{F5ACE197-73D8-4D78-BB93-CF85519EC644}"/>
    <hyperlink ref="A4393" r:id="rId3418" display="https://www.google.com/url?q=https://codeforces.com/contest/1091/problem/D&amp;sa=D&amp;ust=1605639553563000&amp;usg=AFQjCNGsVwXrTXYb0u1bJ8E-rJEYKZb-EQ" xr:uid="{FB6AF521-CE0F-4B85-B70D-9ABE0564A957}"/>
    <hyperlink ref="A4398" r:id="rId3419" display="https://www.google.com/url?q=http://codeforces.com/contest/294/problem/C&amp;sa=D&amp;ust=1605639553564000&amp;usg=AFQjCNGD-7IlTaf425nvKLh8ttBH8NUEBw" xr:uid="{D3D018F3-9994-4931-B81D-60B844B38B80}"/>
    <hyperlink ref="A4399" r:id="rId3420" display="https://www.google.com/url?q=https://atcoder.jp/contests/abc150/tasks/abc150_e&amp;sa=D&amp;ust=1605639553564000&amp;usg=AFQjCNG_b4ViIgM7lswiMyEQlYxgOkZRCA" xr:uid="{2DAC43C3-1CC8-44E7-8070-A80D01CA2E25}"/>
    <hyperlink ref="A4400" r:id="rId3421" display="https://www.google.com/url?q=https://www.hackerrank.com/challenges/ajourney&amp;sa=D&amp;ust=1605639553565000&amp;usg=AFQjCNEmB1NtTU-UVa8jY0lMFuBSrLWeAg" xr:uid="{814F9E1B-4A85-4601-BFC2-5C02C2AADD94}"/>
    <hyperlink ref="A4401" r:id="rId3422" display="https://www.google.com/url?q=http://codeforces.com/problemset/problem/869/C&amp;sa=D&amp;ust=1605639553565000&amp;usg=AFQjCNG_7ue_3Ddf0yiVZsP4pzPBcjXWzA" xr:uid="{EA362C76-697F-47A1-A29C-C1CA8404760D}"/>
    <hyperlink ref="A4402" r:id="rId3423" display="https://www.google.com/url?q=https://atcoder.jp/contests/abc132/tasks/abc132_d&amp;sa=D&amp;ust=1605639553567000&amp;usg=AFQjCNEIBrhFC-N-AIrev_1dfKcuMR7A9A" xr:uid="{5C056C02-A66F-4DA6-BA96-B92761078CE0}"/>
    <hyperlink ref="A4403" r:id="rId3424" display="https://www.google.com/url?q=http://codeforces.com/contest/758/problem/C&amp;sa=D&amp;ust=1605639553567000&amp;usg=AFQjCNHIf1uvZOo4QGaeMt98stDMgEd2Pw" xr:uid="{F9F93B11-01D1-4EF5-B99F-313A9F65BE72}"/>
    <hyperlink ref="A4404" r:id="rId3425" display="https://www.google.com/url?q=http://codeforces.com/contest/459/problem/C&amp;sa=D&amp;ust=1605639553567000&amp;usg=AFQjCNE5OI7tXx-2hH3ssUsTDAisZrYDVQ" xr:uid="{584F71AF-1666-475F-99C9-8087CBC5771D}"/>
    <hyperlink ref="A4405" r:id="rId3426" display="https://www.google.com/url?q=http://codeforces.com/contest/340/problem/C&amp;sa=D&amp;ust=1605639553568000&amp;usg=AFQjCNGvEgHrD6jn1tRWtXz9XMLjh_AtMA" xr:uid="{D9892FF9-E3C7-4C1E-B934-D5914C98B2CB}"/>
    <hyperlink ref="A4406" r:id="rId3427" display="https://www.google.com/url?q=https://atcoder.jp/contests/abc156/tasks/abc156_e&amp;sa=D&amp;ust=1605639553568000&amp;usg=AFQjCNEZzu-sPBvEKIaB8N-iCrPi1VI3Qw" xr:uid="{F01B852A-63BD-4555-B801-6688A73D22C2}"/>
    <hyperlink ref="A4407" r:id="rId3428" display="https://www.google.com/url?q=http://codeforces.com/problemset/problem/204/A&amp;sa=D&amp;ust=1605639553569000&amp;usg=AFQjCNFTQxp2h7AZJeJqAfR9emiijhtvAQ" xr:uid="{5E3CE58D-C668-4B7C-8EDA-67A0D64CE8D7}"/>
    <hyperlink ref="D2297" r:id="rId3429" display="https://www.google.com/url?q=https://github.com/thackerhelik/UVA/blob/master/10460.py&amp;sa=D&amp;ust=1605639553569000&amp;usg=AFQjCNHGz_s7rTcrkYGmhGcEmJuU57pTUw" xr:uid="{E9FB779A-3F50-4D3C-93D0-AEF163F6FB6D}"/>
    <hyperlink ref="A4410" r:id="rId3430" display="https://www.google.com/url?q=http://codeforces.com/contest/810/problem/C&amp;sa=D&amp;ust=1605639553570000&amp;usg=AFQjCNEDQI0_LoC17tcn52GuVqQyCieHQA" xr:uid="{8EE15DAB-8944-4650-B735-59AFB63A3515}"/>
    <hyperlink ref="A4411" r:id="rId3431" display="https://www.google.com/url?q=https://www.hackerrank.com/contests/hourrank-25/challenges/maximum-palindromes&amp;sa=D&amp;ust=1605639553570000&amp;usg=AFQjCNGMsScttDcU8V2o4KAkuVlbsofi8w" xr:uid="{11F51E13-43D7-49B3-8D1E-7EB64DB413B6}"/>
    <hyperlink ref="A4418" r:id="rId3432" display="https://www.google.com/url?q=http://codeforces.com/contest/110/problem/E&amp;sa=D&amp;ust=1605639553571000&amp;usg=AFQjCNGS4BLdq9xji43Hs2OdaWLdoYFR5g" xr:uid="{2FBD570C-D52F-41E7-9E71-63860EBEF0D1}"/>
    <hyperlink ref="D2304" r:id="rId3433" display="https://www.google.com/url?q=https://github.com/osamahatem/CompetitiveProgramming/blob/master/UVA/11525%2520-%2520Permutation.cpp&amp;sa=D&amp;ust=1605639553572000&amp;usg=AFQjCNHrPYQfrGCicNfZ-4jZqzErPL5M7w" xr:uid="{972F1BB0-D256-4C08-A31E-FB59D28EDE7A}"/>
    <hyperlink ref="A4424" r:id="rId3434" display="https://www.google.com/url?q=http://codeforces.com/contest/289/problem/D&amp;sa=D&amp;ust=1605639553573000&amp;usg=AFQjCNFwodFQ2RVt7kcicZj-glxbgl7qQw" xr:uid="{28332AF3-194A-4AD8-B37A-807116D58A78}"/>
    <hyperlink ref="A4426" r:id="rId3435" display="https://www.google.com/url?q=https://www.hackerrank.com/challenges/super-humble-matrix&amp;sa=D&amp;ust=1605639553574000&amp;usg=AFQjCNF0ep15tsUS86dWA8MIrnGGkF9ECg" xr:uid="{652369FF-8ECD-4DD1-9C16-C171C63359B0}"/>
    <hyperlink ref="D1451" r:id="rId3436" display="https://www.google.com/url?q=https://github.com/MohamedNabil97/CompetitiveProgramming/blob/master/Hackerrank/super-humble-matrix.cpp&amp;sa=D&amp;ust=1605639553574000&amp;usg=AFQjCNGuuzogrnCGNXP2KiuqlwuMQuObXg" xr:uid="{313E1D63-64BF-43D8-870E-1E89B4C8DDBF}"/>
    <hyperlink ref="D1082" r:id="rId3437" display="https://www.google.com/url?q=https://github.com/goswami-rahul/competitive-coding/blob/master/CompetitiveProgramming/spoj/ITRIX_E.py&amp;sa=D&amp;ust=1605639553575000&amp;usg=AFQjCNGIHa4krqsVDbMOkW9QTp2fnCiflA" xr:uid="{95B60262-80EB-459A-9753-76EDCB837489}"/>
    <hyperlink ref="A4432" r:id="rId3438" display="https://www.google.com/url?q=http://codeforces.com/contest/131/problem/C&amp;sa=D&amp;ust=1605639553575000&amp;usg=AFQjCNE4q2G_E35JDOsz5xHH558DchwbHw" xr:uid="{58673424-FB2C-4AE5-8E4E-235739DBF73F}"/>
    <hyperlink ref="A4433" r:id="rId3439" display="https://www.google.com/url?q=http://codeforces.com/contest/152/problem/C&amp;sa=D&amp;ust=1605639553577000&amp;usg=AFQjCNGPfP_HWzLJ9cF_kSCQNXxNQ53Y6Q" xr:uid="{576882F4-9EB4-4CEA-AE9D-675DF2916AE9}"/>
    <hyperlink ref="A4434" r:id="rId3440" display="https://www.google.com/url?q=https://uva.onlinejudge.org/index.php?option%3Donlinejudge%26page%3Dshow_problem%26problem%3D2172&amp;sa=D&amp;ust=1605639553577000&amp;usg=AFQjCNG6dHmwFklL0EJWU8mJuOW2AtaNmw" xr:uid="{FD12F091-F342-45C2-BC09-B53DA2B4180D}"/>
    <hyperlink ref="A4435" r:id="rId3441" display="https://www.google.com/url?q=https://www.hackerrank.com/challenges/number-list&amp;sa=D&amp;ust=1605639553578000&amp;usg=AFQjCNH7mz0xYwcm3ZVLav4gidi3_rpMgw" xr:uid="{572B3520-D453-4990-A548-E1C70BC265BB}"/>
    <hyperlink ref="A4436" r:id="rId3442" display="https://www.google.com/url?q=http://codeforces.com/contest/52/problem/B&amp;sa=D&amp;ust=1605639553578000&amp;usg=AFQjCNGOy1E6gWEWUeJpHpAnwpr5sxLqmA" xr:uid="{F25B4B89-E0CF-4974-8FB5-F6F00D92A6B9}"/>
    <hyperlink ref="A4437" r:id="rId3443" display="https://www.google.com/url?q=https://www.hackerrank.com/challenges/a-chocolate-fiesta&amp;sa=D&amp;ust=1605639553579000&amp;usg=AFQjCNFjqwe350t7YqR-BJhuTgW6T2kfPg" xr:uid="{64368F95-0D68-4362-A7EA-999548E3931F}"/>
    <hyperlink ref="A4438" r:id="rId3444" display="https://www.google.com/url?q=https://www.hackerrank.com/challenges/picking-cards&amp;sa=D&amp;ust=1605639553579000&amp;usg=AFQjCNEbP15180VCsBCoTP2bAD1B_CllQg" xr:uid="{83758FB2-96B7-4BA6-8891-68B330974F0D}"/>
    <hyperlink ref="A4440" r:id="rId3445" display="https://www.google.com/url?q=https://www.hackerrank.com/challenges/antipalindromic-strings&amp;sa=D&amp;ust=1605639553580000&amp;usg=AFQjCNGtcfSbxji_1AvBjHujJqcR81wV3w" xr:uid="{3DEF2371-352E-4A76-BB92-480364326223}"/>
    <hyperlink ref="A4441" r:id="rId3446" display="https://www.google.com/url?q=https://codeforces.com/problemset/problem/1254/E&amp;sa=D&amp;ust=1605639553580000&amp;usg=AFQjCNGSIjm_bLY7f0s7YMIp8TBy1UwHMA" xr:uid="{D849FE90-709B-49AB-BEFE-C55F207BFD67}"/>
    <hyperlink ref="A4444" r:id="rId3447" display="https://www.google.com/url?q=https://community.topcoder.com/stat?c%3Dproblem_statement%26pm%3D2321&amp;sa=D&amp;ust=1605639553581000&amp;usg=AFQjCNGeSqANA4tGrzTZUdFoZLKisVhFXA" xr:uid="{BFCC7AA1-105C-4DAC-B88E-630ED213DBF7}"/>
    <hyperlink ref="A4445" r:id="rId3448" display="https://www.google.com/url?q=https://community.topcoder.com/stat?c%3Dproblem_statement%26pm%3D6742&amp;sa=D&amp;ust=1605639553582000&amp;usg=AFQjCNFESFSp-fsFL_VX1ghSkg1l55F2XA" xr:uid="{5FA71994-F3B8-4E1A-B89E-331709F3AFDB}"/>
    <hyperlink ref="D4948" r:id="rId3449" display="https://www.google.com/url?q=https://github.com/MedoN11/CompetitiveProgramming/blob/master/UVA/10570.cpp&amp;sa=D&amp;ust=1605639553583000&amp;usg=AFQjCNFMpusGLbepRiYGoLuBh8_mdumdfA" xr:uid="{E6B6F83C-37A5-4915-9670-CE0277C625CF}"/>
    <hyperlink ref="A4453" r:id="rId3450" display="https://www.google.com/url?q=http://codeforces.com/contest/584/problem/E&amp;sa=D&amp;ust=1605639553585000&amp;usg=AFQjCNFmHi65ahorf1FPwW2yES352XIbQw" xr:uid="{EBD7732E-C971-4472-A799-87CE5D734388}"/>
    <hyperlink ref="D2929" r:id="rId3451" display="https://www.google.com/url?q=https://github.com/mostafa-saad/MyCompetitiveProgramming/blob/master/SPOJ/SPOJ_LEONARDO.txt&amp;sa=D&amp;ust=1605639553586000&amp;usg=AFQjCNE00RqeVYtMjqTwbQWnx7LPb-ujow" xr:uid="{B2EB185F-5B0B-4019-BF93-B4BF78C27A3A}"/>
    <hyperlink ref="D2930" r:id="rId3452" display="https://www.google.com/url?q=http://www.topcoder.com/tc?module%3DStatic%26d1%3Dmatch_editorials%26d2%3Dsrm280&amp;sa=D&amp;ust=1605639553586000&amp;usg=AFQjCNEswIy4BB7XL2IRP-SPYTahHixLRA" xr:uid="{7479366E-A92C-424D-BA27-309E71382903}"/>
    <hyperlink ref="A4456" r:id="rId3453" display="https://www.google.com/url?q=https://www.facebook.com/hackercup/problem/232395994158286/&amp;sa=D&amp;ust=1605639553587000&amp;usg=AFQjCNHe2okSUnKfgh0Uzghw8LH9SVrOHA" xr:uid="{DB544AE1-41F8-4A4A-AA90-29CA02F29DFD}"/>
    <hyperlink ref="A4458" r:id="rId3454" display="https://www.google.com/url?q=http://codeforces.com/contest/986/problem/B&amp;sa=D&amp;ust=1605639553588000&amp;usg=AFQjCNHYAwktRgFs0giCA3uygm7d5PunFQ" xr:uid="{03EE4850-1888-4E5E-A28F-CF5082B3E8A2}"/>
    <hyperlink ref="A4465" r:id="rId3455" display="https://www.google.com/url?q=http://codeforces.com/contest/338/problem/C&amp;sa=D&amp;ust=1605639553590000&amp;usg=AFQjCNHqKlPgJlNHcxxTFMA3MVxvgZ4Yjw" xr:uid="{65793CA7-469D-43DF-85A8-81710B266CD5}"/>
    <hyperlink ref="A4466" r:id="rId3456" display="https://www.google.com/url?q=http://codeforces.com/contest/1071/problem/D&amp;sa=D&amp;ust=1605639553591000&amp;usg=AFQjCNF4xaCcaDVR4xk3Sjg45DnbekYH5Q" xr:uid="{4F123676-1EEA-4508-950F-F3F62307E020}"/>
    <hyperlink ref="D4951" r:id="rId3457" display="https://www.google.com/url?q=https://github.com/jebouin/CompetitiveProgramming/blob/master/UVA/UVA%25201635.cpp&amp;sa=D&amp;ust=1605639553592000&amp;usg=AFQjCNEVVttOXVK5NALpRbwkdctgLWvGlQ" xr:uid="{C8BF1BF9-A9CD-465C-A373-A3FAB4463F3A}"/>
    <hyperlink ref="A4472" r:id="rId3458" display="https://www.google.com/url?q=https://www.codechef.com/problems/B3&amp;sa=D&amp;ust=1605639553593000&amp;usg=AFQjCNFXJysjGJ5Dn7dg9b1nVkOZlshEHw" xr:uid="{F26DC09B-6B71-4772-ADC2-020905B1AF12}"/>
    <hyperlink ref="D3679" r:id="rId3459" display="https://www.google.com/url?q=https://github.com/sggutier/CompetitiveProgramming/blob/master/Codechef/B3.cpp&amp;sa=D&amp;ust=1605639553593000&amp;usg=AFQjCNEOApfeh1h0OXSxyekklZYJnhezTg" xr:uid="{F3203AF0-0263-4799-B6DF-9B5D0A96CBCE}"/>
    <hyperlink ref="A4473" r:id="rId3460" display="https://www.google.com/url?q=https://www.codechef.com/problems/CHEFDIV&amp;sa=D&amp;ust=1605639553594000&amp;usg=AFQjCNG3Pmvh1h_tDxqalpUzmdLVrykysA" xr:uid="{3942102A-6A52-4460-90D9-E10EC9A4452B}"/>
    <hyperlink ref="D3568" r:id="rId3461" display="https://www.google.com/url?q=https://github.com/thackerhelik/Codechef/blob/master/CHEFDIV.cpp&amp;sa=D&amp;ust=1605639553594000&amp;usg=AFQjCNFd0dklTkmojuWWyU39K8rZwFwt5Q" xr:uid="{710A8301-A06F-44F7-894B-32A52541A92A}"/>
    <hyperlink ref="A4474" r:id="rId3462" display="https://www.google.com/url?q=http://codeforces.com/contest/980/problem/D&amp;sa=D&amp;ust=1605639553594000&amp;usg=AFQjCNFJJbfTcaErtU_ffiDphDFvmuYW7g" xr:uid="{1EE7B59D-ADF8-4E7D-95DE-2CB6AA6710CC}"/>
    <hyperlink ref="A4475" r:id="rId3463" display="https://www.google.com/url?q=https://www.codechef.com/SNCK1A19/problems/PERIODIC&amp;sa=D&amp;ust=1605639553594000&amp;usg=AFQjCNFBUL8cHbJTyC3hfFryrxCdPEeXJw" xr:uid="{8B91BB34-E0E1-4441-83C1-1778E44E3335}"/>
    <hyperlink ref="A4480" r:id="rId3464" display="https://www.google.com/url?q=http://codeforces.com/gym/101856&amp;sa=D&amp;ust=1605639553595000&amp;usg=AFQjCNH6BkAuuOZMR9-1tTOsBZkmmwHeFg" xr:uid="{2BB9540E-F941-4136-96B4-631C5A22B8D0}"/>
    <hyperlink ref="A4481" r:id="rId3465" display="https://www.google.com/url?q=https://codeforces.com/gym/102299/problem/F&amp;sa=D&amp;ust=1605639553595000&amp;usg=AFQjCNHb3tZPX7SDGkM-ooIPv1bUC7IePQ" xr:uid="{C3308365-1328-49C1-823F-8D8DDF4AC972}"/>
    <hyperlink ref="D3572" r:id="rId3466" display="https://www.google.com/url?q=https://github.com/YazanZebak/CompetitiveProgramming/blob/master/Codeforces/CF102299-GYM-F.cpp&amp;sa=D&amp;ust=1605639553595000&amp;usg=AFQjCNG4Z7jJnZWucuh5ueuARQ-f0yNrMA" xr:uid="{0B116B70-5C01-41F6-A64B-B25E0696F4B4}"/>
    <hyperlink ref="A4482" r:id="rId3467" display="https://www.google.com/url?q=http://codeforces.com/contest/831/problem/F&amp;sa=D&amp;ust=1605639553596000&amp;usg=AFQjCNEfbvBkwAVfGJo6F3TFyaaqF3r-HA" xr:uid="{85DC1434-5100-4D0D-BF0C-8CB4297102A3}"/>
    <hyperlink ref="A4483" r:id="rId3468" display="https://www.google.com/url?q=http://codeforces.com/contest/300/problem/E&amp;sa=D&amp;ust=1605639553596000&amp;usg=AFQjCNHBGni8uE76rVMXTJVHy0o--A1S9g" xr:uid="{57BAAA06-03D2-4A43-86EC-084D58D64A7C}"/>
    <hyperlink ref="A4484" r:id="rId3469" display="https://www.google.com/url?q=http://codeforces.com/contest/180/problem/B&amp;sa=D&amp;ust=1605639553597000&amp;usg=AFQjCNFzUPxklNHpKF5twQhAoN1F_thYDQ" xr:uid="{59FF9C1C-81DD-4807-8771-51C06AA6DB7C}"/>
    <hyperlink ref="A4487" r:id="rId3470" display="https://www.google.com/url?q=http://www.spoj.com/problems/PROOT/&amp;sa=D&amp;ust=1605639553598000&amp;usg=AFQjCNFcGFH5hM6FeE8DldvUXPAgoMNgWQ" xr:uid="{B31D990C-7057-435A-B88A-1F7B8157D1B6}"/>
    <hyperlink ref="D2931" r:id="rId3471" display="https://www.google.com/url?q=https://github.com/YazanZebak/CompetitiveProgramming/blob/master/Spoj/PROOT.cpp&amp;sa=D&amp;ust=1605639553598000&amp;usg=AFQjCNFhXt3le6GRMX5_XvVr4xkHJbklTw" xr:uid="{58D67EC5-94B6-4199-AF6B-138C407B6395}"/>
    <hyperlink ref="A4489" r:id="rId3472" display="https://www.google.com/url?q=https://community.topcoder.com/stat?c%3Dproblem_statement%26pm%3D15211&amp;sa=D&amp;ust=1605639553600000&amp;usg=AFQjCNGkQBwqjDN8fFPKXwhLhjKO-oKAKg" xr:uid="{B8C3C2A3-AC9E-46F1-AD0E-6B94FEDA666C}"/>
    <hyperlink ref="A4490" r:id="rId3473" display="https://www.google.com/url?q=http://codeforces.com/contest/837/problem/E&amp;sa=D&amp;ust=1605639553601000&amp;usg=AFQjCNF4uHhHzhGkH1Fhwv0iaaB3x3Nwng" xr:uid="{B3F9188D-73ED-46C3-A065-C50850AF8CC7}"/>
    <hyperlink ref="A4492" r:id="rId3474" display="https://www.google.com/url?q=https://codeforces.com/contest/1029/problem/F&amp;sa=D&amp;ust=1605639553601000&amp;usg=AFQjCNFt66e5MCJAFidXhqYaEba3uXgwZA" xr:uid="{DE68CF7D-1F2D-4158-B6F0-13C195FC5412}"/>
    <hyperlink ref="D2310" r:id="rId3475" display="https://www.google.com/url?q=https://github.com/Huvok/CompetitiveProgramming/blob/master/Codeforces/CF1029-D3-F.cpp&amp;sa=D&amp;ust=1605639553602000&amp;usg=AFQjCNGT0QjKdhz0oaq69ikiYE70ah-z3g" xr:uid="{AA6C7635-90E5-4278-A099-3B05EFC9B8F1}"/>
    <hyperlink ref="A4493" r:id="rId3476" display="https://www.google.com/url?q=http://codeforces.com/problemset/problem/1033/D&amp;sa=D&amp;ust=1605639553602000&amp;usg=AFQjCNGrl_RqZVDi_8c7qRu9Csmw_7hoNQ" xr:uid="{849DE1C7-54B8-47BE-85D8-F54DABA2AEE9}"/>
    <hyperlink ref="A4494" r:id="rId3477" display="https://www.google.com/url?q=http://codeforces.com/contest/851/problem/D&amp;sa=D&amp;ust=1605639553602000&amp;usg=AFQjCNFasmzDBX5IIuynIROlJT39ttuO1w" xr:uid="{87974D3C-5C99-4304-B1E7-45F2E6828345}"/>
    <hyperlink ref="A4496" r:id="rId3478" display="https://www.google.com/url?q=https://uva.onlinejudge.org/index.php?option%3Donlinejudge%26page%3Dshow_problem%26problem%3D2322&amp;sa=D&amp;ust=1605639553603000&amp;usg=AFQjCNFK4iP6PkZ4N8hbAKGulE3WbQPMgg" xr:uid="{78354282-F7B6-4508-B076-38A13354A28C}"/>
    <hyperlink ref="D2315" r:id="rId3479" display="https://www.google.com/url?q=https://github.com/mostafa-saad/MyCompetitiveProgramming/blob/master/UVA/UVA_12154.txt&amp;sa=D&amp;ust=1605639553604000&amp;usg=AFQjCNGaJckUtPI5xwO0FKp9yEGPI7fplw" xr:uid="{1AD9CB8F-29C7-4D26-AB61-A16176A55787}"/>
    <hyperlink ref="A4500" r:id="rId3480" display="https://www.google.com/url?q=http://codeforces.com/gym/100753&amp;sa=D&amp;ust=1605639553604000&amp;usg=AFQjCNGG4sovrmkIFygHfWZ_NSrFDPN7kA" xr:uid="{BD2810F5-F62D-42C1-BA7B-AEF22ED266A3}"/>
    <hyperlink ref="D2317" r:id="rId3481" display="https://www.google.com/url?q=http://codeforces.com/blog/entry/22929&amp;sa=D&amp;ust=1605639553605000&amp;usg=AFQjCNGQRcRhCMnVn-b4xrddxm482uVTcQ" xr:uid="{E0617120-586D-4E73-94FC-2AFE296AC2A4}"/>
    <hyperlink ref="D1452" r:id="rId3482" display="https://www.google.com/url?q=https://github.com/MohamedNabil97/CompetitiveProgramming/blob/master/Timus/1854.cpp&amp;sa=D&amp;ust=1605639553605000&amp;usg=AFQjCNECj0r7wLDII7EC0rtuM58NixjHJg" xr:uid="{FCC20E39-D84A-4A4D-BDFD-4CF689690654}"/>
    <hyperlink ref="A4502" r:id="rId3483" display="https://www.google.com/url?q=http://codeforces.com/contest/1047/problem/C&amp;sa=D&amp;ust=1605639553606000&amp;usg=AFQjCNGvATkqNvGtW1tliN5ldDYGs-23aw" xr:uid="{5AF45693-9061-4DEA-AD44-1ECB0A145FC3}"/>
    <hyperlink ref="A4505" r:id="rId3484" display="https://www.google.com/url?q=https://uva.onlinejudge.org/index.php?option%3Donlinejudge%26page%3Dshow_problem%26problem%3D488&amp;sa=D&amp;ust=1605639553607000&amp;usg=AFQjCNHbYpIR8hfQdJoQflQBFzZPGfjPlQ" xr:uid="{1EDFB1B0-0783-42C6-8BFB-1F63488580F2}"/>
    <hyperlink ref="A4506" r:id="rId3485" display="https://www.google.com/url?q=https://codeforces.com/contest/1061/problem/C&amp;sa=D&amp;ust=1605639553607000&amp;usg=AFQjCNH7YMLMOnAaJgAO2V9CusxnfcJVPg" xr:uid="{9918F5B4-812B-4130-B7F4-6A2E6B0B6C33}"/>
    <hyperlink ref="A4507" r:id="rId3486" display="https://www.google.com/url?q=https://uva.onlinejudge.org/index.php?option%3Donlinejudge%26page%3Dshow_problem%26problem%3D1563&amp;sa=D&amp;ust=1605639553608000&amp;usg=AFQjCNGc0ydMRYz8goplliFm5g7OQsa3FA" xr:uid="{C9621446-616B-425A-BE1C-C02D2E92A67A}"/>
    <hyperlink ref="A4511" r:id="rId3487" display="https://www.google.com/url?q=https://uva.onlinejudge.org/index.php?option%3Donlinejudge%26Itemid%3D8%26page%3Dshow_problem%26problem%3D1080&amp;sa=D&amp;ust=1605639553609000&amp;usg=AFQjCNHqUcRk3LwfmVLmMR6SU-dd15kMvw" xr:uid="{4F779430-E2F5-4A54-B0DD-1ECBFF553313}"/>
    <hyperlink ref="A4515" r:id="rId3488" display="https://www.google.com/url?q=http://codeforces.com/problemset/problem/236/B&amp;sa=D&amp;ust=1605639553612000&amp;usg=AFQjCNE5OghKhuJapRDnTwDLMFk3FiA_Ow" xr:uid="{6C612C5F-808F-41FF-B726-380AF79492AC}"/>
    <hyperlink ref="A4516" r:id="rId3489" display="https://www.google.com/url?q=https://uva.onlinejudge.org/index.php?option%3Dcom_onlinejudge%26Itemid%3D8%26page%3Dshow_problem%26problem%3D1431&amp;sa=D&amp;ust=1605639553612000&amp;usg=AFQjCNE8Jd9d9SUHQxU_zu17qfsF4AwJWg" xr:uid="{0AC46205-A0AA-4380-B30D-D2A03F9DD85D}"/>
    <hyperlink ref="A4517" r:id="rId3490" display="https://www.google.com/url?q=https://uva.onlinejudge.org/index.php?option%3Dcom_onlinejudge%26Itemid%3D8%26page%3Dshow_problem%26problem%3D457&amp;sa=D&amp;ust=1605639553613000&amp;usg=AFQjCNHEV7Qb-LqqnRO5M4OErK_ztLq4DA" xr:uid="{74133194-355C-4450-9F9A-89C0D3AAE50C}"/>
    <hyperlink ref="A4522" r:id="rId3491" display="https://www.google.com/url?q=https://uva.onlinejudge.org/index.php?option%3Dcom_onlinejudge%26Itemid%3D8%26page%3Dshow_problem%26problem%3D1640&amp;sa=D&amp;ust=1605639553614000&amp;usg=AFQjCNFFmMFT-BIVeEnvHyx-x1zRYRebpA" xr:uid="{46AA4FC1-9534-4A49-B07A-64BDB6D04BAD}"/>
    <hyperlink ref="D100" r:id="rId3492" display="https://www.google.com/url?q=https://raw.githubusercontent.com/NadaAlaa/CompetitiveProgramming/master/LiveArchive/2557.cpp&amp;sa=D&amp;ust=1605639553615000&amp;usg=AFQjCNH2rR9FHS_gwpms9YZuX4py5TQJGQ" xr:uid="{1D978D06-5DD1-44ED-A3CE-ABEF6688A9E8}"/>
    <hyperlink ref="A4524" r:id="rId3493" display="https://www.google.com/url?q=https://uva.onlinejudge.org/index.php?option%3Dcom_onlinejudge%26Itemid%3D8%26page%3Dshow_problem%26problem%3D318&amp;sa=D&amp;ust=1605639553615000&amp;usg=AFQjCNHxCDcsHua2gWnvDKo8cB9JJp5_rA" xr:uid="{38C4EE22-80A9-4BFE-AA13-CED1C7ABE5EF}"/>
    <hyperlink ref="A4525" r:id="rId3494" display="https://www.google.com/url?q=https://uva.onlinejudge.org/index.php?option%3Dcom_onlinejudge%26Itemid%3D8%26page%3Dshow_problem%26problem%3D524&amp;sa=D&amp;ust=1605639553615000&amp;usg=AFQjCNHV50rXg9qHjqieM_GD1Ys2BOStPA" xr:uid="{CBB5DD06-5ECC-40F2-AE8C-DD25B0C8E0AD}"/>
    <hyperlink ref="A4527" r:id="rId3495" display="https://www.google.com/url?q=https://uva.onlinejudge.org/index.php?option%3Dcom_onlinejudge%26Itemid%3D8%26page%3Dshow_problem%26problem%3D230&amp;sa=D&amp;ust=1605639553616000&amp;usg=AFQjCNHWyaEdCKJXA5nfQAEAyC0OyFIZlg" xr:uid="{90538A2F-183F-432A-9145-85CF7DC2DCC8}"/>
    <hyperlink ref="A4529" r:id="rId3496" display="https://www.google.com/url?q=https://www.codechef.com/problems/SEALCM&amp;sa=D&amp;ust=1605639553617000&amp;usg=AFQjCNEzuN9t-CBX9H_TO29ZXmFFmevCog" xr:uid="{F720F3B5-0F59-4547-9213-F7D7A66B6B98}"/>
    <hyperlink ref="A4530" r:id="rId3497" display="https://www.google.com/url?q=http://codeforces.com/contest/585/problem/E&amp;sa=D&amp;ust=1605639553625000&amp;usg=AFQjCNFQAOmi25cr_pJrnh77D0vyeV7wng" xr:uid="{1345671C-11E0-4082-9807-5681AB2E5C1C}"/>
    <hyperlink ref="A4531" r:id="rId3498" display="https://www.google.com/url?q=http://codeforces.com/contest/1037/problem/F&amp;sa=D&amp;ust=1605639553626000&amp;usg=AFQjCNFrcIUNFUkYrsMawCwtPb6XAmMpUg" xr:uid="{8440D5D9-854C-4DB4-BFAC-5BD44A580253}"/>
    <hyperlink ref="D4956" r:id="rId3499" display="https://www.google.com/url?q=https://github.com/Otrebus/timus/blob/master/1940.cpp&amp;sa=D&amp;ust=1605639553626000&amp;usg=AFQjCNGHq5ORP9NVvfcoua-LMtFx2uBLqA" xr:uid="{F6A7A156-0B31-4903-A0A5-94F0FCB59117}"/>
    <hyperlink ref="A4538" r:id="rId3500" display="https://www.google.com/url?q=https://www.hackerrank.com/challenges/cyclicquadruples&amp;sa=D&amp;ust=1605639553627000&amp;usg=AFQjCNGRLvZgumln99bTbpd5IXSljvDOkw" xr:uid="{7C25C1E3-BF4D-4189-A3D5-C9965239B8E0}"/>
    <hyperlink ref="A4540" r:id="rId3501" display="https://www.google.com/url?q=http://codeforces.com/contest/83/problem/D&amp;sa=D&amp;ust=1605639553628000&amp;usg=AFQjCNF1dTKYFHPToY6EBJDzgOpVf9FFYQ" xr:uid="{B7201194-B4F7-4039-B48F-6573779BA520}"/>
    <hyperlink ref="A4541" r:id="rId3502" display="https://www.google.com/url?q=http://codeforces.com/contest/451/problem/E&amp;sa=D&amp;ust=1605639553628000&amp;usg=AFQjCNHHXt2f_HOXwcbKodKda0qgjVljEQ" xr:uid="{57CCAA42-959B-4DD1-834A-7C9C21B4F94D}"/>
    <hyperlink ref="A4542" r:id="rId3503" display="https://www.google.com/url?q=http://codeforces.com/contest/1036/problem/F&amp;sa=D&amp;ust=1605639553629000&amp;usg=AFQjCNH6rfU-xhvvwNp_IBK5TSud6SRVCA" xr:uid="{551DC0C7-B89E-4A17-9D1B-E3935655ABE5}"/>
    <hyperlink ref="D4296" r:id="rId3504" display="https://www.google.com/url?q=https://github.com/mostafa-saad/MyCompetitiveProgramming/blob/master/Timus/TIMUS_1675.txt&amp;sa=D&amp;ust=1605639553629000&amp;usg=AFQjCNHEQen4vpUIWF4Duz9JpCpGTY2r5g" xr:uid="{6590550C-6A51-4D58-861C-929F04A1A761}"/>
    <hyperlink ref="A4544" r:id="rId3505" display="https://www.google.com/url?q=http://codeforces.com/contest/439/problem/E&amp;sa=D&amp;ust=1605639553630000&amp;usg=AFQjCNFKxpHixQwGzfi7ckZEpMkThoIvlQ" xr:uid="{1051EE8A-89A3-4B59-AF01-02755153499A}"/>
    <hyperlink ref="D4297" r:id="rId3506" display="https://www.google.com/url?q=https://github.com/osamahatem/CompetitiveProgramming/blob/master/Codeforces/439E.%2520Devu%2520and%2520Birthday%2520Celebration.cpp&amp;sa=D&amp;ust=1605639553631000&amp;usg=AFQjCNFnaE76Ztvr_QmO64QQf_9mUu0YQw" xr:uid="{70792C06-E75B-4D4B-BED2-DA9B06DD6102}"/>
    <hyperlink ref="A4545" r:id="rId3507" display="https://www.google.com/url?q=http://codeforces.com/contest/1008/problem/D&amp;sa=D&amp;ust=1605639553631000&amp;usg=AFQjCNGHCum9jmN5vsVN1PNeUDSTU37xoA" xr:uid="{9E93FC46-53C3-480B-90F5-D223DF77CABD}"/>
    <hyperlink ref="A4546" r:id="rId3508" display="https://www.google.com/url?q=https://codeforces.com/contest/1096/problem/E&amp;sa=D&amp;ust=1605639553632000&amp;usg=AFQjCNHxO_pSgeXlzZ9vfsw2_bRvzHZKhw" xr:uid="{B7A541C1-DBC3-4133-8378-4E92AE2879A1}"/>
    <hyperlink ref="A4547" r:id="rId3509" display="https://www.google.com/url?q=https://codeforces.com/gym/101992/problem/D&amp;sa=D&amp;ust=1605639553632000&amp;usg=AFQjCNF2njymEjXGZmZzMQS2IbT098e9gQ" xr:uid="{F846FE4E-1EBE-4C97-992C-4C057223FB3B}"/>
    <hyperlink ref="D3937" r:id="rId3510" display="https://www.google.com/url?q=https://ideone.com/bDMQGD&amp;sa=D&amp;ust=1605639553632000&amp;usg=AFQjCNFTnX5SJT-vfdkUOSeecJSM9Ro8kQ" xr:uid="{F5AD5B1A-A948-4569-95E9-C8FE9F8BC5FC}"/>
    <hyperlink ref="A4548" r:id="rId3511" display="https://www.google.com/url?q=http://codeforces.com/contest/839/problem/D&amp;sa=D&amp;ust=1605639553633000&amp;usg=AFQjCNGSCqwV9mh5-AdjeEQqCE_336PARw" xr:uid="{1F0F8B82-7D68-43E2-9230-4CFC343AF636}"/>
    <hyperlink ref="D3886" r:id="rId3512" display="https://www.google.com/url?q=https://github.com/amrayman88/CompetitiveProgramming/blob/master/CodeForces/CF428-D2-D.cpp&amp;sa=D&amp;ust=1605639553633000&amp;usg=AFQjCNHeugErkXmBdwnYSwNRWE5ZLPdW9w" xr:uid="{6CBF8490-3F8E-48D5-8E9E-3D4C406B38C1}"/>
    <hyperlink ref="D3578" r:id="rId3513" display="https://www.google.com/url?q=https://github.com/mostafa-saad/MyCompetitiveProgramming/blob/master/SPOJ/SPOJ_MSKYCODE.txt&amp;sa=D&amp;ust=1605639553633000&amp;usg=AFQjCNE8I6HLAgw_RDz8dUGfK4zQJJ_FkQ" xr:uid="{E7E63CAB-548B-4A2F-BC2F-DB0C48E1376D}"/>
    <hyperlink ref="A4359" r:id="rId3514" display="https://www.google.com/url?q=http://codeforces.com/problemset/problem/547/C&amp;sa=D&amp;ust=1605639553634000&amp;usg=AFQjCNHHJGSzA-DvJ38VR3wjuS49feLiyA" xr:uid="{208E7C63-3EE6-43DA-819A-2A1ED053BF69}"/>
    <hyperlink ref="A4360" r:id="rId3515" display="https://www.google.com/url?q=https://www.hackerrank.com/contests/university-codesprint-5/challenges/cube-loving-numbers&amp;sa=D&amp;ust=1605639553634000&amp;usg=AFQjCNEpMCz-XZsh__TmF6vO1CKBb1tn9A" xr:uid="{A66CFDB6-16D8-436F-B68A-B9E407D42FF0}"/>
    <hyperlink ref="A4361" r:id="rId3516" display="https://www.google.com/url?q=https://www.hackerrank.com/challenges/mehta-and-the-typical-supermarket&amp;sa=D&amp;ust=1605639553635000&amp;usg=AFQjCNHWry_WLtoh9nyE30B2fgLaA5ehjQ" xr:uid="{02ED8B38-5DF9-4094-8C7B-7DFE00D82F16}"/>
    <hyperlink ref="D2933" r:id="rId3517" display="https://www.google.com/url?q=https://github.com/Huvok/CompetitiveProgramming/blob/master/Hackerrank/HACKR%2520mehta-and-the-typical-supermarket.cpp&amp;sa=D&amp;ust=1605639553635000&amp;usg=AFQjCNG2e2B-gkD0eWNPlJdNMzV65xdZtA" xr:uid="{D0BB6CA7-D350-474C-B453-492817D3A850}"/>
    <hyperlink ref="A4362" r:id="rId3518" display="https://www.google.com/url?q=http://codeforces.com/contest/372/problem/B&amp;sa=D&amp;ust=1605639553635000&amp;usg=AFQjCNHzsF-K-C_YbMf42i0qnpiUJF-_jQ" xr:uid="{F1FD4D6A-1F3C-47FB-9BD1-4EAC3A0295E0}"/>
    <hyperlink ref="A4364" r:id="rId3519" display="https://www.google.com/url?q=https://codeforces.com/gym/101933/problem/K&amp;sa=D&amp;ust=1605639553636000&amp;usg=AFQjCNG8N0rmcFwmCg4XWJgj3rFoqwifiQ" xr:uid="{83A9CC68-E28E-41C0-B0E8-B884B2E4162D}"/>
    <hyperlink ref="D1094" r:id="rId3520" display="https://www.google.com/url?q=https://github.com/pranavjangir/CompetitiveProgramming/blob/master/CodeForces/CF101933-GYM-K.cpp&amp;sa=D&amp;ust=1605639553636000&amp;usg=AFQjCNFtNCBbCBGoGfNdCaTDFy372DySwg" xr:uid="{70C6EA9A-E310-4ABF-942B-4AA53646369D}"/>
    <hyperlink ref="A4365" r:id="rId3521" display="https://www.google.com/url?q=http://www.spoj.com/problems/NGM2/&amp;sa=D&amp;ust=1605639553637000&amp;usg=AFQjCNHLjciOuKj8T8co6RVtEuvIwnf-gg" xr:uid="{DEC0B662-B689-4DB7-B359-DA74CE0CB8BB}"/>
    <hyperlink ref="A4366" r:id="rId3522" display="https://www.google.com/url?q=https://uva.onlinejudge.org/index.php?option%3Donlinejudge%26page%3Dshow_problem%26problem%3D1266&amp;sa=D&amp;ust=1605639553637000&amp;usg=AFQjCNGGuV2pRACxlOIkHqfKrEb6-EF1_w" xr:uid="{8FDEB342-EA24-41F4-9097-52A617AB2C14}"/>
    <hyperlink ref="D561" r:id="rId3523" display="https://www.google.com/url?q=https://github.com/ilyesG/Competitive-Programming/blob/master/UVA/UVA%252010325.cpp&amp;sa=D&amp;ust=1605639553637000&amp;usg=AFQjCNEhmNLGwwuEVq_DUR5ZUsjBnp_z-Q" xr:uid="{88AB9B5F-BBE1-4EA8-B58E-5DAD763CF5F4}"/>
    <hyperlink ref="A4368" r:id="rId3524" display="https://www.google.com/url?q=http://codeforces.com/contest/371/problem/C&amp;sa=D&amp;ust=1605639553638000&amp;usg=AFQjCNHU2OHcfDZrV399jEFChtyg-U4fLQ" xr:uid="{CEB97D3B-1687-4D47-917A-D3E7D27EC119}"/>
    <hyperlink ref="A4372" r:id="rId3525" display="https://www.google.com/url?q=https://icpcarchive.ecs.baylor.edu/index.php?option%3Dcom_onlinejudge%26Itemid%3D8%26category%3D683%26page%3Dshow_problem%26problem%3D5245&amp;sa=D&amp;ust=1605639553639000&amp;usg=AFQjCNFjmW8phK2HIlvOFtEMRavtaKE9jw" xr:uid="{D2F26472-ECDF-49D7-A444-99A983590AD5}"/>
    <hyperlink ref="D5039" r:id="rId3526" display="https://www.google.com/url?q=https://github.com/nya-nya-meow/CompetitiveProgramming/blob/master/LiveArchive/2015%2520ACM-ICPC%2520Daejeon%2520Regional/7233%2520-%2520H%2520-%2520Polynomial.cpp&amp;sa=D&amp;ust=1605639553640000&amp;usg=AFQjCNFRljk-ByDyyhDkdV2v8DLNoTI_5Q" xr:uid="{350D8149-87EA-45AD-A5E5-337473EA392D}"/>
    <hyperlink ref="A4559" r:id="rId3527" display="https://www.google.com/url?q=http://acm.timus.ru/problem.aspx?space%3D1%26num%3D1619&amp;sa=D&amp;ust=1605639553646000&amp;usg=AFQjCNEgHWJRB6pmJhwZls066lDizCpWpQ" xr:uid="{B1996432-558C-4D29-80F0-CA65373A52B7}"/>
    <hyperlink ref="D3581" r:id="rId3528" display="https://www.google.com/url?q=https://github.com/pranavjangir/CompetitiveProgramming/blob/master/Timus/TIMUS%25201619.cpp&amp;sa=D&amp;ust=1605639553646000&amp;usg=AFQjCNGDqTghJ9vEDUswyDB4fWrIQ8Ld3w" xr:uid="{3E99F73F-B892-4428-9470-1C1FEE408F2D}"/>
    <hyperlink ref="D2322" r:id="rId3529" display="https://www.google.com/url?q=https://github.com/thackerhelik/UVA/blob/master/10859.cpp&amp;sa=D&amp;ust=1605639553648000&amp;usg=AFQjCNE0vcdZI0yZGy9eiXzU7hUh3Nyklw" xr:uid="{203D9016-8A2B-4074-ABE1-F30AE3164890}"/>
    <hyperlink ref="A4565" r:id="rId3530" display="https://www.google.com/url?q=https://uva.onlinejudge.org/index.php?option%3Donlinejudge%26page%3Dshow_problem%26problem%3D1450&amp;sa=D&amp;ust=1605639553649000&amp;usg=AFQjCNEtJ7GQxyoRaXdXSYFuedhHW0fZ-w" xr:uid="{DF07ACD6-4955-46E6-9594-8A2BCD134755}"/>
    <hyperlink ref="A4567" r:id="rId3531" display="https://www.google.com/url?q=https://uva.onlinejudge.org/index.php?option%3Dcom_onlinejudge%26Itemid%3D8%26page%3Dshow_problem%26problem%3D439&amp;sa=D&amp;ust=1605639553650000&amp;usg=AFQjCNEhvBMQzzusvP4yR_urWZCttyduTg" xr:uid="{A1E5ED7E-2D49-4504-AB23-F54BB6A4E33F}"/>
    <hyperlink ref="A4568" r:id="rId3532" display="https://www.google.com/url?q=https://uva.onlinejudge.org/index.php?option%3Donlinejudge%26page%3Dshow_problem%26problem%3D1243&amp;sa=D&amp;ust=1605639553650000&amp;usg=AFQjCNGp40RoRhIEWp7OZPmhXspgjq7MXQ" xr:uid="{B8C05B24-36E8-4B24-B420-45162E2685A9}"/>
    <hyperlink ref="A4569" r:id="rId3533" display="https://www.google.com/url?q=https://www.hackerrank.com/contests/infinitum18/challenges/tower-3-coloring&amp;sa=D&amp;ust=1605639553651000&amp;usg=AFQjCNGOLkTZS6_QJSKROrsOvJ8trOPjiQ" xr:uid="{57367F92-28FD-4867-97D5-72A1BF9402F4}"/>
    <hyperlink ref="A4784" r:id="rId3534" display="https://www.google.com/url?q=https://uva.onlinejudge.org/index.php?option%3Dcom_onlinejudge%26Itemid%3D8%26page%3Dshow_problem%26problem%3D1209&amp;sa=D&amp;ust=1605639553654000&amp;usg=AFQjCNEl_y-wHmFPalLjhBZ-mf9m-zQcwQ" xr:uid="{4815631E-4E6A-433C-A685-D36BA2193F84}"/>
    <hyperlink ref="D106" r:id="rId3535" display="https://www.google.com/url?q=http://xoptutorials.com/index.php/2017/01/01/timus1349/&amp;sa=D&amp;ust=1605639553655000&amp;usg=AFQjCNEQPPb0ul8Hs06ndIanTV5IJwf9LQ" xr:uid="{FA198E42-3653-4FCD-8878-E9D7E8065181}"/>
    <hyperlink ref="A4841" r:id="rId3536" display="https://www.google.com/url?q=https://uva.onlinejudge.org/index.php?option%3Dcom_onlinejudge%26Itemid%3D8%26page%3Dshow_problem%26problem%3D1724&amp;sa=D&amp;ust=1605639553655000&amp;usg=AFQjCNG4pMbFEfo-ylMXdAG9R8YpzmI48w" xr:uid="{7E4BA7C3-DA05-4308-B722-EE03C5751607}"/>
    <hyperlink ref="A4882" r:id="rId3537" display="https://www.google.com/url?q=https://uva.onlinejudge.org/index.php?option%3Donlinejudge%26page%3Dshow_problem%26problem%3D1753&amp;sa=D&amp;ust=1605639553656000&amp;usg=AFQjCNEHPkFZ5Th6JYiSXWrOi_M2EpAamw" xr:uid="{9A07C76C-4E59-4E44-A3DE-2E0DDFAA0072}"/>
    <hyperlink ref="A4883" r:id="rId3538" display="https://www.google.com/url?q=http://codeforces.com/contest/200/problem/A&amp;sa=D&amp;ust=1605639553656000&amp;usg=AFQjCNHFXdhvUtOKIRJ-lH-AVDkJFXKbAg" xr:uid="{B3514356-211F-4974-A776-4E79EDEB8B28}"/>
    <hyperlink ref="A4926" r:id="rId3539" display="https://www.google.com/url?q=https://www.codechef.com/problems/INMAT&amp;sa=D&amp;ust=1605639553657000&amp;usg=AFQjCNFnbhvwsY38YwNEBA8LspjBBe-Rrw" xr:uid="{64F15771-B592-47BA-B97D-AF5C10CB5F95}"/>
    <hyperlink ref="A4927" r:id="rId3540" display="https://www.google.com/url?q=http://codeforces.com/contest/385/problem/E&amp;sa=D&amp;ust=1605639553657000&amp;usg=AFQjCNEhewLO8KWWsJ7pWE3AWDZzkEEFJQ" xr:uid="{A0332450-985C-4FD5-9106-E9BA7ACB12EA}"/>
    <hyperlink ref="A4939" r:id="rId3541" display="https://www.google.com/url?q=https://www.codechef.com/FEB19B/problems/GUESSRT&amp;sa=D&amp;ust=1605639553680000&amp;usg=AFQjCNGFZ8sPjm8K9bR7gK88I3_bWXXcFA" xr:uid="{3EED958B-062D-4002-87C0-54BA315D64A1}"/>
    <hyperlink ref="A4976" r:id="rId3542" display="https://www.google.com/url?q=http://www.spoj.com/problems/DCEPC12E&amp;sa=D&amp;ust=1605639553681000&amp;usg=AFQjCNH_FRg6feDRo38cHWGzeOWK-8CXSA" xr:uid="{0BEBAEDC-0FAA-4452-BB1F-21CE85F7B2C0}"/>
    <hyperlink ref="A4977" r:id="rId3543" display="https://www.google.com/url?q=http://codeforces.com/contest/202/problem/C&amp;sa=D&amp;ust=1605639553681000&amp;usg=AFQjCNF64lnZCroxTqI9VAC2pjEKNeGWFg" xr:uid="{47902FFE-893D-4B24-8875-3C75831BE3AA}"/>
    <hyperlink ref="A4979" r:id="rId3544" display="https://www.google.com/url?q=https://uva.onlinejudge.org/index.php?option%3Dcom_onlinejudge%26Itemid%3D8%26page%3Dshow_problem%26problem%3D407&amp;sa=D&amp;ust=1605639553682000&amp;usg=AFQjCNHPoW5XSPYn3aIXQ8ec1cXA5YdSHw" xr:uid="{21BB69C9-27AA-4387-93F9-FF6E4DF30524}"/>
    <hyperlink ref="A4980" r:id="rId3545" display="https://www.google.com/url?q=http://codeforces.com/contest/227/problem/E&amp;sa=D&amp;ust=1605639553683000&amp;usg=AFQjCNFhLCXmE7lg6uQC86mljKaSXYWvCg" xr:uid="{A6741826-7EF8-4F1F-8D52-13DE0E75D211}"/>
    <hyperlink ref="A4982" r:id="rId3546" display="https://www.google.com/url?q=https://www.hackerrank.com/challenges/towers&amp;sa=D&amp;ust=1605639553683000&amp;usg=AFQjCNGthML23j65V1mPac270vQZSGO2sQ" xr:uid="{83A55C32-7C19-434B-9E5F-61256467C505}"/>
    <hyperlink ref="A4632" r:id="rId3547" display="https://www.google.com/url?q=https://codeforces.com/problemset/problem/1106/F&amp;sa=D&amp;ust=1605639553686000&amp;usg=AFQjCNHWCfCmefE2dv2Y0gIP_eTwl7F3kw" xr:uid="{364DB4F0-A6F7-4C5F-BB5A-829174B2B89C}"/>
    <hyperlink ref="A4633" r:id="rId3548" display="https://www.google.com/url?q=http://codeforces.com/contest/593/problem/E&amp;sa=D&amp;ust=1605639553686000&amp;usg=AFQjCNH0aRYkO13aZkeamsUnmkAtNKfrEw" xr:uid="{408F8BD2-9F58-46F2-9549-104C49F134A5}"/>
    <hyperlink ref="A4634" r:id="rId3549" display="https://www.google.com/url?q=http://codeforces.com/contest/60/problem/E&amp;sa=D&amp;ust=1605639553687000&amp;usg=AFQjCNFf8_WFq0Dk5zB3vsVyUer4gckdlQ" xr:uid="{B1AD30FE-FF91-4741-9156-776CF29FC9EE}"/>
    <hyperlink ref="A4640" r:id="rId3550" display="https://www.google.com/url?q=http://codeforces.com/contest/576/problem/D&amp;sa=D&amp;ust=1605639553689000&amp;usg=AFQjCNGXxyj3-_aqaIV_tTNXKqLd4U--UQ" xr:uid="{77A5A976-3F49-45AB-A572-332A7FE8A973}"/>
    <hyperlink ref="A4644" r:id="rId3551" display="https://www.google.com/url?q=http://codeforces.com/contest/107/problem/D&amp;sa=D&amp;ust=1605639553690000&amp;usg=AFQjCNFaNWFsmVkcrUnRxwoiuQoHuzaZUA" xr:uid="{2AF27CE5-8CF2-449F-80B1-5E7651570228}"/>
    <hyperlink ref="A4645" r:id="rId3552" display="https://www.google.com/url?q=http://codeforces.com/contest/147/problem/B&amp;sa=D&amp;ust=1605639553691000&amp;usg=AFQjCNFeuG6Fs8DJrM34o53hjQdiNEdSLA" xr:uid="{9C6F3D52-CF58-47D9-8E8A-17A8E4E16861}"/>
    <hyperlink ref="D4304" r:id="rId3553" display="https://www.google.com/url?q=https://github.com/WaleedAbdelhakim/Competitive-Programming/blob/master/CodeForces/CF147-D12-B.cpp&amp;sa=D&amp;ust=1605639553691000&amp;usg=AFQjCNHEPjPNL8e1q-ou5INrPhl3VKXL1g" xr:uid="{25E04446-68A0-41EA-BF86-1A1FB570BF84}"/>
    <hyperlink ref="D4305" r:id="rId3554" display="https://www.google.com/url?q=https://github.com/mostafa-saad/MyCompetitiveProgramming/blob/master/TopCoder/SRM306-D1-1000.txt&amp;sa=D&amp;ust=1605639553691000&amp;usg=AFQjCNGMW99amEydKQM19UJlEFoifd58cw" xr:uid="{8F0622F9-A952-4FAA-B9E6-AED584826675}"/>
    <hyperlink ref="A4647" r:id="rId3555" display="https://www.google.com/url?q=https://codeforces.com/problemset/problem/1182/E&amp;sa=D&amp;ust=1605639553692000&amp;usg=AFQjCNGRJ1UzF73YA9CLuD5TWdrlMr8DPQ" xr:uid="{50E4DD7B-AA1F-4E25-84B9-6FC403868275}"/>
    <hyperlink ref="A4648" r:id="rId3556" display="https://www.google.com/url?q=https://atcoder.jp/contests/agc006/tasks/agc006_c&amp;sa=D&amp;ust=1605639553692000&amp;usg=AFQjCNGfykMhQ8toyw5RB2Z71395z5bNxA" xr:uid="{6E4BAD2B-9F79-461E-BFAE-BE582356863A}"/>
    <hyperlink ref="A4649" r:id="rId3557" display="https://www.google.com/url?q=http://codeforces.com/contest/514/problem/E&amp;sa=D&amp;ust=1605639553693000&amp;usg=AFQjCNEWgwEcORvCJOg-yqXi1QwbISGp1Q" xr:uid="{091EFE58-EB98-444B-B6A0-7588680D3CFA}"/>
    <hyperlink ref="D3587" r:id="rId3558" display="https://www.google.com/url?q=https://github.com/mostafa-saad/MyCompetitiveProgramming/blob/master/SPOJ/SPOJ_PLHOP.txt&amp;sa=D&amp;ust=1605639553693000&amp;usg=AFQjCNG_PzkPOeC76f0yZ2DAHbsxfmNF7g" xr:uid="{D59494D6-7D0B-4F5C-B8F3-C37F49A8F765}"/>
    <hyperlink ref="D3588" r:id="rId3559" display="https://www.google.com/url?q=http://ideone.com/OcvCo2&amp;sa=D&amp;ust=1605639553694000&amp;usg=AFQjCNHeN9tr_eKlLO-ktK5NpE4wNTaWEQ" xr:uid="{E3403FF6-6C00-42A9-A240-ABD69BDF9DF9}"/>
    <hyperlink ref="D3589" r:id="rId3560" display="https://www.google.com/url?q=https://github.com/mostafa-saad/MyCompetitiveProgramming/blob/master/LiveArchive/LIVEARCHIVE_4332.txt&amp;sa=D&amp;ust=1605639553694000&amp;usg=AFQjCNEdpv6_SmqPmcU7cwJZM-4B9g8S0Q" xr:uid="{CB97233A-6CCD-4294-B3AC-3D2D7BBD0A8E}"/>
    <hyperlink ref="A4668" r:id="rId3561" display="https://www.google.com/url?q=http://codeforces.com/contest/621/problem/E&amp;sa=D&amp;ust=1605639553701000&amp;usg=AFQjCNGdcJAD89l-BeyIIbRVsmJsyYCNeA" xr:uid="{29EC7271-7732-432D-B6A3-30C21EAF844F}"/>
    <hyperlink ref="D3590" r:id="rId3562" display="https://www.google.com/url?q=https://github.com/stefdasca/CompetitiveProgramming/blob/master/Codeforces/CF621-D2-E.cpp&amp;sa=D&amp;ust=1605639553701000&amp;usg=AFQjCNGnWkwoG98wUJbK8n1i_1xxuGQcVQ" xr:uid="{2660D3A3-92C9-4512-9658-8E2D18831DCC}"/>
    <hyperlink ref="A4669" r:id="rId3563" display="https://www.google.com/url?q=https://codeforces.com/problemset/problem/954/F&amp;sa=D&amp;ust=1605639553702000&amp;usg=AFQjCNGl0CziUoNaYNaljHI6m7P4_Fydew" xr:uid="{991F9538-7D36-41BE-B741-D0B5E1198433}"/>
    <hyperlink ref="A4671" r:id="rId3564" display="https://www.google.com/url?q=https://codeforces.com/contest/821/problem/E&amp;sa=D&amp;ust=1605639553703000&amp;usg=AFQjCNGXJRBeTsVsFfgNEQtpTYR0tfeGFg" xr:uid="{F1F52CD3-2B06-4F8A-97E3-6A055FCBC896}"/>
    <hyperlink ref="A4672" r:id="rId3565" display="https://www.google.com/url?q=https://codeforces.com/contest/1117/problem/E&amp;sa=D&amp;ust=1605639553704000&amp;usg=AFQjCNE7gGujzfXymbqdOJnR8nuXnWnhqg" xr:uid="{98C1A4D5-740B-48FC-99EB-826E66CAC4FC}"/>
    <hyperlink ref="A4674" r:id="rId3566" display="https://www.google.com/url?q=http://codeforces.com/contest/582/problem/B&amp;sa=D&amp;ust=1605639553705000&amp;usg=AFQjCNEiuKqYAa4x_7ADv7h0ZFqVzs6c0A" xr:uid="{76E8BB8D-8FD9-48CC-8946-7E7F75DEB00E}"/>
    <hyperlink ref="D2324" r:id="rId3567" display="https://www.google.com/url?q=https://github.com/adarshkr532/CompetitiveProgramming/blob/master/SPOJ/JZPCIR.cpp&amp;sa=D&amp;ust=1605639553705000&amp;usg=AFQjCNGxWMH-yc23c-2R75FGVnX7mjwvOQ" xr:uid="{C023BF1B-7678-47FB-9CFF-393559445757}"/>
    <hyperlink ref="D2325" r:id="rId3568" display="https://www.google.com/url?q=https://github.com/yazanKabbany/CompetitiveProgramming/blob/master/UVA/UVA%252011486.cpp&amp;sa=D&amp;ust=1605639553706000&amp;usg=AFQjCNHu8up7azO1wT3Iqwwi_xOH4YHNUQ" xr:uid="{7AB99011-FD8B-4B30-BCA6-827284B3A541}"/>
    <hyperlink ref="A4677" r:id="rId3569" display="https://www.google.com/url?q=https://codeforces.com/contest/691/problem/E&amp;sa=D&amp;ust=1605639553706000&amp;usg=AFQjCNFxiwTS_voeet30BQ7iAp7DwmhqyA" xr:uid="{AE92BC79-34AE-465C-979C-5F3FE70B2F8C}"/>
    <hyperlink ref="A4679" r:id="rId3570" display="https://www.google.com/url?q=http://codeforces.com/contest/222/problem/E&amp;sa=D&amp;ust=1605639553707000&amp;usg=AFQjCNHJow1grfC0hwmhhMSm16A89qw6vw" xr:uid="{EE3BF388-CA5C-4B25-BE4D-E4A792A72BB7}"/>
    <hyperlink ref="D1460" r:id="rId3571" display="https://www.google.com/url?q=https://github.com/mostafa-saad/MyCompetitiveProgramming/blob/master/SPOJ/SPOJ_SUMSUMS.txt&amp;sa=D&amp;ust=1605639553708000&amp;usg=AFQjCNFPXut8jXSffx27m2mQ9EE9VIMZIw" xr:uid="{32010000-AE05-46A4-8F5F-8C00533A6B2F}"/>
    <hyperlink ref="A4683" r:id="rId3572" display="https://www.google.com/url?q=http://www.spoj.com/problems/FLIB/&amp;sa=D&amp;ust=1605639553709000&amp;usg=AFQjCNHkOCEV5hcfL6q5B2XvcKddTj0ELw" xr:uid="{51E03384-0075-4684-83A2-C5180287DECE}"/>
    <hyperlink ref="A4684" r:id="rId3573" display="https://www.google.com/url?q=https://uva.onlinejudge.org/index.php?option%3Donlinejudge%26page%3Dshow_problem%26problem%3D1170&amp;sa=D&amp;ust=1605639553709000&amp;usg=AFQjCNFOWN_MJwabEA9QUYa7bL8cV_JZJg" xr:uid="{66C52AFE-4023-4A67-911C-98FD0BD93BD5}"/>
    <hyperlink ref="D1099" r:id="rId3574" display="https://www.google.com/url?q=https://github.com/MohamedNabil97/CompetitiveProgramming/blob/master/UVA/10229.cpp&amp;sa=D&amp;ust=1605639553709000&amp;usg=AFQjCNGFnZX-S-oihpnIeu1RYc1pVMr-1Q" xr:uid="{3FE4BF2A-7C02-46CA-A58E-CE942353A60C}"/>
    <hyperlink ref="D1100" r:id="rId3575" display="https://www.google.com/url?q=https://github.com/t3nsor/SPOJ/blob/master/rabbit1.cpp&amp;sa=D&amp;ust=1605639553710000&amp;usg=AFQjCNGGkQlDZLHGnre1ztzjcRrhCJNoKA" xr:uid="{241C687C-33B4-4457-9CCC-C040C6EF232B}"/>
    <hyperlink ref="D435" r:id="rId3576" display="https://www.google.com/url?q=https://github.com/ahmedsamir221/CompetitiveProgramming/blob/master/SPOJ/SPOJ%2520SEQ.cpp&amp;sa=D&amp;ust=1605639553711000&amp;usg=AFQjCNFEcsNIG4ANon-X_HGtYwuyb9PFVg" xr:uid="{37277C47-F2B9-4C80-AE2E-687F9BDFBF55}"/>
    <hyperlink ref="D436" r:id="rId3577" display="https://www.google.com/url?q=https://github.com/ahmedsamir221/CompetitiveProgramming/blob/master/SPOJ/SPOJ%2520FIBTWIST.cpp&amp;sa=D&amp;ust=1605639553712000&amp;usg=AFQjCNEY_kq9YDXWqgHO-OsUnWJJUxLDZA" xr:uid="{E7CDA279-A790-43C8-A3FC-DA676BB8CD88}"/>
    <hyperlink ref="A4690" r:id="rId3578" display="https://www.google.com/url?q=http://codeforces.com/problemset/problem/166/E&amp;sa=D&amp;ust=1605639553712000&amp;usg=AFQjCNHzSckiiyLgGuLfR3bQQVBb7Zf6oQ" xr:uid="{EF12506D-68D7-4618-B70A-277BECEA387E}"/>
    <hyperlink ref="A4697" r:id="rId3579" display="https://www.google.com/url?q=http://codeforces.com/contest/113/problem/D&amp;sa=D&amp;ust=1605639553714000&amp;usg=AFQjCNE4jw8ZEPubkLwNbhCPmvyikrJiyQ" xr:uid="{88287920-CCF1-4941-BF15-1458EF5CBA5A}"/>
    <hyperlink ref="A4698" r:id="rId3580" display="https://www.google.com/url?q=http://codeforces.com/contest/251/problem/D&amp;sa=D&amp;ust=1605639553715000&amp;usg=AFQjCNHVaaeTWd-HhQRfzjsNdBkIH9gUBA" xr:uid="{88EA339A-7426-40D5-BFD4-3291C9514FF3}"/>
    <hyperlink ref="A4699" r:id="rId3581" display="https://www.google.com/url?q=https://codeforces.com/contest/938/problem/G&amp;sa=D&amp;ust=1605639553715000&amp;usg=AFQjCNH25r4iOLK7oes_SVNjtKxDgBwNQQ" xr:uid="{E70BB223-53EA-4CF3-BB37-E3F6FC8E6644}"/>
    <hyperlink ref="A4701" r:id="rId3582" display="https://www.google.com/url?q=http://codeforces.com/contest/845/problem/G&amp;sa=D&amp;ust=1605639553716000&amp;usg=AFQjCNGGm-hDJgoX6UH471z201ZHikDr5g" xr:uid="{98D9D3E3-22EE-4520-AC8A-685A90221509}"/>
    <hyperlink ref="D4984" r:id="rId3583" display="https://www.google.com/url?q=https://github.com/goswami-rahul/competitive-coding/blob/master/CompetitiveProgramming/codeforces/CF845-D12-G.cpp&amp;sa=D&amp;ust=1605639553716000&amp;usg=AFQjCNGKmDBBhWil46Y9nG8zowhZuv6asA" xr:uid="{88AFF2E3-7ABD-4816-AD2E-12A9F9E76982}"/>
    <hyperlink ref="A4702" r:id="rId3584" display="https://www.google.com/url?q=https://codeforces.com/contest/959/problem/F&amp;sa=D&amp;ust=1605639553717000&amp;usg=AFQjCNFsc0hfJF23ewWCSEIwEdvby-dgkQ" xr:uid="{B4DEB137-88E2-45A2-8E19-85A544A72A2A}"/>
    <hyperlink ref="A4703" r:id="rId3585" display="https://www.google.com/url?q=https://csacademy.com/contest/archive/task/xor_cycle/statement/&amp;sa=D&amp;ust=1605639553717000&amp;usg=AFQjCNHfdIhpuaSjfVhf24lIRD5Cizrl4Q" xr:uid="{6D6755E6-C2BC-450F-848D-FC1215C74BE4}"/>
    <hyperlink ref="A4709" r:id="rId3586" display="https://www.google.com/url?q=http://codeforces.com/contest/504/problem/D&amp;sa=D&amp;ust=1605639553719000&amp;usg=AFQjCNEHrUwsqce37Xj2WrMchaRZB-a4yA" xr:uid="{DA601D3F-1CC9-4201-98DE-E3574D5D7E67}"/>
    <hyperlink ref="A4711" r:id="rId3587" display="https://www.google.com/url?q=http://codeforces.com/problemset/problem/832/E&amp;sa=D&amp;ust=1605639553720000&amp;usg=AFQjCNE0o8C7sXQNzTVxOfOjSrwAXucncA" xr:uid="{74EC551B-1C80-4ED6-BA1C-ED15B99CEA15}"/>
    <hyperlink ref="A4714" r:id="rId3588" display="https://www.google.com/url?q=https://www.codechef.com/MARCH19A/problems/TREASURE&amp;sa=D&amp;ust=1605639553721000&amp;usg=AFQjCNHXa3elzuHXa03aBEA-QBaBxxecDw" xr:uid="{B10F9A0F-38F8-4D2C-8468-A89F966DDFAB}"/>
    <hyperlink ref="D3612" r:id="rId3589" display="https://www.google.com/url?q=http://acm.timus.ru/forum/thread.aspx?id%3D27887%26upd%3D634661729512364046&amp;sa=D&amp;ust=1605639553722000&amp;usg=AFQjCNFQqT8Kcn-d0ej9oh8dULw89EfO4w" xr:uid="{508E5C57-CD63-48DE-94D9-8E87BF2D8892}"/>
    <hyperlink ref="D3613" r:id="rId3590" display="https://www.google.com/url?q=https://blog.sengxian.com/solutions/uva-684&amp;sa=D&amp;ust=1605639553722000&amp;usg=AFQjCNH1Fn1wIDttjLJuJt2oNbBNMu9YgA" xr:uid="{01958848-D105-4FB8-A2FB-4D781AB1CE86}"/>
    <hyperlink ref="D3614" r:id="rId3591" display="https://www.google.com/url?q=https://github.com/marioyc/Online-Judge-Solutions/blob/master/Live%2520Archive/4305%2520-%2520Wizards.cpp&amp;sa=D&amp;ust=1605639553723000&amp;usg=AFQjCNGmWPGPozYOEoF_L0Em8bezZEFZJA" xr:uid="{146B71F9-1E2F-4DD0-B1C6-BAB2CF6B7E07}"/>
    <hyperlink ref="A4723" r:id="rId3592" display="https://www.google.com/url?q=https://www.spoj.com/problems/XMAX/&amp;sa=D&amp;ust=1605639553723000&amp;usg=AFQjCNHV3MX5Am0XXSt_OXZycC8leWU_Cw" xr:uid="{B0AD415E-BAA5-4F28-B1BE-CF28CE5C525E}"/>
    <hyperlink ref="D2849" r:id="rId3593" display="https://www.google.com/url?q=https://github.com/Mohammad-Yasser/CompetitiveProgramming/blob/master/SPOJ/XMAX.cpp&amp;sa=D&amp;ust=1605639553724000&amp;usg=AFQjCNFwgK43fxtoIFl-HcdyyzORYb04Qg" xr:uid="{F062D9E0-0E87-4915-95D2-10E29A7D03CD}"/>
    <hyperlink ref="A4724" r:id="rId3594" display="https://www.google.com/url?q=https://codeforces.com/contest/1155/problem/E&amp;sa=D&amp;ust=1605639553724000&amp;usg=AFQjCNEQDz2apyEPwHgZ36R1m3xaL4NC7A" xr:uid="{6428FF2F-6E6A-40F0-A8D2-EA4C6A29CFF7}"/>
    <hyperlink ref="A4730" r:id="rId3595" display="https://www.google.com/url?q=https://www.hackerrank.com/challenges/james-tree&amp;sa=D&amp;ust=1605639553727000&amp;usg=AFQjCNFsG-NrTTGDyraWDEEdxWV9JbBpqA" xr:uid="{7DC8076F-4400-4BF0-8AA6-17B210B10C4D}"/>
    <hyperlink ref="A4734" r:id="rId3596" display="https://www.google.com/url?q=http://codeforces.com/contest/101/problem/D&amp;sa=D&amp;ust=1605639553729000&amp;usg=AFQjCNHEtv6vHd4wz92VxIJhbIkLhDKwmA" xr:uid="{AEC68369-EA2E-4E63-B964-EE59573E8D36}"/>
    <hyperlink ref="A4737" r:id="rId3597" display="https://www.google.com/url?q=https://codeforces.com/contest/952/problem/D&amp;sa=D&amp;ust=1605639553729000&amp;usg=AFQjCNGngmQHr-3wacwwYA93NGgrbuhxnw" xr:uid="{10B183AF-2E0F-44AE-843C-9B50DD497056}"/>
    <hyperlink ref="A4739" r:id="rId3598" display="https://www.google.com/url?q=http://codeforces.com/contest/668/problem/C&amp;sa=D&amp;ust=1605639553730000&amp;usg=AFQjCNGVvFbjCpRKX4CkBce07WvScrWkSg" xr:uid="{972651DF-1678-4981-8CFD-5998B84C07DA}"/>
    <hyperlink ref="A4740" r:id="rId3599" display="https://www.google.com/url?q=http://codeforces.com/contest/445/problem/D&amp;sa=D&amp;ust=1605639553730000&amp;usg=AFQjCNEkoc7MQ_2LjIYFKgHf2Okykkj7Lw" xr:uid="{17F30EE5-C658-470B-8FEA-49DF55DEDFAB}"/>
    <hyperlink ref="A4742" r:id="rId3600" display="https://www.google.com/url?q=https://icpc.kattis.com/problems/weather&amp;sa=D&amp;ust=1605639553731000&amp;usg=AFQjCNGXMhfhRpSbP5Tfz0VAJPn5LlWY7g" xr:uid="{3B7BB5E6-319C-40A8-9484-53AEB73BF0E8}"/>
    <hyperlink ref="A4744" r:id="rId3601" display="https://www.google.com/url?q=http://codeforces.com/contest/364/problem/D&amp;sa=D&amp;ust=1605639553732000&amp;usg=AFQjCNHIYjQ2PEPKcBhQ8iOM8uEWO88SDA" xr:uid="{EFFAE0B7-F198-4A35-B1F8-AA1BD11CABE6}"/>
    <hyperlink ref="A4748" r:id="rId3602" display="https://www.google.com/url?q=https://codeforces.com/contest/1061/problem/F&amp;sa=D&amp;ust=1605639553733000&amp;usg=AFQjCNGFdlrNciIyokfnIKEekFyOldo3QA" xr:uid="{9E5AB490-ABCE-4162-BD9F-CF91CE568E29}"/>
    <hyperlink ref="D4314" r:id="rId3603" display="https://www.google.com/url?q=https://github.com/nya-nya-meow/CompetitiveProgramming/blob/54848346fa99124b64800ac7f8474f6b9b9d4970/TopCoder/SRM417-D2-1000%2520-%2520TripleJump.cpp&amp;sa=D&amp;ust=1605639553734000&amp;usg=AFQjCNEUhNOP2Gl6ygJ_9GxZbtRr08IeMA" xr:uid="{9565C61D-3D53-4B15-8478-D822A84E43E3}"/>
    <hyperlink ref="A4750" r:id="rId3604" display="https://www.google.com/url?q=https://codeforces.com/contest/1096/problem/F&amp;sa=D&amp;ust=1605639553735000&amp;usg=AFQjCNEBmX9H3rnSjyziT6GlwlHMHqS4Bw" xr:uid="{07EF1ADE-CC8A-4BAB-B054-E042B1B5FE7D}"/>
    <hyperlink ref="A4753" r:id="rId3605" display="https://www.google.com/url?q=http://codeforces.com/contest/163/problem/C&amp;sa=D&amp;ust=1605639553736000&amp;usg=AFQjCNE3ML-tizIZuzyaL-O1d6SzRRzvRQ" xr:uid="{69161716-3352-49E8-9C64-B511FF3AE5C7}"/>
    <hyperlink ref="A4755" r:id="rId3606" display="https://www.google.com/url?q=http://codeforces.com/contest/110/problem/D&amp;sa=D&amp;ust=1605639553737000&amp;usg=AFQjCNEMNjhXU4tz-GrEiYg3YDwGZkfbLw" xr:uid="{4CDBD10A-613B-479B-B880-F2102A9B7FD7}"/>
    <hyperlink ref="D3615" r:id="rId3607" display="https://www.google.com/url?q=https://github.com/aboodJAD/CompetitiveProgramming/blob/master/UVA/UVA%2520557.cpp&amp;sa=D&amp;ust=1605639553738000&amp;usg=AFQjCNFe2ntCDSaHtAR97kVzWBvUvsO2Lw" xr:uid="{5324A062-4DF1-4D79-BFF8-6B0AB43ACEA4}"/>
    <hyperlink ref="A4757" r:id="rId3608" display="https://www.google.com/url?q=http://codeforces.com/contest/26/problem/D&amp;sa=D&amp;ust=1605639553739000&amp;usg=AFQjCNFc_5duifc_Whb2BSbX84X0Me2rmg" xr:uid="{4933B7C6-0A3C-46D8-A717-E739D61D6825}"/>
    <hyperlink ref="D3616" r:id="rId3609" display="https://www.google.com/url?q=https://github.com/mostafa-saad/MyCompetitiveProgramming/blob/master/Codeforces/CF26-D12-D.txt&amp;sa=D&amp;ust=1605639553739000&amp;usg=AFQjCNGb13OSLyaGsN4knPMNqSXZKti9Yg" xr:uid="{79A6EC51-875D-4A54-81DE-F4866988F8BA}"/>
    <hyperlink ref="D2938" r:id="rId3610" display="https://www.google.com/url?q=https://stackoverflow.com/questions/25281005/calculating-probability-for-funprob&amp;sa=D&amp;ust=1605639553740000&amp;usg=AFQjCNHjd397eELNVN2DZNpeM4LPMbJ6bA" xr:uid="{16D31FFC-FD54-4E9E-BB61-11185E98CE56}"/>
    <hyperlink ref="A4761" r:id="rId3611" display="https://www.google.com/url?q=http://codeforces.com/contest/513/problem/C&amp;sa=D&amp;ust=1605639553740000&amp;usg=AFQjCNF3p6Lq30ODNeOqqp2KH_LhlcAN7w" xr:uid="{691A10D4-AAD4-4F5A-9FB2-D9F2F3B80D99}"/>
    <hyperlink ref="D2853" r:id="rId3612" display="https://www.google.com/url?q=https://github.com/aabdelzaher/Competitive-Programming/blob/master/Codeforces/CF513-D12-C.java&amp;sa=D&amp;ust=1605639553740000&amp;usg=AFQjCNGQ1JWQqOjO4f6644v9DsvVPqEZ3g" xr:uid="{9C2F86DF-3CA4-409C-B56F-8FE2825D7A95}"/>
    <hyperlink ref="A4762" r:id="rId3613" display="https://www.google.com/url?q=http://codeforces.com/contest/80/problem/D&amp;sa=D&amp;ust=1605639553741000&amp;usg=AFQjCNFDjrfp6QVmiraDohhO3qVGbYxH7A" xr:uid="{A00BFE2C-4834-441F-982E-C2B53B5D95D2}"/>
    <hyperlink ref="A4763" r:id="rId3614" display="https://www.google.com/url?q=https://community.topcoder.com/stat?c%3Dproblem_statement%26pm%3D1771%26rd%3D4570&amp;sa=D&amp;ust=1605639553741000&amp;usg=AFQjCNH52CrMzsr_TF8PqFx62OQvmnl4qw" xr:uid="{90A0F859-1AF6-4C60-98B3-5F093B3BB289}"/>
    <hyperlink ref="D2855" r:id="rId3615" display="https://www.google.com/url?q=https://github.com/AliOsm/CompetitiveProgramming/blob/master/TopCoder/SRM153-D1-450.cpp&amp;sa=D&amp;ust=1605639553741000&amp;usg=AFQjCNHvjUPe-aD0z0JeqE_6flXUOK4KmA" xr:uid="{78AB63A7-34D7-406B-8B84-F22E8FDF8664}"/>
    <hyperlink ref="A4765" r:id="rId3616" display="https://www.google.com/url?q=http://codeforces.com/contest/186/problem/D&amp;sa=D&amp;ust=1605639553742000&amp;usg=AFQjCNHW_zBxjWtMkA99ETYQMM1xI4XmLw" xr:uid="{45C575F0-2C09-4D79-9F08-69341A697560}"/>
    <hyperlink ref="A4766" r:id="rId3617" display="https://www.google.com/url?q=https://uva.onlinejudge.org/index.php?option%3Donlinejudge%26page%3Dshow_problem%26problem%3D2321&amp;sa=D&amp;ust=1605639553742000&amp;usg=AFQjCNFBVJ54OTUZ6WtOKEsUgulp07GFOA" xr:uid="{30986C8E-F215-4765-A856-126FAF008F50}"/>
    <hyperlink ref="D2427" r:id="rId3618" display="https://www.google.com/url?q=https://github.com/mostafa-saad/MyCompetitiveProgramming/blob/master/UVA/UVA_11346.txt&amp;sa=D&amp;ust=1605639553743000&amp;usg=AFQjCNGuB0jp6bEH7hwstBxlNEM6ZkYP5w" xr:uid="{6DA35DCB-C9BD-44D3-A992-5547A0C8A17E}"/>
    <hyperlink ref="A4767" r:id="rId3619" display="https://www.google.com/url?q=http://codeforces.com/problemset/problem/442/B&amp;sa=D&amp;ust=1605639553743000&amp;usg=AFQjCNF8uYKmAGsVeHKcDbZkFtAScEEIcw" xr:uid="{BC8A45C8-3F66-4276-941A-025566186E9D}"/>
    <hyperlink ref="D2361" r:id="rId3620" display="https://www.google.com/url?q=https://github.com/BRAINOOO/CompetitiveProgramming/blob/master/UVA/V-124/UVA%252012461.Cpp&amp;sa=D&amp;ust=1605639553744000&amp;usg=AFQjCNF-0J3DUGFaMXQTYeosZ5CSNqDg-g" xr:uid="{9B921F1F-D387-4D82-B686-3A30C63DA243}"/>
    <hyperlink ref="A4770" r:id="rId3621" display="https://www.google.com/url?q=http://codeforces.com/gym/100187/problem/B&amp;sa=D&amp;ust=1605639553745000&amp;usg=AFQjCNFFl0Ox9WHT6RfwsRB8K7fUANy3Cw" xr:uid="{18A5F4B3-59D5-47DA-8CB2-B354E577943E}"/>
    <hyperlink ref="A4771" r:id="rId3622" display="https://www.google.com/url?q=http://codeforces.com/contest/453/problem/A&amp;sa=D&amp;ust=1605639553745000&amp;usg=AFQjCNEmJRfJ5RMg3wDz9RsAefetazsjLw" xr:uid="{D7260413-360B-4B8E-AADD-26ABB5249B13}"/>
    <hyperlink ref="A4772" r:id="rId3623" display="https://www.google.com/url?q=http://codeforces.com/contest/105/problem/B&amp;sa=D&amp;ust=1605639553746000&amp;usg=AFQjCNEyP7vMnQHLuNxm6faKt2_bjOuloQ" xr:uid="{3571F550-66F5-48D2-AE87-52CCB8C54FEF}"/>
    <hyperlink ref="A4773" r:id="rId3624" display="https://www.google.com/url?q=http://codeforces.com/contest/626/problem/D&amp;sa=D&amp;ust=1605639553746000&amp;usg=AFQjCNGaLAF87rHzruoMI9PUboBEfEVc1g" xr:uid="{DB70AA92-F808-4C7E-AF66-FD7B00289E22}"/>
    <hyperlink ref="A4774" r:id="rId3625" display="https://www.google.com/url?q=http://codeforces.com/contest/108/problem/D&amp;sa=D&amp;ust=1605639553746000&amp;usg=AFQjCNHXsyS6r4PLnT2yPPAcGvEI7-WNgw" xr:uid="{7BA06B9A-AC52-4990-BA9B-28E7882C0325}"/>
    <hyperlink ref="D1477" r:id="rId3626" display="https://www.google.com/url?q=https://github.com/AhmedElsisy/CompetitiveProgramming/blob/master/UVA/UVA%25201239.cpp&amp;sa=D&amp;ust=1605639553747000&amp;usg=AFQjCNHhRlSdaCE6Jx5qFJ9o11f5GAuZWw" xr:uid="{053B752F-0035-4933-B2C9-49C8A052D948}"/>
    <hyperlink ref="A4777" r:id="rId3627" display="https://www.google.com/url?q=http://codeforces.com/gym/101864/problem/A&amp;sa=D&amp;ust=1605639553748000&amp;usg=AFQjCNHOR15LZ-389AWvzxuTteGupoWxZg" xr:uid="{0E3A5093-E2F7-40E7-AC8F-82415758D958}"/>
    <hyperlink ref="D1478" r:id="rId3628" display="https://www.google.com/url?q=https://github.com/SpeedOfMagic/CompetitiveProgramming/blob/master/CodeforcesGym/CF101864-GYM-A.cpp&amp;sa=D&amp;ust=1605639553748000&amp;usg=AFQjCNH3EwpqBUPa7v68V-DGTLovFYFMRA" xr:uid="{11F04724-4C70-42E9-943F-67FD54E5AFCC}"/>
    <hyperlink ref="A4778" r:id="rId3629" display="https://www.google.com/url?q=https://uva.onlinejudge.org/index.php?option%3Dcom_onlinejudge%26Itemid%3D8%26page%3Dshow_problem%26problem%3D2122&amp;sa=D&amp;ust=1605639553749000&amp;usg=AFQjCNFaTAx-tk3Ta7taQ2zXX1YL8dtkDQ" xr:uid="{B924FA32-52B5-4490-8058-29ADC4BBEB15}"/>
    <hyperlink ref="D1116" r:id="rId3630" display="https://www.google.com/url?q=https://github.com/MohamedNabil97/CompetitiveProgramming/blob/master/UVA/1181.cpp&amp;sa=D&amp;ust=1605639553750000&amp;usg=AFQjCNEe0P2lN7pYnGZQGNtrh6pgGd4uHg" xr:uid="{00C7DCEC-0595-4064-8875-80BD77D29B68}"/>
    <hyperlink ref="D1117" r:id="rId3631" display="https://www.google.com/url?q=https://github.com/mostafa-saad/MyCompetitiveProgramming/blob/master/UVA/UVA_11628.txt&amp;sa=D&amp;ust=1605639553750000&amp;usg=AFQjCNHYDhWAZJHNlvlZcXUWOp9BOnLxKA" xr:uid="{2E1BBC15-DCD8-44BF-87F6-DBB5A9FC63DE}"/>
    <hyperlink ref="A4783" r:id="rId3632" display="https://www.google.com/url?q=https://github.com/3agwa/CompetitiveProgramming/blob/master/UVA/UVA%252010056.cpp&amp;sa=D&amp;ust=1605639553751000&amp;usg=AFQjCNGsmPAfPPbe7oLqqpYGzXIJJRIYNw" xr:uid="{4E6C6C3B-FBFC-430D-BF56-D1B051413521}"/>
    <hyperlink ref="D449" r:id="rId3633" display="https://www.google.com/url?q=https://github.com/mostafa-saad/MyCompetitiveProgramming/blob/master/UVA/UVA_10056.txt&amp;sa=D&amp;ust=1605639553751000&amp;usg=AFQjCNHvbeQGQTCSBu5JXkyeSIsRuEUoKQ" xr:uid="{48F699A9-F812-4247-9E23-B19CE61AA2E6}"/>
    <hyperlink ref="A4786" r:id="rId3634" display="https://www.google.com/url?q=https://www.hackerrank.com/challenges/sherlock-and-probability&amp;sa=D&amp;ust=1605639553751000&amp;usg=AFQjCNFIaAfp616qpfFJ2-ctJDD2xMnAJg" xr:uid="{DC0A7527-234E-456A-9376-50F281A57E3F}"/>
    <hyperlink ref="D450" r:id="rId3635" display="https://www.google.com/url?q=https://github.com/MohamedNabil97/CompetitiveProgramming/blob/master/Hackerrank/sherlock-and-probability.cpp&amp;sa=D&amp;ust=1605639553752000&amp;usg=AFQjCNHKh_Ej0yMJgOHjlhBeK6uJAaMx8g" xr:uid="{8503BFDD-A5F1-4B31-BE9F-A70B3E8568C1}"/>
    <hyperlink ref="D451" r:id="rId3636" display="https://www.google.com/url?q=https://github.com/AliOsm/CompetitiveProgramming/blob/8f0ba8d2fea1322e1563b4b4e6f35807e9a9e73c/SPOJ/BALLSUM%2520-%2520Ball%2520sum.cpp&amp;sa=D&amp;ust=1605639553752000&amp;usg=AFQjCNEbSw9GgB20sRvWbEZXnyYmXo0S5w" xr:uid="{5752581D-AC09-4E20-8A46-8ACD23F6D2FF}"/>
    <hyperlink ref="D111" r:id="rId3637" display="https://www.google.com/url?q=https://www.probabilitycourse.com/&amp;sa=D&amp;ust=1605639553752000&amp;usg=AFQjCNFp-f85RcpnjHBzRw6mhRc5dNfnIQ" xr:uid="{01FE7F5D-D9B7-43B9-945E-4C4D6C88205E}"/>
    <hyperlink ref="D5651" r:id="rId3638" display="https://www.google.com/url?q=https://ncpc.idi.ntnu.no/ncpc2008/&amp;sa=D&amp;ust=1605639553753000&amp;usg=AFQjCNEDs0fNJIMIhe_2r08cNFqZF8vRNw" xr:uid="{EA17250A-E77A-4C12-9A0F-8F30A421F950}"/>
    <hyperlink ref="D4542" r:id="rId3639" display="https://www.google.com/url?q=https://github.com/mostafa-saad/MyCompetitiveProgramming/blob/master/SPOJ/SPOJ_EASYFACT.txt&amp;sa=D&amp;ust=1605639553756000&amp;usg=AFQjCNFIjnY1z1-2wTImCgXgObbSvZ3Dag" xr:uid="{9623F2D5-44E1-47D9-A56A-D588D5184002}"/>
    <hyperlink ref="D4543" r:id="rId3640" display="https://www.google.com/url?q=https://github.com/sggutier/CompetitiveProgramming/blob/master/UVa/10236.cpp&amp;sa=D&amp;ust=1605639553757000&amp;usg=AFQjCNH9phu0ldm1C-l98wzKfH_XBEHBbg" xr:uid="{957FAB07-A845-41F2-A746-B073676C3B0A}"/>
    <hyperlink ref="A4809" r:id="rId3641" display="https://www.google.com/url?q=http://codeforces.com/contest/449/problem/C&amp;sa=D&amp;ust=1605639553758000&amp;usg=AFQjCNGfJ9ATjTOwCd0KpoRlxe5edIthww" xr:uid="{3CD1F12D-7D6E-4958-87C8-E4A57FD8100F}"/>
    <hyperlink ref="A4811" r:id="rId3642" display="https://www.google.com/url?q=https://agc003.contest.atcoder.jp/tasks/agc003_d&amp;sa=D&amp;ust=1605639553759000&amp;usg=AFQjCNHlz-KSdzCG3f-oQHPZuUm-Pxl9Ag" xr:uid="{C8C8F685-BE31-41DD-8D84-58908A928C1F}"/>
    <hyperlink ref="D3619" r:id="rId3643" display="https://www.google.com/url?q=https://github.com/Huvok/CompetitiveProgramming/blob/master/UVA/12216.cpp&amp;sa=D&amp;ust=1605639553760000&amp;usg=AFQjCNHV27PqGwkCzFFQRnKyJ5kKQzbnIQ" xr:uid="{6EBFA0E7-58DC-4B17-BC10-71B9AB4E0F7B}"/>
    <hyperlink ref="D2858" r:id="rId3644" display="https://www.google.com/url?q=https://github.com/mostafa-saad/MyCompetitiveProgramming/blob/master/LiveArchive/LIVEARCHIVE_4008.txt&amp;sa=D&amp;ust=1605639553761000&amp;usg=AFQjCNFKXs7776BWe8kgxQ-qFqScTMCABQ" xr:uid="{5C2C08CD-62C4-4020-8B68-F5EA756DDB1B}"/>
    <hyperlink ref="A4816" r:id="rId3645" display="https://www.google.com/url?q=https://uva.onlinejudge.org/index.php?option%3Dcom_onlinejudge%26Itemid%3D8%26page%3Dshow_problem%26problem%3D1360&amp;sa=D&amp;ust=1605639553761000&amp;usg=AFQjCNFatZfQV-bO1RoFeUNf2t88ho6lyA" xr:uid="{8D1AAD52-B5E0-415A-8673-A0E3B11CF239}"/>
    <hyperlink ref="D2366" r:id="rId3646" display="https://www.google.com/url?q=https://github.com/BRAINOOOO/CompetitiveProgramming/blob/master/UVA/V-104/UVA%252010419.Cpp&amp;sa=D&amp;ust=1605639553761000&amp;usg=AFQjCNEeG6nu7MmQ9-R6mGfS_n2WZrCNqA" xr:uid="{6CFCC2A9-1737-46B3-A341-F5C12AED8FCD}"/>
    <hyperlink ref="A4820" r:id="rId3647" display="https://www.google.com/url?q=http://codeforces.com/contest/569/problem/C&amp;sa=D&amp;ust=1605639553762000&amp;usg=AFQjCNEBEgXD1ZxMsxvgmk1T62LQwAGJdA" xr:uid="{A60A8061-00B5-49A5-9EEE-5AE96A653675}"/>
    <hyperlink ref="A4822" r:id="rId3648" display="https://www.google.com/url?q=https://uva.onlinejudge.org/index.php?option%3Donlinejudge%26page%3Dshow_problem%26problem%3D1425&amp;sa=D&amp;ust=1605639553762000&amp;usg=AFQjCNFh1w5_MKd0vq-HyDEJmHZ_JnXTiQ" xr:uid="{358C3064-1739-4F0D-AD6C-14412E5B96B3}"/>
    <hyperlink ref="A4825" r:id="rId3649" display="https://www.google.com/url?q=http://codeforces.com/contest/155/problem/D&amp;sa=D&amp;ust=1605639553763000&amp;usg=AFQjCNGJgSl6KKPE0rpFnKhJ5sOeJRq0bQ" xr:uid="{0464F61D-A251-4E9F-A3A8-46814C877D91}"/>
    <hyperlink ref="A4826" r:id="rId3650" display="https://www.google.com/url?q=https://uva.onlinejudge.org/index.php?option%3Dcom_onlinejudge%26Itemid%3D8%26page%3Dshow_problem%26problem%3D1683&amp;sa=D&amp;ust=1605639553764000&amp;usg=AFQjCNFXIncWDO8DiMZU3iiGR31YSk2oOA" xr:uid="{D95F3A57-CF24-43C0-B8E7-8C46ABCD06C6}"/>
    <hyperlink ref="D1486" r:id="rId3651" display="https://www.google.com/url?q=https://github.com/abdullaAshraf/Problem-Solving/blob/master/UVA/10742.cpp&amp;sa=D&amp;ust=1605639553764000&amp;usg=AFQjCNGpFU9Jm9JyWklRMNMbHY246WTuIQ" xr:uid="{D09F3D29-8EA4-4148-8D0E-1EB956BF7B13}"/>
    <hyperlink ref="D1488" r:id="rId3652" display="https://www.google.com/url?q=https://github.com/MohamedNabil97/CompetitiveProgramming/blob/master/UVA/11099.cpp&amp;sa=D&amp;ust=1605639553765000&amp;usg=AFQjCNGRAQnvr5qSH95I2UDrxGBgTWvKKw" xr:uid="{EAB05F2E-AD69-441E-AE6B-5930323AC77A}"/>
    <hyperlink ref="A4829" r:id="rId3653" display="https://www.google.com/url?q=https://uva.onlinejudge.org/index.php?option%3Donlinejudge%26page%3Dshow_problem%26problem%3D1109&amp;sa=D&amp;ust=1605639553765000&amp;usg=AFQjCNG8DohbxFbDDylYwa7hCzGLfDJUpg" xr:uid="{20C17F20-84BD-4429-BF26-8111AD6DFA0E}"/>
    <hyperlink ref="A4830" r:id="rId3654" display="https://www.google.com/url?q=http://www.spoj.com/problems/PSYCHON/&amp;sa=D&amp;ust=1605639553765000&amp;usg=AFQjCNHWovERRLEA6pE1xJzx2JoHtI9Wsw" xr:uid="{944D7FAD-2DA0-4B13-BAA0-C05FA9926B31}"/>
    <hyperlink ref="A4831" r:id="rId3655" display="https://www.google.com/url?q=http://codeforces.com/contest/584/problem/D&amp;sa=D&amp;ust=1605639553766000&amp;usg=AFQjCNFGtre_xz0eHbVeb8ziA3rQlh9SCQ" xr:uid="{CCFCAB94-7127-498E-886C-43F0C77C3D67}"/>
    <hyperlink ref="A4843" r:id="rId3656" display="https://www.google.com/url?q=https://uva.onlinejudge.org/index.php?option%3Dcom_onlinejudge%26Itemid%3D8%26page%3Dshow_problem%26problem%3D825&amp;sa=D&amp;ust=1605639553770000&amp;usg=AFQjCNFEdrIEMozU_OvtP2Pft_VSjJlJkg" xr:uid="{0F0FF090-7F21-404C-8674-4555715A3685}"/>
    <hyperlink ref="A4847" r:id="rId3657" display="https://www.google.com/url?q=https://uva.onlinejudge.org/index.php?option%3Donlinejudge%26page%3Dshow_problem%26problem%3D1335&amp;sa=D&amp;ust=1605639553771000&amp;usg=AFQjCNHt-9RfIA-UGSIqW7cu8Wq8sohoDQ" xr:uid="{D1EEDA42-E483-43C4-98C9-1E0B93ED06E1}"/>
    <hyperlink ref="A4850" r:id="rId3658" display="https://www.google.com/url?q=https://uva.onlinejudge.org/index.php?option%3Dcom_onlinejudge%26Itemid%3D8%26page%3Dshow_problem%26problem%3D3253&amp;sa=D&amp;ust=1605639553772000&amp;usg=AFQjCNETWTVCgkMb8QxCwaUp_5K5mPQlxg" xr:uid="{E36C06A1-3E4F-49B2-A568-1A1ACA05C391}"/>
    <hyperlink ref="D457" r:id="rId3659" display="https://www.google.com/url?q=https://github.com/VAMPIER000001/CompetitiveProgramming/blob/master/UVA/V-121/UVA%252012101.Cpp&amp;sa=D&amp;ust=1605639553773000&amp;usg=AFQjCNEWas4RLutS_ZgIkWo0Btpl0d8Egg" xr:uid="{313926E4-D8E8-4940-96F7-FD0349BB5A07}"/>
    <hyperlink ref="A4858" r:id="rId3660" display="https://www.google.com/url?q=https://www.hackerrank.com/challenges/solve-equations&amp;sa=D&amp;ust=1605639553775000&amp;usg=AFQjCNFHHXaNXVKeSlEqejMJvta6mG5xmg" xr:uid="{449A6BCD-104F-4C98-A799-4B422A9FCD55}"/>
    <hyperlink ref="D2859" r:id="rId3661" display="https://www.google.com/url?q=https://github.com/ryuzmukhametov/CompetitiveProgramming/blob/master/hackr/solve-equations.cpp&amp;sa=D&amp;ust=1605639553775000&amp;usg=AFQjCNEROKPLGSwJvmv09afYsylvj9x3Rw" xr:uid="{83F73E37-E662-4312-803E-137F7B3C9DE7}"/>
    <hyperlink ref="A4859" r:id="rId3662" display="https://www.google.com/url?q=http://codeforces.com/problemset/gymProblem/100812/L&amp;sa=D&amp;ust=1605639553776000&amp;usg=AFQjCNH9GwL_tGEX1MTgtJMUzcsvHQJuwA" xr:uid="{A29C9563-82CE-4A02-9677-2221B7025ED1}"/>
    <hyperlink ref="D2369" r:id="rId3663" display="https://www.google.com/url?q=https://github.com/AMR-KELEG/Competitive-Programming/blob/master/Codeforces/100812L.cpp&amp;sa=D&amp;ust=1605639553776000&amp;usg=AFQjCNG8h5udD0bbLKTZRhDHgLfXTTgqRA" xr:uid="{F63058A0-4743-4C51-9AF2-32FBC50B3902}"/>
    <hyperlink ref="D2370" r:id="rId3664" display="https://www.google.com/url?q=https://github.com/mostafa-saad/MyCompetitiveProgramming/blob/master/UVA/UVA_10090.txt/&amp;sa=D&amp;ust=1605639553776000&amp;usg=AFQjCNFLsMPEZyM0KhQooHpuuSt2BGKhMw" xr:uid="{E2D7F370-CB19-4D24-ADCD-0D560147CD2B}"/>
    <hyperlink ref="D5007" r:id="rId3665" display="https://www.google.com/url?q=https://github.com/aviroop123/CompetitiveProgramming/blob/master/SPOJ/SPOJ%2520DPEQN.cpp&amp;sa=D&amp;ust=1605639553779000&amp;usg=AFQjCNHJw-IgyAJzbPgVbrjZB5ZYFVrTqA" xr:uid="{BEAAD848-EE40-4FE0-9420-E779B0FF1E2D}"/>
    <hyperlink ref="A4866" r:id="rId3666" display="https://www.google.com/url?q=http://codeforces.com/gym/100963/attachments&amp;sa=D&amp;ust=1605639553779000&amp;usg=AFQjCNG90WpCOTc7bq1EHWhzQz8SndDbbg" xr:uid="{F5BC2EF2-94C5-4261-A571-38B09A92F7B3}"/>
    <hyperlink ref="D3898" r:id="rId3667" display="https://www.google.com/url?q=https://github.com/Huvok/CompetitiveProgramming/blob/master/UVA/11768.cpp&amp;sa=D&amp;ust=1605639553780000&amp;usg=AFQjCNF2BfUbMQPqvrN7WShfivvdSuACVQ" xr:uid="{28915DF0-D2E8-413D-B64E-E85DC4D20DC4}"/>
    <hyperlink ref="A4868" r:id="rId3668" display="https://www.google.com/url?q=https://onlinejudge.org/index.php?option%3Dcom_onlinejudge%26Itemid%3D8%26page%3Dshow_problem%26problem%3D659&amp;sa=D&amp;ust=1605639553780000&amp;usg=AFQjCNGXeDQ2gZ1f76cefpa3kwnpNZxyQg" xr:uid="{8215B05A-32EB-4089-8DC6-58B382BE652E}"/>
    <hyperlink ref="D3621" r:id="rId3669" display="https://www.google.com/url?q=https://github.com/tanmoy13/CompetitveProgramming/blob/master/Online-Judge-Solutions/UVA/718%2520-%2520Skyscraper%2520Floors.cpp&amp;sa=D&amp;ust=1605639553781000&amp;usg=AFQjCNEUCw1UD1KJWuC7TLjvIOfo4EbK1A" xr:uid="{F447E0B8-BC62-4952-AC57-210833955F45}"/>
    <hyperlink ref="A4869" r:id="rId3670" display="https://www.google.com/url?q=http://codeforces.com/gym/100506/problem/C&amp;sa=D&amp;ust=1605639553781000&amp;usg=AFQjCNGp5xdMwJSyioO7yBIJC79SPtQcZA" xr:uid="{4E537426-8323-47E6-91D7-F1647EAEEFE2}"/>
    <hyperlink ref="D3622" r:id="rId3671" display="https://www.google.com/url?q=https://github.com/sggutier/CompetitiveProgramming/blob/master/Codeforces/CF100506-GYM-C.cpp&amp;sa=D&amp;ust=1605639553781000&amp;usg=AFQjCNGwPKB6txe2Dzz8w4Xmc_8Oneymog" xr:uid="{9084AA79-EF52-4A07-90FF-F74376ED0F16}"/>
    <hyperlink ref="D2860" r:id="rId3672" display="https://www.google.com/url?q=https://github.com/mostafa-saad/MyCompetitiveProgramming/blob/master/LightOJ/LightOJ_1306.txt&amp;sa=D&amp;ust=1605639553782000&amp;usg=AFQjCNEmDDIh6-A52z69t4u7vXIzz20AAQ" xr:uid="{BAF60E97-4701-4AEB-92C1-B6DDD8A65807}"/>
    <hyperlink ref="A4872" r:id="rId3673" display="https://www.google.com/url?q=https://www.hackerrank.com/challenges/irresponsible-numbers&amp;sa=D&amp;ust=1605639553782000&amp;usg=AFQjCNHMDgJ3NAitkUAWIu_KwbTjPhugJw" xr:uid="{CC0674E0-0B25-44E4-B849-4C73D89B29C1}"/>
    <hyperlink ref="A4873" r:id="rId3674" display="https://www.google.com/url?q=https://www.hackerrank.com/challenges/alien-flowers&amp;sa=D&amp;ust=1605639553783000&amp;usg=AFQjCNGYTmthReKN6O05xvf-27CCDAENKw" xr:uid="{6B326A99-4CF5-4251-BABD-75D32C02C534}"/>
    <hyperlink ref="A4874" r:id="rId3675" display="https://www.google.com/url?q=https://www.hackerrank.com/challenges/div-and-span&amp;sa=D&amp;ust=1605639553783000&amp;usg=AFQjCNG9_ZKtivDDOn-TOU0RgmxuZ4OOWQ" xr:uid="{434A8B78-D39D-4265-AF10-A08909A79099}"/>
    <hyperlink ref="A4875" r:id="rId3676" display="https://www.google.com/url?q=https://www.hackerrank.com/challenges/ichigo-and-revenge&amp;sa=D&amp;ust=1605639553784000&amp;usg=AFQjCNFUNAWvCUaJXap0iepL300Q4ZXR_A" xr:uid="{FAAB7592-2D6D-4C0D-B8DD-17C7CB7B9B2B}"/>
    <hyperlink ref="A4876" r:id="rId3677" display="https://www.google.com/url?q=https://www.hackerrank.com/challenges/count-fox-sequences&amp;sa=D&amp;ust=1605639553784000&amp;usg=AFQjCNG4YD8pm-GH7xEK8BkRR22m3ONb9g" xr:uid="{53C75AD4-FAD7-42F5-A02E-A798F989F687}"/>
    <hyperlink ref="A4877" r:id="rId3678" display="https://www.google.com/url?q=https://www.hackerrank.com/challenges/longest-increasing-subsequence-arrays&amp;sa=D&amp;ust=1605639553785000&amp;usg=AFQjCNFAK3cZPpa4rq6dMaRGPYsmK1-pBw" xr:uid="{21E2C269-B3CD-4729-AA4B-663930D991E9}"/>
    <hyperlink ref="A4878" r:id="rId3679" display="https://www.google.com/url?q=https://www.hackerrank.com/challenges/manasa-and-combinatorics&amp;sa=D&amp;ust=1605639553785000&amp;usg=AFQjCNHUzAghcweul1_Grv_ZDhFZ60so4w" xr:uid="{AB545DF9-4388-413B-B489-711AAC397503}"/>
    <hyperlink ref="A4881" r:id="rId3680" display="https://www.google.com/url?q=https://www.hackerrank.com/challenges/permutation-problem&amp;sa=D&amp;ust=1605639553786000&amp;usg=AFQjCNFXTZeiaIrT3PxevFb1EssY5weAOw" xr:uid="{00836BD7-8F2A-4A84-A766-20AF5F4C3D1A}"/>
    <hyperlink ref="A4884" r:id="rId3681" display="https://www.google.com/url?q=http://codeforces.com/contest/111/problem/D&amp;sa=D&amp;ust=1605639553787000&amp;usg=AFQjCNFqTJeDIVcMs6jcQsk7EIblkfUsfw" xr:uid="{56B6F095-1CC3-47E0-BDED-BB74D7D9A1C7}"/>
    <hyperlink ref="A4886" r:id="rId3682" display="https://www.google.com/url?q=https://www.codechef.com/problems/C3&amp;sa=D&amp;ust=1605639553787000&amp;usg=AFQjCNHakIGD2yDIqEXtB6frEHaxlzlILw" xr:uid="{26C98C17-9BFE-4501-AA95-10D19F893061}"/>
    <hyperlink ref="A4887" r:id="rId3683" display="https://www.google.com/url?q=http://agc031.contest.atcoder.jp/tasks/agc031_d&amp;sa=D&amp;ust=1605639553788000&amp;usg=AFQjCNF8SERNJslGHabRGpWknNxzOm4rzw" xr:uid="{7155A041-3439-4215-AE0E-DE162309C877}"/>
    <hyperlink ref="D5009" r:id="rId3684" display="https://www.google.com/url?q=https://github.com/mostafa-saad/MyCompetitiveProgramming/blob/master/SPOJ/SPOJ_POWPOW.txt&amp;sa=D&amp;ust=1605639553788000&amp;usg=AFQjCNHiHDr8_dYhNr48WOk2qtuSLAQHtg" xr:uid="{2FC13848-5882-4855-B224-59A7310D4834}"/>
    <hyperlink ref="A4892" r:id="rId3685" display="https://www.google.com/url?q=http://codeforces.com/contest/338/problem/D&amp;sa=D&amp;ust=1605639553790000&amp;usg=AFQjCNFUChZ7n1jZyfvVisCjLqDfdwjwoA" xr:uid="{C71A0EB5-FE4E-4B9C-ABB5-2C09B0C6D1E0}"/>
    <hyperlink ref="A4894" r:id="rId3686" display="https://www.google.com/url?q=http://codeforces.com/contest/711/problem/E&amp;sa=D&amp;ust=1605639553791000&amp;usg=AFQjCNFph9byuivK5E85nE1-EiBSZxoe6Q" xr:uid="{E852CD0C-9CD2-402A-A229-61493762CD9E}"/>
    <hyperlink ref="A4895" r:id="rId3687" display="https://www.google.com/url?q=http://codeforces.com/contest/17/problem/D&amp;sa=D&amp;ust=1605639553791000&amp;usg=AFQjCNFsQ9KXdW-GEKYnCqToCP27weGYSw" xr:uid="{E465AF33-9EF0-4574-A623-09339DC51658}"/>
    <hyperlink ref="D4320" r:id="rId3688" display="https://www.google.com/url?q=https://github.com/Huvok/CompetitiveProgramming/blob/master/Codeforces/CF17-D12-D.cpp&amp;sa=D&amp;ust=1605639553791000&amp;usg=AFQjCNExlOWZKrSNcwip97N3b-epUd7oCg" xr:uid="{18EDF816-705F-48B2-B1B4-D88394B63579}"/>
    <hyperlink ref="A4896" r:id="rId3689" display="https://www.google.com/url?q=http://codeforces.com/contest/696/problem/C&amp;sa=D&amp;ust=1605639553792000&amp;usg=AFQjCNEmOQhNKsff_ZqCGUlDWgCbJGvPYQ" xr:uid="{E3D77389-D185-407B-80CD-886B6A6CE142}"/>
    <hyperlink ref="A4898" r:id="rId3690" display="https://www.google.com/url?q=http://codeforces.com/gym/100155/problem/J&amp;sa=D&amp;ust=1605639553793000&amp;usg=AFQjCNEbA8snAP8Egm3C1BOAVYzRpHVSfg" xr:uid="{86A25640-DE3E-4329-9A62-59430F359176}"/>
    <hyperlink ref="A4899" r:id="rId3691" display="https://www.google.com/url?q=http://codeforces.com/contest/785/problem/D&amp;sa=D&amp;ust=1605639553793000&amp;usg=AFQjCNHLKczNu7D2NggLs0TgW-Fwk0f8Dg" xr:uid="{9AB9588C-25C5-471A-8A39-87F91BF2F197}"/>
    <hyperlink ref="D3899" r:id="rId3692" display="https://www.google.com/url?q=http://codeforces.com/contest/785/submission/25532936&amp;sa=D&amp;ust=1605639553793000&amp;usg=AFQjCNFS1RXeqmiJhO2-O7edUdXuLF8lDg" xr:uid="{8870D18D-729C-4B87-8AC0-593650454BF9}"/>
    <hyperlink ref="A4900" r:id="rId3693" display="https://www.google.com/url?q=http://codeforces.com/contest/521/problem/C&amp;sa=D&amp;ust=1605639553793000&amp;usg=AFQjCNF3-5xgmAvOiSN8PZU_EErYDAL5hQ" xr:uid="{F8E9C064-66F0-4C24-B130-224541E874C1}"/>
    <hyperlink ref="D3623" r:id="rId3694" display="https://www.google.com/url?q=https://github.com/Huvok/CompetitiveProgramming/blob/master/Topcoder/SRM735-D1-500.cpp&amp;sa=D&amp;ust=1605639553794000&amp;usg=AFQjCNHbV-N0NsmSy784lV8rkRDMCBPNYg" xr:uid="{27942D54-DFA3-4C4A-8B87-EC48DEAA5C94}"/>
    <hyperlink ref="A4902" r:id="rId3695" display="https://www.google.com/url?q=http://codeforces.com/contest/146/problem/E&amp;sa=D&amp;ust=1605639553794000&amp;usg=AFQjCNEhEd10qAmzCF0_2m9nqxXbcfeWhA" xr:uid="{8F88122C-65A2-490A-BF7C-F96BAF422AA9}"/>
    <hyperlink ref="D3625" r:id="rId3696" display="https://www.google.com/url?q=https://github.com/mostafa-saad/MyCompetitiveProgramming/blob/master/SPOJ/SPOJ_DIVEQL.txt&amp;sa=D&amp;ust=1605639553795000&amp;usg=AFQjCNE6KNn3tGYx5ieAJztRN_vWjVckSA" xr:uid="{2040A46C-0641-42C2-9D9E-D5F2DD33DC5A}"/>
    <hyperlink ref="D3626" r:id="rId3697" display="https://www.google.com/url?q=https://github.com/MedoN11/CompetitiveProgramming/blob/master/SPOJ/KOPC12B.java&amp;sa=D&amp;ust=1605639553795000&amp;usg=AFQjCNECeUXjyycy1UvfV_m98qVoDynQRA" xr:uid="{FECCAA42-71DD-429C-A442-F71CD1A86D3F}"/>
    <hyperlink ref="A4905" r:id="rId3698" display="https://www.google.com/url?q=http://codeforces.com/contest/816/problem/D&amp;sa=D&amp;ust=1605639553796000&amp;usg=AFQjCNF2QwOXo1GcRmI5mwHHHjvn5h2pmg" xr:uid="{78D36549-AFDC-4F1A-AFBE-53944B350950}"/>
    <hyperlink ref="A4906" r:id="rId3699" display="https://www.google.com/url?q=http://codeforces.com/contest/689/problem/E&amp;sa=D&amp;ust=1605639553796000&amp;usg=AFQjCNHpsbN3bOqzh4CFzZz_5FQT2mrNJw" xr:uid="{BA553357-F3FB-41BD-9750-5A6AFF4EF471}"/>
    <hyperlink ref="A4907" r:id="rId3700" display="https://www.google.com/url?q=http://codeforces.com/contest/688/problem/D&amp;sa=D&amp;ust=1605639553796000&amp;usg=AFQjCNHEnFrdYgraVZF5AxqSdL-Q1Xaw3A" xr:uid="{31063879-AE5B-43CD-9BC1-3EA0DB4578C0}"/>
    <hyperlink ref="A4909" r:id="rId3701" display="https://www.google.com/url?q=http://codeforces.com/contest/327/problem/C&amp;sa=D&amp;ust=1605639553797000&amp;usg=AFQjCNFfTWdqcKlX0_9qPrTDG4WjJvOO-Q" xr:uid="{A6EC24F6-68E1-4189-B3C2-D63B7A67B3C1}"/>
    <hyperlink ref="A4910" r:id="rId3702" display="https://www.google.com/url?q=http://codeforces.com/contest/300/problem/C&amp;sa=D&amp;ust=1605639553797000&amp;usg=AFQjCNEIVwphM2uvBdUjQiC6Ubf3Rs_9oA" xr:uid="{B6DC90EA-1251-4E76-8079-CA70D22BF70B}"/>
    <hyperlink ref="A4911" r:id="rId3703" display="https://www.google.com/url?q=https://www.hackerrank.com/challenges/choose-and-calculate&amp;sa=D&amp;ust=1605639553797000&amp;usg=AFQjCNGqI8e7SJY0-5AE7XQrQ02ZiOWILQ" xr:uid="{AB73A198-33EF-4BCF-B669-8B1636A4FFB0}"/>
    <hyperlink ref="D2375" r:id="rId3704" display="https://www.google.com/url?q=https://github.com/Andres-Unt/problem_solving/blob/master/TopCoder/SRM467-D1-500.cpp&amp;sa=D&amp;ust=1605639553799000&amp;usg=AFQjCNESefWCufTGA8vRmR9EBe6SDrRQbg" xr:uid="{E40F22E4-F900-4C90-BC91-49FDB8618BCF}"/>
    <hyperlink ref="D1129" r:id="rId3705" display="https://www.google.com/url?q=https://github.com/yazanKabbany/CompetitiveProgramming/blob/master/LIVEARCHIVE/LIVEARCHIVE%25205990.cpp&amp;sa=D&amp;ust=1605639553800000&amp;usg=AFQjCNFeHWgi42PDHicEQH6SjqYHyAl7Kw" xr:uid="{8865654D-D235-46BD-9BAE-3DD7593E89E1}"/>
    <hyperlink ref="A4915" r:id="rId3706" display="https://www.google.com/url?q=https://www.hackerrank.com/challenges/game-of-throne-ii&amp;sa=D&amp;ust=1605639553800000&amp;usg=AFQjCNHCweqIuDi0gZQSXlXiwzjkzG8-jQ" xr:uid="{356A71DA-32BC-446C-90B6-9218CBF1B3F7}"/>
    <hyperlink ref="A4917" r:id="rId3707" display="https://www.google.com/url?q=https://codeforces.com/contest/1208/problem/G&amp;sa=D&amp;ust=1605639553801000&amp;usg=AFQjCNGztmA8TUEBNkViKjqSamZYb-8fng" xr:uid="{27507F3B-915F-437A-802D-461014FAAE4D}"/>
    <hyperlink ref="A4918" r:id="rId3708" display="https://www.google.com/url?q=https://www.codechef.com/problems/CNTDSETS&amp;sa=D&amp;ust=1605639553801000&amp;usg=AFQjCNH3w_d0_qCt4ODQp1s49Q-UmdC9tg" xr:uid="{2AB27D7B-4827-4DB7-9D19-95AE5E9B666A}"/>
    <hyperlink ref="D5198" r:id="rId3709" display="https://www.google.com/url?q=https://github.com/mostafa-saad/MyCompetitiveProgramming/blob/master/UVA/UVA_10837.txt&amp;sa=D&amp;ust=1605639553802000&amp;usg=AFQjCNFCAWd3N3hND1Vw67Wg0hIUwylZXw" xr:uid="{6C8DF0FE-EF28-4168-9A24-23F4A750EBC6}"/>
    <hyperlink ref="D5040" r:id="rId3710" display="https://www.google.com/url?q=https://github.com/mostafa-saad/MyCompetitiveProgramming/blob/master/LiveArchive/LIVEARCHIVE_3343.txt&amp;sa=D&amp;ust=1605639553802000&amp;usg=AFQjCNE31xG9wp9LIxRZ9h600KSGbWoS0A" xr:uid="{FDABB620-2695-455E-95BD-D455088D42C4}"/>
    <hyperlink ref="D5015" r:id="rId3711" display="https://www.google.com/url?q=https://github.com/mostafa-saad/MyCompetitiveProgramming/blob/master/LiveArchive/LIVEARCHIVE_3343.txt&amp;sa=D&amp;ust=1605639553803000&amp;usg=AFQjCNGSxtgToVOKL9TJ57twCtv_ZFa8Nw" xr:uid="{AEF42044-0893-4427-AA97-E7AD7D9DD7BD}"/>
    <hyperlink ref="D5017" r:id="rId3712" display="https://www.google.com/url?q=https://github.com/sggutier/CompetitiveProgramming/blob/master/SPOJ/MSE08H.cpp&amp;sa=D&amp;ust=1605639553804000&amp;usg=AFQjCNFzI6QpzoC_b7e4uML_z4vhA0R-AQ" xr:uid="{880B605A-924E-4E65-A5AB-D7CB65FE3021}"/>
    <hyperlink ref="A4928" r:id="rId3713" display="https://www.google.com/url?q=https://codeforces.com/contest/906/problem/D&amp;sa=D&amp;ust=1605639553804000&amp;usg=AFQjCNFFYr_2UOBeGTi2yEn2vzsuisRkpw" xr:uid="{8A61B74F-E51A-4B42-B2DF-4D5FBCF652D2}"/>
    <hyperlink ref="D4324" r:id="rId3714" display="https://www.google.com/url?q=https://github.com/omaryasser/Competitive-Programming/blob/master/UVA%2520Solutions/11440%2520-%2520Help%2520Tomisu.cpp&amp;sa=D&amp;ust=1605639553805000&amp;usg=AFQjCNEIHpFSAjFohVDolmKuGUZjR3FN0g" xr:uid="{BA67A437-EF85-4C61-9854-4EF0F04C8786}"/>
    <hyperlink ref="A4931" r:id="rId3715" display="https://www.google.com/url?q=https://codeforces.com/contest/1114/problem/F&amp;sa=D&amp;ust=1605639553806000&amp;usg=AFQjCNGs3TQsdg4kaB25QwrD42kvCKEVXA" xr:uid="{286CB480-E418-456F-9AFE-49F010490B6B}"/>
    <hyperlink ref="A4932" r:id="rId3716" display="https://www.google.com/url?q=http://codeforces.com/gym/100975/standings/friends/true&amp;sa=D&amp;ust=1605639553806000&amp;usg=AFQjCNGaHHEQ8gskdDIUCHT7_HLx92pIIg" xr:uid="{3D8855DD-8E7C-477C-AD45-0118DAB93A01}"/>
    <hyperlink ref="D3630" r:id="rId3717" display="https://www.google.com/url?q=https://www.quora.com/How-can-I-solve-the-problem-GCD-Extreme-GCDEX-on-SPOJ&amp;sa=D&amp;ust=1605639553808000&amp;usg=AFQjCNGy37ST03awh-dY9NSSdTs6dnBpkQ" xr:uid="{CDF529F4-FD7A-41B3-9CE0-426FA21A0CFC}"/>
    <hyperlink ref="A4936" r:id="rId3718" display="https://www.google.com/url?q=https://www.hackerrank.com/challenges/hyperrectangle-gcd/problem&amp;sa=D&amp;ust=1605639553808000&amp;usg=AFQjCNGvHYN237HUh_g93HUuK9bMUZ1EeQ" xr:uid="{292DC2FE-2E5F-4733-84A6-BFA00BE66784}"/>
    <hyperlink ref="A4941" r:id="rId3719" display="https://www.google.com/url?q=http://codeforces.com/gym/101778&amp;sa=D&amp;ust=1605639553809000&amp;usg=AFQjCNEN_xrcTdXDHwPd1ePWUAp1TgI-RQ" xr:uid="{42EF1D0C-635A-434E-95B8-33BEEEB2A3C2}"/>
    <hyperlink ref="D2377" r:id="rId3720" display="https://www.google.com/url?q=https://github.com/SpeedOfMagic/CompetitiveProgramming/blob/master/CodeforcesGym/CF101778-GYM-C.cpp&amp;sa=D&amp;ust=1605639553809000&amp;usg=AFQjCNESSjI3967rDAvYZh7uGHG404nOYQ" xr:uid="{EBDD31CB-F504-4326-A659-CB112D198346}"/>
    <hyperlink ref="D2378" r:id="rId3721" display="https://www.google.com/url?q=https://www.quora.com/What-is-the-algorithm-behind-the-LCM-Sum-problem-on-SPOJ&amp;sa=D&amp;ust=1605639553811000&amp;usg=AFQjCNHoTTatrtrcBXTf_JTEM0Viv1tEVw" xr:uid="{723B54AE-5586-4518-B257-6053E127FD79}"/>
    <hyperlink ref="A4944" r:id="rId3722" display="https://www.google.com/url?q=http://codeforces.com/contest/1009/problem/D&amp;sa=D&amp;ust=1605639553811000&amp;usg=AFQjCNHh-pVIpJ7jD1vUp-zMNo-N8xhcVQ" xr:uid="{015A6355-1112-43ED-83FC-4EDD76227925}"/>
    <hyperlink ref="D2381" r:id="rId3723" display="https://www.google.com/url?q=https://github.com/sggutier/CompetitiveProgramming/blob/master/UVa/11424.cpp&amp;sa=D&amp;ust=1605639553812000&amp;usg=AFQjCNF1K2hEKnq14RLZNJDWjzo4K14EyA" xr:uid="{9F28A502-0720-4394-8DF3-62FE8221711B}"/>
    <hyperlink ref="D5570" r:id="rId3724" display="https://www.google.com/url?q=https://www.quora.com/How-do-I-solve-the-SPOJ-question-GCDEX2-GCD-extremely-hard&amp;sa=D&amp;ust=1605639553813000&amp;usg=AFQjCNGljSw-OrtrYTCVuN3oe32-4UK1_w" xr:uid="{784E4AAB-88FC-44D1-856F-54DFE505FF1C}"/>
    <hyperlink ref="A4951" r:id="rId3725" display="https://www.google.com/url?q=https://codeforces.com/gym/101908/problem/A&amp;sa=D&amp;ust=1605639553814000&amp;usg=AFQjCNE19RLiJ7sR5gENpDDViJgk1jB_gg" xr:uid="{B7E29D3E-FAB6-427E-B05B-5D121D671111}"/>
    <hyperlink ref="D5391" r:id="rId3726" display="https://www.google.com/url?q=https://github.com/swapnil119/CompetitiveProgramming/blob/master/CompetitiveProgramming/Codeforces/CF101908-GYM-A.cpp&amp;sa=D&amp;ust=1605639553814000&amp;usg=AFQjCNHHEq3f9jojh8_gtasa5Gve7XTgLg" xr:uid="{F2A9AB6F-95C5-44C0-983D-F40344F34AEB}"/>
    <hyperlink ref="A4952" r:id="rId3727" display="https://www.google.com/url?q=https://www.codechef.com/problems/LCM&amp;sa=D&amp;ust=1605639553814000&amp;usg=AFQjCNG-W7wfPmH3VgvIUpC7K7CoFsYIEg" xr:uid="{A106824A-590E-46CE-8613-AA2DD613DC08}"/>
    <hyperlink ref="A4954" r:id="rId3728" display="https://www.google.com/url?q=http://www.spoj.com/problems/SQFREE/&amp;sa=D&amp;ust=1605639553815000&amp;usg=AFQjCNF4-WDrtNE-AGKI2WvmyTS6MDYDeg" xr:uid="{BA01AD1B-2E4B-4F56-9F88-34C102B61FB0}"/>
    <hyperlink ref="D3904" r:id="rId3729" display="https://www.google.com/url?q=https://github.com/Huvok/CompetitiveProgramming/blob/master/SPOJ/SQFREE.cpp&amp;sa=D&amp;ust=1605639553815000&amp;usg=AFQjCNFeSveg-9MA4sdoISrI7RRpoZN5Aw" xr:uid="{433EF746-8F0A-404B-8154-08DC382DEABD}"/>
    <hyperlink ref="A4955" r:id="rId3730" display="https://www.google.com/url?q=https://codeforces.com/contest/803/problem/F&amp;sa=D&amp;ust=1605639553816000&amp;usg=AFQjCNHTXvcOqEAcu4Kntvt-G74ehlG9wA" xr:uid="{7E0D9484-5287-4FF9-A740-7F250A8EC58F}"/>
    <hyperlink ref="A4956" r:id="rId3731" display="https://www.google.com/url?q=http://codeforces.com/contest/900/problem/D&amp;sa=D&amp;ust=1605639553816000&amp;usg=AFQjCNEhtxBVVjIuxnEGonUs1AYasX-DXg" xr:uid="{4A422B0D-4B17-408E-92FC-89061A4F49B4}"/>
    <hyperlink ref="D3633" r:id="rId3732" display="https://www.google.com/url?q=https://github.com/MedoN11/CompetitiveProgramming/blob/master/CodeForces/CF450-D2-D.cpp&amp;sa=D&amp;ust=1605639553816000&amp;usg=AFQjCNEMtSBqlvU030WJZN29qgkpG72KRA" xr:uid="{16222936-F532-4358-BBAC-CC655BD38AD9}"/>
    <hyperlink ref="A4957" r:id="rId3733" display="https://www.google.com/url?q=https://www.codechef.com/problems/EXGCD&amp;sa=D&amp;ust=1605639553817000&amp;usg=AFQjCNEKDOLpIT7jPE7w0ATBbF_1wBWk5g" xr:uid="{5FCE0C29-6404-4515-A4C7-F822C1A7F87E}"/>
    <hyperlink ref="A4958" r:id="rId3734" display="https://www.google.com/url?q=https://www.codechef.com/problems/COPRIME3&amp;sa=D&amp;ust=1605639553817000&amp;usg=AFQjCNHLXnqWIQJ3TJfer_FzCx71-xFPqg" xr:uid="{58616640-ED96-4A62-BE45-346A56AE88CF}"/>
    <hyperlink ref="A4968" r:id="rId3735" display="https://www.google.com/url?q=https://www.codechef.com/problems/EST&amp;sa=D&amp;ust=1605639553821000&amp;usg=AFQjCNGGGVtpx9ghM-yrisaswMvnfkCdYw" xr:uid="{1E37B66D-FECD-424C-9904-500FB57D6FF8}"/>
    <hyperlink ref="A4972" r:id="rId3736" display="https://www.google.com/url?q=https://www.codechef.com/problems/PPTREE&amp;sa=D&amp;ust=1605639553823000&amp;usg=AFQjCNGW0Cy9NWq5_QYTspjpak2r_uZESg" xr:uid="{B1D437A4-D58C-4142-A257-37320A85D9F4}"/>
    <hyperlink ref="D3687" r:id="rId3737" display="https://www.google.com/url?q=https://github.com/mostafa-saad/MyCompetitiveProgramming/blob/master/LiveArchive/LiveArchive_5792.txt&amp;sa=D&amp;ust=1605639553823000&amp;usg=AFQjCNEHBeae7_l_Aqx8EkHa5j16uvLVRw" xr:uid="{A965A04A-9B11-44DA-80DB-6E800A35D8A5}"/>
    <hyperlink ref="A4974" r:id="rId3738" display="https://www.google.com/url?q=https://www.codechef.com/problems/GPD&amp;sa=D&amp;ust=1605639553824000&amp;usg=AFQjCNFCPsBkcyhYlTUvtsqCplXcLkDCBQ" xr:uid="{7A437C43-48E9-45B1-8AEC-6DAB543120E3}"/>
    <hyperlink ref="A4975" r:id="rId3739" display="https://www.google.com/url?q=http://codeforces.com/contest/557/problem/E&amp;sa=D&amp;ust=1605639553824000&amp;usg=AFQjCNEXVoQ3IejibqiosFZCgqUC5sQAtg" xr:uid="{70D00473-1F39-4B4B-BF16-6CD538D611FF}"/>
    <hyperlink ref="A4984" r:id="rId3740" display="https://www.google.com/url?q=http://codeforces.com/contest/979/problem/D&amp;sa=D&amp;ust=1605639553824000&amp;usg=AFQjCNGiZNI1nuSrfXRjvgr7jQ2nzbRyng" xr:uid="{C9A163FB-3F96-4960-9155-21800A17E208}"/>
    <hyperlink ref="D2954" r:id="rId3741" display="https://www.google.com/url?q=https://github.com/mostafa-saad/MyCompetitiveProgramming/blob/master/SPOJ/SPOJ_PRHYME.txt&amp;sa=D&amp;ust=1605639553825000&amp;usg=AFQjCNEC6qwJTFiAaV3QP5ONFCrzEVAz5w" xr:uid="{6231FCF8-E578-4701-9A7A-36C7C8937575}"/>
    <hyperlink ref="A4986" r:id="rId3742" display="https://www.google.com/url?q=https://csacademy.com/contest/round-42/task/xor-submatrix/&amp;sa=D&amp;ust=1605639553826000&amp;usg=AFQjCNH-PXdwunobIdI2rfCKXDdQTiml3A" xr:uid="{CB391AFB-26D3-4F0E-80C0-84B072A0B089}"/>
    <hyperlink ref="A4988" r:id="rId3743" display="https://www.google.com/url?q=https://www.codechef.com/problems/SUBBXOR&amp;sa=D&amp;ust=1605639553826000&amp;usg=AFQjCNGIKDBGeInRCah_Hy4C-oINXnH8tw" xr:uid="{504A9C2B-67AC-4A18-8A31-856DEDBD2682}"/>
    <hyperlink ref="D2960" r:id="rId3744" display="https://www.google.com/url?q=https://github.com/ilyesG/Competitive-Programming/blob/master/UVA/UVA%252010745.cpp&amp;sa=D&amp;ust=1605639553828000&amp;usg=AFQjCNHj3fd6EqVdG6C5hsW2JT6bauk6mQ" xr:uid="{9C0A892C-4096-4EF2-A6E8-95D39E22537D}"/>
    <hyperlink ref="A4992" r:id="rId3745" display="https://www.google.com/url?q=http://codeforces.com/gym/100781/attachments&amp;sa=D&amp;ust=1605639553828000&amp;usg=AFQjCNFLf63sDTtJUEdBLG4b1xZwF88W2w" xr:uid="{EFA53309-FDE7-4DDE-9B4C-40422E2ED2F3}"/>
    <hyperlink ref="D2961" r:id="rId3746" display="https://www.google.com/url?q=https://github.com/hosamk92/CompetitiveProgramming/blob/master/Codeforces/CF100781-GYM-J.cpp&amp;sa=D&amp;ust=1605639553828000&amp;usg=AFQjCNG8NKssTW9isjkzGuBd2TW93J8YJQ" xr:uid="{0041F96C-7440-4AC3-926C-D5FC7D9CB823}"/>
    <hyperlink ref="D2962" r:id="rId3747" display="https://www.google.com/url?q=https://github.com/racsosabe/CompetitiveProgramming/blob/master/PKU/3764.cpp&amp;sa=D&amp;ust=1605639553829000&amp;usg=AFQjCNHVjpNziZ0ozQf4W1EqzuOE11IzoQ" xr:uid="{767C8803-3BF7-422D-AA75-EF7FDF785F9C}"/>
    <hyperlink ref="A4994" r:id="rId3748" display="https://www.google.com/url?q=https://www.hackerrank.com/challenges/xor-key/problem&amp;sa=D&amp;ust=1605639553829000&amp;usg=AFQjCNEzHlS4mTYvKWv-TzVLudeW7gOX_w" xr:uid="{94262CCC-6E3E-422F-8423-E6669EBFF41B}"/>
    <hyperlink ref="D2866" r:id="rId3749" display="https://www.google.com/url?q=https://github.com/mostafa-saad/MyCompetitiveProgramming/blob/master/HACKERRANK/HACKR-XOR-key.txt&amp;sa=D&amp;ust=1605639553829000&amp;usg=AFQjCNFXByOo4aYQv6z8YXchD7af2qxHTg" xr:uid="{4F8B1D73-47E0-46B1-B2FB-B2E11D73BAD9}"/>
    <hyperlink ref="A4995" r:id="rId3750" display="https://www.google.com/url?q=https://codingcompetitions.withgoogle.com/codejam/round/00000000000516b9/0000000000134c90&amp;sa=D&amp;ust=1605639553830000&amp;usg=AFQjCNHCpL2bhxnstK6VTI4GzGGwherf_A" xr:uid="{141BF0A6-29B5-4853-A517-0CC9D8177A4D}"/>
    <hyperlink ref="A4996" r:id="rId3751" display="https://www.google.com/url?q=https://codeforces.com/contest/665/problem/E&amp;sa=D&amp;ust=1605639553830000&amp;usg=AFQjCNGIDFL3w7hB90WKLvq2fnNLK_EsQw" xr:uid="{C51C2E46-3812-411F-9BB9-5B3C18EEE6C1}"/>
    <hyperlink ref="A4997" r:id="rId3752" display="https://www.google.com/url?q=http://codeforces.com/contest/817/problem/E&amp;sa=D&amp;ust=1605639553831000&amp;usg=AFQjCNH6QIpXXM_oKLg_BIpWLxciokBvlQ" xr:uid="{953621C3-D8F6-41C3-87D6-9D6D0E1A4E18}"/>
    <hyperlink ref="D2450" r:id="rId3753" display="https://www.google.com/url?q=https://github.com/HosamEissa/Competitive-programming-/blob/master/ACM-ICPC%2520Live%2520Archive/4682.cpp&amp;sa=D&amp;ust=1605639553831000&amp;usg=AFQjCNE3aN-9hCM-Eh2RrJQmiWNz5gV_Eg" xr:uid="{6D6EFA21-433B-4BE9-8DC6-2E6866C653DB}"/>
    <hyperlink ref="A4999" r:id="rId3754" display="https://www.google.com/url?q=http://codeforces.com/contest/455/problem/B&amp;sa=D&amp;ust=1605639553833000&amp;usg=AFQjCNHWSh1qBnRxUvxOl93nMDZ_Ca4YRA" xr:uid="{4F33711E-06B2-4718-A3BE-3712A7E69B9C}"/>
    <hyperlink ref="D2393" r:id="rId3755" display="https://www.google.com/url?q=https://github.com/ahmed-osama-iv/CompetitiveProgramming/blob/master/LiveArchive/8015.cpp&amp;sa=D&amp;ust=1605639553833000&amp;usg=AFQjCNFeBs6_oHvflBKPedqKpum65mUnWw" xr:uid="{CCA7637A-E1FD-4EEF-B997-979B8FA9B201}"/>
    <hyperlink ref="A5001" r:id="rId3756" display="https://www.google.com/url?q=http://codeforces.com/contest/282/problem/E&amp;sa=D&amp;ust=1605639553834000&amp;usg=AFQjCNEq1eitAhV69yjVeVvki_6wdaOMCg" xr:uid="{613AB3F6-4546-40C2-9C33-822D85511191}"/>
    <hyperlink ref="A5002" r:id="rId3757" display="https://www.google.com/url?q=https://codingcompetitions.withgoogle.com/kickstart/round/000000000019ffc7/00000000001d3ff3&amp;sa=D&amp;ust=1605639553834000&amp;usg=AFQjCNFEu6dqhx1Cy6v-LZ1d65DfERE22A" xr:uid="{6A45260F-CB30-4FBA-9A03-6A2C4E525DC4}"/>
    <hyperlink ref="A5004" r:id="rId3758" display="https://www.google.com/url?q=http://codeforces.com/contest/842/problem/D&amp;sa=D&amp;ust=1605639553835000&amp;usg=AFQjCNFfCP67s63w4dUdQEqWAO_qnEKKbQ" xr:uid="{A4E55B5C-96D9-4539-A30A-E0B4321321C2}"/>
    <hyperlink ref="A5005" r:id="rId3759" display="https://www.google.com/url?q=http://codeforces.com/contest/271/problem/D&amp;sa=D&amp;ust=1605639553835000&amp;usg=AFQjCNHieixQOLmYeJHsDFJg5eV_9igLfA" xr:uid="{20589B47-AFDE-47C1-9ADE-CD7DE67332BA}"/>
    <hyperlink ref="A5006" r:id="rId3760" display="https://www.google.com/url?q=http://codeforces.com/contest/706/problem/D&amp;sa=D&amp;ust=1605639553835000&amp;usg=AFQjCNEhslEh9zr-EylH14fauzoP99JFhQ" xr:uid="{282C364C-CD37-428D-8C3F-17D943D8EA95}"/>
    <hyperlink ref="D1534" r:id="rId3761" display="https://www.google.com/url?q=https://github.com/ilyesG/Competitive-Programming/blob/master/UVA/UVA%25201401.cpp&amp;sa=D&amp;ust=1605639553836000&amp;usg=AFQjCNGwxHjVUccLSSMSXTMiyj1HDvXYEw" xr:uid="{712C8C43-0AFF-4CBF-8AB8-BF3FB1EAC8BC}"/>
    <hyperlink ref="D1536" r:id="rId3762" display="https://www.google.com/url?q=https://github.com/HosamEissa/Competitive-programming-/blob/master/UVA/12333.cpp&amp;sa=D&amp;ust=1605639553837000&amp;usg=AFQjCNHMmXJEEgVUkGXK2CPVSbZJ3NvwnA" xr:uid="{CAEA6A11-732E-4EB1-9F56-69F46FF8F477}"/>
    <hyperlink ref="D1538" r:id="rId3763" display="https://www.google.com/url?q=https://github.com/3agwa/CompetitiveProgramming/blob/master/TopCoder/SRM330-D1-500&amp;sa=D&amp;ust=1605639553838000&amp;usg=AFQjCNHq5WTtEN-2S6S30p3d51UA6JCYiA" xr:uid="{1EE30260-0566-44BF-994A-545EB08E0BDC}"/>
    <hyperlink ref="D1539" r:id="rId3764" display="https://www.google.com/url?q=https://github.com/HosamEissa/Competitive-programming-/blob/master/Spoj/SUBXOR.cpp&amp;sa=D&amp;ust=1605639553839000&amp;usg=AFQjCNGMDgU5cVsTDnT07v62FZqxwMLOTA" xr:uid="{AB29CBA7-4934-4733-98AB-69B393A0F9B7}"/>
    <hyperlink ref="A5014" r:id="rId3765" display="https://www.google.com/url?q=https://codingcompetitions.withgoogle.com/codejam/round/0000000000051635/0000000000104e05&amp;sa=D&amp;ust=1605639553839000&amp;usg=AFQjCNEz9WbDQu4bWsaByMA2bu8b035gTA" xr:uid="{01BAFACF-A58A-425E-9642-3C2D6DF61287}"/>
    <hyperlink ref="A5015" r:id="rId3766" display="https://www.google.com/url?q=http://codeforces.com/contest/37/problem/C&amp;sa=D&amp;ust=1605639553840000&amp;usg=AFQjCNHdHoLveZ58wJU5-HrEl6g8WuaMlg" xr:uid="{AE6963CC-ABA7-4AA4-9AB3-F0813169524B}"/>
    <hyperlink ref="A5016" r:id="rId3767" display="https://www.google.com/url?q=https://uva.onlinejudge.org/index.php?option%3Dcom_onlinejudge%26Itemid%3D8%26page%3Dshow_problem%26problem%3D3971&amp;sa=D&amp;ust=1605639553840000&amp;usg=AFQjCNFYxdNzT1wOXEEA4JB9ei9_J2FEaw" xr:uid="{42AA5FFD-AE66-4596-9E6B-DE846DE59135}"/>
    <hyperlink ref="A5017" r:id="rId3768" display="https://www.google.com/url?q=https://uva.onlinejudge.org/index.php?option%3Dcom_onlinejudge%26Itemid%3D8%26page%3Dshow_problem%26problem%3D4331&amp;sa=D&amp;ust=1605639553841000&amp;usg=AFQjCNEGgEb4BkdHd3MnurXowSTCs7aAZw" xr:uid="{02162E03-9857-4DEE-8D0A-2EF7E5BB5D73}"/>
    <hyperlink ref="A5018" r:id="rId3769" display="https://www.google.com/url?q=http://www.spoj.com/problems/DICT/&amp;sa=D&amp;ust=1605639553841000&amp;usg=AFQjCNE2Lcz6b2rKcltDr85eIdVwWppOEA" xr:uid="{2529ACE4-F9A0-4F7A-AA00-B251E7E28C86}"/>
    <hyperlink ref="D606" r:id="rId3770" display="https://www.google.com/url?q=https://github.com/HosamEissa/Competitive-programming-/blob/master/UVA/11488.cpp&amp;sa=D&amp;ust=1605639553842000&amp;usg=AFQjCNH82_S8IhOg8kgIEk3f7sdjZueKcQ" xr:uid="{D9DC1FE5-D210-470F-BEA3-E49AF9E9C66A}"/>
    <hyperlink ref="D607" r:id="rId3771" display="https://www.google.com/url?q=https://github.com/mostafa-saad/MyCompetitiveProgramming/blob/master/UVA/UVA_1590.txt&amp;sa=D&amp;ust=1605639553842000&amp;usg=AFQjCNEuwVTdn3FXHyUYv5xJo9f2bJ_mUQ" xr:uid="{5CB1B1BC-6B37-40B8-B3C0-F02A046DB209}"/>
    <hyperlink ref="A4571" r:id="rId3772" display="https://www.google.com/url?q=http://www.spoj.com/problems/PHONELST/&amp;sa=D&amp;ust=1605639553843000&amp;usg=AFQjCNGW9xtp4j1oxUDgRwY6NfrywhXi3w" xr:uid="{A273E721-C449-4A0E-8CC3-3A7614E7998A}"/>
    <hyperlink ref="D137" r:id="rId3773" display="https://www.google.com/url?q=https://github.com/HosamEissa/Competitive-programming-/blob/master/TJU/3753.cpp&amp;sa=D&amp;ust=1605639553844000&amp;usg=AFQjCNGCet4owYA4iMmwbBB3PuDMdajlOA" xr:uid="{0B038E8A-2C7F-4FAD-A2DD-94136D327C80}"/>
    <hyperlink ref="A4575" r:id="rId3774" display="https://www.google.com/url?q=http://codeforces.com/contest/526/problem/D&amp;sa=D&amp;ust=1605639553844000&amp;usg=AFQjCNG2q_C3M9Z2u__bgHZu484m3EkKOg" xr:uid="{4AC23C12-2338-4CDB-9518-71A6DB465112}"/>
    <hyperlink ref="D4360" r:id="rId3775" display="https://www.google.com/url?q=https://github.com/mostafa-saad/MyCompetitiveProgramming/blob/master/SPOJ/SPOJ_ANARC08C.cpp&amp;sa=D&amp;ust=1605639553845000&amp;usg=AFQjCNEVJB2I1j52GBbvGWbN6Du4_y6Q_g" xr:uid="{886FD047-A524-4A6F-8087-1104C2B66D79}"/>
    <hyperlink ref="A4578" r:id="rId3776" display="https://www.google.com/url?q=https://codeforces.com/contest/1045/problem/B&amp;sa=D&amp;ust=1605639553845000&amp;usg=AFQjCNHlqe4CRP-Zf3jQ96uPd3dc3xlVmA" xr:uid="{1237F319-83FC-4BDE-8E82-5156CA141BB2}"/>
    <hyperlink ref="A4579" r:id="rId3777" display="https://www.google.com/url?q=https://codeforces.com/contest/808/problem/G&amp;sa=D&amp;ust=1605639553846000&amp;usg=AFQjCNG6_FYihJcFXEioOjdx5bCAFAIkGg" xr:uid="{60D030AA-DCCD-4D39-9A75-D28820BC0E4E}"/>
    <hyperlink ref="A4580" r:id="rId3778" display="https://www.google.com/url?q=http://codeforces.com/contest/495/problem/D&amp;sa=D&amp;ust=1605639553846000&amp;usg=AFQjCNFw2uRJe9nnHbRD7b5sq6-_CC4sug" xr:uid="{E5870ADB-00EF-47A3-92B5-438FAD82096A}"/>
    <hyperlink ref="D2868" r:id="rId3779" display="https://www.google.com/url?q=https://github.com/sggutier/CompetitiveProgramming/blob/master/UVa/1282.cpp&amp;sa=D&amp;ust=1605639553847000&amp;usg=AFQjCNHI_HKPFF3LIS5owhSgNqdxCLU-uA" xr:uid="{BD0BAEB8-3322-4225-ADF0-BB0CC0E50661}"/>
    <hyperlink ref="A4585" r:id="rId3780" display="https://www.google.com/url?q=http://codeforces.com/contest/536/problem/B&amp;sa=D&amp;ust=1605639553848000&amp;usg=AFQjCNEf1pTOxahO19_2B94Y7Qt0CT4Peg" xr:uid="{1E714288-D41F-418D-9D50-629EF68C2042}"/>
    <hyperlink ref="A4586" r:id="rId3781" display="https://www.google.com/url?q=https://atcoder.jp/contests/abc150/tasks/abc150_f&amp;sa=D&amp;ust=1605639553849000&amp;usg=AFQjCNG7hmZHlj7yNMB-M3Ze-BqD2hjVaA" xr:uid="{10861AB1-D205-41ED-9DB6-07497E0D02B7}"/>
    <hyperlink ref="A4587" r:id="rId3782" display="https://www.google.com/url?q=https://www.facebook.com/hackercup/problem/1153996538071503/&amp;sa=D&amp;ust=1605639553849000&amp;usg=AFQjCNG4DU86O4oPMnsAhWfdUVeT7GS_fQ" xr:uid="{7E931476-5116-4231-9EB1-72FF4BEC2168}"/>
    <hyperlink ref="D2453" r:id="rId3783" display="https://www.google.com/url?q=https://github.com/SpeedOfMagic/CompetitiveProgramming/blob/master/FbHkrCup/FbHkrCup%252018-Ethan-Searches-for-a-String.cpp&amp;sa=D&amp;ust=1605639553849000&amp;usg=AFQjCNFVV1rP94iIh01vqqtaVDQ-j7zggg" xr:uid="{75BD7B0B-F172-478A-82E9-432FFB70E974}"/>
    <hyperlink ref="D2455" r:id="rId3784" display="https://www.google.com/url?q=https://github.com/Huvok/CompetitiveProgramming/blob/master/UVA/11475.cpp&amp;sa=D&amp;ust=1605639553850000&amp;usg=AFQjCNH7dvFrqqoPmTf7BIbyXfjxEDGetw" xr:uid="{3AEEF4AB-4DBC-4E57-9198-FAF25AD0D5DA}"/>
    <hyperlink ref="A4591" r:id="rId3785" display="https://www.google.com/url?q=https://codeforces.com/contest/1147/problem/B&amp;sa=D&amp;ust=1605639553851000&amp;usg=AFQjCNHCbY_r-GUiT7nyOCm10OVXbjHyXQ" xr:uid="{26C17B23-1FC8-49C5-9FFD-4522D216EB87}"/>
    <hyperlink ref="A4592" r:id="rId3786" display="https://www.google.com/url?q=http://codeforces.com/contest/432/problem/D&amp;sa=D&amp;ust=1605639553852000&amp;usg=AFQjCNE_ega7xQ-c2WgPuZMuooBfR7Y1Ng" xr:uid="{3F0BBA36-DFFF-4468-9C62-C1547D3FE624}"/>
    <hyperlink ref="A4593" r:id="rId3787" display="https://www.google.com/url?q=http://codeforces.com/contest/631/problem/D&amp;sa=D&amp;ust=1605639553852000&amp;usg=AFQjCNHIV6DA-hRpJgvULuFBQgdZuIiwtQ" xr:uid="{B105C895-096D-4D89-852F-572BB8487CEE}"/>
    <hyperlink ref="A4594" r:id="rId3788" display="https://www.google.com/url?q=https://codeforces.com/contest/1138/problem/D&amp;sa=D&amp;ust=1605639553852000&amp;usg=AFQjCNGwbF897abwoLthZd5xFqV-D9ws6Q" xr:uid="{05C87E85-69B9-4E3E-9679-20DD31DB7EEE}"/>
    <hyperlink ref="A4595" r:id="rId3789" display="https://www.google.com/url?q=http://codeforces.com/contest/535/problem/D&amp;sa=D&amp;ust=1605639553853000&amp;usg=AFQjCNEXtv3GcnWhyJoEcMLESDqlJ1MLyA" xr:uid="{B1D1D95C-FBB2-41F5-AF9E-3CC10C229864}"/>
    <hyperlink ref="D1547" r:id="rId3790" display="https://www.google.com/url?q=https://github.com/TheRealImaginary/CompetitiveProgramming/blob/master/UVA/UVA_11888_Abnormal89s.java&amp;sa=D&amp;ust=1605639553855000&amp;usg=AFQjCNFq35_n5CXazGP3lMaL7YhjUXtZ5Q" xr:uid="{3CE57390-B212-4E84-8FCA-B01F829884D3}"/>
    <hyperlink ref="A4600" r:id="rId3791" display="https://www.google.com/url?q=http://codeforces.com/contest/471/problem/D&amp;sa=D&amp;ust=1605639553855000&amp;usg=AFQjCNFZEg2BJGpyaK5gyUFcDF_zw97-jQ" xr:uid="{FB432C0A-AD1B-44A3-85B9-6EE889290ED2}"/>
    <hyperlink ref="A4601" r:id="rId3792" display="https://www.google.com/url?q=http://codeforces.com/contest/346/problem/B&amp;sa=D&amp;ust=1605639553856000&amp;usg=AFQjCNHDrRKiQfBpRgrAuF31WtIvdi0jVg" xr:uid="{7D2CAD9B-7D63-454B-AB06-4A0D47E21533}"/>
    <hyperlink ref="A4603" r:id="rId3793" display="https://www.google.com/url?q=http://codeforces.com/contest/347/problem/D&amp;sa=D&amp;ust=1605639553856000&amp;usg=AFQjCNEGo9L_E2VvWAPEtF6HRm8_TsO-2w" xr:uid="{FFD42C71-EBD1-4A48-BCF8-FEA5CE6FB113}"/>
    <hyperlink ref="A4604" r:id="rId3794" display="https://www.google.com/url?q=http://www.spoj.com/problems/PERIOD/&amp;sa=D&amp;ust=1605639553857000&amp;usg=AFQjCNEkSrScciBL6Nhr5fDvHxo8xtJfrA" xr:uid="{4EA5DF2F-E3EF-4506-B850-58C6F3911DEA}"/>
    <hyperlink ref="D1170" r:id="rId3795" display="https://www.google.com/url?q=http://web.stanford.edu/class/cs97si/suffix-array.pdf&amp;sa=D&amp;ust=1605639553857000&amp;usg=AFQjCNEYLO0lKKILoA1aainDf4iPS-svQw" xr:uid="{9B01890C-569A-48F9-9DC9-9C62F6F29C50}"/>
    <hyperlink ref="A4607" r:id="rId3796" display="https://www.google.com/url?q=http://www.spoj.com/problems/TESSER/&amp;sa=D&amp;ust=1605639553858000&amp;usg=AFQjCNEcliFW_aAFnrfBjDnUItOUT0q20A" xr:uid="{F230C4F9-14F7-4F83-BEFD-086CF9BBCA25}"/>
    <hyperlink ref="A4611" r:id="rId3797" display="https://www.google.com/url?q=https://www.codechef.com/problems/TASHIFT&amp;sa=D&amp;ust=1605639553859000&amp;usg=AFQjCNEJLIF40l5aZYPrb4jIDLkzeC8ePQ" xr:uid="{6C49E821-6B4F-462E-8E4A-D55C9030CF35}"/>
    <hyperlink ref="A4620" r:id="rId3798" display="https://www.google.com/url?q=http://www.spoj.com/problems/NHAY&amp;sa=D&amp;ust=1605639553861000&amp;usg=AFQjCNFzHVMufaSv7LjdGPkq9DrGySMCqA" xr:uid="{4FB9C590-C74C-4D06-9143-7EAE58624F32}"/>
    <hyperlink ref="D149" r:id="rId3799" display="https://www.google.com/url?q=https://github.com/ilyesG/Competitive-Programming/blob/master/SPOJ/SPOJ%2520FILRTEST.cpp&amp;sa=D&amp;ust=1605639553862000&amp;usg=AFQjCNHqZC-vQ9Zvu5jgabSfS8gUnNd7Uw" xr:uid="{CCCA10BF-E5EF-4D54-B01A-860EC508557F}"/>
    <hyperlink ref="A4623" r:id="rId3800" display="https://www.google.com/url?q=http://poj.org/problem?id%3D3461&amp;sa=D&amp;ust=1605639553863000&amp;usg=AFQjCNEQbRzLDDWc8oXmXV7Aa4yel_kfhA" xr:uid="{E3918156-D7FD-40C1-A13E-CD6A047834A3}"/>
    <hyperlink ref="A4624" r:id="rId3801" display="https://www.google.com/url?q=http://codeforces.com/contest/433/problem/E&amp;sa=D&amp;ust=1605639553863000&amp;usg=AFQjCNFv2jSIngjLYoiVxaJAztATQFQG_Q" xr:uid="{D4EEA44E-2D2E-41E7-BD2A-1BDB95BD35C2}"/>
    <hyperlink ref="A4629" r:id="rId3802" display="https://www.google.com/url?q=http://codeforces.com/contest/696/problem/D&amp;sa=D&amp;ust=1605639553865000&amp;usg=AFQjCNGcoawSpblYfgUroziQDhAj4tBL-A" xr:uid="{37591CAA-F643-44C3-9650-6500CFD453DE}"/>
    <hyperlink ref="A4630" r:id="rId3803" display="https://www.google.com/url?q=https://open.kattis.com/problems/insidersidentity&amp;sa=D&amp;ust=1605639553865000&amp;usg=AFQjCNFwrl5bhqzU9H0MdGqoh-ifqKmlqg" xr:uid="{6AF9D3E2-A1F6-4509-BCCD-5B8A32F9F165}"/>
    <hyperlink ref="D4576" r:id="rId3804" display="https://www.google.com/url?q=https://github.com/nya-nya-meow/CompetitiveProgramming/blob/master/Kattis/insidersidentity.cpp&amp;sa=D&amp;ust=1605639553866000&amp;usg=AFQjCNHkMwokG9X2AGLQgURbNNKxmy8FOA" xr:uid="{D57DEE7D-6B19-49FC-982D-1E8B1FE6D1C6}"/>
    <hyperlink ref="A4653" r:id="rId3805" display="https://www.google.com/url?q=http://codeforces.com/problemset/gymProblem/101064/E&amp;sa=D&amp;ust=1605639553867000&amp;usg=AFQjCNHprDD5dA32REbWXFUGm9K1R_iWjA" xr:uid="{4C753A06-5E6D-49E7-9C24-FB0CD2C78C58}"/>
    <hyperlink ref="D4580" r:id="rId3806" display="https://www.google.com/url?q=https://github.com/HosamEissa/Competitive-programming-/blob/master/Codeforces/CF101064-GYM-E.cpp&amp;sa=D&amp;ust=1605639553867000&amp;usg=AFQjCNGr2Ve7OgZZHkjby1ccbncEwJHk9A" xr:uid="{E1B670F9-BD6C-40E5-A405-88FECBBB7774}"/>
    <hyperlink ref="D3691" r:id="rId3807" display="https://www.google.com/url?q=https://github.com/HosamEissa/Competitive-programming-/blob/master/UVA/12244.cpp&amp;sa=D&amp;ust=1605639553869000&amp;usg=AFQjCNEbVUCmCOUMngdf1UKG_lzbScbWqw" xr:uid="{F1927332-B966-45BF-A641-29FB7897F287}"/>
    <hyperlink ref="D2965" r:id="rId3808" display="https://www.google.com/url?q=https://problemsolvingnotes.wordpress.com/2012/02/06/live-archive-5064-serial-numbers/&amp;sa=D&amp;ust=1605639553869000&amp;usg=AFQjCNEFHqjd8NNG1ZwaD2NenuNQdQZl6Q" xr:uid="{28C0644A-E98E-4115-A849-6FE4CB07AAC0}"/>
    <hyperlink ref="A4662" r:id="rId3809" display="https://www.google.com/url?q=https://www.codechef.com/problems/LYRC&amp;sa=D&amp;ust=1605639553870000&amp;usg=AFQjCNEZJGHCrjPq-vpqDeH6V-V9IFjevA" xr:uid="{968E5166-9B57-400E-89F3-786A779E39A8}"/>
    <hyperlink ref="D611" r:id="rId3810" display="https://www.google.com/url?q=https://github.com/HosamEissa/Competitive-programming-/blob/master/Spoj/SUB_PROB.cpp&amp;sa=D&amp;ust=1605639553871000&amp;usg=AFQjCNFmBn679Oo9b8hIm5rgcplp6tPzzg" xr:uid="{52429044-EB02-43E0-94E1-1507FE33EC2D}"/>
    <hyperlink ref="A5022" r:id="rId3811" display="https://www.google.com/url?q=http://codeforces.com/problemset/problem/1063/F&amp;sa=D&amp;ust=1605639553872000&amp;usg=AFQjCNGs_Ui1P9ytPObTEO_ndZKD6VQB7A" xr:uid="{1BD9A6E8-D61D-480C-B2E4-92D997281C1C}"/>
    <hyperlink ref="A5023" r:id="rId3812" display="https://www.google.com/url?q=http://codeforces.com/contest/653/problem/F&amp;sa=D&amp;ust=1605639553872000&amp;usg=AFQjCNFjBR77PNbhyPRNNQ_4SPpUDkjsQw" xr:uid="{752E3876-A098-4449-A2C6-B4FEB68F4C03}"/>
    <hyperlink ref="A5025" r:id="rId3813" display="https://www.google.com/url?q=http://codeforces.com/gym/101889/problem/M&amp;sa=D&amp;ust=1605639553873000&amp;usg=AFQjCNEjONTXoNgj8nhIwHEcHuK7g0WfBQ" xr:uid="{F501BBA9-959E-4560-9128-3FCB3B2D6B7D}"/>
    <hyperlink ref="D5451" r:id="rId3814" display="https://www.google.com/url?q=https://github.com/OmarHashim/Competitive-Programming/blob/master/CodeForces/CF101889-GYM-M.cpp&amp;sa=D&amp;ust=1605639553873000&amp;usg=AFQjCNEeXWwZTmSE8F2_NnSS8fktP37ghw" xr:uid="{8FB4DA71-5C65-4C2D-B6A9-56A54DB535C5}"/>
    <hyperlink ref="D5453" r:id="rId3815" display="https://www.google.com/url?q=https://codeforces.com/blog/entry/15532&amp;sa=D&amp;ust=1605639553874000&amp;usg=AFQjCNHBckABaUPVNdHJd3kF8rkeWSQGUg" xr:uid="{33EC3C21-D01A-4FE5-A432-33ACF840A5D2}"/>
    <hyperlink ref="A5028" r:id="rId3816" display="https://www.google.com/url?q=http://codeforces.com/contest/235/problem/C&amp;sa=D&amp;ust=1605639553875000&amp;usg=AFQjCNFY8B0HMV13JJoc0EUI_r5XRSx8Mw" xr:uid="{9004E0A1-1B6A-4765-8830-484CFC8BCBD5}"/>
    <hyperlink ref="A5029" r:id="rId3817" display="https://www.google.com/url?q=https://www.codechef.com/problems/DIFTRIP&amp;sa=D&amp;ust=1605639553875000&amp;usg=AFQjCNEz-3RF2nu02kct5T84CD6KHh6xWA" xr:uid="{0AD41E68-B5AD-45A5-B515-4989AB696FC8}"/>
    <hyperlink ref="A5031" r:id="rId3818" display="https://www.google.com/url?q=http://codeforces.com/contest/316/problem/G2&amp;sa=D&amp;ust=1605639553876000&amp;usg=AFQjCNEecP1tRPkh3clb1cfRm6Bco099Cw" xr:uid="{6F1C3596-8B8C-4C18-82F8-50E95FE0AFD9}"/>
    <hyperlink ref="A5035" r:id="rId3819" display="https://www.google.com/url?q=https://www.urionlinejudge.com.br/judge/en/problems/view/1530&amp;sa=D&amp;ust=1605639553878000&amp;usg=AFQjCNGcDWhHepAq4Bb3D2b_leQ70DKZMA" xr:uid="{A730DA5C-DD6E-444F-AEEA-518D8629EC26}"/>
    <hyperlink ref="A5036" r:id="rId3820" display="https://www.google.com/url?q=http://codeforces.com/contest/802/problem/I&amp;sa=D&amp;ust=1605639553878000&amp;usg=AFQjCNHwsRyDntSGV_wF8oSKYOPDv2FK-Q" xr:uid="{3F0E736F-3E88-4117-84A0-3B51C6C2C8A9}"/>
    <hyperlink ref="A5040" r:id="rId3821" display="https://www.google.com/url?q=http://codeforces.com/contest/452/problem/E&amp;sa=D&amp;ust=1605639553879000&amp;usg=AFQjCNGGhKOBobqmQzX54Pgyos9LmLURDQ" xr:uid="{E64F84D7-521F-48CF-AE29-5D29D4D0FFBC}"/>
    <hyperlink ref="A5041" r:id="rId3822" display="https://www.google.com/url?q=https://www.codechef.com/problems/MOU1H&amp;sa=D&amp;ust=1605639553879000&amp;usg=AFQjCNE7i8478e4LAixB3sgVXpbSBqpE_w" xr:uid="{C6FFF1FC-770E-42D0-9012-8A4633535DC3}"/>
    <hyperlink ref="A5042" r:id="rId3823" display="https://www.google.com/url?q=https://www.codechef.com/problems/TANDEM&amp;sa=D&amp;ust=1605639553880000&amp;usg=AFQjCNFfWn42lQreWZwXtqM2QhSV0Hf8XQ" xr:uid="{A37E975F-6BDA-4A0E-9E78-E546B631204D}"/>
    <hyperlink ref="A5046" r:id="rId3824" display="https://www.google.com/url?q=https://codeforces.com/gym/102028/problem/H&amp;sa=D&amp;ust=1605639553881000&amp;usg=AFQjCNG-wqbA76GsCcvhpjTi31sLLJTiNQ" xr:uid="{E9069893-62C2-43D8-B4D6-B7BBC7F27CF4}"/>
    <hyperlink ref="D4362" r:id="rId3825" display="https://www.google.com/url?q=https://github.com/WaleedAbdelhakim/Competitive-Programming/blob/master/CodeForces/CF102028-GYM-H.cpp&amp;sa=D&amp;ust=1605639553881000&amp;usg=AFQjCNF7qctN49S8yAnzGj9JU6IDyEc8fA" xr:uid="{77ACD0FA-3009-44C2-A4EE-F047163A3CD0}"/>
    <hyperlink ref="A5126" r:id="rId3826" display="https://www.google.com/url?q=https://codeforces.com/contest/1129/problem/C&amp;sa=D&amp;ust=1605639553881000&amp;usg=AFQjCNGiDtHWBKe-p8PKIc-DgRM2UQKtsg" xr:uid="{9B2BA304-E914-4279-A135-49F842E35A62}"/>
    <hyperlink ref="A5171" r:id="rId3827" display="https://www.google.com/url?q=http://codeforces.com/problemset/problem/1073/G&amp;sa=D&amp;ust=1605639553882000&amp;usg=AFQjCNHs4hsx8KF46edJrCPpmW-OfxAVdQ" xr:uid="{A4C9B00A-2DEF-41EF-9DEC-29F46F8DA36C}"/>
    <hyperlink ref="D3977" r:id="rId3828" display="https://www.google.com/url?q=https://github.com/goswami-rahul/competitive-coding/blob/master/CompetitiveProgramming/codeforces/CF1073-D12-G.cpp&amp;sa=D&amp;ust=1605639553882000&amp;usg=AFQjCNE5n_l_2ipnIO0ceS9uZTH4XONIbg" xr:uid="{AD64BA48-EFC7-40B9-9443-455513672B55}"/>
    <hyperlink ref="A5172" r:id="rId3829" display="https://www.google.com/url?q=http://codeforces.com/contest/873/problem/F&amp;sa=D&amp;ust=1605639553882000&amp;usg=AFQjCNGvg70MqoxXWPhyzLpqwhc5BvHIcg" xr:uid="{4399F417-EC06-4605-856B-56E7976D1DA3}"/>
    <hyperlink ref="A5047" r:id="rId3830" display="https://www.google.com/url?q=http://codeforces.com/contest/149/problem/E&amp;sa=D&amp;ust=1605639553883000&amp;usg=AFQjCNEFEGjtK3fjYCy6NgLk9wv2WDCy3g" xr:uid="{A351F571-1A59-4974-9829-90A9BB55B349}"/>
    <hyperlink ref="A5068" r:id="rId3831" display="https://www.google.com/url?q=http://codeforces.com/problemset/problem/822/E&amp;sa=D&amp;ust=1605639553884000&amp;usg=AFQjCNGHDknJh3f9LKhg79XmwEfhS7FC-Q" xr:uid="{BE294CD2-EFB1-4D65-9F41-1D7969575A67}"/>
    <hyperlink ref="A5079" r:id="rId3832" display="https://www.google.com/url?q=http://codeforces.com/contest/129/problem/D&amp;sa=D&amp;ust=1605639553885000&amp;usg=AFQjCNFXt2X_7Xc5UE3l1WPQZwm1fVPieg" xr:uid="{77DA84E1-5234-4912-9648-B83C463891BD}"/>
    <hyperlink ref="D2975" r:id="rId3833" display="https://www.google.com/url?q=https://blog.csdn.net/ccsu_cat/article/details/80573161&amp;sa=D&amp;ust=1605639553886000&amp;usg=AFQjCNGBg9lVNFFJzJIVfHJko-ysfUKAaw" xr:uid="{8142B04A-09DC-4DA2-90A7-8E17D2F876CC}"/>
    <hyperlink ref="A5082" r:id="rId3834" display="https://www.google.com/url?q=http://codeforces.com/problemset/problem/113/B&amp;sa=D&amp;ust=1605639553886000&amp;usg=AFQjCNELN4vb1RSzHPw3W0z4kQhhm88FmA" xr:uid="{45C6A3B5-C2F8-4658-B50B-A6CF57264857}"/>
    <hyperlink ref="A5086" r:id="rId3835" display="https://www.google.com/url?q=http://codeforces.com/contest/123/problem/D&amp;sa=D&amp;ust=1605639553886000&amp;usg=AFQjCNHGwCLrs7G9aRTdXjs2NgGON743lA" xr:uid="{CA81189C-CDE5-44D8-9222-7CEBC31BD35A}"/>
    <hyperlink ref="D1554" r:id="rId3836" display="https://www.google.com/url?q=http://pc.fdi.ucm.es/swerc/swerc09/SWERC-expl.pdf&amp;sa=D&amp;ust=1605639553887000&amp;usg=AFQjCNFI80LwKG3NFucu6hSghO5WBGWy9g" xr:uid="{79677722-D204-4781-9532-5A0B4534C1C4}"/>
    <hyperlink ref="D1555" r:id="rId3837" display="https://www.google.com/url?q=https://github.com/mostafa-saad/MyCompetitiveProgramming/blob/master/SPOJ/SPOJ_LPS.txt&amp;sa=D&amp;ust=1605639553887000&amp;usg=AFQjCNE5UvJbAPJ4yowApkawbUPKP5LvYw" xr:uid="{7812270F-9149-494C-A11E-31B0D4D190D8}"/>
    <hyperlink ref="D1556" r:id="rId3838" display="https://www.google.com/url?q=https://github.com/HosamEissa/Competitive-programming-/blob/master/Spoj/LONGCS.cpp&amp;sa=D&amp;ust=1605639553888000&amp;usg=AFQjCNHz7bVLp5Qwzhxq-m9g8LiIc7AVJA" xr:uid="{F8D364D1-73CE-400C-8C0D-7C0C94FEB81B}"/>
    <hyperlink ref="D1559" r:id="rId3839" display="https://www.google.com/url?q=http://web.stanford.edu/class/cs97si/suffix-array.pdf&amp;sa=D&amp;ust=1605639553888000&amp;usg=AFQjCNHS7iFmkuh7JmbCg1DTc1FQUfTHbA" xr:uid="{888DA40D-7188-4ADC-AF6E-2685593AFF66}"/>
    <hyperlink ref="D612" r:id="rId3840" display="https://www.google.com/url?q=https://github.com/HosamEissa/Competitive-programming-/blob/master/Spoj/MINMOVE.cpp&amp;sa=D&amp;ust=1605639553889000&amp;usg=AFQjCNF2phXv0VHZiFnAl479p96QY8rjoA" xr:uid="{8DA03324-5235-4A0C-A45D-32FC4A5815F0}"/>
    <hyperlink ref="D613" r:id="rId3841" display="https://www.google.com/url?q=https://github.com/HosamEissa/Competitive-programming-/blob/master/Spoj/SUBLEX.cpp&amp;sa=D&amp;ust=1605639553889000&amp;usg=AFQjCNHSH67Dt4gPKDfEkPvAXrHMKyv08A" xr:uid="{B463B7DC-03A4-4611-AF69-388CE4B6E652}"/>
    <hyperlink ref="A5095" r:id="rId3842" display="https://www.google.com/url?q=http://codeforces.com/contest/427/problem/D&amp;sa=D&amp;ust=1605639553889000&amp;usg=AFQjCNEn7q-VHkqT-P1cvTi5qH9c0QtqAw" xr:uid="{3C07C8E5-97BB-4554-A392-F5D89EEE868F}"/>
    <hyperlink ref="D150" r:id="rId3843" display="https://www.google.com/url?q=http://web.stanford.edu/class/cs97si/suffix-array.pdf&amp;sa=D&amp;ust=1605639553890000&amp;usg=AFQjCNEX8y80Ww-zyV12JpSuU4FHLn35rQ" xr:uid="{B0B0949C-86C9-4551-8D01-300B128F793C}"/>
    <hyperlink ref="D151" r:id="rId3844" display="https://www.google.com/url?q=https://github.com/HosamEissa/Competitive-programming-/blob/master/UVA/11576.cpp&amp;sa=D&amp;ust=1605639553890000&amp;usg=AFQjCNHeUc8ERULBT4Mfe1OWRuUbTvaE3w" xr:uid="{0DB43F21-C78A-4BE0-8B32-1BC8090B2AAF}"/>
    <hyperlink ref="D3979" r:id="rId3845" display="https://www.google.com/url?q=https://github.com/WaleedAbdelhakim/Competitive-Programming/blob/master/CodeForces/CF102028-GYM-K.cpp&amp;sa=D&amp;ust=1605639553890000&amp;usg=AFQjCNGRhwHrKQglFqp1RR2XRbvv6GW3sw" xr:uid="{03B856E3-C04A-4E08-9513-74A8BBA51CA2}"/>
    <hyperlink ref="A5099" r:id="rId3846" display="https://www.google.com/url?q=https://codeforces.com/contest/1080/problem/E&amp;sa=D&amp;ust=1605639553890000&amp;usg=AFQjCNEdCKVUd93kdQ-k-DHOVcY7XYMhLA" xr:uid="{82F79814-69F1-4E2C-90D5-ED7A3F83DA9C}"/>
    <hyperlink ref="A5100" r:id="rId3847" display="https://www.google.com/url?q=https://codeforces.com/contest/1055/problem/D&amp;sa=D&amp;ust=1605639553891000&amp;usg=AFQjCNFCYJYdsTkmTIzsdkoumq3vmeiRMw" xr:uid="{669E6E3C-86C7-4D6F-A58A-9248CDC9D430}"/>
    <hyperlink ref="A5101" r:id="rId3848" display="https://www.google.com/url?q=http://codeforces.com/contest/7/problem/D&amp;sa=D&amp;ust=1605639553891000&amp;usg=AFQjCNEkQHrQxS9QDAbjfNquf2PoYubskA" xr:uid="{578CB4DD-F368-438E-B74F-DE30249880A2}"/>
    <hyperlink ref="A5102" r:id="rId3849" display="https://www.google.com/url?q=https://codeforces.com/gym/101627/problem/D&amp;sa=D&amp;ust=1605639553892000&amp;usg=AFQjCNHFMBlvxXJJH3jliTBgMIfY2dyq_g" xr:uid="{62A1D1E1-E05E-4BED-8EC4-BE5256787E0D}"/>
    <hyperlink ref="D3693" r:id="rId3850" display="https://www.google.com/url?q=https://github.com/zoooma13/Competitive-Programming/blob/master/D.%2520Math%2520Candies.cpp&amp;sa=D&amp;ust=1605639553892000&amp;usg=AFQjCNF0hM8U8ZWOi5sSszJmPfV8y_zqTg" xr:uid="{4E413127-43FA-4CD7-ADA0-57F5186C589B}"/>
    <hyperlink ref="A5103" r:id="rId3851" display="https://www.google.com/url?q=http://codeforces.com/gym/101864/attachments/download/7365/2018-bacs-contest-replay-en.pdf&amp;sa=D&amp;ust=1605639553893000&amp;usg=AFQjCNFFtW1zN7GcTxU0iP2oDs4kQe0xKw" xr:uid="{1C53E661-BD0B-4348-9B8E-F92043C57975}"/>
    <hyperlink ref="D3694" r:id="rId3852" display="https://www.google.com/url?q=https://github.com/mostafa-saad/MyCompetitiveProgramming/blob/master/Codeforces/CF101864-GYM-J.txt&amp;sa=D&amp;ust=1605639553893000&amp;usg=AFQjCNEAs7sSgfK2ZR6T5kynboDoW9s0nA" xr:uid="{75D5CED3-77FD-4AA6-8159-C3CC8357729D}"/>
    <hyperlink ref="A5104" r:id="rId3853" display="https://www.google.com/url?q=http://codeforces.com/problemset/problem/985/F&amp;sa=D&amp;ust=1605639553893000&amp;usg=AFQjCNF_0Ed8SQ-JG570zvbWeoWW1JF3xg" xr:uid="{A1CA177E-FC05-4EE5-B4BC-02F551DB78C4}"/>
    <hyperlink ref="D2976" r:id="rId3854" display="https://www.google.com/url?q=https://github.com/tmwilliamlin168/CompetitiveProgramming/blob/master/CodeForces/CF0985-D12-F.cpp&amp;sa=D&amp;ust=1605639553893000&amp;usg=AFQjCNGb7zJjUUwLmAt_nx4Nj8rwiTFDlQ" xr:uid="{3DE07C1F-B301-42C9-A534-13DBDAA2E17B}"/>
    <hyperlink ref="A5105" r:id="rId3855" display="https://www.google.com/url?q=https://codeforces.com/contest/1056/problem/E&amp;sa=D&amp;ust=1605639553893000&amp;usg=AFQjCNEaDBNVKifgbroOX3T7IDIhKKqnPg" xr:uid="{579907E3-03DE-4CA4-90E7-5C98C4AD6C91}"/>
    <hyperlink ref="A5106" r:id="rId3856" display="https://www.google.com/url?q=http://codeforces.com/gym/101741/problem/K&amp;sa=D&amp;ust=1605639553894000&amp;usg=AFQjCNFbPIsftO4K4sTVT-cyT1hlAtFQSg" xr:uid="{8E3B6C4D-DC70-4736-BAD4-A0DC0BD039F3}"/>
    <hyperlink ref="A5107" r:id="rId3857" display="https://www.google.com/url?q=http://codeforces.com/gym/101808/problem/B&amp;sa=D&amp;ust=1605639553894000&amp;usg=AFQjCNHazOM8CS4VdrWFze1raMpH8akq-w" xr:uid="{9F37EC42-1258-4D0E-B1B3-662A494B9DBF}"/>
    <hyperlink ref="A5108" r:id="rId3858" display="https://www.google.com/url?q=http://codeforces.com/contest/533/problem/E&amp;sa=D&amp;ust=1605639553895000&amp;usg=AFQjCNEyNXfkI7MQHK-DQqVLL3jqTsQX-Q" xr:uid="{7CA09A2D-D295-46C2-8184-872B00A68C59}"/>
    <hyperlink ref="A5109" r:id="rId3859" display="https://www.google.com/url?q=http://codeforces.com/contest/727/problem/E&amp;sa=D&amp;ust=1605639553895000&amp;usg=AFQjCNGTM0EnLZlvK99gzBOY6VXjE7kYZQ" xr:uid="{EC4CCA5B-408D-4956-9393-12BF9BD9AB4B}"/>
    <hyperlink ref="A5111" r:id="rId3860" display="https://www.google.com/url?q=http://codeforces.com/contest/19/problem/C&amp;sa=D&amp;ust=1605639553896000&amp;usg=AFQjCNHd4SUf6pS71FvxUcSTkqXp1gd0VA" xr:uid="{2A33B921-8367-4D31-BD82-335C2E277A4B}"/>
    <hyperlink ref="A5112" r:id="rId3861" display="https://www.google.com/url?q=https://codeforces.com/contest/1200/problem/E&amp;sa=D&amp;ust=1605639553896000&amp;usg=AFQjCNF_rSIvNygNRjRDizA0dbrYX9jBGA" xr:uid="{A4450AD3-EF9B-4A55-AC7A-4C5ACCBCD711}"/>
    <hyperlink ref="A5113" r:id="rId3862" display="https://www.google.com/url?q=http://codeforces.com/contest/1003/problem/F&amp;sa=D&amp;ust=1605639553896000&amp;usg=AFQjCNFuK3XAlP6qsnMKFPBzugoD7Hyxpg" xr:uid="{E92D2376-96B7-4A22-B773-6F216407BDA9}"/>
    <hyperlink ref="A5114" r:id="rId3863" display="https://www.google.com/url?q=https://www.hackerearth.com/practice/algorithms/searching/binary-search/practice-problems/algorithm/kriti-and-her-birthday-gift/&amp;sa=D&amp;ust=1605639553897000&amp;usg=AFQjCNGuZzH-1Wp4HUmsuaI4KB-qNSMUsA" xr:uid="{718F9825-EE45-4C2C-BED7-4EA68F7CC3FC}"/>
    <hyperlink ref="A5118" r:id="rId3864" display="https://www.google.com/url?q=https://codeforces.com/problemset/problem/1172/E&amp;sa=D&amp;ust=1605639553898000&amp;usg=AFQjCNGnrRaJS5kZ-yxCR-De0XrqfyADjw" xr:uid="{71C9F1D6-CC95-4771-86DD-35C166832A42}"/>
    <hyperlink ref="A5119" r:id="rId3865" display="https://www.google.com/url?q=https://codeforces.com/contest/1056/problem/G&amp;sa=D&amp;ust=1605639553898000&amp;usg=AFQjCNH-XalsZ13ciKHUp7kvR4um4tgatw" xr:uid="{08764B56-B33B-41D0-91FD-A89F9CFC28CA}"/>
    <hyperlink ref="D5059" r:id="rId3866" display="https://www.google.com/url?q=https://github.com/quangloc99/CompetitiveProgramming/blob/master/Codeforces/CF1056-D12-G.cpp&amp;sa=D&amp;ust=1605639553898000&amp;usg=AFQjCNEOmEebP9xzhJ5ZNV9RqHlyI5g2cQ" xr:uid="{65675A90-DA2A-4087-8CAC-9EF14928B087}"/>
    <hyperlink ref="A5121" r:id="rId3867" display="https://www.google.com/url?q=https://codeforces.com/contest/1109/problem/C&amp;sa=D&amp;ust=1605639553899000&amp;usg=AFQjCNHs0BCEJb6smhBQGCKIU3KURgj0zA" xr:uid="{9596711C-B60E-4840-9DE5-C16042CA39E7}"/>
    <hyperlink ref="A5123" r:id="rId3868" display="https://www.google.com/url?q=https://www.codechef.com/problems/GERALD07&amp;sa=D&amp;ust=1605639553900000&amp;usg=AFQjCNENLCIw1_rX3qr7JSLW9dB6Wytz3g" xr:uid="{B449A7D1-2BA6-4C37-96A4-4B6D17FEB1F0}"/>
    <hyperlink ref="A5124" r:id="rId3869" display="https://www.google.com/url?q=https://www.codechef.com/problems/CARDSHUF&amp;sa=D&amp;ust=1605639553902000&amp;usg=AFQjCNGqtHfU8EFkHoTFZHPOab-DP8y1xw" xr:uid="{43634E49-E09B-4B7A-A847-064C58AE6922}"/>
    <hyperlink ref="A5127" r:id="rId3870" display="https://www.google.com/url?q=http://codeforces.com/contest/38/problem/G&amp;sa=D&amp;ust=1605639553903000&amp;usg=AFQjCNF0j0qhXoAaz7F8v0VMNrkZx6OSQw" xr:uid="{85D17584-0C41-47D5-99C6-5BE9203FCFF5}"/>
    <hyperlink ref="D3696" r:id="rId3871" display="https://www.google.com/url?q=https://github.com/SpeedOfMagic/CompetitiveProgramming/blob/master/SPOJ/MEANARR.cpp&amp;sa=D&amp;ust=1605639553904000&amp;usg=AFQjCNFvkoW_E2DAFjXInrNWtBeTDCxmQQ" xr:uid="{C7EB28F2-4415-467A-A090-EF1444AF8E10}"/>
    <hyperlink ref="A5131" r:id="rId3872" display="https://www.google.com/url?q=http://codeforces.com/gym/101864/attachments/download/7365/2018-bacs-contest-replay-en.pdf&amp;sa=D&amp;ust=1605639553904000&amp;usg=AFQjCNGTMRt--O57A9EoNL_8UmXP02JkGg" xr:uid="{E1944FF9-CC20-44DA-BC51-795FF9EBF110}"/>
    <hyperlink ref="D2977" r:id="rId3873" display="https://www.google.com/url?q=https://github.com/tanmoy13/CompetitveProgramming/blob/master/Online-Judge-Solutions/CodeForces/CF101864-GYM-K.cpp&amp;sa=D&amp;ust=1605639553905000&amp;usg=AFQjCNHhb6apSvt9_mGosLcDIrAyTyPzEA" xr:uid="{E02C32A5-D9C4-4C01-BF93-BBBE332AA899}"/>
    <hyperlink ref="A5132" r:id="rId3874" display="https://www.google.com/url?q=https://hanoi18.kattis.com/problems/hanoi18.lazylearner&amp;sa=D&amp;ust=1605639553905000&amp;usg=AFQjCNEdFAgWYM41UtEqFiXTxeGZHJ8jBA" xr:uid="{06CC6C92-861E-43C1-8BC3-5B41043AC24E}"/>
    <hyperlink ref="D2978" r:id="rId3875" display="https://www.google.com/url?q=https://github.com/mostafa-saad/MyCompetitiveProgramming/blob/master/Kattis/kattis-hanoi18.lazylearner.txt&amp;sa=D&amp;ust=1605639553905000&amp;usg=AFQjCNGwTsLx-JGH1Bu5F9C5CIT4jz3rUg" xr:uid="{7D9645B5-1FD5-4A58-B74C-AF8B9E5A31B2}"/>
    <hyperlink ref="D2979" r:id="rId3876" display="https://www.google.com/url?q=https://github.com/SpeedOfMagic/CompetitiveProgramming/blob/master/SPOJ/CERC07S.cpp&amp;sa=D&amp;ust=1605639553906000&amp;usg=AFQjCNGHVXmBf5nXED5cDG0Iuzk7iF5G3g" xr:uid="{33B47B46-6D46-4EE2-AFDD-866FFDC733CC}"/>
    <hyperlink ref="D2980" r:id="rId3877" display="https://www.google.com/url?q=https://github.com/Szawinis/CompetitiveProgramming/blob/master/SPOJ/GSS6.cpp&amp;sa=D&amp;ust=1605639553906000&amp;usg=AFQjCNHawrPnuSlt8gL0w4PVKJ4yJ8KOkw" xr:uid="{5532A7EA-36BF-48A6-81A6-0C1261049127}"/>
    <hyperlink ref="A5138" r:id="rId3878" display="https://www.google.com/url?q=https://www.codechef.com/problems/PRESTIGE&amp;sa=D&amp;ust=1605639553907000&amp;usg=AFQjCNFbyqfLbzNbQCucpjcCk8NLGpU_YA" xr:uid="{DFE82ADE-C815-4E33-B064-B2930FB0E93C}"/>
    <hyperlink ref="D2985" r:id="rId3879" display="https://www.google.com/url?q=https://codeforces.com/blog/entry/13204&amp;sa=D&amp;ust=1605639553908000&amp;usg=AFQjCNGwzPJx9DKmZL3O0hEC-feoXNj8OQ" xr:uid="{FD6B1AB8-4020-4A02-AD49-1F2A1B45DBA4}"/>
    <hyperlink ref="A5140" r:id="rId3880" display="https://www.google.com/url?q=https://www.spoj.com/problems/ALLIN1/&amp;sa=D&amp;ust=1605639553908000&amp;usg=AFQjCNHLgYI9199L8QExmfdaMhDyYMsxIA" xr:uid="{1BDF246F-D593-44EA-A19D-62F8F043AF18}"/>
    <hyperlink ref="D1563" r:id="rId3881" display="https://www.google.com/url?q=https://github.com/mostafa-saad/MyCompetitiveProgramming/blob/master/SPOJ/SPOJ_ADAAPHID.txt&amp;sa=D&amp;ust=1605639553909000&amp;usg=AFQjCNFd5pYFRJT5SMxHGAJDFJSLR8Bj9w" xr:uid="{AD2EEFA3-C79F-4278-9AB6-B67E50308C6D}"/>
    <hyperlink ref="A5143" r:id="rId3882" display="https://www.google.com/url?q=https://www.spoj.com/problems/TREAP/&amp;sa=D&amp;ust=1605639553909000&amp;usg=AFQjCNEgNhPm16vgE0tSC1qA1rQZPAK7UA" xr:uid="{7D8FAA26-C5B5-4208-9FD0-AD89091F3942}"/>
    <hyperlink ref="A5145" r:id="rId3883" display="https://www.google.com/url?q=https://www.spoj.com/problems/SDITSAVL/&amp;sa=D&amp;ust=1605639553910000&amp;usg=AFQjCNGyjmlbbYWi3EutUbaWpmZg8VdeEA" xr:uid="{130CCBFB-9D47-4834-897B-C7B24DA6E054}"/>
    <hyperlink ref="A5148" r:id="rId3884" display="https://www.google.com/url?q=http://codeforces.com/problemset/gymProblem/100147/G&amp;sa=D&amp;ust=1605639553911000&amp;usg=AFQjCNGILUXImI0Sf-IlAR4M6r9K-LIkug" xr:uid="{651C3628-CBC2-44BD-A53D-F0A52DD2D33F}"/>
    <hyperlink ref="A5149" r:id="rId3885" display="https://www.google.com/url?q=http://codeforces.com/problemset/problem/375/D&amp;sa=D&amp;ust=1605639553911000&amp;usg=AFQjCNEVHt5zxpf5y7xZEu7z70Pfs14PWA" xr:uid="{EC33A6C5-F168-4B7B-9095-9BD4CCAF09A3}"/>
    <hyperlink ref="A5150" r:id="rId3886" display="https://www.google.com/url?q=http://acm.hdu.edu.cn/showproblem.php?pid%3D4358&amp;sa=D&amp;ust=1605639553913000&amp;usg=AFQjCNHkkvt0TVvjUuS-PnZgPEZd6Mxu-g" xr:uid="{81671055-E6A7-4C45-9F79-1D9BFC4662C9}"/>
    <hyperlink ref="A5151" r:id="rId3887" display="https://www.google.com/url?q=http://acm.hdu.edu.cn/showproblem.php?pid%3D4638&amp;sa=D&amp;ust=1605639553913000&amp;usg=AFQjCNGtXVvdEgjFegP1VyuaOmGhbefxcQ" xr:uid="{F3D5EBA3-9CF8-434B-8AF7-C2A85D30711B}"/>
    <hyperlink ref="A5152" r:id="rId3888" display="https://www.google.com/url?q=http://acm.hdu.edu.cn/showproblem.php?pid%3D5145&amp;sa=D&amp;ust=1605639553913000&amp;usg=AFQjCNGBdJ714_oYfhiE2kNSat3rk7SSFQ" xr:uid="{5C59E15B-E50E-4D6A-B223-BAF1331F1A09}"/>
    <hyperlink ref="A5153" r:id="rId3889" display="https://www.google.com/url?q=http://acm.hdu.edu.cn/showproblem.php?pid%3D5213&amp;sa=D&amp;ust=1605639553914000&amp;usg=AFQjCNFgKCxnNNJ_v6_TS-Mgrk4Nv4o1DQ" xr:uid="{54A1E152-6128-469C-9740-27B673915043}"/>
    <hyperlink ref="A5154" r:id="rId3890" display="https://www.google.com/url?q=http://acm.hdu.edu.cn/showproblem.php?pid%3D5381&amp;sa=D&amp;ust=1605639553914000&amp;usg=AFQjCNF4f0kUrZltNwzRnweoOFcnJjb4Nw" xr:uid="{C79E91D5-3BB4-47EE-86AD-1767F2BCF8BD}"/>
    <hyperlink ref="A5156" r:id="rId3891" display="https://www.google.com/url?q=https://www.codechef.com/problems/CLOSEFAR&amp;sa=D&amp;ust=1605639553915000&amp;usg=AFQjCNGPHLp_sR5noEoDGRYb3eMDrCTgBQ" xr:uid="{557EC9D1-17C3-4CA7-8701-6D949E27653E}"/>
    <hyperlink ref="A5157" r:id="rId3892" display="https://www.google.com/url?q=http://codeforces.com/contest/351/problem/D&amp;sa=D&amp;ust=1605639553915000&amp;usg=AFQjCNEVM9F5dT-r-sklZ6wO0omcwkKkyA" xr:uid="{19821FE6-E4B4-4616-ACD1-5D278916CB61}"/>
    <hyperlink ref="A5158" r:id="rId3893" display="https://www.google.com/url?q=https://codeforces.com/contest/940/problem/F&amp;sa=D&amp;ust=1605639553916000&amp;usg=AFQjCNHYw-4bu_uox4r-F6W56a5swkwztg" xr:uid="{3ACF335D-E027-442E-82F0-E128D35F2FCF}"/>
    <hyperlink ref="D4330" r:id="rId3894" display="https://www.google.com/url?q=https://github.com/omaryasser/Competitive-Programming/blob/master/SPOJ%2520solutions/COT2%2520-%2520Count%2520on%2520a%2520tree%2520II.cpp&amp;sa=D&amp;ust=1605639553916000&amp;usg=AFQjCNHli1ZbyXESClXq5GgVNQnyHinpKg" xr:uid="{832FB785-02EE-4674-969F-15B26ADC44AA}"/>
    <hyperlink ref="A5160" r:id="rId3895" display="https://www.google.com/url?q=https://codeforces.com/contest/840/problem/D&amp;sa=D&amp;ust=1605639553916000&amp;usg=AFQjCNHM-LjhlPt9GMeJh294R3kMU1ejNA" xr:uid="{C629C318-B68E-4C80-B49D-57315ABA747C}"/>
    <hyperlink ref="A5161" r:id="rId3896" display="https://www.google.com/url?q=http://codeforces.com/contest/1000/problem/F&amp;sa=D&amp;ust=1605639553917000&amp;usg=AFQjCNHunyQYgNNEGkSbszAlyL7NJ8BDjA" xr:uid="{FA8A1D08-20AE-4B83-A49D-15D8670026DD}"/>
    <hyperlink ref="D3985" r:id="rId3897" display="https://www.google.com/url?q=https://github.com/tmwilliamlin168/CompetitiveProgramming/blob/master/CodeForces/CF1000-D12-F.cpp&amp;sa=D&amp;ust=1605639553917000&amp;usg=AFQjCNHqm38DUJLvMPSWww6x3n_c9ZEOUg" xr:uid="{AC62CF23-C111-413C-BE97-F6C787EEF5DE}"/>
    <hyperlink ref="A5162" r:id="rId3898" display="https://www.google.com/url?q=http://codeforces.com/contest/741/problem/D&amp;sa=D&amp;ust=1605639553917000&amp;usg=AFQjCNHafVHeOqrhq9ycRFI7Rf38XvfVqg" xr:uid="{D84E2AC9-B023-4E75-9C60-8948774A260A}"/>
    <hyperlink ref="A5163" r:id="rId3899" display="https://www.google.com/url?q=http://codeforces.com/contest/877/problem/F&amp;sa=D&amp;ust=1605639553918000&amp;usg=AFQjCNF_7vPmYnbaDzD18lPv_6tPSzI2ZA" xr:uid="{247BE6D6-7765-495D-A548-9EC4E061FF86}"/>
    <hyperlink ref="A5164" r:id="rId3900" display="https://www.google.com/url?q=http://www.spoj.com/problems/ZQUERY/&amp;sa=D&amp;ust=1605639553918000&amp;usg=AFQjCNGTR_uDBcrapNuRof8BFzJ3krTaeA" xr:uid="{B4E0CF25-558E-4374-B7D3-9D30DD91E9CE}"/>
    <hyperlink ref="D3699" r:id="rId3901" display="https://www.google.com/url?q=https://github.com/WaleedAbdelhakim/Competitive-Programming/blob/master/SPOJ/ZQUERY.cpp&amp;sa=D&amp;ust=1605639553918000&amp;usg=AFQjCNHlVqWBBwBj5nwA7FjdJw16_YHxyw" xr:uid="{D1E36E98-5656-4D61-93F0-D7E3270B54AC}"/>
    <hyperlink ref="A5166" r:id="rId3902" display="https://www.google.com/url?q=http://codeforces.com/contest/375/problem/D&amp;sa=D&amp;ust=1605639553919000&amp;usg=AFQjCNEonGPQLfyaRtTJ5IbQ7Hg8S9q5pA" xr:uid="{229B5E5E-0F95-4B88-BC85-8EF28E5DD73A}"/>
    <hyperlink ref="A5167" r:id="rId3903" display="https://www.google.com/url?q=http://codeforces.com/contest/86/problem/D&amp;sa=D&amp;ust=1605639553919000&amp;usg=AFQjCNHF2zEPgztU7-MFXdWmnrHzj6TBmA" xr:uid="{A6877113-DAD0-4880-AC9D-63BCF360ACEF}"/>
    <hyperlink ref="D2465" r:id="rId3904" display="https://www.google.com/url?q=https://www.hackerearth.com/practice/notes/mos-algorithm/&amp;sa=D&amp;ust=1605639553920000&amp;usg=AFQjCNH2MMblipxMRHpvXYjBNBSoeFe_yg" xr:uid="{4AF3965F-1399-4DCA-BE16-DE30BBDA1463}"/>
    <hyperlink ref="A5168" r:id="rId3905" display="https://www.google.com/url?q=http://codeforces.com/contest/617/problem/E&amp;sa=D&amp;ust=1605639553920000&amp;usg=AFQjCNETfNeNuPg1P3QDqWf8Tr8V3b-C6g" xr:uid="{00FD4987-9948-475A-AEFA-6854399B6057}"/>
    <hyperlink ref="A5170" r:id="rId3906" display="https://www.google.com/url?q=https://www.codechef.com/problems/IITI15&amp;sa=D&amp;ust=1605639553921000&amp;usg=AFQjCNF6tK_s15VB-ZIoLlmiyPZn_MqWZQ" xr:uid="{DE144AE9-D265-42E4-9D94-4B621B1D9AB6}"/>
    <hyperlink ref="A5173" r:id="rId3907" display="https://www.google.com/url?q=http://codeforces.com/contest/220/problem/B&amp;sa=D&amp;ust=1605639553921000&amp;usg=AFQjCNG2JqSJWM3xWe1gfEwYAppNAIW3wg" xr:uid="{44CC2DEA-0D8C-4D22-A1E0-2B6352B320ED}"/>
    <hyperlink ref="A5174" r:id="rId3908" display="https://www.google.com/url?q=https://www.hackerearth.com/problem/algorithm/substrings-count-3/&amp;sa=D&amp;ust=1605639553922000&amp;usg=AFQjCNGNAX18g0vHcHN-w6F8Yul-uW7BCw" xr:uid="{0CF13C1B-3C0E-44A2-8D86-F3456B6FFEAE}"/>
    <hyperlink ref="D1571" r:id="rId3909" display="https://www.google.com/url?q=https://github.com/mostafa-saad/MyCompetitiveProgramming/blob/master/SPOJ/SPOJ_RACETIME.txt&amp;sa=D&amp;ust=1605639553923000&amp;usg=AFQjCNGQZi5WlCbvWbgjp3sROxbFjwpOfw" xr:uid="{A8CD615D-5382-49F2-B752-5C376100FB4D}"/>
    <hyperlink ref="D3987" r:id="rId3910" display="https://www.google.com/url?q=https://github.com/andmej/competitive_programming/blob/master/ICPC%2520Live%2520Archive/2945%2520-%2520Help%2520R2-D2/2945.cpp&amp;sa=D&amp;ust=1605639553924000&amp;usg=AFQjCNGMPYrsH5lTNFArzr-spkiKBY5FMA" xr:uid="{4D7159DD-51AE-428A-8551-B363805C4483}"/>
    <hyperlink ref="D2987" r:id="rId3911" display="https://www.google.com/url?q=https://gitlab.com/mrfathin/UVa/blob/master/volume129/12942%2520-%2520Sub-expression%2520Counting.cpp&amp;sa=D&amp;ust=1605639553924000&amp;usg=AFQjCNGluMKj6tG7wjNrhs5T-P2BQI42rw" xr:uid="{7E69930F-6845-4C01-A72A-993D158B4EA7}"/>
    <hyperlink ref="A5180" r:id="rId3912" display="https://www.google.com/url?q=http://codeforces.com/contest/9/problem/D&amp;sa=D&amp;ust=1605639553925000&amp;usg=AFQjCNFyW2yMte4IhrPvD7JIx4IhOKsruA" xr:uid="{FAB5421C-9E4C-49F1-B05D-6994285D7FC2}"/>
    <hyperlink ref="D2467" r:id="rId3913" display="https://www.google.com/url?q=http://mypaper.pchome.com.tw/zerojudge/post/1324765427&amp;sa=D&amp;ust=1605639553925000&amp;usg=AFQjCNFi13OXAG-oRg3TTxE3rAxE2_Xdpg" xr:uid="{C77EDE96-0102-4721-B9ED-6B68A9FA773F}"/>
    <hyperlink ref="A5184" r:id="rId3914" display="https://www.google.com/url?q=http://codeforces.com/contest/253/problem/E&amp;sa=D&amp;ust=1605639553926000&amp;usg=AFQjCNHyzdfyZqmtoXwwIxJGYFxwGQZXbw" xr:uid="{68E6E520-3BD1-447E-BF02-752B5FF2B8E3}"/>
    <hyperlink ref="A5185" r:id="rId3915" display="https://www.google.com/url?q=http://codeforces.com/contest/513/problem/D2&amp;sa=D&amp;ust=1605639553926000&amp;usg=AFQjCNHaDzlKoVWk4OJSelPC4vkVWxBsTg" xr:uid="{C5B6C575-1511-47DE-8411-D1FF33FAAE0E}"/>
    <hyperlink ref="A5186" r:id="rId3916" display="https://www.google.com/url?q=http://codeforces.com/contest/734/problem/F&amp;sa=D&amp;ust=1605639553927000&amp;usg=AFQjCNGyVDIeH-S1oVf7H6rQDM2raJbhNQ" xr:uid="{D165EC76-918A-4090-AB48-9E63C4EF1E19}"/>
    <hyperlink ref="A5187" r:id="rId3917" display="https://www.google.com/url?q=http://codeforces.com/contest/127/problem/E&amp;sa=D&amp;ust=1605639553927000&amp;usg=AFQjCNHmHlRrxsWUM2UBzjOfsE0ftNsfkQ" xr:uid="{C055D5A6-3F38-4112-A31F-6C345B6B1E84}"/>
    <hyperlink ref="A5189" r:id="rId3918" display="https://www.google.com/url?q=https://codeforces.com/contest/1250/problem/G&amp;sa=D&amp;ust=1605639553928000&amp;usg=AFQjCNFChUJdfGTEE7F2_CRsXbrSUViCOQ" xr:uid="{E3A6D33B-05FE-48A7-AA43-19CA02788BC9}"/>
    <hyperlink ref="A5190" r:id="rId3919" display="https://www.google.com/url?q=http://codeforces.com/contest/51/problem/D&amp;sa=D&amp;ust=1605639553928000&amp;usg=AFQjCNHm1GuV7WsbSxzuzcn8MJiDLeyzHQ" xr:uid="{F442F1A7-D389-4F55-B45F-3F575AE89BC4}"/>
    <hyperlink ref="A5191" r:id="rId3920" display="https://www.google.com/url?q=https://codeforces.com/contest/1307/problem/E&amp;sa=D&amp;ust=1605639553928000&amp;usg=AFQjCNH0gWnwchuyslhj_oAlTectOaY_Fw" xr:uid="{7C0C0D14-4BF7-40D2-8729-4BA94FD4C1E1}"/>
    <hyperlink ref="A5192" r:id="rId3921" display="https://www.google.com/url?q=http://codeforces.com/contest/218/problem/D&amp;sa=D&amp;ust=1605639553929000&amp;usg=AFQjCNGHApJfClTpQ6CQsidds-wK-KT5kg" xr:uid="{160B8848-73A8-4BA0-96BD-A9DF5271161C}"/>
    <hyperlink ref="A5193" r:id="rId3922" display="https://www.google.com/url?q=http://codeforces.com/contest/33/problem/E&amp;sa=D&amp;ust=1605639553929000&amp;usg=AFQjCNHyRazQoi2-dTbWDB9e24fzmmu5lQ" xr:uid="{46C5A28D-59AF-4107-A064-0A5507132A5F}"/>
    <hyperlink ref="A5194" r:id="rId3923" display="https://www.google.com/url?q=https://codeforces.com/contest/731/problem/D&amp;sa=D&amp;ust=1605639553930000&amp;usg=AFQjCNGkua-RHrqdvSxHVAaDaJzfd3Vykw" xr:uid="{2EC9056D-306B-488A-B344-B2BE74E8EB4F}"/>
    <hyperlink ref="A5195" r:id="rId3924" display="https://www.google.com/url?q=http://codeforces.com/contest/251/problem/B&amp;sa=D&amp;ust=1605639553930000&amp;usg=AFQjCNF4KL_v8bgTBHLJ7QVX1VNvWiA8qg" xr:uid="{2913AE1F-F153-4633-87DF-0629A19B72A9}"/>
    <hyperlink ref="A5197" r:id="rId3925" display="https://www.google.com/url?q=http://codeforces.com/contest/133/problem/D&amp;sa=D&amp;ust=1605639553931000&amp;usg=AFQjCNFPh8pDlWSJUd3kYw_xzhqFStKuRQ" xr:uid="{83DD1CD3-02B9-4723-95FA-9D9CD2F9457A}"/>
    <hyperlink ref="A5198" r:id="rId3926" display="https://www.google.com/url?q=http://codeforces.com/contest/558/problem/D&amp;sa=D&amp;ust=1605639553931000&amp;usg=AFQjCNEPTv0rvjPlwLlh4RgmbnRXEW6j8A" xr:uid="{49ADF556-6930-4C40-B65E-CF45303B03FD}"/>
    <hyperlink ref="A5048" r:id="rId3927" display="https://www.google.com/url?q=http://codeforces.com/contest/520/problem/D&amp;sa=D&amp;ust=1605639553933000&amp;usg=AFQjCNGMPKGkuZZdKh1ndzrFrSxvlqlZRg" xr:uid="{36F75F3E-FE40-4F2A-9894-AD755665A599}"/>
    <hyperlink ref="A5049" r:id="rId3928" display="https://www.google.com/url?q=http://codeforces.com/contest/139/problem/D&amp;sa=D&amp;ust=1605639553934000&amp;usg=AFQjCNGElMyxc73USED2LKzkH7HpIaydxg" xr:uid="{01D2F7EC-2CA1-49D5-8F98-5A3271786230}"/>
    <hyperlink ref="A5050" r:id="rId3929" display="https://www.google.com/url?q=http://codeforces.com/contest/292/problem/C&amp;sa=D&amp;ust=1605639553934000&amp;usg=AFQjCNGqL-2IWB4Y9LgeZnCQ1Bk-nY35Fw" xr:uid="{90731BC7-D870-4635-9A62-B1CB1AA97CB8}"/>
    <hyperlink ref="A5051" r:id="rId3930" display="https://www.google.com/url?q=http://codeforces.com/contest/630/problem/E&amp;sa=D&amp;ust=1605639553934000&amp;usg=AFQjCNEU2-9R5aqPqSwuHLPTC-MIWj4YRA" xr:uid="{79DA8AA1-9797-425D-B0F5-6F9629D23D58}"/>
    <hyperlink ref="A5052" r:id="rId3931" display="https://www.google.com/url?q=http://codeforces.com/contest/677/problem/E&amp;sa=D&amp;ust=1605639553935000&amp;usg=AFQjCNECNcRNBQlnu2xGH2_Sug98BM_WsA" xr:uid="{34D94B90-F344-4F8C-B013-633551AF8AEE}"/>
    <hyperlink ref="A5054" r:id="rId3932" display="https://www.google.com/url?q=http://codeforces.com/contest/714/problem/D&amp;sa=D&amp;ust=1605639553935000&amp;usg=AFQjCNHQ5l6zqGF85DMTRCHJ_twRIR8d3A" xr:uid="{D4A37C07-352B-4183-AE9D-3708A8030881}"/>
    <hyperlink ref="A5059" r:id="rId3933" display="https://www.google.com/url?q=http://codeforces.com/contest/320/problem/D&amp;sa=D&amp;ust=1605639553936000&amp;usg=AFQjCNEkema8MpvEG1UmeNI2MPt_YCW6pw" xr:uid="{FE78198B-85A6-4A6E-9F4F-8A6C268D0C94}"/>
    <hyperlink ref="A5060" r:id="rId3934" display="https://www.google.com/url?q=https://codeforces.com/contest/1090/problem/C&amp;sa=D&amp;ust=1605639553937000&amp;usg=AFQjCNFvfh-mTNE0MKZUWatJaRhJkWTKGQ" xr:uid="{3D34BF8A-F0F1-4EC0-BD2E-720189D2BE42}"/>
    <hyperlink ref="A5061" r:id="rId3935" display="https://www.google.com/url?q=https://codingcompetitions.withgoogle.com/kickstart/round/0000000000050ff2/0000000000150aac&amp;sa=D&amp;ust=1605639553937000&amp;usg=AFQjCNG__wrzajvs9gmzVnJ-HPEzMfLM0Q" xr:uid="{4D52BF95-1190-475A-BCD7-2F18E0903DF0}"/>
    <hyperlink ref="A5062" r:id="rId3936" display="https://www.google.com/url?q=https://codeforces.com/contest/1099/problem/E&amp;sa=D&amp;ust=1605639553938000&amp;usg=AFQjCNFmj2d3fov6WPpw9saAuiQe_CSxVw" xr:uid="{0E31DD19-6844-4D14-BCF3-953D2526D51B}"/>
    <hyperlink ref="A5063" r:id="rId3937" display="https://www.google.com/url?q=http://codeforces.com/contest/435/problem/D&amp;sa=D&amp;ust=1605639553938000&amp;usg=AFQjCNGwnuDLsMjjJVM45GgogyowiP6gQA" xr:uid="{53226531-257F-4186-A474-D278E8C37060}"/>
    <hyperlink ref="A5064" r:id="rId3938" display="https://www.google.com/url?q=http://codeforces.com/contest/719/problem/C&amp;sa=D&amp;ust=1605639553938000&amp;usg=AFQjCNFqfgE_O22SCLQJaMXZ56giiu1Utw" xr:uid="{E03C248F-3FB9-451A-AFB2-C27CCC18E4A8}"/>
    <hyperlink ref="A5065" r:id="rId3939" display="https://www.google.com/url?q=https://csacademy.com/contest/round-79/task/groups/&amp;sa=D&amp;ust=1605639553939000&amp;usg=AFQjCNFlY7CKVDiiZ60tKFNcoL0BDGB0gw" xr:uid="{C83F6BEC-7BAB-432C-B782-F62D5406FD67}"/>
    <hyperlink ref="D2474" r:id="rId3940" display="https://www.google.com/url?q=https://github.com/timpostuvan/CompetitiveProgramming/blob/master/CSAcademy/CSA79-D.cpp&amp;sa=D&amp;ust=1605639553939000&amp;usg=AFQjCNHd0J1Pcl9wYk81kdumUIfXY--mAQ" xr:uid="{34F3D9F2-1581-4E11-BD6D-2B497FB4AC9C}"/>
    <hyperlink ref="A5066" r:id="rId3941" display="https://www.google.com/url?q=https://codeforces.com/gym/101187/problem/F&amp;sa=D&amp;ust=1605639553939000&amp;usg=AFQjCNEcEXqtApHzFavm26GXAy-lRCi-5w" xr:uid="{AB2A245F-61F7-4F86-AD97-1D87F9BECFFC}"/>
    <hyperlink ref="D2398" r:id="rId3942" display="https://www.google.com/url?q=https://github.com/SpeedOfMagic/CompetitiveProgramming/blob/master/CodeforcesGym/CF101187-GYM-F.cpp&amp;sa=D&amp;ust=1605639553939000&amp;usg=AFQjCNENDAQ-BWQoxplzRGd7tep1a0NcrA" xr:uid="{CA4C5A60-62D2-4444-BD93-5154BAB62B34}"/>
    <hyperlink ref="A5067" r:id="rId3943" display="https://www.google.com/url?q=http://codeforces.com/contest/570/problem/C&amp;sa=D&amp;ust=1605639553940000&amp;usg=AFQjCNGZVTDUEfSuaCOwFdxhQmpLKVUepw" xr:uid="{D323281E-59F7-47BD-A265-63DEBD2A9FB1}"/>
    <hyperlink ref="A5069" r:id="rId3944" display="https://www.google.com/url?q=http://codeforces.com/contest/1043/problem/D&amp;sa=D&amp;ust=1605639553940000&amp;usg=AFQjCNGkbagb7uRl3Cn4QAeIvUJkB_3V6A" xr:uid="{A13021C8-FA3F-47DB-800B-91C5E5406EE3}"/>
    <hyperlink ref="A5070" r:id="rId3945" display="https://www.google.com/url?q=http://codeforces.com/contest/350/problem/E&amp;sa=D&amp;ust=1605639553940000&amp;usg=AFQjCNEKoq9l1nvHEI5JjvfGJHwz0YgZGQ" xr:uid="{9E8FF281-4784-4571-810B-FB72DD015B5A}"/>
    <hyperlink ref="A5071" r:id="rId3946" display="https://www.google.com/url?q=http://codeforces.com/contest/405/problem/C&amp;sa=D&amp;ust=1605639553941000&amp;usg=AFQjCNG9v8js92Raw1Xemug1muEl3Eljow" xr:uid="{2EB8B856-0B6F-474B-9F4A-312D61989F84}"/>
    <hyperlink ref="A5072" r:id="rId3947" display="https://www.google.com/url?q=http://codeforces.com/contest/114/problem/C&amp;sa=D&amp;ust=1605639553941000&amp;usg=AFQjCNEpbOhd-y1Gx-Jb0o1hmvUOs3tDzA" xr:uid="{2FCD3F8B-354B-4D71-B175-7D499958EF81}"/>
    <hyperlink ref="A5073" r:id="rId3948" display="https://www.google.com/url?q=http://codeforces.com/contest/463/problem/C&amp;sa=D&amp;ust=1605639553942000&amp;usg=AFQjCNHK4X92GML_DBPqKwtRNVexmGCx_w" xr:uid="{B7BE0B32-195A-44D7-A482-39C8C09AF35C}"/>
    <hyperlink ref="A5074" r:id="rId3949" display="https://www.google.com/url?q=http://codeforces.com/contest/734/problem/D&amp;sa=D&amp;ust=1605639553943000&amp;usg=AFQjCNH8Z9EV76Z6Q_yszpeLMwnsZ2PMgQ" xr:uid="{46DE6B49-3656-4FF7-869F-D2A295AA2227}"/>
    <hyperlink ref="A5077" r:id="rId3950" display="https://www.google.com/url?q=http://codeforces.com/contest/143/problem/C&amp;sa=D&amp;ust=1605639553944000&amp;usg=AFQjCNE_abSd2pDbczWN1dZlV0XNTQIE7A" xr:uid="{FDCCF338-088E-48F2-ABD5-F79C6482D104}"/>
    <hyperlink ref="A5083" r:id="rId3951" display="https://www.google.com/url?q=http://codeforces.com/contest/433/problem/C&amp;sa=D&amp;ust=1605639553944000&amp;usg=AFQjCNF3ura_bJt5MQYvZZHQcbS_BtU4Tg" xr:uid="{EDA7A1F7-1DC2-4BA0-AF6E-3CC3FDBFDBAD}"/>
    <hyperlink ref="A5200" r:id="rId3952" display="https://www.google.com/url?q=http://codeforces.com/contest/581/problem/D&amp;sa=D&amp;ust=1605639553945000&amp;usg=AFQjCNHeGpmRLeUpv0aD4l7VoSxYR9SLvA" xr:uid="{FBF77FCB-29F1-4D09-8187-DBB5C7D642DE}"/>
    <hyperlink ref="D1175" r:id="rId3953" display="https://www.google.com/url?q=https://ideone.com/QCHUj4&amp;sa=D&amp;ust=1605639553945000&amp;usg=AFQjCNE8YeTcs09LYOGhVr4ivXe4vINJSg" xr:uid="{7B7395A7-4E82-4B0F-99E2-447556AABEE3}"/>
    <hyperlink ref="A5202" r:id="rId3954" display="https://www.google.com/url?q=http://codeforces.com/contest/507/problem/C&amp;sa=D&amp;ust=1605639553945000&amp;usg=AFQjCNEDLk0-GDhB45YoGbP7iSc4yK6VDw" xr:uid="{54600CA2-4AF1-4986-A278-C9B8DA5B4D29}"/>
    <hyperlink ref="A5203" r:id="rId3955" display="https://www.google.com/url?q=http://codeforces.com/contest/435/problem/C&amp;sa=D&amp;ust=1605639553946000&amp;usg=AFQjCNG2pvVIbvA0m92u-U_2MAdTA9OCfw" xr:uid="{BF65545B-8F09-4A82-8FB0-D8ADA7EECB9E}"/>
    <hyperlink ref="A5204" r:id="rId3956" display="https://www.google.com/url?q=http://codeforces.com/contest/586/problem/C&amp;sa=D&amp;ust=1605639553946000&amp;usg=AFQjCNGH8ZqdBiY9eNcCEOD4K100CAEBpQ" xr:uid="{3AE6624A-BF15-4238-800B-6835D63115CB}"/>
    <hyperlink ref="A5206" r:id="rId3957" display="https://www.google.com/url?q=http://codeforces.com/contest/168/problem/C&amp;sa=D&amp;ust=1605639553947000&amp;usg=AFQjCNHjEnw2v3KCnio_iS6kuPnNvB-PBg" xr:uid="{4BFBAA1A-3C91-446E-A902-29DAB8F4DB14}"/>
    <hyperlink ref="A5207" r:id="rId3958" display="https://www.google.com/url?q=http://codeforces.com/contest/469/problem/C&amp;sa=D&amp;ust=1605639553947000&amp;usg=AFQjCNFrzVrBG-7jb3uMwolpZOm2bb1pJA" xr:uid="{76DBFEF2-6AAC-4C50-8DDF-6D256E92A078}"/>
    <hyperlink ref="A5208" r:id="rId3959" display="https://www.google.com/url?q=http://codeforces.com/contest/746/problem/C&amp;sa=D&amp;ust=1605639553948000&amp;usg=AFQjCNGldbywt5OMZkBfjskQ7WLG4x8d8A" xr:uid="{A93CB00D-DD70-48A6-A8B3-6F3CA088E961}"/>
    <hyperlink ref="A5282" r:id="rId3960" display="https://www.google.com/url?q=https://codeforces.com/contest/1282/problem/C&amp;sa=D&amp;ust=1605639553949000&amp;usg=AFQjCNEMGYL2jIq5Z4PdW6HlK6VzW_4jgA" xr:uid="{FEB4B68F-D116-485E-BE16-9B88B2DE9F5F}"/>
    <hyperlink ref="A5283" r:id="rId3961" display="https://www.google.com/url?q=http://codeforces.com/contest/421/problem/C&amp;sa=D&amp;ust=1605639553949000&amp;usg=AFQjCNHThwEKF44NIrs0RjguPU9Sx2CXZw" xr:uid="{A2899327-DDBF-4A22-A89B-E0B854F0065B}"/>
    <hyperlink ref="A5368" r:id="rId3962" display="https://www.google.com/url?q=http://codeforces.com/contest/382/problem/C&amp;sa=D&amp;ust=1605639553949000&amp;usg=AFQjCNEuSjC3uvXGCmtAZbjTRn0ssz0mvQ" xr:uid="{E7AD5CA1-BA6D-45D8-8B7F-CF38CEA2BED2}"/>
    <hyperlink ref="A5369" r:id="rId3963" display="https://www.google.com/url?q=https://codeforces.com/contest/1087/problem/C&amp;sa=D&amp;ust=1605639553950000&amp;usg=AFQjCNF4a23-dgQfXt82Ibk7Lt480MZAWA" xr:uid="{90C3A3A9-7BFB-4597-A912-8CA07ACEBBF1}"/>
    <hyperlink ref="A5370" r:id="rId3964" display="https://www.google.com/url?q=https://codeforces.com/contest/1077/problem/D&amp;sa=D&amp;ust=1605639553950000&amp;usg=AFQjCNESbSfIlG_nqQMeKjW0bqKqA9tA4w" xr:uid="{0EA0D222-FC93-41CF-8527-57B4B657CB07}"/>
    <hyperlink ref="A5372" r:id="rId3965" display="https://www.google.com/url?q=https://uva.onlinejudge.org/index.php?option%3Donlinejudge%26page%3Dshow_problem%26problem%3D63&amp;sa=D&amp;ust=1605639553951000&amp;usg=AFQjCNELM8IiH-UgIbaTVISntX0LJIXdjA" xr:uid="{62D0CB2B-FAC2-4D09-96AF-6C37D7354BF2}"/>
    <hyperlink ref="A5383" r:id="rId3966" display="https://www.google.com/url?q=http://codeforces.com/contest/200/problem/D&amp;sa=D&amp;ust=1605639553951000&amp;usg=AFQjCNFgGm8YcAGEYLjWPetH_Menx2L_HA" xr:uid="{7BD5F47F-55F3-48A2-9A37-9C9CCDE2B6EA}"/>
    <hyperlink ref="A5216" r:id="rId3967" display="https://www.google.com/url?q=http://codeforces.com/contest/239/problem/C&amp;sa=D&amp;ust=1605639553952000&amp;usg=AFQjCNH9mRk1lY3HZ8INY3jyduLKcghnhw" xr:uid="{B7C915E8-B673-43A8-A5B8-C06685D78526}"/>
    <hyperlink ref="A5232" r:id="rId3968" display="https://www.google.com/url?q=http://codeforces.com/contest/43/problem/D&amp;sa=D&amp;ust=1605639553953000&amp;usg=AFQjCNEdX1G-sdfUhPWM6eBc9vkD5ZbwOw" xr:uid="{7665D865-E26B-4E98-B66F-7AFE87179EB6}"/>
    <hyperlink ref="A5233" r:id="rId3969" display="https://www.google.com/url?q=http://codeforces.com/contest/495/problem/C&amp;sa=D&amp;ust=1605639553953000&amp;usg=AFQjCNE1r_50x52c2LDt6Rt_S7HTju0NaA" xr:uid="{FD4A3CB0-0E77-40B1-A036-B99862616BE1}"/>
    <hyperlink ref="A5234" r:id="rId3970" display="https://www.google.com/url?q=http://codeforces.com/contest/69/problem/C&amp;sa=D&amp;ust=1605639553954000&amp;usg=AFQjCNFhezYk39OyWuByHLtTLCFQvfcBYQ" xr:uid="{A615532E-97FE-471A-8CFF-D4DA61C9DAB1}"/>
    <hyperlink ref="A5236" r:id="rId3971" display="https://www.google.com/url?q=http://codeforces.com/contest/268/problem/C&amp;sa=D&amp;ust=1605639553954000&amp;usg=AFQjCNEXUg4oqWRxJKZkT9LhsOledUQ5BQ" xr:uid="{6C4B8D81-9CDB-4B01-9E19-1EDFDD79ED17}"/>
    <hyperlink ref="A5237" r:id="rId3972" display="https://www.google.com/url?q=http://codeforces.com/contest/282/problem/C&amp;sa=D&amp;ust=1605639553955000&amp;usg=AFQjCNG2Lb1kJ8gahw9gPpUOrRtJMU_iLA" xr:uid="{329A19E8-3B7D-4F2A-B35A-34E3A7C606C0}"/>
    <hyperlink ref="A5242" r:id="rId3973" display="https://www.google.com/url?q=http://codeforces.com/contest/66/problem/A&amp;sa=D&amp;ust=1605639553956000&amp;usg=AFQjCNEiQ2lfxnKcXFfw9pkK_GM-EjAsjg" xr:uid="{849CE577-C574-45CF-8789-6379F66874B4}"/>
    <hyperlink ref="A5243" r:id="rId3974" display="https://www.google.com/url?q=http://codeforces.com/contest/670/problem/C&amp;sa=D&amp;ust=1605639553957000&amp;usg=AFQjCNGGginei8gX0lG0cCOUpHqcS9uDNg" xr:uid="{0388F4B6-F5E9-4CF4-9F44-7DE395253DE7}"/>
    <hyperlink ref="A5255" r:id="rId3975" display="https://www.google.com/url?q=http://codeforces.com/contest/462/problem/C&amp;sa=D&amp;ust=1605639553957000&amp;usg=AFQjCNEJchbB-53I4FvHGM_5ygvgUKkWiQ" xr:uid="{1F48547C-39C8-4FF0-9871-92CD190A1887}"/>
    <hyperlink ref="D639" r:id="rId3976" display="https://www.google.com/url?q=https://github.com/MedoN11/CompetitiveProgramming/blob/master/Atcoder/CF_462C.java&amp;sa=D&amp;ust=1605639553958000&amp;usg=AFQjCNFVQGXNEyCFdzh-YirVN7V3CK-oLQ" xr:uid="{BAD253A8-063E-45BB-A0E6-30B8ADFF6DFE}"/>
    <hyperlink ref="A5257" r:id="rId3977" display="https://www.google.com/url?q=https://codeforces.com/contest/1136/problem/C&amp;sa=D&amp;ust=1605639553958000&amp;usg=AFQjCNFiGDToAwrumxj9eiwD3ztwsjU-fQ" xr:uid="{8A88B093-C1AC-45CD-B7A4-2F139DECF55F}"/>
    <hyperlink ref="A5258" r:id="rId3978" display="https://www.google.com/url?q=http://codeforces.com/contest/1062/problem/A&amp;sa=D&amp;ust=1605639553959000&amp;usg=AFQjCNFLiKrTTIAozrobRNWHqp5pi7evDg" xr:uid="{7DDF2B2F-8366-44D1-849A-97F1C0386C65}"/>
    <hyperlink ref="A5260" r:id="rId3979" display="https://www.google.com/url?q=http://codeforces.com/contest/61/problem/C&amp;sa=D&amp;ust=1605639553960000&amp;usg=AFQjCNG7zyDMDRCeNENWEJm3-5nk5FgHVw" xr:uid="{A200135E-8B77-416F-92E9-C157A78FFE9D}"/>
    <hyperlink ref="A5262" r:id="rId3980" display="https://www.google.com/url?q=http://codeforces.com/contest/47/problem/C&amp;sa=D&amp;ust=1605639553960000&amp;usg=AFQjCNEgJXlVlBxn9vghqy8vjxuy3Qt-Ag" xr:uid="{1336852D-1C08-4C91-8956-CFEFEBC8AD24}"/>
    <hyperlink ref="D153" r:id="rId3981" display="https://www.google.com/url?q=https://github.com/MeGaCrazy/CompetitiveProgramming/blob/9ebf16b4239c8f58c694f2ae22c8f07d1fa70864/Timus/TIMUS_1054.cpp&amp;sa=D&amp;ust=1605639553961000&amp;usg=AFQjCNF2HjfYc53YyzaSWnAAKd_khInPHg" xr:uid="{AC5A8648-8F4E-42AA-B3D6-57C4A58ECBF4}"/>
    <hyperlink ref="A5272" r:id="rId3982" display="https://www.google.com/url?q=http://codeforces.com/contest/372/problem/D&amp;sa=D&amp;ust=1605639553964000&amp;usg=AFQjCNEwdJ4-xBxliepeZKDVC1fx4a5ZQA" xr:uid="{D3BE839E-1450-4E61-8C90-8542E00BC948}"/>
    <hyperlink ref="A5273" r:id="rId3983" display="https://www.google.com/url?q=https://codeforces.com/contest/1252/problem/E&amp;sa=D&amp;ust=1605639553965000&amp;usg=AFQjCNGERJQesfusgVpOyY0Qh0ALxRoOqA" xr:uid="{2C26D809-022C-47CC-96B9-1C2ACFF9C57F}"/>
    <hyperlink ref="A5274" r:id="rId3984" display="https://www.google.com/url?q=http://codeforces.com/problemset/problem/371/E&amp;sa=D&amp;ust=1605639553965000&amp;usg=AFQjCNElisQ8XXLNTmnNJAf6-oE6iZl2nQ" xr:uid="{054C602C-F674-460F-8C7C-3D1CE8768721}"/>
    <hyperlink ref="A5275" r:id="rId3985" display="https://www.google.com/url?q=https://codeforces.com/contest/1148/problem/E&amp;sa=D&amp;ust=1605639553965000&amp;usg=AFQjCNFpNc7Epv4cV9ZAt86bbywLPSRHQg" xr:uid="{11A6B46B-2BD8-4F46-B726-219B3B90E146}"/>
    <hyperlink ref="A5276" r:id="rId3986" display="https://www.google.com/url?q=http://codeforces.com/contest/309/problem/B&amp;sa=D&amp;ust=1605639553966000&amp;usg=AFQjCNG3S9UFnf3BzW5JDnLmjKCju6Lb4g" xr:uid="{8AE56120-81E2-48CF-91CA-B3A3E7DF4A75}"/>
    <hyperlink ref="A5277" r:id="rId3987" display="https://www.google.com/url?q=http://codeforces.com/contest/253/problem/D&amp;sa=D&amp;ust=1605639553966000&amp;usg=AFQjCNE1H7Xi1hQzfvJFD8Na6avDa0b9Uw" xr:uid="{CDD28C5D-E1CB-4B11-96C6-C3BBE7BC10C3}"/>
    <hyperlink ref="A5278" r:id="rId3988" display="https://www.google.com/url?q=https://codeforces.com/contest/1195/problem/E&amp;sa=D&amp;ust=1605639554121000&amp;usg=AFQjCNEav0mkp1j9M7TYax3SxyNhX6pH2w" xr:uid="{C98F35D1-DEC3-42F5-B9D5-CBB0D0D2B7E1}"/>
    <hyperlink ref="A5279" r:id="rId3989" display="https://www.google.com/url?q=https://codeforces.com/gym/102001/problem/F&amp;sa=D&amp;ust=1605639554122000&amp;usg=AFQjCNG0fnPw9rGt2KcMeYe6cY4iWEPGCw" xr:uid="{32AEDFC6-3F18-4C40-AF1E-C7F1D14B134E}"/>
    <hyperlink ref="D2478" r:id="rId3990" display="https://www.google.com/url?q=https://github.com/YazanZebak/CompetitiveProgramming/blob/master/Codeforces/CF102001-GYM-F.cpp&amp;sa=D&amp;ust=1605639554122000&amp;usg=AFQjCNFdn_hUnCh4uJgSyRFXrIpnX15xxQ" xr:uid="{AB498304-A79E-4F4A-9085-1781A8E928CC}"/>
    <hyperlink ref="A5280" r:id="rId3991" display="https://www.google.com/url?q=http://codeforces.com/contest/224/problem/D&amp;sa=D&amp;ust=1605639554123000&amp;usg=AFQjCNH92t4Yd3lyv_s7oYB57a7myng3sA" xr:uid="{04FE9F78-6C6C-487D-9630-AA4AE7A0DB74}"/>
    <hyperlink ref="D2479" r:id="rId3992" display="https://www.google.com/url?q=https://github.com/abdullaAshraf/Problem-Solving/blob/master/CodeForces/CF224-D2-D.cpp&amp;sa=D&amp;ust=1605639554123000&amp;usg=AFQjCNFaJHyJZqGtdTj0Cw94Ka_CyGyWyQ" xr:uid="{1A022953-E3D8-44A0-A002-A75864122204}"/>
    <hyperlink ref="A5281" r:id="rId3993" display="https://www.google.com/url?q=http://codeforces.com/contest/281/problem/D&amp;sa=D&amp;ust=1605639554123000&amp;usg=AFQjCNHrDt2CD4vYeGklWGqT3yVboay0Cw" xr:uid="{E25695A4-E572-4760-AB16-98EC5B20764E}"/>
    <hyperlink ref="A5284" r:id="rId3994" display="https://www.google.com/url?q=http://codeforces.com/contest/746/problem/F&amp;sa=D&amp;ust=1605639554124000&amp;usg=AFQjCNF71SoCXSQiIVgf4RU3fAeBcIFkHg" xr:uid="{3B4025AB-D2DB-4FBE-94ED-CD87A834965E}"/>
    <hyperlink ref="D2482" r:id="rId3995" display="https://www.google.com/url?q=https://github.com/MohamedNabil97/CompetitiveProgramming/tree/master/UVA/1344.cpp&amp;sa=D&amp;ust=1605639554124000&amp;usg=AFQjCNFzQupLbCGzb9SP1PuNwl3zSZOhdw" xr:uid="{38546FD2-D0B9-454D-BD64-F1CADE7AF64D}"/>
    <hyperlink ref="A5286" r:id="rId3996" display="https://www.google.com/url?q=https://leetcode.com/problems/shortest-subarray-with-sum-at-least-k&amp;sa=D&amp;ust=1605639554125000&amp;usg=AFQjCNGKUI5KvbdD9dW2iYGZVBwkK7cWeA" xr:uid="{9B772709-AE44-48B4-AE42-0DA978F7202E}"/>
    <hyperlink ref="D2399" r:id="rId3997" display="https://www.google.com/url?q=https://github.com/mostafa-saad/MyCompetitiveProgramming/blob/master/LeetCode/LeetCode-shortest-subarray-with-sum-at-least-k.txt&amp;sa=D&amp;ust=1605639554125000&amp;usg=AFQjCNFWBx0TODdJCr4-bl7WfEFIYkppbg" xr:uid="{69625B1D-F0E7-43F5-92C8-FB6A753A9274}"/>
    <hyperlink ref="D1598" r:id="rId3998" display="https://www.google.com/url?q=https://github.com/nathalieFouad/CompetitiveProgramming/blob/master/SPOJ/SPOJ%2520KOIREP/.cpp&amp;sa=D&amp;ust=1605639554125000&amp;usg=AFQjCNE3ap9Ncsa-5MrfpNjz8Lo0xlje1A" xr:uid="{51F86972-FC5C-4608-AA14-B33DE5995EA4}"/>
    <hyperlink ref="A5288" r:id="rId3999" display="https://www.google.com/url?q=https://dwacon5th-prelims.contest.atcoder.jp/tasks/dwacon5th_prelims_c&amp;sa=D&amp;ust=1605639554126000&amp;usg=AFQjCNFI1SIdATQUG3l8HgBlTXb-Kiuzsg" xr:uid="{E2C0BFB9-9504-43DF-890C-826458EEF0C0}"/>
    <hyperlink ref="D1599" r:id="rId4000" display="https://www.google.com/url?q=https://ideone.com/SZdJ79&amp;sa=D&amp;ust=1605639554126000&amp;usg=AFQjCNEsOeJqTz2Anekh_Hi5Z-gZ6QsNrw" xr:uid="{F0222252-6831-4D75-A4D7-66B892C75EAD}"/>
    <hyperlink ref="A5289" r:id="rId4001" display="https://www.google.com/url?q=http://codeforces.com/contest/1043/problem/D&amp;sa=D&amp;ust=1605639554126000&amp;usg=AFQjCNEkCMUwizS4oUOuYW6dq_ZowFRthA" xr:uid="{6628C31D-2A02-4870-B6F4-188DF81D5D07}"/>
    <hyperlink ref="D1600" r:id="rId4002" display="https://www.google.com/url?q=https://github.com/nya-nya-meow/CompetitiveProgramming/blob/master/CodeForces/CF1043-D12-D.cpp&amp;sa=D&amp;ust=1605639554127000&amp;usg=AFQjCNEPEpLQUXFUkAHGzHtB2a3rV1rAQg" xr:uid="{797F150F-35B4-4762-9E6A-52F54778F46E}"/>
    <hyperlink ref="A5290" r:id="rId4003" display="https://www.google.com/url?q=http://codeforces.com/contest/883/problem/I&amp;sa=D&amp;ust=1605639554127000&amp;usg=AFQjCNFjgfpOi3j7fsHiqy9hXu8nkatrFw" xr:uid="{A1A48133-47D9-42FC-8975-30980D10402A}"/>
    <hyperlink ref="A5291" r:id="rId4004" display="https://www.google.com/url?q=http://codeforces.com/contest/6/problem/E&amp;sa=D&amp;ust=1605639554128000&amp;usg=AFQjCNEgve0sSkOvN11hOjhKFQNF8EE7Pw" xr:uid="{B6ED5F33-3071-424C-865E-1E3A0E549789}"/>
    <hyperlink ref="A5292" r:id="rId4005" display="https://www.google.com/url?q=http://codeforces.com/contest/79/problem/C&amp;sa=D&amp;ust=1605639554128000&amp;usg=AFQjCNHVQ00kHGRmXBgfrUt2XG0bYwUXvQ" xr:uid="{24F7B848-BF1C-4946-903B-D448181786CD}"/>
    <hyperlink ref="A5293" r:id="rId4006" display="https://www.google.com/url?q=http://codeforces.com/contest/334/problem/D&amp;sa=D&amp;ust=1605639554128000&amp;usg=AFQjCNEVFhCATy7pm-k8iZBGByJZvmdKLw" xr:uid="{DFA06BB7-8DF6-447D-AB11-CC9FFE50E355}"/>
    <hyperlink ref="A5294" r:id="rId4007" display="https://www.google.com/url?q=https://www.codechef.com/ACMIND18/problems/REDCGAME&amp;sa=D&amp;ust=1605639554130000&amp;usg=AFQjCNFLKIs-uyYzpV0tjRnxZ4v1c5y1lA" xr:uid="{08D63580-0012-4875-8730-BEC33396168A}"/>
    <hyperlink ref="A5295" r:id="rId4008" display="https://www.google.com/url?q=http://codeforces.com/contest/368/problem/D&amp;sa=D&amp;ust=1605639554130000&amp;usg=AFQjCNH-raN1mT0idBEokd4N1xTLN6V5_Q" xr:uid="{D204FAA1-CA2A-4908-B509-3DC258347D5D}"/>
    <hyperlink ref="D1606" r:id="rId4009" display="https://www.google.com/url?q=https://github.com/MohamedNabil97/CompetitiveProgramming/blob/master/CodeForces/CF368-D2-D.cpp&amp;sa=D&amp;ust=1605639554131000&amp;usg=AFQjCNGs5NkPgrfU7z4PPMN1swjtR9jV1g" xr:uid="{13A4C23F-08BC-42A0-B634-AED14261A4D1}"/>
    <hyperlink ref="A5296" r:id="rId4010" display="https://www.google.com/url?q=http://codeforces.com/contest/190/problem/D&amp;sa=D&amp;ust=1605639554131000&amp;usg=AFQjCNEtsP1p15NMX9M8wX_8_fM3Z1aKfg" xr:uid="{F9DA4F13-6DB3-45F9-A227-CDFAB1966022}"/>
    <hyperlink ref="A5297" r:id="rId4011" display="https://www.google.com/url?q=http://codeforces.com/contest/676/problem/C&amp;sa=D&amp;ust=1605639554131000&amp;usg=AFQjCNFviSBDG7FM7_TS5Z5cn612GaV1Tg" xr:uid="{C451A4E1-C858-4397-AE7A-9530B0E74FA3}"/>
    <hyperlink ref="A5298" r:id="rId4012" display="https://www.google.com/url?q=http://codeforces.com/contest/131/problem/F&amp;sa=D&amp;ust=1605639554132000&amp;usg=AFQjCNEMeq1FQIGvEiEUc2SC2kRfvUd3Bg" xr:uid="{211426B0-4F5F-4C91-ABB4-4AB20E8FED5A}"/>
    <hyperlink ref="A5299" r:id="rId4013" display="https://www.google.com/url?q=http://codeforces.com/problemset/problem/788/A&amp;sa=D&amp;ust=1605639554132000&amp;usg=AFQjCNFynICZ3JJ1jqcIrUp7TuFLL81kcg" xr:uid="{F0294380-03AA-4054-9517-B90FB2519D84}"/>
    <hyperlink ref="D1189" r:id="rId4014" display="https://www.google.com/url?q=https://ideone.com/8udwfm&amp;sa=D&amp;ust=1605639554133000&amp;usg=AFQjCNHtu11E5JAVyau1d_cWjvEEst-ZWg" xr:uid="{AF9A3F11-3113-4DAE-9512-9B73171D03F6}"/>
    <hyperlink ref="A5302" r:id="rId4015" display="https://www.google.com/url?q=http://codeforces.com/contest/155/problem/C&amp;sa=D&amp;ust=1605639554133000&amp;usg=AFQjCNFFfhTx3QDIulVjBIosHGrBp9q6IA" xr:uid="{AF3DDCAE-A3ED-4A7D-AE21-66660359AF38}"/>
    <hyperlink ref="D644" r:id="rId4016" display="https://www.google.com/url?q=https://github.com/aabdelzaher/Competitive-Programming/blob/master/Live%2520Archive/LIVEARCHIVE2932.java&amp;sa=D&amp;ust=1605639554134000&amp;usg=AFQjCNHCEfgg_ajUFJEXXluO5cA_czAhEw" xr:uid="{1806B4D2-E68A-4AF5-9930-9866A6EA4C01}"/>
    <hyperlink ref="A5304" r:id="rId4017" display="https://www.google.com/url?q=http://codeforces.com/contest/767/problem/D&amp;sa=D&amp;ust=1605639554134000&amp;usg=AFQjCNEhjq18xUV7tDwAUbhvZw3V8SHj3A" xr:uid="{A67F5024-1A1E-4E55-A92C-143B68BDB333}"/>
    <hyperlink ref="A5305" r:id="rId4018" display="https://www.google.com/url?q=http://codeforces.com/contest/252/problem/C&amp;sa=D&amp;ust=1605639554135000&amp;usg=AFQjCNGIkeYq41hdJmDnSFbswD41w54ntg" xr:uid="{EC098531-C2BB-4848-AB4F-D6506B0A59AB}"/>
    <hyperlink ref="A5306" r:id="rId4019" display="https://www.google.com/url?q=https://www.codechef.com/COOK108A/problems/BDGFT&amp;sa=D&amp;ust=1605639554135000&amp;usg=AFQjCNF9E-HHJ5d8U9j3olCBqfI2UzCpww" xr:uid="{BCFECB17-38C6-4D75-8213-A3C69CB1A644}"/>
    <hyperlink ref="A5307" r:id="rId4020" display="https://www.google.com/url?q=http://codeforces.com/contest/231/problem/C&amp;sa=D&amp;ust=1605639554136000&amp;usg=AFQjCNGKrOVaVXSKFre8pD_wm6BmZzgmPA" xr:uid="{14BED433-E08D-4EF9-A770-A2D6367BE428}"/>
    <hyperlink ref="A5308" r:id="rId4021" display="https://www.google.com/url?q=https://codeforces.com/gym/101609/problem/E&amp;sa=D&amp;ust=1605639554136000&amp;usg=AFQjCNHVcnJVLkP8uiM08h2MCRur5PYXmQ" xr:uid="{CE2F52E3-F9F2-4CBD-B807-7034FBD6D5C0}"/>
    <hyperlink ref="A5309" r:id="rId4022" display="https://www.google.com/url?q=http://codeforces.com/contest/216/problem/D&amp;sa=D&amp;ust=1605639554136000&amp;usg=AFQjCNGQPyd3HWbn4cJCVOThA6ZX4lUKvw" xr:uid="{F016DC6A-0448-4042-9DAD-F587D4364345}"/>
    <hyperlink ref="A5311" r:id="rId4023" display="https://www.google.com/url?q=http://www.spoj.com/problems/ALIEN/&amp;sa=D&amp;ust=1605639554137000&amp;usg=AFQjCNHSZgD351835xrpScKGp3U9AGk-xA" xr:uid="{BEDB2884-DB94-4BA9-B508-7762ED2C7228}"/>
    <hyperlink ref="D115" r:id="rId4024" display="https://www.google.com/url?q=https://github.com/mostafa-saad/MyCompetitiveProgramming/blob/master/SPOJ/SPOJ_ALIEN.txt&amp;sa=D&amp;ust=1605639554137000&amp;usg=AFQjCNFtdWD5TtatvdsCNCsfoYZAp7HzWA" xr:uid="{A872939C-3B4E-48F8-AE04-2C650A5447D6}"/>
    <hyperlink ref="A5315" r:id="rId4025" display="https://www.google.com/url?q=https://codeforces.com/contest/703/problem/E&amp;sa=D&amp;ust=1605639554139000&amp;usg=AFQjCNGoqGzMCwzQwclPSHgV5F_aEHyE-A" xr:uid="{E1F7264D-FAAF-4EEF-9C0F-461FBCA9DA4B}"/>
    <hyperlink ref="D3001" r:id="rId4026" display="https://www.google.com/url?q=https://github.com/yazanKabbany/CompetitiveProgramming/blob/master/UVA/UVA%25201244.cpp&amp;sa=D&amp;ust=1605639554140000&amp;usg=AFQjCNE47q1G6rBoTw-C_KNI2MGfkTt4fw" xr:uid="{74D2DC32-7F7B-4241-B2F7-C89843052D61}"/>
    <hyperlink ref="D3002" r:id="rId4027" display="https://www.google.com/url?q=https://github.com/Huvok/CompetitiveProgramming/blob/master/Topcoder/SRM340-D1-500.cpp&amp;sa=D&amp;ust=1605639554141000&amp;usg=AFQjCNHk02M2NNsXT-sEVow7e80jXpGIIg" xr:uid="{AFD48A3F-78AD-4410-8B58-CC80348A0288}"/>
    <hyperlink ref="A5320" r:id="rId4028" display="https://www.google.com/url?q=http://codeforces.com/gym/101589/problem/H&amp;sa=D&amp;ust=1605639554142000&amp;usg=AFQjCNH8F1AG6DkiStUZSaPj99dxWRehTA" xr:uid="{BE6DDACD-B999-4080-8224-8FF299B865EA}"/>
    <hyperlink ref="D2483" r:id="rId4029" display="https://www.google.com/url?q=https://github.com/MonaAhmed810/CompetitiveProgramming/tree/master/Codeforces/CF101589-GYM-H&amp;sa=D&amp;ust=1605639554142000&amp;usg=AFQjCNHLOK8zI2s5DvJ_PNAWVBDeUI0Q2w" xr:uid="{153811B6-AC2D-4355-B69F-238CD7CC5483}"/>
    <hyperlink ref="D1612" r:id="rId4030" display="https://www.google.com/url?q=https://github.com/Huvok/CompetitiveProgramming/blob/master/UVA/10086.cpp&amp;sa=D&amp;ust=1605639554143000&amp;usg=AFQjCNEKpo-OywvBsPVDKIj-IkhCpUgnpQ" xr:uid="{D024F260-78CA-4E6A-8897-A7989F63C019}"/>
    <hyperlink ref="A5323" r:id="rId4031" display="https://www.google.com/url?q=https://uva.onlinejudge.org/index.php?option%3Donlinejudge%26page%3Dshow_problem%26problem%3D2399&amp;sa=D&amp;ust=1605639554143000&amp;usg=AFQjCNH2mz_k8cEefMw-tTwZ7IrTzk8TOw" xr:uid="{2641DB16-E94A-44C4-8C59-7A35F48BAA91}"/>
    <hyperlink ref="D1191" r:id="rId4032" display="https://www.google.com/url?q=https://github.com/rezwan4029/UVA-CODES/blob/master/11404%2520-%2520Palindromic%2520Subsequence.cpp&amp;sa=D&amp;ust=1605639554143000&amp;usg=AFQjCNHGXcZ9Hgm71BCE66UiBe8UnFpSpw" xr:uid="{C4A35CA0-023A-4784-8566-16205D0BA3B5}"/>
    <hyperlink ref="A5324" r:id="rId4033" display="https://www.google.com/url?q=https://uva.onlinejudge.org/index.php?option%3Dcom_onlinejudge%26Itemid%3D8%26page%3Dshow_problem%26problem%3D603&amp;sa=D&amp;ust=1605639554144000&amp;usg=AFQjCNHS9OEIlRO4Xs7oxjucQ7c7ebYY2w" xr:uid="{D30297C9-FFD4-4952-9AB9-2498E264D8C7}"/>
    <hyperlink ref="A5325" r:id="rId4034" display="https://www.google.com/url?q=https://uva.onlinejudge.org/index.php?option%3Dcom_onlinejudge%26Itemid%3D8%26page%3Dshow_problem%26problem%3D52&amp;sa=D&amp;ust=1605639554144000&amp;usg=AFQjCNHbDZ-21SK6lBrW-89h8r_He-b4cQ" xr:uid="{2CDA2191-092F-40A8-AD08-2372101F9D48}"/>
    <hyperlink ref="A5326" r:id="rId4035" display="https://www.google.com/url?q=http://codeforces.com/contest/56/problem/D&amp;sa=D&amp;ust=1605639554144000&amp;usg=AFQjCNGxtglatK04gtmYMXFGXh6nrIwMrg" xr:uid="{303DE2F0-E319-4E12-80CB-71444C974CBC}"/>
    <hyperlink ref="D649" r:id="rId4036" display="https://www.google.com/url?q=https://github.com/MNT95/Competitive-Programming/blob/master/UVa/DP/10645%2520-%2520Menu.cpp&amp;sa=D&amp;ust=1605639554145000&amp;usg=AFQjCNF4RbueP8r_wlrVwLLy9R4LVpp7xQ" xr:uid="{8425C4E8-8182-451B-9CF8-AB48CC4DE9D8}"/>
    <hyperlink ref="A5328" r:id="rId4037" display="https://www.google.com/url?q=http://codeforces.com/contest/137/problem/D&amp;sa=D&amp;ust=1605639554145000&amp;usg=AFQjCNF1tNnAmlf3QTJzcgKgmSciONoagA" xr:uid="{55B6D520-3986-4CF3-BDCD-2D459078F206}"/>
    <hyperlink ref="D651" r:id="rId4038" display="https://www.google.com/url?q=https://github.com/MeGaCrazy/CompetitiveProgramming/blob/master/Contests/SuperVision-Contest-33432/5/UVA_10665.cpp&amp;sa=D&amp;ust=1605639554146000&amp;usg=AFQjCNHjpWUSThGxNPgDURxXe2ygSS1ZSA" xr:uid="{D10617AC-8A2C-4FE5-BF28-EFBBC4E106F6}"/>
    <hyperlink ref="A5330" r:id="rId4039" display="https://www.google.com/url?q=https://uva.onlinejudge.org/index.php?option%3Dcom_onlinejudge%26Itemid%3D8%26page%3Dshow_problem%26problem%3D1394&amp;sa=D&amp;ust=1605639554146000&amp;usg=AFQjCNGxZ6gNUs8HRpM56ifKanNaUnSbJg" xr:uid="{93F55473-CA9A-447F-884B-0665294921AE}"/>
    <hyperlink ref="D483" r:id="rId4040" display="https://www.google.com/url?q=https://github.com/ilyesG/Competitive-Programming/blob/master/UVA/UVA%252010453.cpp&amp;sa=D&amp;ust=1605639554146000&amp;usg=AFQjCNH-ZrWB6AyJmaTOsZBktPfJ--rc9g" xr:uid="{91B51F67-221F-445D-8A80-9150C23E70F9}"/>
    <hyperlink ref="A5331" r:id="rId4041" display="https://www.google.com/url?q=https://uva.onlinejudge.org/index.php?option%3Dcom_onlinejudge%26Itemid%3D8%26page%3Dshow_problem%26problem%3D698&amp;sa=D&amp;ust=1605639554147000&amp;usg=AFQjCNHES75B_Dp1pV9q8z2N7GLX27dRtQ" xr:uid="{DFEA8A36-3D67-4AD2-968E-5166F92FA1F2}"/>
    <hyperlink ref="A5332" r:id="rId4042" display="https://www.google.com/url?q=https://github.com/mostafa-saad/MyCompetitiveProgramming/blob/master/LiveArchive/LIVEARCHIVE_7577.txt&amp;sa=D&amp;ust=1605639554147000&amp;usg=AFQjCNHcN3N5_Hr3R0ouqKG_YdRG0q3cfQ" xr:uid="{F3B1CAAA-4E11-4AC8-A91F-63FD9FCEC0DB}"/>
    <hyperlink ref="D4599" r:id="rId4043" display="https://www.google.com/url?q=https://github.com/mostafa-saad/MyCompetitiveProgramming/blob/master/LiveArchive/LIVEARCHIVE_7577.txt&amp;sa=D&amp;ust=1605639554147000&amp;usg=AFQjCNHcN3N5_Hr3R0ouqKG_YdRG0q3cfQ" xr:uid="{7CC8009E-D136-40CB-8140-0CE07E1F9863}"/>
    <hyperlink ref="A5333" r:id="rId4044" display="https://www.google.com/url?q=http://codeforces.com/contest/868/problem/F&amp;sa=D&amp;ust=1605639554148000&amp;usg=AFQjCNGMPRdcTorBTHvuYgvmFN8B9AENZA" xr:uid="{D924AA2D-503F-4057-89BD-954C3DF7FC80}"/>
    <hyperlink ref="A5334" r:id="rId4045" display="https://www.google.com/url?q=http://codeforces.com/problemset/problem/673/E&amp;sa=D&amp;ust=1605639554148000&amp;usg=AFQjCNFmPgK3Hxrla1N4N2B70la6kR1qRw" xr:uid="{617546BB-9750-4932-9413-3B8C76273E62}"/>
    <hyperlink ref="D4601" r:id="rId4046" display="https://www.google.com/url?q=https://github.com/ryuzmukhametov/CompetitiveProgramming/blob/master/Codeforces/CF673-D12-E.cpp&amp;sa=D&amp;ust=1605639554148000&amp;usg=AFQjCNEC6tRf8jfdzZqmSisAP7iybICdkQ" xr:uid="{CA839718-06F8-4A77-A179-CF9C4A25D3D7}"/>
    <hyperlink ref="A5335" r:id="rId4047" display="https://www.google.com/url?q=http://codeforces.com/gym/101982&amp;sa=D&amp;ust=1605639554149000&amp;usg=AFQjCNFqcoqEtigopZKfnk0IJicdh7_pTQ" xr:uid="{4CDFA349-3C26-41BC-BA62-1EFBC2BDDC83}"/>
    <hyperlink ref="D4602" r:id="rId4048" display="https://www.google.com/url?q=https://github.com/mostafa-saad/MyCompetitiveProgramming/blob/master/Codeforces/CF101982-GYM-I.txt&amp;sa=D&amp;ust=1605639554149000&amp;usg=AFQjCNFyqB0XMAI0tkIqSwT0fWhxo67-qA" xr:uid="{762B5F6A-45B0-4026-A7F5-2AE258847A96}"/>
    <hyperlink ref="A5337" r:id="rId4049" display="https://www.google.com/url?q=http://codeforces.com/contest/442/problem/D&amp;sa=D&amp;ust=1605639554149000&amp;usg=AFQjCNHLYZSCvBs9K9V0QV6KxfR2dYnjDQ" xr:uid="{778FF46F-5380-40F7-BCFB-2B365E761F43}"/>
    <hyperlink ref="D4604" r:id="rId4050" display="https://www.google.com/url?q=https://codeforces.com/blog/entry/61205&amp;sa=D&amp;ust=1605639554150000&amp;usg=AFQjCNFBlkNEe6mg2bTAe1MQiD9pEMBboA" xr:uid="{9155F273-789D-4827-981B-D77F742E8295}"/>
    <hyperlink ref="A5338" r:id="rId4051" display="https://www.google.com/url?q=http://codeforces.com/gym/101741/problem/J&amp;sa=D&amp;ust=1605639554150000&amp;usg=AFQjCNHcDauDkL88EQsmyD8nWMsx7YvtJw" xr:uid="{179881AC-0EFD-482F-84DB-678D4A1CE5B3}"/>
    <hyperlink ref="D4365" r:id="rId4052" display="https://www.google.com/url?q=https://github.com/stefdasca/CompetitiveProgramming/blob/master/Codeforces/Gym/CF101741-GYM-J.cpp&amp;sa=D&amp;ust=1605639554151000&amp;usg=AFQjCNGKgvw_5ywwgNumCmsJXB-jaMzuJg" xr:uid="{D4C40B20-727A-46F6-AE29-0C4FF06EDFFD}"/>
    <hyperlink ref="A5339" r:id="rId4053" display="https://www.google.com/url?q=https://www.hackerrank.com/contests/world-codesprint-5/challenges/mining&amp;sa=D&amp;ust=1605639554152000&amp;usg=AFQjCNH6t0bxzF3yn38GkE0cx0lkDEbzsA" xr:uid="{F1D8EE49-915A-4D33-A3B8-221E5A3E592B}"/>
    <hyperlink ref="D3704" r:id="rId4054" display="https://www.google.com/url?q=https://github.com/mostafa-saad/MyCompetitiveProgramming/blob/master/HACKERRANK/HACKER-sprint5-mining.txt&amp;sa=D&amp;ust=1605639554152000&amp;usg=AFQjCNGkE-FInC_gtVMcEu7vU5pr4-0zog" xr:uid="{51260DB7-D168-495A-84D8-A20BE28CD091}"/>
    <hyperlink ref="A5340" r:id="rId4055" display="https://www.google.com/url?q=http://codeforces.com/problemset/problem/834/D&amp;sa=D&amp;ust=1605639554152000&amp;usg=AFQjCNFdsjP_krH4L34CAORhMthY44U6yw" xr:uid="{9949183A-6B48-4AA9-BEA1-FFB8F8CAAE49}"/>
    <hyperlink ref="D3705" r:id="rId4056" display="https://www.google.com/url?q=https://github.com/jebouin/CompetitiveProgramming/blob/master/CodeForces/CF834-D2-D.cpp&amp;sa=D&amp;ust=1605639554152000&amp;usg=AFQjCNEiRucnTuq_HUbdZ5AGPKJguE-9dQ" xr:uid="{B5428F66-87BB-4B92-9332-E9F7D3900DB4}"/>
    <hyperlink ref="A5341" r:id="rId4057" display="https://www.google.com/url?q=http://codeforces.com/contest/321/problem/E&amp;sa=D&amp;ust=1605639554153000&amp;usg=AFQjCNG1Uk9CygFR7silGTGh1Ur-v4R6TA" xr:uid="{F4C1AA8E-DAEA-4290-9AEC-78B0FE449BD9}"/>
    <hyperlink ref="D3005" r:id="rId4058" display="https://www.google.com/url?q=https://github.com/nikolapesic2802/Programming-Practice/blob/master/Leaves/main.cpp&amp;sa=D&amp;ust=1605639554153000&amp;usg=AFQjCNEHm77AEL7kE13s4WPpL4FC05-m5w" xr:uid="{45309D92-07EE-45A9-BC85-F0EE41A77B81}"/>
    <hyperlink ref="A5345" r:id="rId4059" display="https://www.google.com/url?q=http://codeforces.com/contest/331/problem/C3&amp;sa=D&amp;ust=1605639554154000&amp;usg=AFQjCNHmm-FA2MtQUOLr9r97HaBXiMzSGw" xr:uid="{BE0C7407-B058-435D-A881-A569280A2095}"/>
    <hyperlink ref="D4606" r:id="rId4060" display="https://www.google.com/url?q=https://github.com/timpostuvan/CompetitiveProgramming/blob/master/TopCoder/SRM431-D1-500.cpp&amp;sa=D&amp;ust=1605639554155000&amp;usg=AFQjCNHgSznjHh-R6H_BxqMtcxmbVB-QmQ" xr:uid="{5BFF7039-524E-4EBC-BCB4-A3875C137BCA}"/>
    <hyperlink ref="A5347" r:id="rId4061" display="https://www.google.com/url?q=http://codeforces.com/contest/625/problem/D&amp;sa=D&amp;ust=1605639554155000&amp;usg=AFQjCNFvz41LJFQbWf2iBBNHGRr9zvbftg" xr:uid="{58DA7CB9-4DC3-4421-A206-490B3E7F0B5A}"/>
    <hyperlink ref="A5348" r:id="rId4062" display="https://www.google.com/url?q=https://codeforces.com/contest/1245/problem/F&amp;sa=D&amp;ust=1605639554156000&amp;usg=AFQjCNEAy4iKOpmFMTUdePnho-nmGbcDhQ" xr:uid="{40AAA1FF-4E71-4C09-A195-4BD4DF9742B2}"/>
    <hyperlink ref="A5349" r:id="rId4063" display="https://www.google.com/url?q=http://codeforces.com/contest/55/problem/D&amp;sa=D&amp;ust=1605639554156000&amp;usg=AFQjCNFp1tR_VGZ5y3H6DuA0MUqNtGAfeA" xr:uid="{0AF58D00-61D9-43CE-A76E-3298C429F890}"/>
    <hyperlink ref="A5350" r:id="rId4064" display="https://www.google.com/url?q=http://codeforces.com/contest/215/problem/E&amp;sa=D&amp;ust=1605639554157000&amp;usg=AFQjCNHpagijap47RNz6RruZGmNIM28c-Q" xr:uid="{1D20564F-671B-49E8-B8C0-78D8588C885A}"/>
    <hyperlink ref="A5351" r:id="rId4065" display="https://www.google.com/url?q=http://codeforces.com/contest/855/problem/E&amp;sa=D&amp;ust=1605639554157000&amp;usg=AFQjCNG26S6zr1JMNcD2VQKxsCrhy38QEg" xr:uid="{263C7462-1423-4E01-87E7-43334E19C41C}"/>
    <hyperlink ref="A5352" r:id="rId4066" display="https://www.google.com/url?q=http://codeforces.com/contest/507/problem/D&amp;sa=D&amp;ust=1605639554157000&amp;usg=AFQjCNEE4lQf170PixwBE_s5OarAbmnCJg" xr:uid="{7ADD045E-005C-45A6-AAB0-82498DFA7F93}"/>
    <hyperlink ref="A5353" r:id="rId4067" display="https://www.google.com/url?q=https://codeforces.com/contest/1073/problem/E&amp;sa=D&amp;ust=1605639554158000&amp;usg=AFQjCNHupTDgk_2EoRK5HnUc-m_nd0es_Q" xr:uid="{770006AE-7AF1-4706-AE65-B22ACD117701}"/>
    <hyperlink ref="A5354" r:id="rId4068" display="https://www.google.com/url?q=http://codeforces.com/gym/100324/attachments&amp;sa=D&amp;ust=1605639554158000&amp;usg=AFQjCNHVDYsdiinvSbTwARvIObKsungseA" xr:uid="{A6678257-6708-4FD9-BA17-9A37BF74BE2C}"/>
    <hyperlink ref="D3008" r:id="rId4069" display="https://www.google.com/url?q=https://github.com/LeTrongDat/CompetitiveProgramming/blob/master/Codeforces/CF100324GYM-A.cpp&amp;sa=D&amp;ust=1605639554159000&amp;usg=AFQjCNG20YCF2FhCJdjlq86veuAjJ8GnyQ" xr:uid="{1970748B-0D4E-46E4-8FA9-FA9972DC488F}"/>
    <hyperlink ref="A5356" r:id="rId4070" display="https://www.google.com/url?q=http://codeforces.com/contest/431/problem/D&amp;sa=D&amp;ust=1605639554159000&amp;usg=AFQjCNFhqIMHfOMi0oEJ9t61DDe05T_HOQ" xr:uid="{95130972-2DB7-4167-B2D7-CEC72B0CE65B}"/>
    <hyperlink ref="A5357" r:id="rId4071" display="https://www.google.com/url?q=http://community.topcoder.com/stat?c%3Dproblem_statement%26pm%3D15142%26rd%3D17316&amp;sa=D&amp;ust=1605639554160000&amp;usg=AFQjCNGvGZQXEKEyZc9ZBUs9qrA_3fRn_w" xr:uid="{4995437F-91DD-4E35-A0F6-38C512A5AAFE}"/>
    <hyperlink ref="D2485" r:id="rId4072" display="https://www.google.com/url?q=https://github.com/Huvok/CompetitiveProgramming/blob/master/Topcoder/SRM741-D1-250.cpp&amp;sa=D&amp;ust=1605639554160000&amp;usg=AFQjCNEmjTvRlgNf2kWfS0f61QP4K9YDxQ" xr:uid="{6436AD11-5DFD-4EEC-96FE-3FFCB2D203C1}"/>
    <hyperlink ref="D2486" r:id="rId4073" display="https://www.google.com/url?q=https://github.com/mostafa-saad/MyCompetitiveProgramming/blob/master/UVA/UVA_11361.txt&amp;sa=D&amp;ust=1605639554160000&amp;usg=AFQjCNG8V5fTdYD5EBmwemJa5kU2mD9r_w" xr:uid="{B2FAC23F-D6FD-4824-99D8-4D886B7E11B3}"/>
    <hyperlink ref="D2487" r:id="rId4074" display="https://www.google.com/url?q=https://github.com/MedoN11/CompetitiveProgramming/blob/master/TopCoder/SRM546-D1-500.cpp&amp;sa=D&amp;ust=1605639554161000&amp;usg=AFQjCNGo_WzIkj5E9SyLxHXu1NRE6ktoyg" xr:uid="{F2A8DDC4-0C66-428E-9AA9-CBDEB45D7C53}"/>
    <hyperlink ref="D1615" r:id="rId4075" display="https://www.google.com/url?q=https://ideone.com/hleZmr&amp;sa=D&amp;ust=1605639554162000&amp;usg=AFQjCNFx4NJv2iYD8lZtUgabuT9zcFn-KQ" xr:uid="{9408DF58-FA13-44D6-B070-AB8498CAC621}"/>
    <hyperlink ref="A5362" r:id="rId4076" display="https://www.google.com/url?q=http://codeforces.com/contest/401/problem/D&amp;sa=D&amp;ust=1605639554163000&amp;usg=AFQjCNHgpNfI6bIJaW8UzwD2ieOXFYiJtA" xr:uid="{C54DE949-4521-4668-B1CD-B2E097BBEA3F}"/>
    <hyperlink ref="A5363" r:id="rId4077" display="https://www.google.com/url?q=https://www.hackerearth.com/problem/algorithm/pr-numbers-160aa0c9/&amp;sa=D&amp;ust=1605639554163000&amp;usg=AFQjCNF74DROGPcGkbTK8ZG1mHPgKA_ehQ" xr:uid="{2D4E22DF-268A-4ADD-93F3-2FD637732F1C}"/>
    <hyperlink ref="A5364" r:id="rId4078" display="https://www.google.com/url?q=http://codeforces.com/contest/160/problem/C&amp;sa=D&amp;ust=1605639554164000&amp;usg=AFQjCNHOvXdwwwBaLLIie0gbVOfh1VF1ww" xr:uid="{1F2DA53F-AE13-4F90-A089-4995575B0349}"/>
    <hyperlink ref="A5365" r:id="rId4079" display="https://www.google.com/url?q=http://codeforces.com/contest/261/problem/C&amp;sa=D&amp;ust=1605639554164000&amp;usg=AFQjCNHh5Mi6IS6DGlKDu4z_zbjLPBPo3A" xr:uid="{1F098D8D-9529-4CA9-961D-88240A8983F9}"/>
    <hyperlink ref="D1620" r:id="rId4080" display="https://www.google.com/url?q=https://github.com/MedoN11/CompetitiveProgramming/blob/master/Timus/1057.cpp?fref%3Dgc%26dti%3D197799716986593&amp;sa=D&amp;ust=1605639554164000&amp;usg=AFQjCNFlMQUTFfajGAaTpJDFCA5wy5EtoA" xr:uid="{4C29471C-19CA-4BFC-894B-C14291CDAC09}"/>
    <hyperlink ref="D1195" r:id="rId4081" display="https://www.google.com/url?q=https://github.com/adarshkr532/CompetitiveProgramming/blob/master/SPOJ/KOPC12H.cpp&amp;sa=D&amp;ust=1605639554165000&amp;usg=AFQjCNHV6EXqt0ji_k-PSJNpAoupTWVJdg" xr:uid="{D02F5A67-2B36-4BC1-B85F-16FA87FB1C61}"/>
    <hyperlink ref="A5373" r:id="rId4082" display="https://www.google.com/url?q=http://codeforces.com/contest/276/problem/D&amp;sa=D&amp;ust=1605639554165000&amp;usg=AFQjCNHK35-PkAfFRQe1jH0j0xhqci6mqg" xr:uid="{A1393DB6-C17A-4A49-AC3E-31A622E112E4}"/>
    <hyperlink ref="A5377" r:id="rId4083" display="https://www.google.com/url?q=http://codeforces.com/contest/914/problem/C&amp;sa=D&amp;ust=1605639554167000&amp;usg=AFQjCNFoi5qP2Ng1tjHKlBMfdofS_7kt3g" xr:uid="{94BBA9DD-5F7D-4CC7-9D67-753FE158F011}"/>
    <hyperlink ref="A5378" r:id="rId4084" display="https://www.google.com/url?q=https://icpcarchive.ecs.baylor.edu/index.php?option%3Dcom_onlinejudge%26Itemid%3D8%26category%3D675%26page%3Dshow_problem%26problem%3D5184&amp;sa=D&amp;ust=1605639554167000&amp;usg=AFQjCNE2YJcl6rZOmUTL4mQxUxw-ur-xhQ" xr:uid="{E48F5DBD-387F-4A66-BDFE-9DC804007742}"/>
    <hyperlink ref="D4366" r:id="rId4085" display="https://www.google.com/url?q=https://github.com/mostafa-saad/MyCompetitiveProgramming/blob/master/LiveArchive/LIVEARCHIVE_7172.txt&amp;sa=D&amp;ust=1605639554167000&amp;usg=AFQjCNG1ZfWNdCyw75-SORaGvNXgnssdRg" xr:uid="{5B62015A-C882-4D79-B44E-73AA8B50CCF6}"/>
    <hyperlink ref="A5379" r:id="rId4086" display="https://www.google.com/url?q=http://codeforces.com/problemset/problem/815/C&amp;sa=D&amp;ust=1605639554168000&amp;usg=AFQjCNGlOZIlQogoXgE3ltxQ2ECgon6bsw" xr:uid="{C6E865A1-4915-451E-8EF4-1F8CE7A645C3}"/>
    <hyperlink ref="D4331" r:id="rId4087" display="https://www.google.com/url?q=http://codeforces.com/blog/entry/18523&amp;sa=D&amp;ust=1605639554168000&amp;usg=AFQjCNGIhSUwMWVUR19nq-dQbi69Knq1Mw" xr:uid="{417731A9-77A2-49A7-A008-FAEC8D50D294}"/>
    <hyperlink ref="A5380" r:id="rId4088" display="https://www.google.com/url?q=http://codeforces.com/contest/440/problem/D&amp;sa=D&amp;ust=1605639554168000&amp;usg=AFQjCNGjIWyPSNH79mJN4mvcFUoqlqsM6w" xr:uid="{B6F424BF-B02C-4870-BB3F-75332A1E9B14}"/>
    <hyperlink ref="D4002" r:id="rId4089" display="https://www.google.com/url?q=https://github.com/s6007589/competitive-programming/blob/master/CF440-D12-D.cpp&amp;sa=D&amp;ust=1605639554169000&amp;usg=AFQjCNHM-u0GiOvGbd2r9po90SwtFR82FA" xr:uid="{562049EA-EC51-4E7E-8F0D-B74C282FF2E3}"/>
    <hyperlink ref="A5381" r:id="rId4090" display="https://www.google.com/url?q=http://codeforces.com/contest/618/problem/D&amp;sa=D&amp;ust=1605639554169000&amp;usg=AFQjCNEyJnPV3M29ujy-MrTCsVRJhMOj8Q" xr:uid="{DE8B1F7F-C624-4D9D-8104-B2F2AE2B4730}"/>
    <hyperlink ref="A5382" r:id="rId4091" display="https://www.google.com/url?q=http://www.lightoj.com/volume_showproblem.php?problem%3D1252&amp;sa=D&amp;ust=1605639554169000&amp;usg=AFQjCNHKN4X8LzjkwLPASbZ5gWlJHHpX5w" xr:uid="{A69B5A55-D21C-42AD-A491-A9D902D55072}"/>
    <hyperlink ref="A5384" r:id="rId4092" display="https://www.google.com/url?q=https://www.hackerrank.com/contests/world-codesprint-9/challenges/kingdom-division&amp;sa=D&amp;ust=1605639554170000&amp;usg=AFQjCNF8hhx7YxeWz7egPIHW0gFscRjJDw" xr:uid="{16F83308-F1CC-4DDC-81D9-7EFAB30C9CA7}"/>
    <hyperlink ref="A5385" r:id="rId4093" display="https://www.google.com/url?q=http://acm.zju.edu.cn/onlinejudge/showProblem.do?problemCode%3D3213&amp;sa=D&amp;ust=1605639554170000&amp;usg=AFQjCNF9ZKsclwDhKttFd7HINx4JXQRIPw" xr:uid="{EFB78E19-2CB2-47AF-8928-AAC363A0FB06}"/>
    <hyperlink ref="A5386" r:id="rId4094" display="https://www.google.com/url?q=https://code.google.com/codejam/contest/32008/dashboard%23s%3Dp3&amp;sa=D&amp;ust=1605639554171000&amp;usg=AFQjCNHd5ZM2D5xyrkugs4TvwGqn-d6qNA" xr:uid="{50FF5BD6-B5E8-4C4A-862B-8E0F4130C54A}"/>
    <hyperlink ref="D5219" r:id="rId4095" display="https://www.google.com/url?q=https://github.com/Otrebus/timus/blob/master/1519.cpp&amp;sa=D&amp;ust=1605639554171000&amp;usg=AFQjCNFPO9SPkI3s-VKYkXRyH3S6h-ixwQ" xr:uid="{CB7E1760-A11B-4B56-A6C9-CE9BDAF3388A}"/>
    <hyperlink ref="A5389" r:id="rId4096" display="https://www.google.com/url?q=http://acm.hdu.edu.cn/showproblem.php?pid%3D4285&amp;sa=D&amp;ust=1605639554173000&amp;usg=AFQjCNGYejxKPxOcDyzVMcjLg__hF0CoPA" xr:uid="{AB7D99EE-A809-46BD-A199-12CE164F569E}"/>
    <hyperlink ref="A5390" r:id="rId4097" display="https://www.google.com/url?q=https://community.topcoder.com/stat?c%3Dproblem_statement%26pm%3D10549%26rd%3D13903&amp;sa=D&amp;ust=1605639554174000&amp;usg=AFQjCNE8-jVveXwBQKqJDae0jF4dxepxLg" xr:uid="{9A129C76-94D0-408B-92CE-99699974FFBA}"/>
    <hyperlink ref="D4367" r:id="rId4098" display="https://www.google.com/url?q=https://github.com/ryuzmukhametov/CompetitiveProgramming/blob/master/Topcoder/SRM449-D2-1000.cpp&amp;sa=D&amp;ust=1605639554174000&amp;usg=AFQjCNE0XBRXzNOlBS_njeI3Ykeqqad1GA" xr:uid="{C5C819A6-FFF3-481F-B3AE-36C32D966E46}"/>
    <hyperlink ref="D3010" r:id="rId4099" display="https://www.google.com/url?q=https://apps.topcoder.com/wiki/display/tc/SRM%2B532&amp;sa=D&amp;ust=1605639554174000&amp;usg=AFQjCNH_W5JZRa0xlw8TIJE7TB8Er31X4A" xr:uid="{EE456DB2-EBDD-45B5-989F-781A281EDDA1}"/>
    <hyperlink ref="A5210" r:id="rId4100" display="https://www.google.com/url?q=http://codeforces.com/contest/342/problem/D&amp;sa=D&amp;ust=1605639554175000&amp;usg=AFQjCNGoYub4nhM0b4VSvPkLKTJB2J-hLA" xr:uid="{79C12128-AAF0-42C9-9C0C-B06D4B9DA520}"/>
    <hyperlink ref="D3013" r:id="rId4101" display="https://www.google.com/url?q=https://ideone.com/7yWKZY&amp;sa=D&amp;ust=1605639554176000&amp;usg=AFQjCNGCYlw2DMPtnUFjYC8bavXS9oNmVA" xr:uid="{C676F45E-421C-4ED1-9422-DA50FBAFCB64}"/>
    <hyperlink ref="A5220" r:id="rId4102" display="https://www.google.com/url?q=http://codeforces.com/contest/318/problem/D&amp;sa=D&amp;ust=1605639554178000&amp;usg=AFQjCNESJctn7EQ4APFc4pl2rARSjXBumQ" xr:uid="{099FAB3B-F410-4716-ADF8-EC7889EDD799}"/>
    <hyperlink ref="A5221" r:id="rId4103" display="https://www.google.com/url?q=http://codeforces.com/contest/723/problem/D&amp;sa=D&amp;ust=1605639554179000&amp;usg=AFQjCNHdQdoJKdKWsRlr5b18P1RrsW20-g" xr:uid="{7FAB33FE-0C3A-410C-9B7B-A6A38828E916}"/>
    <hyperlink ref="A5222" r:id="rId4104" display="https://www.google.com/url?q=https://open.kattis.com/problems/coast&amp;sa=D&amp;ust=1605639554179000&amp;usg=AFQjCNHTQpBNWHYotZ8WfYSfY_xtD9b9Ww" xr:uid="{D2E8ACAC-168C-42D7-A73E-A3F725FB5604}"/>
    <hyperlink ref="D656" r:id="rId4105" display="https://www.google.com/url?q=https://github.com/arvindr9/CompetitiveProgramming/blob/master/Kattis/Kattis%2520coast.cpp&amp;sa=D&amp;ust=1605639554179000&amp;usg=AFQjCNGuU9bQrHEnM62chDejMSoT1WeCBw" xr:uid="{5A1BADCB-42D2-4780-8D51-CEDC17E7D1F3}"/>
    <hyperlink ref="A5224" r:id="rId4106" display="https://www.google.com/url?q=https://uva.onlinejudge.org/index.php?option%3Dcom_onlinejudge%26Itemid%3D8%26page%3Dshow_problem%26problem%3D3104&amp;sa=D&amp;ust=1605639554180000&amp;usg=AFQjCNFXI1MIFUMRt9nlWrQO6YRuYuqyLg" xr:uid="{D33D1034-FE02-4264-AA50-BC473DB0F31E}"/>
    <hyperlink ref="A5226" r:id="rId4107" display="https://www.google.com/url?q=https://uva.onlinejudge.org/index.php?option%3Donlinejudge%26page%3Dshow_problem%26problem%3D725&amp;sa=D&amp;ust=1605639554180000&amp;usg=AFQjCNGmlUNpeJX9ngZ50zMb-_DJpUDtgw" xr:uid="{94F9B44B-D601-4C4F-8994-2AE136AE0818}"/>
    <hyperlink ref="A5229" r:id="rId4108" display="https://www.google.com/url?q=https://uva.onlinejudge.org/index.php?option%3Donlinejudge%26page%3Dshow_problem%26problem%3D2035&amp;sa=D&amp;ust=1605639554181000&amp;usg=AFQjCNFnOcHpyUn2wmn6DEziEMDCubKiPw" xr:uid="{A1743191-F147-44E5-9E23-F7B6E73335EB}"/>
    <hyperlink ref="A5230" r:id="rId4109" display="https://www.google.com/url?q=https://uva.onlinejudge.org/index.php?option%3Dcom_onlinejudge%26Itemid%3D8%26page%3Dshow_problem%26problem%3D793&amp;sa=D&amp;ust=1605639554182000&amp;usg=AFQjCNEiH8l2U1lOqDJeeD8GKMaHmsUz0g" xr:uid="{246E0078-A04E-4692-A243-A79F1712F3D1}"/>
    <hyperlink ref="A5245" r:id="rId4110" display="https://www.google.com/url?q=https://uva.onlinejudge.org/index.php?option%3Donlinejudge%26page%3Dshow_problem%26problem%3D542&amp;sa=D&amp;ust=1605639554183000&amp;usg=AFQjCNGx8zbcEXVTudcJl2txjq2KxzKiFw" xr:uid="{7E969470-0BA5-4067-A290-5718F99C1F46}"/>
    <hyperlink ref="A5246" r:id="rId4111" display="https://www.google.com/url?q=https://uva.onlinejudge.org/index.php?option%3Donlinejudge%26page%3Dshow_problem%26problem%3D288&amp;sa=D&amp;ust=1605639554184000&amp;usg=AFQjCNG1w54m7w7UvcqT7tfhWVEyIQZzlg" xr:uid="{CB90C5E4-17C4-46A6-96A1-D58B51BE19FA}"/>
    <hyperlink ref="D3707" r:id="rId4112" display="https://www.google.com/url?q=https://github.com/mostafa-saad/MyCompetitiveProgramming/blob/master/SPOJ/SPOJ_TREEISO.txt&amp;sa=D&amp;ust=1605639554185000&amp;usg=AFQjCNHyheFPSnDhcrxhUzy-QyiMNERt2w" xr:uid="{06E435BB-B4D1-4C25-9055-EB6A1107597E}"/>
    <hyperlink ref="D3708" r:id="rId4113" display="https://www.google.com/url?q=https://github.com/aabdelzaher/Competitive-Programming/blob/master/UVa/UVa10707.java&amp;sa=D&amp;ust=1605639554185000&amp;usg=AFQjCNH5RRtMVvVvgkFLQPThMFvbItWJCw" xr:uid="{47102033-23CC-418B-AF61-3392E58F9DDD}"/>
    <hyperlink ref="D3015" r:id="rId4114" display="https://www.google.com/url?q=https://github.com/mukel/ProgrammingContests/blob/master/OldStuff/SPOJ/new5/transl.cpp&amp;sa=D&amp;ust=1605639554186000&amp;usg=AFQjCNFW1yj-TcECQiHMpaXQL7BiBKxnEg" xr:uid="{BEB0944F-EE59-46CA-B22E-B14324985F98}"/>
    <hyperlink ref="A5252" r:id="rId4115" display="https://www.google.com/url?q=https://icpcarchive.ecs.baylor.edu/index.php?option%3Dcom_onlinejudge%26Itemid%3D8%26page%3Dshow_problem%26problem%3D936&amp;sa=D&amp;ust=1605639554186000&amp;usg=AFQjCNFSrz9ucsFsquOXhB8TBrJcsb4BHQ" xr:uid="{E6D98197-43BB-4A89-B1D6-B5FB84708A08}"/>
    <hyperlink ref="D1199" r:id="rId4116" display="https://www.google.com/url?q=https://github.com/mostafa-saad/MyCompetitiveProgramming/blob/master/LiveArchive/LiveArchive_2935.txt&amp;sa=D&amp;ust=1605639554186000&amp;usg=AFQjCNGhCOkQAbhu5xk7n20p3CsZ8v8Jkg" xr:uid="{29C2A65A-171B-4B26-B6DA-24BA4131D684}"/>
    <hyperlink ref="A5253" r:id="rId4117" display="https://www.google.com/url?q=http://codeforces.com/contest/560/problem/D&amp;sa=D&amp;ust=1605639554187000&amp;usg=AFQjCNGeUUFe1Ki0Lgsw7dBAG1BYtr2sMw" xr:uid="{C337D44F-E200-453A-BEF0-5BCCA28B12C4}"/>
    <hyperlink ref="D658" r:id="rId4118" display="https://www.google.com/url?q=https://github.com/VAMPIER000001/CompetitiveProgramming/blob/6ffe2c80fe5aba2bf2d901503b96f1b90053462a/CF/CF560-D2-D(2).Cpp&amp;sa=D&amp;ust=1605639554187000&amp;usg=AFQjCNHmxfj4uE_gQH0B_b91peKN3Y_E8Q" xr:uid="{F8502072-DC90-47F0-99BB-B443E6B4680B}"/>
    <hyperlink ref="A5254" r:id="rId4119" display="https://www.google.com/url?q=https://onlinejudge.org/index.php?option%3Dcom_onlinejudge%26Itemid%3D8%26page%3Dshow_problem%26problem%3D3933&amp;sa=D&amp;ust=1605639554187000&amp;usg=AFQjCNHTPhXOTnRZxv7sgfqtRLQ1rYNBjw" xr:uid="{F2242C04-F7BC-4D20-8578-6FDD45BD4581}"/>
    <hyperlink ref="A5394" r:id="rId4120" display="https://www.google.com/url?q=https://codeforces.com/contest/1100/problem/E&amp;sa=D&amp;ust=1605639554189000&amp;usg=AFQjCNEOnOn7ojq4ICqk4QwOxuz-FFvSdA" xr:uid="{17A1EBE0-D1F3-41CB-81ED-53920D604313}"/>
    <hyperlink ref="A5395" r:id="rId4121" display="https://www.google.com/url?q=https://agc027.contest.atcoder.jp/tasks/agc027_c&amp;sa=D&amp;ust=1605639554189000&amp;usg=AFQjCNHnDTp6aZkU6v_jNAOuJuBs9j3oJA" xr:uid="{787B5905-1914-4E31-B8BA-D64D0AF9123B}"/>
    <hyperlink ref="D3017" r:id="rId4122" display="https://www.google.com/url?q=https://github.com/osamahatem/CompetitiveProgramming/blob/master/UVA/1222%2520-%2520Bribing%2520FIPA.cpp&amp;sa=D&amp;ust=1605639554190000&amp;usg=AFQjCNH1Tyd7Rg4mCj-lmqMTpJqjJfQX4A" xr:uid="{9E8C4FFB-68AE-4001-9E1E-256E75C2D343}"/>
    <hyperlink ref="A5404" r:id="rId4123" display="https://www.google.com/url?q=http://codeforces.com/contest/812/problem/D&amp;sa=D&amp;ust=1605639554190000&amp;usg=AFQjCNHKMGpvP8ckKmeYP0gaRjdEOdeFhw" xr:uid="{982527E9-021F-4AD9-9D6B-AE7617511EE0}"/>
    <hyperlink ref="D3018" r:id="rId4124" display="https://www.google.com/url?q=https://github.com/BRAINOOOO/CompetitiveProgramming/blob/master/CF/CF812-D2-D&amp;sa=D&amp;ust=1605639554190000&amp;usg=AFQjCNE87c3Oqiz8NPYVpC5ble6Tvj9TXA" xr:uid="{61F16D0F-4582-4334-9C1A-E65545F28DE0}"/>
    <hyperlink ref="A5400" r:id="rId4125" display="https://www.google.com/url?q=http://codeforces.com/contest/274/problem/D&amp;sa=D&amp;ust=1605639554192000&amp;usg=AFQjCNFLx_jnE_WNnSC9uUPnNrP5iLbaCA" xr:uid="{71DBA7C0-A004-4978-A187-4023217B6813}"/>
    <hyperlink ref="A5401" r:id="rId4126" display="https://www.google.com/url?q=http://codeforces.com/contest/681/problem/D&amp;sa=D&amp;ust=1605639554192000&amp;usg=AFQjCNGJ6D5TApohd7nfflNelXAdb_mHeA" xr:uid="{DC86A93A-8781-4A7E-A1ED-0CFD85E008F2}"/>
    <hyperlink ref="D2489" r:id="rId4127" display="https://www.google.com/url?q=https://github.com/mahmoudbadawy5/CompetitiveProgramming/blob/master/codeforces/CF681-D2-D.cpp&amp;sa=D&amp;ust=1605639554192000&amp;usg=AFQjCNFIFtiEnMevUSq1xm7jCzMC8BdwTg" xr:uid="{4B26D80B-4E51-4F81-93B0-FA4DEF546AAA}"/>
    <hyperlink ref="D1626" r:id="rId4128" display="https://www.google.com/url?q=https://github.com/mostafa-saad/MyCompetitiveProgramming/blob/master/UVA/UVA_12645.txt&amp;sa=D&amp;ust=1605639554195000&amp;usg=AFQjCNHQphvwmEWjSwLDrgKFjx1XwbcnQQ" xr:uid="{7D01C48E-809B-429D-BE16-E6871FA1FC9C}"/>
    <hyperlink ref="A5408" r:id="rId4129" display="https://www.google.com/url?q=http://codeforces.com/contest/645/problem/D&amp;sa=D&amp;ust=1605639554195000&amp;usg=AFQjCNEzOFKRV8Xka8Otbe-7qw6zSoZplw" xr:uid="{77CC8035-0827-4C6A-A7C0-D66C19C2FD18}"/>
    <hyperlink ref="A5409" r:id="rId4130" display="https://www.google.com/url?q=http://codeforces.com/contest/510/problem/C&amp;sa=D&amp;ust=1605639554196000&amp;usg=AFQjCNHMQ8PXwp0nNgc07zpEVNcFGfrkcA" xr:uid="{38A67231-7244-4DBA-ABE4-B98EE1095663}"/>
    <hyperlink ref="A5411" r:id="rId4131" display="https://www.google.com/url?q=https://codeforces.com/contest/1068/problem/E&amp;sa=D&amp;ust=1605639554196000&amp;usg=AFQjCNGlYG7hUxLz_rU5TuEzkUcEHItXuQ" xr:uid="{DAD5249E-BD74-49FA-B067-8FAC19110359}"/>
    <hyperlink ref="D1631" r:id="rId4132" display="https://www.google.com/url?q=https://github.com/VAMPIER000001/CompetitiveProgramming/blob/master/UVA/V-110/UVA%252011060.Cpp&amp;sa=D&amp;ust=1605639554197000&amp;usg=AFQjCNHGpuwf27t1STB-rw1VyUS7tQfuog" xr:uid="{84CE4B48-B779-42EE-B754-8CCA6579A7F6}"/>
    <hyperlink ref="A5413" r:id="rId4133" display="https://www.google.com/url?q=http://codeforces.com/contest/655/problem/D&amp;sa=D&amp;ust=1605639554197000&amp;usg=AFQjCNG9c3x0orffN1VEdGHdIT3nMsA6lA" xr:uid="{ED6FEB3B-7E59-427F-94D4-CEE56ABBD0A9}"/>
    <hyperlink ref="A5415" r:id="rId4134" display="https://www.google.com/url?q=http://codeforces.com/contest/501/problem/C&amp;sa=D&amp;ust=1605639554198000&amp;usg=AFQjCNHKK0n1YcwHhTE3vQkELvVZxuTJfg" xr:uid="{07C626D0-0290-447E-90C5-A3B92BC4EFD4}"/>
    <hyperlink ref="A5416" r:id="rId4135" display="https://www.google.com/url?q=http://codeforces.com/contest/825/problem/E&amp;sa=D&amp;ust=1605639554198000&amp;usg=AFQjCNEJq-a0NOutp2NLzsr1dZOagB99TQ" xr:uid="{B9DE0406-1BB9-42EC-A66D-0414A0DBDA66}"/>
    <hyperlink ref="D661" r:id="rId4136" display="https://www.google.com/url?q=https://github.com/AliOsm/CompetitiveProgramming/blob/master/ACM%2520ICPC%2520Live%2520Archive/6195%2520-%2520The%2520Dueling%2520Philosophers%2520Problem.cpp&amp;sa=D&amp;ust=1605639554199000&amp;usg=AFQjCNGdXcPeo0UtERefUhF23WYY1LlXsQ" xr:uid="{1F352DD6-D921-4C09-9EC0-316EC0A42649}"/>
    <hyperlink ref="D664" r:id="rId4137" display="https://www.google.com/url?q=https://github.com/mostafa-saad/MyCompetitiveProgramming/blob/master/UVA/UVA_12263.txt&amp;sa=D&amp;ust=1605639554200000&amp;usg=AFQjCNEMaOB3bh-IX-g4QEXfONa_koDvmg" xr:uid="{2FE1EDD8-BBC6-4EEF-9723-A3CA63F8A1AD}"/>
    <hyperlink ref="A5422" r:id="rId4138" display="https://www.google.com/url?q=https://csacademy.com/contest/round-60/task/digit-permutation/&amp;sa=D&amp;ust=1605639554200000&amp;usg=AFQjCNEOV-HZLWoddjqDTXCfsc8H_K_I7w" xr:uid="{271020ED-6813-4D8B-B1FC-F361A8525FBA}"/>
    <hyperlink ref="D666" r:id="rId4139" display="https://www.google.com/url?q=https://github.com/VAMPIER000001/CompetitiveProgramming/blob/master/UVA/V-116/UVA%252011686.Cpp&amp;sa=D&amp;ust=1605639554201000&amp;usg=AFQjCNFm125ZdI1KyNZDsKcaV0emprElKg" xr:uid="{06D207C3-AFC9-424B-82F7-28EB68B10C2A}"/>
    <hyperlink ref="D488" r:id="rId4140" display="https://www.google.com/url?q=https://github.com/BRAINOOO/CompetitiveProgramming/blob/1519e5f21442182e46b6cdec30b7f4a90fc74063/Spoj/SPOJ%2520DEPEND.Cpp&amp;sa=D&amp;ust=1605639554201000&amp;usg=AFQjCNH4tzd66iHBsB0jxP1L2Es_UAJJbg" xr:uid="{1E7EEB74-B808-4B50-8810-03B7E42BCAD9}"/>
    <hyperlink ref="D169" r:id="rId4141" display="https://www.google.com/url?q=https://github.com/BidhanRoy/Algorithm-Code-Library/blob/master/Sample%2520Codes/Knuth%2520Optimization%2520(%2520Uva%252010304%2520).cpp&amp;sa=D&amp;ust=1605639554202000&amp;usg=AFQjCNGpQmSlV8uLV9S7CxCjjk8PshZs6A" xr:uid="{44591AA7-3F76-4C11-969A-10D649622CA1}"/>
    <hyperlink ref="A5428" r:id="rId4142" display="https://www.google.com/url?q=http://codeforces.com/contest/132/problem/E&amp;sa=D&amp;ust=1605639554203000&amp;usg=AFQjCNHG8VatrQJ13n44uNxZ_vYoW052hw" xr:uid="{1348592B-95FA-4666-B661-3100BFDC1E02}"/>
    <hyperlink ref="A5430" r:id="rId4143" display="https://www.google.com/url?q=https://www.codechef.com/problems/RIN&amp;sa=D&amp;ust=1605639554203000&amp;usg=AFQjCNHoX-3iKi6smJhCFejJErlFJtUtaA" xr:uid="{B73459E5-161F-46B7-A2BC-6C4C426F2FE1}"/>
    <hyperlink ref="D5220" r:id="rId4144" display="https://www.google.com/url?q=https://ideone.com/F83fze&amp;sa=D&amp;ust=1605639554205000&amp;usg=AFQjCNEhXwSXxF3YnJVrq-5xR5q9c-nk8w" xr:uid="{BE0A5896-BEC5-4F86-BCA7-DB508D19234F}"/>
    <hyperlink ref="A5433" r:id="rId4145" display="https://www.google.com/url?q=http://codeforces.com/contest/724/problem/E&amp;sa=D&amp;ust=1605639554205000&amp;usg=AFQjCNG7bv93_3yqK9aF3B9Q8gRjNyQxmg" xr:uid="{35431411-38B4-44F8-9488-B2BFFF85B98F}"/>
    <hyperlink ref="A5434" r:id="rId4146" display="https://www.google.com/url?q=http://codeforces.com/contest/434/problem/D&amp;sa=D&amp;ust=1605639554205000&amp;usg=AFQjCNEds4amN2W-9bkdjTGGJZ9ePv0Amw" xr:uid="{97CB13B2-0388-4A8B-9BA9-E8748B30704E}"/>
    <hyperlink ref="A5435" r:id="rId4147" display="https://www.google.com/url?q=https://codeforces.com/contest/1146/problem/G&amp;sa=D&amp;ust=1605639554206000&amp;usg=AFQjCNHbDZjhfr0XkzvlUhoPEVQ0cEIp3Q" xr:uid="{0B0B46B9-4401-4463-84DA-4C93B07DCC62}"/>
    <hyperlink ref="A5436" r:id="rId4148" display="https://www.google.com/url?q=https://www.facebook.com/hackercup/problem/448364075989193/&amp;sa=D&amp;ust=1605639554206000&amp;usg=AFQjCNHCIAKTYhMOuytmJ0qc4E6aK9lznQ" xr:uid="{5DC28BD5-2F59-4CBB-A524-4127AA2F9D46}"/>
    <hyperlink ref="A5397" r:id="rId4149" display="https://www.google.com/url?q=https://codeforces.com/contest/808/problem/F&amp;sa=D&amp;ust=1605639554206000&amp;usg=AFQjCNFmXL6U7eHrpqvb_uGv4v_IUWNZ9A" xr:uid="{0BC58E1F-A6E2-4B54-B6B3-8D4566AA7E41}"/>
    <hyperlink ref="D3944" r:id="rId4150" display="https://www.google.com/url?q=https://github.com/mostafa-saad/MyCompetitiveProgramming/blob/master/UVA/UVA_11765.txt&amp;sa=D&amp;ust=1605639554207000&amp;usg=AFQjCNH3LgijdZ-XLj2tGuZuKqDUT1QI3Q" xr:uid="{A9D81A17-DEC9-4B56-BCC4-CA4CC29F5A95}"/>
    <hyperlink ref="D3711" r:id="rId4151" display="https://www.google.com/url?q=https://github.com/mostafa-saad/MyCompetitiveProgramming/blob/master/UVA/UVA_11419.txt&amp;sa=D&amp;ust=1605639554207000&amp;usg=AFQjCNFNcYQkCPP93PSqsQfrWulQcZlXCQ" xr:uid="{425A7EAB-55E8-407D-A75D-647C4E6C190D}"/>
    <hyperlink ref="D3026" r:id="rId4152" display="https://www.google.com/url?q=https://github.com/Huvok/CompetitiveProgramming/blob/master/SPOJ/COCONUTS.cpp&amp;sa=D&amp;ust=1605639554208000&amp;usg=AFQjCNHkz8gROw_sCq6sVZYSTqyDbm0iDw" xr:uid="{43929EF1-8BEE-4E2F-9BA8-A8864FE8006A}"/>
    <hyperlink ref="D3027" r:id="rId4153" display="https://www.google.com/url?q=https://github.com/HeartBlue/CompetitiveProgramming/blob/master/LIVEARCHIVE/LIVEARCHIVE%25205099%2520Nubulsa%2520Expo.cpp&amp;sa=D&amp;ust=1605639554208000&amp;usg=AFQjCNGNf5FsuvRhz6k--Nq0_v6nC6x9Nw" xr:uid="{A98C0F6A-7D41-4DAF-9F21-5F4FB181470A}"/>
    <hyperlink ref="D2875" r:id="rId4154" display="https://www.google.com/url?q=https://github.com/Huvok/CompetitiveProgramming/blob/master/Topcoder/SRM465-D1-500.cpp&amp;sa=D&amp;ust=1605639554209000&amp;usg=AFQjCNEg9puH9Uk-WRIeB761un2H_o0J-Q" xr:uid="{566AAAE6-7320-4BEE-A691-D592420E03A6}"/>
    <hyperlink ref="D2494" r:id="rId4155" display="https://www.google.com/url?q=https://github.com/mostafa-saad/MyCompetitiveProgramming/blob/master/ZOJ/ZOJ_2587.txt&amp;sa=D&amp;ust=1605639554209000&amp;usg=AFQjCNFzlQil2AdYWLOYEyI6BpdvySQQCQ" xr:uid="{409F0F5A-464F-478B-A6E3-2312CCC65EB7}"/>
    <hyperlink ref="D2495" r:id="rId4156" display="https://www.google.com/url?q=https://github.com/MohamedNabil97/CompetitiveProgramming/blob/master/TopCoder/SRM447-D1-500.cpp&amp;sa=D&amp;ust=1605639554210000&amp;usg=AFQjCNFLwfqlIr5fK6Lu9Rtgk1vH9Wr4XQ" xr:uid="{202DF537-8118-457C-A7CB-A17BBC7B69DC}"/>
    <hyperlink ref="A5445" r:id="rId4157" display="https://www.google.com/url?q=https://uva.onlinejudge.org/index.php?option%3Donlinejudge%26page%3Dshow_problem%26problem%3D2501&amp;sa=D&amp;ust=1605639554211000&amp;usg=AFQjCNG_Yr8X7m619k3saZyzaTg_leTtDw" xr:uid="{506D0AAA-B7ED-4695-877C-BFA3E808238B}"/>
    <hyperlink ref="D2400" r:id="rId4158" display="https://www.google.com/url?q=https://github.com/abdullaAshraf/Problem-Solving/blob/master/UVA/11506.cpp&amp;sa=D&amp;ust=1605639554211000&amp;usg=AFQjCNGNBOko88xy8Y0-RZ1Lph4JPZYPEg" xr:uid="{CD6A53FE-32FE-452B-8C69-4598E79161DD}"/>
    <hyperlink ref="A5446" r:id="rId4159" display="https://www.google.com/url?q=https://uva.onlinejudge.org/index.php?option%3Donlinejudge%26page%3Dshow_problem%26problem%3D1421&amp;sa=D&amp;ust=1605639554211000&amp;usg=AFQjCNHE0iRZ3jYS5FO74wB3ZCDcIejEeA" xr:uid="{3D9810F2-4B7D-4B81-8FD6-FCF64C3BA6C8}"/>
    <hyperlink ref="D1203" r:id="rId4160" display="https://www.google.com/url?q=https://github.com/abdullaAshraf/Problem-Solving/blob/master/UVA/10480.cpp&amp;sa=D&amp;ust=1605639554212000&amp;usg=AFQjCNFzpF5HcVM-Vn79hcT-CIHlRuoAWw" xr:uid="{DA32968B-0D64-4FBA-ADA3-C6B4D1434425}"/>
    <hyperlink ref="A5491" r:id="rId4161" display="https://www.google.com/url?q=https://www.hackerrank.com/challenges/mathematical-expectation&amp;sa=D&amp;ust=1605639554212000&amp;usg=AFQjCNHmW3pBTyvRxaq2v9MOu3AYmFAqzg" xr:uid="{E3657F1A-F791-4544-BACB-874175C77F5D}"/>
    <hyperlink ref="A5508" r:id="rId4162" display="https://www.google.com/url?q=https://www.hackerrank.com/challenges/assignment&amp;sa=D&amp;ust=1605639554213000&amp;usg=AFQjCNH2tA5TuWcSlQfYQlpSPLlk3-Bcug" xr:uid="{7372782F-5902-498A-8CD8-3282D3990786}"/>
    <hyperlink ref="A5509" r:id="rId4163" display="https://www.google.com/url?q=https://www.hackerrank.com/challenges/random&amp;sa=D&amp;ust=1605639554213000&amp;usg=AFQjCNFfGwvBmkZHu1aIvNNZLkTnEsVisQ" xr:uid="{BA3CCEB3-B322-4864-B874-7B12FB7BC9D6}"/>
    <hyperlink ref="A5544" r:id="rId4164" display="https://www.google.com/url?q=https://www.hackerrank.com/challenges/rirb&amp;sa=D&amp;ust=1605639554213000&amp;usg=AFQjCNFjhVDMgQiWic6pbR9zNsdhDCdnYQ" xr:uid="{A5111273-789F-48C7-B9FE-C0246EA43300}"/>
    <hyperlink ref="D5221" r:id="rId4165" display="https://www.google.com/url?q=https://github.com/mostafa-saad/MyCompetitiveProgramming/blob/master/TopCoder/SRM526.5-D1-500.txt&amp;sa=D&amp;ust=1605639554215000&amp;usg=AFQjCNGFZ9eOIkoNWtaCTybwI58vXaq-Hw" xr:uid="{F83EE961-3F57-4EAA-8BC3-1535BFC244F7}"/>
    <hyperlink ref="A5552" r:id="rId4166" display="https://www.google.com/url?q=https://codeforces.com/contest/1194/problem/F&amp;sa=D&amp;ust=1605639554215000&amp;usg=AFQjCNGChJJ9SJA8vQ-uBnl9PTgDlgZNGQ" xr:uid="{4317738B-1FE1-4787-9051-B6D9F4981391}"/>
    <hyperlink ref="A5553" r:id="rId4167" display="https://www.google.com/url?q=https://www.hackerrank.com/challenges/kevin-and-expected-value&amp;sa=D&amp;ust=1605639554216000&amp;usg=AFQjCNH7O9554Jnnr3_RnKD0X4tmFv3CyA" xr:uid="{3648522B-EC11-4D20-A8DB-07644B7FAF5C}"/>
    <hyperlink ref="A5562" r:id="rId4168" display="https://www.google.com/url?q=https://codeforces.com/contest/1042/problem/E&amp;sa=D&amp;ust=1605639554216000&amp;usg=AFQjCNHkt-UnaFUoWL2WQ8A8QJYS6cyePA" xr:uid="{44FED7E6-1225-4B09-B993-AD897B052785}"/>
    <hyperlink ref="A5470" r:id="rId4169" display="https://www.google.com/url?q=http://codeforces.com/contest/280/problem/C&amp;sa=D&amp;ust=1605639554217000&amp;usg=AFQjCNEdvrCKsnkxt1bBYvJWkwvz7Mt0VA" xr:uid="{ED7521F0-ED99-4F18-9E01-D81B367DB882}"/>
    <hyperlink ref="A5471" r:id="rId4170" display="https://www.google.com/url?q=https://www.hackerrank.com/challenges/matchstick-experiment&amp;sa=D&amp;ust=1605639554217000&amp;usg=AFQjCNFaz8idHvZ8WbBy6FlgSVQRvXwfDQ" xr:uid="{A1A51D78-D3F9-4BA7-AB8B-783C9BF486BE}"/>
    <hyperlink ref="A5473" r:id="rId4171" display="https://www.google.com/url?q=http://codeforces.com/contest/138/problem/C&amp;sa=D&amp;ust=1605639554218000&amp;usg=AFQjCNEIlSAJepJ6HrVdJYkz4arSNNgwsw" xr:uid="{E215828B-18EA-4C93-9485-4482434545A4}"/>
    <hyperlink ref="A5475" r:id="rId4172" display="https://www.google.com/url?q=https://csacademy.com/contest/round-47/task/expected-merge/&amp;sa=D&amp;ust=1605639554219000&amp;usg=AFQjCNESJyFxzKj8HXA6xNG91H5qhzdc8A" xr:uid="{F05E39F3-BD11-4D2B-8648-967D6C199550}"/>
    <hyperlink ref="A5476" r:id="rId4173" display="https://www.google.com/url?q=http://codeforces.com/contest/280/problem/C&amp;sa=D&amp;ust=1605639554219000&amp;usg=AFQjCNHZSZACwee8WXW7k0xp0Nuqfyp99g" xr:uid="{3F25A102-91BF-4883-8E81-D8881CBFB9CE}"/>
    <hyperlink ref="A5477" r:id="rId4174" display="https://www.google.com/url?q=https://www.codechef.com/COOK108A/problems/EXPTPROD&amp;sa=D&amp;ust=1605639554220000&amp;usg=AFQjCNFrOEjGUcFDQhGgDZwvS1cS4dgIAQ" xr:uid="{16028760-F79F-443C-A688-847421E30E76}"/>
    <hyperlink ref="D3713" r:id="rId4175" display="https://www.google.com/url?q=https://github.com/goswami-rahul/competitive-coding/blob/master/CompetitiveProgramming/codechef/EXPTPROD.cpp&amp;sa=D&amp;ust=1605639554220000&amp;usg=AFQjCNG2kBNJHndNUrL-_mA3ORMYNqr9Jg" xr:uid="{E91597CD-3715-41BC-A759-0E9133646387}"/>
    <hyperlink ref="A5478" r:id="rId4176" display="https://www.google.com/url?q=http://codeforces.com/contest/139/problem/E&amp;sa=D&amp;ust=1605639554220000&amp;usg=AFQjCNHYRydNm_Mhst_u825m3r8xzie_RA" xr:uid="{44725D15-9E10-40FF-B733-D98C6ED08E9B}"/>
    <hyperlink ref="A5479" r:id="rId4177" display="https://www.google.com/url?q=https://github.com/3agwa/CompetitiveProgramming/blob/master/CodeForces/CF268-D2-E.cpp&amp;sa=D&amp;ust=1605639554221000&amp;usg=AFQjCNFRNz8OpE9rbqlO3YyANcoxsHTGNw" xr:uid="{09024C82-A616-4D50-BFCF-6A6DE23972E8}"/>
    <hyperlink ref="D3028" r:id="rId4178" display="https://www.google.com/url?q=https://github.com/3agwa/CompetitiveProgramming/blob/master/CodeForces/CF268-D2-E.cpp&amp;sa=D&amp;ust=1605639554221000&amp;usg=AFQjCNFRNz8OpE9rbqlO3YyANcoxsHTGNw" xr:uid="{3363E988-12C4-4CD5-BE59-0A8F8DC08503}"/>
    <hyperlink ref="A5487" r:id="rId4179" display="https://www.google.com/url?q=https://www.codechef.com/problems/FSSYNC&amp;sa=D&amp;ust=1605639554222000&amp;usg=AFQjCNGEKRHUb8YX_GOMu88nr3tkLMGD5Q" xr:uid="{BE151E72-3524-437A-B6F6-560228693FFB}"/>
    <hyperlink ref="D3029" r:id="rId4180" display="https://www.google.com/url?q=https://github.com/AMR-KELEG/Competitive-Programming/blob/master/Codechef/FSSYNC.cpp&amp;sa=D&amp;ust=1605639554222000&amp;usg=AFQjCNHQNZCNBSwZuU-1uujxL0s6bNvL-A" xr:uid="{8F0DBB7B-AE69-4C4C-9F5F-4B61B4CA8781}"/>
    <hyperlink ref="A5488" r:id="rId4181" display="https://www.google.com/url?q=https://codeforces.com/contest/1009/problem/E&amp;sa=D&amp;ust=1605639554222000&amp;usg=AFQjCNGfnq8vV1OU54euN1Xs994bVZ3jAQ" xr:uid="{A789EBD1-8AE4-41C0-B1DD-3B6555F28A39}"/>
    <hyperlink ref="D3030" r:id="rId4182" display="https://www.google.com/url?q=https://github.com/SpeedOfMagic/CompetitiveProgramming/blob/master/Codeforces/CF1009-D12-E.cpp&amp;sa=D&amp;ust=1605639554222000&amp;usg=AFQjCNGwf9YfZ0Q-v6rFQqWX0-ohmEZKjA" xr:uid="{7DD4024E-C2BE-48E9-BF06-69D2D26DFE3D}"/>
    <hyperlink ref="A5489" r:id="rId4183" display="https://www.google.com/url?q=http://codeforces.com/problemset/problem/846/F&amp;sa=D&amp;ust=1605639554231000&amp;usg=AFQjCNGytCq1i47KZQeiqtRve73U3zQbMQ" xr:uid="{0FFC95EA-4112-4258-AD51-467B8819666E}"/>
    <hyperlink ref="A5492" r:id="rId4184" display="https://www.google.com/url?q=http://codeforces.com/problemset/gymProblem/101411/K&amp;sa=D&amp;ust=1605639554232000&amp;usg=AFQjCNE85XzwY8IdDollwqfS4kYyz8hluA" xr:uid="{9AF57952-ED89-4D67-8487-D3EF034B0510}"/>
    <hyperlink ref="A5494" r:id="rId4185" display="https://www.google.com/url?q=http://codeforces.com/problemset/problem/912/D&amp;sa=D&amp;ust=1605639554233000&amp;usg=AFQjCNFJGp0RCAanyupmlzhUdL4X-3QRNA" xr:uid="{CAB556E3-8537-4B51-A6A4-65C946BAFD94}"/>
    <hyperlink ref="A5496" r:id="rId4186" display="https://www.google.com/url?q=http://codeforces.com/contest/500/problem/D&amp;sa=D&amp;ust=1605639554235000&amp;usg=AFQjCNEpQDlpxnx4_Zz3tUk8FcWBkzWdsg" xr:uid="{9730B86D-5E04-4D6C-862A-F117D65D0168}"/>
    <hyperlink ref="A5497" r:id="rId4187" display="https://www.google.com/url?q=http://codeforces.com/contest/205/problem/E&amp;sa=D&amp;ust=1605639554235000&amp;usg=AFQjCNFkVYl2EUi92tTDvnvUfQBw0cfxLg" xr:uid="{E2BBE546-0CB3-433B-94F7-273057B49A98}"/>
    <hyperlink ref="D2401" r:id="rId4188" display="https://www.google.com/url?q=https://github.com/tmwilliamlin168/CompetitiveProgramming/blob/master/TopCoder/SRM515-D2-1000.java&amp;sa=D&amp;ust=1605639554236000&amp;usg=AFQjCNFENEhbUWOr9EfFJujEQTUsTfi8BA" xr:uid="{0C7B1D49-48BF-42DB-9FCE-F9BD539AFB98}"/>
    <hyperlink ref="A5500" r:id="rId4189" display="https://www.google.com/url?q=https://codeforces.com/gym/102020/problem/E&amp;sa=D&amp;ust=1605639554237000&amp;usg=AFQjCNGpAixQQIw6PibRgjl_WwaCb_Bwug" xr:uid="{5AE92394-A77F-42A7-A8A3-D394A7BBD051}"/>
    <hyperlink ref="D1637" r:id="rId4190" display="https://www.google.com/url?q=https://github.com/YazanZebak/CompetitiveProgramming/blob/master/Codeforces/CF102020-GYM-E.cpp&amp;sa=D&amp;ust=1605639554237000&amp;usg=AFQjCNFZWg65EdisJUtxIy_VQS8FQEQwvw" xr:uid="{C8F7357F-FACB-4038-B8DB-A5FE860DFFAB}"/>
    <hyperlink ref="A5501" r:id="rId4191" display="https://www.google.com/url?q=https://www.hackerrank.com/challenges/vertical-sticks&amp;sa=D&amp;ust=1605639554237000&amp;usg=AFQjCNFfi2I8TYc23wxChfY8FWFreoJloQ" xr:uid="{F720DBAA-1186-4C63-B484-4E16CE49642D}"/>
    <hyperlink ref="A5503" r:id="rId4192" display="https://www.google.com/url?q=http://codeforces.com/contest/621/problem/C&amp;sa=D&amp;ust=1605639554238000&amp;usg=AFQjCNEEoqS95s4V3H_4pYk35CEiphL3Zw" xr:uid="{115C8D14-7B90-40DE-A893-D55B8296602C}"/>
    <hyperlink ref="A5504" r:id="rId4193" display="https://www.google.com/url?q=http://codeforces.com/contest/443/problem/D&amp;sa=D&amp;ust=1605639554239000&amp;usg=AFQjCNHVjHSnMxS6keg1eQjFZpEfkGVjYw" xr:uid="{B7A746F7-8BEE-4E75-BA91-8E4AAFE99B75}"/>
    <hyperlink ref="D1205" r:id="rId4194" display="https://www.google.com/url?q=http://codeforces.com/contest/443/submission/27060632&amp;sa=D&amp;ust=1605639554239000&amp;usg=AFQjCNEhqjqecaKPUftU4Sqz5jIqo7YSRA" xr:uid="{F5A7DC39-5230-4FB5-AB83-8FB7F12B91D9}"/>
    <hyperlink ref="A5505" r:id="rId4195" display="https://www.google.com/url?q=http://codeforces.com/contest/454/problem/C&amp;sa=D&amp;ust=1605639554239000&amp;usg=AFQjCNGcaC7yEi_XiSOzFJfzoKIjaD6SLg" xr:uid="{95A3A2CC-6C90-498C-ABBD-DD0A4B2BD864}"/>
    <hyperlink ref="A5507" r:id="rId4196" display="https://www.google.com/url?q=http://codeforces.com/contest/839/problem/C&amp;sa=D&amp;ust=1605639554240000&amp;usg=AFQjCNFLvxZV7ApSFYwP4sffSG-LvwJrvA" xr:uid="{281BB4C4-0605-498E-A591-40C8F2C67723}"/>
    <hyperlink ref="A5510" r:id="rId4197" display="https://www.google.com/url?q=https://uva.onlinejudge.org/index.php?option%3Dcom_onlinejudge%26Itemid%3D8%26page%3Dshow_problem%26problem%3D1718&amp;sa=D&amp;ust=1605639554241000&amp;usg=AFQjCNF-wzLExfbPn7pCQZzCrYlW86ZObw" xr:uid="{2BDB9ED6-EE75-4CBA-A92F-C70558E718DB}"/>
    <hyperlink ref="D670" r:id="rId4198" display="https://www.google.com/url?q=https://github.com/mostafa-saad/MyCompetitiveProgramming/blob/master/UVA/UVA_10777.txt&amp;sa=D&amp;ust=1605639554241000&amp;usg=AFQjCNGTT5TLfv4M0YyNKvolxM1dOn5_xg" xr:uid="{E729B76F-1CB4-45A3-9FE6-D8BCBCC30714}"/>
    <hyperlink ref="A5511" r:id="rId4199" display="https://www.google.com/url?q=https://csacademy.com/contest/round-43/task/diesel-train/&amp;sa=D&amp;ust=1605639554241000&amp;usg=AFQjCNHa_PqgD8xlFRyx7iCshhZp4s4EZg" xr:uid="{8A27B12F-8BE6-4FAA-A161-717CDD9F124E}"/>
    <hyperlink ref="A5512" r:id="rId4200" display="https://www.google.com/url?q=https://www.hackerrank.com/challenges/lazy-sorting&amp;sa=D&amp;ust=1605639554242000&amp;usg=AFQjCNEuTfxT8nVUeCBOhhmOmgYnhQPXsQ" xr:uid="{581390F6-C471-4DE0-BFF3-E07C3BDAEF19}"/>
    <hyperlink ref="D672" r:id="rId4201" display="https://www.google.com/url?q=https://www.youtube.com/watch?v%3Dj__Kredt7vY&amp;sa=D&amp;ust=1605639554242000&amp;usg=AFQjCNEOrMw-WT6HdIXY6wnpHz6jkt_j4Q" xr:uid="{65CDEB88-A535-4A75-AED0-A6448FE919AC}"/>
    <hyperlink ref="A5514" r:id="rId4202" display="https://www.google.com/url?q=http://codeforces.com/contest/487/problem/E&amp;sa=D&amp;ust=1605639554243000&amp;usg=AFQjCNGx69DCQPyhAkqdVsud2f8xwVjfuA" xr:uid="{47B33D19-5690-425B-A83B-A4C5232CB0B2}"/>
    <hyperlink ref="A5515" r:id="rId4203" display="https://www.google.com/url?q=http://codeforces.com/contest/348/problem/E&amp;sa=D&amp;ust=1605639554243000&amp;usg=AFQjCNE3Id2KJu00pGrCHTK6m-TLx6QZ7g" xr:uid="{28CEEF79-CD09-4247-BA70-C535AEFBAAD0}"/>
    <hyperlink ref="A5516" r:id="rId4204" display="https://www.google.com/url?q=http://www.codechef.com/problems/DGCD&amp;sa=D&amp;ust=1605639554243000&amp;usg=AFQjCNGJuSytnNM6LRT9EIEnF9uwY__l8A" xr:uid="{37517A68-4FBA-448F-B1DD-1D2ED4A55FC4}"/>
    <hyperlink ref="A5517" r:id="rId4205" display="https://www.google.com/url?q=https://www.codechef.com/problems/QTREE6&amp;sa=D&amp;ust=1605639554243000&amp;usg=AFQjCNGEHp9uswTOP_1CKIWEpLpoRRQ36A" xr:uid="{465DD78A-E37D-4A57-90CC-B9F8F415597E}"/>
    <hyperlink ref="A5518" r:id="rId4206" display="https://www.google.com/url?q=https://codeforces.com/contest/1017/problem/G&amp;sa=D&amp;ust=1605639554244000&amp;usg=AFQjCNH18mlOQLPu4ENV4LDdgYK8fPjIsw" xr:uid="{D5E8CD2B-DC7B-4024-B009-80BE4290AC6D}"/>
    <hyperlink ref="A5519" r:id="rId4207" display="https://www.google.com/url?q=https://codeforces.com/problemset/problem/1007/D&amp;sa=D&amp;ust=1605639554244000&amp;usg=AFQjCNF_kcwJUNfWxIeuC0n0b2hcoAWt3A" xr:uid="{18C61513-88ED-45F2-9780-08815F061177}"/>
    <hyperlink ref="A5520" r:id="rId4208" display="https://www.google.com/url?q=https://ipsc.ksp.sk/2009/real/problems/l.html&amp;sa=D&amp;ust=1605639554244000&amp;usg=AFQjCNFrTKQTsdmXpRe4ddqMPlXzIpp_vg" xr:uid="{ADAC2FF6-0DE7-43DD-B0F4-3A53A6F80B7D}"/>
    <hyperlink ref="A5521" r:id="rId4209" display="https://www.google.com/url?q=https://codeforces.com/gym/101908/problem/H&amp;sa=D&amp;ust=1605639554246000&amp;usg=AFQjCNFkU0BgpxxgP5kwKwK3JrCL3SPgPQ" xr:uid="{E7858452-2386-489C-813B-80F2A4804A45}"/>
    <hyperlink ref="D5073" r:id="rId4210" display="https://www.google.com/url?q=https://github.com/swapnil119/CompetitiveProgramming/blob/master/CompetitiveProgramming/Codeforces/CF101908-GYM-H.cpp&amp;sa=D&amp;ust=1605639554246000&amp;usg=AFQjCNFE8p4boCtsrIXrMlooYsprsT3gvA" xr:uid="{AAEE209C-B315-4577-83D4-DD5625A92FAC}"/>
    <hyperlink ref="A5524" r:id="rId4211" display="https://www.google.com/url?q=http://codeforces.com/contest/696/problem/E&amp;sa=D&amp;ust=1605639554247000&amp;usg=AFQjCNGYhk4YWJJYWsNM_m8wIbBygUiojQ" xr:uid="{FF28AC3E-881C-4DDF-BC1C-8960DF149F92}"/>
    <hyperlink ref="A5525" r:id="rId4212" display="https://www.google.com/url?q=http://codeforces.com/contest/613/problem/D&amp;sa=D&amp;ust=1605639554248000&amp;usg=AFQjCNHnE2gznMOUJn9YnbgWAyyukk1w-A" xr:uid="{C144B4F3-AB69-44DB-824A-C2AAF6B316AD}"/>
    <hyperlink ref="A5526" r:id="rId4213" display="https://www.google.com/url?q=http://codeforces.com/contest/601/problem/D&amp;sa=D&amp;ust=1605639554248000&amp;usg=AFQjCNGidJzCETMY517Dg4muazFzkfh0CQ" xr:uid="{2787FEEE-6D5C-4964-B8A2-DFF26E2CE654}"/>
    <hyperlink ref="A5527" r:id="rId4214" display="https://www.google.com/url?q=http://codeforces.com/contest/588/problem/E&amp;sa=D&amp;ust=1605639554249000&amp;usg=AFQjCNHewG-TxWCCiQyDJxEjyYZb_agtEQ" xr:uid="{9A7B7F56-CB94-49FB-937F-A3EFD9954EA8}"/>
    <hyperlink ref="A5528" r:id="rId4215" display="https://www.google.com/url?q=https://www.codechef.com/problems/MONOPLOY&amp;sa=D&amp;ust=1605639554249000&amp;usg=AFQjCNHVvyHG2sivzfbE8wIsObner3gZ2w" xr:uid="{3DF99882-52F8-4A62-948D-977A83CDD476}"/>
    <hyperlink ref="A5529" r:id="rId4216" display="https://www.google.com/url?q=https://codeforces.com/contest/828/problem/F&amp;sa=D&amp;ust=1605639554249000&amp;usg=AFQjCNGRigft9kwaxhcPnGT3hNJ52dfELQ" xr:uid="{4198FF8F-99F9-4153-A458-022F64440493}"/>
    <hyperlink ref="A5530" r:id="rId4217" display="https://www.google.com/url?q=http://www.codechef.com/problems/GERALD2&amp;sa=D&amp;ust=1605639554250000&amp;usg=AFQjCNHa4PGS7ZvB_QmXbDSwjq9iCEQrjw" xr:uid="{D6B9051D-70B2-4257-944E-C6C352EE0ACE}"/>
    <hyperlink ref="A5531" r:id="rId4218" display="https://www.google.com/url?q=http://www.codechef.com/problems/QTREE&amp;sa=D&amp;ust=1605639554250000&amp;usg=AFQjCNHRURlHDd2uouT4Lrp8tqxyUgbCQg" xr:uid="{CAB35CF8-65DB-426B-BCDB-D8E25A4C995B}"/>
    <hyperlink ref="D3034" r:id="rId4219" display="https://www.google.com/url?q=https://github.com/Coder-Boy1/SPOJ/blob/master/SPOJ%2520GOT&amp;sa=D&amp;ust=1605639554251000&amp;usg=AFQjCNFdTdxBCUwbReYyqZsZPVW-4WSgnw" xr:uid="{C9A60018-4B84-4CEC-AE16-833DB5A6D4A5}"/>
    <hyperlink ref="A5533" r:id="rId4220" display="https://www.google.com/url?q=http://www.codechef.com/problems/QUERY&amp;sa=D&amp;ust=1605639554251000&amp;usg=AFQjCNEtaoWbeu5flb5lc1RLhSJFH0qZ1g" xr:uid="{3F9BC427-D6F8-4FFD-ABE6-A178E9F7EA4E}"/>
    <hyperlink ref="A5534" r:id="rId4221" display="https://www.google.com/url?q=https://www.codechef.com/JUNE19A/problems/INTRPATH&amp;sa=D&amp;ust=1605639554252000&amp;usg=AFQjCNHCAUmHyTtDqvZXtY6xtlT58eh3aw" xr:uid="{96C700B6-60C1-48E4-930C-B31802567063}"/>
    <hyperlink ref="A5536" r:id="rId4222" display="https://www.google.com/url?q=http://codeforces.com/contest/343/problem/D&amp;sa=D&amp;ust=1605639554253000&amp;usg=AFQjCNHzmWxFwTASJHPA_a_C01Q7Xa2veA" xr:uid="{0399F56B-C2C0-4BA3-AF08-9C8FF074B15B}"/>
    <hyperlink ref="D2505" r:id="rId4223" display="https://www.google.com/url?q=https://github.com/mostafa-saad/MyCompetitiveProgramming/blob/master/PKU/PKU_2763.txt&amp;sa=D&amp;ust=1605639554253000&amp;usg=AFQjCNHIlqBiYCvDoy89zcFW1Gt2ZeCHJg" xr:uid="{66779623-B349-4D0F-A175-13ED24CC6745}"/>
    <hyperlink ref="D1641" r:id="rId4224" display="https://www.google.com/url?q=https://github.com/WaleedAbdelhakim/Competitive-Programming/blob/master/SPOJ/QTREE3.cpp&amp;sa=D&amp;ust=1605639554254000&amp;usg=AFQjCNGb2KMYmwfIDEWORzfpSSyNbxZYSQ" xr:uid="{0D391687-5CB4-43C3-9318-510842D29F02}"/>
    <hyperlink ref="D1643" r:id="rId4225" display="https://www.google.com/url?q=https://github.com/luciocf/OI-Problems/blob/master/USACO/USACO%25202011-2012/Gold/Dec%25202011/grassplant.cpp&amp;sa=D&amp;ust=1605639554254000&amp;usg=AFQjCNFHuCJ1s8xCO2jl0_MPg3BmnAZouA" xr:uid="{E8EFD19D-B22A-4BA6-9FBF-D503B5330302}"/>
    <hyperlink ref="A5542" r:id="rId4226" display="https://www.google.com/url?q=http://www.lightoj.com/volume_showproblem.php?problem%3D1348&amp;sa=D&amp;ust=1605639554255000&amp;usg=AFQjCNGkPQ7s5qtN_t_PqU2sFn2kNFysgQ" xr:uid="{DBCFFFCD-7DF8-4BF4-AEC6-926158EF2C2A}"/>
    <hyperlink ref="A5543" r:id="rId4227" display="https://www.google.com/url?q=https://codeforces.com/problemset/problem/1254/D&amp;sa=D&amp;ust=1605639554255000&amp;usg=AFQjCNHucxi_Ki7YuH0-pwjiKenGvihlSg" xr:uid="{5B2ECD13-B3A9-4EBB-9506-0C7F2E4CE072}"/>
    <hyperlink ref="A5545" r:id="rId4228" display="https://www.google.com/url?q=https://www.hackerrank.com/contests/w38/challenges/neighborhood-queries&amp;sa=D&amp;ust=1605639554256000&amp;usg=AFQjCNGYZ88yaNNqUxlgtCpcw31JDklofA" xr:uid="{089A66AC-AB6C-459C-99A4-5F58165A7E7F}"/>
    <hyperlink ref="D5224" r:id="rId4229" display="https://www.google.com/url?q=https://github.com/mostafa-saad/MyCompetitiveProgramming/blob/master/HACKERRANK/HACKR-neighborhood-queries.txt&amp;sa=D&amp;ust=1605639554256000&amp;usg=AFQjCNHiDYez8oLpLRrVKlO4q_qot_LOhw" xr:uid="{9AEBEC98-9500-4425-8E30-33525ACE098E}"/>
    <hyperlink ref="A5546" r:id="rId4230" display="https://www.google.com/url?q=https://codeforces.com/contest/1205/problem/D&amp;sa=D&amp;ust=1605639554257000&amp;usg=AFQjCNEN7GHl0poK810Jf5c-VZ1otp29CA" xr:uid="{0F76F7E8-7247-4BCC-8F29-74E6730E8307}"/>
    <hyperlink ref="A5547" r:id="rId4231" display="https://www.google.com/url?q=http://codeforces.com/contest/833/problem/D&amp;sa=D&amp;ust=1605639554257000&amp;usg=AFQjCNHhgQwYjtEWEqCTg9GP4wTIJAKMPg" xr:uid="{14FD8E97-521A-4C45-95BF-D9AD37328991}"/>
    <hyperlink ref="D4375" r:id="rId4232" display="https://www.google.com/url?q=https://github.com/tmwilliamlin168/CompetitiveProgramming/blob/master/CodeForces/0833D.cpp&amp;sa=D&amp;ust=1605639554257000&amp;usg=AFQjCNFTR_Kh22Oc0Wr3pfft9aJQLevj2Q" xr:uid="{A9BF279A-DDC0-43A7-919E-33E52AAE7560}"/>
    <hyperlink ref="A5548" r:id="rId4233" display="https://www.google.com/url?q=http://codeforces.com/contest/914/problem/E&amp;sa=D&amp;ust=1605639554258000&amp;usg=AFQjCNEBpCSX7iXE8dSRsuiC3gFNNqmXRQ" xr:uid="{F4440974-BAD8-48A9-9037-5375BC0D25DA}"/>
    <hyperlink ref="A5549" r:id="rId4234" display="https://www.google.com/url?q=https://codeforces.com/gym/100570/problem/F&amp;sa=D&amp;ust=1605639554258000&amp;usg=AFQjCNHRxUmTNXfOl3dZaLIOmwu9Ci606w" xr:uid="{7A25BF06-275C-4E71-9D7A-8E170A1E1129}"/>
    <hyperlink ref="A5550" r:id="rId4235" display="https://www.google.com/url?q=https://www.codechef.com/problems/PRIMEDST&amp;sa=D&amp;ust=1605639554258000&amp;usg=AFQjCNG_CVnMLBKZyf9PvwEq-hLS-IZO_A" xr:uid="{5E753C6D-9075-4F98-912C-8984C7D5F9EB}"/>
    <hyperlink ref="A5554" r:id="rId4236" display="https://www.google.com/url?q=https://www.hackerrank.com/challenges/bst-maintenance/problem&amp;sa=D&amp;ust=1605639554259000&amp;usg=AFQjCNENDmxQAx98Yc9c7lOL25iV7bg6jQ" xr:uid="{258D88DB-0806-4766-B6E2-E4F1DCA0F264}"/>
    <hyperlink ref="A5555" r:id="rId4237" display="https://www.google.com/url?q=http://codeforces.com/contest/322/problem/E&amp;sa=D&amp;ust=1605639554259000&amp;usg=AFQjCNGWXBQ-aVhVCgHXP3za-sChyOf9Uw" xr:uid="{BD0982F7-94E5-4E8A-AA4E-34D2D0857C1C}"/>
    <hyperlink ref="A5556" r:id="rId4238" display="https://www.google.com/url?q=https://www.devskill.com/CodingProblems/ViewProblem/176&amp;sa=D&amp;ust=1605639554259000&amp;usg=AFQjCNFN-Eow2RxVoDiJNF7wqQ3eucOPiw" xr:uid="{51CE8A56-B8CE-4DF7-90E8-DA2F4BD09312}"/>
    <hyperlink ref="D3040" r:id="rId4239" display="https://www.google.com/url?q=https://github.com/mostafa-saad/MyCompetitiveProgramming/blob/master/DCP/DCP_176.txt&amp;sa=D&amp;ust=1605639554260000&amp;usg=AFQjCNFOyNqhZ22QJX7rmVh_IPNSACOAvA" xr:uid="{D00B1AD5-5E8A-409E-86BC-35D23D792C29}"/>
    <hyperlink ref="D2876" r:id="rId4240" display="https://www.google.com/url?q=https://github.com/nya-nya-meow/CompetitiveProgramming/blob/master/SPOJ/QTREE5.cpp&amp;sa=D&amp;ust=1605639554260000&amp;usg=AFQjCNEvU3g3peMT1C_YxeHeZkeQUJfBlw" xr:uid="{73729512-EB6D-45DC-8FAA-FCB46CB73FB9}"/>
    <hyperlink ref="A5558" r:id="rId4241" display="https://www.google.com/url?q=http://codeforces.com/contest/766/problem/E&amp;sa=D&amp;ust=1605639554261000&amp;usg=AFQjCNH2AVbCHlNDPKYSiu4H-4mwvfYslg" xr:uid="{30194178-F866-4058-BF83-4DDC5ADDDABB}"/>
    <hyperlink ref="A5559" r:id="rId4242" display="https://www.google.com/url?q=https://codeforces.com/gym/101174/attachments&amp;sa=D&amp;ust=1605639554261000&amp;usg=AFQjCNF0DGQM4zXy1BTdbIfQspUikUdhtw" xr:uid="{B1FE1D42-2216-4C7F-A752-0B321188AE11}"/>
    <hyperlink ref="D2507" r:id="rId4243" display="https://www.google.com/url?q=https://github.com/mostafa-saad/MyCompetitiveProgramming/blob/master/Codeforces/CF101174-GYM-F.txt&amp;sa=D&amp;ust=1605639554261000&amp;usg=AFQjCNHsXe9GJ2_FFsB1fjsiJbWFJT5CTQ" xr:uid="{1E0DE432-A5A4-4E8E-A0AE-BBAFF83FC706}"/>
    <hyperlink ref="A5560" r:id="rId4244" display="https://www.google.com/url?q=https://www.codechef.com/problems/TESTERS&amp;sa=D&amp;ust=1605639554262000&amp;usg=AFQjCNE0X4bsFLb6qbzfr9PFOLonAW-BBA" xr:uid="{93B000AE-2ECE-47AA-9A9D-7D57E9884852}"/>
    <hyperlink ref="A5561" r:id="rId4245" display="https://www.google.com/url?q=http://codeforces.com/contest/715/problem/C&amp;sa=D&amp;ust=1605639554262000&amp;usg=AFQjCNHiASIkRdWTMRaBT0rroF8MVaN5Nw" xr:uid="{8A78B885-7B87-4A26-8EE2-2B05B4490BF2}"/>
    <hyperlink ref="A5563" r:id="rId4246" display="https://www.google.com/url?q=http://codeforces.com/problemset/problem/321/C&amp;sa=D&amp;ust=1605639554263000&amp;usg=AFQjCNGk62Kc5W4zsAd-joNV8a1cPkXBVA" xr:uid="{0772D4D1-1E68-4AB3-AF77-19E8346E2D4F}"/>
    <hyperlink ref="A5564" r:id="rId4247" display="https://www.google.com/url?q=https://codeforces.com/gym/101856/attachments&amp;sa=D&amp;ust=1605639554263000&amp;usg=AFQjCNFnnFOiW-QRsHP123OMuH9aJM1TKg" xr:uid="{E1E11848-6754-46A2-A138-053B9798FCED}"/>
    <hyperlink ref="D1644" r:id="rId4248" display="https://www.google.com/url?q=https://github.com/SpeedOfMagic/CompetitiveProgramming/blob/master/CodeforcesGym/CF101840-GYM-E.cpp&amp;sa=D&amp;ust=1605639554263000&amp;usg=AFQjCNH6gXUZbIe7WDRcrzaWdhh9PLy4XA" xr:uid="{53272F35-DD33-46DA-A79F-2BFD628E85A5}"/>
    <hyperlink ref="A5565" r:id="rId4249" display="https://www.google.com/url?q=http://codeforces.com/contest/377/problem/E&amp;sa=D&amp;ust=1605639554264000&amp;usg=AFQjCNHJYst_82qtmDY9BDk2Jp8OmeVJ5g" xr:uid="{B9E531EA-C652-4DD1-ABD7-D7F50061539F}"/>
    <hyperlink ref="A5566" r:id="rId4250" display="https://www.google.com/url?q=https://codeforces.com/gym/100829&amp;sa=D&amp;ust=1605639554264000&amp;usg=AFQjCNHwx8bUCmCsR6K0oWrWtEZrPRxylg" xr:uid="{7B9EE017-9BF3-43DD-8AFA-101C37F3ED19}"/>
    <hyperlink ref="D5589" r:id="rId4251" display="https://www.google.com/url?q=https://contest.felk.cvut.cz/15prg/solved/CTU_OPEN_2015_SOLUTIONS.pdf&amp;sa=D&amp;ust=1605639554264000&amp;usg=AFQjCNFsdH2L9SJtj5hyxwNbL9uWvtGJPQ" xr:uid="{1CA03EDB-5190-4622-B155-1577EC01DF26}"/>
    <hyperlink ref="A5567" r:id="rId4252" display="https://www.google.com/url?q=http://codeforces.com/problemset/problem/660/F&amp;sa=D&amp;ust=1605639554264000&amp;usg=AFQjCNHTdX3oLCD8zw577_MwAFlwdsTJoA" xr:uid="{976CDB16-ABA6-4A96-9060-E04347FA3CC3}"/>
    <hyperlink ref="A5568" r:id="rId4253" display="https://www.google.com/url?q=https://www.codechef.com/problems/JUMP&amp;sa=D&amp;ust=1605639554265000&amp;usg=AFQjCNGSdtIOXWOrLExq474_AIj5-e6_1A" xr:uid="{F65FB55E-460F-4DAF-8445-C85D2C5EDC69}"/>
    <hyperlink ref="A5570" r:id="rId4254" display="https://www.google.com/url?q=https://www.hackerrank.com/challenges/geometry-queries&amp;sa=D&amp;ust=1605639554266000&amp;usg=AFQjCNH3njkD71v74gCQABbznYZ7tiDRCA" xr:uid="{584D95DF-80FB-4884-BB1D-43AAAC46ED4D}"/>
    <hyperlink ref="A5571" r:id="rId4255" display="https://www.google.com/url?q=https://codeforces.com/contest/1137/problem/E&amp;sa=D&amp;ust=1605639554267000&amp;usg=AFQjCNH_TgUqwAwvhTBmU9zWwzH3HDvnxw" xr:uid="{1C92A30C-943F-4F35-84E6-C77DE6E23468}"/>
    <hyperlink ref="A5448" r:id="rId4256" display="https://www.google.com/url?q=https://www.codechef.com/problems/IAI&amp;sa=D&amp;ust=1605639554267000&amp;usg=AFQjCNGbfJMcRfomNT0cmL8oI5DQEAD-Aw" xr:uid="{DA6FE38A-5680-4FFC-9861-7B4EB6E55FB5}"/>
    <hyperlink ref="A5449" r:id="rId4257" display="https://www.google.com/url?q=https://codeforces.com/contest/1178/problem/G&amp;sa=D&amp;ust=1605639554268000&amp;usg=AFQjCNFgxYWbrJWCN59snsSbmydN5rV5JA" xr:uid="{632672CB-7A3B-4877-BCEB-6C043B9EFCFF}"/>
    <hyperlink ref="A5450" r:id="rId4258" display="https://www.google.com/url?q=https://codeforces.com/problemset/problem/1175/G&amp;sa=D&amp;ust=1605639554268000&amp;usg=AFQjCNEqpP7Q0B-UHw_48DpWH3njAp2gqw" xr:uid="{4C18307C-58E1-4340-9F8B-201ADB85501A}"/>
    <hyperlink ref="A5451" r:id="rId4259" display="https://www.google.com/url?q=https://codeforces.com/contest/932/problem/F&amp;sa=D&amp;ust=1605639554268000&amp;usg=AFQjCNGNRZ7pONi0FMls5gNyQCo_t2E2Qg" xr:uid="{918213CF-2C52-4969-A48F-6C3CB71447DE}"/>
    <hyperlink ref="A5452" r:id="rId4260" display="https://www.google.com/url?q=http://codeforces.com/contest/455/problem/E&amp;sa=D&amp;ust=1605639554269000&amp;usg=AFQjCNHBm5hhLT2ANFOgVJcvSzhPLTYhdQ" xr:uid="{B43DC675-DC01-4997-A56F-0A850FF0A018}"/>
    <hyperlink ref="A5453" r:id="rId4261" display="https://www.google.com/url?q=http://codeforces.com/problemset/problem/932/F&amp;sa=D&amp;ust=1605639554269000&amp;usg=AFQjCNEYyuHaFuvSQafNXpuD2Yzm2az0iA" xr:uid="{E5E54535-6B59-41C5-B955-DB30E144539D}"/>
    <hyperlink ref="A5454" r:id="rId4262" display="https://www.google.com/url?q=https://open.kattis.com/problems/thief&amp;sa=D&amp;ust=1605639554270000&amp;usg=AFQjCNGGg4zgywW3ccMtYKp05ZuRrkVR-A" xr:uid="{B29B5875-655E-478C-B783-A688992B61C6}"/>
    <hyperlink ref="A5455" r:id="rId4263" display="https://www.google.com/url?q=https://open.kattis.com/problems/yatp&amp;sa=D&amp;ust=1605639554270000&amp;usg=AFQjCNHJWh6RmWs_Qsw0YOu03TfoZnFcYQ" xr:uid="{A1FD0B53-66A5-4AD4-92D8-9A46A112210B}"/>
    <hyperlink ref="D4018" r:id="rId4264" display="https://www.google.com/url?q=https://github.com/mostafa-saad/MyCompetitiveProgramming/blob/master/SPOJ/SPOJ_TRAKA.txt&amp;sa=D&amp;ust=1605639554271000&amp;usg=AFQjCNFlG2bL3xRXVnD--Zh_1nAkCantsw" xr:uid="{3901BE24-4F44-4FD8-B719-886CBAAC41D3}"/>
    <hyperlink ref="A5457" r:id="rId4265" display="https://www.google.com/url?q=https://www.hackerrank.com/contests/university-codesprint-5/challenges/sword-profit&amp;sa=D&amp;ust=1605639554271000&amp;usg=AFQjCNEHanJ3VIzIPA0uDZVV_1qV7-AyBw" xr:uid="{7BC48E11-9E88-4B6F-926F-9138A202FA72}"/>
    <hyperlink ref="D4019" r:id="rId4266" display="https://www.google.com/url?q=https://github.com/SpeedOfMagic/CompetitiveProgramming/blob/master/UC/5-sword-profit.cpp&amp;sa=D&amp;ust=1605639554271000&amp;usg=AFQjCNEkZVLzNc12gXzvXjiLnF8iNg6x8g" xr:uid="{40FBA68A-CB88-4A02-80FB-9AF608018826}"/>
    <hyperlink ref="D4020" r:id="rId4267" display="https://www.google.com/url?q=https://github.com/mostafa-saad/MyCompetitiveProgramming/blob/master/SPOJ/SPOJ_BAABO.txt&amp;sa=D&amp;ust=1605639554272000&amp;usg=AFQjCNGBVBOiuS3P9o6lwtxF9atkQDWHKg" xr:uid="{BEBE366E-794D-493F-BC9E-1C61F36811BD}"/>
    <hyperlink ref="A5459" r:id="rId4268" display="https://www.google.com/url?q=http://codeforces.com/problemset/problem/631/E&amp;sa=D&amp;ust=1605639554272000&amp;usg=AFQjCNEyMx-PolwKSQKyqg2IjiIO5XZjew" xr:uid="{BC5F6F0D-E48C-4D65-B531-85CBBE0B6292}"/>
    <hyperlink ref="A5460" r:id="rId4269" display="https://www.google.com/url?q=http://codeforces.com/contest/436/problem/F&amp;sa=D&amp;ust=1605639554272000&amp;usg=AFQjCNHMLBCzg5CLOBDI6BYq4LgDlPEskw" xr:uid="{E7CEA066-A325-4AED-B4CB-7A55AA7DA752}"/>
    <hyperlink ref="A5461" r:id="rId4270" display="https://www.google.com/url?q=https://codeforces.com/contest/932/problem/F&amp;sa=D&amp;ust=1605639554273000&amp;usg=AFQjCNF7ECVNlkEGlAd5R0g1Pq4Wr9-Z6Q" xr:uid="{F2E85639-58C2-4A6A-A864-36DEA9ABE951}"/>
    <hyperlink ref="A5462" r:id="rId4271" display="https://www.google.com/url?q=https://www.hackerrank.com/contests/world-codesprint-5/challenges/mining&amp;sa=D&amp;ust=1605639554273000&amp;usg=AFQjCNGs8zb1uuu4lAAJnSsF6lxcE38smA" xr:uid="{4BFD4EE8-74F7-4FE6-B56D-264842EE9BE0}"/>
    <hyperlink ref="D3916" r:id="rId4272" display="https://www.google.com/url?q=https://github.com/tmwilliamlin168/CompetitiveProgramming/blob/master/HackerRank/mining.cpp&amp;sa=D&amp;ust=1605639554274000&amp;usg=AFQjCNFkuTrfdoaUAVUYPsfNmt7gjtJcSA" xr:uid="{8415D7FA-D44F-4E32-8E0A-4D530C925F1B}"/>
    <hyperlink ref="A5463" r:id="rId4273" display="https://www.google.com/url?q=https://www.codechef.com/problems/CYCLRACE&amp;sa=D&amp;ust=1605639554274000&amp;usg=AFQjCNECS60FDBz2L4mNmVDnPcWOvtTRWA" xr:uid="{11C86A9E-67C6-4F27-A586-74392FF88B9B}"/>
    <hyperlink ref="D3717" r:id="rId4274" display="https://www.google.com/url?q=https://github.com/quangloc99/CompetitiveProgramming/blob/master/CODECHEF/CYCLRACE.cpp&amp;sa=D&amp;ust=1605639554274000&amp;usg=AFQjCNHfGbFg2GDXruANkBrf-x6_IEdhyQ" xr:uid="{8CE113CE-2E29-4F2C-8F98-164AAC956C11}"/>
    <hyperlink ref="A5464" r:id="rId4275" display="https://www.google.com/url?q=http://codeforces.com/problemset/problem/311/B&amp;sa=D&amp;ust=1605639554274000&amp;usg=AFQjCNHA3ZgsVw9mfce5awNpE0pta8NQeA" xr:uid="{30DC04FF-C414-432D-A9C1-5C9FF72CD1B6}"/>
    <hyperlink ref="D3718" r:id="rId4276" display="https://www.google.com/url?q=https://github.com/nikolapesic2802/Programming-Practice/blob/master/Cats%2520Transport/main.cpp&amp;sa=D&amp;ust=1605639554275000&amp;usg=AFQjCNEzZrXrYNJ2ec9lVxC2ef0U-EWU4g" xr:uid="{8E47C20D-FE08-45FD-9789-BCE8C35EE326}"/>
    <hyperlink ref="D3041" r:id="rId4277" display="https://www.google.com/url?q=https://github.com/quangloc99/CompetitiveProgramming/blob/master/Livearchive/5133.cpp&amp;sa=D&amp;ust=1605639554275000&amp;usg=AFQjCNGLH3Mn3ee8mA4F_ToXIS3zTSsb_w" xr:uid="{64D8771F-C187-4063-AB53-61A0FF2716DA}"/>
    <hyperlink ref="D3042" r:id="rId4278" display="https://www.google.com/url?q=https://github.com/mostafa-saad/MyCompetitiveProgramming/blob/master/SPOJ/SPOJ_ACQUIRE.txt&amp;sa=D&amp;ust=1605639554277000&amp;usg=AFQjCNFVQHyYP-IJMP_TZaQ-_HsBhSjkow" xr:uid="{7584459C-0053-466D-96EA-CFB1CB12AFA9}"/>
    <hyperlink ref="A5467" r:id="rId4279" display="https://www.google.com/url?q=http://codeforces.com/contest/319/problem/C&amp;sa=D&amp;ust=1605639554277000&amp;usg=AFQjCNGlxWBDSorQJts1gKCRj-ueWWpP5w" xr:uid="{255AF247-DA26-4B25-819C-023205E6F0FD}"/>
    <hyperlink ref="D3043" r:id="rId4280" display="https://www.google.com/url?q=https://codeforces.com/contest/319/submission/52469803&amp;sa=D&amp;ust=1605639554277000&amp;usg=AFQjCNG_yBcuuh9AA64byhiGD3GxYzJlKQ" xr:uid="{D4835FEE-A93D-46C1-9C2D-08F0665BD1FA}"/>
    <hyperlink ref="A5468" r:id="rId4281" display="https://www.google.com/url?q=https://codeforces.com/problemset/problem/1083/E&amp;sa=D&amp;ust=1605639554278000&amp;usg=AFQjCNEDW5O2ahXQfXgY0xjUUGT_fEkk9g" xr:uid="{CEDF09D5-F5CF-4CE4-8274-03486043B958}"/>
    <hyperlink ref="D3044" r:id="rId4282" display="https://www.google.com/url?q=https://github.com/nikolapesic2802/Programming-Practice/blob/master/The%2520Fair%2520Nut%2520and%2520rectangless/main.cpp&amp;sa=D&amp;ust=1605639554278000&amp;usg=AFQjCNEyseV1HxAHfFdDXAuhLxJLFdkCFA" xr:uid="{975A8EDD-96A0-4558-82BF-8EAA90A405A5}"/>
    <hyperlink ref="A5480" r:id="rId4283" display="https://www.google.com/url?q=http://codeforces.com/contest/291/problem/E&amp;sa=D&amp;ust=1605639554278000&amp;usg=AFQjCNEJhOdJtbJsxVzuigrmUoiceSTBpA" xr:uid="{67143071-B9F9-4ACB-94D8-F0B8EB2E2CB4}"/>
    <hyperlink ref="D3719" r:id="rId4284" display="https://www.google.com/url?q=https://github.com/jebouin/CompetitiveProgramming/blob/master/CodeForces/CF291-D2-E.cpp&amp;sa=D&amp;ust=1605639554278000&amp;usg=AFQjCNEOKQMh7gG5cN3aJVdv-7uI1EeYaw" xr:uid="{83D5C558-D24F-4527-AD44-605C3601862C}"/>
    <hyperlink ref="A5481" r:id="rId4285" display="https://www.google.com/url?q=http://codeforces.com/contest/1009/problem/F&amp;sa=D&amp;ust=1605639554279000&amp;usg=AFQjCNFn4JZU6fdgbPj2kum-iF5Bape8uQ" xr:uid="{1ABF67D1-7D1B-4D8D-827C-654BE63A5175}"/>
    <hyperlink ref="A5482" r:id="rId4286" display="https://www.google.com/url?q=http://codeforces.com/problemsets/acmsguru/problem/99999/507&amp;sa=D&amp;ust=1605639554279000&amp;usg=AFQjCNFLDQnzIeXXqopWD9ZUwR4GC7E7dQ" xr:uid="{FD98B372-7781-4D3B-B19D-1ABA91AACBB3}"/>
    <hyperlink ref="D2510" r:id="rId4287" display="https://www.google.com/url?q=https://github.com/aviroop123/CompetitiveProgramming/blob/master/SGU/SGU%2520507.cpp&amp;sa=D&amp;ust=1605639554279000&amp;usg=AFQjCNFs0qfsI8UfBQLRRhnnbd_VIWSgPQ" xr:uid="{9BBB104B-9DCC-4E42-B28F-C5EDE08DBAE9}"/>
    <hyperlink ref="A5483" r:id="rId4288" display="https://www.google.com/url?q=https://www.hackerearth.com/practice/algorithms/graphs/depth-first-search/practice-problems/algorithm/the-grass-type/&amp;sa=D&amp;ust=1605639554280000&amp;usg=AFQjCNFxnSL9PJpbFUsYKiNnrT7Rz8Wp7Q" xr:uid="{6A942D9C-2DFB-4B82-89B2-920090BA7BEC}"/>
    <hyperlink ref="A5484" r:id="rId4289" display="https://www.google.com/url?q=http://codeforces.com/contest/246/problem/E&amp;sa=D&amp;ust=1605639554280000&amp;usg=AFQjCNE7iCbXm_SJUv_AgGkHDPXKsg7ktQ" xr:uid="{C022FCA5-9302-40FF-9EA2-B9A7FE92E360}"/>
    <hyperlink ref="A5485" r:id="rId4290" display="https://www.google.com/url?q=http://codeforces.com/contest/570/problem/D&amp;sa=D&amp;ust=1605639554280000&amp;usg=AFQjCNEbPIN0F0Mr-jbTYbTAeEicDphOBQ" xr:uid="{A9C83991-57BC-46D9-8DA7-CCB450B8E0E3}"/>
    <hyperlink ref="A5486" r:id="rId4291" display="https://www.google.com/url?q=http://codeforces.com/contest/208/problem/E&amp;sa=D&amp;ust=1605639554281000&amp;usg=AFQjCNGhaVOWt28zvMDEBi6OAe_55JJPhQ" xr:uid="{CD058D9A-239D-4D6D-80DA-6D5D62B3F586}"/>
    <hyperlink ref="A5572" r:id="rId4292" display="https://www.google.com/url?q=https://codeforces.com/contest/896/problem/E&amp;sa=D&amp;ust=1605639554281000&amp;usg=AFQjCNGyBX9PwtViWTQ1rNsO8_0w2WXwBw" xr:uid="{59F1718C-F032-4BC6-92A4-79A83292D534}"/>
    <hyperlink ref="A5573" r:id="rId4293" display="https://www.google.com/url?q=https://codeforces.com/problemset/problem/1083/F&amp;sa=D&amp;ust=1605639554281000&amp;usg=AFQjCNEWeJaHs0mW4-5wPzUeC92prDTS4A" xr:uid="{386CCC9C-82E1-4E64-8E7B-2582D767E764}"/>
    <hyperlink ref="A5578" r:id="rId4294" display="https://www.google.com/url?q=http://codeforces.com/contest/487/problem/D&amp;sa=D&amp;ust=1605639554282000&amp;usg=AFQjCNFZuQ-IsEPzhMKGJm4NBhDVBWiOMw" xr:uid="{4C2EA0F5-E538-4BBE-9AC8-B51E77CAF4B1}"/>
    <hyperlink ref="A5575" r:id="rId4295" display="https://www.google.com/url?q=https://www.codechef.com/problems/PRINDRAG&amp;sa=D&amp;ust=1605639554282000&amp;usg=AFQjCNFQjyppVnRe3OppI8dqL1BD4xHZLw" xr:uid="{EBC5B550-25D3-46F3-B9BA-E2DAB4FCE2DC}"/>
    <hyperlink ref="A5576" r:id="rId4296" display="https://www.google.com/url?q=https://codeforces.com/problemset/problem/1182/F&amp;sa=D&amp;ust=1605639554283000&amp;usg=AFQjCNH5G94qD2XpEavwOhmTcLcQgNUnFg" xr:uid="{0931AB34-F07D-48B0-9892-6549AEF71C5F}"/>
    <hyperlink ref="D4626" r:id="rId4297" display="https://www.google.com/url?q=https://github.com/tmwilliamlin168/CompetitiveProgramming/blob/master/CodeForces/1182F.cpp&amp;sa=D&amp;ust=1605639554283000&amp;usg=AFQjCNHRLyW7vQUAHUo4OjUfGJgwWtYhMg" xr:uid="{81974919-A04B-4012-8D2C-D2E54AF16675}"/>
    <hyperlink ref="A5577" r:id="rId4298" display="https://www.google.com/url?q=https://codeforces.com/problemset/problem/1129/D&amp;sa=D&amp;ust=1605639554283000&amp;usg=AFQjCNFzo_aUhjRUSxMwji5ipgUwjNp9gw" xr:uid="{00C68D40-F2DF-44D2-A73C-E57A8DF48D84}"/>
    <hyperlink ref="A5574" r:id="rId4299" display="https://www.google.com/url?q=http://codeforces.com/contest/348/problem/C&amp;sa=D&amp;ust=1605639554284000&amp;usg=AFQjCNGplG1Aofy7hQchWzLvK9gmy40tGQ" xr:uid="{62B93325-140A-4E0D-84C3-FC49CF3A6CA4}"/>
    <hyperlink ref="A5579" r:id="rId4300" display="https://www.google.com/url?q=https://www.hackerrank.com/contests/world-codesprint-13/challenges/dynamic-trees&amp;sa=D&amp;ust=1605639554284000&amp;usg=AFQjCNE5S5Jd7H5A1ZqN_IEwp35QzrszsA" xr:uid="{E8C1CEDC-E0D7-4C45-BC3C-F28A5A751D84}"/>
    <hyperlink ref="D4629" r:id="rId4301" display="https://www.google.com/url?q=https://github.com/tmwilliamlin168/CompetitiveProgramming/blob/master/Hackerrank/dynamic-trees.cpp&amp;sa=D&amp;ust=1605639554284000&amp;usg=AFQjCNGMaA-ys87IQTv13qu1ICYhG5JfyQ" xr:uid="{7E01E51E-0900-49C8-8A64-EF86AC6ACC4A}"/>
    <hyperlink ref="A5580" r:id="rId4302" display="https://www.google.com/url?q=http://codeforces.com/contest/455/problem/D&amp;sa=D&amp;ust=1605639554285000&amp;usg=AFQjCNG4_M67iR5VRvF2jYyntADZ_73GfA" xr:uid="{A98D78C3-2C68-42F8-A153-1BA9F3A8FE7B}"/>
    <hyperlink ref="A5581" r:id="rId4303" display="https://www.google.com/url?q=https://www.codechef.com/problems/MINXOR&amp;sa=D&amp;ust=1605639554285000&amp;usg=AFQjCNGun-PplMM03F89_AyZnJ4wfxQbdw" xr:uid="{BDEDAB35-379D-4323-A791-90C12C9B5207}"/>
    <hyperlink ref="A5582" r:id="rId4304" display="https://www.google.com/url?q=http://codeforces.com/contest/91/problem/E&amp;sa=D&amp;ust=1605639554286000&amp;usg=AFQjCNH3rU59xEvARanGCxFXZhrV86MJpg" xr:uid="{6D18A2C0-E23A-4B20-A430-8014EC6CCC95}"/>
    <hyperlink ref="A5583" r:id="rId4305" display="https://www.google.com/url?q=http://codeforces.com/contest/547/problem/E&amp;sa=D&amp;ust=1605639554287000&amp;usg=AFQjCNFAFDuOa8GiCWCgGlZSmRNPlxtoMA" xr:uid="{DFB4864B-7303-44A7-9341-C2B740D100D4}"/>
    <hyperlink ref="A5584" r:id="rId4306" display="https://www.google.com/url?q=https://codeforces.com/contest/678/problem/F&amp;sa=D&amp;ust=1605639554287000&amp;usg=AFQjCNGU0jtcu5S3azzkDxyu0VLNEaSAsA" xr:uid="{79D20EED-9452-4E15-B91D-451709BBFC84}"/>
    <hyperlink ref="A5585" r:id="rId4307" display="https://www.google.com/url?q=https://www.codechef.com/problems/DOCSDEL&amp;sa=D&amp;ust=1605639554288000&amp;usg=AFQjCNEck-9BWhfqHo9NN18FDgefa8jUwg" xr:uid="{701F4076-27DC-4E09-A1E2-A409FF912D88}"/>
    <hyperlink ref="D3720" r:id="rId4308" display="https://www.google.com/url?q=https://github.com/tmwilliamlin168/CompetitiveProgramming/blob/master/CodeChef/DOCSDEL.cpp&amp;sa=D&amp;ust=1605639554288000&amp;usg=AFQjCNGiU7_jl9nVmpzkZq1ahPWSbInefw" xr:uid="{1F29C9E5-6969-4EBC-8D58-BB87AB63A4D1}"/>
    <hyperlink ref="A5586" r:id="rId4309" display="https://www.google.com/url?q=https://codeforces.com/gym/101470/attachments&amp;sa=D&amp;ust=1605639554288000&amp;usg=AFQjCNHCkLMZRcLgynDopgTkyjxfgNUciA" xr:uid="{B9CDF726-8C05-414C-97BE-175A0144FDE3}"/>
    <hyperlink ref="D3045" r:id="rId4310" display="https://www.google.com/url?q=https://github.com/WaleedAbdelhakim/Competitive-Programming/blob/master/CodeForces/CF101470-GYM-F.cpp&amp;sa=D&amp;ust=1605639554288000&amp;usg=AFQjCNEacVdIfhhgZBrfI-lyZTCHdX3S-Q" xr:uid="{B93E2879-29A9-49E5-BEC1-0F2E11092230}"/>
    <hyperlink ref="A5597" r:id="rId4311" display="https://www.google.com/url?q=http://codeforces.com/contest/13/problem/E&amp;sa=D&amp;ust=1605639554289000&amp;usg=AFQjCNENyQsobKIaY1_3oUHLILuhYwMIJA" xr:uid="{5AAFEAE9-A3D8-4C8F-8FB2-50BF97CAD2B7}"/>
    <hyperlink ref="A5599" r:id="rId4312" display="https://www.google.com/url?q=https://www.hackerrank.com/contests/world-codesprint-13/challenges/competitive-teams&amp;sa=D&amp;ust=1605639554289000&amp;usg=AFQjCNF_BEH_ZrEVD6479Fy4EZ-GQs0GDw" xr:uid="{9CCD765E-0ABA-4098-A758-D52057A1EA40}"/>
    <hyperlink ref="D3047" r:id="rId4313" display="https://www.google.com/url?q=https://github.com/tmwilliamlin168/CompetitiveProgramming/blob/master/HackerRank/world-codesprint-13/competitive-teams.cpp&amp;sa=D&amp;ust=1605639554289000&amp;usg=AFQjCNFYpOlWf0wqwvHoz3GRDVab7E2vyA" xr:uid="{1D19949A-809B-481B-9A7D-7294775FF06C}"/>
    <hyperlink ref="A5600" r:id="rId4314" display="https://www.google.com/url?q=http://codeforces.com/contest/551/problem/E&amp;sa=D&amp;ust=1605639554290000&amp;usg=AFQjCNHLWuTT9KdQ2Chvl7UM68n916jJIg" xr:uid="{4A15E015-32AC-4DB2-957F-958B43675FAE}"/>
    <hyperlink ref="A5601" r:id="rId4315" display="https://www.google.com/url?q=http://codeforces.com/contest/342/problem/E&amp;sa=D&amp;ust=1605639554290000&amp;usg=AFQjCNFPVuwCFkqc2RwBFX-ivW9N8MovVQ" xr:uid="{2E8D2DD1-AEDF-4833-8B7E-572E286E6B28}"/>
    <hyperlink ref="A5642" r:id="rId4316" display="https://www.google.com/url?q=http://codeforces.com/contest/797/problem/E&amp;sa=D&amp;ust=1605639554291000&amp;usg=AFQjCNEwoBqhs4eE63S5PjRGjCd3G2RYEg" xr:uid="{AFCCB46B-29C3-4796-984F-473FC6A74BC5}"/>
    <hyperlink ref="A5590" r:id="rId4317" display="https://www.google.com/url?q=https://codeforces.com/contest/1207/problem/F&amp;sa=D&amp;ust=1605639554291000&amp;usg=AFQjCNFNT8kBWYJfFJeJ43RR3e0Ne5NSSA" xr:uid="{8AC353B7-A701-4704-B888-CB8973C3A11A}"/>
    <hyperlink ref="A5591" r:id="rId4318" display="https://www.google.com/url?q=http://codeforces.com/contest/103/problem/D&amp;sa=D&amp;ust=1605639554291000&amp;usg=AFQjCNG14F91_VuVc4blIVpQzWHWBAM0bw" xr:uid="{61CA3DF3-7141-41C1-A31B-293F7E90A23B}"/>
    <hyperlink ref="D1648" r:id="rId4319" display="https://www.google.com/url?q=https://pastebin.com/Hfz9Aq4e&amp;sa=D&amp;ust=1605639554292000&amp;usg=AFQjCNGtoZ1qb7KYcP1W_BRPVMU5bVQLgQ" xr:uid="{4D57DF8D-05B8-4977-AD92-32601B236087}"/>
    <hyperlink ref="A5596" r:id="rId4320" display="https://www.google.com/url?q=https://codeforces.com/contest/1279/problem/F&amp;sa=D&amp;ust=1605639554292000&amp;usg=AFQjCNFyoKdVGKd6Q8KONUKjonVZ_2zdag" xr:uid="{09A71D59-9695-4B76-B156-B4E57B0DBFD4}"/>
    <hyperlink ref="A5598" r:id="rId4321" display="https://www.google.com/url?q=https://www.codechef.com/problems/CHEFAOR&amp;sa=D&amp;ust=1605639554293000&amp;usg=AFQjCNG8Rs6kDw_5YoQbjZjIRW-u0AJkig" xr:uid="{92F97DEC-FE2F-498B-8C0C-A6A61DB53FB1}"/>
    <hyperlink ref="D3721" r:id="rId4322" display="https://www.google.com/url?q=https://github.com/mostafa-saad/MyCompetitiveProgramming/blob/master/CodeChef/CODECHEF-CHEFAOR.txt&amp;sa=D&amp;ust=1605639554293000&amp;usg=AFQjCNESLNqPJk9LyqciHcLJzvSMZlBBlg" xr:uid="{A6391DFE-3893-46A5-8ADA-2ADA8D09A053}"/>
    <hyperlink ref="D3049" r:id="rId4323" display="https://www.google.com/url?q=https://github.com/gabrielrussoc/competitive-programming/blob/master/spoj/brkstrng.cpp&amp;sa=D&amp;ust=1605639554293000&amp;usg=AFQjCNFt6niJCh_RCnYaN14H2kRkLhpCXw" xr:uid="{8923B82C-0A58-4B2B-B191-7D7D71CA57FD}"/>
    <hyperlink ref="D2403" r:id="rId4324" display="https://www.google.com/url?q=https://github.com/taow-com-prog/problemsolving/blob/master/UVA/UVA%252012836.cpp&amp;sa=D&amp;ust=1605639554294000&amp;usg=AFQjCNH_51dzI-qsS-Kvdbu4_XS5nUr86g" xr:uid="{D56E157C-F91C-4D57-AE13-5F6251BA7C86}"/>
    <hyperlink ref="D1649" r:id="rId4325" display="https://www.google.com/url?q=https://github.com/taow-com-prog/problemsolving/blob/master/UVA/UVA%252010304.cpp&amp;sa=D&amp;ust=1605639554294000&amp;usg=AFQjCNFo3iWiSjoIINKHK33rm2n0-3-gZw" xr:uid="{509C90B8-53E0-4BE6-A3DF-0CAB5252F55A}"/>
    <hyperlink ref="A5605" r:id="rId4326" display="https://www.google.com/url?q=http://codeforces.com/contest/704/problem/B&amp;sa=D&amp;ust=1605639554295000&amp;usg=AFQjCNHtXPZ6ikx9I58RXeWx8WBvnMT6ZA" xr:uid="{A0DB2718-2819-4A95-BC59-50C21EE9DE29}"/>
    <hyperlink ref="A5606" r:id="rId4327" display="https://www.google.com/url?q=http://codeforces.com/contest/626/problem/F&amp;sa=D&amp;ust=1605639554295000&amp;usg=AFQjCNHCQgSx_fyb9yIX_XYAHrtC7HqKNQ" xr:uid="{C3064E1E-E453-44D2-8A31-B56CF0C6456F}"/>
    <hyperlink ref="A5607" r:id="rId4328" display="https://www.google.com/url?q=http://codeforces.com/contest/367/problem/E&amp;sa=D&amp;ust=1605639554295000&amp;usg=AFQjCNF9XNbZgSvZPKrkqUNvgkkjj2hjpQ" xr:uid="{8722FC0E-5D3B-4B04-A4EE-CF4AB200975B}"/>
    <hyperlink ref="D4026" r:id="rId4329" display="https://www.google.com/url?q=https://github.com/Triplem5ds/Competitve-Programming/blob/master/Codeforces/CF367-D1-E.cc&amp;sa=D&amp;ust=1605639554295000&amp;usg=AFQjCNEjMBwJ1kiSnkrd2B33ejUy1WDzkw" xr:uid="{D5145163-C164-4947-B2E1-9247A8A5E395}"/>
    <hyperlink ref="A5608" r:id="rId4330" display="https://www.google.com/url?q=http://codeforces.com/contest/466/problem/D&amp;sa=D&amp;ust=1605639554296000&amp;usg=AFQjCNEMCGtwsxJqXDCeTjd8lJO3ttI_pg" xr:uid="{C3CF75A4-E449-429A-9553-A75BF49B7361}"/>
    <hyperlink ref="A5609" r:id="rId4331" display="https://www.google.com/url?q=http://codeforces.com/contest/101/problem/E&amp;sa=D&amp;ust=1605639554297000&amp;usg=AFQjCNFTq8UD70u4hzEc9Fw3B8die2mmEQ" xr:uid="{A16CDDA3-3CBD-4B5C-9600-C809ACEBAD02}"/>
    <hyperlink ref="A5610" r:id="rId4332" display="https://www.google.com/url?q=http://codeforces.com/contest/739/problem/E&amp;sa=D&amp;ust=1605639554297000&amp;usg=AFQjCNFuar_H2HpYuTTwJ0CmVPQQCtp8Gg" xr:uid="{506C2AA0-00C4-46A1-972B-346716CD73A9}"/>
    <hyperlink ref="D5480" r:id="rId4333" display="https://www.google.com/url?q=http://codeforces.com/blog/entry/49691&amp;sa=D&amp;ust=1605639554298000&amp;usg=AFQjCNEkUM25TTtw0qxnmJcjRVXE4S8vDA" xr:uid="{6159F457-0A9B-43C6-B4D2-2749C2E9BFF3}"/>
    <hyperlink ref="A5611" r:id="rId4334" display="https://www.google.com/url?q=http://codeforces.com/contest/674/problem/C&amp;sa=D&amp;ust=1605639554298000&amp;usg=AFQjCNH5i_GdYoLs7Uk45SlhA__q2bzffA" xr:uid="{A898AB22-4353-484A-806A-535807CDC459}"/>
    <hyperlink ref="D5244" r:id="rId4335" display="https://www.google.com/url?q=http://codeforces.com/blog/entry/46693&amp;sa=D&amp;ust=1605639554298000&amp;usg=AFQjCNHKo7s91J4s3rcloBN0yLPcvFoQ7Q" xr:uid="{2C25498E-641F-4F5F-B3D5-955DA46C3552}"/>
    <hyperlink ref="A5612" r:id="rId4336" display="https://www.google.com/url?q=https://csacademy.com/contest/round-56/task/or-problem/&amp;sa=D&amp;ust=1605639554298000&amp;usg=AFQjCNEtvDrQoMO06q2ZdFQZO5MONhCo-g" xr:uid="{12BFC5E4-1FC9-41B2-9110-44D419487F3A}"/>
    <hyperlink ref="A5614" r:id="rId4337" display="https://www.google.com/url?q=https://www.hackerrank.com/contests/monthly/challenges/alien-languages/problem&amp;sa=D&amp;ust=1605639554299000&amp;usg=AFQjCNEfwTwqinXEw0C8YgjdlhV88mUIZg" xr:uid="{F5E176E5-BB8B-4B27-9E9A-E552DC127B31}"/>
    <hyperlink ref="D4046" r:id="rId4338" display="https://www.google.com/url?q=https://github.com/HeartBlue/CompetitiveProgramming/blob/master/HACKR/HACKR%2520alien-languages.cpp&amp;sa=D&amp;ust=1605639554300000&amp;usg=AFQjCNFaOiYO41Vn2E9efPj85wTNSz7YVQ" xr:uid="{81342921-4792-42A0-B8F0-7F6EE0EDD305}"/>
    <hyperlink ref="A5615" r:id="rId4339" display="https://www.google.com/url?q=http://codeforces.com/gym/101856/problem/B&amp;sa=D&amp;ust=1605639554300000&amp;usg=AFQjCNFkFOPznPke4V30QlZYhKm7MqghJQ" xr:uid="{FD2123E9-1A75-491B-B554-C1DC22B84C4E}"/>
    <hyperlink ref="D4394" r:id="rId4340" display="https://www.google.com/url?q=https://github.com/swapnil119/CompetitiveProgramming/blob/master/CompetitiveProgramming/Codeforces/CF101840-GYM-B.cpp&amp;sa=D&amp;ust=1605639554300000&amp;usg=AFQjCNE4pD2GXKuC5ggOGNkL8gc8HXTO7A" xr:uid="{C5113B0B-191A-4D49-A388-667BE2316F84}"/>
    <hyperlink ref="A5616" r:id="rId4341" display="https://www.google.com/url?q=http://codeforces.com/contest/119/problem/D&amp;sa=D&amp;ust=1605639554301000&amp;usg=AFQjCNHlj15ZQkaasy_acVjhlsC53dh55A" xr:uid="{54C8E4A2-8E71-4B93-913F-28FB2614FFFD}"/>
    <hyperlink ref="A5617" r:id="rId4342" display="https://www.google.com/url?q=https://www.codechef.com/problems/STR_FUNC&amp;sa=D&amp;ust=1605639554301000&amp;usg=AFQjCNE1HuiTN_9zHNgFJcf5HxpDK7BHCA" xr:uid="{368E61FE-BDF8-4574-8FAD-71D126E2AD1B}"/>
    <hyperlink ref="A5618" r:id="rId4343" display="https://www.google.com/url?q=https://www.codechef.com/problems/TIMETRAV&amp;sa=D&amp;ust=1605639554301000&amp;usg=AFQjCNGDWJDUKfYN60YtIMOuUGIoUhCEIw" xr:uid="{3DCADFEB-BEFA-4C3F-A1DB-C65A34D1916F}"/>
    <hyperlink ref="A5619" r:id="rId4344" display="https://www.google.com/url?q=https://icpcarchive.ecs.baylor.edu/index.php?option%3Dcom_onlinejudge%26Itemid%3D8%26category%3D635%26page%3Dshow_problem%26problem%3D4997&amp;sa=D&amp;ust=1605639554302000&amp;usg=AFQjCNF-4lYb7JJgBhaBoLEOr4p1ePgUTQ" xr:uid="{0E2A023D-CB32-48EF-A26B-C77439940E4D}"/>
    <hyperlink ref="A5620" r:id="rId4345" display="https://www.google.com/url?q=https://www.codechef.com/problems/CSS&amp;sa=D&amp;ust=1605639554302000&amp;usg=AFQjCNHZlxEO5Ecbnaf54mM2fWGko-iB6w" xr:uid="{54019599-9718-4E83-B71E-3E2C99CE9CE4}"/>
    <hyperlink ref="A5621" r:id="rId4346" display="https://www.google.com/url?q=https://codeforces.com/contest/800/problem/D&amp;sa=D&amp;ust=1605639554303000&amp;usg=AFQjCNHD8NvcpN5mAfzjyK1_x0A6wl5qMQ" xr:uid="{18D68858-DF8E-48F6-B179-66FBE509EE39}"/>
    <hyperlink ref="A5622" r:id="rId4347" display="https://www.google.com/url?q=http://codeforces.com/gym/101666/problem/G&amp;sa=D&amp;ust=1605639554303000&amp;usg=AFQjCNH7lqnn6roOhKJVJyRQbkZ8FukpWQ" xr:uid="{50993A3B-BBE1-48C0-9271-9A0A7B1E1DF9}"/>
    <hyperlink ref="D4651" r:id="rId4348" display="https://www.google.com/url?q=https://github.com/swapnil119/CompetitiveProgramming/blob/master/CompetitiveProgramming/Codeforces/CF101666-GYM-G.cpp&amp;sa=D&amp;ust=1605639554303000&amp;usg=AFQjCNF4P2wR0PJqD8S8vBBF-uxSf4HM6w" xr:uid="{EA23181C-5E8F-4686-8055-FD15F9AA9A65}"/>
    <hyperlink ref="A5623" r:id="rId4349" display="https://www.google.com/url?q=https://codeforces.com/gym/102006/problem/F&amp;sa=D&amp;ust=1605639554304000&amp;usg=AFQjCNHoDRUFgVSgC3VTi6yHSi0DIMregg" xr:uid="{8AD3FE82-F784-4531-9568-F7D2F5D99B33}"/>
    <hyperlink ref="A5624" r:id="rId4350" display="https://www.google.com/url?q=https://csacademy.com/contest/round-78/task/xor-transform/&amp;sa=D&amp;ust=1605639554304000&amp;usg=AFQjCNH0I_fBTcG_ErsPtw678xy-TUXlRg" xr:uid="{F939328D-08CA-418D-98B5-4094313C49CC}"/>
    <hyperlink ref="A5625" r:id="rId4351" display="https://www.google.com/url?q=https://www.codechef.com/problems/BEAUTY&amp;sa=D&amp;ust=1605639554304000&amp;usg=AFQjCNEhEg1zoqjdOQJyLIXt4nGox9mSNg" xr:uid="{18CBDDCD-2CE4-4566-BA9A-FC8165EE3C63}"/>
    <hyperlink ref="A5626" r:id="rId4352" display="https://www.google.com/url?q=https://www.hackerrank.com/contests/countercode/challenges/subset&amp;sa=D&amp;ust=1605639554305000&amp;usg=AFQjCNGjS6z1VKw9sh0KowzcpBbbXsU8QQ" xr:uid="{8FF921F8-E5D2-4950-9E1D-65574B06F374}"/>
    <hyperlink ref="A5627" r:id="rId4353" display="https://www.google.com/url?q=http://codeforces.com/problemset/problem/1033/F&amp;sa=D&amp;ust=1605639554305000&amp;usg=AFQjCNFw1zQXzIvPp0HSIvEx-WPXmJ6r2w" xr:uid="{AA3F5008-6C48-45FC-8105-09CA3790B405}"/>
    <hyperlink ref="A5628" r:id="rId4354" display="https://www.google.com/url?q=http://codeforces.com/contest/449/problem/D&amp;sa=D&amp;ust=1605639554305000&amp;usg=AFQjCNFW72hvmdngM0x4cupBDJ6lF3LQWg" xr:uid="{02489962-0878-40E3-B8F5-35DC65CED4A8}"/>
    <hyperlink ref="A5629" r:id="rId4355" display="https://www.google.com/url?q=https://codeforces.com/contest/1208/problem/F&amp;sa=D&amp;ust=1605639554307000&amp;usg=AFQjCNFPtHneJUl16gqF0GtuH63WRGwTrw" xr:uid="{EB353FBE-0AD2-419B-984E-BCB6677A5082}"/>
    <hyperlink ref="D4047" r:id="rId4356" display="https://www.google.com/url?q=https://github.com/fiv2001/CompetitiveProgramming/blob/master/Codeforces/CF1208-D12-F.cpp&amp;sa=D&amp;ust=1605639554307000&amp;usg=AFQjCNH5PEXQ4CWMVbGL1hr10ymej6JVdg" xr:uid="{B7EC4FC3-775A-4F26-B234-1C57B462A2C8}"/>
    <hyperlink ref="A5630" r:id="rId4357" display="https://www.google.com/url?q=https://olymp.innopolis.ru/ooui/informatics/upload/2018-2019/inno-2019-final-en.pdf&amp;sa=D&amp;ust=1605639554308000&amp;usg=AFQjCNHZavXVKAxKo7TuaQzJk0-7TJsJ6g" xr:uid="{3C463A49-FEFB-4294-9BA2-7C125DA6B784}"/>
    <hyperlink ref="A5631" r:id="rId4358" display="https://www.google.com/url?q=https://www.codechef.com/COOK107A/problems/SUBSETS&amp;sa=D&amp;ust=1605639554308000&amp;usg=AFQjCNHIGfgQdeQw2uR5H4PLpitURzXq2w" xr:uid="{8723F842-F195-435E-8913-B9529273498F}"/>
    <hyperlink ref="D3948" r:id="rId4359" display="https://www.google.com/url?q=https://raw.githubusercontent.com/veljko02/CompetitiveProgramming/master/CodeChef/subsets.cpp&amp;sa=D&amp;ust=1605639554308000&amp;usg=AFQjCNHBIyIoiDZtHCuStjSjLPjBdUzBJQ" xr:uid="{D83E51AB-3128-4DC9-BFE5-EBD2F24E629A}"/>
    <hyperlink ref="A5632" r:id="rId4360" display="https://www.google.com/url?q=https://atcoder.jp/contests/arc100/tasks/arc100_c&amp;sa=D&amp;ust=1605639554309000&amp;usg=AFQjCNEF5lGzWBZSrTwxmBO7E15uNr1wMA" xr:uid="{6582B206-23C9-4B7E-8417-0B6B2C587EAF}"/>
    <hyperlink ref="A5633" r:id="rId4361" display="https://www.google.com/url?q=https://www.hackerearth.com/practice/algorithms/dynamic-programming/2-dimensional/practice-problems/algorithm/uchiha-brothers-and-two-products-circuit/&amp;sa=D&amp;ust=1605639554309000&amp;usg=AFQjCNHeUilzfZz9lfcDimXv7c0_D-GhSw" xr:uid="{7049B5AE-FF2D-4DA4-96EB-4B4587F729C2}"/>
    <hyperlink ref="D3736" r:id="rId4362" display="https://www.google.com/url?q=https://github.com/veljko02/CompetitiveProgramming/blob/master/HackerEarth/uchicha_brothers.cpp&amp;sa=D&amp;ust=1605639554309000&amp;usg=AFQjCNGuiFulX2bKth07aCo03kgYU8ntVw" xr:uid="{F13C4CB8-C602-44FF-B17B-342C31BE7679}"/>
    <hyperlink ref="A5634" r:id="rId4363" display="https://www.google.com/url?q=https://www.hackerearth.com/problem/algorithm/berland-programming-contests-9c8b5165/description/&amp;sa=D&amp;ust=1605639554310000&amp;usg=AFQjCNGC6b9vZvwY_AQtMPVWhr_10mXQRw" xr:uid="{65C63CB2-F232-4DB4-9915-FDBB2D56F638}"/>
    <hyperlink ref="A5635" r:id="rId4364" display="https://www.google.com/url?q=http://codeforces.com/contest/383/problem/E&amp;sa=D&amp;ust=1605639554310000&amp;usg=AFQjCNEtPD_AuuNba2hyBkpbOhBhRkoTkQ" xr:uid="{79107922-5104-4F65-93F7-DF5B951196B7}"/>
    <hyperlink ref="A5636" r:id="rId4365" display="https://www.google.com/url?q=http://codeforces.com/contest/165/problem/E&amp;sa=D&amp;ust=1605639554310000&amp;usg=AFQjCNGRTCQwN1TWf8kQwjRBRQ2CosvrTQ" xr:uid="{E1CFBA24-643B-4F61-BAF6-0965F105BFF4}"/>
    <hyperlink ref="A5637" r:id="rId4366" display="https://www.google.com/url?q=https://codingcompetitions.withgoogle.com/kickstart/round/0000000000050e02/000000000018fd5e&amp;sa=D&amp;ust=1605639554311000&amp;usg=AFQjCNEFgtTuBz2F0bX2uq2Ye4I6IYYQjg" xr:uid="{5592C788-D975-45AD-9517-279C96E4C945}"/>
    <hyperlink ref="A5638" r:id="rId4367" display="https://www.google.com/url?q=https://www.hackerearth.com/practice/algorithms/dynamic-programming/bit-masking/practice-problems/algorithm/special-pairs-7/description/&amp;sa=D&amp;ust=1605639554311000&amp;usg=AFQjCNGVcaBuoETp2UKWmflQ3f3c6czX-g" xr:uid="{DF4B9D2D-C6DF-448A-BA98-980F0B0931F0}"/>
    <hyperlink ref="A5639" r:id="rId4368" display="https://www.google.com/url?q=http://codeforces.com/contest/204/problem/E&amp;sa=D&amp;ust=1605639554311000&amp;usg=AFQjCNEgAqsXu1S5wfBjgLiCrMAdsLVG9w" xr:uid="{7C736E1B-452D-4A6B-9AA9-C3A33FBFFDFF}"/>
    <hyperlink ref="A5640" r:id="rId4369" display="https://www.google.com/url?q=https://www.codechef.com/problems/SUBQUERY&amp;sa=D&amp;ust=1605639554312000&amp;usg=AFQjCNG2qjwPvNcJ1u75JhvaGUhFkk-_MQ" xr:uid="{C9AD458B-5D72-4DB4-8FC8-53680FFB9957}"/>
    <hyperlink ref="A5641" r:id="rId4370" display="https://www.google.com/url?q=https://www.codechef.com/problems/TSUBSTR&amp;sa=D&amp;ust=1605639554312000&amp;usg=AFQjCNFdDTSrnhz5PmFmPzYSaeDDqBy6mA" xr:uid="{AB197CBD-3018-4C74-BAF5-333D3F3F72D9}"/>
    <hyperlink ref="A5643" r:id="rId4371" display="https://www.google.com/url?q=http://codeforces.com/contest/735/problem/E&amp;sa=D&amp;ust=1605639554313000&amp;usg=AFQjCNFm8NAEXMrBNcNvrb5K3ReQtX93cg" xr:uid="{9DCCC9CE-0531-455E-B61F-7909EF29C100}"/>
    <hyperlink ref="A5644" r:id="rId4372" display="https://www.google.com/url?q=https://codeforces.com/contest/995/problem/F&amp;sa=D&amp;ust=1605639554313000&amp;usg=AFQjCNGRqBpaKW0uS4nmfZ5Hr0GyaHIHow" xr:uid="{6383E967-D588-44DD-B4F2-BE1C03394D23}"/>
    <hyperlink ref="A5645" r:id="rId4373" display="https://www.google.com/url?q=http://codeforces.com/contest/868/problem/E&amp;sa=D&amp;ust=1605639554314000&amp;usg=AFQjCNF3nBQ7bxns4FoUMfLEMdC4ok9yrQ" xr:uid="{842455A0-D2DC-4EEC-AF5D-C879FABB2B2A}"/>
    <hyperlink ref="A5646" r:id="rId4374" display="https://www.google.com/url?q=https://codeforces.com/contest/1179/problem/D&amp;sa=D&amp;ust=1605639554314000&amp;usg=AFQjCNG5Sn8Ee2qeyq845bp7pYVjkNfFkA" xr:uid="{7A071C14-BFA4-46A1-BEAD-62D11A14693A}"/>
    <hyperlink ref="A5647" r:id="rId4375" display="https://www.google.com/url?q=http://codeforces.com/contest/23/problem/E&amp;sa=D&amp;ust=1605639554315000&amp;usg=AFQjCNFfs31CQNUUMUlYd4HGlk09sBWPFQ" xr:uid="{0A0E2365-D9D0-45EF-95A2-21DA9373D549}"/>
    <hyperlink ref="A5648" r:id="rId4376" display="https://www.google.com/url?q=https://codeforces.com/contest/1280/problem/D&amp;sa=D&amp;ust=1605639554315000&amp;usg=AFQjCNFUDWk_YbJXGjpcnDKhDt_z2DMluA" xr:uid="{83542CEC-7F79-46FF-8AA8-FE4A4A2EF4C9}"/>
    <hyperlink ref="A5649" r:id="rId4377" display="https://www.google.com/url?q=https://codeforces.com/contest/1266/problem/F&amp;sa=D&amp;ust=1605639554315000&amp;usg=AFQjCNGs62n3h3zFhKGBrhA6dRoKlwvI-Q" xr:uid="{4DE4B010-AFA7-4381-9ADD-19F05B74B7F8}"/>
    <hyperlink ref="A5650" r:id="rId4378" display="https://www.google.com/url?q=http://codeforces.com/contest/816/problem/E&amp;sa=D&amp;ust=1605639554316000&amp;usg=AFQjCNEhXBymbnvFmjD7pGMRX2-t-34yaw" xr:uid="{95881EF4-34CE-44C2-BCA1-243CBFA424A2}"/>
    <hyperlink ref="D4656" r:id="rId4379" display="https://www.google.com/url?q=https://github.com/OmarHashim/Competitive-Programming/blob/master/CodeForces/CF816-D2-E.cpp&amp;sa=D&amp;ust=1605639554316000&amp;usg=AFQjCNEM3oAZCkEmFxNxRj8A-YG03en8CQ" xr:uid="{8DD36E89-AC07-4442-AE73-85176E4E5DF7}"/>
    <hyperlink ref="A5651" r:id="rId4380" display="https://www.google.com/url?q=http://codeforces.com/contest/294/problem/E&amp;sa=D&amp;ust=1605639554318000&amp;usg=AFQjCNF6UjZOCaZW09cNFOPc6BG60megIA" xr:uid="{66996BE2-04EB-4633-9D52-2CEAC000B964}"/>
    <hyperlink ref="A5652" r:id="rId4381" display="https://www.google.com/url?q=http://codeforces.com/contest/805/problem/F&amp;sa=D&amp;ust=1605639554318000&amp;usg=AFQjCNFT6F3sWu3M57p6Ejap_aeZeNZEVw" xr:uid="{18C7E26F-F3FE-4768-86EB-7D99FFA709FC}"/>
    <hyperlink ref="A5653" r:id="rId4382" display="https://www.google.com/url?q=http://codeforces.com/contest/581/problem/F&amp;sa=D&amp;ust=1605639554319000&amp;usg=AFQjCNHQNxpkPFTjcz0c9EPO3JtUAW1k0Q" xr:uid="{0C6E242E-FE31-4530-95A1-E463D667A902}"/>
    <hyperlink ref="A5654" r:id="rId4383" display="https://www.google.com/url?q=https://icpcarchive.ecs.baylor.edu/index.php?option%3Dcom_onlinejudge%26Itemid%3D8%26category%3D683%26page%3Dshow_problem%26problem%3D5248&amp;sa=D&amp;ust=1605639554319000&amp;usg=AFQjCNGLR1uHIJkhGKrrKlUGPwkkMNhA6w" xr:uid="{2453386E-61E0-45CC-A71A-3D785232E66A}"/>
    <hyperlink ref="D4333" r:id="rId4384" display="https://www.google.com/url?q=https://github.com/mostafa-saad/MyCompetitiveProgramming/blob/master/LiveArchive/LIVEARCHIVE_7236.txt&amp;sa=D&amp;ust=1605639554319000&amp;usg=AFQjCNFnAbbe93hqjTzGfnu7WUtWs2PHFg" xr:uid="{B53FA65A-B09B-4D0F-8C5D-19E311F50632}"/>
    <hyperlink ref="D4049" r:id="rId4385" display="https://www.google.com/url?q=https://www.quora.com/How-do-I-solve-SPOJ-Two-Paths-problem&amp;sa=D&amp;ust=1605639554320000&amp;usg=AFQjCNHhpKTXX26zeSg3cMwpa6gaPEmCDA" xr:uid="{72C20E59-0DF4-4C4C-BED8-A97065EB4520}"/>
    <hyperlink ref="A5587" r:id="rId4386" display="https://www.google.com/url?q=http://codeforces.com/contest/543/problem/D&amp;sa=D&amp;ust=1605639554320000&amp;usg=AFQjCNGQjgkHq-cCHGRWTGEBW5K-Jga7ZA" xr:uid="{5CB1759B-D95E-432D-9087-13FD86A1AA93}"/>
    <hyperlink ref="A5588" r:id="rId4387" display="https://www.google.com/url?q=https://www.codechef.com/FEB19A/problems/XDCOMP&amp;sa=D&amp;ust=1605639554320000&amp;usg=AFQjCNFt3s56y2oaBv5-eCyQb1R73qc_fw" xr:uid="{AABDA2A7-DEFA-4644-BB54-5A93BE33CC86}"/>
    <hyperlink ref="A5589" r:id="rId4388" display="https://www.google.com/url?q=http://codeforces.com/contest/349/problem/D&amp;sa=D&amp;ust=1605639554321000&amp;usg=AFQjCNEYRDfi8-DCN2Fl_KA7l_pLGTCItw" xr:uid="{DA3FA616-01C0-4ABE-82F1-BBA98591D7A3}"/>
    <hyperlink ref="A5594" r:id="rId4389" display="https://www.google.com/url?q=http://codeforces.com/contest/791/problem/D&amp;sa=D&amp;ust=1605639554322000&amp;usg=AFQjCNF-Bm39rYgqwxcqNchOPGTzwotrvg" xr:uid="{76F83580-A034-474F-9260-B6F3A2595418}"/>
    <hyperlink ref="A5656" r:id="rId4390" display="https://www.google.com/url?q=http://codeforces.com/contest/629/problem/E&amp;sa=D&amp;ust=1605639554322000&amp;usg=AFQjCNGEzrKCcizCn3nCZT3MTj9Sndp-Ug" xr:uid="{C0BBBFB2-1B4E-48DC-85C6-B96DD3B6E6D9}"/>
    <hyperlink ref="A5658" r:id="rId4391" display="https://www.google.com/url?q=http://codeforces.com/contest/1060/problem/E&amp;sa=D&amp;ust=1605639554323000&amp;usg=AFQjCNH6SDztu2XFIAZfeW9q9dfKocxunQ" xr:uid="{76F9FAB6-9B92-479E-A56C-8FCB5D0CE34C}"/>
    <hyperlink ref="A5657" r:id="rId4392" display="https://www.google.com/url?q=https://codeforces.com/contest/1092/problem/F&amp;sa=D&amp;ust=1605639554323000&amp;usg=AFQjCNFWnKR7VRZDutzAR-0_dGUH1RVTYQ" xr:uid="{4ED5423B-89D8-48CB-9EEC-FEEC8DFAA352}"/>
    <hyperlink ref="A5659" r:id="rId4393" display="https://www.google.com/url?q=http://codeforces.com/contest/802/problem/K&amp;sa=D&amp;ust=1605639554324000&amp;usg=AFQjCNGgv8FMoWMUWP2OWfuX2csy81xFYQ" xr:uid="{0F51AF4D-22F2-416E-866A-C9E12CF7911E}"/>
    <hyperlink ref="A5660" r:id="rId4394" display="https://www.google.com/url?q=https://codeforces.com/contest/1263/problem/F&amp;sa=D&amp;ust=1605639554324000&amp;usg=AFQjCNEnloOnxSJsTiz8KpdeH673xCuV2Q" xr:uid="{942414D7-3AA7-439F-9513-241253209760}"/>
    <hyperlink ref="D3742" r:id="rId4395" display="https://www.google.com/url?q=https://github.com/aviroop123/CompetitiveProgramming/blob/master/UVA/UVA%252011174.cpp&amp;sa=D&amp;ust=1605639554325000&amp;usg=AFQjCNFwDVLjfeZb1_aftzrTIMuXH6U9wg" xr:uid="{EDAA27AC-DD76-4A45-B448-7B475E6B3811}"/>
    <hyperlink ref="A5688" r:id="rId4396" display="https://www.google.com/url?q=https://codeforces.com/contest/1249/problem/F&amp;sa=D&amp;ust=1605639554325000&amp;usg=AFQjCNEEWx8M8-qgZS0DVs1_9a9lnb5U4Q" xr:uid="{E2F0847C-D56E-4774-BA9E-4623549536C0}"/>
    <hyperlink ref="A5663" r:id="rId4397" display="https://www.google.com/url?q=https://codeforces.com/contest/960/problem/E&amp;sa=D&amp;ust=1605639554326000&amp;usg=AFQjCNG5bboBcjPPa0ndzOX-ysKIfzMLDw" xr:uid="{97E1E93A-0329-43B3-A214-A9C302882427}"/>
    <hyperlink ref="A5664" r:id="rId4398" display="https://www.google.com/url?q=http://codeforces.com/contest/1088/problem/E&amp;sa=D&amp;ust=1605639554326000&amp;usg=AFQjCNGBNVVYIAZe_ZenjDR-ADLf72b4Yw" xr:uid="{A1B05429-6105-4CF4-BB39-22B1E99A0E34}"/>
    <hyperlink ref="A5665" r:id="rId4399" display="https://www.google.com/url?q=https://www.hackerrank.com/contests/101hack22/challenges/sum-of-all-distances&amp;sa=D&amp;ust=1605639554327000&amp;usg=AFQjCNHMMkqlDgggNPtxhx1s5x6V577zCw" xr:uid="{5EBF2947-0179-463C-80D9-77BBDB3EE5FD}"/>
    <hyperlink ref="D3082" r:id="rId4400" display="https://www.google.com/url?q=https://github.com/gs15120/CompetitveProgrammingDirectories/blob/master/Hackerrank/HACKR%2520sum-of-all-distances&amp;sa=D&amp;ust=1605639554327000&amp;usg=AFQjCNE9E4-yT4ozWWH1LvxB5nHqX9BxqQ" xr:uid="{38E0890D-0F05-4E1E-BE7B-759771B554DB}"/>
    <hyperlink ref="A5668" r:id="rId4401" display="https://www.google.com/url?q=http://codeforces.com/contest/533/problem/B&amp;sa=D&amp;ust=1605639554327000&amp;usg=AFQjCNEW2DANim4pstExzldnEA19I9hfhA" xr:uid="{1C979FB9-07E7-4618-8A9E-F623BB716277}"/>
    <hyperlink ref="A5669" r:id="rId4402" display="https://www.google.com/url?q=https://codeforces.com/contest/1241/problem/E&amp;sa=D&amp;ust=1605639554330000&amp;usg=AFQjCNHppfSbhwL5_29OKA7Ekq0Dy9qHeA" xr:uid="{74E2AF73-84BA-4CFE-9BC7-968970C700A3}"/>
    <hyperlink ref="A5671" r:id="rId4403" display="https://www.google.com/url?q=http://codeforces.com/gym/101889/problem/G&amp;sa=D&amp;ust=1605639554331000&amp;usg=AFQjCNFMNcOUptOHPRdZyuvNZyVNK1_cNA" xr:uid="{DF7B85F1-3455-4493-AA83-A93FEFF7E624}"/>
    <hyperlink ref="D3086" r:id="rId4404" display="https://www.google.com/url?q=https://github.com/OmarHashim/Competitive-Programming/blob/master/CodeForces/CF101889-GYM-G.cpp&amp;sa=D&amp;ust=1605639554331000&amp;usg=AFQjCNHOBhLJOioGi9m8orHUBI6uah6CXg" xr:uid="{77476F2F-F235-424E-BC49-465AB1139F5C}"/>
    <hyperlink ref="D2885" r:id="rId4405" display="https://www.google.com/url?q=https://github.com/mostafa-saad/MyCompetitiveProgramming/blob/master/UVA/UVA_10859.txt&amp;sa=D&amp;ust=1605639554332000&amp;usg=AFQjCNE_y54CrUJX3YFbSQUcIEpbRVlK3A" xr:uid="{DB98ACDA-29D4-4291-A69A-2CF1A96E7476}"/>
    <hyperlink ref="A5673" r:id="rId4406" display="https://www.google.com/url?q=http://codeforces.com/problemset/problem/461/B&amp;sa=D&amp;ust=1605639554332000&amp;usg=AFQjCNFqpKlG6TgZHdHnicWmKnUNtgfl9Q" xr:uid="{D32F5290-23B3-4FE0-A7DE-7220DFF7317C}"/>
    <hyperlink ref="A5674" r:id="rId4407" display="https://www.google.com/url?q=https://codeforces.com/contest/1156/problem/E&amp;sa=D&amp;ust=1605639554333000&amp;usg=AFQjCNFVtaKoranZiPY1-Hk4VHSg92rDBg" xr:uid="{0DDB5B2E-B3E7-48D3-9934-1BE31075CA4A}"/>
    <hyperlink ref="A5676" r:id="rId4408" display="https://www.google.com/url?q=http://codeforces.com/contest/337/problem/D&amp;sa=D&amp;ust=1605639554333000&amp;usg=AFQjCNFN7TDEctyFyMcu15NcsLNeyyyQ2A" xr:uid="{51C05A1C-D584-4927-9F20-B23EA01952BD}"/>
    <hyperlink ref="D2537" r:id="rId4409" display="https://www.google.com/url?q=http://codeforces.com/contest/337/submission/38413425&amp;sa=D&amp;ust=1605639554333000&amp;usg=AFQjCNGjh88dmcXLnTAV8tDkUtpa1XlGxw" xr:uid="{1438A72C-E0A4-457E-A7F0-E95F8E4628F0}"/>
    <hyperlink ref="D2538" r:id="rId4410" display="https://www.google.com/url?q=https://github.com/mostafa-saad/MyCompetitiveProgramming/blob/master/UVA/UVA_1218.txt&amp;sa=D&amp;ust=1605639554334000&amp;usg=AFQjCNFKxcNOWqsA6xJYrzpwK_UI245rfA" xr:uid="{AE9D0779-6AD1-4CEE-BA79-C496803A2D2C}"/>
    <hyperlink ref="D2539" r:id="rId4411" display="https://www.google.com/url?q=https://github.com/adarshkr532/CompetitiveProgramming/blob/master/LiveArchive/6631.cpp&amp;sa=D&amp;ust=1605639554334000&amp;usg=AFQjCNFUrRr4Ny-37lfMqUjllRJYWIoHJg" xr:uid="{143126A8-CCE3-44BD-BFFA-75FBF6AE5FD5}"/>
    <hyperlink ref="A5679" r:id="rId4412" display="https://www.google.com/url?q=https://www.spoj.com/problems/VOCV/&amp;sa=D&amp;ust=1605639554335000&amp;usg=AFQjCNFnkrd7uxAJv8bqAYS0Mu6TZdJQCw" xr:uid="{9D26126F-5C15-4632-AB2B-2B2C84D7D8B0}"/>
    <hyperlink ref="D2541" r:id="rId4413" display="https://www.google.com/url?q=https://github.com/aviroop123/CompetitiveProgramming/blob/master/CodeChef/CODECHEF%2520TREE02.cpp&amp;sa=D&amp;ust=1605639554335000&amp;usg=AFQjCNGmLkfIx_WSYCFz4fCwqOdqVgV8ng" xr:uid="{D47AB878-343E-4F42-AE2C-F18F6FEF3FA1}"/>
    <hyperlink ref="A5681" r:id="rId4414" display="https://www.google.com/url?q=https://codeforces.com/contest/1084/problem/D&amp;sa=D&amp;ust=1605639554335000&amp;usg=AFQjCNHHpek-woS8H9N1OEtir3ik_ERPiw" xr:uid="{1A256E16-7BF5-4503-B209-89EA9F2E5C7C}"/>
    <hyperlink ref="A5682" r:id="rId4415" display="https://www.google.com/url?q=http://codeforces.com/contest/814/problem/D&amp;sa=D&amp;ust=1605639554336000&amp;usg=AFQjCNGlvh9RkeL0_Oo_zJu3N78wpQOmow" xr:uid="{EAA615B3-E58B-4300-80EC-0D343DDF1103}"/>
    <hyperlink ref="A5683" r:id="rId4416" display="https://www.google.com/url?q=https://codeforces.com/contest/1101/problem/D&amp;sa=D&amp;ust=1605639554336000&amp;usg=AFQjCNExYLQlwqdklkHRJrVDbMgC7xRM7w" xr:uid="{0EA1B5B9-47EA-4B64-A481-5F5E24051E47}"/>
    <hyperlink ref="A5684" r:id="rId4417" display="https://www.google.com/url?q=http://codeforces.com/contest/161/problem/D&amp;sa=D&amp;ust=1605639554337000&amp;usg=AFQjCNFTKv9S8LWitjmLbJo1LdtHbtJp-Q" xr:uid="{060BECF3-75C7-4831-8F6C-BB7D871DFD36}"/>
    <hyperlink ref="D1680" r:id="rId4418" display="https://www.google.com/url?q=https://github.com/mostafa-saad/MyCompetitiveProgramming/blob/master/Timus/Timus_1362.txt&amp;sa=D&amp;ust=1605639554337000&amp;usg=AFQjCNFXm-regMIMV-hiB6MgVaY0qYm6-g" xr:uid="{42D8A298-D118-451B-B317-3D2A56B06CBE}"/>
    <hyperlink ref="A5686" r:id="rId4419" display="https://www.google.com/url?q=http://codeforces.com/contest/743/problem/D&amp;sa=D&amp;ust=1605639554338000&amp;usg=AFQjCNGjIuXSqKxEe8_2HNcUMkVdVFdR2A" xr:uid="{96D94BC9-FC69-4418-A1B2-6419012DFB5F}"/>
    <hyperlink ref="A5687" r:id="rId4420" display="https://www.google.com/url?q=https://csacademy.com/contest/fii-code-2019-round-1/task/Sugarel-in-Love/&amp;sa=D&amp;ust=1605639554338000&amp;usg=AFQjCNEqPYpKou0Gv4fsNUNofTMc2smJvw" xr:uid="{C81BA7CF-19EB-4389-9143-700A532C31DB}"/>
    <hyperlink ref="A5689" r:id="rId4421" display="https://www.google.com/url?q=http://www.spoj.com/problems/PT07X/&amp;sa=D&amp;ust=1605639554338000&amp;usg=AFQjCNEIwkpU-Do5Yaiz1aeqFU2oEnyDGQ" xr:uid="{766614A9-179F-4BA8-ADFB-CEA84F783CD2}"/>
    <hyperlink ref="D1683" r:id="rId4422" display="https://www.google.com/url?q=https://github.com/abdullaAshraf/Problem-Solving/blob/master/SPOJ/PT07X.cpp&amp;sa=D&amp;ust=1605639554338000&amp;usg=AFQjCNGo5NcrzWyGjrWAGKIjmkIK9Ng0rQ" xr:uid="{4B96496A-C80E-4009-9FCC-962499901AEF}"/>
    <hyperlink ref="A5690" r:id="rId4423" display="https://www.google.com/url?q=https://codeforces.com/contest/1087/problem/E&amp;sa=D&amp;ust=1605639554339000&amp;usg=AFQjCNFE35yYDD72hqSnjqyyaGEES-EfRQ" xr:uid="{B91894EA-BBF2-4307-A4AD-0A71EFBC73E8}"/>
    <hyperlink ref="D4660" r:id="rId4424" display="https://www.google.com/url?q=https://github.com/pranavjangir/CompetitiveProgramming/blob/master/CodeForces/CF1086-D1-C.cpp&amp;sa=D&amp;ust=1605639554339000&amp;usg=AFQjCNEFQ9181TLUbLduHQZqV_TDk2N5vA" xr:uid="{751EA0C8-05D4-4A44-9852-0E3CD3D0519C}"/>
    <hyperlink ref="A5691" r:id="rId4425" display="https://www.google.com/url?q=http://codeforces.com/contest/444/problem/D&amp;sa=D&amp;ust=1605639554339000&amp;usg=AFQjCNFoEvBajYF2qckFouAArzCnIML5ew" xr:uid="{CF76F011-895A-4747-B96C-962971693C49}"/>
    <hyperlink ref="A5692" r:id="rId4426" display="https://www.google.com/url?q=https://codeforces.com/contest/1113/problem/D&amp;sa=D&amp;ust=1605639554341000&amp;usg=AFQjCNGWmJb7dBI1uFTiHe6DTqLtqn4lEQ" xr:uid="{A3503248-8C31-4E68-9239-6E643B904238}"/>
    <hyperlink ref="A5693" r:id="rId4427" display="https://www.google.com/url?q=https://codeforces.com/contest/1282/problem/D&amp;sa=D&amp;ust=1605639554341000&amp;usg=AFQjCNGgTYjJdZi6mDiCxG5HstugFsNJCA" xr:uid="{4696A45F-A9B2-4355-9EF9-4D57E5A80FE9}"/>
    <hyperlink ref="A5694" r:id="rId4428" display="https://www.google.com/url?q=https://codeforces.com/problemset/problem/514/C&amp;sa=D&amp;ust=1605639554341000&amp;usg=AFQjCNGMFRl-33e2eOPkZ8rh9_yEFEARsg" xr:uid="{91A3B7B2-9C06-407B-841E-A1825A17CB71}"/>
    <hyperlink ref="A5661" r:id="rId4429" display="https://www.google.com/url?q=http://codeforces.com/contest/438/problem/E&amp;sa=D&amp;ust=1605639554342000&amp;usg=AFQjCNEV7lZfUDGLhcTCWbw6WpH9zqxp4w" xr:uid="{E3899A3D-1FF5-45CD-A020-D1E4A3E458B2}"/>
    <hyperlink ref="D5666" r:id="rId4430" display="https://www.google.com/url?q=http://codeforces.com/contest/438/submission/34078438&amp;sa=D&amp;ust=1605639554342000&amp;usg=AFQjCNFajAdTIcUZ0cMUg5qvC-kke4dSZQ" xr:uid="{C92DF813-9764-4B73-8E00-BA9B4AC3A4D5}"/>
    <hyperlink ref="D5593" r:id="rId4431" display="https://www.google.com/url?q=https://github.com/mostafa-saad/MyCompetitiveProgramming/blob/master/CodeChef/CODECHEF-SERSUM.txt&amp;sa=D&amp;ust=1605639554342000&amp;usg=AFQjCNHhimPSw5LiByQFlG2shStEV7xHnw" xr:uid="{69F86AEB-5062-4F0C-9023-74813C6C922E}"/>
    <hyperlink ref="A5666" r:id="rId4432" display="https://www.google.com/url?q=https://www.codechef.com/problems/COUNTARI&amp;sa=D&amp;ust=1605639554343000&amp;usg=AFQjCNEZwSzFe8fGAR7Mzzz36yZLjSI7yw" xr:uid="{C9737476-58A7-4F49-9CB2-B4E08FDCF286}"/>
    <hyperlink ref="A5696" r:id="rId4433" display="https://www.google.com/url?q=http://codeforces.com/contest/286/problem/E&amp;sa=D&amp;ust=1605639554343000&amp;usg=AFQjCNGWMdlgzwFyk-Fixop1hBT4bTUSWA" xr:uid="{57B8329B-FC16-4066-B90B-DCF3C0C0F63E}"/>
    <hyperlink ref="A5697" r:id="rId4434" display="https://www.google.com/url?q=https://www.codechef.com/JULY18A/problems/PFRUIT&amp;sa=D&amp;ust=1605639554343000&amp;usg=AFQjCNH_oPju7mfCK-S3RCJOvXQEV1xoCA" xr:uid="{8C11EE0C-D46B-436E-B481-98D9B7B040E1}"/>
    <hyperlink ref="D4661" r:id="rId4435" display="https://www.google.com/url?q=https://github.com/aviroop123/CompetitiveProgramming/blob/master/CodeChef/CODECHEF%2520PFRUIT.cpp&amp;sa=D&amp;ust=1605639554344000&amp;usg=AFQjCNGlSfzqNLR4hkW6UlBHYQITkPI9yA" xr:uid="{14A58B7F-0979-4019-9931-CD5C9EF65C77}"/>
    <hyperlink ref="A5698" r:id="rId4436" display="https://www.google.com/url?q=https://www.codechef.com/INQU2018/problems/IMGOD&amp;sa=D&amp;ust=1605639554344000&amp;usg=AFQjCNG6J1drdm_Ds7OOI1KNjkMtvzNpJw" xr:uid="{806AACE6-F21E-470B-9148-F177AE585D6A}"/>
    <hyperlink ref="D4662" r:id="rId4437" display="https://www.google.com/url?q=https://github.com/aviroop123/CompetitiveProgramming/blob/master/CodeChef/CODECHEF%2520IMGOD.cpp&amp;sa=D&amp;ust=1605639554344000&amp;usg=AFQjCNHhtoFzUo1RX9xDKvInvetMMJ5kZg" xr:uid="{AB248BEA-5D72-4937-B647-01B7815F11EC}"/>
    <hyperlink ref="A5699" r:id="rId4438" display="https://www.google.com/url?q=http://codeforces.com/contest/528/problem/D&amp;sa=D&amp;ust=1605639554345000&amp;usg=AFQjCNE4jOoosgWa6n6y4RmXK24JrrOXFg" xr:uid="{AE33167A-0914-45C0-BFF5-FDC419A6A734}"/>
    <hyperlink ref="A5700" r:id="rId4439" display="https://www.google.com/url?q=http://codeforces.com/contest/1096/problem/G&amp;sa=D&amp;ust=1605639554345000&amp;usg=AFQjCNHjj8gLrltbOavGVK_td0HHCo-2VQ" xr:uid="{E45B0AD0-53FC-428A-B91F-5E2C8EDC1190}"/>
    <hyperlink ref="A5702" r:id="rId4440" display="https://www.google.com/url?q=https://codeforces.com/contest/1218/problem/D&amp;sa=D&amp;ust=1605639554346000&amp;usg=AFQjCNFeDyZsrtMLNO_yAex01vBbvYkswg" xr:uid="{1938F9D2-6E1C-4A1A-AE6A-CB692D2DB9EE}"/>
    <hyperlink ref="A5703" r:id="rId4441" display="https://www.google.com/url?q=https://www.codechef.com/SEPT19A/problems/PSUM&amp;sa=D&amp;ust=1605639554346000&amp;usg=AFQjCNErZJtuaaYounCUKnvwCeztpdVK7A" xr:uid="{FDE1DE2F-9C82-4B8D-8BC3-73A1E8D4F235}"/>
    <hyperlink ref="A5704" r:id="rId4442" display="https://www.google.com/url?q=https://www.codechef.com/problems/DOTIT&amp;sa=D&amp;ust=1605639554346000&amp;usg=AFQjCNEkcNtUUiE6MR3T1EsXFPazbNmsBA" xr:uid="{1EE04FAC-A2D1-4D51-BCFE-E2763B4B91AF}"/>
    <hyperlink ref="A5705" r:id="rId4443" display="https://www.google.com/url?q=http://codeforces.com/contest/993/problem/E&amp;sa=D&amp;ust=1605639554347000&amp;usg=AFQjCNGPpnm_cSj9Qasd-t8i51tOIcZb7Q" xr:uid="{7C7C7249-01C3-47A0-A5A7-6A073DDF16CD}"/>
    <hyperlink ref="D4056" r:id="rId4444" display="https://www.google.com/url?q=http://codeforces.com/contest/993/submission/43802408&amp;sa=D&amp;ust=1605639554347000&amp;usg=AFQjCNFikUYm1hoc0EmT2TD5NMs_GH8hrA" xr:uid="{D8D3AF88-F8DE-400C-BD87-BBF883F09FF1}"/>
    <hyperlink ref="A5706" r:id="rId4445" display="https://www.google.com/url?q=https://www.codechef.com/MAY19A/problems/TREDEG&amp;sa=D&amp;ust=1605639554347000&amp;usg=AFQjCNH4eyFujfHDZ_pW21WaRuf1Mwd3Dg" xr:uid="{DBEE051A-0263-40E0-AE3F-C8A52BA9ABAC}"/>
    <hyperlink ref="A5695" r:id="rId4446" display="https://www.google.com/url?q=https://codeforces.com/contest/1218/problem/E&amp;sa=D&amp;ust=1605639554348000&amp;usg=AFQjCNG-uptF705cvACHBR51P6O_-MOUSA" xr:uid="{2FBD4A5B-6229-4668-9460-8ED1C266BBBE}"/>
    <hyperlink ref="A5709" r:id="rId4447" display="https://www.google.com/url?q=https://codeforces.com/problemset/problem/632/E&amp;sa=D&amp;ust=1605639554348000&amp;usg=AFQjCNGmQ10RvXesYpptuEXbegchZnTMmA" xr:uid="{784EDA42-0086-40A8-A7A1-8DCAF3766333}"/>
    <hyperlink ref="A5710" r:id="rId4448" display="https://www.google.com/url?q=https://www.spoj.com/problems/POLYMUL/&amp;sa=D&amp;ust=1605639554348000&amp;usg=AFQjCNHMYYeKJzxllS__pF8h-wySMITUXg" xr:uid="{124DB62F-541B-4A2F-9703-F5225F09AD25}"/>
    <hyperlink ref="A5711" r:id="rId4449" display="https://www.google.com/url?q=https://www.codechef.com/problems/HAMILG&amp;sa=D&amp;ust=1605639554349000&amp;usg=AFQjCNFetzReQCJ6X0o7JR9bzc_jjoCGVQ" xr:uid="{EA741D49-1513-48E1-AFF9-60D3B281DBF6}"/>
    <hyperlink ref="A5712" r:id="rId4450" display="https://www.google.com/url?q=https://codeforces.com/contest/1089&amp;sa=D&amp;ust=1605639554349000&amp;usg=AFQjCNHsKdO2EJb-xufSSYnyx3JoHefhEg" xr:uid="{33519F06-3895-4A83-910B-A3CDB92AA3FC}"/>
    <hyperlink ref="A5713" r:id="rId4451" display="https://www.google.com/url?q=http://uoj.ac/problem/171&amp;sa=D&amp;ust=1605639554351000&amp;usg=AFQjCNHHsUiciZUN0mDV7o4l1ce47JeDIw" xr:uid="{21DD057E-64AC-4BD2-A3F0-E505A1FD739B}"/>
    <hyperlink ref="D5254" r:id="rId4452" display="https://www.google.com/url?q=https://github.com/taow-com-prog/problemsolving/blob/master/general_matching/UOJ%2520171.cpp&amp;sa=D&amp;ust=1605639554351000&amp;usg=AFQjCNFAoeSMcwDQ0Ajy-sNMahEx7t5yHw" xr:uid="{9E624F80-9481-45C2-8DEE-45989B58F273}"/>
    <hyperlink ref="A5707" r:id="rId4453" display="https://www.google.com/url?q=http://acm.timus.ru/problem.aspx?space%3D1%26num%3D1099&amp;sa=D&amp;ust=1605639554351000&amp;usg=AFQjCNEzqgp20j_bfkHP6kcAA2a_ItSJxg" xr:uid="{C225081B-F5C6-40A8-8ED7-15E22E639899}"/>
    <hyperlink ref="D3090" r:id="rId4454" display="https://www.google.com/url?q=https://github.com/BoleynSu/CompetitiveProgramming/blob/master/archives/problemset/acm.timus.ru/1099.cpp&amp;sa=D&amp;ust=1605639554352000&amp;usg=AFQjCNHPyeLTOD-Nwz3pfNtnHFAayAHraA" xr:uid="{8A06038B-9594-4100-B241-859DCE295FE0}"/>
    <hyperlink ref="A5715" r:id="rId4455" xr:uid="{F617FB91-8BFF-4201-B0C6-D36F1AFB6612}"/>
    <hyperlink ref="B5633" r:id="rId4456" display="https://www.google.com/url?q=https://www.hackerearth.com/practice/algorithms/dynamic-programming/2-dimensional/practice-problems/algorithm/uchiha-brothers-and-two-products-circuit/&amp;sa=D&amp;ust=1605639554309000&amp;usg=AFQjCNHeUilzfZz9lfcDimXv7c0_D-GhSw" xr:uid="{C4CC01DA-9126-4EC2-8A7F-3BB9A5EA13E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1826F-57B5-460A-B589-7E5FBE999DED}">
  <sheetPr>
    <tabColor rgb="FF7030A0"/>
  </sheetPr>
  <dimension ref="A1:E526"/>
  <sheetViews>
    <sheetView topLeftCell="A452" zoomScale="71" zoomScaleNormal="65" workbookViewId="0">
      <selection activeCell="B106" sqref="B106"/>
    </sheetView>
  </sheetViews>
  <sheetFormatPr defaultColWidth="12.44140625" defaultRowHeight="15.6"/>
  <cols>
    <col min="1" max="1" width="31.6640625" style="491" customWidth="1"/>
    <col min="2" max="2" width="136.6640625" style="491" customWidth="1"/>
    <col min="3" max="3" width="81.33203125" style="491" customWidth="1"/>
    <col min="4" max="4" width="220.33203125" style="491" customWidth="1"/>
    <col min="5" max="5" width="158.44140625" style="491" customWidth="1"/>
    <col min="6" max="16384" width="12.44140625" style="491"/>
  </cols>
  <sheetData>
    <row r="1" spans="1:5" ht="24.6">
      <c r="B1" s="512" t="s">
        <v>14960</v>
      </c>
    </row>
    <row r="2" spans="1:5">
      <c r="B2" s="501"/>
      <c r="D2" s="491" t="s">
        <v>11524</v>
      </c>
    </row>
    <row r="4" spans="1:5" ht="21">
      <c r="A4" s="511" t="s">
        <v>11523</v>
      </c>
      <c r="B4" s="511" t="s">
        <v>11522</v>
      </c>
      <c r="C4" s="510" t="s">
        <v>11521</v>
      </c>
    </row>
    <row r="5" spans="1:5">
      <c r="C5" s="498" t="s">
        <v>10962</v>
      </c>
    </row>
    <row r="6" spans="1:5" ht="21">
      <c r="A6" s="494" t="s">
        <v>375</v>
      </c>
      <c r="B6" s="493" t="s">
        <v>11520</v>
      </c>
      <c r="C6" s="496"/>
    </row>
    <row r="7" spans="1:5" ht="21">
      <c r="A7" s="494" t="s">
        <v>375</v>
      </c>
      <c r="B7" s="493" t="s">
        <v>11519</v>
      </c>
      <c r="C7" s="509" t="s">
        <v>10962</v>
      </c>
      <c r="D7" s="491" t="s">
        <v>14841</v>
      </c>
    </row>
    <row r="8" spans="1:5" ht="21">
      <c r="A8" s="494" t="s">
        <v>375</v>
      </c>
      <c r="B8" s="493" t="s">
        <v>11518</v>
      </c>
      <c r="C8" s="495" t="s">
        <v>11517</v>
      </c>
      <c r="D8" s="491" t="s">
        <v>11516</v>
      </c>
      <c r="E8" s="608" t="s">
        <v>14842</v>
      </c>
    </row>
    <row r="9" spans="1:5" ht="21">
      <c r="A9" s="494" t="s">
        <v>375</v>
      </c>
      <c r="B9" s="493" t="s">
        <v>11515</v>
      </c>
      <c r="C9" s="497" t="s">
        <v>10962</v>
      </c>
      <c r="D9" s="491" t="s">
        <v>11514</v>
      </c>
    </row>
    <row r="10" spans="1:5" ht="21">
      <c r="A10" s="494" t="s">
        <v>375</v>
      </c>
      <c r="B10" s="493" t="s">
        <v>11513</v>
      </c>
      <c r="C10" s="496" t="s">
        <v>10962</v>
      </c>
    </row>
    <row r="11" spans="1:5" ht="21">
      <c r="A11" s="494" t="s">
        <v>375</v>
      </c>
      <c r="B11" s="493" t="s">
        <v>11512</v>
      </c>
      <c r="C11" s="496" t="s">
        <v>10962</v>
      </c>
    </row>
    <row r="12" spans="1:5" ht="21">
      <c r="A12" s="494" t="s">
        <v>375</v>
      </c>
      <c r="B12" s="493" t="s">
        <v>11511</v>
      </c>
      <c r="C12" s="496" t="s">
        <v>10962</v>
      </c>
    </row>
    <row r="13" spans="1:5" ht="21">
      <c r="A13" s="494" t="s">
        <v>375</v>
      </c>
      <c r="B13" s="493" t="s">
        <v>11510</v>
      </c>
      <c r="C13" s="496" t="s">
        <v>10962</v>
      </c>
    </row>
    <row r="14" spans="1:5" ht="21">
      <c r="A14" s="494" t="s">
        <v>375</v>
      </c>
      <c r="B14" s="493" t="s">
        <v>11509</v>
      </c>
      <c r="C14" s="495" t="s">
        <v>10962</v>
      </c>
      <c r="D14" s="491" t="s">
        <v>11508</v>
      </c>
    </row>
    <row r="15" spans="1:5" ht="21">
      <c r="A15" s="494" t="s">
        <v>375</v>
      </c>
      <c r="B15" s="493" t="s">
        <v>11507</v>
      </c>
      <c r="C15" s="496" t="s">
        <v>10962</v>
      </c>
    </row>
    <row r="16" spans="1:5" ht="21">
      <c r="A16" s="494" t="s">
        <v>375</v>
      </c>
      <c r="B16" s="493" t="s">
        <v>11506</v>
      </c>
      <c r="C16" s="497" t="s">
        <v>10962</v>
      </c>
      <c r="D16" s="491" t="s">
        <v>11505</v>
      </c>
    </row>
    <row r="17" spans="1:4" ht="21">
      <c r="A17" s="494" t="s">
        <v>375</v>
      </c>
      <c r="B17" s="493" t="s">
        <v>11504</v>
      </c>
      <c r="C17" s="497" t="s">
        <v>10962</v>
      </c>
      <c r="D17" s="491" t="s">
        <v>11503</v>
      </c>
    </row>
    <row r="18" spans="1:4" ht="21">
      <c r="A18" s="494" t="s">
        <v>375</v>
      </c>
      <c r="B18" s="493" t="s">
        <v>11502</v>
      </c>
      <c r="C18" s="496" t="s">
        <v>10962</v>
      </c>
    </row>
    <row r="19" spans="1:4" ht="21">
      <c r="A19" s="494" t="s">
        <v>375</v>
      </c>
      <c r="B19" s="493" t="s">
        <v>11501</v>
      </c>
      <c r="C19" s="496" t="s">
        <v>10962</v>
      </c>
      <c r="D19" s="491" t="s">
        <v>11500</v>
      </c>
    </row>
    <row r="20" spans="1:4" ht="21">
      <c r="A20" s="494" t="s">
        <v>375</v>
      </c>
      <c r="B20" s="493" t="s">
        <v>11499</v>
      </c>
      <c r="C20" s="497" t="s">
        <v>10962</v>
      </c>
      <c r="D20" s="491" t="s">
        <v>11498</v>
      </c>
    </row>
    <row r="21" spans="1:4" ht="21">
      <c r="A21" s="494" t="s">
        <v>375</v>
      </c>
      <c r="B21" s="493" t="s">
        <v>11497</v>
      </c>
      <c r="C21" s="495" t="s">
        <v>10962</v>
      </c>
      <c r="D21" s="491" t="s">
        <v>11496</v>
      </c>
    </row>
    <row r="22" spans="1:4" ht="21">
      <c r="A22" s="494" t="s">
        <v>375</v>
      </c>
      <c r="B22" s="493" t="s">
        <v>11495</v>
      </c>
      <c r="C22" s="496" t="s">
        <v>10962</v>
      </c>
    </row>
    <row r="23" spans="1:4" ht="21">
      <c r="A23" s="494" t="s">
        <v>375</v>
      </c>
      <c r="B23" s="493" t="s">
        <v>11494</v>
      </c>
      <c r="C23" s="497" t="s">
        <v>10962</v>
      </c>
      <c r="D23" s="491" t="s">
        <v>11305</v>
      </c>
    </row>
    <row r="24" spans="1:4" ht="21">
      <c r="A24" s="494" t="s">
        <v>375</v>
      </c>
      <c r="B24" s="493" t="s">
        <v>11493</v>
      </c>
      <c r="C24" s="496" t="s">
        <v>10962</v>
      </c>
    </row>
    <row r="25" spans="1:4" ht="21">
      <c r="A25" s="494" t="s">
        <v>375</v>
      </c>
      <c r="B25" s="493" t="s">
        <v>11492</v>
      </c>
      <c r="C25" s="495" t="s">
        <v>10962</v>
      </c>
      <c r="D25" s="491" t="s">
        <v>11491</v>
      </c>
    </row>
    <row r="26" spans="1:4" ht="21">
      <c r="A26" s="494" t="s">
        <v>375</v>
      </c>
      <c r="B26" s="493" t="s">
        <v>11490</v>
      </c>
      <c r="C26" s="496" t="s">
        <v>10962</v>
      </c>
      <c r="D26" s="491" t="s">
        <v>11489</v>
      </c>
    </row>
    <row r="27" spans="1:4" ht="21">
      <c r="A27" s="494" t="s">
        <v>375</v>
      </c>
      <c r="B27" s="493" t="s">
        <v>11488</v>
      </c>
      <c r="C27" s="497" t="s">
        <v>10962</v>
      </c>
      <c r="D27" s="491" t="s">
        <v>11487</v>
      </c>
    </row>
    <row r="28" spans="1:4" ht="21">
      <c r="A28" s="494" t="s">
        <v>375</v>
      </c>
      <c r="B28" s="493" t="s">
        <v>11486</v>
      </c>
      <c r="C28" s="497" t="s">
        <v>10962</v>
      </c>
      <c r="D28" s="491" t="s">
        <v>11485</v>
      </c>
    </row>
    <row r="29" spans="1:4" ht="21">
      <c r="A29" s="494" t="s">
        <v>375</v>
      </c>
      <c r="B29" s="493" t="s">
        <v>11484</v>
      </c>
      <c r="C29" s="495" t="s">
        <v>10962</v>
      </c>
      <c r="D29" s="491" t="s">
        <v>11483</v>
      </c>
    </row>
    <row r="30" spans="1:4" ht="21">
      <c r="A30" s="494" t="s">
        <v>375</v>
      </c>
      <c r="B30" s="493" t="s">
        <v>11482</v>
      </c>
      <c r="C30" s="496" t="s">
        <v>10962</v>
      </c>
    </row>
    <row r="31" spans="1:4" ht="21">
      <c r="A31" s="494" t="s">
        <v>375</v>
      </c>
      <c r="B31" s="493" t="s">
        <v>11481</v>
      </c>
      <c r="C31" s="497" t="s">
        <v>10962</v>
      </c>
      <c r="D31" s="491" t="s">
        <v>11480</v>
      </c>
    </row>
    <row r="32" spans="1:4" ht="21">
      <c r="A32" s="494" t="s">
        <v>375</v>
      </c>
      <c r="B32" s="493" t="s">
        <v>11479</v>
      </c>
      <c r="C32" s="496" t="s">
        <v>10962</v>
      </c>
    </row>
    <row r="33" spans="1:4" ht="21">
      <c r="A33" s="494" t="s">
        <v>375</v>
      </c>
      <c r="B33" s="493" t="s">
        <v>11478</v>
      </c>
      <c r="C33" s="509" t="s">
        <v>10962</v>
      </c>
      <c r="D33" s="491" t="s">
        <v>11477</v>
      </c>
    </row>
    <row r="34" spans="1:4" ht="21">
      <c r="A34" s="494" t="s">
        <v>375</v>
      </c>
      <c r="B34" s="493" t="s">
        <v>11476</v>
      </c>
      <c r="C34" s="504" t="s">
        <v>10962</v>
      </c>
      <c r="D34" s="491" t="s">
        <v>11475</v>
      </c>
    </row>
    <row r="35" spans="1:4" ht="21">
      <c r="A35" s="494" t="s">
        <v>375</v>
      </c>
      <c r="B35" s="493" t="s">
        <v>11474</v>
      </c>
      <c r="C35" s="497" t="s">
        <v>10962</v>
      </c>
      <c r="D35" s="491" t="s">
        <v>11473</v>
      </c>
    </row>
    <row r="36" spans="1:4" ht="21">
      <c r="A36" s="494" t="s">
        <v>375</v>
      </c>
      <c r="B36" s="493" t="s">
        <v>11472</v>
      </c>
      <c r="C36" s="496" t="s">
        <v>10962</v>
      </c>
    </row>
    <row r="37" spans="1:4" ht="21">
      <c r="A37" s="494" t="s">
        <v>375</v>
      </c>
      <c r="B37" s="493" t="s">
        <v>11471</v>
      </c>
      <c r="C37" s="496" t="s">
        <v>10962</v>
      </c>
    </row>
    <row r="38" spans="1:4" ht="21">
      <c r="A38" s="494" t="s">
        <v>375</v>
      </c>
      <c r="B38" s="493" t="s">
        <v>11470</v>
      </c>
      <c r="C38" s="495" t="s">
        <v>10962</v>
      </c>
      <c r="D38" s="491" t="s">
        <v>11469</v>
      </c>
    </row>
    <row r="39" spans="1:4" ht="21">
      <c r="A39" s="494" t="s">
        <v>375</v>
      </c>
      <c r="B39" s="493" t="s">
        <v>11468</v>
      </c>
      <c r="C39" s="496" t="s">
        <v>10962</v>
      </c>
    </row>
    <row r="40" spans="1:4" ht="21">
      <c r="A40" s="494" t="s">
        <v>375</v>
      </c>
      <c r="B40" s="493" t="s">
        <v>11467</v>
      </c>
      <c r="C40" s="496" t="s">
        <v>10962</v>
      </c>
    </row>
    <row r="41" spans="1:4" ht="21">
      <c r="A41" s="494" t="s">
        <v>375</v>
      </c>
      <c r="B41" s="493" t="s">
        <v>11466</v>
      </c>
      <c r="C41" s="508" t="s">
        <v>10962</v>
      </c>
      <c r="D41" s="491" t="s">
        <v>11465</v>
      </c>
    </row>
    <row r="42" spans="1:4" ht="21">
      <c r="B42" s="499"/>
      <c r="C42" s="491" t="s">
        <v>10962</v>
      </c>
    </row>
    <row r="43" spans="1:4" ht="21">
      <c r="A43" s="494"/>
      <c r="B43" s="499"/>
      <c r="C43" s="498" t="s">
        <v>10962</v>
      </c>
    </row>
    <row r="44" spans="1:4" ht="21">
      <c r="A44" s="500" t="s">
        <v>834</v>
      </c>
      <c r="B44" s="493" t="s">
        <v>11464</v>
      </c>
      <c r="C44" s="496" t="s">
        <v>10962</v>
      </c>
      <c r="D44" s="491" t="s">
        <v>14819</v>
      </c>
    </row>
    <row r="45" spans="1:4" ht="21">
      <c r="A45" s="500" t="s">
        <v>834</v>
      </c>
      <c r="B45" s="493" t="s">
        <v>11463</v>
      </c>
      <c r="C45" s="497" t="s">
        <v>10962</v>
      </c>
      <c r="D45" s="491" t="s">
        <v>11462</v>
      </c>
    </row>
    <row r="46" spans="1:4" ht="21">
      <c r="A46" s="500" t="s">
        <v>834</v>
      </c>
      <c r="B46" s="493" t="s">
        <v>11461</v>
      </c>
      <c r="C46" s="509" t="s">
        <v>10962</v>
      </c>
      <c r="D46" s="491" t="s">
        <v>11460</v>
      </c>
    </row>
    <row r="47" spans="1:4" ht="21">
      <c r="A47" s="500" t="s">
        <v>834</v>
      </c>
      <c r="B47" s="493" t="s">
        <v>11459</v>
      </c>
      <c r="C47" s="496" t="s">
        <v>10962</v>
      </c>
    </row>
    <row r="48" spans="1:4" ht="21">
      <c r="A48" s="500" t="s">
        <v>834</v>
      </c>
      <c r="B48" s="493" t="s">
        <v>11458</v>
      </c>
      <c r="C48" s="496" t="s">
        <v>10962</v>
      </c>
      <c r="D48" s="491" t="s">
        <v>11457</v>
      </c>
    </row>
    <row r="49" spans="1:4" ht="21">
      <c r="A49" s="500" t="s">
        <v>834</v>
      </c>
      <c r="B49" s="493" t="s">
        <v>11456</v>
      </c>
      <c r="C49" s="497" t="s">
        <v>10962</v>
      </c>
      <c r="D49" s="491" t="s">
        <v>11455</v>
      </c>
    </row>
    <row r="50" spans="1:4" ht="21">
      <c r="A50" s="500" t="s">
        <v>834</v>
      </c>
      <c r="B50" s="493" t="s">
        <v>11454</v>
      </c>
      <c r="C50" s="492" t="s">
        <v>10962</v>
      </c>
    </row>
    <row r="51" spans="1:4" ht="21">
      <c r="A51" s="500" t="s">
        <v>834</v>
      </c>
      <c r="B51" s="493" t="s">
        <v>11453</v>
      </c>
      <c r="C51" s="496" t="s">
        <v>10962</v>
      </c>
    </row>
    <row r="52" spans="1:4" ht="21">
      <c r="A52" s="500" t="s">
        <v>834</v>
      </c>
      <c r="B52" s="493" t="s">
        <v>11452</v>
      </c>
      <c r="C52" s="495" t="s">
        <v>10962</v>
      </c>
      <c r="D52" s="491" t="s">
        <v>11451</v>
      </c>
    </row>
    <row r="53" spans="1:4" ht="21">
      <c r="A53" s="500" t="s">
        <v>834</v>
      </c>
      <c r="B53" s="493" t="s">
        <v>11450</v>
      </c>
      <c r="C53" s="496" t="s">
        <v>10962</v>
      </c>
    </row>
    <row r="55" spans="1:4" ht="21">
      <c r="A55" s="494"/>
      <c r="B55" s="499"/>
      <c r="C55" s="498"/>
    </row>
    <row r="56" spans="1:4" ht="21">
      <c r="A56" s="494" t="s">
        <v>11391</v>
      </c>
      <c r="B56" s="493" t="s">
        <v>11449</v>
      </c>
      <c r="C56" s="496" t="s">
        <v>10962</v>
      </c>
    </row>
    <row r="57" spans="1:4" ht="21">
      <c r="A57" s="494" t="s">
        <v>11391</v>
      </c>
      <c r="B57" s="493" t="s">
        <v>11448</v>
      </c>
      <c r="C57" s="496" t="s">
        <v>10962</v>
      </c>
    </row>
    <row r="58" spans="1:4" ht="21">
      <c r="A58" s="494" t="s">
        <v>11391</v>
      </c>
      <c r="B58" s="493" t="s">
        <v>11447</v>
      </c>
      <c r="C58" s="496" t="s">
        <v>10962</v>
      </c>
    </row>
    <row r="59" spans="1:4" ht="21">
      <c r="A59" s="494" t="s">
        <v>11391</v>
      </c>
      <c r="B59" s="499" t="s">
        <v>11446</v>
      </c>
      <c r="C59" s="498" t="s">
        <v>10962</v>
      </c>
    </row>
    <row r="60" spans="1:4" ht="21">
      <c r="A60" s="494" t="s">
        <v>11391</v>
      </c>
      <c r="B60" s="493" t="s">
        <v>11445</v>
      </c>
      <c r="C60" s="497" t="s">
        <v>10962</v>
      </c>
      <c r="D60" s="491" t="s">
        <v>11444</v>
      </c>
    </row>
    <row r="61" spans="1:4" ht="21">
      <c r="A61" s="494" t="s">
        <v>11391</v>
      </c>
      <c r="B61" s="493" t="s">
        <v>11443</v>
      </c>
      <c r="C61" s="496" t="s">
        <v>10962</v>
      </c>
      <c r="D61" s="491" t="s">
        <v>11442</v>
      </c>
    </row>
    <row r="62" spans="1:4" ht="21">
      <c r="A62" s="494" t="s">
        <v>11391</v>
      </c>
      <c r="B62" s="493" t="s">
        <v>11441</v>
      </c>
      <c r="C62" s="496" t="s">
        <v>10962</v>
      </c>
    </row>
    <row r="63" spans="1:4" ht="21">
      <c r="A63" s="494" t="s">
        <v>11391</v>
      </c>
      <c r="B63" s="493" t="s">
        <v>11440</v>
      </c>
      <c r="C63" s="496" t="s">
        <v>10962</v>
      </c>
    </row>
    <row r="64" spans="1:4" ht="21">
      <c r="A64" s="494" t="s">
        <v>11391</v>
      </c>
      <c r="B64" s="493" t="s">
        <v>11439</v>
      </c>
      <c r="C64" s="496" t="s">
        <v>10962</v>
      </c>
    </row>
    <row r="65" spans="1:4" ht="21">
      <c r="A65" s="494" t="s">
        <v>11391</v>
      </c>
      <c r="B65" s="493" t="s">
        <v>11438</v>
      </c>
      <c r="C65" s="496" t="s">
        <v>10962</v>
      </c>
    </row>
    <row r="66" spans="1:4" ht="21">
      <c r="A66" s="494" t="s">
        <v>11391</v>
      </c>
      <c r="B66" s="493" t="s">
        <v>11437</v>
      </c>
      <c r="C66" s="496" t="s">
        <v>10962</v>
      </c>
    </row>
    <row r="67" spans="1:4" ht="21">
      <c r="A67" s="494" t="s">
        <v>11391</v>
      </c>
      <c r="B67" s="493" t="s">
        <v>11436</v>
      </c>
      <c r="C67" s="496" t="s">
        <v>10962</v>
      </c>
    </row>
    <row r="68" spans="1:4" ht="21">
      <c r="A68" s="494" t="s">
        <v>11391</v>
      </c>
      <c r="B68" s="493" t="s">
        <v>11435</v>
      </c>
      <c r="C68" s="496" t="s">
        <v>10962</v>
      </c>
    </row>
    <row r="69" spans="1:4" ht="21">
      <c r="A69" s="494" t="s">
        <v>11391</v>
      </c>
      <c r="B69" s="493" t="s">
        <v>11434</v>
      </c>
      <c r="C69" s="496" t="s">
        <v>10962</v>
      </c>
    </row>
    <row r="70" spans="1:4" ht="21">
      <c r="A70" s="494" t="s">
        <v>11391</v>
      </c>
      <c r="B70" s="493" t="s">
        <v>11433</v>
      </c>
      <c r="C70" s="497" t="s">
        <v>10962</v>
      </c>
      <c r="D70" s="491" t="s">
        <v>11432</v>
      </c>
    </row>
    <row r="71" spans="1:4" ht="21">
      <c r="A71" s="494" t="s">
        <v>11391</v>
      </c>
      <c r="B71" s="493" t="s">
        <v>11431</v>
      </c>
      <c r="C71" s="497" t="s">
        <v>10962</v>
      </c>
      <c r="D71" s="491" t="s">
        <v>11430</v>
      </c>
    </row>
    <row r="72" spans="1:4" ht="21">
      <c r="A72" s="494" t="s">
        <v>11391</v>
      </c>
      <c r="B72" s="493" t="s">
        <v>11429</v>
      </c>
      <c r="C72" s="496" t="s">
        <v>10962</v>
      </c>
    </row>
    <row r="73" spans="1:4" ht="21">
      <c r="A73" s="494" t="s">
        <v>11391</v>
      </c>
      <c r="B73" s="493" t="s">
        <v>11428</v>
      </c>
      <c r="C73" s="495" t="s">
        <v>10962</v>
      </c>
      <c r="D73" s="491" t="s">
        <v>11426</v>
      </c>
    </row>
    <row r="74" spans="1:4" ht="21">
      <c r="A74" s="494" t="s">
        <v>11391</v>
      </c>
      <c r="B74" s="493" t="s">
        <v>11427</v>
      </c>
      <c r="C74" s="495" t="s">
        <v>10962</v>
      </c>
      <c r="D74" s="491" t="s">
        <v>11426</v>
      </c>
    </row>
    <row r="75" spans="1:4" ht="21">
      <c r="A75" s="494" t="s">
        <v>11391</v>
      </c>
      <c r="B75" s="493" t="s">
        <v>11425</v>
      </c>
      <c r="C75" s="496" t="s">
        <v>10962</v>
      </c>
    </row>
    <row r="76" spans="1:4" ht="21">
      <c r="A76" s="494" t="s">
        <v>11391</v>
      </c>
      <c r="B76" s="493" t="s">
        <v>11424</v>
      </c>
      <c r="C76" s="496" t="s">
        <v>10962</v>
      </c>
    </row>
    <row r="77" spans="1:4" ht="21">
      <c r="A77" s="494" t="s">
        <v>11391</v>
      </c>
      <c r="B77" s="493" t="s">
        <v>11423</v>
      </c>
      <c r="C77" s="496" t="s">
        <v>10962</v>
      </c>
    </row>
    <row r="78" spans="1:4" ht="21">
      <c r="A78" s="494" t="s">
        <v>11391</v>
      </c>
      <c r="B78" s="493" t="s">
        <v>11422</v>
      </c>
      <c r="C78" s="496" t="s">
        <v>10962</v>
      </c>
      <c r="D78" s="491" t="s">
        <v>11421</v>
      </c>
    </row>
    <row r="79" spans="1:4" ht="21">
      <c r="A79" s="494" t="s">
        <v>11391</v>
      </c>
      <c r="B79" s="493" t="s">
        <v>11420</v>
      </c>
      <c r="C79" s="496" t="s">
        <v>10962</v>
      </c>
    </row>
    <row r="80" spans="1:4" ht="21">
      <c r="A80" s="494" t="s">
        <v>11391</v>
      </c>
      <c r="B80" s="493" t="s">
        <v>11419</v>
      </c>
      <c r="C80" s="491" t="s">
        <v>10962</v>
      </c>
    </row>
    <row r="81" spans="1:4" ht="21">
      <c r="A81" s="494" t="s">
        <v>11391</v>
      </c>
      <c r="B81" s="493" t="s">
        <v>11418</v>
      </c>
      <c r="C81" s="497" t="s">
        <v>10962</v>
      </c>
      <c r="D81" s="491" t="s">
        <v>11417</v>
      </c>
    </row>
    <row r="82" spans="1:4" ht="21">
      <c r="A82" s="494" t="s">
        <v>11391</v>
      </c>
      <c r="B82" s="493" t="s">
        <v>11416</v>
      </c>
      <c r="C82" s="509" t="s">
        <v>10962</v>
      </c>
      <c r="D82" s="491" t="s">
        <v>11415</v>
      </c>
    </row>
    <row r="83" spans="1:4" ht="21">
      <c r="A83" s="494" t="s">
        <v>11391</v>
      </c>
      <c r="B83" s="493" t="s">
        <v>11414</v>
      </c>
      <c r="C83" s="497" t="s">
        <v>10962</v>
      </c>
      <c r="D83" s="491" t="s">
        <v>11413</v>
      </c>
    </row>
    <row r="84" spans="1:4" ht="21">
      <c r="A84" s="494" t="s">
        <v>11391</v>
      </c>
      <c r="B84" s="493" t="s">
        <v>11412</v>
      </c>
      <c r="C84" s="496" t="s">
        <v>10962</v>
      </c>
    </row>
    <row r="85" spans="1:4" ht="21">
      <c r="A85" s="494" t="s">
        <v>11391</v>
      </c>
      <c r="B85" s="493" t="s">
        <v>11411</v>
      </c>
      <c r="C85" s="497" t="s">
        <v>10962</v>
      </c>
      <c r="D85" s="491" t="s">
        <v>11410</v>
      </c>
    </row>
    <row r="86" spans="1:4" ht="21">
      <c r="A86" s="494" t="s">
        <v>11391</v>
      </c>
      <c r="B86" s="493" t="s">
        <v>11409</v>
      </c>
      <c r="C86" s="496" t="s">
        <v>10962</v>
      </c>
    </row>
    <row r="87" spans="1:4" ht="21">
      <c r="A87" s="494" t="s">
        <v>11391</v>
      </c>
      <c r="B87" s="493" t="s">
        <v>11408</v>
      </c>
      <c r="C87" s="497" t="s">
        <v>10962</v>
      </c>
      <c r="D87" s="491" t="s">
        <v>11407</v>
      </c>
    </row>
    <row r="88" spans="1:4" ht="21">
      <c r="A88" s="494" t="s">
        <v>11391</v>
      </c>
      <c r="B88" s="493" t="s">
        <v>11406</v>
      </c>
      <c r="C88" s="495" t="s">
        <v>10962</v>
      </c>
      <c r="D88" s="491" t="s">
        <v>11405</v>
      </c>
    </row>
    <row r="89" spans="1:4" ht="21">
      <c r="A89" s="494" t="s">
        <v>11391</v>
      </c>
      <c r="B89" s="493" t="s">
        <v>11170</v>
      </c>
      <c r="C89" s="495" t="s">
        <v>10962</v>
      </c>
      <c r="D89" s="491" t="s">
        <v>11404</v>
      </c>
    </row>
    <row r="90" spans="1:4" ht="21">
      <c r="A90" s="494" t="s">
        <v>11391</v>
      </c>
      <c r="B90" s="493" t="s">
        <v>11403</v>
      </c>
      <c r="C90" s="495" t="s">
        <v>10962</v>
      </c>
      <c r="D90" s="491" t="s">
        <v>11402</v>
      </c>
    </row>
    <row r="91" spans="1:4" ht="21">
      <c r="A91" s="494" t="s">
        <v>11391</v>
      </c>
      <c r="B91" s="493" t="s">
        <v>11044</v>
      </c>
      <c r="C91" s="496" t="s">
        <v>10962</v>
      </c>
    </row>
    <row r="92" spans="1:4" ht="21">
      <c r="A92" s="494" t="s">
        <v>11391</v>
      </c>
      <c r="B92" s="493" t="s">
        <v>11401</v>
      </c>
      <c r="C92" s="495" t="s">
        <v>10962</v>
      </c>
      <c r="D92" s="491" t="s">
        <v>11400</v>
      </c>
    </row>
    <row r="93" spans="1:4" ht="21">
      <c r="A93" s="494" t="s">
        <v>11391</v>
      </c>
      <c r="B93" s="493" t="s">
        <v>11399</v>
      </c>
      <c r="C93" s="496" t="s">
        <v>10962</v>
      </c>
    </row>
    <row r="94" spans="1:4" ht="21">
      <c r="A94" s="494" t="s">
        <v>11391</v>
      </c>
      <c r="B94" s="493" t="s">
        <v>11398</v>
      </c>
      <c r="C94" s="495" t="s">
        <v>10962</v>
      </c>
      <c r="D94" s="491" t="s">
        <v>11397</v>
      </c>
    </row>
    <row r="95" spans="1:4" ht="21">
      <c r="A95" s="494" t="s">
        <v>11391</v>
      </c>
      <c r="B95" s="493" t="s">
        <v>11396</v>
      </c>
      <c r="C95" s="496" t="s">
        <v>10962</v>
      </c>
    </row>
    <row r="96" spans="1:4" ht="21">
      <c r="A96" s="494" t="s">
        <v>11391</v>
      </c>
      <c r="B96" s="493" t="s">
        <v>11395</v>
      </c>
      <c r="C96" s="495" t="s">
        <v>11394</v>
      </c>
      <c r="D96" s="491" t="s">
        <v>11393</v>
      </c>
    </row>
    <row r="97" spans="1:4" ht="21">
      <c r="A97" s="494" t="s">
        <v>11391</v>
      </c>
      <c r="B97" s="493" t="s">
        <v>11392</v>
      </c>
      <c r="C97" s="496" t="s">
        <v>10962</v>
      </c>
    </row>
    <row r="98" spans="1:4" ht="21">
      <c r="A98" s="494" t="s">
        <v>11391</v>
      </c>
      <c r="B98" s="493" t="s">
        <v>11390</v>
      </c>
      <c r="C98" s="496" t="s">
        <v>10962</v>
      </c>
    </row>
    <row r="100" spans="1:4" ht="21">
      <c r="A100" s="500"/>
      <c r="B100" s="499"/>
      <c r="C100" s="498"/>
      <c r="D100" s="491" t="s">
        <v>11389</v>
      </c>
    </row>
    <row r="101" spans="1:4" ht="21">
      <c r="A101" s="494" t="s">
        <v>11326</v>
      </c>
      <c r="B101" s="493" t="s">
        <v>11388</v>
      </c>
      <c r="C101" s="497" t="s">
        <v>10962</v>
      </c>
      <c r="D101" s="491" t="s">
        <v>11387</v>
      </c>
    </row>
    <row r="102" spans="1:4" ht="21">
      <c r="A102" s="494" t="s">
        <v>11326</v>
      </c>
      <c r="B102" s="493" t="s">
        <v>11386</v>
      </c>
      <c r="C102" s="509" t="s">
        <v>10962</v>
      </c>
      <c r="D102" s="491" t="s">
        <v>11385</v>
      </c>
    </row>
    <row r="103" spans="1:4" ht="21">
      <c r="A103" s="494" t="s">
        <v>11326</v>
      </c>
      <c r="B103" s="493" t="s">
        <v>11384</v>
      </c>
      <c r="C103" s="497" t="s">
        <v>10962</v>
      </c>
      <c r="D103" s="491" t="s">
        <v>11383</v>
      </c>
    </row>
    <row r="104" spans="1:4" ht="21">
      <c r="A104" s="494" t="s">
        <v>11326</v>
      </c>
      <c r="B104" s="493" t="s">
        <v>11382</v>
      </c>
      <c r="C104" s="496" t="s">
        <v>10962</v>
      </c>
    </row>
    <row r="105" spans="1:4" ht="21">
      <c r="A105" s="494" t="s">
        <v>11326</v>
      </c>
      <c r="B105" s="493" t="s">
        <v>11381</v>
      </c>
      <c r="C105" s="496" t="s">
        <v>10962</v>
      </c>
    </row>
    <row r="106" spans="1:4" ht="21">
      <c r="A106" s="494" t="s">
        <v>11326</v>
      </c>
      <c r="B106" s="493" t="s">
        <v>11380</v>
      </c>
      <c r="C106" s="495" t="s">
        <v>10962</v>
      </c>
      <c r="D106" s="491" t="s">
        <v>11379</v>
      </c>
    </row>
    <row r="107" spans="1:4" ht="21">
      <c r="A107" s="494" t="s">
        <v>11326</v>
      </c>
      <c r="B107" s="493" t="s">
        <v>11378</v>
      </c>
      <c r="C107" s="497" t="s">
        <v>10962</v>
      </c>
      <c r="D107" s="491" t="s">
        <v>11377</v>
      </c>
    </row>
    <row r="108" spans="1:4" ht="21">
      <c r="A108" s="494" t="s">
        <v>11326</v>
      </c>
      <c r="B108" s="493" t="s">
        <v>11376</v>
      </c>
      <c r="C108" s="497" t="s">
        <v>10962</v>
      </c>
      <c r="D108" s="491" t="s">
        <v>11375</v>
      </c>
    </row>
    <row r="109" spans="1:4" ht="21">
      <c r="A109" s="494" t="s">
        <v>11326</v>
      </c>
      <c r="B109" s="493" t="s">
        <v>11374</v>
      </c>
      <c r="C109" s="495" t="s">
        <v>10962</v>
      </c>
      <c r="D109" s="491" t="s">
        <v>11373</v>
      </c>
    </row>
    <row r="110" spans="1:4" ht="21">
      <c r="A110" s="494" t="s">
        <v>11326</v>
      </c>
      <c r="B110" s="493" t="s">
        <v>11372</v>
      </c>
      <c r="C110" s="496" t="s">
        <v>10962</v>
      </c>
    </row>
    <row r="111" spans="1:4" ht="21">
      <c r="A111" s="494" t="s">
        <v>11326</v>
      </c>
      <c r="B111" s="493" t="s">
        <v>11371</v>
      </c>
      <c r="C111" s="495" t="s">
        <v>10962</v>
      </c>
      <c r="D111" s="491" t="s">
        <v>11370</v>
      </c>
    </row>
    <row r="112" spans="1:4" ht="21">
      <c r="A112" s="494" t="s">
        <v>11326</v>
      </c>
      <c r="B112" s="493" t="s">
        <v>11369</v>
      </c>
      <c r="C112" s="496" t="s">
        <v>10962</v>
      </c>
    </row>
    <row r="113" spans="1:5" ht="21">
      <c r="A113" s="494" t="s">
        <v>11326</v>
      </c>
      <c r="B113" s="493" t="s">
        <v>11368</v>
      </c>
      <c r="C113" s="496" t="s">
        <v>10962</v>
      </c>
      <c r="D113" s="491" t="s">
        <v>11305</v>
      </c>
    </row>
    <row r="114" spans="1:5" ht="21">
      <c r="A114" s="494" t="s">
        <v>11326</v>
      </c>
      <c r="B114" s="493" t="s">
        <v>11367</v>
      </c>
      <c r="C114" s="497" t="s">
        <v>10962</v>
      </c>
      <c r="D114" s="491" t="s">
        <v>11366</v>
      </c>
    </row>
    <row r="115" spans="1:5" ht="21">
      <c r="A115" s="494" t="s">
        <v>11326</v>
      </c>
      <c r="B115" s="493" t="s">
        <v>11365</v>
      </c>
      <c r="C115" s="496" t="s">
        <v>10962</v>
      </c>
      <c r="D115" s="491" t="s">
        <v>11364</v>
      </c>
    </row>
    <row r="116" spans="1:5" ht="21">
      <c r="A116" s="494" t="s">
        <v>11326</v>
      </c>
      <c r="B116" s="493" t="s">
        <v>11363</v>
      </c>
      <c r="C116" s="497" t="s">
        <v>10962</v>
      </c>
      <c r="D116" s="491" t="s">
        <v>11362</v>
      </c>
    </row>
    <row r="117" spans="1:5" ht="21">
      <c r="A117" s="494" t="s">
        <v>11326</v>
      </c>
      <c r="B117" s="493" t="s">
        <v>11361</v>
      </c>
      <c r="C117" s="495" t="s">
        <v>10962</v>
      </c>
      <c r="D117" s="491" t="s">
        <v>11360</v>
      </c>
    </row>
    <row r="118" spans="1:5" ht="21">
      <c r="A118" s="494" t="s">
        <v>11326</v>
      </c>
      <c r="B118" s="493" t="s">
        <v>11359</v>
      </c>
      <c r="C118" s="495" t="s">
        <v>10962</v>
      </c>
      <c r="D118" s="491" t="s">
        <v>11358</v>
      </c>
    </row>
    <row r="119" spans="1:5" ht="21">
      <c r="A119" s="494" t="s">
        <v>11326</v>
      </c>
      <c r="B119" s="493" t="s">
        <v>11357</v>
      </c>
      <c r="C119" s="496" t="s">
        <v>10962</v>
      </c>
      <c r="D119" s="491" t="s">
        <v>11356</v>
      </c>
    </row>
    <row r="120" spans="1:5" ht="21">
      <c r="A120" s="494" t="s">
        <v>11326</v>
      </c>
      <c r="B120" s="493" t="s">
        <v>11355</v>
      </c>
      <c r="C120" s="505" t="s">
        <v>10962</v>
      </c>
      <c r="D120" s="491" t="s">
        <v>11354</v>
      </c>
    </row>
    <row r="121" spans="1:5" ht="21">
      <c r="A121" s="494" t="s">
        <v>11326</v>
      </c>
      <c r="B121" s="493" t="s">
        <v>11353</v>
      </c>
      <c r="C121" s="497" t="s">
        <v>10962</v>
      </c>
      <c r="D121" s="491" t="s">
        <v>11352</v>
      </c>
    </row>
    <row r="122" spans="1:5" ht="21">
      <c r="A122" s="494" t="s">
        <v>11326</v>
      </c>
      <c r="B122" s="493" t="s">
        <v>11351</v>
      </c>
      <c r="C122" s="495" t="s">
        <v>10962</v>
      </c>
      <c r="D122" s="491" t="s">
        <v>11350</v>
      </c>
    </row>
    <row r="123" spans="1:5" ht="21">
      <c r="A123" s="494" t="s">
        <v>11326</v>
      </c>
      <c r="B123" s="493" t="s">
        <v>11349</v>
      </c>
      <c r="C123" s="495" t="s">
        <v>10962</v>
      </c>
      <c r="D123" s="491" t="s">
        <v>11348</v>
      </c>
    </row>
    <row r="124" spans="1:5" ht="21">
      <c r="A124" s="494" t="s">
        <v>11326</v>
      </c>
      <c r="B124" s="493" t="s">
        <v>262</v>
      </c>
      <c r="C124" s="497" t="s">
        <v>10962</v>
      </c>
      <c r="D124" s="491" t="s">
        <v>11347</v>
      </c>
    </row>
    <row r="125" spans="1:5" ht="21">
      <c r="A125" s="494" t="s">
        <v>11326</v>
      </c>
      <c r="B125" s="493" t="s">
        <v>11346</v>
      </c>
      <c r="C125" s="495" t="s">
        <v>10962</v>
      </c>
      <c r="D125" s="491" t="s">
        <v>11345</v>
      </c>
    </row>
    <row r="126" spans="1:5" ht="21">
      <c r="A126" s="494" t="s">
        <v>11326</v>
      </c>
      <c r="B126" s="493" t="s">
        <v>11344</v>
      </c>
      <c r="C126" s="496" t="s">
        <v>10962</v>
      </c>
    </row>
    <row r="127" spans="1:5" ht="21">
      <c r="A127" s="494" t="s">
        <v>11326</v>
      </c>
      <c r="B127" s="493" t="s">
        <v>11343</v>
      </c>
      <c r="C127" s="508" t="s">
        <v>10962</v>
      </c>
      <c r="D127" s="507" t="s">
        <v>11342</v>
      </c>
      <c r="E127" s="491" t="s">
        <v>10949</v>
      </c>
    </row>
    <row r="128" spans="1:5" ht="21">
      <c r="A128" s="494" t="s">
        <v>11326</v>
      </c>
      <c r="B128" s="493" t="s">
        <v>11341</v>
      </c>
      <c r="C128" s="496" t="s">
        <v>10962</v>
      </c>
      <c r="D128" s="506" t="s">
        <v>11340</v>
      </c>
    </row>
    <row r="129" spans="1:5" ht="21">
      <c r="A129" s="494" t="s">
        <v>11326</v>
      </c>
      <c r="B129" s="493" t="s">
        <v>11339</v>
      </c>
      <c r="C129" s="495" t="s">
        <v>10962</v>
      </c>
      <c r="D129" s="491" t="s">
        <v>11338</v>
      </c>
      <c r="E129" s="491" t="s">
        <v>10949</v>
      </c>
    </row>
    <row r="130" spans="1:5" ht="21">
      <c r="A130" s="494" t="s">
        <v>11326</v>
      </c>
      <c r="B130" s="493" t="s">
        <v>11337</v>
      </c>
      <c r="C130" s="497" t="s">
        <v>10962</v>
      </c>
      <c r="D130" s="491" t="s">
        <v>11336</v>
      </c>
    </row>
    <row r="131" spans="1:5" ht="21">
      <c r="A131" s="494" t="s">
        <v>11326</v>
      </c>
      <c r="B131" s="493" t="s">
        <v>11335</v>
      </c>
      <c r="C131" s="496" t="s">
        <v>10962</v>
      </c>
    </row>
    <row r="132" spans="1:5" ht="21">
      <c r="A132" s="494" t="s">
        <v>11326</v>
      </c>
      <c r="B132" s="493" t="s">
        <v>11334</v>
      </c>
      <c r="C132" s="496" t="s">
        <v>10962</v>
      </c>
      <c r="D132" s="491" t="s">
        <v>11333</v>
      </c>
    </row>
    <row r="133" spans="1:5" ht="21">
      <c r="A133" s="494" t="s">
        <v>11326</v>
      </c>
      <c r="B133" s="493" t="s">
        <v>11332</v>
      </c>
      <c r="C133" s="505" t="s">
        <v>10962</v>
      </c>
      <c r="D133" s="491" t="s">
        <v>11331</v>
      </c>
    </row>
    <row r="134" spans="1:5" ht="21">
      <c r="A134" s="494" t="s">
        <v>11326</v>
      </c>
      <c r="B134" s="493" t="s">
        <v>11330</v>
      </c>
      <c r="C134" s="495" t="s">
        <v>10962</v>
      </c>
      <c r="D134" s="491" t="s">
        <v>11329</v>
      </c>
    </row>
    <row r="135" spans="1:5" ht="21">
      <c r="A135" s="494" t="s">
        <v>11326</v>
      </c>
      <c r="B135" s="493" t="s">
        <v>11328</v>
      </c>
      <c r="C135" s="497" t="s">
        <v>10962</v>
      </c>
      <c r="D135" s="491" t="s">
        <v>11327</v>
      </c>
    </row>
    <row r="136" spans="1:5" ht="21">
      <c r="A136" s="494" t="s">
        <v>11326</v>
      </c>
      <c r="B136" s="493" t="s">
        <v>11325</v>
      </c>
      <c r="C136" s="498" t="s">
        <v>10962</v>
      </c>
    </row>
    <row r="138" spans="1:5" ht="21">
      <c r="B138" s="499"/>
      <c r="C138" s="498"/>
    </row>
    <row r="139" spans="1:5" ht="21">
      <c r="A139" s="500" t="s">
        <v>11278</v>
      </c>
      <c r="B139" s="493" t="s">
        <v>11324</v>
      </c>
      <c r="C139" s="496" t="s">
        <v>10962</v>
      </c>
    </row>
    <row r="140" spans="1:5" ht="21">
      <c r="A140" s="500" t="s">
        <v>11278</v>
      </c>
      <c r="B140" s="493" t="s">
        <v>11323</v>
      </c>
      <c r="C140" s="497" t="s">
        <v>14891</v>
      </c>
      <c r="D140" s="491" t="s">
        <v>11322</v>
      </c>
    </row>
    <row r="141" spans="1:5" ht="21">
      <c r="A141" s="500" t="s">
        <v>11278</v>
      </c>
      <c r="B141" s="493" t="s">
        <v>11321</v>
      </c>
      <c r="C141" s="496" t="s">
        <v>10962</v>
      </c>
    </row>
    <row r="142" spans="1:5" ht="21">
      <c r="A142" s="500" t="s">
        <v>11278</v>
      </c>
      <c r="B142" s="493" t="s">
        <v>11320</v>
      </c>
      <c r="C142" s="496" t="s">
        <v>10962</v>
      </c>
    </row>
    <row r="143" spans="1:5" ht="21">
      <c r="A143" s="500" t="s">
        <v>11278</v>
      </c>
      <c r="B143" s="493" t="s">
        <v>11319</v>
      </c>
      <c r="C143" s="497" t="s">
        <v>14892</v>
      </c>
      <c r="D143" s="491" t="s">
        <v>11318</v>
      </c>
    </row>
    <row r="144" spans="1:5" ht="21">
      <c r="A144" s="500" t="s">
        <v>11278</v>
      </c>
      <c r="B144" s="493" t="s">
        <v>11317</v>
      </c>
      <c r="C144" s="496" t="s">
        <v>10962</v>
      </c>
    </row>
    <row r="145" spans="1:4" ht="21">
      <c r="A145" s="500" t="s">
        <v>11278</v>
      </c>
      <c r="B145" s="493" t="s">
        <v>11316</v>
      </c>
      <c r="C145" s="496" t="s">
        <v>10962</v>
      </c>
      <c r="D145" s="491" t="s">
        <v>11315</v>
      </c>
    </row>
    <row r="146" spans="1:4" ht="21">
      <c r="A146" s="500" t="s">
        <v>11278</v>
      </c>
      <c r="B146" s="493" t="s">
        <v>11314</v>
      </c>
      <c r="C146" s="496" t="s">
        <v>10962</v>
      </c>
    </row>
    <row r="147" spans="1:4" ht="21">
      <c r="A147" s="500" t="s">
        <v>11278</v>
      </c>
      <c r="B147" s="493" t="s">
        <v>11313</v>
      </c>
      <c r="C147" s="496" t="s">
        <v>10962</v>
      </c>
    </row>
    <row r="148" spans="1:4" ht="21">
      <c r="A148" s="500" t="s">
        <v>11278</v>
      </c>
      <c r="B148" s="493" t="s">
        <v>11312</v>
      </c>
      <c r="C148" s="496" t="s">
        <v>10962</v>
      </c>
    </row>
    <row r="149" spans="1:4" ht="21">
      <c r="A149" s="500" t="s">
        <v>11278</v>
      </c>
      <c r="B149" s="493" t="s">
        <v>11311</v>
      </c>
      <c r="C149" s="496" t="s">
        <v>10962</v>
      </c>
    </row>
    <row r="150" spans="1:4" ht="21">
      <c r="A150" s="500" t="s">
        <v>11278</v>
      </c>
      <c r="B150" s="493" t="s">
        <v>11310</v>
      </c>
      <c r="C150" s="497" t="s">
        <v>14893</v>
      </c>
      <c r="D150" s="491" t="s">
        <v>11309</v>
      </c>
    </row>
    <row r="151" spans="1:4" ht="21">
      <c r="A151" s="500" t="s">
        <v>11278</v>
      </c>
      <c r="B151" s="493" t="s">
        <v>11308</v>
      </c>
      <c r="C151" s="498" t="s">
        <v>14894</v>
      </c>
    </row>
    <row r="152" spans="1:4" ht="21">
      <c r="A152" s="500" t="s">
        <v>11278</v>
      </c>
      <c r="B152" s="493" t="s">
        <v>11307</v>
      </c>
      <c r="C152" s="498" t="s">
        <v>14894</v>
      </c>
      <c r="D152" s="491" t="s">
        <v>14914</v>
      </c>
    </row>
    <row r="153" spans="1:4" ht="21">
      <c r="A153" s="500" t="s">
        <v>11278</v>
      </c>
      <c r="B153" s="493" t="s">
        <v>11306</v>
      </c>
      <c r="C153" s="497" t="s">
        <v>10962</v>
      </c>
      <c r="D153" s="491" t="s">
        <v>11305</v>
      </c>
    </row>
    <row r="154" spans="1:4" ht="21">
      <c r="A154" s="500" t="s">
        <v>11278</v>
      </c>
      <c r="B154" s="493" t="s">
        <v>11304</v>
      </c>
      <c r="C154" s="496" t="s">
        <v>10962</v>
      </c>
    </row>
    <row r="155" spans="1:4" ht="21">
      <c r="A155" s="500" t="s">
        <v>11278</v>
      </c>
      <c r="B155" s="493" t="s">
        <v>11303</v>
      </c>
      <c r="C155" s="496" t="s">
        <v>10962</v>
      </c>
    </row>
    <row r="156" spans="1:4" ht="21">
      <c r="A156" s="500" t="s">
        <v>11278</v>
      </c>
      <c r="B156" s="493" t="s">
        <v>11302</v>
      </c>
      <c r="C156" s="496" t="s">
        <v>10962</v>
      </c>
    </row>
    <row r="157" spans="1:4" ht="21">
      <c r="A157" s="500" t="s">
        <v>11278</v>
      </c>
      <c r="B157" s="493" t="s">
        <v>11301</v>
      </c>
      <c r="C157" s="496" t="s">
        <v>10962</v>
      </c>
    </row>
    <row r="158" spans="1:4" ht="21">
      <c r="A158" s="500" t="s">
        <v>11278</v>
      </c>
      <c r="B158" s="493" t="s">
        <v>11300</v>
      </c>
      <c r="C158" s="496" t="s">
        <v>10962</v>
      </c>
    </row>
    <row r="159" spans="1:4" ht="21">
      <c r="A159" s="500" t="s">
        <v>11278</v>
      </c>
      <c r="B159" s="493" t="s">
        <v>11299</v>
      </c>
      <c r="C159" s="496" t="s">
        <v>10962</v>
      </c>
    </row>
    <row r="160" spans="1:4" ht="21">
      <c r="A160" s="500" t="s">
        <v>11278</v>
      </c>
      <c r="B160" s="493" t="s">
        <v>11298</v>
      </c>
      <c r="C160" s="496" t="s">
        <v>10962</v>
      </c>
    </row>
    <row r="161" spans="1:4" ht="21">
      <c r="A161" s="500" t="s">
        <v>11278</v>
      </c>
      <c r="B161" s="493" t="s">
        <v>11297</v>
      </c>
      <c r="C161" s="504" t="s">
        <v>10962</v>
      </c>
      <c r="D161" s="491" t="s">
        <v>11296</v>
      </c>
    </row>
    <row r="162" spans="1:4" ht="21">
      <c r="A162" s="500" t="s">
        <v>11278</v>
      </c>
      <c r="B162" s="493" t="s">
        <v>11295</v>
      </c>
      <c r="C162" s="496" t="s">
        <v>10962</v>
      </c>
    </row>
    <row r="163" spans="1:4" ht="21">
      <c r="A163" s="500" t="s">
        <v>11278</v>
      </c>
      <c r="B163" s="493" t="s">
        <v>11294</v>
      </c>
      <c r="C163" s="495" t="s">
        <v>10962</v>
      </c>
      <c r="D163" s="491" t="s">
        <v>11293</v>
      </c>
    </row>
    <row r="164" spans="1:4" ht="21">
      <c r="A164" s="500" t="s">
        <v>11278</v>
      </c>
      <c r="B164" s="499" t="s">
        <v>11292</v>
      </c>
      <c r="C164" s="491" t="s">
        <v>10962</v>
      </c>
    </row>
    <row r="165" spans="1:4" ht="21">
      <c r="A165" s="500" t="s">
        <v>11278</v>
      </c>
      <c r="B165" s="499" t="s">
        <v>11291</v>
      </c>
      <c r="C165" s="491" t="s">
        <v>10962</v>
      </c>
    </row>
    <row r="166" spans="1:4" ht="21">
      <c r="A166" s="500" t="s">
        <v>11278</v>
      </c>
      <c r="B166" s="493" t="s">
        <v>11290</v>
      </c>
      <c r="C166" s="495" t="s">
        <v>14895</v>
      </c>
      <c r="D166" s="491" t="s">
        <v>14896</v>
      </c>
    </row>
    <row r="167" spans="1:4" ht="21">
      <c r="A167" s="500" t="s">
        <v>11278</v>
      </c>
      <c r="B167" s="493" t="s">
        <v>11289</v>
      </c>
      <c r="C167" s="497" t="s">
        <v>10962</v>
      </c>
      <c r="D167" s="491" t="s">
        <v>11288</v>
      </c>
    </row>
    <row r="168" spans="1:4" ht="21">
      <c r="A168" s="500" t="s">
        <v>11278</v>
      </c>
      <c r="B168" s="493" t="s">
        <v>11287</v>
      </c>
      <c r="C168" s="495" t="s">
        <v>14897</v>
      </c>
      <c r="D168" s="491" t="s">
        <v>11286</v>
      </c>
    </row>
    <row r="169" spans="1:4" ht="21">
      <c r="A169" s="500" t="s">
        <v>11278</v>
      </c>
      <c r="B169" s="493" t="s">
        <v>11285</v>
      </c>
      <c r="C169" s="497" t="s">
        <v>14898</v>
      </c>
      <c r="D169" s="491" t="s">
        <v>11284</v>
      </c>
    </row>
    <row r="170" spans="1:4" ht="21">
      <c r="A170" s="500" t="s">
        <v>11278</v>
      </c>
      <c r="B170" s="493" t="s">
        <v>11283</v>
      </c>
      <c r="C170" s="496" t="s">
        <v>10962</v>
      </c>
    </row>
    <row r="171" spans="1:4" ht="21">
      <c r="A171" s="500" t="s">
        <v>11278</v>
      </c>
      <c r="B171" s="493" t="s">
        <v>11282</v>
      </c>
      <c r="C171" s="497" t="s">
        <v>10962</v>
      </c>
      <c r="D171" s="491" t="s">
        <v>14900</v>
      </c>
    </row>
    <row r="172" spans="1:4" ht="21">
      <c r="A172" s="500" t="s">
        <v>11278</v>
      </c>
      <c r="B172" s="493" t="s">
        <v>11281</v>
      </c>
      <c r="C172" s="496" t="s">
        <v>10962</v>
      </c>
    </row>
    <row r="173" spans="1:4" ht="21">
      <c r="A173" s="500" t="s">
        <v>11278</v>
      </c>
      <c r="B173" s="493" t="s">
        <v>11280</v>
      </c>
      <c r="C173" s="497" t="s">
        <v>14899</v>
      </c>
      <c r="D173" s="491" t="s">
        <v>11279</v>
      </c>
    </row>
    <row r="174" spans="1:4" ht="21">
      <c r="A174" s="500" t="s">
        <v>11278</v>
      </c>
      <c r="B174" s="493" t="s">
        <v>11277</v>
      </c>
      <c r="C174" s="496" t="s">
        <v>10962</v>
      </c>
    </row>
    <row r="175" spans="1:4" ht="21">
      <c r="A175" s="500"/>
      <c r="B175" s="493"/>
      <c r="C175" s="496"/>
    </row>
    <row r="176" spans="1:4">
      <c r="B176" s="608" t="s">
        <v>14951</v>
      </c>
      <c r="C176" s="492"/>
    </row>
    <row r="177" spans="2:4">
      <c r="B177" s="608" t="s">
        <v>14950</v>
      </c>
      <c r="C177" s="504" t="s">
        <v>14971</v>
      </c>
    </row>
    <row r="178" spans="2:4">
      <c r="B178" s="608" t="s">
        <v>14949</v>
      </c>
      <c r="C178" s="509" t="s">
        <v>14970</v>
      </c>
    </row>
    <row r="179" spans="2:4">
      <c r="B179" s="608" t="s">
        <v>14948</v>
      </c>
      <c r="C179" s="492"/>
    </row>
    <row r="180" spans="2:4">
      <c r="B180" s="608" t="s">
        <v>14947</v>
      </c>
      <c r="C180" s="492"/>
    </row>
    <row r="181" spans="2:4">
      <c r="B181" s="608" t="s">
        <v>14946</v>
      </c>
      <c r="C181" s="504" t="s">
        <v>14974</v>
      </c>
      <c r="D181" s="491" t="s">
        <v>14973</v>
      </c>
    </row>
    <row r="182" spans="2:4">
      <c r="B182" s="608" t="s">
        <v>14945</v>
      </c>
    </row>
    <row r="183" spans="2:4">
      <c r="B183" s="608" t="s">
        <v>14944</v>
      </c>
      <c r="C183" s="504"/>
    </row>
    <row r="184" spans="2:4">
      <c r="B184" s="608" t="s">
        <v>14943</v>
      </c>
      <c r="C184" s="492"/>
    </row>
    <row r="185" spans="2:4">
      <c r="B185" s="608" t="s">
        <v>14942</v>
      </c>
      <c r="C185" s="504"/>
    </row>
    <row r="186" spans="2:4">
      <c r="B186" s="608" t="s">
        <v>14941</v>
      </c>
      <c r="C186" s="504"/>
    </row>
    <row r="187" spans="2:4">
      <c r="B187" s="608" t="s">
        <v>14940</v>
      </c>
      <c r="C187" s="504"/>
    </row>
    <row r="188" spans="2:4">
      <c r="B188" s="608" t="s">
        <v>14939</v>
      </c>
      <c r="C188" s="491" t="s">
        <v>14977</v>
      </c>
    </row>
    <row r="189" spans="2:4">
      <c r="B189" s="608" t="s">
        <v>14938</v>
      </c>
      <c r="C189" s="509" t="s">
        <v>14976</v>
      </c>
    </row>
    <row r="190" spans="2:4">
      <c r="B190" s="608" t="s">
        <v>14937</v>
      </c>
      <c r="C190" s="509" t="s">
        <v>14975</v>
      </c>
    </row>
    <row r="191" spans="2:4">
      <c r="B191" s="608" t="s">
        <v>14936</v>
      </c>
      <c r="C191" s="504" t="s">
        <v>14972</v>
      </c>
    </row>
    <row r="192" spans="2:4">
      <c r="B192" s="608" t="s">
        <v>14935</v>
      </c>
      <c r="C192" s="504"/>
    </row>
    <row r="193" spans="1:4">
      <c r="B193" s="608"/>
      <c r="C193" s="498"/>
    </row>
    <row r="194" spans="1:4" ht="21">
      <c r="A194" s="494" t="s">
        <v>11235</v>
      </c>
      <c r="B194" s="493" t="s">
        <v>11276</v>
      </c>
      <c r="C194" s="496" t="s">
        <v>10962</v>
      </c>
    </row>
    <row r="195" spans="1:4" ht="21">
      <c r="A195" s="494" t="s">
        <v>11235</v>
      </c>
      <c r="B195" s="493" t="s">
        <v>11275</v>
      </c>
      <c r="C195" s="496" t="s">
        <v>10962</v>
      </c>
    </row>
    <row r="196" spans="1:4" ht="21">
      <c r="A196" s="494" t="s">
        <v>11235</v>
      </c>
      <c r="B196" s="493" t="s">
        <v>11274</v>
      </c>
      <c r="C196" s="496" t="s">
        <v>10962</v>
      </c>
    </row>
    <row r="197" spans="1:4" ht="21">
      <c r="A197" s="494" t="s">
        <v>11235</v>
      </c>
      <c r="B197" s="493" t="s">
        <v>11273</v>
      </c>
      <c r="C197" s="495" t="s">
        <v>10962</v>
      </c>
      <c r="D197" s="491" t="s">
        <v>11272</v>
      </c>
    </row>
    <row r="198" spans="1:4" ht="21">
      <c r="A198" s="494" t="s">
        <v>11235</v>
      </c>
      <c r="B198" s="493" t="s">
        <v>11271</v>
      </c>
      <c r="C198" s="497" t="s">
        <v>14902</v>
      </c>
      <c r="D198" s="491" t="s">
        <v>11270</v>
      </c>
    </row>
    <row r="199" spans="1:4" ht="21">
      <c r="A199" s="494" t="s">
        <v>11235</v>
      </c>
      <c r="B199" s="493" t="s">
        <v>11269</v>
      </c>
      <c r="C199" s="495" t="s">
        <v>10962</v>
      </c>
      <c r="D199" s="491" t="s">
        <v>14903</v>
      </c>
    </row>
    <row r="200" spans="1:4" ht="21">
      <c r="A200" s="494" t="s">
        <v>11235</v>
      </c>
      <c r="B200" s="493" t="s">
        <v>11268</v>
      </c>
      <c r="C200" s="495" t="s">
        <v>10962</v>
      </c>
      <c r="D200" s="491" t="s">
        <v>14904</v>
      </c>
    </row>
    <row r="201" spans="1:4" ht="21">
      <c r="A201" s="494" t="s">
        <v>11235</v>
      </c>
      <c r="B201" s="493" t="s">
        <v>11267</v>
      </c>
      <c r="C201" s="495" t="s">
        <v>10962</v>
      </c>
      <c r="D201" s="491" t="s">
        <v>14905</v>
      </c>
    </row>
    <row r="202" spans="1:4" ht="21">
      <c r="A202" s="494" t="s">
        <v>11235</v>
      </c>
      <c r="B202" s="493" t="s">
        <v>11266</v>
      </c>
      <c r="C202" s="497" t="s">
        <v>10962</v>
      </c>
      <c r="D202" s="491" t="s">
        <v>11265</v>
      </c>
    </row>
    <row r="203" spans="1:4" ht="21">
      <c r="A203" s="494" t="s">
        <v>11235</v>
      </c>
      <c r="B203" s="493" t="s">
        <v>11264</v>
      </c>
      <c r="C203" s="496" t="s">
        <v>10962</v>
      </c>
    </row>
    <row r="204" spans="1:4" ht="21">
      <c r="A204" s="494" t="s">
        <v>11235</v>
      </c>
      <c r="B204" s="493" t="s">
        <v>11263</v>
      </c>
      <c r="C204" s="495" t="s">
        <v>10962</v>
      </c>
      <c r="D204" s="491" t="s">
        <v>14906</v>
      </c>
    </row>
    <row r="205" spans="1:4" ht="21">
      <c r="A205" s="494" t="s">
        <v>11235</v>
      </c>
      <c r="B205" s="493" t="s">
        <v>11262</v>
      </c>
      <c r="C205" s="495" t="s">
        <v>10962</v>
      </c>
      <c r="D205" s="491" t="s">
        <v>14907</v>
      </c>
    </row>
    <row r="206" spans="1:4" ht="21">
      <c r="A206" s="494" t="s">
        <v>11235</v>
      </c>
      <c r="B206" s="493" t="s">
        <v>11261</v>
      </c>
      <c r="C206" s="496" t="s">
        <v>10962</v>
      </c>
      <c r="D206" s="491" t="s">
        <v>11260</v>
      </c>
    </row>
    <row r="207" spans="1:4" ht="21">
      <c r="A207" s="494" t="s">
        <v>11235</v>
      </c>
      <c r="B207" s="493" t="s">
        <v>11259</v>
      </c>
      <c r="C207" s="496" t="s">
        <v>10962</v>
      </c>
    </row>
    <row r="208" spans="1:4" ht="21">
      <c r="A208" s="494" t="s">
        <v>11235</v>
      </c>
      <c r="B208" s="493" t="s">
        <v>11258</v>
      </c>
      <c r="C208" s="497" t="s">
        <v>10962</v>
      </c>
      <c r="D208" s="491" t="s">
        <v>11257</v>
      </c>
    </row>
    <row r="209" spans="1:4" ht="21">
      <c r="A209" s="494" t="s">
        <v>11235</v>
      </c>
      <c r="B209" s="493" t="s">
        <v>11256</v>
      </c>
      <c r="C209" s="495" t="s">
        <v>10962</v>
      </c>
      <c r="D209" s="491" t="s">
        <v>14908</v>
      </c>
    </row>
    <row r="210" spans="1:4" ht="21">
      <c r="A210" s="494" t="s">
        <v>11235</v>
      </c>
      <c r="B210" s="493" t="s">
        <v>11255</v>
      </c>
      <c r="C210" s="550" t="s">
        <v>10962</v>
      </c>
      <c r="D210" s="491" t="s">
        <v>14397</v>
      </c>
    </row>
    <row r="211" spans="1:4" ht="21">
      <c r="A211" s="494" t="s">
        <v>11235</v>
      </c>
      <c r="B211" s="493" t="s">
        <v>11254</v>
      </c>
      <c r="C211" s="496" t="s">
        <v>10962</v>
      </c>
    </row>
    <row r="212" spans="1:4" ht="21">
      <c r="A212" s="494" t="s">
        <v>11235</v>
      </c>
      <c r="B212" s="493" t="s">
        <v>11253</v>
      </c>
      <c r="C212" s="496" t="s">
        <v>10962</v>
      </c>
    </row>
    <row r="213" spans="1:4" ht="21">
      <c r="A213" s="494" t="s">
        <v>11235</v>
      </c>
      <c r="B213" s="493" t="s">
        <v>11252</v>
      </c>
      <c r="C213" s="497" t="s">
        <v>10962</v>
      </c>
      <c r="D213" s="491" t="s">
        <v>11251</v>
      </c>
    </row>
    <row r="214" spans="1:4" ht="21">
      <c r="A214" s="494" t="s">
        <v>11235</v>
      </c>
      <c r="B214" s="493" t="s">
        <v>11250</v>
      </c>
      <c r="C214" s="537" t="s">
        <v>14399</v>
      </c>
      <c r="D214" s="491" t="s">
        <v>14398</v>
      </c>
    </row>
    <row r="215" spans="1:4" ht="21">
      <c r="A215" s="494" t="s">
        <v>11235</v>
      </c>
      <c r="B215" s="493" t="s">
        <v>11249</v>
      </c>
      <c r="C215" s="496" t="s">
        <v>10962</v>
      </c>
    </row>
    <row r="216" spans="1:4" ht="21">
      <c r="A216" s="494" t="s">
        <v>11235</v>
      </c>
      <c r="B216" s="493" t="s">
        <v>11248</v>
      </c>
      <c r="C216" s="496" t="s">
        <v>10962</v>
      </c>
    </row>
    <row r="217" spans="1:4" ht="21">
      <c r="A217" s="494" t="s">
        <v>11235</v>
      </c>
      <c r="B217" s="493" t="s">
        <v>11247</v>
      </c>
      <c r="C217" s="540" t="s">
        <v>14400</v>
      </c>
      <c r="D217" s="491" t="s">
        <v>14401</v>
      </c>
    </row>
    <row r="218" spans="1:4" ht="21">
      <c r="A218" s="494" t="s">
        <v>11235</v>
      </c>
      <c r="B218" s="493" t="s">
        <v>11246</v>
      </c>
      <c r="C218" s="537" t="s">
        <v>10962</v>
      </c>
      <c r="D218" s="491" t="s">
        <v>14909</v>
      </c>
    </row>
    <row r="219" spans="1:4" ht="21">
      <c r="A219" s="494" t="s">
        <v>11235</v>
      </c>
      <c r="B219" s="493" t="s">
        <v>11245</v>
      </c>
      <c r="C219" s="496" t="s">
        <v>10962</v>
      </c>
    </row>
    <row r="220" spans="1:4" ht="21">
      <c r="A220" s="494" t="s">
        <v>11235</v>
      </c>
      <c r="B220" s="493" t="s">
        <v>11244</v>
      </c>
      <c r="C220" s="496" t="s">
        <v>10962</v>
      </c>
    </row>
    <row r="221" spans="1:4" ht="21">
      <c r="A221" s="494" t="s">
        <v>11235</v>
      </c>
      <c r="B221" s="493" t="s">
        <v>11243</v>
      </c>
      <c r="C221" s="496" t="s">
        <v>10962</v>
      </c>
    </row>
    <row r="222" spans="1:4" ht="21">
      <c r="A222" s="494" t="s">
        <v>11235</v>
      </c>
      <c r="B222" s="493" t="s">
        <v>11242</v>
      </c>
      <c r="C222" s="537" t="s">
        <v>10962</v>
      </c>
      <c r="D222" s="491" t="s">
        <v>1300</v>
      </c>
    </row>
    <row r="223" spans="1:4" ht="21">
      <c r="A223" s="494" t="s">
        <v>11235</v>
      </c>
      <c r="B223" s="493" t="s">
        <v>11241</v>
      </c>
      <c r="C223" s="496" t="s">
        <v>10962</v>
      </c>
    </row>
    <row r="224" spans="1:4" ht="21">
      <c r="A224" s="494" t="s">
        <v>11235</v>
      </c>
      <c r="B224" s="493" t="s">
        <v>11240</v>
      </c>
      <c r="C224" s="497" t="s">
        <v>14910</v>
      </c>
      <c r="D224" s="491" t="s">
        <v>11239</v>
      </c>
    </row>
    <row r="225" spans="1:5" ht="21">
      <c r="A225" s="494" t="s">
        <v>11235</v>
      </c>
      <c r="B225" s="493" t="s">
        <v>11238</v>
      </c>
      <c r="C225" s="537" t="s">
        <v>10962</v>
      </c>
      <c r="D225" s="491" t="s">
        <v>14402</v>
      </c>
    </row>
    <row r="226" spans="1:5" ht="21">
      <c r="A226" s="494" t="s">
        <v>11235</v>
      </c>
      <c r="B226" s="493" t="s">
        <v>11237</v>
      </c>
      <c r="C226" s="537" t="s">
        <v>14913</v>
      </c>
      <c r="D226" s="491" t="s">
        <v>14912</v>
      </c>
    </row>
    <row r="227" spans="1:5" ht="21">
      <c r="A227" s="494" t="s">
        <v>11235</v>
      </c>
      <c r="B227" s="493" t="s">
        <v>11236</v>
      </c>
      <c r="C227" s="550" t="s">
        <v>14403</v>
      </c>
    </row>
    <row r="228" spans="1:5" ht="21">
      <c r="A228" s="494" t="s">
        <v>11235</v>
      </c>
      <c r="B228" s="493" t="s">
        <v>11234</v>
      </c>
      <c r="C228" s="495" t="s">
        <v>10962</v>
      </c>
      <c r="D228" s="491" t="s">
        <v>14911</v>
      </c>
    </row>
    <row r="229" spans="1:5" ht="21">
      <c r="A229" s="500"/>
      <c r="B229" s="499"/>
      <c r="C229" s="498"/>
    </row>
    <row r="230" spans="1:5" ht="21">
      <c r="A230" s="500"/>
      <c r="B230" s="499"/>
      <c r="C230" s="498"/>
    </row>
    <row r="231" spans="1:5" ht="21">
      <c r="A231" s="494" t="s">
        <v>11206</v>
      </c>
      <c r="B231" s="493" t="s">
        <v>11233</v>
      </c>
      <c r="C231" s="496" t="s">
        <v>10962</v>
      </c>
    </row>
    <row r="232" spans="1:5" ht="21">
      <c r="A232" s="494" t="s">
        <v>11206</v>
      </c>
      <c r="B232" s="493" t="s">
        <v>11232</v>
      </c>
      <c r="C232" s="497" t="s">
        <v>10962</v>
      </c>
      <c r="D232" s="491" t="s">
        <v>11231</v>
      </c>
    </row>
    <row r="233" spans="1:5" ht="21">
      <c r="A233" s="494" t="s">
        <v>11206</v>
      </c>
      <c r="B233" s="493" t="s">
        <v>11230</v>
      </c>
      <c r="C233" s="496" t="s">
        <v>10962</v>
      </c>
    </row>
    <row r="234" spans="1:5" ht="21">
      <c r="A234" s="494" t="s">
        <v>11206</v>
      </c>
      <c r="B234" s="493" t="s">
        <v>11229</v>
      </c>
      <c r="C234" s="496" t="s">
        <v>10962</v>
      </c>
      <c r="D234" s="491" t="s">
        <v>11228</v>
      </c>
    </row>
    <row r="235" spans="1:5" ht="21">
      <c r="A235" s="494" t="s">
        <v>11206</v>
      </c>
      <c r="B235" s="493" t="s">
        <v>11227</v>
      </c>
      <c r="C235" s="496" t="s">
        <v>10962</v>
      </c>
      <c r="D235" s="491" t="s">
        <v>11226</v>
      </c>
    </row>
    <row r="236" spans="1:5" ht="21">
      <c r="A236" s="494" t="s">
        <v>11206</v>
      </c>
      <c r="B236" s="493" t="s">
        <v>11225</v>
      </c>
      <c r="C236" s="537" t="s">
        <v>14925</v>
      </c>
      <c r="D236" s="491" t="s">
        <v>14924</v>
      </c>
    </row>
    <row r="237" spans="1:5" ht="21">
      <c r="A237" s="494" t="s">
        <v>11206</v>
      </c>
      <c r="B237" s="503" t="s">
        <v>11224</v>
      </c>
      <c r="C237" s="496" t="s">
        <v>10962</v>
      </c>
    </row>
    <row r="238" spans="1:5" ht="21">
      <c r="A238" s="494" t="s">
        <v>11206</v>
      </c>
      <c r="B238" s="493" t="s">
        <v>11223</v>
      </c>
      <c r="C238" s="497" t="s">
        <v>10962</v>
      </c>
      <c r="D238" s="491" t="s">
        <v>11222</v>
      </c>
    </row>
    <row r="239" spans="1:5" ht="21">
      <c r="A239" s="494" t="s">
        <v>11206</v>
      </c>
      <c r="B239" s="493" t="s">
        <v>11221</v>
      </c>
      <c r="C239" s="495" t="s">
        <v>10962</v>
      </c>
      <c r="D239" s="491" t="s">
        <v>14923</v>
      </c>
    </row>
    <row r="240" spans="1:5" ht="21">
      <c r="A240" s="494" t="s">
        <v>11206</v>
      </c>
      <c r="B240" s="493" t="s">
        <v>11220</v>
      </c>
      <c r="C240" s="615" t="s">
        <v>14404</v>
      </c>
      <c r="D240" s="491" t="s">
        <v>14920</v>
      </c>
      <c r="E240" s="608" t="s">
        <v>14921</v>
      </c>
    </row>
    <row r="241" spans="1:4" ht="21">
      <c r="A241" s="494" t="s">
        <v>11206</v>
      </c>
      <c r="B241" s="493" t="s">
        <v>11219</v>
      </c>
      <c r="C241" s="540" t="s">
        <v>14405</v>
      </c>
    </row>
    <row r="242" spans="1:4" ht="21">
      <c r="A242" s="494" t="s">
        <v>11206</v>
      </c>
      <c r="B242" s="493" t="s">
        <v>11218</v>
      </c>
      <c r="C242" s="496" t="s">
        <v>10962</v>
      </c>
    </row>
    <row r="243" spans="1:4" ht="21">
      <c r="A243" s="494" t="s">
        <v>11206</v>
      </c>
      <c r="B243" s="493" t="s">
        <v>11217</v>
      </c>
      <c r="C243" s="496" t="s">
        <v>10962</v>
      </c>
    </row>
    <row r="244" spans="1:4" ht="21">
      <c r="A244" s="494" t="s">
        <v>11206</v>
      </c>
      <c r="B244" s="493" t="s">
        <v>11216</v>
      </c>
      <c r="C244" s="495" t="s">
        <v>10962</v>
      </c>
      <c r="D244" s="491" t="s">
        <v>14919</v>
      </c>
    </row>
    <row r="245" spans="1:4" ht="21">
      <c r="A245" s="494" t="s">
        <v>11206</v>
      </c>
      <c r="B245" s="493" t="s">
        <v>11215</v>
      </c>
      <c r="C245" s="495" t="s">
        <v>10962</v>
      </c>
      <c r="D245" s="491" t="s">
        <v>14915</v>
      </c>
    </row>
    <row r="246" spans="1:4" ht="21">
      <c r="A246" s="494" t="s">
        <v>11206</v>
      </c>
      <c r="B246" s="493" t="s">
        <v>11214</v>
      </c>
      <c r="C246" s="496" t="s">
        <v>10962</v>
      </c>
    </row>
    <row r="247" spans="1:4" ht="21">
      <c r="A247" s="494" t="s">
        <v>11206</v>
      </c>
      <c r="B247" s="493" t="s">
        <v>11213</v>
      </c>
      <c r="C247" s="496" t="s">
        <v>10962</v>
      </c>
    </row>
    <row r="248" spans="1:4" ht="21">
      <c r="A248" s="494" t="s">
        <v>11206</v>
      </c>
      <c r="B248" s="493" t="s">
        <v>11212</v>
      </c>
      <c r="C248" s="496" t="s">
        <v>10962</v>
      </c>
    </row>
    <row r="249" spans="1:4" ht="21">
      <c r="A249" s="494" t="s">
        <v>11206</v>
      </c>
      <c r="B249" s="493" t="s">
        <v>11211</v>
      </c>
      <c r="C249" s="497" t="s">
        <v>10962</v>
      </c>
      <c r="D249" s="491" t="s">
        <v>11210</v>
      </c>
    </row>
    <row r="250" spans="1:4" ht="21">
      <c r="A250" s="494" t="s">
        <v>11206</v>
      </c>
      <c r="B250" s="493" t="s">
        <v>11209</v>
      </c>
      <c r="C250" s="496" t="s">
        <v>10962</v>
      </c>
    </row>
    <row r="251" spans="1:4" ht="21">
      <c r="A251" s="494" t="s">
        <v>11206</v>
      </c>
      <c r="B251" s="493" t="s">
        <v>11208</v>
      </c>
      <c r="C251" s="495" t="s">
        <v>10962</v>
      </c>
      <c r="D251" s="491" t="s">
        <v>11207</v>
      </c>
    </row>
    <row r="252" spans="1:4" ht="21">
      <c r="A252" s="494" t="s">
        <v>11206</v>
      </c>
      <c r="B252" s="493" t="s">
        <v>11205</v>
      </c>
      <c r="C252" s="496" t="s">
        <v>10962</v>
      </c>
    </row>
    <row r="253" spans="1:4" ht="19.8">
      <c r="A253" s="494"/>
      <c r="B253" s="562" t="s">
        <v>14926</v>
      </c>
      <c r="C253" s="617"/>
      <c r="D253" s="491" t="s">
        <v>14969</v>
      </c>
    </row>
    <row r="254" spans="1:4" ht="19.8">
      <c r="A254" s="494"/>
      <c r="B254" s="562" t="s">
        <v>14928</v>
      </c>
      <c r="C254" s="616"/>
    </row>
    <row r="255" spans="1:4" ht="19.8">
      <c r="A255" s="494"/>
      <c r="B255" s="562" t="s">
        <v>14927</v>
      </c>
      <c r="C255" s="612" t="s">
        <v>14967</v>
      </c>
      <c r="D255" s="491" t="s">
        <v>14968</v>
      </c>
    </row>
    <row r="256" spans="1:4" ht="19.8">
      <c r="A256" s="494"/>
      <c r="B256" s="562" t="s">
        <v>14929</v>
      </c>
      <c r="C256" s="612" t="s">
        <v>14966</v>
      </c>
      <c r="D256" s="491" t="s">
        <v>14965</v>
      </c>
    </row>
    <row r="257" spans="1:4" ht="19.8">
      <c r="A257" s="494"/>
      <c r="B257" s="562" t="s">
        <v>14930</v>
      </c>
      <c r="C257" s="616" t="s">
        <v>14964</v>
      </c>
    </row>
    <row r="258" spans="1:4">
      <c r="B258" s="608" t="s">
        <v>14931</v>
      </c>
      <c r="C258" s="496"/>
    </row>
    <row r="259" spans="1:4">
      <c r="B259" s="608" t="s">
        <v>14932</v>
      </c>
      <c r="C259" s="497"/>
      <c r="D259" s="491" t="s">
        <v>14963</v>
      </c>
    </row>
    <row r="260" spans="1:4" ht="52.8" customHeight="1">
      <c r="B260" s="608" t="s">
        <v>14933</v>
      </c>
      <c r="C260" s="496"/>
      <c r="D260" s="491" t="s">
        <v>14962</v>
      </c>
    </row>
    <row r="261" spans="1:4">
      <c r="B261" s="608" t="s">
        <v>14934</v>
      </c>
      <c r="C261" s="497"/>
      <c r="D261" s="491" t="s">
        <v>14961</v>
      </c>
    </row>
    <row r="262" spans="1:4" ht="21">
      <c r="B262" s="499"/>
      <c r="C262" s="498"/>
    </row>
    <row r="263" spans="1:4" ht="21">
      <c r="A263" s="494" t="s">
        <v>11169</v>
      </c>
      <c r="B263" s="493" t="s">
        <v>11204</v>
      </c>
      <c r="C263" s="497" t="s">
        <v>10962</v>
      </c>
      <c r="D263" s="491" t="s">
        <v>11203</v>
      </c>
    </row>
    <row r="264" spans="1:4" ht="21">
      <c r="A264" s="494" t="s">
        <v>11169</v>
      </c>
      <c r="B264" s="493" t="s">
        <v>11202</v>
      </c>
      <c r="C264" s="496" t="s">
        <v>10962</v>
      </c>
    </row>
    <row r="265" spans="1:4" ht="21">
      <c r="A265" s="494" t="s">
        <v>11169</v>
      </c>
      <c r="B265" s="493" t="s">
        <v>11201</v>
      </c>
      <c r="C265" s="537" t="s">
        <v>10962</v>
      </c>
      <c r="D265" s="491" t="s">
        <v>14437</v>
      </c>
    </row>
    <row r="266" spans="1:4" ht="21">
      <c r="A266" s="494" t="s">
        <v>11169</v>
      </c>
      <c r="B266" s="493" t="s">
        <v>11200</v>
      </c>
      <c r="C266" s="538" t="s">
        <v>10962</v>
      </c>
    </row>
    <row r="267" spans="1:4" ht="21">
      <c r="A267" s="494" t="s">
        <v>11169</v>
      </c>
      <c r="B267" s="493" t="s">
        <v>11199</v>
      </c>
      <c r="C267" s="496" t="s">
        <v>10962</v>
      </c>
    </row>
    <row r="268" spans="1:4" ht="21">
      <c r="A268" s="494" t="s">
        <v>11169</v>
      </c>
      <c r="B268" s="493" t="s">
        <v>11198</v>
      </c>
      <c r="C268" s="538" t="s">
        <v>10962</v>
      </c>
    </row>
    <row r="269" spans="1:4" ht="21">
      <c r="A269" s="494" t="s">
        <v>11169</v>
      </c>
      <c r="B269" s="493" t="s">
        <v>11197</v>
      </c>
      <c r="C269" s="537" t="s">
        <v>10962</v>
      </c>
      <c r="D269" s="491" t="s">
        <v>14436</v>
      </c>
    </row>
    <row r="270" spans="1:4" ht="21">
      <c r="A270" s="494" t="s">
        <v>11169</v>
      </c>
      <c r="B270" s="493" t="s">
        <v>11196</v>
      </c>
      <c r="C270" s="538" t="s">
        <v>10962</v>
      </c>
      <c r="D270" s="491" t="s">
        <v>14435</v>
      </c>
    </row>
    <row r="271" spans="1:4" ht="21">
      <c r="A271" s="494" t="s">
        <v>11169</v>
      </c>
      <c r="B271" s="493" t="s">
        <v>11195</v>
      </c>
      <c r="C271" s="538" t="s">
        <v>10962</v>
      </c>
    </row>
    <row r="272" spans="1:4" ht="21">
      <c r="A272" s="494" t="s">
        <v>11169</v>
      </c>
      <c r="B272" s="493" t="s">
        <v>11194</v>
      </c>
      <c r="C272" s="538" t="s">
        <v>10962</v>
      </c>
    </row>
    <row r="273" spans="1:4" ht="21">
      <c r="A273" s="494" t="s">
        <v>11169</v>
      </c>
      <c r="B273" s="493" t="s">
        <v>11193</v>
      </c>
      <c r="C273" s="487" t="s">
        <v>10949</v>
      </c>
    </row>
    <row r="274" spans="1:4" ht="21">
      <c r="A274" s="494" t="s">
        <v>11169</v>
      </c>
      <c r="B274" s="493" t="s">
        <v>11192</v>
      </c>
      <c r="C274" s="539" t="s">
        <v>10962</v>
      </c>
      <c r="D274" s="491" t="s">
        <v>14434</v>
      </c>
    </row>
    <row r="275" spans="1:4" ht="21">
      <c r="A275" s="494" t="s">
        <v>11169</v>
      </c>
      <c r="B275" s="493" t="s">
        <v>11191</v>
      </c>
      <c r="C275" s="538" t="s">
        <v>10962</v>
      </c>
    </row>
    <row r="276" spans="1:4" ht="21">
      <c r="A276" s="494" t="s">
        <v>11169</v>
      </c>
      <c r="B276" s="493" t="s">
        <v>11190</v>
      </c>
      <c r="C276" s="539" t="s">
        <v>10962</v>
      </c>
      <c r="D276" s="491" t="s">
        <v>14433</v>
      </c>
    </row>
    <row r="277" spans="1:4" ht="21">
      <c r="A277" s="494" t="s">
        <v>11169</v>
      </c>
      <c r="B277" s="493" t="s">
        <v>11189</v>
      </c>
      <c r="C277" s="538" t="s">
        <v>10962</v>
      </c>
    </row>
    <row r="278" spans="1:4" ht="21">
      <c r="A278" s="494" t="s">
        <v>11169</v>
      </c>
      <c r="B278" s="493" t="s">
        <v>11188</v>
      </c>
      <c r="C278" s="538" t="s">
        <v>10962</v>
      </c>
    </row>
    <row r="279" spans="1:4" ht="21">
      <c r="A279" s="494" t="s">
        <v>11169</v>
      </c>
      <c r="B279" s="493" t="s">
        <v>11187</v>
      </c>
      <c r="C279" s="538" t="s">
        <v>10962</v>
      </c>
    </row>
    <row r="280" spans="1:4" ht="21">
      <c r="A280" s="494" t="s">
        <v>11169</v>
      </c>
      <c r="B280" s="493" t="s">
        <v>11186</v>
      </c>
      <c r="C280" s="538" t="s">
        <v>10962</v>
      </c>
    </row>
    <row r="281" spans="1:4" ht="21">
      <c r="A281" s="494" t="s">
        <v>11169</v>
      </c>
      <c r="B281" s="493" t="s">
        <v>11185</v>
      </c>
      <c r="C281" s="538" t="s">
        <v>10962</v>
      </c>
    </row>
    <row r="282" spans="1:4" ht="21">
      <c r="A282" s="494" t="s">
        <v>11169</v>
      </c>
      <c r="B282" s="493" t="s">
        <v>11184</v>
      </c>
      <c r="C282" s="538" t="s">
        <v>10962</v>
      </c>
    </row>
    <row r="283" spans="1:4" ht="21">
      <c r="A283" s="494" t="s">
        <v>11169</v>
      </c>
      <c r="B283" s="493" t="s">
        <v>11183</v>
      </c>
      <c r="C283" s="538" t="s">
        <v>10962</v>
      </c>
    </row>
    <row r="284" spans="1:4" ht="21">
      <c r="A284" s="494" t="s">
        <v>11169</v>
      </c>
      <c r="B284" s="493" t="s">
        <v>11182</v>
      </c>
      <c r="C284" s="538" t="s">
        <v>10962</v>
      </c>
    </row>
    <row r="285" spans="1:4" ht="21">
      <c r="A285" s="494" t="s">
        <v>11169</v>
      </c>
      <c r="B285" s="493" t="s">
        <v>11181</v>
      </c>
      <c r="C285" s="538" t="s">
        <v>10962</v>
      </c>
    </row>
    <row r="286" spans="1:4" ht="21">
      <c r="A286" s="494" t="s">
        <v>11169</v>
      </c>
      <c r="B286" s="493" t="s">
        <v>11180</v>
      </c>
      <c r="C286" s="538" t="s">
        <v>14431</v>
      </c>
    </row>
    <row r="287" spans="1:4" ht="21">
      <c r="A287" s="494" t="s">
        <v>11169</v>
      </c>
      <c r="B287" s="493" t="s">
        <v>11179</v>
      </c>
      <c r="C287" s="538" t="s">
        <v>10962</v>
      </c>
    </row>
    <row r="288" spans="1:4" ht="21">
      <c r="A288" s="494" t="s">
        <v>11169</v>
      </c>
      <c r="B288" s="493" t="s">
        <v>11178</v>
      </c>
      <c r="C288" s="537" t="s">
        <v>10962</v>
      </c>
    </row>
    <row r="289" spans="1:4" ht="21">
      <c r="A289" s="494" t="s">
        <v>11169</v>
      </c>
      <c r="B289" s="493" t="s">
        <v>11177</v>
      </c>
      <c r="C289" s="487" t="s">
        <v>10962</v>
      </c>
    </row>
    <row r="290" spans="1:4" ht="21">
      <c r="A290" s="494" t="s">
        <v>11169</v>
      </c>
      <c r="B290" s="493" t="s">
        <v>11176</v>
      </c>
      <c r="C290" s="487" t="s">
        <v>10962</v>
      </c>
    </row>
    <row r="291" spans="1:4" ht="21">
      <c r="A291" s="494" t="s">
        <v>11169</v>
      </c>
      <c r="B291" s="493" t="s">
        <v>11175</v>
      </c>
      <c r="C291" s="550" t="s">
        <v>10962</v>
      </c>
    </row>
    <row r="292" spans="1:4" ht="21">
      <c r="A292" s="494" t="s">
        <v>11169</v>
      </c>
      <c r="B292" s="493" t="s">
        <v>11174</v>
      </c>
      <c r="C292" s="537" t="s">
        <v>10962</v>
      </c>
      <c r="D292" s="491" t="s">
        <v>14411</v>
      </c>
    </row>
    <row r="293" spans="1:4" ht="21">
      <c r="A293" s="494" t="s">
        <v>11169</v>
      </c>
      <c r="B293" s="493" t="s">
        <v>11173</v>
      </c>
      <c r="C293" s="487" t="s">
        <v>10962</v>
      </c>
      <c r="D293" s="491" t="s">
        <v>14430</v>
      </c>
    </row>
    <row r="294" spans="1:4" ht="21">
      <c r="A294" s="494" t="s">
        <v>11169</v>
      </c>
      <c r="B294" s="493" t="s">
        <v>11172</v>
      </c>
      <c r="C294" s="538" t="s">
        <v>10962</v>
      </c>
    </row>
    <row r="295" spans="1:4" ht="21">
      <c r="A295" s="494" t="s">
        <v>11169</v>
      </c>
      <c r="B295" s="493" t="s">
        <v>11171</v>
      </c>
      <c r="C295" s="538" t="s">
        <v>10962</v>
      </c>
    </row>
    <row r="296" spans="1:4" ht="21">
      <c r="A296" s="494" t="s">
        <v>11169</v>
      </c>
      <c r="B296" s="493" t="s">
        <v>11170</v>
      </c>
      <c r="C296" s="538" t="s">
        <v>10962</v>
      </c>
    </row>
    <row r="297" spans="1:4" ht="21">
      <c r="A297" s="494" t="s">
        <v>11169</v>
      </c>
      <c r="B297" s="493" t="s">
        <v>11168</v>
      </c>
      <c r="C297" s="538" t="s">
        <v>10962</v>
      </c>
    </row>
    <row r="298" spans="1:4" ht="21">
      <c r="B298" s="499"/>
      <c r="C298" s="498"/>
    </row>
    <row r="299" spans="1:4" ht="21">
      <c r="B299" s="499"/>
      <c r="C299" s="498" t="s">
        <v>14352</v>
      </c>
    </row>
    <row r="300" spans="1:4" ht="21">
      <c r="A300" s="494" t="s">
        <v>11150</v>
      </c>
      <c r="B300" s="493" t="s">
        <v>11167</v>
      </c>
      <c r="C300" s="538" t="s">
        <v>10962</v>
      </c>
      <c r="D300" s="491" t="s">
        <v>14881</v>
      </c>
    </row>
    <row r="301" spans="1:4" ht="21">
      <c r="A301" s="494" t="s">
        <v>11150</v>
      </c>
      <c r="B301" s="493" t="s">
        <v>11166</v>
      </c>
      <c r="C301" s="613" t="s">
        <v>14351</v>
      </c>
      <c r="D301" s="491" t="s">
        <v>14887</v>
      </c>
    </row>
    <row r="302" spans="1:4" ht="21">
      <c r="A302" s="494" t="s">
        <v>11150</v>
      </c>
      <c r="B302" s="493" t="s">
        <v>11165</v>
      </c>
      <c r="C302" s="538" t="s">
        <v>10962</v>
      </c>
      <c r="D302" s="491" t="s">
        <v>14882</v>
      </c>
    </row>
    <row r="303" spans="1:4" ht="21">
      <c r="A303" s="494" t="s">
        <v>11150</v>
      </c>
      <c r="B303" s="493" t="s">
        <v>11164</v>
      </c>
      <c r="C303" s="537" t="s">
        <v>14884</v>
      </c>
      <c r="D303" s="491" t="s">
        <v>14888</v>
      </c>
    </row>
    <row r="304" spans="1:4" ht="21">
      <c r="A304" s="494" t="s">
        <v>11150</v>
      </c>
      <c r="B304" s="493" t="s">
        <v>11163</v>
      </c>
      <c r="C304" s="613" t="s">
        <v>14883</v>
      </c>
    </row>
    <row r="305" spans="1:4" ht="21">
      <c r="A305" s="494" t="s">
        <v>11150</v>
      </c>
      <c r="B305" s="493" t="s">
        <v>11162</v>
      </c>
      <c r="C305" s="613" t="s">
        <v>10962</v>
      </c>
    </row>
    <row r="306" spans="1:4" ht="21">
      <c r="A306" s="494" t="s">
        <v>11150</v>
      </c>
      <c r="B306" s="493" t="s">
        <v>11161</v>
      </c>
      <c r="C306" s="613" t="s">
        <v>14885</v>
      </c>
      <c r="D306" s="491" t="s">
        <v>1300</v>
      </c>
    </row>
    <row r="307" spans="1:4" ht="21">
      <c r="A307" s="494" t="s">
        <v>11150</v>
      </c>
      <c r="B307" s="493" t="s">
        <v>11031</v>
      </c>
      <c r="C307" s="613" t="s">
        <v>14886</v>
      </c>
    </row>
    <row r="308" spans="1:4" ht="21">
      <c r="A308" s="494" t="s">
        <v>11150</v>
      </c>
      <c r="B308" s="493" t="s">
        <v>11160</v>
      </c>
      <c r="C308" s="613" t="s">
        <v>10962</v>
      </c>
    </row>
    <row r="309" spans="1:4" ht="21">
      <c r="A309" s="494" t="s">
        <v>11150</v>
      </c>
      <c r="B309" s="493" t="s">
        <v>11159</v>
      </c>
      <c r="C309" s="537" t="s">
        <v>10962</v>
      </c>
    </row>
    <row r="310" spans="1:4" ht="21">
      <c r="A310" s="494" t="s">
        <v>11150</v>
      </c>
      <c r="B310" s="493" t="s">
        <v>11158</v>
      </c>
      <c r="C310" s="613" t="s">
        <v>10962</v>
      </c>
    </row>
    <row r="311" spans="1:4" ht="21">
      <c r="A311" s="494" t="s">
        <v>11150</v>
      </c>
      <c r="B311" s="493" t="s">
        <v>11157</v>
      </c>
      <c r="C311" s="540" t="s">
        <v>14357</v>
      </c>
      <c r="D311" s="491" t="s">
        <v>14889</v>
      </c>
    </row>
    <row r="312" spans="1:4" ht="21">
      <c r="A312" s="494" t="s">
        <v>11150</v>
      </c>
      <c r="B312" s="493" t="s">
        <v>11156</v>
      </c>
      <c r="C312" s="537" t="s">
        <v>10962</v>
      </c>
    </row>
    <row r="313" spans="1:4" ht="21">
      <c r="A313" s="494" t="s">
        <v>11150</v>
      </c>
      <c r="B313" s="493" t="s">
        <v>11155</v>
      </c>
      <c r="C313" s="540" t="s">
        <v>14355</v>
      </c>
      <c r="D313" s="491" t="s">
        <v>14356</v>
      </c>
    </row>
    <row r="314" spans="1:4" ht="21">
      <c r="A314" s="494" t="s">
        <v>11150</v>
      </c>
      <c r="B314" s="493" t="s">
        <v>11154</v>
      </c>
      <c r="C314" s="538" t="s">
        <v>10962</v>
      </c>
    </row>
    <row r="315" spans="1:4" ht="21">
      <c r="A315" s="494" t="s">
        <v>11150</v>
      </c>
      <c r="B315" s="493" t="s">
        <v>11153</v>
      </c>
      <c r="C315" s="538" t="s">
        <v>10962</v>
      </c>
    </row>
    <row r="316" spans="1:4" ht="21">
      <c r="A316" s="494" t="s">
        <v>11150</v>
      </c>
      <c r="B316" s="493" t="s">
        <v>11152</v>
      </c>
      <c r="C316" s="538" t="s">
        <v>10962</v>
      </c>
    </row>
    <row r="317" spans="1:4" ht="21">
      <c r="A317" s="494" t="s">
        <v>11150</v>
      </c>
      <c r="B317" s="493" t="s">
        <v>11151</v>
      </c>
      <c r="C317" s="540" t="s">
        <v>14354</v>
      </c>
    </row>
    <row r="318" spans="1:4" ht="21">
      <c r="A318" s="494" t="s">
        <v>11150</v>
      </c>
      <c r="B318" s="493" t="s">
        <v>11149</v>
      </c>
      <c r="C318" s="538" t="s">
        <v>14353</v>
      </c>
    </row>
    <row r="319" spans="1:4" ht="21">
      <c r="B319" s="499"/>
      <c r="C319" s="498"/>
    </row>
    <row r="320" spans="1:4" ht="21">
      <c r="B320" s="499"/>
      <c r="C320" s="498"/>
    </row>
    <row r="321" spans="1:4" ht="21">
      <c r="A321" s="494" t="s">
        <v>11111</v>
      </c>
      <c r="B321" s="493" t="s">
        <v>11148</v>
      </c>
      <c r="C321" s="538" t="s">
        <v>14851</v>
      </c>
    </row>
    <row r="322" spans="1:4" ht="21">
      <c r="A322" s="494" t="s">
        <v>11111</v>
      </c>
      <c r="B322" s="493" t="s">
        <v>11147</v>
      </c>
      <c r="C322" s="538" t="s">
        <v>14332</v>
      </c>
    </row>
    <row r="323" spans="1:4" ht="21">
      <c r="A323" s="494" t="s">
        <v>11111</v>
      </c>
      <c r="B323" s="493" t="s">
        <v>11146</v>
      </c>
      <c r="C323" s="541" t="s">
        <v>10962</v>
      </c>
      <c r="D323" s="491" t="s">
        <v>14392</v>
      </c>
    </row>
    <row r="324" spans="1:4" ht="21">
      <c r="A324" s="494" t="s">
        <v>11111</v>
      </c>
      <c r="B324" s="493" t="s">
        <v>11145</v>
      </c>
      <c r="C324" s="538" t="s">
        <v>10962</v>
      </c>
      <c r="D324" s="491" t="s">
        <v>14393</v>
      </c>
    </row>
    <row r="325" spans="1:4" ht="21">
      <c r="A325" s="494" t="s">
        <v>11111</v>
      </c>
      <c r="B325" s="493" t="s">
        <v>11144</v>
      </c>
      <c r="C325" s="537" t="s">
        <v>14876</v>
      </c>
      <c r="D325" s="491" t="s">
        <v>14877</v>
      </c>
    </row>
    <row r="326" spans="1:4" ht="21">
      <c r="A326" s="494" t="s">
        <v>11111</v>
      </c>
      <c r="B326" s="493" t="s">
        <v>11143</v>
      </c>
      <c r="C326" s="538" t="s">
        <v>10962</v>
      </c>
    </row>
    <row r="327" spans="1:4" ht="21">
      <c r="A327" s="494" t="s">
        <v>11111</v>
      </c>
      <c r="B327" s="493" t="s">
        <v>11142</v>
      </c>
      <c r="C327" s="541"/>
    </row>
    <row r="328" spans="1:4" ht="21">
      <c r="A328" s="494" t="s">
        <v>11111</v>
      </c>
      <c r="B328" s="493" t="s">
        <v>11141</v>
      </c>
      <c r="C328" s="550" t="s">
        <v>14875</v>
      </c>
      <c r="D328" s="491" t="s">
        <v>14394</v>
      </c>
    </row>
    <row r="329" spans="1:4" ht="21">
      <c r="A329" s="494" t="s">
        <v>11111</v>
      </c>
      <c r="B329" s="493" t="s">
        <v>11140</v>
      </c>
      <c r="C329" s="541" t="s">
        <v>14852</v>
      </c>
    </row>
    <row r="330" spans="1:4" ht="21">
      <c r="A330" s="494" t="s">
        <v>11111</v>
      </c>
      <c r="B330" s="493" t="s">
        <v>11139</v>
      </c>
      <c r="C330" s="541" t="s">
        <v>14853</v>
      </c>
    </row>
    <row r="331" spans="1:4" ht="21" customHeight="1">
      <c r="A331" s="494" t="s">
        <v>11111</v>
      </c>
      <c r="B331" s="493" t="s">
        <v>11138</v>
      </c>
      <c r="C331" s="612"/>
      <c r="D331" s="614" t="s">
        <v>14879</v>
      </c>
    </row>
    <row r="332" spans="1:4" ht="21">
      <c r="A332" s="494" t="s">
        <v>11111</v>
      </c>
      <c r="B332" s="493" t="s">
        <v>11137</v>
      </c>
      <c r="C332" s="537" t="s">
        <v>10962</v>
      </c>
      <c r="D332" s="491" t="s">
        <v>14395</v>
      </c>
    </row>
    <row r="333" spans="1:4" ht="21">
      <c r="A333" s="494" t="s">
        <v>11111</v>
      </c>
      <c r="B333" s="493" t="s">
        <v>11136</v>
      </c>
      <c r="C333" s="538" t="s">
        <v>14333</v>
      </c>
    </row>
    <row r="334" spans="1:4" ht="21">
      <c r="A334" s="494" t="s">
        <v>11111</v>
      </c>
      <c r="B334" s="503" t="s">
        <v>11135</v>
      </c>
      <c r="C334" s="538" t="s">
        <v>14333</v>
      </c>
      <c r="D334" s="491" t="s">
        <v>14854</v>
      </c>
    </row>
    <row r="335" spans="1:4" ht="21">
      <c r="A335" s="494" t="s">
        <v>11111</v>
      </c>
      <c r="B335" s="493" t="s">
        <v>11134</v>
      </c>
      <c r="C335" s="538" t="s">
        <v>14333</v>
      </c>
      <c r="D335" s="491" t="s">
        <v>14855</v>
      </c>
    </row>
    <row r="336" spans="1:4" ht="21">
      <c r="A336" s="494" t="s">
        <v>11111</v>
      </c>
      <c r="B336" s="493" t="s">
        <v>11133</v>
      </c>
      <c r="C336" s="538" t="s">
        <v>14856</v>
      </c>
      <c r="D336" s="491" t="s">
        <v>14334</v>
      </c>
    </row>
    <row r="337" spans="1:4" ht="21">
      <c r="A337" s="494" t="s">
        <v>11111</v>
      </c>
      <c r="B337" s="493" t="s">
        <v>11132</v>
      </c>
      <c r="C337" s="537" t="s">
        <v>14857</v>
      </c>
      <c r="D337" s="491" t="s">
        <v>14335</v>
      </c>
    </row>
    <row r="338" spans="1:4" ht="21">
      <c r="A338" s="494" t="s">
        <v>11111</v>
      </c>
      <c r="B338" s="493" t="s">
        <v>11131</v>
      </c>
      <c r="C338" s="538" t="s">
        <v>10962</v>
      </c>
      <c r="D338" s="491" t="s">
        <v>14858</v>
      </c>
    </row>
    <row r="339" spans="1:4" ht="21">
      <c r="A339" s="494" t="s">
        <v>11111</v>
      </c>
      <c r="B339" s="493" t="s">
        <v>11130</v>
      </c>
      <c r="C339" s="537" t="s">
        <v>10962</v>
      </c>
      <c r="D339" s="491" t="s">
        <v>14880</v>
      </c>
    </row>
    <row r="340" spans="1:4" ht="21">
      <c r="A340" s="494" t="s">
        <v>11111</v>
      </c>
      <c r="B340" s="493" t="s">
        <v>11129</v>
      </c>
      <c r="C340" s="538" t="s">
        <v>14859</v>
      </c>
      <c r="D340" s="491" t="s">
        <v>14860</v>
      </c>
    </row>
    <row r="341" spans="1:4" ht="21">
      <c r="A341" s="494" t="s">
        <v>11111</v>
      </c>
      <c r="B341" s="493" t="s">
        <v>11128</v>
      </c>
      <c r="C341" s="538"/>
    </row>
    <row r="342" spans="1:4" ht="21">
      <c r="A342" s="494" t="s">
        <v>11111</v>
      </c>
      <c r="B342" s="493" t="s">
        <v>11127</v>
      </c>
      <c r="C342" s="537" t="s">
        <v>14874</v>
      </c>
    </row>
    <row r="343" spans="1:4" ht="21">
      <c r="A343" s="494" t="s">
        <v>11111</v>
      </c>
      <c r="B343" s="493" t="s">
        <v>11126</v>
      </c>
      <c r="C343" s="538" t="s">
        <v>14859</v>
      </c>
      <c r="D343" s="491" t="s">
        <v>14861</v>
      </c>
    </row>
    <row r="344" spans="1:4" ht="21">
      <c r="A344" s="494" t="s">
        <v>11111</v>
      </c>
      <c r="B344" s="493" t="s">
        <v>11125</v>
      </c>
      <c r="C344" s="537" t="s">
        <v>10962</v>
      </c>
      <c r="D344" s="491" t="s">
        <v>14878</v>
      </c>
    </row>
    <row r="345" spans="1:4" ht="21">
      <c r="A345" s="494" t="s">
        <v>11111</v>
      </c>
      <c r="B345" s="493" t="s">
        <v>11124</v>
      </c>
      <c r="C345" s="538" t="s">
        <v>10962</v>
      </c>
    </row>
    <row r="346" spans="1:4" ht="21">
      <c r="A346" s="494" t="s">
        <v>11111</v>
      </c>
      <c r="B346" s="493" t="s">
        <v>11123</v>
      </c>
      <c r="C346" s="537" t="s">
        <v>14396</v>
      </c>
    </row>
    <row r="347" spans="1:4" ht="21">
      <c r="A347" s="494" t="s">
        <v>11111</v>
      </c>
      <c r="B347" s="493" t="s">
        <v>11122</v>
      </c>
      <c r="C347" s="613" t="s">
        <v>14336</v>
      </c>
      <c r="D347" s="491" t="s">
        <v>14862</v>
      </c>
    </row>
    <row r="348" spans="1:4" ht="21">
      <c r="A348" s="494" t="s">
        <v>11111</v>
      </c>
      <c r="B348" s="493" t="s">
        <v>11121</v>
      </c>
      <c r="C348" s="537" t="s">
        <v>10962</v>
      </c>
      <c r="D348" s="491" t="s">
        <v>14863</v>
      </c>
    </row>
    <row r="349" spans="1:4" ht="21">
      <c r="A349" s="494" t="s">
        <v>11111</v>
      </c>
      <c r="B349" s="493" t="s">
        <v>11120</v>
      </c>
      <c r="C349" s="613" t="s">
        <v>10962</v>
      </c>
      <c r="D349" s="491" t="s">
        <v>14864</v>
      </c>
    </row>
    <row r="350" spans="1:4" ht="21">
      <c r="A350" s="494" t="s">
        <v>11111</v>
      </c>
      <c r="B350" s="493" t="s">
        <v>11119</v>
      </c>
      <c r="C350" s="540" t="s">
        <v>14338</v>
      </c>
      <c r="D350" s="491" t="s">
        <v>14337</v>
      </c>
    </row>
    <row r="351" spans="1:4" ht="21">
      <c r="A351" s="494" t="s">
        <v>11111</v>
      </c>
      <c r="B351" s="493" t="s">
        <v>11118</v>
      </c>
      <c r="C351" s="538" t="s">
        <v>14865</v>
      </c>
    </row>
    <row r="352" spans="1:4" ht="21">
      <c r="A352" s="494" t="s">
        <v>11111</v>
      </c>
      <c r="B352" s="493" t="s">
        <v>11117</v>
      </c>
      <c r="C352" s="538" t="s">
        <v>14866</v>
      </c>
    </row>
    <row r="353" spans="1:4" ht="21">
      <c r="A353" s="494" t="s">
        <v>11111</v>
      </c>
      <c r="B353" s="493" t="s">
        <v>11116</v>
      </c>
      <c r="C353" s="538" t="s">
        <v>14867</v>
      </c>
      <c r="D353" s="491" t="s">
        <v>14868</v>
      </c>
    </row>
    <row r="354" spans="1:4" ht="21">
      <c r="A354" s="494" t="s">
        <v>11111</v>
      </c>
      <c r="B354" s="493" t="s">
        <v>11115</v>
      </c>
      <c r="C354" s="542" t="s">
        <v>14869</v>
      </c>
    </row>
    <row r="355" spans="1:4" ht="21">
      <c r="A355" s="494" t="s">
        <v>11111</v>
      </c>
      <c r="B355" s="493" t="s">
        <v>11114</v>
      </c>
      <c r="C355" s="538" t="s">
        <v>14870</v>
      </c>
    </row>
    <row r="356" spans="1:4" ht="21">
      <c r="A356" s="494" t="s">
        <v>11111</v>
      </c>
      <c r="B356" s="493" t="s">
        <v>11113</v>
      </c>
      <c r="C356" s="538" t="s">
        <v>14871</v>
      </c>
    </row>
    <row r="357" spans="1:4" ht="21">
      <c r="A357" s="494" t="s">
        <v>11111</v>
      </c>
      <c r="B357" s="493" t="s">
        <v>11112</v>
      </c>
      <c r="C357" s="497" t="s">
        <v>10962</v>
      </c>
      <c r="D357" s="491" t="s">
        <v>14873</v>
      </c>
    </row>
    <row r="358" spans="1:4" ht="21">
      <c r="A358" s="494" t="s">
        <v>11111</v>
      </c>
      <c r="B358" s="493" t="s">
        <v>11110</v>
      </c>
      <c r="C358" s="538" t="s">
        <v>14872</v>
      </c>
    </row>
    <row r="359" spans="1:4" ht="21">
      <c r="B359" s="499"/>
      <c r="C359" s="498"/>
    </row>
    <row r="360" spans="1:4" ht="21">
      <c r="B360" s="499"/>
      <c r="C360" s="498"/>
    </row>
    <row r="361" spans="1:4" ht="21">
      <c r="A361" s="500" t="s">
        <v>11092</v>
      </c>
      <c r="B361" s="493" t="s">
        <v>11109</v>
      </c>
      <c r="C361" s="538" t="s">
        <v>614</v>
      </c>
      <c r="D361" s="491" t="s">
        <v>14317</v>
      </c>
    </row>
    <row r="362" spans="1:4" ht="21">
      <c r="A362" s="500" t="s">
        <v>11092</v>
      </c>
      <c r="B362" s="493" t="s">
        <v>11108</v>
      </c>
      <c r="C362" s="538" t="s">
        <v>1978</v>
      </c>
      <c r="D362" s="491" t="s">
        <v>14318</v>
      </c>
    </row>
    <row r="363" spans="1:4" ht="21">
      <c r="A363" s="500" t="s">
        <v>11092</v>
      </c>
      <c r="B363" s="493" t="s">
        <v>11107</v>
      </c>
      <c r="C363" s="538" t="s">
        <v>14315</v>
      </c>
      <c r="D363" s="491" t="s">
        <v>14319</v>
      </c>
    </row>
    <row r="364" spans="1:4" ht="21">
      <c r="A364" s="500" t="s">
        <v>11092</v>
      </c>
      <c r="B364" s="493" t="s">
        <v>11106</v>
      </c>
      <c r="C364" s="538" t="s">
        <v>14316</v>
      </c>
      <c r="D364" s="491" t="s">
        <v>14320</v>
      </c>
    </row>
    <row r="365" spans="1:4" ht="21">
      <c r="A365" s="500" t="s">
        <v>11092</v>
      </c>
      <c r="B365" s="493" t="s">
        <v>11105</v>
      </c>
      <c r="C365" s="538" t="s">
        <v>10962</v>
      </c>
    </row>
    <row r="366" spans="1:4" ht="21">
      <c r="A366" s="500" t="s">
        <v>11092</v>
      </c>
      <c r="B366" s="493" t="s">
        <v>11104</v>
      </c>
      <c r="C366" s="538" t="s">
        <v>14322</v>
      </c>
      <c r="D366" s="491" t="s">
        <v>14321</v>
      </c>
    </row>
    <row r="367" spans="1:4" ht="21">
      <c r="A367" s="500" t="s">
        <v>11092</v>
      </c>
      <c r="B367" s="493" t="s">
        <v>11103</v>
      </c>
      <c r="C367" s="539" t="s">
        <v>14323</v>
      </c>
      <c r="D367" s="491" t="s">
        <v>14324</v>
      </c>
    </row>
    <row r="368" spans="1:4" ht="21">
      <c r="A368" s="500" t="s">
        <v>11092</v>
      </c>
      <c r="B368" s="493" t="s">
        <v>11102</v>
      </c>
      <c r="C368" s="537" t="s">
        <v>10962</v>
      </c>
      <c r="D368" s="491" t="s">
        <v>14850</v>
      </c>
    </row>
    <row r="369" spans="1:4" ht="21">
      <c r="A369" s="500" t="s">
        <v>11092</v>
      </c>
      <c r="B369" s="503" t="s">
        <v>11101</v>
      </c>
      <c r="C369" s="538" t="s">
        <v>10962</v>
      </c>
    </row>
    <row r="370" spans="1:4" ht="21">
      <c r="A370" s="500" t="s">
        <v>11092</v>
      </c>
      <c r="B370" s="493" t="s">
        <v>11100</v>
      </c>
      <c r="C370" s="538" t="s">
        <v>10962</v>
      </c>
    </row>
    <row r="371" spans="1:4" ht="21">
      <c r="A371" s="500" t="s">
        <v>11092</v>
      </c>
      <c r="B371" s="493" t="s">
        <v>11099</v>
      </c>
      <c r="C371" s="538" t="s">
        <v>10962</v>
      </c>
    </row>
    <row r="372" spans="1:4" ht="21">
      <c r="A372" s="500" t="s">
        <v>11092</v>
      </c>
      <c r="B372" s="493" t="s">
        <v>11098</v>
      </c>
      <c r="C372" s="540" t="s">
        <v>14326</v>
      </c>
    </row>
    <row r="373" spans="1:4" ht="21">
      <c r="A373" s="500" t="s">
        <v>11092</v>
      </c>
      <c r="B373" s="493" t="s">
        <v>11097</v>
      </c>
      <c r="C373" s="538" t="s">
        <v>10962</v>
      </c>
      <c r="D373" s="491" t="s">
        <v>14325</v>
      </c>
    </row>
    <row r="374" spans="1:4" ht="21">
      <c r="A374" s="500" t="s">
        <v>11092</v>
      </c>
      <c r="B374" s="493" t="s">
        <v>11096</v>
      </c>
      <c r="C374" s="611" t="s">
        <v>10962</v>
      </c>
      <c r="D374" s="491" t="s">
        <v>14848</v>
      </c>
    </row>
    <row r="375" spans="1:4" ht="21">
      <c r="A375" s="500" t="s">
        <v>11092</v>
      </c>
      <c r="B375" s="493" t="s">
        <v>11095</v>
      </c>
      <c r="C375" s="611" t="s">
        <v>14327</v>
      </c>
    </row>
    <row r="376" spans="1:4" ht="21">
      <c r="A376" s="500" t="s">
        <v>11092</v>
      </c>
      <c r="B376" s="493" t="s">
        <v>11094</v>
      </c>
      <c r="C376" s="538" t="s">
        <v>14849</v>
      </c>
    </row>
    <row r="377" spans="1:4" ht="21">
      <c r="A377" s="500" t="s">
        <v>11092</v>
      </c>
      <c r="B377" s="493" t="s">
        <v>11093</v>
      </c>
      <c r="C377" s="610" t="s">
        <v>14847</v>
      </c>
      <c r="D377" s="608" t="s">
        <v>14846</v>
      </c>
    </row>
    <row r="378" spans="1:4" ht="21">
      <c r="A378" s="500" t="s">
        <v>11092</v>
      </c>
      <c r="B378" s="493" t="s">
        <v>11091</v>
      </c>
      <c r="C378" s="537" t="s">
        <v>14330</v>
      </c>
      <c r="D378" s="491" t="s">
        <v>14331</v>
      </c>
    </row>
    <row r="379" spans="1:4" ht="21">
      <c r="B379" s="499"/>
      <c r="C379" s="498"/>
    </row>
    <row r="380" spans="1:4" ht="21">
      <c r="B380" s="499"/>
      <c r="C380" s="498"/>
    </row>
    <row r="381" spans="1:4" ht="21">
      <c r="A381" s="500" t="s">
        <v>162</v>
      </c>
      <c r="B381" s="493" t="s">
        <v>11090</v>
      </c>
      <c r="C381" s="496" t="s">
        <v>10962</v>
      </c>
    </row>
    <row r="382" spans="1:4" ht="21">
      <c r="A382" s="500" t="s">
        <v>162</v>
      </c>
      <c r="B382" s="493" t="s">
        <v>11089</v>
      </c>
      <c r="C382" s="496" t="s">
        <v>10962</v>
      </c>
    </row>
    <row r="383" spans="1:4" ht="21">
      <c r="A383" s="500" t="s">
        <v>162</v>
      </c>
      <c r="B383" s="493" t="s">
        <v>11088</v>
      </c>
      <c r="C383" s="496" t="s">
        <v>10962</v>
      </c>
    </row>
    <row r="384" spans="1:4" ht="21">
      <c r="A384" s="500" t="s">
        <v>162</v>
      </c>
      <c r="B384" s="493" t="s">
        <v>11087</v>
      </c>
      <c r="C384" s="496" t="s">
        <v>10962</v>
      </c>
      <c r="D384" s="491" t="s">
        <v>14339</v>
      </c>
    </row>
    <row r="385" spans="1:4" ht="21">
      <c r="A385" s="500" t="s">
        <v>162</v>
      </c>
      <c r="B385" s="493" t="s">
        <v>11086</v>
      </c>
      <c r="C385" s="538" t="s">
        <v>10962</v>
      </c>
    </row>
    <row r="386" spans="1:4" ht="21">
      <c r="A386" s="500" t="s">
        <v>162</v>
      </c>
      <c r="B386" s="493" t="s">
        <v>11085</v>
      </c>
      <c r="C386" s="538" t="s">
        <v>10962</v>
      </c>
    </row>
    <row r="387" spans="1:4" ht="21">
      <c r="A387" s="500" t="s">
        <v>162</v>
      </c>
      <c r="B387" s="493" t="s">
        <v>11084</v>
      </c>
      <c r="C387" s="538" t="s">
        <v>10962</v>
      </c>
    </row>
    <row r="388" spans="1:4" ht="21">
      <c r="A388" s="500" t="s">
        <v>162</v>
      </c>
      <c r="B388" s="493" t="s">
        <v>11083</v>
      </c>
      <c r="C388" s="538" t="s">
        <v>10962</v>
      </c>
    </row>
    <row r="389" spans="1:4" ht="21">
      <c r="A389" s="500" t="s">
        <v>162</v>
      </c>
      <c r="B389" s="493" t="s">
        <v>11082</v>
      </c>
      <c r="C389" s="498" t="s">
        <v>10962</v>
      </c>
    </row>
    <row r="390" spans="1:4" ht="21">
      <c r="A390" s="500" t="s">
        <v>162</v>
      </c>
      <c r="B390" s="493" t="s">
        <v>11081</v>
      </c>
      <c r="C390" s="538" t="s">
        <v>10962</v>
      </c>
    </row>
    <row r="391" spans="1:4" ht="21">
      <c r="A391" s="500" t="s">
        <v>162</v>
      </c>
      <c r="B391" s="493" t="s">
        <v>11080</v>
      </c>
      <c r="C391" s="537" t="s">
        <v>10962</v>
      </c>
      <c r="D391" s="491" t="s">
        <v>14340</v>
      </c>
    </row>
    <row r="392" spans="1:4" ht="21">
      <c r="A392" s="500" t="s">
        <v>162</v>
      </c>
      <c r="B392" s="493" t="s">
        <v>11079</v>
      </c>
      <c r="C392" s="538" t="s">
        <v>10962</v>
      </c>
    </row>
    <row r="393" spans="1:4" ht="21">
      <c r="A393" s="500" t="s">
        <v>162</v>
      </c>
      <c r="B393" s="493" t="s">
        <v>11078</v>
      </c>
      <c r="C393" s="538" t="s">
        <v>14341</v>
      </c>
    </row>
    <row r="394" spans="1:4" ht="21">
      <c r="A394" s="500" t="s">
        <v>162</v>
      </c>
      <c r="B394" s="493" t="s">
        <v>11077</v>
      </c>
      <c r="C394" s="538" t="s">
        <v>10962</v>
      </c>
    </row>
    <row r="395" spans="1:4" ht="21">
      <c r="A395" s="500" t="s">
        <v>162</v>
      </c>
      <c r="B395" s="493" t="s">
        <v>11076</v>
      </c>
      <c r="C395" s="538" t="s">
        <v>10962</v>
      </c>
    </row>
    <row r="396" spans="1:4" ht="21">
      <c r="A396" s="500" t="s">
        <v>162</v>
      </c>
      <c r="B396" s="493" t="s">
        <v>11075</v>
      </c>
      <c r="C396" s="538" t="s">
        <v>10962</v>
      </c>
    </row>
    <row r="397" spans="1:4" ht="21">
      <c r="A397" s="500" t="s">
        <v>162</v>
      </c>
      <c r="B397" s="493" t="s">
        <v>11074</v>
      </c>
      <c r="C397" s="537" t="s">
        <v>10962</v>
      </c>
      <c r="D397" s="491" t="s">
        <v>14342</v>
      </c>
    </row>
    <row r="398" spans="1:4" ht="21">
      <c r="A398" s="500" t="s">
        <v>162</v>
      </c>
      <c r="B398" s="493" t="s">
        <v>11073</v>
      </c>
      <c r="C398" s="537" t="s">
        <v>10962</v>
      </c>
      <c r="D398" s="491" t="s">
        <v>14343</v>
      </c>
    </row>
    <row r="399" spans="1:4" ht="21">
      <c r="A399" s="500" t="s">
        <v>162</v>
      </c>
      <c r="B399" s="493" t="s">
        <v>11072</v>
      </c>
      <c r="C399" s="537" t="s">
        <v>10962</v>
      </c>
      <c r="D399" s="491" t="s">
        <v>14343</v>
      </c>
    </row>
    <row r="400" spans="1:4" ht="21">
      <c r="A400" s="500" t="s">
        <v>162</v>
      </c>
      <c r="B400" s="493" t="s">
        <v>11071</v>
      </c>
      <c r="C400" s="537" t="s">
        <v>10962</v>
      </c>
      <c r="D400" s="491" t="s">
        <v>14344</v>
      </c>
    </row>
    <row r="401" spans="1:4" ht="21">
      <c r="A401" s="500" t="s">
        <v>162</v>
      </c>
      <c r="B401" s="493" t="s">
        <v>11070</v>
      </c>
      <c r="C401" s="537" t="s">
        <v>10962</v>
      </c>
      <c r="D401" s="491" t="s">
        <v>14345</v>
      </c>
    </row>
    <row r="402" spans="1:4" ht="21">
      <c r="A402" s="500" t="s">
        <v>162</v>
      </c>
      <c r="B402" s="493" t="s">
        <v>11069</v>
      </c>
      <c r="C402" s="537" t="s">
        <v>10962</v>
      </c>
      <c r="D402" s="491" t="s">
        <v>14345</v>
      </c>
    </row>
    <row r="403" spans="1:4" ht="21">
      <c r="A403" s="500" t="s">
        <v>162</v>
      </c>
      <c r="B403" s="493" t="s">
        <v>11068</v>
      </c>
      <c r="C403" s="537" t="s">
        <v>10962</v>
      </c>
      <c r="D403" s="491" t="s">
        <v>14345</v>
      </c>
    </row>
    <row r="404" spans="1:4" ht="21">
      <c r="A404" s="500" t="s">
        <v>162</v>
      </c>
      <c r="B404" s="493" t="s">
        <v>11067</v>
      </c>
      <c r="C404" s="541" t="s">
        <v>10962</v>
      </c>
    </row>
    <row r="405" spans="1:4" ht="21">
      <c r="A405" s="500" t="s">
        <v>162</v>
      </c>
      <c r="B405" s="493" t="s">
        <v>11066</v>
      </c>
      <c r="C405" s="537" t="s">
        <v>10962</v>
      </c>
      <c r="D405" s="491" t="s">
        <v>14345</v>
      </c>
    </row>
    <row r="406" spans="1:4" ht="21">
      <c r="A406" s="500" t="s">
        <v>162</v>
      </c>
      <c r="B406" s="493" t="s">
        <v>11065</v>
      </c>
      <c r="C406" s="537" t="s">
        <v>10962</v>
      </c>
      <c r="D406" s="491" t="s">
        <v>14345</v>
      </c>
    </row>
    <row r="407" spans="1:4" ht="21">
      <c r="A407" s="500" t="s">
        <v>162</v>
      </c>
      <c r="B407" s="493" t="s">
        <v>11064</v>
      </c>
      <c r="C407" s="537" t="s">
        <v>10962</v>
      </c>
    </row>
    <row r="408" spans="1:4" ht="21">
      <c r="A408" s="500" t="s">
        <v>162</v>
      </c>
      <c r="B408" s="493" t="s">
        <v>11063</v>
      </c>
      <c r="C408" s="537" t="s">
        <v>14347</v>
      </c>
      <c r="D408" s="491" t="s">
        <v>14346</v>
      </c>
    </row>
    <row r="409" spans="1:4" ht="21">
      <c r="A409" s="500" t="s">
        <v>162</v>
      </c>
      <c r="B409" s="493" t="s">
        <v>11062</v>
      </c>
      <c r="C409" s="538" t="s">
        <v>10962</v>
      </c>
    </row>
    <row r="410" spans="1:4" ht="21">
      <c r="A410" s="500" t="s">
        <v>162</v>
      </c>
      <c r="B410" s="493" t="s">
        <v>11061</v>
      </c>
      <c r="C410" s="538" t="s">
        <v>14348</v>
      </c>
    </row>
    <row r="411" spans="1:4" ht="21">
      <c r="A411" s="500" t="s">
        <v>162</v>
      </c>
      <c r="B411" s="493" t="s">
        <v>11060</v>
      </c>
      <c r="C411" s="538" t="s">
        <v>10962</v>
      </c>
    </row>
    <row r="412" spans="1:4" ht="21">
      <c r="A412" s="500" t="s">
        <v>162</v>
      </c>
      <c r="B412" s="493" t="s">
        <v>11059</v>
      </c>
      <c r="C412" s="537" t="s">
        <v>10962</v>
      </c>
      <c r="D412" s="491" t="s">
        <v>14349</v>
      </c>
    </row>
    <row r="413" spans="1:4" ht="21">
      <c r="A413" s="500" t="s">
        <v>162</v>
      </c>
      <c r="B413" s="493" t="s">
        <v>11058</v>
      </c>
      <c r="C413" s="537" t="s">
        <v>10962</v>
      </c>
    </row>
    <row r="414" spans="1:4" ht="21">
      <c r="A414" s="500" t="s">
        <v>162</v>
      </c>
      <c r="B414" s="493" t="s">
        <v>11057</v>
      </c>
      <c r="C414" s="538" t="s">
        <v>10962</v>
      </c>
    </row>
    <row r="415" spans="1:4" ht="21">
      <c r="A415" s="500" t="s">
        <v>162</v>
      </c>
      <c r="B415" s="493" t="s">
        <v>11057</v>
      </c>
      <c r="C415" s="537" t="s">
        <v>10962</v>
      </c>
    </row>
    <row r="416" spans="1:4" ht="21">
      <c r="A416" s="500" t="s">
        <v>162</v>
      </c>
      <c r="B416" s="493" t="s">
        <v>11056</v>
      </c>
      <c r="C416" s="538" t="s">
        <v>10962</v>
      </c>
    </row>
    <row r="417" spans="1:4" ht="21">
      <c r="A417" s="500" t="s">
        <v>162</v>
      </c>
      <c r="B417" s="493" t="s">
        <v>11055</v>
      </c>
      <c r="C417" s="538" t="s">
        <v>10962</v>
      </c>
    </row>
    <row r="418" spans="1:4" ht="21">
      <c r="A418" s="500" t="s">
        <v>162</v>
      </c>
      <c r="B418" s="493" t="s">
        <v>11054</v>
      </c>
      <c r="C418" s="538" t="s">
        <v>10962</v>
      </c>
    </row>
    <row r="419" spans="1:4" ht="21">
      <c r="A419" s="500" t="s">
        <v>162</v>
      </c>
      <c r="B419" s="493" t="s">
        <v>11053</v>
      </c>
      <c r="C419" s="537" t="s">
        <v>10962</v>
      </c>
    </row>
    <row r="420" spans="1:4" ht="21">
      <c r="A420" s="500" t="s">
        <v>162</v>
      </c>
      <c r="B420" s="493" t="s">
        <v>11052</v>
      </c>
      <c r="C420" s="537" t="s">
        <v>10962</v>
      </c>
    </row>
    <row r="421" spans="1:4" ht="21">
      <c r="A421" s="500" t="s">
        <v>162</v>
      </c>
      <c r="B421" s="493" t="s">
        <v>11051</v>
      </c>
      <c r="C421" s="537" t="s">
        <v>10962</v>
      </c>
    </row>
    <row r="422" spans="1:4" ht="21">
      <c r="A422" s="500" t="s">
        <v>162</v>
      </c>
      <c r="B422" s="493" t="s">
        <v>11050</v>
      </c>
      <c r="C422" s="537" t="s">
        <v>10962</v>
      </c>
    </row>
    <row r="423" spans="1:4" ht="21">
      <c r="A423" s="500" t="s">
        <v>162</v>
      </c>
      <c r="B423" s="493" t="s">
        <v>11049</v>
      </c>
      <c r="C423" s="537" t="s">
        <v>10962</v>
      </c>
    </row>
    <row r="424" spans="1:4" ht="21">
      <c r="A424" s="500" t="s">
        <v>162</v>
      </c>
      <c r="B424" s="493" t="s">
        <v>11048</v>
      </c>
      <c r="C424" s="498" t="s">
        <v>14350</v>
      </c>
    </row>
    <row r="425" spans="1:4" ht="21">
      <c r="B425" s="499"/>
      <c r="C425" s="498"/>
    </row>
    <row r="426" spans="1:4">
      <c r="B426" s="608" t="s">
        <v>14423</v>
      </c>
      <c r="C426" s="537"/>
      <c r="D426" s="491" t="s">
        <v>14844</v>
      </c>
    </row>
    <row r="427" spans="1:4" ht="21">
      <c r="A427" s="500" t="s">
        <v>11042</v>
      </c>
      <c r="B427" s="493" t="s">
        <v>11047</v>
      </c>
      <c r="C427" s="538" t="s">
        <v>10962</v>
      </c>
    </row>
    <row r="428" spans="1:4" ht="21">
      <c r="A428" s="500" t="s">
        <v>11042</v>
      </c>
      <c r="B428" s="493" t="s">
        <v>11046</v>
      </c>
      <c r="C428" s="537" t="s">
        <v>10962</v>
      </c>
    </row>
    <row r="429" spans="1:4" ht="21">
      <c r="A429" s="500" t="s">
        <v>11042</v>
      </c>
      <c r="B429" s="493" t="s">
        <v>11045</v>
      </c>
      <c r="C429" s="609" t="s">
        <v>10962</v>
      </c>
    </row>
    <row r="430" spans="1:4" ht="21">
      <c r="A430" s="500" t="s">
        <v>11042</v>
      </c>
      <c r="B430" s="493" t="s">
        <v>11044</v>
      </c>
      <c r="C430" s="538" t="s">
        <v>10962</v>
      </c>
    </row>
    <row r="431" spans="1:4" ht="21">
      <c r="A431" s="500" t="s">
        <v>11042</v>
      </c>
      <c r="B431" s="493" t="s">
        <v>11043</v>
      </c>
      <c r="C431" s="537" t="s">
        <v>10962</v>
      </c>
      <c r="D431" s="491" t="s">
        <v>14845</v>
      </c>
    </row>
    <row r="432" spans="1:4" ht="21">
      <c r="A432" s="500" t="s">
        <v>11042</v>
      </c>
      <c r="B432" s="493" t="s">
        <v>11041</v>
      </c>
      <c r="C432" s="538" t="s">
        <v>10962</v>
      </c>
    </row>
    <row r="433" spans="1:4" ht="21">
      <c r="B433" s="499"/>
      <c r="C433" s="498"/>
    </row>
    <row r="434" spans="1:4" ht="21">
      <c r="B434" s="499"/>
      <c r="C434" s="498"/>
    </row>
    <row r="435" spans="1:4" ht="21">
      <c r="A435" s="494" t="s">
        <v>10978</v>
      </c>
      <c r="B435" s="493" t="s">
        <v>11040</v>
      </c>
      <c r="C435" s="496" t="s">
        <v>14820</v>
      </c>
    </row>
    <row r="436" spans="1:4" ht="21">
      <c r="A436" s="494" t="s">
        <v>10978</v>
      </c>
      <c r="B436" s="493" t="s">
        <v>11039</v>
      </c>
      <c r="C436" s="496" t="s">
        <v>10962</v>
      </c>
    </row>
    <row r="437" spans="1:4" ht="21">
      <c r="A437" s="494" t="s">
        <v>10978</v>
      </c>
      <c r="B437" s="493" t="s">
        <v>11038</v>
      </c>
      <c r="C437" s="496" t="s">
        <v>10962</v>
      </c>
    </row>
    <row r="438" spans="1:4" ht="21">
      <c r="A438" s="494" t="s">
        <v>10978</v>
      </c>
      <c r="B438" s="493" t="s">
        <v>11037</v>
      </c>
      <c r="C438" s="497" t="s">
        <v>10962</v>
      </c>
      <c r="D438" s="502" t="s">
        <v>11036</v>
      </c>
    </row>
    <row r="439" spans="1:4" ht="21">
      <c r="A439" s="494" t="s">
        <v>10978</v>
      </c>
      <c r="B439" s="493" t="s">
        <v>11035</v>
      </c>
      <c r="C439" s="538" t="s">
        <v>10962</v>
      </c>
      <c r="D439" s="501" t="s">
        <v>11034</v>
      </c>
    </row>
    <row r="440" spans="1:4" ht="21">
      <c r="A440" s="494" t="s">
        <v>10978</v>
      </c>
      <c r="B440" s="493" t="s">
        <v>11033</v>
      </c>
      <c r="C440" s="495" t="s">
        <v>10962</v>
      </c>
      <c r="D440" s="491" t="s">
        <v>14821</v>
      </c>
    </row>
    <row r="441" spans="1:4" ht="21">
      <c r="A441" s="494" t="s">
        <v>10978</v>
      </c>
      <c r="B441" s="493" t="s">
        <v>11032</v>
      </c>
      <c r="C441" s="496" t="s">
        <v>10962</v>
      </c>
    </row>
    <row r="442" spans="1:4" ht="21">
      <c r="A442" s="494" t="s">
        <v>10978</v>
      </c>
      <c r="B442" s="493" t="s">
        <v>11031</v>
      </c>
      <c r="C442" s="496" t="s">
        <v>10962</v>
      </c>
    </row>
    <row r="443" spans="1:4" ht="21">
      <c r="A443" s="494" t="s">
        <v>10978</v>
      </c>
      <c r="B443" s="493" t="s">
        <v>11030</v>
      </c>
      <c r="C443" s="496" t="s">
        <v>10962</v>
      </c>
      <c r="D443" s="491" t="s">
        <v>14377</v>
      </c>
    </row>
    <row r="444" spans="1:4" ht="21">
      <c r="A444" s="494" t="s">
        <v>10978</v>
      </c>
      <c r="B444" s="493" t="s">
        <v>11029</v>
      </c>
      <c r="C444" s="496" t="s">
        <v>10962</v>
      </c>
    </row>
    <row r="445" spans="1:4" ht="21">
      <c r="A445" s="494" t="s">
        <v>10978</v>
      </c>
      <c r="B445" s="493" t="s">
        <v>11028</v>
      </c>
      <c r="C445" s="498" t="s">
        <v>10962</v>
      </c>
    </row>
    <row r="446" spans="1:4" ht="21">
      <c r="A446" s="494" t="s">
        <v>10978</v>
      </c>
      <c r="B446" s="493" t="s">
        <v>11027</v>
      </c>
      <c r="C446" s="495" t="s">
        <v>10962</v>
      </c>
      <c r="D446" s="491" t="s">
        <v>14823</v>
      </c>
    </row>
    <row r="447" spans="1:4" ht="21">
      <c r="A447" s="494" t="s">
        <v>10978</v>
      </c>
      <c r="B447" s="493" t="s">
        <v>11026</v>
      </c>
      <c r="C447" s="538" t="s">
        <v>10962</v>
      </c>
    </row>
    <row r="448" spans="1:4" ht="21">
      <c r="A448" s="494" t="s">
        <v>10978</v>
      </c>
      <c r="B448" s="493" t="s">
        <v>11025</v>
      </c>
      <c r="C448" s="496" t="s">
        <v>10962</v>
      </c>
    </row>
    <row r="449" spans="1:4" ht="21">
      <c r="A449" s="494" t="s">
        <v>10978</v>
      </c>
      <c r="B449" s="493" t="s">
        <v>11024</v>
      </c>
      <c r="C449" s="537" t="s">
        <v>10962</v>
      </c>
      <c r="D449" s="491" t="s">
        <v>14370</v>
      </c>
    </row>
    <row r="450" spans="1:4" ht="21">
      <c r="A450" s="494" t="s">
        <v>10978</v>
      </c>
      <c r="B450" s="493" t="s">
        <v>11023</v>
      </c>
      <c r="C450" s="496" t="s">
        <v>10962</v>
      </c>
    </row>
    <row r="451" spans="1:4" ht="21">
      <c r="A451" s="494" t="s">
        <v>10978</v>
      </c>
      <c r="B451" s="493" t="s">
        <v>11022</v>
      </c>
      <c r="C451" s="537" t="s">
        <v>10962</v>
      </c>
    </row>
    <row r="452" spans="1:4" ht="21">
      <c r="A452" s="494" t="s">
        <v>10978</v>
      </c>
      <c r="B452" s="493" t="s">
        <v>11021</v>
      </c>
      <c r="C452" s="537" t="s">
        <v>14371</v>
      </c>
    </row>
    <row r="453" spans="1:4" ht="21">
      <c r="A453" s="494" t="s">
        <v>10978</v>
      </c>
      <c r="B453" s="493" t="s">
        <v>11020</v>
      </c>
      <c r="C453" s="496" t="s">
        <v>10962</v>
      </c>
    </row>
    <row r="454" spans="1:4" ht="21">
      <c r="A454" s="494" t="s">
        <v>10978</v>
      </c>
      <c r="B454" s="493" t="s">
        <v>11019</v>
      </c>
      <c r="C454" s="537" t="s">
        <v>14372</v>
      </c>
    </row>
    <row r="455" spans="1:4" ht="21">
      <c r="A455" s="494" t="s">
        <v>10978</v>
      </c>
      <c r="B455" s="493" t="s">
        <v>11018</v>
      </c>
      <c r="C455" s="538" t="s">
        <v>14373</v>
      </c>
    </row>
    <row r="456" spans="1:4" ht="21">
      <c r="A456" s="494" t="s">
        <v>10978</v>
      </c>
      <c r="B456" s="493" t="s">
        <v>11017</v>
      </c>
      <c r="C456" s="538" t="s">
        <v>10962</v>
      </c>
      <c r="D456" s="491" t="s">
        <v>14374</v>
      </c>
    </row>
    <row r="457" spans="1:4" ht="21">
      <c r="A457" s="494" t="s">
        <v>10978</v>
      </c>
      <c r="B457" s="493" t="s">
        <v>11016</v>
      </c>
      <c r="C457" s="537" t="s">
        <v>10962</v>
      </c>
    </row>
    <row r="458" spans="1:4" ht="21">
      <c r="A458" s="494" t="s">
        <v>10978</v>
      </c>
      <c r="B458" s="493" t="s">
        <v>11015</v>
      </c>
      <c r="C458" s="537" t="s">
        <v>10962</v>
      </c>
      <c r="D458" s="491" t="s">
        <v>14375</v>
      </c>
    </row>
    <row r="459" spans="1:4" ht="21">
      <c r="A459" s="494" t="s">
        <v>10978</v>
      </c>
      <c r="B459" s="493" t="s">
        <v>11014</v>
      </c>
      <c r="C459" s="496" t="s">
        <v>10962</v>
      </c>
    </row>
    <row r="460" spans="1:4" ht="21">
      <c r="A460" s="494" t="s">
        <v>10978</v>
      </c>
      <c r="B460" s="493" t="s">
        <v>11013</v>
      </c>
      <c r="C460" s="538" t="s">
        <v>1552</v>
      </c>
    </row>
    <row r="461" spans="1:4" ht="21">
      <c r="A461" s="494" t="s">
        <v>10978</v>
      </c>
      <c r="B461" s="493" t="s">
        <v>11012</v>
      </c>
      <c r="C461" s="492" t="s">
        <v>10962</v>
      </c>
    </row>
    <row r="462" spans="1:4" ht="21">
      <c r="A462" s="494" t="s">
        <v>10978</v>
      </c>
      <c r="B462" s="493" t="s">
        <v>11011</v>
      </c>
      <c r="C462" s="496" t="s">
        <v>10962</v>
      </c>
    </row>
    <row r="463" spans="1:4" ht="21">
      <c r="A463" s="494" t="s">
        <v>10978</v>
      </c>
      <c r="B463" s="493" t="s">
        <v>11010</v>
      </c>
      <c r="C463" s="496" t="s">
        <v>10962</v>
      </c>
    </row>
    <row r="464" spans="1:4" ht="21">
      <c r="A464" s="494" t="s">
        <v>10978</v>
      </c>
      <c r="B464" s="493" t="s">
        <v>11009</v>
      </c>
      <c r="C464" s="495" t="s">
        <v>10962</v>
      </c>
      <c r="D464" s="491" t="s">
        <v>11008</v>
      </c>
    </row>
    <row r="465" spans="1:4" ht="21">
      <c r="A465" s="494" t="s">
        <v>10978</v>
      </c>
      <c r="B465" s="493" t="s">
        <v>11007</v>
      </c>
      <c r="C465" s="550" t="s">
        <v>10962</v>
      </c>
      <c r="D465" s="491" t="s">
        <v>14376</v>
      </c>
    </row>
    <row r="466" spans="1:4" ht="21">
      <c r="A466" s="494" t="s">
        <v>10978</v>
      </c>
      <c r="B466" s="493" t="s">
        <v>11006</v>
      </c>
      <c r="C466" s="496" t="s">
        <v>10962</v>
      </c>
    </row>
    <row r="467" spans="1:4" ht="21">
      <c r="A467" s="494" t="s">
        <v>10978</v>
      </c>
      <c r="B467" s="493" t="s">
        <v>11005</v>
      </c>
      <c r="C467" s="496" t="s">
        <v>10962</v>
      </c>
    </row>
    <row r="468" spans="1:4" ht="21">
      <c r="A468" s="494" t="s">
        <v>10978</v>
      </c>
      <c r="B468" s="493" t="s">
        <v>11004</v>
      </c>
      <c r="C468" s="462" t="s">
        <v>10962</v>
      </c>
      <c r="D468" s="491" t="s">
        <v>14824</v>
      </c>
    </row>
    <row r="469" spans="1:4" ht="21">
      <c r="A469" s="494" t="s">
        <v>10978</v>
      </c>
      <c r="B469" s="493" t="s">
        <v>11003</v>
      </c>
      <c r="C469" s="496" t="s">
        <v>10962</v>
      </c>
    </row>
    <row r="470" spans="1:4" ht="21">
      <c r="A470" s="494" t="s">
        <v>10978</v>
      </c>
      <c r="B470" s="493" t="s">
        <v>11002</v>
      </c>
      <c r="C470" s="496" t="s">
        <v>10962</v>
      </c>
    </row>
    <row r="471" spans="1:4" ht="21">
      <c r="A471" s="494" t="s">
        <v>10978</v>
      </c>
      <c r="B471" s="493" t="s">
        <v>11001</v>
      </c>
      <c r="C471" s="496" t="s">
        <v>10962</v>
      </c>
    </row>
    <row r="472" spans="1:4" ht="21">
      <c r="A472" s="494" t="s">
        <v>10978</v>
      </c>
      <c r="B472" s="493" t="s">
        <v>11000</v>
      </c>
      <c r="C472" s="496" t="s">
        <v>10962</v>
      </c>
    </row>
    <row r="473" spans="1:4" ht="21">
      <c r="A473" s="494" t="s">
        <v>10978</v>
      </c>
      <c r="B473" s="493" t="s">
        <v>10999</v>
      </c>
      <c r="C473" s="498" t="s">
        <v>10962</v>
      </c>
    </row>
    <row r="474" spans="1:4" ht="21">
      <c r="A474" s="494" t="s">
        <v>10978</v>
      </c>
      <c r="B474" s="493" t="s">
        <v>10998</v>
      </c>
      <c r="C474" s="496" t="s">
        <v>10962</v>
      </c>
    </row>
    <row r="475" spans="1:4" ht="21">
      <c r="A475" s="494" t="s">
        <v>10978</v>
      </c>
      <c r="B475" s="493" t="s">
        <v>10997</v>
      </c>
      <c r="C475" s="550" t="s">
        <v>10962</v>
      </c>
      <c r="D475" s="491" t="s">
        <v>14378</v>
      </c>
    </row>
    <row r="476" spans="1:4" ht="21">
      <c r="A476" s="494" t="s">
        <v>10978</v>
      </c>
      <c r="B476" s="493" t="s">
        <v>10996</v>
      </c>
      <c r="C476" s="487" t="s">
        <v>10962</v>
      </c>
      <c r="D476" s="491" t="s">
        <v>14379</v>
      </c>
    </row>
    <row r="477" spans="1:4" ht="21">
      <c r="A477" s="494" t="s">
        <v>10978</v>
      </c>
      <c r="B477" s="493" t="s">
        <v>10995</v>
      </c>
      <c r="C477" s="537" t="s">
        <v>10962</v>
      </c>
      <c r="D477" s="491" t="s">
        <v>14380</v>
      </c>
    </row>
    <row r="478" spans="1:4" ht="21">
      <c r="A478" s="494" t="s">
        <v>10978</v>
      </c>
      <c r="B478" s="493" t="s">
        <v>10994</v>
      </c>
      <c r="C478" s="537" t="s">
        <v>14381</v>
      </c>
      <c r="D478" s="491" t="s">
        <v>14382</v>
      </c>
    </row>
    <row r="479" spans="1:4" ht="21">
      <c r="A479" s="494" t="s">
        <v>10978</v>
      </c>
      <c r="B479" s="493" t="s">
        <v>10993</v>
      </c>
      <c r="C479" s="537" t="s">
        <v>14383</v>
      </c>
      <c r="D479" s="491" t="s">
        <v>14318</v>
      </c>
    </row>
    <row r="480" spans="1:4" ht="21">
      <c r="A480" s="494" t="s">
        <v>10978</v>
      </c>
      <c r="B480" s="493" t="s">
        <v>10992</v>
      </c>
      <c r="C480" s="538" t="s">
        <v>10962</v>
      </c>
    </row>
    <row r="481" spans="1:4" ht="21">
      <c r="A481" s="494" t="s">
        <v>10978</v>
      </c>
      <c r="B481" s="493" t="s">
        <v>10991</v>
      </c>
      <c r="C481" s="495" t="s">
        <v>10962</v>
      </c>
      <c r="D481" s="491" t="s">
        <v>14384</v>
      </c>
    </row>
    <row r="482" spans="1:4" ht="21">
      <c r="A482" s="494" t="s">
        <v>10978</v>
      </c>
      <c r="B482" s="493" t="s">
        <v>10990</v>
      </c>
      <c r="C482" s="495" t="s">
        <v>10962</v>
      </c>
    </row>
    <row r="483" spans="1:4" ht="21">
      <c r="A483" s="494" t="s">
        <v>10978</v>
      </c>
      <c r="B483" s="493" t="s">
        <v>10989</v>
      </c>
      <c r="C483" s="495" t="s">
        <v>14385</v>
      </c>
    </row>
    <row r="484" spans="1:4" ht="21">
      <c r="A484" s="494" t="s">
        <v>10978</v>
      </c>
      <c r="B484" s="493" t="s">
        <v>10988</v>
      </c>
      <c r="C484" s="498" t="s">
        <v>10962</v>
      </c>
    </row>
    <row r="485" spans="1:4" ht="21">
      <c r="A485" s="494" t="s">
        <v>10978</v>
      </c>
      <c r="B485" s="493" t="s">
        <v>10987</v>
      </c>
      <c r="C485" s="496" t="s">
        <v>10962</v>
      </c>
    </row>
    <row r="486" spans="1:4" ht="21">
      <c r="A486" s="494" t="s">
        <v>10978</v>
      </c>
      <c r="B486" s="493" t="s">
        <v>10986</v>
      </c>
      <c r="C486" s="498" t="s">
        <v>10962</v>
      </c>
    </row>
    <row r="487" spans="1:4" ht="21">
      <c r="A487" s="494" t="s">
        <v>10978</v>
      </c>
      <c r="B487" s="493" t="s">
        <v>10985</v>
      </c>
      <c r="C487" s="495" t="s">
        <v>10962</v>
      </c>
      <c r="D487" s="491" t="s">
        <v>14386</v>
      </c>
    </row>
    <row r="488" spans="1:4" ht="21">
      <c r="A488" s="494" t="s">
        <v>10978</v>
      </c>
      <c r="B488" s="493" t="s">
        <v>10984</v>
      </c>
      <c r="C488" s="537" t="s">
        <v>10962</v>
      </c>
      <c r="D488" s="491" t="s">
        <v>14387</v>
      </c>
    </row>
    <row r="489" spans="1:4" ht="21">
      <c r="A489" s="494" t="s">
        <v>10978</v>
      </c>
      <c r="B489" s="493" t="s">
        <v>10983</v>
      </c>
      <c r="C489" s="495" t="s">
        <v>10962</v>
      </c>
      <c r="D489" s="491" t="s">
        <v>14391</v>
      </c>
    </row>
    <row r="490" spans="1:4" ht="21">
      <c r="A490" s="494" t="s">
        <v>10978</v>
      </c>
      <c r="B490" s="493" t="s">
        <v>10982</v>
      </c>
      <c r="C490" s="537" t="s">
        <v>14388</v>
      </c>
      <c r="D490" s="491" t="s">
        <v>14391</v>
      </c>
    </row>
    <row r="491" spans="1:4" ht="21">
      <c r="A491" s="494" t="s">
        <v>10978</v>
      </c>
      <c r="B491" s="493" t="s">
        <v>10981</v>
      </c>
      <c r="C491" s="537" t="s">
        <v>10962</v>
      </c>
      <c r="D491" s="491" t="s">
        <v>14389</v>
      </c>
    </row>
    <row r="492" spans="1:4" ht="21">
      <c r="A492" s="494" t="s">
        <v>10978</v>
      </c>
      <c r="B492" s="493" t="s">
        <v>10980</v>
      </c>
      <c r="C492" s="540" t="s">
        <v>14369</v>
      </c>
      <c r="D492" s="491" t="s">
        <v>14390</v>
      </c>
    </row>
    <row r="493" spans="1:4" ht="21">
      <c r="A493" s="494" t="s">
        <v>10978</v>
      </c>
      <c r="B493" s="493" t="s">
        <v>10979</v>
      </c>
      <c r="C493" s="576" t="s">
        <v>14367</v>
      </c>
      <c r="D493" s="491" t="s">
        <v>14368</v>
      </c>
    </row>
    <row r="494" spans="1:4" ht="21">
      <c r="A494" s="494" t="s">
        <v>10978</v>
      </c>
      <c r="B494" s="493" t="s">
        <v>10977</v>
      </c>
      <c r="C494" s="538" t="s">
        <v>10962</v>
      </c>
      <c r="D494" s="491" t="s">
        <v>14366</v>
      </c>
    </row>
    <row r="495" spans="1:4" ht="21">
      <c r="B495" s="499"/>
      <c r="C495" s="498"/>
    </row>
    <row r="496" spans="1:4" ht="21">
      <c r="A496" s="500"/>
      <c r="B496" s="499"/>
      <c r="C496" s="498"/>
    </row>
    <row r="497" spans="1:4" ht="21">
      <c r="A497" s="494" t="s">
        <v>10964</v>
      </c>
      <c r="B497" s="493" t="s">
        <v>10976</v>
      </c>
      <c r="C497" s="496" t="s">
        <v>10962</v>
      </c>
    </row>
    <row r="498" spans="1:4" ht="21">
      <c r="A498" s="494" t="s">
        <v>10964</v>
      </c>
      <c r="B498" s="493" t="s">
        <v>10975</v>
      </c>
      <c r="C498" s="496" t="s">
        <v>10962</v>
      </c>
    </row>
    <row r="499" spans="1:4" ht="21">
      <c r="A499" s="494" t="s">
        <v>10964</v>
      </c>
      <c r="B499" s="493" t="s">
        <v>10974</v>
      </c>
      <c r="C499" s="496" t="s">
        <v>10962</v>
      </c>
    </row>
    <row r="500" spans="1:4" ht="21">
      <c r="A500" s="494" t="s">
        <v>10964</v>
      </c>
      <c r="B500" s="493" t="s">
        <v>10973</v>
      </c>
      <c r="C500" s="497" t="s">
        <v>10962</v>
      </c>
      <c r="D500" s="491" t="s">
        <v>10972</v>
      </c>
    </row>
    <row r="501" spans="1:4" ht="21">
      <c r="A501" s="494" t="s">
        <v>10964</v>
      </c>
      <c r="B501" s="493" t="s">
        <v>10971</v>
      </c>
      <c r="C501" s="496" t="s">
        <v>10962</v>
      </c>
    </row>
    <row r="502" spans="1:4" ht="21">
      <c r="A502" s="494" t="s">
        <v>10964</v>
      </c>
      <c r="B502" s="493" t="s">
        <v>10970</v>
      </c>
      <c r="C502" s="496" t="s">
        <v>10962</v>
      </c>
    </row>
    <row r="503" spans="1:4" ht="21">
      <c r="A503" s="494" t="s">
        <v>10964</v>
      </c>
      <c r="B503" s="493" t="s">
        <v>10969</v>
      </c>
      <c r="C503" s="496" t="s">
        <v>10962</v>
      </c>
    </row>
    <row r="504" spans="1:4" ht="21">
      <c r="A504" s="494" t="s">
        <v>10964</v>
      </c>
      <c r="B504" s="493" t="s">
        <v>10968</v>
      </c>
      <c r="C504" s="495" t="s">
        <v>10962</v>
      </c>
      <c r="D504" s="491" t="s">
        <v>10967</v>
      </c>
    </row>
    <row r="505" spans="1:4" ht="21">
      <c r="A505" s="494" t="s">
        <v>10964</v>
      </c>
      <c r="B505" s="493" t="s">
        <v>10966</v>
      </c>
      <c r="C505" s="495" t="s">
        <v>10962</v>
      </c>
      <c r="D505" s="491" t="s">
        <v>10965</v>
      </c>
    </row>
    <row r="506" spans="1:4" ht="21">
      <c r="A506" s="494" t="s">
        <v>10964</v>
      </c>
      <c r="B506" s="493" t="s">
        <v>10963</v>
      </c>
      <c r="C506" s="492" t="s">
        <v>10962</v>
      </c>
    </row>
    <row r="512" spans="1:4">
      <c r="A512" s="491" t="s">
        <v>14432</v>
      </c>
    </row>
    <row r="513" spans="1:2">
      <c r="A513" s="491" t="s">
        <v>14452</v>
      </c>
      <c r="B513" s="491" t="s">
        <v>14453</v>
      </c>
    </row>
    <row r="515" spans="1:2">
      <c r="B515" s="491" t="s">
        <v>14901</v>
      </c>
    </row>
    <row r="522" spans="1:2">
      <c r="B522" s="491" t="s">
        <v>14916</v>
      </c>
    </row>
    <row r="524" spans="1:2">
      <c r="B524" s="491" t="s">
        <v>14917</v>
      </c>
    </row>
    <row r="525" spans="1:2">
      <c r="B525" s="491" t="s">
        <v>14918</v>
      </c>
    </row>
    <row r="526" spans="1:2">
      <c r="B526" s="491" t="s">
        <v>14922</v>
      </c>
    </row>
  </sheetData>
  <hyperlinks>
    <hyperlink ref="B6" r:id="rId1" xr:uid="{41DC6A66-6DB4-4DEE-A796-631FA27BC0FA}"/>
    <hyperlink ref="B7" r:id="rId2" xr:uid="{B23468CF-F1FF-40F6-AFE6-5484EF78D8E8}"/>
    <hyperlink ref="B9" r:id="rId3" xr:uid="{E24CEEE8-3821-479B-A8DE-A719AFFBB1C3}"/>
    <hyperlink ref="B10" r:id="rId4" xr:uid="{4E8D1E6D-58E3-418F-B434-403A27949B98}"/>
    <hyperlink ref="B11" r:id="rId5" xr:uid="{B5901D61-8103-4572-B22F-89868C73E251}"/>
    <hyperlink ref="B12" r:id="rId6" xr:uid="{79BC2ED7-25FC-4C79-8BB5-B462F4997B7B}"/>
    <hyperlink ref="B13" r:id="rId7" xr:uid="{FC3C2752-6A69-4994-A0B5-E82339EDE566}"/>
    <hyperlink ref="B14" r:id="rId8" xr:uid="{3C074266-19DD-4B92-A82A-F34D392E5FFA}"/>
    <hyperlink ref="B15" r:id="rId9" xr:uid="{66DC2121-2855-4542-95AB-AAA26A953860}"/>
    <hyperlink ref="B16" r:id="rId10" xr:uid="{3E0743F3-FAFA-4D1C-8366-D8BBD167A908}"/>
    <hyperlink ref="B17" r:id="rId11" xr:uid="{67981161-094B-4F05-BD67-6FF7E31F09EA}"/>
    <hyperlink ref="B18" r:id="rId12" xr:uid="{709BAC64-7DBB-4C68-B9CF-F0224A773C9F}"/>
    <hyperlink ref="B19" r:id="rId13" xr:uid="{DEB7DF5F-816D-4E8C-A7B0-847AE2659C29}"/>
    <hyperlink ref="B20" r:id="rId14" xr:uid="{1CB8D59D-5E7D-4CD0-8FA8-F9954F469DE6}"/>
    <hyperlink ref="B21" r:id="rId15" xr:uid="{903ADB7F-EEAF-40FD-9BD4-8AE0CE58409D}"/>
    <hyperlink ref="B22" r:id="rId16" xr:uid="{76FE6EA4-6BC2-4356-97B3-B4F3400B3664}"/>
    <hyperlink ref="B23" r:id="rId17" xr:uid="{7CD24841-EFE4-475E-B986-C26FC1F6ACDB}"/>
    <hyperlink ref="B24" r:id="rId18" xr:uid="{EB395463-85FA-4837-A408-A599CA58DDB7}"/>
    <hyperlink ref="B25" r:id="rId19" xr:uid="{11EF5C4F-8FE2-44ED-A9E7-D1BDDB096256}"/>
    <hyperlink ref="B26" r:id="rId20" xr:uid="{D6DB972D-671A-43CC-B2BF-D8E79469F4CB}"/>
    <hyperlink ref="B27" r:id="rId21" xr:uid="{5920CB4B-75BB-4168-B4B7-88EBAA101A55}"/>
    <hyperlink ref="B28" r:id="rId22" xr:uid="{CAF1FBB7-830E-4734-991D-037AAB85EC1B}"/>
    <hyperlink ref="B29" r:id="rId23" xr:uid="{94EE53D2-2510-4F06-903F-7FAFE20F65CB}"/>
    <hyperlink ref="B30" r:id="rId24" xr:uid="{00AFF2F0-6D9A-4FCB-AADE-5633D6AF426B}"/>
    <hyperlink ref="B31" r:id="rId25" xr:uid="{B7ED5376-ADE4-48FC-912F-E4AC95BD4EA4}"/>
    <hyperlink ref="B32" r:id="rId26" xr:uid="{B04507B3-7DA2-41DA-BB09-6B7B3E425ECE}"/>
    <hyperlink ref="B33" r:id="rId27" xr:uid="{AAB25893-5C30-4CD3-A763-2A067B2823A0}"/>
    <hyperlink ref="B34" r:id="rId28" xr:uid="{6DAB397C-00D3-4EC1-AF5E-5A98E41EFB4F}"/>
    <hyperlink ref="B35" r:id="rId29" xr:uid="{7B1A9DEE-AF48-4995-A2A2-29D6829FCDFA}"/>
    <hyperlink ref="B36" r:id="rId30" xr:uid="{859CEA97-EA9C-4E4B-9283-960BCD363B41}"/>
    <hyperlink ref="B37" r:id="rId31" xr:uid="{6D9BBD7E-B2F8-4A54-9C5D-F9A8933AE807}"/>
    <hyperlink ref="B38" r:id="rId32" xr:uid="{54C93EF8-9094-4DA4-AA3C-D7279325904A}"/>
    <hyperlink ref="B39" r:id="rId33" xr:uid="{AE4E807B-6D93-4FB8-B9FF-9F2FC2FE0165}"/>
    <hyperlink ref="B40" r:id="rId34" xr:uid="{93A7CE79-A5D8-49AE-8362-EB0D6EC6AB84}"/>
    <hyperlink ref="B41" r:id="rId35" xr:uid="{72218127-997D-4C18-B296-062D7AACD94C}"/>
    <hyperlink ref="B44" r:id="rId36" xr:uid="{EACB1ACA-0319-4CAF-9AE7-1BCCF186E32C}"/>
    <hyperlink ref="B45" r:id="rId37" xr:uid="{11DE3A1E-5970-43B3-8D5C-55EF9FA15C12}"/>
    <hyperlink ref="B46" r:id="rId38" xr:uid="{E9F33337-B9BC-4EE9-BB07-BBA9B3B0745B}"/>
    <hyperlink ref="B47" r:id="rId39" xr:uid="{83E6A14D-8ECD-463C-B09F-89EB6B7B2614}"/>
    <hyperlink ref="B48" r:id="rId40" xr:uid="{A5042660-B6A6-4CF8-9701-FC87EFF48FCD}"/>
    <hyperlink ref="B49" r:id="rId41" xr:uid="{CA8D26CB-F5BC-436B-99FB-1CD7C604A5D3}"/>
    <hyperlink ref="B50" r:id="rId42" xr:uid="{90C0E0F6-9766-4ED3-A884-D00D273072C8}"/>
    <hyperlink ref="B51" r:id="rId43" xr:uid="{2B8E881E-A5AD-4138-87FF-69E0BE2E9E59}"/>
    <hyperlink ref="B52" r:id="rId44" xr:uid="{5AB725F4-63D5-4E99-9E14-8A34DE47B2A0}"/>
    <hyperlink ref="B53" r:id="rId45" xr:uid="{8EF54CE2-8983-48B9-BB4B-EA3FB6FA1A16}"/>
    <hyperlink ref="B56" r:id="rId46" xr:uid="{ED52EB83-261F-4FAC-8851-5D53B64FDB07}"/>
    <hyperlink ref="B57" r:id="rId47" xr:uid="{23F5A13A-16B4-4F3E-9B5D-3FD66A8E7294}"/>
    <hyperlink ref="B58" r:id="rId48" xr:uid="{1E49F999-6E9D-4078-ABD3-27778F82A7D3}"/>
    <hyperlink ref="B60" r:id="rId49" xr:uid="{30DE1ECC-8960-4F2A-9907-25956E0FB036}"/>
    <hyperlink ref="B61" r:id="rId50" xr:uid="{06DE3F91-6A6C-457B-B7FA-C86AD46A761F}"/>
    <hyperlink ref="B62" r:id="rId51" xr:uid="{CAF6017E-E29F-4F7F-A769-730FEFA0E6B8}"/>
    <hyperlink ref="B63" r:id="rId52" xr:uid="{DC4C2372-5971-441A-B0C9-FB1A5AB29BEC}"/>
    <hyperlink ref="B64" r:id="rId53" xr:uid="{54A43CE1-7B47-4CB9-9EA5-59B65A5C5714}"/>
    <hyperlink ref="B65" r:id="rId54" xr:uid="{270226C0-7390-4A6D-B0C6-4F2E2122CB78}"/>
    <hyperlink ref="B66" r:id="rId55" xr:uid="{CF2C45A9-CC49-4E30-BAEF-8F2C0B7A4B79}"/>
    <hyperlink ref="B67" r:id="rId56" xr:uid="{22C6E4A4-B254-4F0B-8F8F-23B1055BF475}"/>
    <hyperlink ref="B68" r:id="rId57" xr:uid="{90C06586-96D7-4CC8-AFC3-CA5768527B5A}"/>
    <hyperlink ref="B69" r:id="rId58" xr:uid="{1091020D-298A-440C-BC37-71B0881FA32C}"/>
    <hyperlink ref="B70" r:id="rId59" xr:uid="{DE5831B7-D791-491C-BC0F-2608173C51EB}"/>
    <hyperlink ref="B71" r:id="rId60" xr:uid="{9C45045B-BC12-4F91-976F-10382474E074}"/>
    <hyperlink ref="B72" r:id="rId61" xr:uid="{6B8BB7F5-286A-4F5C-AE8F-E066788A7949}"/>
    <hyperlink ref="B73" r:id="rId62" xr:uid="{3FB66224-E21F-4BB0-A2B5-D439435EB584}"/>
    <hyperlink ref="B74" r:id="rId63" xr:uid="{54B82545-D0B5-435A-A834-FA57AA5FFB1B}"/>
    <hyperlink ref="B75" r:id="rId64" xr:uid="{113ED0FA-4D2C-427D-BBED-27A5E805AA3D}"/>
    <hyperlink ref="B76" r:id="rId65" xr:uid="{D00B2B67-4E59-46A1-82FA-4C908D3DEFDA}"/>
    <hyperlink ref="B77" r:id="rId66" xr:uid="{31D20BB0-004A-420C-BC54-CD39E7D64155}"/>
    <hyperlink ref="B78" r:id="rId67" xr:uid="{0BC090D3-4B48-4778-83B3-5EAC0CD4825B}"/>
    <hyperlink ref="B79" r:id="rId68" xr:uid="{1E27EDAE-62AF-4175-81B4-AA7F91668C03}"/>
    <hyperlink ref="B80" r:id="rId69" xr:uid="{2B78F4F1-E868-4D2D-82AC-3C0458A41D2B}"/>
    <hyperlink ref="B81" r:id="rId70" xr:uid="{96EED826-E16A-433E-8E05-D454EE5C0ECB}"/>
    <hyperlink ref="B82" r:id="rId71" xr:uid="{F27FF009-92AB-47F8-9EF8-E4FC108DEC98}"/>
    <hyperlink ref="B83" r:id="rId72" xr:uid="{C9A3D1FD-2CED-4458-94A7-9D7BA1581F85}"/>
    <hyperlink ref="B84" r:id="rId73" xr:uid="{27956EB3-10EB-4446-96A3-F18A55A59648}"/>
    <hyperlink ref="B85" r:id="rId74" xr:uid="{8889B644-1C6A-464D-A97E-9E45421A0C6E}"/>
    <hyperlink ref="B86" r:id="rId75" xr:uid="{99D70455-A627-4125-967B-35B47AA6B0A6}"/>
    <hyperlink ref="B87" r:id="rId76" xr:uid="{F50D75D9-5B91-4253-90F8-6166F50EFD79}"/>
    <hyperlink ref="B88" r:id="rId77" xr:uid="{C5EA4430-6160-470C-AA56-3E88E2C8C51E}"/>
    <hyperlink ref="B89" r:id="rId78" xr:uid="{23842AE9-981F-44BC-9788-8655902649AB}"/>
    <hyperlink ref="B90" r:id="rId79" xr:uid="{B024AFA7-7FB3-4563-ABB5-FDE3E3566B2A}"/>
    <hyperlink ref="B91" r:id="rId80" xr:uid="{675D1CB4-0D07-474A-9741-46BB26767BDB}"/>
    <hyperlink ref="B92" r:id="rId81" xr:uid="{14AE985F-2660-4CD6-ABF9-FC60E980E307}"/>
    <hyperlink ref="B93" r:id="rId82" xr:uid="{8BF5EBAD-E600-4656-8266-F5D767BE072A}"/>
    <hyperlink ref="B94" r:id="rId83" xr:uid="{65B4EA13-525C-4E21-86F3-CC636EF03E68}"/>
    <hyperlink ref="B95" r:id="rId84" xr:uid="{0EEBED7F-605E-4DD8-83FC-B8266089EF64}"/>
    <hyperlink ref="B96" r:id="rId85" xr:uid="{FD221D2F-B46F-48A5-9D19-30FE9A136FC6}"/>
    <hyperlink ref="B97" r:id="rId86" xr:uid="{879E1030-87DD-4BA5-98B5-E34AA3B9F11E}"/>
    <hyperlink ref="B98" r:id="rId87" xr:uid="{FBEA98D0-ED63-4CC3-90E2-9241E051EDAF}"/>
    <hyperlink ref="B101" r:id="rId88" xr:uid="{40764234-0B6C-4EE6-B413-34227EDB5D51}"/>
    <hyperlink ref="B102" r:id="rId89" xr:uid="{A23561D8-1653-43AD-92E3-C575CFC67887}"/>
    <hyperlink ref="B103" r:id="rId90" xr:uid="{E5866CCA-EECB-45F5-9428-6ADCF3F8DD54}"/>
    <hyperlink ref="B104" r:id="rId91" xr:uid="{B29C7693-EF5A-4AB3-8B9A-EE08892FD3EA}"/>
    <hyperlink ref="B106" r:id="rId92" location=":~:text=We%20need%20to%20find%20a,set%20of%20points%20is%20minimum.&amp;text=In%20above%20figure%20optimum%20location,is%20minimum%20obtainable%20total%20distance." xr:uid="{9AD79DFC-9831-4F87-B3D4-41F709D30302}"/>
    <hyperlink ref="B107" r:id="rId93" xr:uid="{3F1DC7E6-DD62-4890-A7D7-6FE05A51D0E3}"/>
    <hyperlink ref="B108" r:id="rId94" xr:uid="{51E64285-7073-4FE9-A28E-F70ED2876B01}"/>
    <hyperlink ref="B109" r:id="rId95" xr:uid="{48E05F08-AA92-48C0-90EF-9D3EAA07D3FF}"/>
    <hyperlink ref="B110" r:id="rId96" xr:uid="{69CEB581-ECF9-4D43-BE47-4F282E18536E}"/>
    <hyperlink ref="B111" r:id="rId97" xr:uid="{6D3B9F91-190F-48D5-87CD-B93B75DFBA40}"/>
    <hyperlink ref="B113" r:id="rId98" xr:uid="{F5ACAF48-54B3-40E8-9EBF-1CC6B6C4EE5B}"/>
    <hyperlink ref="B114" r:id="rId99" xr:uid="{5E2D25F0-0CFB-4510-A7B3-09CB2D98646E}"/>
    <hyperlink ref="B115" r:id="rId100" xr:uid="{A96C3171-9E82-4FA3-9EB0-D6A22FB4A860}"/>
    <hyperlink ref="B116" r:id="rId101" xr:uid="{5E5B026E-65B2-45D3-81BA-EFEBF1FA7202}"/>
    <hyperlink ref="B117" r:id="rId102" xr:uid="{A23B600A-406E-4775-837C-FB78F23885B4}"/>
    <hyperlink ref="B118" r:id="rId103" xr:uid="{1084F6AC-45D2-4C48-B4DD-30B7F030EF3B}"/>
    <hyperlink ref="B119" r:id="rId104" xr:uid="{EE218C56-F2CD-497B-8EA0-7198BB0F37A9}"/>
    <hyperlink ref="B120" r:id="rId105" xr:uid="{B5CC20C9-A290-4665-B803-6BFAA2199433}"/>
    <hyperlink ref="B121" r:id="rId106" xr:uid="{569D5D97-832B-49FC-9FE8-DDB23EF37708}"/>
    <hyperlink ref="B122" r:id="rId107" xr:uid="{C6D74B61-280B-4287-BA8D-69B3B773FE69}"/>
    <hyperlink ref="B123" r:id="rId108" xr:uid="{AEDC11BE-23B1-4C4A-91EC-8E70A8773482}"/>
    <hyperlink ref="B124" r:id="rId109" xr:uid="{79215330-3671-426D-848B-7962E0CF1A93}"/>
    <hyperlink ref="B125" r:id="rId110" xr:uid="{510172D9-8944-4B15-9366-3338841121F9}"/>
    <hyperlink ref="B126" r:id="rId111" xr:uid="{808AD0CC-41D6-48A9-BEAE-3CD9A58863B7}"/>
    <hyperlink ref="B127" r:id="rId112" xr:uid="{BF4CC523-9B16-4899-817F-A86A6F591995}"/>
    <hyperlink ref="B128" r:id="rId113" xr:uid="{9A1D69E0-B5B2-4EEB-9661-E5A7EF8D727E}"/>
    <hyperlink ref="B129" r:id="rId114" xr:uid="{2C42F676-4EC2-4020-B0B6-0BBFC08D62F3}"/>
    <hyperlink ref="B130" r:id="rId115" xr:uid="{9418BB55-ACAC-4CBB-829F-190CD3178AAC}"/>
    <hyperlink ref="B131" r:id="rId116" xr:uid="{FC8ADD76-AF18-44A4-BEB7-646DB64FE935}"/>
    <hyperlink ref="B132" r:id="rId117" xr:uid="{EFAF8901-C90A-471B-BB11-4748380024FC}"/>
    <hyperlink ref="B133" r:id="rId118" xr:uid="{BA7FD0E3-255F-4021-9CA1-EF9330FCE2F0}"/>
    <hyperlink ref="B134" r:id="rId119" xr:uid="{00168FF0-AC80-4687-854C-0AF09E345A20}"/>
    <hyperlink ref="B135" r:id="rId120" xr:uid="{30E8C289-3075-4D52-9617-A93FB6F63173}"/>
    <hyperlink ref="B136" r:id="rId121" xr:uid="{655DA7F9-1785-4485-987C-9586629EAF43}"/>
    <hyperlink ref="B105" r:id="rId122" xr:uid="{AC587E8F-D336-4321-B921-F28D33060D1E}"/>
    <hyperlink ref="B112" r:id="rId123" xr:uid="{727366E3-A044-415D-912E-F8C1E6540101}"/>
    <hyperlink ref="B139" r:id="rId124" xr:uid="{83976903-F607-4A3B-94B4-7137DC324286}"/>
    <hyperlink ref="B140" r:id="rId125" xr:uid="{7BF5BEF9-35A6-46F5-B990-5BBB75A9D359}"/>
    <hyperlink ref="B141" r:id="rId126" xr:uid="{51F52631-F025-4EF6-8536-669B7FB1BB71}"/>
    <hyperlink ref="B142" r:id="rId127" xr:uid="{5F44721C-2D7C-4F39-A880-DA18682E98E8}"/>
    <hyperlink ref="B143" r:id="rId128" xr:uid="{E1C9D1B8-6B51-4B52-A819-87D99C1C4B11}"/>
    <hyperlink ref="B144" r:id="rId129" xr:uid="{3772A328-BE6A-4109-B0F4-CEE9B8740788}"/>
    <hyperlink ref="B145" r:id="rId130" xr:uid="{29D18135-5919-42BA-9087-B2862A8F0506}"/>
    <hyperlink ref="B146" r:id="rId131" xr:uid="{5E0BE7CE-2D98-4E0B-AE76-A5A123FA2FB7}"/>
    <hyperlink ref="B147" r:id="rId132" xr:uid="{4BFE56F9-E00D-47A3-84C2-1A972B46B603}"/>
    <hyperlink ref="B148" r:id="rId133" xr:uid="{66AE3C36-1709-4B68-8E80-2DD21BF25FDF}"/>
    <hyperlink ref="B149" r:id="rId134" xr:uid="{AC81DFC3-10C1-4FB3-9710-5D62C3271387}"/>
    <hyperlink ref="B150" r:id="rId135" xr:uid="{5B789064-9ADC-455A-9350-7C6F0C6EA2EE}"/>
    <hyperlink ref="B151" r:id="rId136" xr:uid="{273E817F-A1D6-4321-A364-ABBF76F34BBA}"/>
    <hyperlink ref="B152" r:id="rId137" xr:uid="{CA7246D8-AFAE-4673-AFB0-1EF4592F2442}"/>
    <hyperlink ref="B153" r:id="rId138" xr:uid="{1FAC6781-2DF3-4E07-912B-AA6B5DBC8BCA}"/>
    <hyperlink ref="B154" r:id="rId139" xr:uid="{5AE6EC9A-0C8D-4C63-808F-2F23AB11EF35}"/>
    <hyperlink ref="B155" r:id="rId140" xr:uid="{BDDEC44E-F208-4EB7-9FE0-10B773EE9D98}"/>
    <hyperlink ref="B156" r:id="rId141" xr:uid="{58868BE5-8725-470E-9433-5D5B8DAB26C6}"/>
    <hyperlink ref="B157" r:id="rId142" xr:uid="{31C3658D-2ECD-4A04-8D40-4417A13F15DB}"/>
    <hyperlink ref="B158" r:id="rId143" xr:uid="{2CD6A4F1-6916-42C1-87F3-8683615288B5}"/>
    <hyperlink ref="B159" r:id="rId144" xr:uid="{5D9226E7-67B4-402C-A1C8-8B511EE7FA97}"/>
    <hyperlink ref="B160" r:id="rId145" xr:uid="{08EDE559-79DE-4348-BDE3-92E2E99A3823}"/>
    <hyperlink ref="B161" r:id="rId146" xr:uid="{DF4C3E5E-C464-4BEF-8486-54631959AEE6}"/>
    <hyperlink ref="B162" r:id="rId147" xr:uid="{98E4A71C-7813-4B28-A452-55D78E8ED732}"/>
    <hyperlink ref="B163" r:id="rId148" xr:uid="{FB113046-3B38-49BF-89EC-2B095A385368}"/>
    <hyperlink ref="B166" r:id="rId149" xr:uid="{8551BE9A-4631-48FA-994C-B7AA5B8FEA1F}"/>
    <hyperlink ref="B167" r:id="rId150" xr:uid="{34A0F7A8-667E-4852-9A21-E677CCE2A09B}"/>
    <hyperlink ref="B168" r:id="rId151" xr:uid="{2CE51CE5-B4DF-42CF-B99A-9E4695E7C7E4}"/>
    <hyperlink ref="B169" r:id="rId152" xr:uid="{0AFF0D5B-4232-4D7F-8C9C-ADBCD9D6109A}"/>
    <hyperlink ref="B170" r:id="rId153" xr:uid="{83764F5A-021F-4C96-8F00-B2D44146700B}"/>
    <hyperlink ref="B171" r:id="rId154" xr:uid="{D2F8752D-DD76-4144-8A8E-23AD0D88F48D}"/>
    <hyperlink ref="B172" r:id="rId155" xr:uid="{E69EA027-28EA-421D-8C73-564BCEBB1D4B}"/>
    <hyperlink ref="B173" r:id="rId156" xr:uid="{315C735D-931D-4CD3-95CD-794220B45433}"/>
    <hyperlink ref="B174" r:id="rId157" xr:uid="{88A3EBC9-855B-4725-800D-7936A1ECFB23}"/>
    <hyperlink ref="B194" r:id="rId158" xr:uid="{E3E3F1A3-5C76-4A35-BEC9-3CD661F0DA41}"/>
    <hyperlink ref="B195" r:id="rId159" xr:uid="{4EC3A0CC-89F8-4D9A-957F-B0A8140CAA0B}"/>
    <hyperlink ref="B196" r:id="rId160" xr:uid="{57D05014-2E9A-4E54-8C22-35FD6F8AB819}"/>
    <hyperlink ref="B197" r:id="rId161" xr:uid="{E63FCACA-2036-4E7C-A58A-5EA18B55AE42}"/>
    <hyperlink ref="B198" r:id="rId162" xr:uid="{4605120A-47E1-4D63-8C8F-96CD356FF8D7}"/>
    <hyperlink ref="B199" r:id="rId163" xr:uid="{B3ADF7F7-9FD2-46BF-BD4F-ACD173751715}"/>
    <hyperlink ref="B200" r:id="rId164" xr:uid="{040C345E-CD48-4850-8A0E-9E337BE82870}"/>
    <hyperlink ref="B201" r:id="rId165" xr:uid="{505D5699-64AA-442E-A0D8-07C282866839}"/>
    <hyperlink ref="B202" r:id="rId166" xr:uid="{8B1F1478-163C-4544-9062-0344A20887F3}"/>
    <hyperlink ref="B203" r:id="rId167" xr:uid="{2FC472DD-7AED-4A4F-BF1C-F2C3E72BAFD6}"/>
    <hyperlink ref="B204" r:id="rId168" xr:uid="{36A324C2-40A1-46EF-A885-C5E3B449EE20}"/>
    <hyperlink ref="B205" r:id="rId169" xr:uid="{9773B015-479A-4382-B7A4-7AE6E484CBAE}"/>
    <hyperlink ref="B206" r:id="rId170" xr:uid="{AA2F0CFC-49DF-4724-B9FE-3737C9D356BC}"/>
    <hyperlink ref="B207" r:id="rId171" xr:uid="{2864129C-7A2F-46EC-A0C7-92D671B165D0}"/>
    <hyperlink ref="B208" r:id="rId172" xr:uid="{2F75B796-18B8-4AF4-A61D-B240B1A07AEA}"/>
    <hyperlink ref="B209" r:id="rId173" xr:uid="{C9E6E361-CC46-4372-903B-3212FA94C413}"/>
    <hyperlink ref="B210" r:id="rId174" xr:uid="{852B2792-A33D-4BE8-8E4E-4A3EFE70D2B5}"/>
    <hyperlink ref="B211" r:id="rId175" xr:uid="{AA3FF91F-B746-4782-98E8-2E75219B400A}"/>
    <hyperlink ref="B212" r:id="rId176" xr:uid="{544458A4-2DA1-4204-B3A2-1F604B71FB28}"/>
    <hyperlink ref="B213" r:id="rId177" xr:uid="{89ED05FB-E990-4119-B931-D31A860C929F}"/>
    <hyperlink ref="B214" r:id="rId178" location=":~:text=Given%20the%20array%20representation%20of,it%20into%20Binary%20Search%20Tree.&amp;text=Swap%201%3A%20Swap%20node%208,node%209%20with%20node%2010." xr:uid="{DCD279FB-4BE7-4A47-BF62-5732D1201951}"/>
    <hyperlink ref="B215" r:id="rId179" xr:uid="{97464D5F-304A-46EF-9FD8-821B097330A9}"/>
    <hyperlink ref="B216" r:id="rId180" xr:uid="{391B7C0E-D742-4125-B08B-5235959C6BBC}"/>
    <hyperlink ref="B217" r:id="rId181" xr:uid="{6AB84A15-5C42-4E92-9681-6D679654EFD8}"/>
    <hyperlink ref="B218" r:id="rId182" xr:uid="{E85638A7-3EBF-4C8C-A4AF-A7E0A73CCF20}"/>
    <hyperlink ref="B219" r:id="rId183" xr:uid="{9BCCA3B3-E4AA-43BF-A9AB-FD3C5A93B24E}"/>
    <hyperlink ref="B220" r:id="rId184" location=":~:text=Since%20the%20graph%20is%20undirected,graph%20is%20connected%2C%20otherwise%20not." xr:uid="{86BFB895-5DF2-4979-A443-76935DFA75AD}"/>
    <hyperlink ref="B221" r:id="rId185" xr:uid="{EB378953-94E1-4C15-B92D-849FB5F68CF1}"/>
    <hyperlink ref="B222" r:id="rId186" xr:uid="{D2CBB665-2FA8-4CB1-84FA-AEAF2F393DE4}"/>
    <hyperlink ref="B223" r:id="rId187" xr:uid="{7C5A637E-B681-4251-9C20-835A0C70AC74}"/>
    <hyperlink ref="B225" r:id="rId188" xr:uid="{0141775A-1D87-4E61-B59C-2C2150CCDE58}"/>
    <hyperlink ref="B226" r:id="rId189" xr:uid="{A119CA5F-ACB5-4A74-957A-0DE05FB66E68}"/>
    <hyperlink ref="B227" r:id="rId190" xr:uid="{5FD74D2B-37C1-4D71-B16F-070E337AD93C}"/>
    <hyperlink ref="B228" r:id="rId191" xr:uid="{4ABD8732-1AC5-490A-877C-D20266DB7787}"/>
    <hyperlink ref="B231" r:id="rId192" xr:uid="{EFBC745D-50A0-43DE-9D59-F81FA16AD940}"/>
    <hyperlink ref="B232" r:id="rId193" xr:uid="{86EE9A02-2E88-45F0-A335-3B6BACE98DA6}"/>
    <hyperlink ref="B233" r:id="rId194" xr:uid="{DC03D951-A1E4-4231-AC01-9BA8C981C7C8}"/>
    <hyperlink ref="B234" r:id="rId195" xr:uid="{F60BF3E1-4950-4D91-AADA-C3A96C8606CA}"/>
    <hyperlink ref="B235" r:id="rId196" xr:uid="{50725495-DDF8-4FED-B55E-E9898F5D33CC}"/>
    <hyperlink ref="B236" r:id="rId197" xr:uid="{EFAAF64A-9AB3-4F73-9BA1-FE5B18976DDD}"/>
    <hyperlink ref="B237" r:id="rId198" xr:uid="{33969D30-2F03-41BD-912A-D2C85B44AF32}"/>
    <hyperlink ref="B238" r:id="rId199" xr:uid="{C7E09EC4-DAB5-439C-BC21-4B42CE058886}"/>
    <hyperlink ref="B239" r:id="rId200" xr:uid="{14282229-9D5F-4D30-99F1-934B03086020}"/>
    <hyperlink ref="B240" r:id="rId201" xr:uid="{73D54465-3727-4AA2-9BF0-C2BD14CD3395}"/>
    <hyperlink ref="B241" r:id="rId202" xr:uid="{AED3BB5A-6254-4862-B112-B5EC2213DCD7}"/>
    <hyperlink ref="B242" r:id="rId203" xr:uid="{BBAEAC88-5847-42DE-B424-94B85200E438}"/>
    <hyperlink ref="B243" r:id="rId204" xr:uid="{48135CFC-1802-448B-801D-1B09CEBDD71C}"/>
    <hyperlink ref="B244" r:id="rId205" xr:uid="{738CD614-7EAC-43DA-91EE-992DC7320416}"/>
    <hyperlink ref="B245" r:id="rId206" xr:uid="{2539BA60-9861-491B-8764-474DC4B84B3D}"/>
    <hyperlink ref="B246" r:id="rId207" xr:uid="{3A332AD3-72BF-4E7E-8956-A97B62B25542}"/>
    <hyperlink ref="B247" r:id="rId208" xr:uid="{6023FDE7-47B0-4E64-B7AF-2886F8F92BC1}"/>
    <hyperlink ref="B248" r:id="rId209" xr:uid="{EEBD9525-3C8C-4D19-83BE-D1D05328145E}"/>
    <hyperlink ref="B249" r:id="rId210" xr:uid="{0C946D5D-7D63-4108-8287-53CD2409B325}"/>
    <hyperlink ref="B250" r:id="rId211" xr:uid="{34C992E2-AC74-44A8-A7BE-A7574B6FDA41}"/>
    <hyperlink ref="B251" r:id="rId212" xr:uid="{AA85F82C-8F74-47F9-AF87-69F55E3B5218}"/>
    <hyperlink ref="B252" r:id="rId213" xr:uid="{368AD7B2-88CF-4408-BE83-3D29643898BE}"/>
    <hyperlink ref="B272" r:id="rId214" xr:uid="{BAC40BE6-48A8-44ED-99CD-348C9AA8DFEE}"/>
    <hyperlink ref="B273" r:id="rId215" xr:uid="{091CD04B-B572-4E3B-9CC4-145E71CF2720}"/>
    <hyperlink ref="B274" r:id="rId216" xr:uid="{FAEE5109-5BB2-45E7-9EED-B1BA16A3B9C2}"/>
    <hyperlink ref="B275" r:id="rId217" xr:uid="{B608B3DF-92A2-473B-82CC-7D491796B168}"/>
    <hyperlink ref="B276" r:id="rId218" xr:uid="{24DF8514-6135-4E7A-A1BF-73F5A3011B76}"/>
    <hyperlink ref="B277" r:id="rId219" xr:uid="{A4D2B470-616A-45CA-ADCD-2EC4208A13CC}"/>
    <hyperlink ref="B278" r:id="rId220" xr:uid="{162B34B6-4C27-431E-A84C-C51C4A327420}"/>
    <hyperlink ref="B279" r:id="rId221" xr:uid="{6B089D75-A75D-4098-837C-275BC8992645}"/>
    <hyperlink ref="B280" r:id="rId222" xr:uid="{96B2D02F-37A5-492F-8370-5B97365F913F}"/>
    <hyperlink ref="B281" r:id="rId223" xr:uid="{889AD785-B234-4817-8F14-57180A8D22B3}"/>
    <hyperlink ref="B282" r:id="rId224" location=":~:text=It%20consists%20of%20two%20steps,result%20to%20the%20sum%20S." xr:uid="{BC395869-D6B6-4652-BCFD-921388D17FB5}"/>
    <hyperlink ref="B283" r:id="rId225" xr:uid="{C3C2C6F7-C85C-4A8E-86D8-C821E42CC736}"/>
    <hyperlink ref="B284" r:id="rId226" xr:uid="{9E597252-6CC1-4A43-8E75-F67F2595ADD3}"/>
    <hyperlink ref="B285" r:id="rId227" xr:uid="{BD4B8009-FB17-4CD6-B60D-0E0467ADF8F9}"/>
    <hyperlink ref="B286" r:id="rId228" xr:uid="{2F71809D-4DE6-46E2-B46C-99A6FB941FFB}"/>
    <hyperlink ref="B287" r:id="rId229" xr:uid="{E3844F8A-23B1-425C-B00F-9BEE751C6DD7}"/>
    <hyperlink ref="B288" r:id="rId230" xr:uid="{8A418D42-A96F-44F1-A532-DC45C16E4F6D}"/>
    <hyperlink ref="B289" r:id="rId231" xr:uid="{3A5877FA-C7DB-4A6B-9E21-6EDF7217A5BE}"/>
    <hyperlink ref="B290" r:id="rId232" xr:uid="{0E0A90B6-8CCD-4811-81C0-E234BB0D1487}"/>
    <hyperlink ref="B291" r:id="rId233" xr:uid="{10CBF241-8E9F-4568-A08A-119C35A508A5}"/>
    <hyperlink ref="B292" r:id="rId234" xr:uid="{9A9FAA62-4E8F-4E40-B680-515B96586904}"/>
    <hyperlink ref="B293" r:id="rId235" xr:uid="{A7BE0A1D-ED12-4439-A268-81A23A61B7B6}"/>
    <hyperlink ref="B294" r:id="rId236" xr:uid="{C520B97F-BBB9-47D2-B927-CCCE6821B7B7}"/>
    <hyperlink ref="B295" r:id="rId237" xr:uid="{D25CD751-B32D-4E03-A38B-09304EBC9CEB}"/>
    <hyperlink ref="B296" r:id="rId238" xr:uid="{0526E9B1-0B8E-4B34-A50E-5FF38AD000BA}"/>
    <hyperlink ref="B297" r:id="rId239" xr:uid="{0FD48AE4-3C54-4B37-AFF4-678E919C4256}"/>
    <hyperlink ref="B300" r:id="rId240" xr:uid="{1BFA5E5F-22C0-4F4D-8505-46E45ACBA461}"/>
    <hyperlink ref="B301" r:id="rId241" xr:uid="{720CA15C-2240-497D-A2E3-338E0155823E}"/>
    <hyperlink ref="B302" r:id="rId242" xr:uid="{DA337E65-F9F0-4140-8893-552E4B099E62}"/>
    <hyperlink ref="B303" r:id="rId243" xr:uid="{5308C6FC-E844-402E-B50B-D3B603117528}"/>
    <hyperlink ref="B304" r:id="rId244" xr:uid="{0D1C74E9-71CF-4CEB-B726-940B4439D74C}"/>
    <hyperlink ref="B305" r:id="rId245" xr:uid="{145302E9-47EA-4621-B7C3-0531F7D062C3}"/>
    <hyperlink ref="B306" r:id="rId246" xr:uid="{BEDBF520-11FC-493C-A7C4-45E9127A4DFB}"/>
    <hyperlink ref="B307" r:id="rId247" xr:uid="{4758FDAF-9C58-42E7-B2ED-2AF357ADF3B6}"/>
    <hyperlink ref="B308" r:id="rId248" xr:uid="{44A6ADBE-54AB-4E25-9697-4F6EAF5140C6}"/>
    <hyperlink ref="B309" r:id="rId249" xr:uid="{B3368305-8CF5-4E9C-8497-9B2A670D32FB}"/>
    <hyperlink ref="B310" r:id="rId250" xr:uid="{4383015D-7A36-42FB-8904-137FB11624E6}"/>
    <hyperlink ref="B311" r:id="rId251" xr:uid="{BF2369DD-167A-43D9-BA5E-40DDC57AC795}"/>
    <hyperlink ref="B312" r:id="rId252" xr:uid="{E2D27FDC-CB9A-4B3A-86CB-89A08043D50E}"/>
    <hyperlink ref="B313" r:id="rId253" xr:uid="{B5190375-FD01-4E42-8328-F715FD424634}"/>
    <hyperlink ref="B314" r:id="rId254" xr:uid="{2F70E284-9AF5-43AB-9E76-5C18100F7F77}"/>
    <hyperlink ref="B315" r:id="rId255" xr:uid="{AAC04017-4E67-4C9D-9528-81C79417B9D7}"/>
    <hyperlink ref="B316" r:id="rId256" xr:uid="{0E14650F-9FD9-4E8E-9C30-485E405D383A}"/>
    <hyperlink ref="B317" r:id="rId257" xr:uid="{0F28AFF4-98F6-40B6-9ADF-5B23FF4006A1}"/>
    <hyperlink ref="B318" r:id="rId258" xr:uid="{222983C1-14D8-4E3C-B357-6DF6F74F9914}"/>
    <hyperlink ref="B321" r:id="rId259" xr:uid="{F1864B0F-3B28-4000-A540-BA0C44AF3DD6}"/>
    <hyperlink ref="B322" r:id="rId260" xr:uid="{4F2F0A14-40FF-4731-8F99-BA16406916EB}"/>
    <hyperlink ref="B323" r:id="rId261" xr:uid="{B2EE536C-7279-41E3-B829-3FA59568657D}"/>
    <hyperlink ref="B324" r:id="rId262" xr:uid="{926FB51F-B583-44FF-A37A-5A6832FB563E}"/>
    <hyperlink ref="B325" r:id="rId263" xr:uid="{6FEB63C1-60F1-4A99-9BFB-E52A6995F3DF}"/>
    <hyperlink ref="B326" r:id="rId264" xr:uid="{49A47345-9A37-45D8-80FE-2FF890CC258A}"/>
    <hyperlink ref="B327" r:id="rId265" xr:uid="{60E35DE7-71B4-481B-BE5F-50A19FE9E8AB}"/>
    <hyperlink ref="B328" r:id="rId266" xr:uid="{A6C57656-8C7B-4AE6-A25C-E840B5BD3ADD}"/>
    <hyperlink ref="B329" r:id="rId267" xr:uid="{B4106CB6-15B6-4B0F-9409-5A439E84D6B4}"/>
    <hyperlink ref="B330" r:id="rId268" xr:uid="{D7831B96-48F3-4B20-9FC9-445D99ACB502}"/>
    <hyperlink ref="B331" r:id="rId269" location=":~:text=The%20stack%20organization%20is%20very,i.e.%2C%20A%20%2B%20B)." xr:uid="{E605AD49-49A1-4000-8A2C-93980EA50BC4}"/>
    <hyperlink ref="B332" r:id="rId270" xr:uid="{8C1CA97C-6F9D-4241-B78E-C2AB54B3C823}"/>
    <hyperlink ref="B333" r:id="rId271" xr:uid="{3FA20C44-1DF6-42D6-916B-9006031E7A60}"/>
    <hyperlink ref="B334" r:id="rId272" xr:uid="{1A489BC0-51C7-4EFF-A2C2-A5EFE702F505}"/>
    <hyperlink ref="B335" r:id="rId273" xr:uid="{E01747A2-D685-42AC-BC9C-AD2B5EECE629}"/>
    <hyperlink ref="B336" r:id="rId274" xr:uid="{0B9768F4-ECFF-42BD-AD24-98602FBD6EBD}"/>
    <hyperlink ref="B337" r:id="rId275" xr:uid="{3990D7E8-3552-4D0D-88D9-5C726A73B264}"/>
    <hyperlink ref="B338" r:id="rId276" xr:uid="{37857EF1-DD8A-4016-BB51-D4790CDD0E6E}"/>
    <hyperlink ref="B339" r:id="rId277" xr:uid="{9F60BD7F-BE90-4951-8D0D-3A6FE2E82891}"/>
    <hyperlink ref="B340" r:id="rId278" xr:uid="{4AD3A3D1-95A4-4DB4-9D92-53D7108EC0F0}"/>
    <hyperlink ref="B341" r:id="rId279" xr:uid="{00004BA3-4378-4E8D-BB27-04B687A92CF3}"/>
    <hyperlink ref="B342" r:id="rId280" xr:uid="{831299EB-4DF0-4E42-B642-0E8E5C7A7E98}"/>
    <hyperlink ref="B343" r:id="rId281" xr:uid="{27705F7E-1C53-4A5D-8270-8C2A32E50FB3}"/>
    <hyperlink ref="B344" r:id="rId282" xr:uid="{8FEBC1BD-1148-466D-965F-48BD65FCAF5A}"/>
    <hyperlink ref="B345" r:id="rId283" xr:uid="{4EE0CBBC-71B7-42CD-A851-9D1BA8D11683}"/>
    <hyperlink ref="B346" r:id="rId284" xr:uid="{51110207-C072-4912-8880-A84587B760D3}"/>
    <hyperlink ref="B347" r:id="rId285" xr:uid="{AE5AEAB9-6757-495A-819B-3F5941BA9911}"/>
    <hyperlink ref="B348" r:id="rId286" xr:uid="{32A2E26D-8118-4EF9-89B7-386002786873}"/>
    <hyperlink ref="B349" r:id="rId287" xr:uid="{22EBBDD1-D22D-4697-B2B5-B65CB2C3708C}"/>
    <hyperlink ref="B350" r:id="rId288" xr:uid="{349BDE52-D2F2-4900-AF55-C4A9C309611D}"/>
    <hyperlink ref="B351" r:id="rId289" xr:uid="{F7185FCE-1F08-4F6D-ADE8-D6C860D7AF55}"/>
    <hyperlink ref="B352" r:id="rId290" xr:uid="{9CAF95B4-7628-4DEC-830D-C23E2276AF0E}"/>
    <hyperlink ref="B353" r:id="rId291" xr:uid="{1990DE9C-38BF-4684-8A30-087A8FC01F77}"/>
    <hyperlink ref="B354" r:id="rId292" xr:uid="{ED461880-294E-4D62-A851-9F86A0739E00}"/>
    <hyperlink ref="B355" r:id="rId293" xr:uid="{6D713F47-A9F6-4F3E-B580-EC8A99BB3AF5}"/>
    <hyperlink ref="B356" r:id="rId294" xr:uid="{60A3C601-9E39-4ACD-B3BC-A29082DC81F5}"/>
    <hyperlink ref="B357" r:id="rId295" xr:uid="{FE379421-2FE2-4492-8E37-9771A57DBF43}"/>
    <hyperlink ref="B358" r:id="rId296" xr:uid="{32AF0550-C99B-407B-A911-53B6BE0F51AF}"/>
    <hyperlink ref="B361" r:id="rId297" xr:uid="{D4DDEC1A-7620-429A-BD58-E67014E2D8E9}"/>
    <hyperlink ref="B362" r:id="rId298" xr:uid="{22DF3774-E7D5-4A34-BB29-2BF6B0AC68D9}"/>
    <hyperlink ref="B363" r:id="rId299" xr:uid="{7358A66D-5497-4BFD-98D9-A4007FF1498C}"/>
    <hyperlink ref="B364" r:id="rId300" xr:uid="{98CDFF64-4C61-4F21-9D7E-AB30ED2FFA0C}"/>
    <hyperlink ref="B365" r:id="rId301" xr:uid="{B36C504A-7CC8-48DF-8B1D-DC79E89A8C61}"/>
    <hyperlink ref="B366" r:id="rId302" xr:uid="{9DA6014B-784F-49F6-8639-C5D25B8A4A8F}"/>
    <hyperlink ref="B367" r:id="rId303" xr:uid="{2E117EDF-AE07-4C1A-A389-21190DD728EB}"/>
    <hyperlink ref="B368" r:id="rId304" xr:uid="{D1B57140-83EB-45B4-B21B-F27D453ADD75}"/>
    <hyperlink ref="B369" r:id="rId305" xr:uid="{E178F3D1-DA6D-4B32-B674-2DF6ED504C77}"/>
    <hyperlink ref="B370" r:id="rId306" xr:uid="{569C9D2E-7986-468C-A579-204B5B52CD52}"/>
    <hyperlink ref="B371" r:id="rId307" xr:uid="{37D77DB3-FDD8-4874-97A3-FDF37D893C4A}"/>
    <hyperlink ref="B372" r:id="rId308" xr:uid="{A48BEE63-70C8-4194-84AD-5D78E9CE38CE}"/>
    <hyperlink ref="B373" r:id="rId309" xr:uid="{4F8D5B34-A96B-461B-8518-7008BB49FD93}"/>
    <hyperlink ref="B374" r:id="rId310" xr:uid="{701151CC-8A1E-4D4F-B8BA-CAF09D76FE08}"/>
    <hyperlink ref="B375" r:id="rId311" xr:uid="{B572DCB7-5D68-42C6-AD8E-135F15425272}"/>
    <hyperlink ref="B376" r:id="rId312" xr:uid="{7A7FC440-4C93-4804-B245-D7B543FB1486}"/>
    <hyperlink ref="B377" r:id="rId313" xr:uid="{385952F9-82D3-4F14-B7AD-5BC8383617D1}"/>
    <hyperlink ref="B378" r:id="rId314" xr:uid="{C8ADD28E-BF55-43C8-9F7E-4FA5A97B9BB4}"/>
    <hyperlink ref="B382" r:id="rId315" xr:uid="{5EFB0582-474E-4AE8-8A07-44465AE5B38F}"/>
    <hyperlink ref="B383" r:id="rId316" xr:uid="{FF283D1E-16A2-4354-BDE2-2DF88CDB335A}"/>
    <hyperlink ref="B384" r:id="rId317" xr:uid="{E95AE57E-1B84-4794-92F4-B90D6296B24D}"/>
    <hyperlink ref="B385" r:id="rId318" xr:uid="{EDB22FEA-66C8-40B6-97E2-1EA72B34FC34}"/>
    <hyperlink ref="B386" r:id="rId319" xr:uid="{33CEB2B5-D903-4FE6-8A07-DF6D9021E7E4}"/>
    <hyperlink ref="B387" r:id="rId320" xr:uid="{CAEDAF39-91D1-4C97-A0A2-D152C23DA4FF}"/>
    <hyperlink ref="B388" r:id="rId321" xr:uid="{BA1A48FA-A9F9-4357-A736-DAC4BBEBADC4}"/>
    <hyperlink ref="B389" r:id="rId322" xr:uid="{F05D8304-D5E2-4749-9A41-3F49A842F176}"/>
    <hyperlink ref="B390" r:id="rId323" xr:uid="{3202EC1B-D557-4F97-94D0-F66497A0EE9B}"/>
    <hyperlink ref="B391" r:id="rId324" xr:uid="{CD7ED7FF-EB6E-4CCC-A8F4-9239C60C642D}"/>
    <hyperlink ref="B392" r:id="rId325" xr:uid="{B4197142-0B2A-412A-AAFF-26F1C5838FF8}"/>
    <hyperlink ref="B393" r:id="rId326" xr:uid="{7A65565D-53D8-470A-A430-81FAE9BD9CCE}"/>
    <hyperlink ref="B394" r:id="rId327" xr:uid="{686502D6-C846-4119-88AF-F813AC2B67D1}"/>
    <hyperlink ref="B395" r:id="rId328" xr:uid="{96E5C182-6C7C-4B56-9D3A-29FD27A6C8C0}"/>
    <hyperlink ref="B396" r:id="rId329" xr:uid="{8D18D1FF-03AB-4230-B69D-5178F578D230}"/>
    <hyperlink ref="B397" r:id="rId330" xr:uid="{070A8060-9143-4D7E-AD46-6D1EFA5C9FB3}"/>
    <hyperlink ref="B398" r:id="rId331" xr:uid="{14A161F5-2E14-4A5F-995B-B82F3CA3173B}"/>
    <hyperlink ref="B399" r:id="rId332" xr:uid="{3F71C1C2-D8EC-4EBC-8B7C-0ABEE2DB1D70}"/>
    <hyperlink ref="B400" r:id="rId333" xr:uid="{7840CFA2-A6C0-47ED-9C69-075C6D80121E}"/>
    <hyperlink ref="B401" r:id="rId334" xr:uid="{EF2AFFDF-C29F-47CE-8F58-AF9BA9BD5C01}"/>
    <hyperlink ref="B402" r:id="rId335" xr:uid="{82EFF557-7373-410B-B661-D4EF07535033}"/>
    <hyperlink ref="B403" r:id="rId336" xr:uid="{6D616423-D183-4563-98F0-4BD7BC16E24F}"/>
    <hyperlink ref="B404" r:id="rId337" location=":~:text=Graph%20coloring%20problem%20is%20to,are%20colored%20using%20same%20color." xr:uid="{B55A6201-99F0-4630-A7CB-DE44924C69A2}"/>
    <hyperlink ref="B405" r:id="rId338" xr:uid="{D82AE491-3057-4E15-85E7-074432DA29AA}"/>
    <hyperlink ref="B406" r:id="rId339" xr:uid="{0D0401A0-8731-49CC-8F62-D45C98E75C83}"/>
    <hyperlink ref="B407" r:id="rId340" xr:uid="{57C0C723-3E14-465E-B0C6-BB86DAFBFA15}"/>
    <hyperlink ref="B408" r:id="rId341" xr:uid="{58A50B9F-458C-4DD6-AE0C-B91535840ADE}"/>
    <hyperlink ref="B409" r:id="rId342" xr:uid="{C4499CA4-61E2-47A7-82FE-2B08E281BA1D}"/>
    <hyperlink ref="B410" r:id="rId343" xr:uid="{A0BED215-00F1-4395-AD03-55499A299449}"/>
    <hyperlink ref="B411" r:id="rId344" xr:uid="{CCA052F0-C955-40BA-93F2-F294CF23A2C8}"/>
    <hyperlink ref="B412" r:id="rId345" xr:uid="{F28FF0B4-EB5F-4373-8C63-7618AB827318}"/>
    <hyperlink ref="B413" r:id="rId346" xr:uid="{F83C296A-83D4-4045-ADD0-C60EEA927541}"/>
    <hyperlink ref="B414" r:id="rId347" xr:uid="{9873900D-B744-4A26-96EF-844C76982533}"/>
    <hyperlink ref="B415" r:id="rId348" xr:uid="{6C761415-2A87-4B88-B931-0B6B0CAB65E3}"/>
    <hyperlink ref="B416" r:id="rId349" xr:uid="{6BBF01F9-47BA-4D6A-8345-69DE633AA504}"/>
    <hyperlink ref="B417" r:id="rId350" xr:uid="{44EDBE19-3F6F-4120-95D9-593A7F452E4E}"/>
    <hyperlink ref="B418" r:id="rId351" xr:uid="{ADA487AC-63FF-4395-B3F2-2A253ED530EF}"/>
    <hyperlink ref="B419" r:id="rId352" xr:uid="{0C589F5D-4FA0-439E-9704-8FE3E29634E3}"/>
    <hyperlink ref="B421" r:id="rId353" xr:uid="{581549E9-54EB-4FBD-BD4F-4631F11665C7}"/>
    <hyperlink ref="B420" r:id="rId354" xr:uid="{C0FF93DB-2F90-45EA-B226-3EE4A9486472}"/>
    <hyperlink ref="B422" r:id="rId355" xr:uid="{4F91F41A-B830-482F-865B-712B6F084478}"/>
    <hyperlink ref="B423" r:id="rId356" xr:uid="{29956393-3680-4F0D-8094-07A9A7C8AF2D}"/>
    <hyperlink ref="B424" r:id="rId357" xr:uid="{A365ED76-A14C-47F1-B76D-5C06BE179BF2}"/>
    <hyperlink ref="B427" r:id="rId358" xr:uid="{F0C128BB-21F7-4866-BF86-13D18D835597}"/>
    <hyperlink ref="B428" r:id="rId359" xr:uid="{4DBD5B60-8DDB-4E12-9E2E-8AEAA1C35659}"/>
    <hyperlink ref="B429" r:id="rId360" xr:uid="{68D22116-20F7-4FE3-AEE9-2875C3A1ECAE}"/>
    <hyperlink ref="B430" r:id="rId361" xr:uid="{839A031E-F43A-43AB-B37D-BDA956D24674}"/>
    <hyperlink ref="B431" r:id="rId362" xr:uid="{0EA1C82C-E9B2-4BCD-97F6-BFB508A1E1B7}"/>
    <hyperlink ref="B432" r:id="rId363" xr:uid="{49DFCDF6-68E1-4799-9B1D-7346CD894C93}"/>
    <hyperlink ref="B435" r:id="rId364" xr:uid="{77685B8A-D3DE-4007-8DA8-1BA37B2C7E60}"/>
    <hyperlink ref="B436" r:id="rId365" xr:uid="{516A0F94-7E00-4810-8243-1F7743A74478}"/>
    <hyperlink ref="B437" r:id="rId366" xr:uid="{664E534F-E397-4627-914C-A2B426E0B0A8}"/>
    <hyperlink ref="B438" r:id="rId367" xr:uid="{FC2C9C6D-410E-4A51-A7BF-BE529D2541E0}"/>
    <hyperlink ref="B439" r:id="rId368" xr:uid="{8131D131-7985-4DA7-89C6-027199685490}"/>
    <hyperlink ref="B440" r:id="rId369" xr:uid="{3FB6AA9B-BB7B-4363-9829-BCB1D87C8E9D}"/>
    <hyperlink ref="B441" r:id="rId370" xr:uid="{63C4447A-96FD-48D8-A51C-A165B7230D1D}"/>
    <hyperlink ref="B442" r:id="rId371" xr:uid="{EC272B1F-37D8-4DEB-9DDA-39D47BBA913A}"/>
    <hyperlink ref="B443" r:id="rId372" xr:uid="{EC6116E7-46E4-4BFD-AA6D-D0756BA207BE}"/>
    <hyperlink ref="B444" r:id="rId373" xr:uid="{50FF683A-BA64-443D-83A9-C982A8038A00}"/>
    <hyperlink ref="B445" r:id="rId374" xr:uid="{5056574A-8E96-4969-BA39-FA3953D1781F}"/>
    <hyperlink ref="B446" r:id="rId375" xr:uid="{568E4A14-E552-4BDB-A385-601EBD621A08}"/>
    <hyperlink ref="B447" r:id="rId376" xr:uid="{48AEE1A0-7F44-43BB-898E-006E7D545828}"/>
    <hyperlink ref="B448" r:id="rId377" xr:uid="{9CC94E5B-8301-4250-91C0-981E6AD77244}"/>
    <hyperlink ref="B449" r:id="rId378" xr:uid="{41508D75-C6A4-4261-A7F1-533BBC98446B}"/>
    <hyperlink ref="B450" r:id="rId379" xr:uid="{05DF6E61-F87B-4491-BE72-343C20FBF809}"/>
    <hyperlink ref="B451" r:id="rId380" xr:uid="{A00565B0-CE48-4271-9773-62157F593F61}"/>
    <hyperlink ref="B452" r:id="rId381" xr:uid="{266A07D9-CB65-4870-9220-8875CD053B41}"/>
    <hyperlink ref="B453" r:id="rId382" xr:uid="{E9CE39EF-3002-4F9A-8362-C2FE7977C673}"/>
    <hyperlink ref="B454" r:id="rId383" xr:uid="{D206D8C3-1458-41BA-A23D-4D109E131B45}"/>
    <hyperlink ref="B455" r:id="rId384" xr:uid="{F0455B48-12C8-413F-952C-8A5D612A8962}"/>
    <hyperlink ref="B456" r:id="rId385" xr:uid="{9EF128FD-FFB4-48F2-BD99-192D5096A177}"/>
    <hyperlink ref="B457" r:id="rId386" xr:uid="{03933577-88F9-459A-B46D-43C2AB2EB059}"/>
    <hyperlink ref="B458" r:id="rId387" xr:uid="{F4ACA358-8821-4634-A678-457637201FC0}"/>
    <hyperlink ref="B459" r:id="rId388" xr:uid="{8C2053BF-76BD-4491-AAD5-958B4D0706B4}"/>
    <hyperlink ref="B460" r:id="rId389" xr:uid="{3C129A3C-2289-4AB2-A95C-8465A65CD16F}"/>
    <hyperlink ref="B461" r:id="rId390" xr:uid="{F35E0F58-4931-4F21-A62E-AB57CFD87C89}"/>
    <hyperlink ref="B462" r:id="rId391" xr:uid="{86438BBD-3239-4C7C-B058-18CD29913FE3}"/>
    <hyperlink ref="B463" r:id="rId392" xr:uid="{13A453C0-FE0A-497D-A613-34508677696C}"/>
    <hyperlink ref="B464" r:id="rId393" xr:uid="{725D1066-2FB8-4F97-92AA-80F19D6FA59D}"/>
    <hyperlink ref="B465" r:id="rId394" xr:uid="{2EA8F577-6F0B-44FA-9E3B-30F1C638F9A9}"/>
    <hyperlink ref="B466" r:id="rId395" xr:uid="{FE44CAFB-9468-4C16-A967-83FAF97D8560}"/>
    <hyperlink ref="B467" r:id="rId396" xr:uid="{94C4D2E8-78B7-4C1F-9641-A57273ECEBF2}"/>
    <hyperlink ref="B468" r:id="rId397" xr:uid="{5D3B3D37-AB22-4831-9193-541849BA2FA2}"/>
    <hyperlink ref="B469" r:id="rId398" xr:uid="{DA567DEA-7D37-49FA-B689-49EFFA2B7BBD}"/>
    <hyperlink ref="B470" r:id="rId399" xr:uid="{13FBA81C-3BFE-4D52-B664-D331CB80D06D}"/>
    <hyperlink ref="B471" r:id="rId400" xr:uid="{6B0582CA-91A2-4F02-A9D9-04641E55A81D}"/>
    <hyperlink ref="B472" r:id="rId401" xr:uid="{A19E3F26-42DC-47D9-BB3C-4C7E3AF5B15A}"/>
    <hyperlink ref="B473" r:id="rId402" xr:uid="{AF5530A7-FE77-44C7-B543-A7FD460CC7E4}"/>
    <hyperlink ref="B474" r:id="rId403" xr:uid="{9B14D5EA-3011-4BD7-9A6C-94EEA5594735}"/>
    <hyperlink ref="B476" r:id="rId404" xr:uid="{3D4E0488-A0A6-4EB0-9B62-221B0B361918}"/>
    <hyperlink ref="B475" r:id="rId405" xr:uid="{E7D05A71-1F02-49A7-8709-A4BDE666CFC0}"/>
    <hyperlink ref="B477" r:id="rId406" xr:uid="{5E4BC2A7-936F-4E06-8C75-48758BF39B2F}"/>
    <hyperlink ref="B478" r:id="rId407" xr:uid="{364881C5-5037-40E1-ABBA-274FB5F5586A}"/>
    <hyperlink ref="B479" r:id="rId408" xr:uid="{8B21B7AD-2625-4091-A5C4-BD206B948085}"/>
    <hyperlink ref="B480" r:id="rId409" xr:uid="{CEA73CD6-E921-45FA-BC52-91D4B4CE5F1D}"/>
    <hyperlink ref="B481" r:id="rId410" xr:uid="{E4C624AF-F995-4468-933B-88BC73112A10}"/>
    <hyperlink ref="B482" r:id="rId411" xr:uid="{892C8607-A7F5-4171-B8CE-04B25BF26F7F}"/>
    <hyperlink ref="B483" r:id="rId412" xr:uid="{843CE326-E8AE-4036-9659-B3C8B8B2734A}"/>
    <hyperlink ref="B484" r:id="rId413" xr:uid="{68825C5D-630B-4CA5-AC13-FB8EE206D8FD}"/>
    <hyperlink ref="B485" r:id="rId414" xr:uid="{E63CE037-5A3D-4454-BCB9-0D4B97357959}"/>
    <hyperlink ref="B486" r:id="rId415" xr:uid="{1B42D62D-8B4C-46E8-BC7E-D9065463CA28}"/>
    <hyperlink ref="B487" r:id="rId416" xr:uid="{9A121576-AAD0-4606-B869-2DB7096D8DAB}"/>
    <hyperlink ref="B494" r:id="rId417" xr:uid="{09756FD4-D3A2-442C-8788-29716A06C326}"/>
    <hyperlink ref="B493" r:id="rId418" xr:uid="{15300A4B-A2EB-4CF2-AE10-EA1EB4CFE3F1}"/>
    <hyperlink ref="B492" r:id="rId419" xr:uid="{EC4DC09C-22D6-49DE-B0C6-22DF54B6555C}"/>
    <hyperlink ref="B491" r:id="rId420" xr:uid="{A9B55AA9-B589-43B2-8476-495C561C1F9C}"/>
    <hyperlink ref="B490" r:id="rId421" xr:uid="{2B5D7A72-7790-401D-96FF-CCDBC41BCCEC}"/>
    <hyperlink ref="B489" r:id="rId422" xr:uid="{CCB9178C-2E42-48E6-BEC5-B6F7ECA4B8BF}"/>
    <hyperlink ref="B488" r:id="rId423" xr:uid="{93E8CDB1-3561-46EF-8B7F-F862B52E5580}"/>
    <hyperlink ref="B497" r:id="rId424" xr:uid="{30192B61-B11E-42AE-BA7F-FF6806A5A0B8}"/>
    <hyperlink ref="B498" r:id="rId425" xr:uid="{73637BF8-6500-4A4F-A409-F3E24F4F2B8D}"/>
    <hyperlink ref="B499" r:id="rId426" xr:uid="{6F3F3B7C-AFC3-4AE6-B7F8-D558DB962262}"/>
    <hyperlink ref="B500" r:id="rId427" xr:uid="{2938C043-E169-4BEF-8987-E78F2FA37782}"/>
    <hyperlink ref="B501" r:id="rId428" xr:uid="{7B9E93B2-4443-4A56-90ED-3D5F12768724}"/>
    <hyperlink ref="B502" r:id="rId429" xr:uid="{FEBD98B2-0176-44E0-ADC9-77F17484BFEC}"/>
    <hyperlink ref="B503" r:id="rId430" xr:uid="{15C0595B-DBD5-4B62-A8DE-59EF464D7BF7}"/>
    <hyperlink ref="B506" r:id="rId431" xr:uid="{AC35A017-71DD-49FF-B8D3-09B31CBFF1FD}"/>
    <hyperlink ref="B504" r:id="rId432" xr:uid="{3C839F98-9781-4819-BB1C-312D9E6A524C}"/>
    <hyperlink ref="B505" r:id="rId433" location=":~:text=Given%20an%20integer%20n%2C%20calculate,*%2C%20%2F%20and%20pow().&amp;text=A%20Simple%20Solution%20is%20to%20repeatedly%20add%20n%20to%20result." xr:uid="{78D51520-260C-4431-A403-733CF56D1088}"/>
    <hyperlink ref="B381" r:id="rId434" xr:uid="{9082BDF9-EBFB-4712-A5A5-3E260FDFC1A0}"/>
    <hyperlink ref="D439" r:id="rId435" xr:uid="{A013671D-5234-4C12-AC1A-7E597DA3AB7F}"/>
    <hyperlink ref="D127" r:id="rId436" display="https://leetcode.com/problems/maximum-profit-in-job-scheduling" xr:uid="{63099E28-23D9-48CD-8EE8-C16D225E364C}"/>
    <hyperlink ref="C363" r:id="rId437" xr:uid="{64D369E9-6973-4890-8D20-21E4DD75576E}"/>
    <hyperlink ref="C372" r:id="rId438" xr:uid="{633FE8C3-91A6-4B01-9068-E74319D53B70}"/>
    <hyperlink ref="C350" r:id="rId439" xr:uid="{672B68D1-DBB5-48DF-A03F-54169B6870E9}"/>
    <hyperlink ref="C493" r:id="rId440" xr:uid="{0BC2EFED-D062-491A-9203-D9BDD43E196A}"/>
    <hyperlink ref="C492" r:id="rId441" xr:uid="{7067D990-808D-43BE-A119-E46CA847B0E7}"/>
    <hyperlink ref="E8" r:id="rId442" xr:uid="{9F4976CC-EA0B-4FCD-8DE8-57925ACD157A}"/>
    <hyperlink ref="B8" r:id="rId443" xr:uid="{5769D201-AC20-4653-B086-1632D5D978D6}"/>
    <hyperlink ref="B426" r:id="rId444" xr:uid="{588A1ECA-0007-4FAE-8725-C58C124EEF1B}"/>
    <hyperlink ref="D377" r:id="rId445" xr:uid="{0BAFEFE3-CF78-4FA0-947C-C32C2D24AE04}"/>
    <hyperlink ref="C311" r:id="rId446" xr:uid="{D3C83F05-F87D-462F-9BEE-BFE5FFFC5D8C}"/>
    <hyperlink ref="C317" r:id="rId447" xr:uid="{7FD685FE-CA4B-48DE-86EB-CF1BDE20BE0E}"/>
    <hyperlink ref="C313" r:id="rId448" xr:uid="{5546FA9D-DE9B-4772-80EE-5E5B047075BA}"/>
    <hyperlink ref="C241" r:id="rId449" xr:uid="{0BAAEE01-D9D6-4744-9F11-C573F47CF5C3}"/>
    <hyperlink ref="C240" r:id="rId450" xr:uid="{C9754AEC-9CD8-4279-987F-5677AC23E99E}"/>
    <hyperlink ref="C217" r:id="rId451" xr:uid="{CE07C7F1-C28D-4859-9B5C-30F8E1A8E68B}"/>
    <hyperlink ref="B224" r:id="rId452" xr:uid="{7FC550C6-B1DA-4770-AECB-4328083C90C5}"/>
    <hyperlink ref="E240" r:id="rId453" xr:uid="{1142FC72-B051-45BC-BAB8-4FC7927615B2}"/>
    <hyperlink ref="B253" r:id="rId454" xr:uid="{4D419893-BE33-4E8A-84AC-5DA1EE588D80}"/>
    <hyperlink ref="B256" r:id="rId455" xr:uid="{943E4A17-2F3F-4076-ADBD-1A45D7BBB53F}"/>
    <hyperlink ref="B271" r:id="rId456" xr:uid="{51D04C3D-F871-4585-9725-28611338C8B7}"/>
    <hyperlink ref="B270" r:id="rId457" xr:uid="{77B1DF2F-9006-46FE-AA77-7AC6AF4B3434}"/>
    <hyperlink ref="B269" r:id="rId458" xr:uid="{249A537C-E40A-4FF1-9DCF-C47F93BBB5AC}"/>
    <hyperlink ref="B268" r:id="rId459" xr:uid="{D031CF6F-E445-44AC-A6A7-061D9C7A9925}"/>
    <hyperlink ref="B267" r:id="rId460" xr:uid="{FD40349E-D254-4AD9-9DF6-7DB2DB6C37C3}"/>
    <hyperlink ref="B266" r:id="rId461" xr:uid="{53B3A771-E76B-4372-B7A8-AABC0BEA48F4}"/>
    <hyperlink ref="B265" r:id="rId462" xr:uid="{E19351CA-8B56-4687-A765-5A4C98587658}"/>
    <hyperlink ref="B264" r:id="rId463" xr:uid="{0834EF3C-1CA1-43DF-B237-CC00AF3519DE}"/>
    <hyperlink ref="B263" r:id="rId464" xr:uid="{C9C1F6AE-8D35-401F-8ADE-669BD5A3DA34}"/>
    <hyperlink ref="B260" r:id="rId465" xr:uid="{041598DC-2513-4E18-945D-C15BBB0C4EA6}"/>
    <hyperlink ref="B261" r:id="rId466" xr:uid="{73E4B561-EF17-45FA-A09D-258190B5550E}"/>
    <hyperlink ref="B191" r:id="rId467" xr:uid="{9BE331C4-DCFB-4FA1-ACA8-BE0B10BBC613}"/>
    <hyperlink ref="B187" r:id="rId468" xr:uid="{85F91201-7F20-4255-A3F8-2AE143784808}"/>
    <hyperlink ref="B186" r:id="rId469" xr:uid="{8C794DA7-2FE1-4C5A-A156-DB167942DA6F}"/>
    <hyperlink ref="B179" r:id="rId470" xr:uid="{30C315EB-EC67-4081-BB66-DABEFCCD0E03}"/>
    <hyperlink ref="B178" r:id="rId471" xr:uid="{BA9BD892-B169-4F28-AEDD-F01A876EAEBA}"/>
    <hyperlink ref="B176" r:id="rId472" xr:uid="{770E8BFD-0730-4372-8E46-46E60BBF407B}"/>
    <hyperlink ref="B177" r:id="rId473" xr:uid="{C28853AB-5BB5-452A-A9DC-647FA180C188}"/>
    <hyperlink ref="B180" r:id="rId474" xr:uid="{7A700BF2-822F-4582-85D4-5B56CAD6397D}"/>
    <hyperlink ref="B181" r:id="rId475" xr:uid="{F356A969-E1F5-41C4-82B1-62055DD07841}"/>
    <hyperlink ref="B182" r:id="rId476" xr:uid="{315E50B6-91F1-4100-94B1-F870941122F3}"/>
    <hyperlink ref="B183" r:id="rId477" xr:uid="{E22669D6-B1BF-40CF-9EC6-1389B0D71F17}"/>
    <hyperlink ref="B184" r:id="rId478" xr:uid="{7D3CDB23-85A8-4DE5-9C47-F67239D42B14}"/>
    <hyperlink ref="B185" r:id="rId479" xr:uid="{F268B1CC-74C2-4E00-BFF0-D739485E1639}"/>
    <hyperlink ref="B188" r:id="rId480" xr:uid="{F9A5704B-69B7-4BF4-961B-2907B2A157E6}"/>
    <hyperlink ref="B189" r:id="rId481" xr:uid="{367D99E6-B842-4A4F-BA92-6AE55B0961FE}"/>
    <hyperlink ref="B190" r:id="rId482" xr:uid="{BEB778B3-C96F-4D01-8E01-BA941A01D913}"/>
    <hyperlink ref="B192" r:id="rId483" xr:uid="{6CE75157-0E1B-46A4-9C57-815EDBB8C40B}"/>
    <hyperlink ref="B255" r:id="rId484" xr:uid="{EABA3031-32AA-4DAF-A6EF-5AB89905BCC2}"/>
    <hyperlink ref="B257" r:id="rId485" xr:uid="{88098C3A-F661-47CE-B814-07D043F9BD20}"/>
    <hyperlink ref="B258" r:id="rId486" xr:uid="{A6BB79EF-46D7-4F23-AD0E-03E8B1F57526}"/>
    <hyperlink ref="B259" r:id="rId487" xr:uid="{9D0F6DEB-3034-4C6B-8890-F9F4B14E102F}"/>
    <hyperlink ref="B254" r:id="rId488" xr:uid="{627D17B6-E6DE-4499-AB98-605D395E72DF}"/>
    <hyperlink ref="C255" r:id="rId489" xr:uid="{7281F084-CDC6-4EEE-BA97-1E3745C79CCA}"/>
  </hyperlinks>
  <pageMargins left="0.7" right="0.7" top="0.75" bottom="0.75" header="0.3" footer="0.3"/>
  <pageSetup orientation="portrait" r:id="rId490"/>
  <drawing r:id="rId491"/>
  <legacyDrawing r:id="rId49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B4EF9-D549-4490-9C90-2670BCCCF15E}">
  <sheetPr>
    <tabColor theme="5"/>
  </sheetPr>
  <dimension ref="A1:J1784"/>
  <sheetViews>
    <sheetView tabSelected="1" topLeftCell="A386" workbookViewId="0">
      <selection activeCell="D386" sqref="D386"/>
    </sheetView>
  </sheetViews>
  <sheetFormatPr defaultRowHeight="13.2"/>
  <cols>
    <col min="1" max="1" width="8.88671875" style="513"/>
    <col min="2" max="2" width="33.33203125" style="513" customWidth="1"/>
    <col min="3" max="3" width="8.88671875" style="513" hidden="1" customWidth="1"/>
    <col min="4" max="4" width="76.33203125" style="513" customWidth="1"/>
    <col min="5" max="16384" width="8.88671875" style="513"/>
  </cols>
  <sheetData>
    <row r="1" spans="1:10">
      <c r="A1" s="527"/>
      <c r="B1" s="526"/>
      <c r="C1" s="523"/>
      <c r="D1" s="526"/>
      <c r="E1" s="526"/>
      <c r="F1" s="526"/>
      <c r="G1" s="526"/>
      <c r="H1" s="526"/>
      <c r="I1" s="526"/>
      <c r="J1" s="526"/>
    </row>
    <row r="2" spans="1:10" ht="27" thickBot="1">
      <c r="A2" s="517"/>
      <c r="B2" s="525" t="s">
        <v>135</v>
      </c>
      <c r="C2" s="516"/>
      <c r="D2" s="524" t="s">
        <v>146</v>
      </c>
      <c r="E2" s="524" t="s">
        <v>1212</v>
      </c>
      <c r="F2" s="524" t="s">
        <v>614</v>
      </c>
      <c r="G2" s="532" t="s">
        <v>5349</v>
      </c>
      <c r="H2" s="524" t="s">
        <v>5350</v>
      </c>
      <c r="I2" s="524" t="s">
        <v>5351</v>
      </c>
      <c r="J2" s="524" t="s">
        <v>5352</v>
      </c>
    </row>
    <row r="3" spans="1:10">
      <c r="A3" s="523"/>
      <c r="B3" s="516"/>
      <c r="C3" s="516"/>
      <c r="D3" s="516"/>
      <c r="E3" s="516"/>
      <c r="F3" s="516"/>
      <c r="G3" s="516"/>
      <c r="H3" s="516"/>
      <c r="I3" s="516"/>
      <c r="J3" s="516"/>
    </row>
    <row r="4" spans="1:10" ht="13.8" thickBot="1">
      <c r="A4" s="517"/>
      <c r="B4" s="518" t="s">
        <v>14301</v>
      </c>
      <c r="C4" s="516"/>
      <c r="D4" s="520" t="s">
        <v>14300</v>
      </c>
      <c r="E4" s="521">
        <v>8</v>
      </c>
      <c r="F4" s="518" t="s">
        <v>1854</v>
      </c>
      <c r="G4" s="515" t="s">
        <v>1793</v>
      </c>
      <c r="H4" s="514"/>
      <c r="I4" s="528">
        <v>2</v>
      </c>
      <c r="J4" s="528">
        <v>2</v>
      </c>
    </row>
    <row r="5" spans="1:10" ht="13.8" thickBot="1">
      <c r="A5" s="517"/>
      <c r="B5" s="518" t="s">
        <v>14299</v>
      </c>
      <c r="C5" s="516"/>
      <c r="D5" s="531" t="s">
        <v>14298</v>
      </c>
      <c r="E5" s="521">
        <v>8</v>
      </c>
      <c r="F5" s="518" t="s">
        <v>1854</v>
      </c>
      <c r="G5" s="515" t="s">
        <v>1793</v>
      </c>
      <c r="H5" s="514"/>
      <c r="I5" s="515">
        <v>1</v>
      </c>
      <c r="J5" s="515">
        <v>2</v>
      </c>
    </row>
    <row r="6" spans="1:10" ht="13.8" thickBot="1">
      <c r="A6" s="517"/>
      <c r="B6" s="518" t="s">
        <v>14297</v>
      </c>
      <c r="C6" s="516"/>
      <c r="D6" s="514" t="s">
        <v>14296</v>
      </c>
      <c r="E6" s="515">
        <v>8</v>
      </c>
      <c r="F6" s="518" t="s">
        <v>1854</v>
      </c>
      <c r="G6" s="515" t="s">
        <v>1793</v>
      </c>
      <c r="H6" s="514"/>
      <c r="I6" s="515"/>
      <c r="J6" s="515"/>
    </row>
    <row r="7" spans="1:10" ht="13.8" thickBot="1">
      <c r="A7" s="517"/>
      <c r="B7" s="518" t="s">
        <v>14295</v>
      </c>
      <c r="C7" s="516"/>
      <c r="D7" s="514" t="s">
        <v>1792</v>
      </c>
      <c r="E7" s="515">
        <v>8</v>
      </c>
      <c r="F7" s="514"/>
      <c r="G7" s="515" t="s">
        <v>1793</v>
      </c>
      <c r="H7" s="514"/>
      <c r="I7" s="522"/>
      <c r="J7" s="522"/>
    </row>
    <row r="8" spans="1:10" ht="13.8" thickBot="1">
      <c r="A8" s="517"/>
      <c r="B8" s="518" t="s">
        <v>14294</v>
      </c>
      <c r="C8" s="516"/>
      <c r="D8" s="514" t="s">
        <v>14293</v>
      </c>
      <c r="E8" s="515">
        <v>7.75</v>
      </c>
      <c r="F8" s="518" t="s">
        <v>614</v>
      </c>
      <c r="G8" s="515" t="s">
        <v>1793</v>
      </c>
      <c r="H8" s="514"/>
      <c r="I8" s="515">
        <v>2</v>
      </c>
      <c r="J8" s="515">
        <v>4</v>
      </c>
    </row>
    <row r="9" spans="1:10" ht="13.8" thickBot="1">
      <c r="A9" s="517"/>
      <c r="B9" s="518" t="s">
        <v>14292</v>
      </c>
      <c r="C9" s="516"/>
      <c r="D9" s="514" t="s">
        <v>1802</v>
      </c>
      <c r="E9" s="515">
        <v>7.75</v>
      </c>
      <c r="F9" s="518" t="s">
        <v>2223</v>
      </c>
      <c r="G9" s="515" t="s">
        <v>1793</v>
      </c>
      <c r="H9" s="514"/>
      <c r="I9" s="515"/>
      <c r="J9" s="515"/>
    </row>
    <row r="10" spans="1:10" ht="13.8" thickBot="1">
      <c r="A10" s="517"/>
      <c r="B10" s="518" t="s">
        <v>14291</v>
      </c>
      <c r="C10" s="516"/>
      <c r="D10" s="514" t="s">
        <v>14290</v>
      </c>
      <c r="E10" s="515">
        <v>7.5</v>
      </c>
      <c r="F10" s="518" t="s">
        <v>614</v>
      </c>
      <c r="G10" s="515" t="s">
        <v>1793</v>
      </c>
      <c r="H10" s="514" t="s">
        <v>1226</v>
      </c>
      <c r="I10" s="522">
        <v>2</v>
      </c>
      <c r="J10" s="522">
        <v>8</v>
      </c>
    </row>
    <row r="11" spans="1:10" ht="13.8" thickBot="1">
      <c r="A11" s="517"/>
      <c r="B11" s="518" t="s">
        <v>14289</v>
      </c>
      <c r="C11" s="516"/>
      <c r="D11" s="514" t="s">
        <v>14288</v>
      </c>
      <c r="E11" s="515">
        <v>7.5</v>
      </c>
      <c r="F11" s="518" t="s">
        <v>1854</v>
      </c>
      <c r="G11" s="515" t="s">
        <v>1793</v>
      </c>
      <c r="H11" s="514"/>
      <c r="I11" s="515">
        <v>2</v>
      </c>
      <c r="J11" s="515">
        <v>4</v>
      </c>
    </row>
    <row r="12" spans="1:10" ht="13.8" thickBot="1">
      <c r="A12" s="517"/>
      <c r="B12" s="518" t="s">
        <v>14287</v>
      </c>
      <c r="C12" s="516"/>
      <c r="D12" s="514" t="s">
        <v>14286</v>
      </c>
      <c r="E12" s="515">
        <v>7.5</v>
      </c>
      <c r="F12" s="514"/>
      <c r="G12" s="515" t="s">
        <v>1793</v>
      </c>
      <c r="H12" s="514"/>
      <c r="I12" s="515">
        <v>1</v>
      </c>
      <c r="J12" s="515">
        <v>2</v>
      </c>
    </row>
    <row r="13" spans="1:10" ht="13.8" thickBot="1">
      <c r="A13" s="517"/>
      <c r="B13" s="518" t="s">
        <v>14285</v>
      </c>
      <c r="C13" s="516"/>
      <c r="D13" s="514" t="s">
        <v>1802</v>
      </c>
      <c r="E13" s="515">
        <v>7.5</v>
      </c>
      <c r="F13" s="518" t="s">
        <v>614</v>
      </c>
      <c r="G13" s="515" t="s">
        <v>1793</v>
      </c>
      <c r="H13" s="514"/>
      <c r="I13" s="515">
        <v>1</v>
      </c>
      <c r="J13" s="515">
        <v>1</v>
      </c>
    </row>
    <row r="14" spans="1:10" ht="13.8" thickBot="1">
      <c r="A14" s="517"/>
      <c r="B14" s="518" t="s">
        <v>14284</v>
      </c>
      <c r="C14" s="516"/>
      <c r="D14" s="514" t="s">
        <v>14283</v>
      </c>
      <c r="E14" s="515">
        <v>7.5</v>
      </c>
      <c r="F14" s="514"/>
      <c r="G14" s="515" t="s">
        <v>1793</v>
      </c>
      <c r="H14" s="514"/>
      <c r="I14" s="515"/>
      <c r="J14" s="515">
        <v>1</v>
      </c>
    </row>
    <row r="15" spans="1:10" ht="13.8" thickBot="1">
      <c r="A15" s="517"/>
      <c r="B15" s="518" t="s">
        <v>14282</v>
      </c>
      <c r="C15" s="516"/>
      <c r="D15" s="514" t="s">
        <v>14182</v>
      </c>
      <c r="E15" s="515">
        <v>7.25</v>
      </c>
      <c r="F15" s="518" t="s">
        <v>1854</v>
      </c>
      <c r="G15" s="515" t="s">
        <v>1793</v>
      </c>
      <c r="H15" s="514" t="s">
        <v>1226</v>
      </c>
      <c r="I15" s="522"/>
      <c r="J15" s="522">
        <v>3</v>
      </c>
    </row>
    <row r="16" spans="1:10" ht="13.8" thickBot="1">
      <c r="A16" s="517"/>
      <c r="B16" s="518" t="s">
        <v>14281</v>
      </c>
      <c r="C16" s="516"/>
      <c r="D16" s="514" t="s">
        <v>14280</v>
      </c>
      <c r="E16" s="515">
        <v>7.1</v>
      </c>
      <c r="F16" s="518" t="s">
        <v>614</v>
      </c>
      <c r="G16" s="515" t="s">
        <v>1793</v>
      </c>
      <c r="H16" s="514" t="s">
        <v>1251</v>
      </c>
      <c r="I16" s="515">
        <v>2</v>
      </c>
      <c r="J16" s="515">
        <v>6</v>
      </c>
    </row>
    <row r="17" spans="1:10" ht="13.8" thickBot="1">
      <c r="A17" s="517"/>
      <c r="B17" s="518" t="s">
        <v>14279</v>
      </c>
      <c r="C17" s="516"/>
      <c r="D17" s="514" t="s">
        <v>14278</v>
      </c>
      <c r="E17" s="515">
        <v>7</v>
      </c>
      <c r="F17" s="518" t="s">
        <v>614</v>
      </c>
      <c r="G17" s="515" t="s">
        <v>1793</v>
      </c>
      <c r="H17" s="514" t="s">
        <v>1251</v>
      </c>
      <c r="I17" s="515"/>
      <c r="J17" s="515">
        <v>14</v>
      </c>
    </row>
    <row r="18" spans="1:10" ht="13.8" thickBot="1">
      <c r="A18" s="517"/>
      <c r="B18" s="518" t="s">
        <v>14277</v>
      </c>
      <c r="C18" s="516"/>
      <c r="D18" s="514" t="s">
        <v>14276</v>
      </c>
      <c r="E18" s="515">
        <v>7</v>
      </c>
      <c r="F18" s="518" t="s">
        <v>614</v>
      </c>
      <c r="G18" s="515" t="s">
        <v>1793</v>
      </c>
      <c r="H18" s="514" t="s">
        <v>1251</v>
      </c>
      <c r="I18" s="522"/>
      <c r="J18" s="515">
        <v>5</v>
      </c>
    </row>
    <row r="19" spans="1:10" ht="13.8" thickBot="1">
      <c r="A19" s="517"/>
      <c r="B19" s="518" t="s">
        <v>14275</v>
      </c>
      <c r="C19" s="516"/>
      <c r="D19" s="514" t="s">
        <v>14101</v>
      </c>
      <c r="E19" s="515">
        <v>7</v>
      </c>
      <c r="F19" s="518" t="s">
        <v>614</v>
      </c>
      <c r="G19" s="515" t="s">
        <v>1793</v>
      </c>
      <c r="H19" s="514" t="s">
        <v>1226</v>
      </c>
      <c r="I19" s="515">
        <v>1</v>
      </c>
      <c r="J19" s="515">
        <v>2</v>
      </c>
    </row>
    <row r="20" spans="1:10" ht="13.8" thickBot="1">
      <c r="A20" s="517"/>
      <c r="B20" s="518" t="s">
        <v>14274</v>
      </c>
      <c r="C20" s="516"/>
      <c r="D20" s="514" t="s">
        <v>1792</v>
      </c>
      <c r="E20" s="515">
        <v>7</v>
      </c>
      <c r="F20" s="518" t="s">
        <v>1854</v>
      </c>
      <c r="G20" s="515" t="s">
        <v>1793</v>
      </c>
      <c r="H20" s="514"/>
      <c r="I20" s="515"/>
      <c r="J20" s="515">
        <v>5</v>
      </c>
    </row>
    <row r="21" spans="1:10" ht="13.8" thickBot="1">
      <c r="A21" s="517"/>
      <c r="B21" s="518" t="s">
        <v>14273</v>
      </c>
      <c r="C21" s="516"/>
      <c r="D21" s="514" t="s">
        <v>14272</v>
      </c>
      <c r="E21" s="515">
        <v>7</v>
      </c>
      <c r="F21" s="518" t="s">
        <v>1854</v>
      </c>
      <c r="G21" s="515" t="s">
        <v>1793</v>
      </c>
      <c r="H21" s="514"/>
      <c r="I21" s="515">
        <v>2</v>
      </c>
      <c r="J21" s="515">
        <v>3</v>
      </c>
    </row>
    <row r="22" spans="1:10" ht="13.8" thickBot="1">
      <c r="A22" s="517"/>
      <c r="B22" s="518" t="s">
        <v>14271</v>
      </c>
      <c r="C22" s="516"/>
      <c r="D22" s="514" t="s">
        <v>14270</v>
      </c>
      <c r="E22" s="515">
        <v>7</v>
      </c>
      <c r="F22" s="514"/>
      <c r="G22" s="515" t="s">
        <v>1793</v>
      </c>
      <c r="H22" s="514"/>
      <c r="I22" s="515"/>
      <c r="J22" s="515">
        <v>3</v>
      </c>
    </row>
    <row r="23" spans="1:10" ht="13.8" thickBot="1">
      <c r="A23" s="517"/>
      <c r="B23" s="518" t="s">
        <v>14269</v>
      </c>
      <c r="C23" s="516"/>
      <c r="D23" s="514" t="s">
        <v>14268</v>
      </c>
      <c r="E23" s="515">
        <v>7</v>
      </c>
      <c r="F23" s="514"/>
      <c r="G23" s="515" t="s">
        <v>1793</v>
      </c>
      <c r="H23" s="514"/>
      <c r="I23" s="515">
        <v>1</v>
      </c>
      <c r="J23" s="515">
        <v>3</v>
      </c>
    </row>
    <row r="24" spans="1:10" ht="13.8" thickBot="1">
      <c r="A24" s="517"/>
      <c r="B24" s="518" t="s">
        <v>14267</v>
      </c>
      <c r="C24" s="516"/>
      <c r="D24" s="514" t="s">
        <v>1792</v>
      </c>
      <c r="E24" s="515">
        <v>7</v>
      </c>
      <c r="F24" s="518" t="s">
        <v>1854</v>
      </c>
      <c r="G24" s="515" t="s">
        <v>1793</v>
      </c>
      <c r="H24" s="514"/>
      <c r="I24" s="515">
        <v>1</v>
      </c>
      <c r="J24" s="515">
        <v>2</v>
      </c>
    </row>
    <row r="25" spans="1:10" ht="13.8" thickBot="1">
      <c r="A25" s="517"/>
      <c r="B25" s="518" t="s">
        <v>14266</v>
      </c>
      <c r="C25" s="516"/>
      <c r="D25" s="514" t="s">
        <v>14265</v>
      </c>
      <c r="E25" s="515">
        <v>7</v>
      </c>
      <c r="F25" s="518" t="s">
        <v>1854</v>
      </c>
      <c r="G25" s="515" t="s">
        <v>1793</v>
      </c>
      <c r="H25" s="514"/>
      <c r="I25" s="522">
        <v>1</v>
      </c>
      <c r="J25" s="522">
        <v>1</v>
      </c>
    </row>
    <row r="26" spans="1:10" ht="13.8" thickBot="1">
      <c r="A26" s="517"/>
      <c r="B26" s="518" t="s">
        <v>14264</v>
      </c>
      <c r="C26" s="516"/>
      <c r="D26" s="514" t="s">
        <v>14263</v>
      </c>
      <c r="E26" s="515">
        <v>7</v>
      </c>
      <c r="F26" s="514"/>
      <c r="G26" s="515" t="s">
        <v>1793</v>
      </c>
      <c r="H26" s="514"/>
      <c r="I26" s="515"/>
      <c r="J26" s="515">
        <v>1</v>
      </c>
    </row>
    <row r="27" spans="1:10" ht="13.8" thickBot="1">
      <c r="A27" s="517"/>
      <c r="B27" s="518" t="s">
        <v>14262</v>
      </c>
      <c r="C27" s="516"/>
      <c r="D27" s="520" t="s">
        <v>14261</v>
      </c>
      <c r="E27" s="521">
        <v>7</v>
      </c>
      <c r="F27" s="518" t="s">
        <v>1854</v>
      </c>
      <c r="G27" s="515" t="s">
        <v>1793</v>
      </c>
      <c r="H27" s="514"/>
      <c r="I27" s="522"/>
      <c r="J27" s="522"/>
    </row>
    <row r="28" spans="1:10" ht="13.8" thickBot="1">
      <c r="A28" s="517"/>
      <c r="B28" s="518" t="s">
        <v>14260</v>
      </c>
      <c r="C28" s="516"/>
      <c r="D28" s="514" t="s">
        <v>1890</v>
      </c>
      <c r="E28" s="515">
        <v>7</v>
      </c>
      <c r="F28" s="514"/>
      <c r="G28" s="515" t="s">
        <v>1793</v>
      </c>
      <c r="H28" s="514"/>
      <c r="I28" s="515"/>
      <c r="J28" s="515"/>
    </row>
    <row r="29" spans="1:10" ht="13.8" thickBot="1">
      <c r="A29" s="517"/>
      <c r="B29" s="518" t="s">
        <v>14259</v>
      </c>
      <c r="C29" s="516"/>
      <c r="D29" s="514" t="s">
        <v>14258</v>
      </c>
      <c r="E29" s="515">
        <v>7</v>
      </c>
      <c r="F29" s="514"/>
      <c r="G29" s="515" t="s">
        <v>1793</v>
      </c>
      <c r="H29" s="514"/>
      <c r="I29" s="515"/>
      <c r="J29" s="515"/>
    </row>
    <row r="30" spans="1:10" ht="13.8" thickBot="1">
      <c r="A30" s="517"/>
      <c r="B30" s="518" t="s">
        <v>14257</v>
      </c>
      <c r="C30" s="516"/>
      <c r="D30" s="514" t="s">
        <v>14256</v>
      </c>
      <c r="E30" s="515">
        <v>7</v>
      </c>
      <c r="F30" s="514"/>
      <c r="G30" s="515" t="s">
        <v>1793</v>
      </c>
      <c r="H30" s="514"/>
      <c r="I30" s="515"/>
      <c r="J30" s="515"/>
    </row>
    <row r="31" spans="1:10" ht="13.8" thickBot="1">
      <c r="A31" s="517"/>
      <c r="B31" s="518" t="s">
        <v>14255</v>
      </c>
      <c r="C31" s="516"/>
      <c r="D31" s="514" t="s">
        <v>14254</v>
      </c>
      <c r="E31" s="515">
        <v>6.9</v>
      </c>
      <c r="F31" s="518" t="s">
        <v>614</v>
      </c>
      <c r="G31" s="515" t="s">
        <v>1793</v>
      </c>
      <c r="H31" s="514" t="s">
        <v>1251</v>
      </c>
      <c r="I31" s="515"/>
      <c r="J31" s="515">
        <v>10</v>
      </c>
    </row>
    <row r="32" spans="1:10" ht="13.8" thickBot="1">
      <c r="A32" s="517"/>
      <c r="B32" s="518" t="s">
        <v>14253</v>
      </c>
      <c r="C32" s="516"/>
      <c r="D32" s="514" t="s">
        <v>14252</v>
      </c>
      <c r="E32" s="515">
        <v>6.75</v>
      </c>
      <c r="F32" s="518" t="s">
        <v>614</v>
      </c>
      <c r="G32" s="515" t="s">
        <v>1793</v>
      </c>
      <c r="H32" s="514" t="s">
        <v>1226</v>
      </c>
      <c r="I32" s="515"/>
      <c r="J32" s="515">
        <v>11</v>
      </c>
    </row>
    <row r="33" spans="1:10" ht="13.8" thickBot="1">
      <c r="A33" s="517"/>
      <c r="B33" s="518" t="s">
        <v>14251</v>
      </c>
      <c r="C33" s="516"/>
      <c r="D33" s="514" t="s">
        <v>14250</v>
      </c>
      <c r="E33" s="515">
        <v>6.75</v>
      </c>
      <c r="F33" s="518" t="s">
        <v>614</v>
      </c>
      <c r="G33" s="515" t="s">
        <v>1793</v>
      </c>
      <c r="H33" s="514" t="s">
        <v>1226</v>
      </c>
      <c r="I33" s="515"/>
      <c r="J33" s="515">
        <v>7</v>
      </c>
    </row>
    <row r="34" spans="1:10" ht="13.8" thickBot="1">
      <c r="A34" s="517"/>
      <c r="B34" s="518" t="s">
        <v>14249</v>
      </c>
      <c r="C34" s="516"/>
      <c r="D34" s="519" t="s">
        <v>14248</v>
      </c>
      <c r="E34" s="515">
        <v>6.75</v>
      </c>
      <c r="F34" s="518" t="s">
        <v>1854</v>
      </c>
      <c r="G34" s="515" t="s">
        <v>1793</v>
      </c>
      <c r="H34" s="514" t="s">
        <v>1226</v>
      </c>
      <c r="I34" s="515">
        <v>1</v>
      </c>
      <c r="J34" s="515">
        <v>6</v>
      </c>
    </row>
    <row r="35" spans="1:10" ht="13.8" thickBot="1">
      <c r="A35" s="517"/>
      <c r="B35" s="518" t="s">
        <v>14247</v>
      </c>
      <c r="C35" s="516"/>
      <c r="D35" s="514" t="s">
        <v>14246</v>
      </c>
      <c r="E35" s="515">
        <v>6.75</v>
      </c>
      <c r="F35" s="518" t="s">
        <v>614</v>
      </c>
      <c r="G35" s="515" t="s">
        <v>1793</v>
      </c>
      <c r="H35" s="514" t="s">
        <v>1226</v>
      </c>
      <c r="I35" s="515"/>
      <c r="J35" s="515">
        <v>4</v>
      </c>
    </row>
    <row r="36" spans="1:10" ht="13.8" thickBot="1">
      <c r="A36" s="517"/>
      <c r="B36" s="518" t="s">
        <v>14245</v>
      </c>
      <c r="C36" s="516"/>
      <c r="D36" s="520" t="s">
        <v>14244</v>
      </c>
      <c r="E36" s="521">
        <v>6.75</v>
      </c>
      <c r="F36" s="518" t="s">
        <v>1854</v>
      </c>
      <c r="G36" s="515" t="s">
        <v>1793</v>
      </c>
      <c r="H36" s="514"/>
      <c r="I36" s="521"/>
      <c r="J36" s="521"/>
    </row>
    <row r="37" spans="1:10" ht="13.8" thickBot="1">
      <c r="A37" s="517"/>
      <c r="B37" s="518" t="s">
        <v>14243</v>
      </c>
      <c r="C37" s="516"/>
      <c r="D37" s="514" t="s">
        <v>14242</v>
      </c>
      <c r="E37" s="515">
        <v>6.7</v>
      </c>
      <c r="F37" s="518" t="s">
        <v>614</v>
      </c>
      <c r="G37" s="515" t="s">
        <v>1793</v>
      </c>
      <c r="H37" s="514" t="s">
        <v>1229</v>
      </c>
      <c r="I37" s="515"/>
      <c r="J37" s="515">
        <v>7</v>
      </c>
    </row>
    <row r="38" spans="1:10" ht="13.8" thickBot="1">
      <c r="A38" s="517"/>
      <c r="B38" s="518" t="s">
        <v>14241</v>
      </c>
      <c r="C38" s="516"/>
      <c r="D38" s="514" t="s">
        <v>14240</v>
      </c>
      <c r="E38" s="515">
        <v>6.7</v>
      </c>
      <c r="F38" s="518" t="s">
        <v>614</v>
      </c>
      <c r="G38" s="515" t="s">
        <v>1793</v>
      </c>
      <c r="H38" s="514" t="s">
        <v>1224</v>
      </c>
      <c r="I38" s="515"/>
      <c r="J38" s="515">
        <v>4</v>
      </c>
    </row>
    <row r="39" spans="1:10" ht="13.8" thickBot="1">
      <c r="A39" s="517"/>
      <c r="B39" s="518" t="s">
        <v>14239</v>
      </c>
      <c r="C39" s="516"/>
      <c r="D39" s="514" t="s">
        <v>14238</v>
      </c>
      <c r="E39" s="515">
        <v>6.6</v>
      </c>
      <c r="F39" s="518" t="s">
        <v>614</v>
      </c>
      <c r="G39" s="515" t="s">
        <v>1793</v>
      </c>
      <c r="H39" s="514" t="s">
        <v>1841</v>
      </c>
      <c r="I39" s="522"/>
      <c r="J39" s="515">
        <v>9</v>
      </c>
    </row>
    <row r="40" spans="1:10" ht="13.8" thickBot="1">
      <c r="A40" s="517"/>
      <c r="B40" s="518" t="s">
        <v>14237</v>
      </c>
      <c r="C40" s="516"/>
      <c r="D40" s="514" t="s">
        <v>14236</v>
      </c>
      <c r="E40" s="515">
        <v>6.5</v>
      </c>
      <c r="F40" s="518" t="s">
        <v>614</v>
      </c>
      <c r="G40" s="515" t="s">
        <v>1793</v>
      </c>
      <c r="H40" s="514" t="s">
        <v>1251</v>
      </c>
      <c r="I40" s="522"/>
      <c r="J40" s="522">
        <v>6</v>
      </c>
    </row>
    <row r="41" spans="1:10" ht="13.8" thickBot="1">
      <c r="A41" s="517"/>
      <c r="B41" s="518" t="s">
        <v>14235</v>
      </c>
      <c r="C41" s="516"/>
      <c r="D41" s="514" t="s">
        <v>14234</v>
      </c>
      <c r="E41" s="515">
        <v>6.5</v>
      </c>
      <c r="F41" s="518" t="s">
        <v>614</v>
      </c>
      <c r="G41" s="515" t="s">
        <v>1793</v>
      </c>
      <c r="H41" s="514" t="s">
        <v>1226</v>
      </c>
      <c r="I41" s="515">
        <v>1</v>
      </c>
      <c r="J41" s="515">
        <v>8</v>
      </c>
    </row>
    <row r="42" spans="1:10" ht="13.8" thickBot="1">
      <c r="A42" s="517"/>
      <c r="B42" s="518" t="s">
        <v>14233</v>
      </c>
      <c r="C42" s="516"/>
      <c r="D42" s="514" t="s">
        <v>14232</v>
      </c>
      <c r="E42" s="515">
        <v>6.5</v>
      </c>
      <c r="F42" s="518" t="s">
        <v>1854</v>
      </c>
      <c r="G42" s="515" t="s">
        <v>1793</v>
      </c>
      <c r="H42" s="514" t="s">
        <v>1226</v>
      </c>
      <c r="I42" s="515">
        <v>1</v>
      </c>
      <c r="J42" s="515">
        <v>7</v>
      </c>
    </row>
    <row r="43" spans="1:10" ht="13.8" thickBot="1">
      <c r="A43" s="517"/>
      <c r="B43" s="518" t="s">
        <v>14231</v>
      </c>
      <c r="C43" s="516"/>
      <c r="D43" s="514" t="s">
        <v>14230</v>
      </c>
      <c r="E43" s="515">
        <v>6.5</v>
      </c>
      <c r="F43" s="518" t="s">
        <v>614</v>
      </c>
      <c r="G43" s="515" t="s">
        <v>1793</v>
      </c>
      <c r="H43" s="514" t="s">
        <v>1226</v>
      </c>
      <c r="I43" s="522"/>
      <c r="J43" s="515">
        <v>6</v>
      </c>
    </row>
    <row r="44" spans="1:10" ht="13.8" thickBot="1">
      <c r="A44" s="517"/>
      <c r="B44" s="518" t="s">
        <v>14229</v>
      </c>
      <c r="C44" s="516"/>
      <c r="D44" s="514" t="s">
        <v>14228</v>
      </c>
      <c r="E44" s="515">
        <v>6.5</v>
      </c>
      <c r="F44" s="518" t="s">
        <v>614</v>
      </c>
      <c r="G44" s="515" t="s">
        <v>1793</v>
      </c>
      <c r="H44" s="514" t="s">
        <v>1226</v>
      </c>
      <c r="I44" s="515">
        <v>1</v>
      </c>
      <c r="J44" s="515">
        <v>2</v>
      </c>
    </row>
    <row r="45" spans="1:10" ht="13.8" thickBot="1">
      <c r="A45" s="517"/>
      <c r="B45" s="518" t="s">
        <v>14227</v>
      </c>
      <c r="C45" s="516"/>
      <c r="D45" s="514" t="s">
        <v>14226</v>
      </c>
      <c r="E45" s="515">
        <v>6.5</v>
      </c>
      <c r="F45" s="518" t="s">
        <v>614</v>
      </c>
      <c r="G45" s="515" t="s">
        <v>1793</v>
      </c>
      <c r="H45" s="514" t="s">
        <v>1226</v>
      </c>
      <c r="I45" s="515"/>
      <c r="J45" s="515">
        <v>2</v>
      </c>
    </row>
    <row r="46" spans="1:10" ht="13.8" thickBot="1">
      <c r="A46" s="517"/>
      <c r="B46" s="518" t="s">
        <v>14225</v>
      </c>
      <c r="C46" s="516"/>
      <c r="D46" s="514" t="s">
        <v>14224</v>
      </c>
      <c r="E46" s="515">
        <v>6.5</v>
      </c>
      <c r="F46" s="518" t="s">
        <v>614</v>
      </c>
      <c r="G46" s="515" t="s">
        <v>1793</v>
      </c>
      <c r="H46" s="514" t="s">
        <v>1224</v>
      </c>
      <c r="I46" s="515">
        <v>3</v>
      </c>
      <c r="J46" s="515">
        <v>11</v>
      </c>
    </row>
    <row r="47" spans="1:10" ht="13.8" thickBot="1">
      <c r="A47" s="517"/>
      <c r="B47" s="518" t="s">
        <v>14223</v>
      </c>
      <c r="C47" s="516"/>
      <c r="D47" s="519" t="s">
        <v>14222</v>
      </c>
      <c r="E47" s="515">
        <v>6.5</v>
      </c>
      <c r="F47" s="518" t="s">
        <v>1854</v>
      </c>
      <c r="G47" s="515" t="s">
        <v>1793</v>
      </c>
      <c r="H47" s="514"/>
      <c r="I47" s="515">
        <v>1</v>
      </c>
      <c r="J47" s="515">
        <v>4</v>
      </c>
    </row>
    <row r="48" spans="1:10" ht="13.8" thickBot="1">
      <c r="A48" s="517"/>
      <c r="B48" s="518" t="s">
        <v>14221</v>
      </c>
      <c r="C48" s="516"/>
      <c r="D48" s="514" t="s">
        <v>1792</v>
      </c>
      <c r="E48" s="515">
        <v>6.5</v>
      </c>
      <c r="F48" s="518" t="s">
        <v>13841</v>
      </c>
      <c r="G48" s="515" t="s">
        <v>1793</v>
      </c>
      <c r="H48" s="514"/>
      <c r="I48" s="515"/>
      <c r="J48" s="515">
        <v>3</v>
      </c>
    </row>
    <row r="49" spans="1:10" ht="13.8" thickBot="1">
      <c r="A49" s="517"/>
      <c r="B49" s="518" t="s">
        <v>14220</v>
      </c>
      <c r="C49" s="516"/>
      <c r="D49" s="514" t="s">
        <v>14219</v>
      </c>
      <c r="E49" s="515">
        <v>6.5</v>
      </c>
      <c r="F49" s="518" t="s">
        <v>614</v>
      </c>
      <c r="G49" s="515" t="s">
        <v>1793</v>
      </c>
      <c r="H49" s="514"/>
      <c r="I49" s="515"/>
      <c r="J49" s="515">
        <v>3</v>
      </c>
    </row>
    <row r="50" spans="1:10" ht="13.8" thickBot="1">
      <c r="A50" s="517"/>
      <c r="B50" s="518" t="s">
        <v>14218</v>
      </c>
      <c r="C50" s="516"/>
      <c r="D50" s="514" t="s">
        <v>1797</v>
      </c>
      <c r="E50" s="515">
        <v>6.5</v>
      </c>
      <c r="F50" s="518" t="s">
        <v>614</v>
      </c>
      <c r="G50" s="515" t="s">
        <v>1793</v>
      </c>
      <c r="H50" s="514"/>
      <c r="I50" s="522"/>
      <c r="J50" s="522">
        <v>2</v>
      </c>
    </row>
    <row r="51" spans="1:10" ht="13.8" thickBot="1">
      <c r="A51" s="517"/>
      <c r="B51" s="518" t="s">
        <v>14217</v>
      </c>
      <c r="C51" s="516"/>
      <c r="D51" s="514" t="s">
        <v>14216</v>
      </c>
      <c r="E51" s="515">
        <v>6.5</v>
      </c>
      <c r="F51" s="518" t="s">
        <v>1854</v>
      </c>
      <c r="G51" s="515" t="s">
        <v>1793</v>
      </c>
      <c r="H51" s="514"/>
      <c r="I51" s="522">
        <v>1</v>
      </c>
      <c r="J51" s="522">
        <v>2</v>
      </c>
    </row>
    <row r="52" spans="1:10" ht="13.8" thickBot="1">
      <c r="A52" s="517"/>
      <c r="B52" s="518" t="s">
        <v>14215</v>
      </c>
      <c r="C52" s="516"/>
      <c r="D52" s="514" t="s">
        <v>1899</v>
      </c>
      <c r="E52" s="515">
        <v>6.5</v>
      </c>
      <c r="F52" s="514"/>
      <c r="G52" s="515" t="s">
        <v>1793</v>
      </c>
      <c r="H52" s="514"/>
      <c r="I52" s="515">
        <v>1</v>
      </c>
      <c r="J52" s="515">
        <v>2</v>
      </c>
    </row>
    <row r="53" spans="1:10" ht="13.8" thickBot="1">
      <c r="A53" s="517"/>
      <c r="B53" s="518" t="s">
        <v>14214</v>
      </c>
      <c r="C53" s="516"/>
      <c r="D53" s="514" t="s">
        <v>14213</v>
      </c>
      <c r="E53" s="515">
        <v>6.5</v>
      </c>
      <c r="F53" s="514"/>
      <c r="G53" s="515" t="s">
        <v>1793</v>
      </c>
      <c r="H53" s="514"/>
      <c r="I53" s="515"/>
      <c r="J53" s="515"/>
    </row>
    <row r="54" spans="1:10" ht="13.8" thickBot="1">
      <c r="A54" s="517"/>
      <c r="B54" s="518" t="s">
        <v>14212</v>
      </c>
      <c r="C54" s="516"/>
      <c r="D54" s="514" t="s">
        <v>14211</v>
      </c>
      <c r="E54" s="515">
        <v>6.5</v>
      </c>
      <c r="F54" s="514"/>
      <c r="G54" s="515" t="s">
        <v>1793</v>
      </c>
      <c r="H54" s="514"/>
      <c r="I54" s="515"/>
      <c r="J54" s="515"/>
    </row>
    <row r="55" spans="1:10" ht="13.8" thickBot="1">
      <c r="A55" s="517"/>
      <c r="B55" s="518" t="s">
        <v>14210</v>
      </c>
      <c r="C55" s="516"/>
      <c r="D55" s="514" t="s">
        <v>14209</v>
      </c>
      <c r="E55" s="515">
        <v>6.5</v>
      </c>
      <c r="F55" s="514"/>
      <c r="G55" s="515" t="s">
        <v>1793</v>
      </c>
      <c r="H55" s="514"/>
      <c r="I55" s="515"/>
      <c r="J55" s="515"/>
    </row>
    <row r="56" spans="1:10" ht="13.8" thickBot="1">
      <c r="A56" s="517"/>
      <c r="B56" s="518" t="s">
        <v>14208</v>
      </c>
      <c r="C56" s="516"/>
      <c r="D56" s="514" t="s">
        <v>14207</v>
      </c>
      <c r="E56" s="515">
        <v>6.3</v>
      </c>
      <c r="F56" s="518" t="s">
        <v>1978</v>
      </c>
      <c r="G56" s="515" t="s">
        <v>1793</v>
      </c>
      <c r="H56" s="514"/>
      <c r="I56" s="515"/>
      <c r="J56" s="515">
        <v>5</v>
      </c>
    </row>
    <row r="57" spans="1:10" ht="13.8" thickBot="1">
      <c r="A57" s="517"/>
      <c r="B57" s="518" t="s">
        <v>14206</v>
      </c>
      <c r="C57" s="516"/>
      <c r="D57" s="514" t="s">
        <v>14205</v>
      </c>
      <c r="E57" s="515">
        <v>6.25</v>
      </c>
      <c r="F57" s="514"/>
      <c r="G57" s="515" t="s">
        <v>1793</v>
      </c>
      <c r="H57" s="514" t="s">
        <v>1251</v>
      </c>
      <c r="I57" s="515"/>
      <c r="J57" s="515">
        <v>4</v>
      </c>
    </row>
    <row r="58" spans="1:10" ht="13.8" thickBot="1">
      <c r="A58" s="517"/>
      <c r="B58" s="518" t="s">
        <v>14204</v>
      </c>
      <c r="C58" s="516"/>
      <c r="D58" s="514" t="s">
        <v>1792</v>
      </c>
      <c r="E58" s="515">
        <v>6.25</v>
      </c>
      <c r="F58" s="518" t="s">
        <v>614</v>
      </c>
      <c r="G58" s="515" t="s">
        <v>1793</v>
      </c>
      <c r="H58" s="514" t="s">
        <v>1226</v>
      </c>
      <c r="I58" s="515"/>
      <c r="J58" s="515">
        <v>4</v>
      </c>
    </row>
    <row r="59" spans="1:10" ht="13.8" thickBot="1">
      <c r="A59" s="517"/>
      <c r="B59" s="518" t="s">
        <v>14203</v>
      </c>
      <c r="C59" s="516"/>
      <c r="D59" s="514" t="s">
        <v>14202</v>
      </c>
      <c r="E59" s="515">
        <v>6.25</v>
      </c>
      <c r="F59" s="518" t="s">
        <v>614</v>
      </c>
      <c r="G59" s="515" t="s">
        <v>1793</v>
      </c>
      <c r="H59" s="514" t="s">
        <v>1224</v>
      </c>
      <c r="I59" s="515">
        <v>1</v>
      </c>
      <c r="J59" s="515">
        <v>12</v>
      </c>
    </row>
    <row r="60" spans="1:10" ht="13.8" thickBot="1">
      <c r="A60" s="517"/>
      <c r="B60" s="518" t="s">
        <v>14201</v>
      </c>
      <c r="C60" s="516"/>
      <c r="D60" s="514" t="s">
        <v>14200</v>
      </c>
      <c r="E60" s="515">
        <v>6.25</v>
      </c>
      <c r="F60" s="518" t="s">
        <v>614</v>
      </c>
      <c r="G60" s="515" t="s">
        <v>1793</v>
      </c>
      <c r="H60" s="514" t="s">
        <v>1224</v>
      </c>
      <c r="I60" s="515"/>
      <c r="J60" s="515">
        <v>3</v>
      </c>
    </row>
    <row r="61" spans="1:10" ht="13.8" thickBot="1">
      <c r="A61" s="517"/>
      <c r="B61" s="518" t="s">
        <v>14199</v>
      </c>
      <c r="C61" s="516"/>
      <c r="D61" s="514" t="s">
        <v>1792</v>
      </c>
      <c r="E61" s="515">
        <v>6.25</v>
      </c>
      <c r="F61" s="518" t="s">
        <v>614</v>
      </c>
      <c r="G61" s="515" t="s">
        <v>1793</v>
      </c>
      <c r="H61" s="514"/>
      <c r="I61" s="515">
        <v>1</v>
      </c>
      <c r="J61" s="515">
        <v>2</v>
      </c>
    </row>
    <row r="62" spans="1:10" ht="13.8" thickBot="1">
      <c r="A62" s="517"/>
      <c r="B62" s="518" t="s">
        <v>14198</v>
      </c>
      <c r="C62" s="516"/>
      <c r="D62" s="514" t="s">
        <v>14197</v>
      </c>
      <c r="E62" s="515">
        <v>6.25</v>
      </c>
      <c r="F62" s="514"/>
      <c r="G62" s="515" t="s">
        <v>1793</v>
      </c>
      <c r="H62" s="514"/>
      <c r="I62" s="515"/>
      <c r="J62" s="515"/>
    </row>
    <row r="63" spans="1:10" ht="13.8" thickBot="1">
      <c r="A63" s="517"/>
      <c r="B63" s="518" t="s">
        <v>14196</v>
      </c>
      <c r="C63" s="516"/>
      <c r="D63" s="514" t="s">
        <v>14195</v>
      </c>
      <c r="E63" s="515">
        <v>6.1</v>
      </c>
      <c r="F63" s="518" t="s">
        <v>614</v>
      </c>
      <c r="G63" s="515" t="s">
        <v>1793</v>
      </c>
      <c r="H63" s="514" t="s">
        <v>1226</v>
      </c>
      <c r="I63" s="515"/>
      <c r="J63" s="515">
        <v>9</v>
      </c>
    </row>
    <row r="64" spans="1:10" ht="13.8" thickBot="1">
      <c r="A64" s="517"/>
      <c r="B64" s="518" t="s">
        <v>14194</v>
      </c>
      <c r="C64" s="516"/>
      <c r="D64" s="514" t="s">
        <v>14193</v>
      </c>
      <c r="E64" s="515">
        <v>6.1</v>
      </c>
      <c r="F64" s="514"/>
      <c r="G64" s="515" t="s">
        <v>1793</v>
      </c>
      <c r="H64" s="514" t="s">
        <v>1226</v>
      </c>
      <c r="I64" s="515">
        <v>1</v>
      </c>
      <c r="J64" s="515">
        <v>6</v>
      </c>
    </row>
    <row r="65" spans="1:10" ht="13.8" thickBot="1">
      <c r="A65" s="517"/>
      <c r="B65" s="518" t="s">
        <v>14192</v>
      </c>
      <c r="C65" s="516"/>
      <c r="D65" s="514" t="s">
        <v>14191</v>
      </c>
      <c r="E65" s="515">
        <v>6</v>
      </c>
      <c r="F65" s="518" t="s">
        <v>614</v>
      </c>
      <c r="G65" s="515" t="s">
        <v>1793</v>
      </c>
      <c r="H65" s="514" t="s">
        <v>1226</v>
      </c>
      <c r="I65" s="515"/>
      <c r="J65" s="515">
        <v>4</v>
      </c>
    </row>
    <row r="66" spans="1:10" ht="13.8" thickBot="1">
      <c r="A66" s="517"/>
      <c r="B66" s="518" t="s">
        <v>14190</v>
      </c>
      <c r="C66" s="516"/>
      <c r="D66" s="514" t="s">
        <v>14189</v>
      </c>
      <c r="E66" s="515">
        <v>6</v>
      </c>
      <c r="F66" s="518" t="s">
        <v>614</v>
      </c>
      <c r="G66" s="515" t="s">
        <v>1793</v>
      </c>
      <c r="H66" s="514" t="s">
        <v>1224</v>
      </c>
      <c r="I66" s="515">
        <v>1</v>
      </c>
      <c r="J66" s="515">
        <v>5</v>
      </c>
    </row>
    <row r="67" spans="1:10" ht="13.8" thickBot="1">
      <c r="A67" s="517"/>
      <c r="B67" s="518" t="s">
        <v>14188</v>
      </c>
      <c r="C67" s="516"/>
      <c r="D67" s="514" t="s">
        <v>1850</v>
      </c>
      <c r="E67" s="515">
        <v>6</v>
      </c>
      <c r="F67" s="518" t="s">
        <v>614</v>
      </c>
      <c r="G67" s="515" t="s">
        <v>1793</v>
      </c>
      <c r="H67" s="514" t="s">
        <v>1224</v>
      </c>
      <c r="I67" s="515"/>
      <c r="J67" s="515">
        <v>2</v>
      </c>
    </row>
    <row r="68" spans="1:10" ht="13.8" thickBot="1">
      <c r="A68" s="517"/>
      <c r="B68" s="518" t="s">
        <v>14187</v>
      </c>
      <c r="C68" s="516"/>
      <c r="D68" s="514" t="s">
        <v>1874</v>
      </c>
      <c r="E68" s="515">
        <v>6</v>
      </c>
      <c r="F68" s="514"/>
      <c r="G68" s="515" t="s">
        <v>1793</v>
      </c>
      <c r="H68" s="514" t="s">
        <v>1220</v>
      </c>
      <c r="I68" s="515"/>
      <c r="J68" s="515">
        <v>2</v>
      </c>
    </row>
    <row r="69" spans="1:10" ht="13.8" thickBot="1">
      <c r="A69" s="517"/>
      <c r="B69" s="518" t="s">
        <v>14186</v>
      </c>
      <c r="C69" s="516"/>
      <c r="D69" s="514" t="s">
        <v>14185</v>
      </c>
      <c r="E69" s="515">
        <v>6</v>
      </c>
      <c r="F69" s="518" t="s">
        <v>614</v>
      </c>
      <c r="G69" s="515" t="s">
        <v>1793</v>
      </c>
      <c r="H69" s="514"/>
      <c r="I69" s="515">
        <v>1</v>
      </c>
      <c r="J69" s="515">
        <v>4</v>
      </c>
    </row>
    <row r="70" spans="1:10" ht="13.8" thickBot="1">
      <c r="A70" s="517"/>
      <c r="B70" s="518" t="s">
        <v>14184</v>
      </c>
      <c r="C70" s="516"/>
      <c r="D70" s="514" t="s">
        <v>14127</v>
      </c>
      <c r="E70" s="515">
        <v>6</v>
      </c>
      <c r="F70" s="518" t="s">
        <v>614</v>
      </c>
      <c r="G70" s="515" t="s">
        <v>1793</v>
      </c>
      <c r="H70" s="514"/>
      <c r="I70" s="515"/>
      <c r="J70" s="515">
        <v>1</v>
      </c>
    </row>
    <row r="71" spans="1:10" ht="13.8" thickBot="1">
      <c r="A71" s="517"/>
      <c r="B71" s="518" t="s">
        <v>14183</v>
      </c>
      <c r="C71" s="516"/>
      <c r="D71" s="514" t="s">
        <v>14182</v>
      </c>
      <c r="E71" s="515">
        <v>6</v>
      </c>
      <c r="F71" s="518" t="s">
        <v>614</v>
      </c>
      <c r="G71" s="515" t="s">
        <v>1793</v>
      </c>
      <c r="H71" s="514"/>
      <c r="I71" s="522">
        <v>1</v>
      </c>
      <c r="J71" s="515">
        <v>1</v>
      </c>
    </row>
    <row r="72" spans="1:10" ht="13.8" thickBot="1">
      <c r="A72" s="517"/>
      <c r="B72" s="518" t="s">
        <v>14181</v>
      </c>
      <c r="C72" s="516"/>
      <c r="D72" s="514" t="s">
        <v>1874</v>
      </c>
      <c r="E72" s="515">
        <v>6</v>
      </c>
      <c r="F72" s="514"/>
      <c r="G72" s="515" t="s">
        <v>1793</v>
      </c>
      <c r="H72" s="514"/>
      <c r="I72" s="515"/>
      <c r="J72" s="515">
        <v>1</v>
      </c>
    </row>
    <row r="73" spans="1:10" ht="13.8" thickBot="1">
      <c r="A73" s="517"/>
      <c r="B73" s="518" t="s">
        <v>14180</v>
      </c>
      <c r="C73" s="516"/>
      <c r="D73" s="514" t="s">
        <v>14179</v>
      </c>
      <c r="E73" s="515">
        <v>6</v>
      </c>
      <c r="F73" s="514"/>
      <c r="G73" s="515" t="s">
        <v>1793</v>
      </c>
      <c r="H73" s="514"/>
      <c r="I73" s="515"/>
      <c r="J73" s="515"/>
    </row>
    <row r="74" spans="1:10" ht="13.8" thickBot="1">
      <c r="A74" s="517"/>
      <c r="B74" s="518" t="s">
        <v>14178</v>
      </c>
      <c r="C74" s="516"/>
      <c r="D74" s="514" t="s">
        <v>14177</v>
      </c>
      <c r="E74" s="515">
        <v>5.75</v>
      </c>
      <c r="F74" s="518" t="s">
        <v>614</v>
      </c>
      <c r="G74" s="515" t="s">
        <v>1793</v>
      </c>
      <c r="H74" s="514"/>
      <c r="I74" s="515"/>
      <c r="J74" s="515">
        <v>2</v>
      </c>
    </row>
    <row r="75" spans="1:10" ht="13.8" thickBot="1">
      <c r="A75" s="517"/>
      <c r="B75" s="518" t="s">
        <v>14176</v>
      </c>
      <c r="C75" s="516"/>
      <c r="D75" s="514" t="s">
        <v>14175</v>
      </c>
      <c r="E75" s="515">
        <v>5.5</v>
      </c>
      <c r="F75" s="518" t="s">
        <v>614</v>
      </c>
      <c r="G75" s="515" t="s">
        <v>1793</v>
      </c>
      <c r="H75" s="514" t="s">
        <v>1226</v>
      </c>
      <c r="I75" s="515">
        <v>1</v>
      </c>
      <c r="J75" s="515">
        <v>12</v>
      </c>
    </row>
    <row r="76" spans="1:10" ht="13.8" thickBot="1">
      <c r="A76" s="517"/>
      <c r="B76" s="518" t="s">
        <v>14174</v>
      </c>
      <c r="C76" s="516"/>
      <c r="D76" s="514" t="s">
        <v>14101</v>
      </c>
      <c r="E76" s="515">
        <v>5.5</v>
      </c>
      <c r="F76" s="518" t="s">
        <v>614</v>
      </c>
      <c r="G76" s="515" t="s">
        <v>1793</v>
      </c>
      <c r="H76" s="514" t="s">
        <v>1226</v>
      </c>
      <c r="I76" s="515"/>
      <c r="J76" s="515">
        <v>9</v>
      </c>
    </row>
    <row r="77" spans="1:10" ht="13.8" thickBot="1">
      <c r="A77" s="517"/>
      <c r="B77" s="518" t="s">
        <v>14173</v>
      </c>
      <c r="C77" s="516"/>
      <c r="D77" s="514" t="s">
        <v>14172</v>
      </c>
      <c r="E77" s="515">
        <v>5.5</v>
      </c>
      <c r="F77" s="518" t="s">
        <v>614</v>
      </c>
      <c r="G77" s="515" t="s">
        <v>1793</v>
      </c>
      <c r="H77" s="514" t="s">
        <v>1226</v>
      </c>
      <c r="I77" s="515"/>
      <c r="J77" s="515">
        <v>4</v>
      </c>
    </row>
    <row r="78" spans="1:10" ht="13.8" thickBot="1">
      <c r="A78" s="517"/>
      <c r="B78" s="518" t="s">
        <v>14171</v>
      </c>
      <c r="C78" s="516"/>
      <c r="D78" s="514" t="s">
        <v>14170</v>
      </c>
      <c r="E78" s="515">
        <v>5.5</v>
      </c>
      <c r="F78" s="518" t="s">
        <v>614</v>
      </c>
      <c r="G78" s="515" t="s">
        <v>1793</v>
      </c>
      <c r="H78" s="514" t="s">
        <v>1226</v>
      </c>
      <c r="I78" s="522">
        <v>1</v>
      </c>
      <c r="J78" s="522">
        <v>3</v>
      </c>
    </row>
    <row r="79" spans="1:10" ht="13.8" thickBot="1">
      <c r="A79" s="517"/>
      <c r="B79" s="518" t="s">
        <v>14169</v>
      </c>
      <c r="C79" s="516"/>
      <c r="D79" s="514" t="s">
        <v>1852</v>
      </c>
      <c r="E79" s="515">
        <v>5.5</v>
      </c>
      <c r="F79" s="518" t="s">
        <v>1854</v>
      </c>
      <c r="G79" s="515" t="s">
        <v>1793</v>
      </c>
      <c r="H79" s="514" t="s">
        <v>1226</v>
      </c>
      <c r="I79" s="515"/>
      <c r="J79" s="515">
        <v>2</v>
      </c>
    </row>
    <row r="80" spans="1:10" ht="13.8" thickBot="1">
      <c r="A80" s="517"/>
      <c r="B80" s="518" t="s">
        <v>14168</v>
      </c>
      <c r="C80" s="516"/>
      <c r="D80" s="514" t="s">
        <v>1902</v>
      </c>
      <c r="E80" s="515">
        <v>5.5</v>
      </c>
      <c r="F80" s="518" t="s">
        <v>614</v>
      </c>
      <c r="G80" s="515" t="s">
        <v>1793</v>
      </c>
      <c r="H80" s="514" t="s">
        <v>1226</v>
      </c>
      <c r="I80" s="515"/>
      <c r="J80" s="515">
        <v>1</v>
      </c>
    </row>
    <row r="81" spans="1:10" ht="13.8" thickBot="1">
      <c r="A81" s="517"/>
      <c r="B81" s="518" t="s">
        <v>14167</v>
      </c>
      <c r="C81" s="516"/>
      <c r="D81" s="514" t="s">
        <v>1792</v>
      </c>
      <c r="E81" s="515">
        <v>5.5</v>
      </c>
      <c r="F81" s="514"/>
      <c r="G81" s="515" t="s">
        <v>1793</v>
      </c>
      <c r="H81" s="514" t="s">
        <v>1220</v>
      </c>
      <c r="I81" s="515"/>
      <c r="J81" s="515">
        <v>2</v>
      </c>
    </row>
    <row r="82" spans="1:10" ht="13.8" thickBot="1">
      <c r="A82" s="517"/>
      <c r="B82" s="518" t="s">
        <v>14166</v>
      </c>
      <c r="C82" s="516"/>
      <c r="D82" s="514" t="s">
        <v>14165</v>
      </c>
      <c r="E82" s="515">
        <v>5.5</v>
      </c>
      <c r="F82" s="518" t="s">
        <v>614</v>
      </c>
      <c r="G82" s="515" t="s">
        <v>1793</v>
      </c>
      <c r="H82" s="514"/>
      <c r="I82" s="515"/>
      <c r="J82" s="515">
        <v>4</v>
      </c>
    </row>
    <row r="83" spans="1:10" ht="13.8" thickBot="1">
      <c r="A83" s="517"/>
      <c r="B83" s="518" t="s">
        <v>14164</v>
      </c>
      <c r="C83" s="516"/>
      <c r="D83" s="514" t="s">
        <v>14163</v>
      </c>
      <c r="E83" s="515">
        <v>5.5</v>
      </c>
      <c r="F83" s="518" t="s">
        <v>614</v>
      </c>
      <c r="G83" s="515" t="s">
        <v>1793</v>
      </c>
      <c r="H83" s="514"/>
      <c r="I83" s="515"/>
      <c r="J83" s="515">
        <v>1</v>
      </c>
    </row>
    <row r="84" spans="1:10" ht="13.8" thickBot="1">
      <c r="A84" s="517"/>
      <c r="B84" s="518" t="s">
        <v>14162</v>
      </c>
      <c r="C84" s="516"/>
      <c r="D84" s="514" t="s">
        <v>14161</v>
      </c>
      <c r="E84" s="515">
        <v>5.5</v>
      </c>
      <c r="F84" s="514"/>
      <c r="G84" s="515" t="s">
        <v>1793</v>
      </c>
      <c r="H84" s="514"/>
      <c r="I84" s="515"/>
      <c r="J84" s="515"/>
    </row>
    <row r="85" spans="1:10" ht="13.8" thickBot="1">
      <c r="A85" s="517"/>
      <c r="B85" s="518" t="s">
        <v>14160</v>
      </c>
      <c r="C85" s="516"/>
      <c r="D85" s="514" t="s">
        <v>14159</v>
      </c>
      <c r="E85" s="515">
        <v>5.25</v>
      </c>
      <c r="F85" s="518" t="s">
        <v>614</v>
      </c>
      <c r="G85" s="515" t="s">
        <v>1793</v>
      </c>
      <c r="H85" s="514" t="s">
        <v>1226</v>
      </c>
      <c r="I85" s="515"/>
      <c r="J85" s="515">
        <v>3</v>
      </c>
    </row>
    <row r="86" spans="1:10" ht="13.8" thickBot="1">
      <c r="A86" s="517"/>
      <c r="B86" s="518" t="s">
        <v>14158</v>
      </c>
      <c r="C86" s="516"/>
      <c r="D86" s="514" t="s">
        <v>1899</v>
      </c>
      <c r="E86" s="515">
        <v>5.25</v>
      </c>
      <c r="F86" s="518" t="s">
        <v>1854</v>
      </c>
      <c r="G86" s="515" t="s">
        <v>1793</v>
      </c>
      <c r="H86" s="514"/>
      <c r="I86" s="515"/>
      <c r="J86" s="515">
        <v>2</v>
      </c>
    </row>
    <row r="87" spans="1:10" ht="13.8" thickBot="1">
      <c r="A87" s="517"/>
      <c r="B87" s="518" t="s">
        <v>14157</v>
      </c>
      <c r="C87" s="516"/>
      <c r="D87" s="514" t="s">
        <v>14156</v>
      </c>
      <c r="E87" s="515">
        <v>5</v>
      </c>
      <c r="F87" s="518" t="s">
        <v>614</v>
      </c>
      <c r="G87" s="515" t="s">
        <v>1793</v>
      </c>
      <c r="H87" s="514" t="s">
        <v>1841</v>
      </c>
      <c r="I87" s="522"/>
      <c r="J87" s="522">
        <v>10</v>
      </c>
    </row>
    <row r="88" spans="1:10" ht="13.8" thickBot="1">
      <c r="A88" s="517"/>
      <c r="B88" s="518" t="s">
        <v>14155</v>
      </c>
      <c r="C88" s="516"/>
      <c r="D88" s="514" t="s">
        <v>14154</v>
      </c>
      <c r="E88" s="515">
        <v>5</v>
      </c>
      <c r="F88" s="514"/>
      <c r="G88" s="515" t="s">
        <v>1793</v>
      </c>
      <c r="H88" s="514" t="s">
        <v>1226</v>
      </c>
      <c r="I88" s="515">
        <v>2</v>
      </c>
      <c r="J88" s="515">
        <v>5</v>
      </c>
    </row>
    <row r="89" spans="1:10" ht="13.8" thickBot="1">
      <c r="A89" s="517"/>
      <c r="B89" s="518" t="s">
        <v>14153</v>
      </c>
      <c r="C89" s="516"/>
      <c r="D89" s="514" t="s">
        <v>1792</v>
      </c>
      <c r="E89" s="515">
        <v>5</v>
      </c>
      <c r="F89" s="518" t="s">
        <v>1854</v>
      </c>
      <c r="G89" s="515" t="s">
        <v>1793</v>
      </c>
      <c r="H89" s="514" t="s">
        <v>1226</v>
      </c>
      <c r="I89" s="515">
        <v>2</v>
      </c>
      <c r="J89" s="515">
        <v>4</v>
      </c>
    </row>
    <row r="90" spans="1:10" ht="13.8" thickBot="1">
      <c r="A90" s="517"/>
      <c r="B90" s="518" t="s">
        <v>14152</v>
      </c>
      <c r="C90" s="516"/>
      <c r="D90" s="514" t="s">
        <v>1792</v>
      </c>
      <c r="E90" s="515">
        <v>5</v>
      </c>
      <c r="F90" s="518" t="s">
        <v>614</v>
      </c>
      <c r="G90" s="515" t="s">
        <v>1793</v>
      </c>
      <c r="H90" s="514" t="s">
        <v>1226</v>
      </c>
      <c r="I90" s="515"/>
      <c r="J90" s="515">
        <v>2</v>
      </c>
    </row>
    <row r="91" spans="1:10" ht="13.8" thickBot="1">
      <c r="A91" s="517"/>
      <c r="B91" s="518" t="s">
        <v>14151</v>
      </c>
      <c r="C91" s="516"/>
      <c r="D91" s="514" t="s">
        <v>14150</v>
      </c>
      <c r="E91" s="515">
        <v>5</v>
      </c>
      <c r="F91" s="518" t="s">
        <v>614</v>
      </c>
      <c r="G91" s="515" t="s">
        <v>1793</v>
      </c>
      <c r="H91" s="514" t="s">
        <v>1226</v>
      </c>
      <c r="I91" s="515"/>
      <c r="J91" s="515">
        <v>1</v>
      </c>
    </row>
    <row r="92" spans="1:10" ht="13.8" thickBot="1">
      <c r="A92" s="517"/>
      <c r="B92" s="518" t="s">
        <v>14149</v>
      </c>
      <c r="C92" s="516"/>
      <c r="D92" s="514" t="s">
        <v>14148</v>
      </c>
      <c r="E92" s="515">
        <v>5</v>
      </c>
      <c r="F92" s="518" t="s">
        <v>614</v>
      </c>
      <c r="G92" s="515" t="s">
        <v>1793</v>
      </c>
      <c r="H92" s="514" t="s">
        <v>1224</v>
      </c>
      <c r="I92" s="515"/>
      <c r="J92" s="515">
        <v>4</v>
      </c>
    </row>
    <row r="93" spans="1:10" ht="13.8" thickBot="1">
      <c r="A93" s="517"/>
      <c r="B93" s="518" t="s">
        <v>14147</v>
      </c>
      <c r="C93" s="516"/>
      <c r="D93" s="514" t="s">
        <v>14146</v>
      </c>
      <c r="E93" s="515">
        <v>5</v>
      </c>
      <c r="F93" s="518" t="s">
        <v>1854</v>
      </c>
      <c r="G93" s="515" t="s">
        <v>1793</v>
      </c>
      <c r="H93" s="514" t="s">
        <v>1224</v>
      </c>
      <c r="I93" s="515"/>
      <c r="J93" s="515">
        <v>2</v>
      </c>
    </row>
    <row r="94" spans="1:10" ht="13.8" thickBot="1">
      <c r="A94" s="517"/>
      <c r="B94" s="518" t="s">
        <v>14145</v>
      </c>
      <c r="C94" s="516"/>
      <c r="D94" s="514" t="s">
        <v>1792</v>
      </c>
      <c r="E94" s="515">
        <v>5</v>
      </c>
      <c r="F94" s="518" t="s">
        <v>1854</v>
      </c>
      <c r="G94" s="515" t="s">
        <v>1793</v>
      </c>
      <c r="H94" s="514" t="s">
        <v>1224</v>
      </c>
      <c r="I94" s="515"/>
      <c r="J94" s="515">
        <v>1</v>
      </c>
    </row>
    <row r="95" spans="1:10" ht="13.8" thickBot="1">
      <c r="A95" s="517"/>
      <c r="B95" s="518" t="s">
        <v>14144</v>
      </c>
      <c r="C95" s="516"/>
      <c r="D95" s="514" t="s">
        <v>14143</v>
      </c>
      <c r="E95" s="515">
        <v>5</v>
      </c>
      <c r="F95" s="518" t="s">
        <v>1854</v>
      </c>
      <c r="G95" s="515" t="s">
        <v>1793</v>
      </c>
      <c r="H95" s="514" t="s">
        <v>1224</v>
      </c>
      <c r="I95" s="515"/>
      <c r="J95" s="515">
        <v>1</v>
      </c>
    </row>
    <row r="96" spans="1:10" ht="13.8" thickBot="1">
      <c r="A96" s="517"/>
      <c r="B96" s="518" t="s">
        <v>14142</v>
      </c>
      <c r="C96" s="516"/>
      <c r="D96" s="514" t="s">
        <v>1874</v>
      </c>
      <c r="E96" s="515">
        <v>5</v>
      </c>
      <c r="F96" s="514"/>
      <c r="G96" s="515" t="s">
        <v>1793</v>
      </c>
      <c r="H96" s="514" t="s">
        <v>1224</v>
      </c>
      <c r="I96" s="515"/>
      <c r="J96" s="515">
        <v>1</v>
      </c>
    </row>
    <row r="97" spans="1:10" ht="13.8" thickBot="1">
      <c r="A97" s="517"/>
      <c r="B97" s="518" t="s">
        <v>14141</v>
      </c>
      <c r="C97" s="516"/>
      <c r="D97" s="514" t="s">
        <v>14140</v>
      </c>
      <c r="E97" s="515">
        <v>5</v>
      </c>
      <c r="F97" s="518" t="s">
        <v>1854</v>
      </c>
      <c r="G97" s="515" t="s">
        <v>1793</v>
      </c>
      <c r="H97" s="514"/>
      <c r="I97" s="522"/>
      <c r="J97" s="522">
        <v>13</v>
      </c>
    </row>
    <row r="98" spans="1:10" ht="13.8" thickBot="1">
      <c r="A98" s="517"/>
      <c r="B98" s="518" t="s">
        <v>14139</v>
      </c>
      <c r="C98" s="516"/>
      <c r="D98" s="514" t="s">
        <v>1850</v>
      </c>
      <c r="E98" s="515">
        <v>5</v>
      </c>
      <c r="F98" s="518" t="s">
        <v>614</v>
      </c>
      <c r="G98" s="515" t="s">
        <v>1793</v>
      </c>
      <c r="H98" s="514"/>
      <c r="I98" s="522">
        <v>1</v>
      </c>
      <c r="J98" s="522">
        <v>5</v>
      </c>
    </row>
    <row r="99" spans="1:10" ht="13.8" thickBot="1">
      <c r="A99" s="517"/>
      <c r="B99" s="518" t="s">
        <v>14138</v>
      </c>
      <c r="C99" s="516"/>
      <c r="D99" s="514" t="s">
        <v>14137</v>
      </c>
      <c r="E99" s="515">
        <v>5</v>
      </c>
      <c r="F99" s="518" t="s">
        <v>614</v>
      </c>
      <c r="G99" s="515" t="s">
        <v>1793</v>
      </c>
      <c r="H99" s="514"/>
      <c r="I99" s="515"/>
      <c r="J99" s="515">
        <v>3</v>
      </c>
    </row>
    <row r="100" spans="1:10" ht="13.8" thickBot="1">
      <c r="A100" s="517"/>
      <c r="B100" s="518" t="s">
        <v>14136</v>
      </c>
      <c r="C100" s="516"/>
      <c r="D100" s="514" t="s">
        <v>14135</v>
      </c>
      <c r="E100" s="515">
        <v>5</v>
      </c>
      <c r="F100" s="518" t="s">
        <v>614</v>
      </c>
      <c r="G100" s="515" t="s">
        <v>1793</v>
      </c>
      <c r="H100" s="514"/>
      <c r="I100" s="522"/>
      <c r="J100" s="522">
        <v>2</v>
      </c>
    </row>
    <row r="101" spans="1:10" ht="13.8" thickBot="1">
      <c r="A101" s="517"/>
      <c r="B101" s="518" t="s">
        <v>14134</v>
      </c>
      <c r="C101" s="516"/>
      <c r="D101" s="514" t="s">
        <v>14133</v>
      </c>
      <c r="E101" s="515">
        <v>5</v>
      </c>
      <c r="F101" s="514"/>
      <c r="G101" s="515" t="s">
        <v>1793</v>
      </c>
      <c r="H101" s="514"/>
      <c r="I101" s="515"/>
      <c r="J101" s="515">
        <v>2</v>
      </c>
    </row>
    <row r="102" spans="1:10" ht="13.8" thickBot="1">
      <c r="A102" s="517"/>
      <c r="B102" s="518" t="s">
        <v>14132</v>
      </c>
      <c r="C102" s="516"/>
      <c r="D102" s="514" t="s">
        <v>14131</v>
      </c>
      <c r="E102" s="515">
        <v>5</v>
      </c>
      <c r="F102" s="518" t="s">
        <v>614</v>
      </c>
      <c r="G102" s="515" t="s">
        <v>1793</v>
      </c>
      <c r="H102" s="514"/>
      <c r="I102" s="515"/>
      <c r="J102" s="515">
        <v>1</v>
      </c>
    </row>
    <row r="103" spans="1:10" ht="13.8" thickBot="1">
      <c r="A103" s="517"/>
      <c r="B103" s="518" t="s">
        <v>14130</v>
      </c>
      <c r="C103" s="516"/>
      <c r="D103" s="514" t="s">
        <v>14129</v>
      </c>
      <c r="E103" s="515">
        <v>5</v>
      </c>
      <c r="F103" s="518" t="s">
        <v>614</v>
      </c>
      <c r="G103" s="515" t="s">
        <v>1793</v>
      </c>
      <c r="H103" s="514"/>
      <c r="I103" s="515"/>
      <c r="J103" s="515">
        <v>1</v>
      </c>
    </row>
    <row r="104" spans="1:10" ht="13.8" thickBot="1">
      <c r="A104" s="517"/>
      <c r="B104" s="518" t="s">
        <v>14128</v>
      </c>
      <c r="C104" s="516"/>
      <c r="D104" s="514" t="s">
        <v>14127</v>
      </c>
      <c r="E104" s="515">
        <v>5</v>
      </c>
      <c r="F104" s="518" t="s">
        <v>614</v>
      </c>
      <c r="G104" s="515" t="s">
        <v>1793</v>
      </c>
      <c r="H104" s="514"/>
      <c r="I104" s="515"/>
      <c r="J104" s="515">
        <v>1</v>
      </c>
    </row>
    <row r="105" spans="1:10" ht="13.8" thickBot="1">
      <c r="A105" s="517"/>
      <c r="B105" s="518" t="s">
        <v>14126</v>
      </c>
      <c r="C105" s="516"/>
      <c r="D105" s="514" t="s">
        <v>14125</v>
      </c>
      <c r="E105" s="515">
        <v>5</v>
      </c>
      <c r="F105" s="518" t="s">
        <v>1854</v>
      </c>
      <c r="G105" s="515" t="s">
        <v>1793</v>
      </c>
      <c r="H105" s="514"/>
      <c r="I105" s="515"/>
      <c r="J105" s="515">
        <v>1</v>
      </c>
    </row>
    <row r="106" spans="1:10" ht="13.8" thickBot="1">
      <c r="A106" s="517"/>
      <c r="B106" s="518" t="s">
        <v>14124</v>
      </c>
      <c r="C106" s="516"/>
      <c r="D106" s="514" t="s">
        <v>1792</v>
      </c>
      <c r="E106" s="515">
        <v>5</v>
      </c>
      <c r="F106" s="518" t="s">
        <v>1854</v>
      </c>
      <c r="G106" s="515" t="s">
        <v>1793</v>
      </c>
      <c r="H106" s="514"/>
      <c r="I106" s="515"/>
      <c r="J106" s="515">
        <v>1</v>
      </c>
    </row>
    <row r="107" spans="1:10" ht="13.8" thickBot="1">
      <c r="A107" s="517"/>
      <c r="B107" s="518" t="s">
        <v>14123</v>
      </c>
      <c r="C107" s="516"/>
      <c r="D107" s="514" t="s">
        <v>1792</v>
      </c>
      <c r="E107" s="515">
        <v>5</v>
      </c>
      <c r="F107" s="518" t="s">
        <v>1854</v>
      </c>
      <c r="G107" s="515" t="s">
        <v>1793</v>
      </c>
      <c r="H107" s="514"/>
      <c r="I107" s="515">
        <v>1</v>
      </c>
      <c r="J107" s="515">
        <v>1</v>
      </c>
    </row>
    <row r="108" spans="1:10" ht="13.8" thickBot="1">
      <c r="A108" s="517"/>
      <c r="B108" s="518" t="s">
        <v>14122</v>
      </c>
      <c r="C108" s="516"/>
      <c r="D108" s="514" t="s">
        <v>1792</v>
      </c>
      <c r="E108" s="515">
        <v>5</v>
      </c>
      <c r="F108" s="518" t="s">
        <v>1854</v>
      </c>
      <c r="G108" s="515" t="s">
        <v>1793</v>
      </c>
      <c r="H108" s="514"/>
      <c r="I108" s="515"/>
      <c r="J108" s="515">
        <v>1</v>
      </c>
    </row>
    <row r="109" spans="1:10" ht="13.8" thickBot="1">
      <c r="A109" s="517"/>
      <c r="B109" s="518" t="s">
        <v>14121</v>
      </c>
      <c r="C109" s="516"/>
      <c r="D109" s="514" t="s">
        <v>1792</v>
      </c>
      <c r="E109" s="515">
        <v>5</v>
      </c>
      <c r="F109" s="518" t="s">
        <v>614</v>
      </c>
      <c r="G109" s="515" t="s">
        <v>1793</v>
      </c>
      <c r="H109" s="514"/>
      <c r="I109" s="515"/>
      <c r="J109" s="515">
        <v>1</v>
      </c>
    </row>
    <row r="110" spans="1:10" ht="13.8" thickBot="1">
      <c r="A110" s="517"/>
      <c r="B110" s="518" t="s">
        <v>14120</v>
      </c>
      <c r="C110" s="516"/>
      <c r="D110" s="514" t="s">
        <v>1792</v>
      </c>
      <c r="E110" s="515">
        <v>5</v>
      </c>
      <c r="F110" s="514"/>
      <c r="G110" s="515" t="s">
        <v>1793</v>
      </c>
      <c r="H110" s="514"/>
      <c r="I110" s="515"/>
      <c r="J110" s="515">
        <v>1</v>
      </c>
    </row>
    <row r="111" spans="1:10" ht="13.8" thickBot="1">
      <c r="A111" s="517"/>
      <c r="B111" s="518" t="s">
        <v>14119</v>
      </c>
      <c r="C111" s="516"/>
      <c r="D111" s="514" t="s">
        <v>1792</v>
      </c>
      <c r="E111" s="515">
        <v>5</v>
      </c>
      <c r="F111" s="514"/>
      <c r="G111" s="515" t="s">
        <v>1793</v>
      </c>
      <c r="H111" s="514"/>
      <c r="I111" s="515"/>
      <c r="J111" s="515">
        <v>1</v>
      </c>
    </row>
    <row r="112" spans="1:10" ht="13.8" thickBot="1">
      <c r="A112" s="517"/>
      <c r="B112" s="518" t="s">
        <v>14118</v>
      </c>
      <c r="C112" s="516"/>
      <c r="D112" s="514" t="s">
        <v>1802</v>
      </c>
      <c r="E112" s="515">
        <v>5</v>
      </c>
      <c r="F112" s="518" t="s">
        <v>1854</v>
      </c>
      <c r="G112" s="515" t="s">
        <v>1793</v>
      </c>
      <c r="H112" s="514"/>
      <c r="I112" s="515"/>
      <c r="J112" s="515"/>
    </row>
    <row r="113" spans="1:10" ht="13.8" thickBot="1">
      <c r="A113" s="517"/>
      <c r="B113" s="518" t="s">
        <v>14117</v>
      </c>
      <c r="C113" s="516"/>
      <c r="D113" s="514" t="s">
        <v>1792</v>
      </c>
      <c r="E113" s="515">
        <v>5</v>
      </c>
      <c r="F113" s="518" t="s">
        <v>1854</v>
      </c>
      <c r="G113" s="515" t="s">
        <v>1793</v>
      </c>
      <c r="H113" s="514"/>
      <c r="I113" s="515"/>
      <c r="J113" s="515"/>
    </row>
    <row r="114" spans="1:10" ht="13.8" thickBot="1">
      <c r="A114" s="517"/>
      <c r="B114" s="518" t="s">
        <v>14116</v>
      </c>
      <c r="C114" s="516"/>
      <c r="D114" s="514" t="s">
        <v>14115</v>
      </c>
      <c r="E114" s="515">
        <v>5</v>
      </c>
      <c r="F114" s="518" t="s">
        <v>11609</v>
      </c>
      <c r="G114" s="515" t="s">
        <v>1793</v>
      </c>
      <c r="H114" s="514"/>
      <c r="I114" s="515"/>
      <c r="J114" s="515"/>
    </row>
    <row r="115" spans="1:10" ht="13.8" thickBot="1">
      <c r="A115" s="517"/>
      <c r="B115" s="518" t="s">
        <v>14114</v>
      </c>
      <c r="C115" s="516"/>
      <c r="D115" s="514" t="s">
        <v>14113</v>
      </c>
      <c r="E115" s="515">
        <v>5</v>
      </c>
      <c r="F115" s="514"/>
      <c r="G115" s="515" t="s">
        <v>1793</v>
      </c>
      <c r="H115" s="514"/>
      <c r="I115" s="515"/>
      <c r="J115" s="515"/>
    </row>
    <row r="116" spans="1:10" ht="13.8" thickBot="1">
      <c r="A116" s="517"/>
      <c r="B116" s="518" t="s">
        <v>14112</v>
      </c>
      <c r="C116" s="516"/>
      <c r="D116" s="514" t="s">
        <v>14111</v>
      </c>
      <c r="E116" s="515">
        <v>4.5</v>
      </c>
      <c r="F116" s="518" t="s">
        <v>1854</v>
      </c>
      <c r="G116" s="515" t="s">
        <v>1793</v>
      </c>
      <c r="H116" s="514" t="s">
        <v>1226</v>
      </c>
      <c r="I116" s="515"/>
      <c r="J116" s="515">
        <v>3</v>
      </c>
    </row>
    <row r="117" spans="1:10" ht="13.8" thickBot="1">
      <c r="A117" s="517"/>
      <c r="B117" s="518" t="s">
        <v>14110</v>
      </c>
      <c r="C117" s="516"/>
      <c r="D117" s="514" t="s">
        <v>14109</v>
      </c>
      <c r="E117" s="515">
        <v>4.5</v>
      </c>
      <c r="F117" s="518" t="s">
        <v>614</v>
      </c>
      <c r="G117" s="515" t="s">
        <v>1793</v>
      </c>
      <c r="H117" s="514"/>
      <c r="I117" s="515"/>
      <c r="J117" s="515">
        <v>1</v>
      </c>
    </row>
    <row r="118" spans="1:10" ht="13.8" thickBot="1">
      <c r="A118" s="517"/>
      <c r="B118" s="518" t="s">
        <v>14108</v>
      </c>
      <c r="C118" s="516"/>
      <c r="D118" s="514" t="s">
        <v>1792</v>
      </c>
      <c r="E118" s="515">
        <v>4.5</v>
      </c>
      <c r="F118" s="514"/>
      <c r="G118" s="515" t="s">
        <v>1793</v>
      </c>
      <c r="H118" s="514"/>
      <c r="I118" s="515"/>
      <c r="J118" s="515"/>
    </row>
    <row r="119" spans="1:10" ht="13.8" thickBot="1">
      <c r="A119" s="517"/>
      <c r="B119" s="518" t="s">
        <v>14107</v>
      </c>
      <c r="C119" s="516"/>
      <c r="D119" s="514" t="s">
        <v>14106</v>
      </c>
      <c r="E119" s="515">
        <v>4</v>
      </c>
      <c r="F119" s="518" t="s">
        <v>1854</v>
      </c>
      <c r="G119" s="515" t="s">
        <v>1793</v>
      </c>
      <c r="H119" s="514" t="s">
        <v>1226</v>
      </c>
      <c r="I119" s="515"/>
      <c r="J119" s="515">
        <v>1</v>
      </c>
    </row>
    <row r="120" spans="1:10" ht="13.8" thickBot="1">
      <c r="A120" s="517"/>
      <c r="B120" s="518" t="s">
        <v>14105</v>
      </c>
      <c r="C120" s="516"/>
      <c r="D120" s="514" t="s">
        <v>1792</v>
      </c>
      <c r="E120" s="515">
        <v>4</v>
      </c>
      <c r="F120" s="514"/>
      <c r="G120" s="515" t="s">
        <v>1793</v>
      </c>
      <c r="H120" s="514" t="s">
        <v>1226</v>
      </c>
      <c r="I120" s="515"/>
      <c r="J120" s="515">
        <v>1</v>
      </c>
    </row>
    <row r="121" spans="1:10" ht="13.8" thickBot="1">
      <c r="A121" s="517"/>
      <c r="B121" s="518" t="s">
        <v>14104</v>
      </c>
      <c r="C121" s="516"/>
      <c r="D121" s="514" t="s">
        <v>1792</v>
      </c>
      <c r="E121" s="515">
        <v>4</v>
      </c>
      <c r="F121" s="518" t="s">
        <v>1854</v>
      </c>
      <c r="G121" s="515" t="s">
        <v>1793</v>
      </c>
      <c r="H121" s="514" t="s">
        <v>1224</v>
      </c>
      <c r="I121" s="515"/>
      <c r="J121" s="515">
        <v>2</v>
      </c>
    </row>
    <row r="122" spans="1:10" ht="13.8" thickBot="1">
      <c r="A122" s="517"/>
      <c r="B122" s="518" t="s">
        <v>14103</v>
      </c>
      <c r="C122" s="516"/>
      <c r="D122" s="514" t="s">
        <v>1792</v>
      </c>
      <c r="E122" s="515">
        <v>4</v>
      </c>
      <c r="F122" s="518" t="s">
        <v>1854</v>
      </c>
      <c r="G122" s="515" t="s">
        <v>1793</v>
      </c>
      <c r="H122" s="514" t="s">
        <v>1224</v>
      </c>
      <c r="I122" s="515"/>
      <c r="J122" s="515">
        <v>1</v>
      </c>
    </row>
    <row r="123" spans="1:10" ht="13.8" thickBot="1">
      <c r="A123" s="517"/>
      <c r="B123" s="518" t="s">
        <v>14102</v>
      </c>
      <c r="C123" s="516"/>
      <c r="D123" s="514" t="s">
        <v>14101</v>
      </c>
      <c r="E123" s="515">
        <v>4</v>
      </c>
      <c r="F123" s="514"/>
      <c r="G123" s="515" t="s">
        <v>1793</v>
      </c>
      <c r="H123" s="514" t="s">
        <v>1224</v>
      </c>
      <c r="I123" s="515"/>
      <c r="J123" s="515">
        <v>1</v>
      </c>
    </row>
    <row r="124" spans="1:10" ht="13.8" thickBot="1">
      <c r="A124" s="517"/>
      <c r="B124" s="518" t="s">
        <v>14100</v>
      </c>
      <c r="C124" s="516"/>
      <c r="D124" s="514" t="s">
        <v>1797</v>
      </c>
      <c r="E124" s="515">
        <v>4</v>
      </c>
      <c r="F124" s="514"/>
      <c r="G124" s="515" t="s">
        <v>1793</v>
      </c>
      <c r="H124" s="514" t="s">
        <v>1224</v>
      </c>
      <c r="I124" s="515"/>
      <c r="J124" s="515">
        <v>1</v>
      </c>
    </row>
    <row r="125" spans="1:10" ht="13.8" thickBot="1">
      <c r="A125" s="517"/>
      <c r="B125" s="518" t="s">
        <v>14099</v>
      </c>
      <c r="C125" s="516"/>
      <c r="D125" s="514" t="s">
        <v>1801</v>
      </c>
      <c r="E125" s="515">
        <v>4</v>
      </c>
      <c r="F125" s="518" t="s">
        <v>1854</v>
      </c>
      <c r="G125" s="515" t="s">
        <v>1793</v>
      </c>
      <c r="H125" s="514"/>
      <c r="I125" s="522"/>
      <c r="J125" s="522">
        <v>2</v>
      </c>
    </row>
    <row r="126" spans="1:10" ht="13.8" thickBot="1">
      <c r="A126" s="517"/>
      <c r="B126" s="518" t="s">
        <v>14098</v>
      </c>
      <c r="C126" s="516"/>
      <c r="D126" s="514" t="s">
        <v>1792</v>
      </c>
      <c r="E126" s="515">
        <v>4</v>
      </c>
      <c r="F126" s="518" t="s">
        <v>1854</v>
      </c>
      <c r="G126" s="515" t="s">
        <v>1793</v>
      </c>
      <c r="H126" s="514"/>
      <c r="I126" s="515"/>
      <c r="J126" s="515">
        <v>1</v>
      </c>
    </row>
    <row r="127" spans="1:10" ht="13.8" thickBot="1">
      <c r="A127" s="517"/>
      <c r="B127" s="518" t="s">
        <v>14097</v>
      </c>
      <c r="C127" s="516"/>
      <c r="D127" s="514" t="s">
        <v>1792</v>
      </c>
      <c r="E127" s="515">
        <v>4</v>
      </c>
      <c r="F127" s="518" t="s">
        <v>1854</v>
      </c>
      <c r="G127" s="515" t="s">
        <v>1793</v>
      </c>
      <c r="H127" s="514"/>
      <c r="I127" s="515"/>
      <c r="J127" s="515"/>
    </row>
    <row r="128" spans="1:10" ht="13.8" thickBot="1">
      <c r="A128" s="517"/>
      <c r="B128" s="518" t="s">
        <v>14096</v>
      </c>
      <c r="C128" s="516"/>
      <c r="D128" s="514" t="s">
        <v>1792</v>
      </c>
      <c r="E128" s="515">
        <v>4</v>
      </c>
      <c r="F128" s="514"/>
      <c r="G128" s="515" t="s">
        <v>1793</v>
      </c>
      <c r="H128" s="514"/>
      <c r="I128" s="515"/>
      <c r="J128" s="515"/>
    </row>
    <row r="129" spans="1:10" ht="13.8" thickBot="1">
      <c r="A129" s="517"/>
      <c r="B129" s="518" t="s">
        <v>14095</v>
      </c>
      <c r="C129" s="516"/>
      <c r="D129" s="514" t="s">
        <v>14094</v>
      </c>
      <c r="E129" s="515">
        <v>3.5</v>
      </c>
      <c r="F129" s="518" t="s">
        <v>614</v>
      </c>
      <c r="G129" s="515" t="s">
        <v>1793</v>
      </c>
      <c r="H129" s="514"/>
      <c r="I129" s="515"/>
      <c r="J129" s="515">
        <v>1</v>
      </c>
    </row>
    <row r="130" spans="1:10" ht="13.8" thickBot="1">
      <c r="A130" s="517"/>
      <c r="B130" s="518" t="s">
        <v>14093</v>
      </c>
      <c r="C130" s="516"/>
      <c r="D130" s="514" t="s">
        <v>1802</v>
      </c>
      <c r="E130" s="529">
        <v>3.5</v>
      </c>
      <c r="F130" s="514"/>
      <c r="G130" s="515" t="s">
        <v>1793</v>
      </c>
      <c r="H130" s="514"/>
      <c r="I130" s="515"/>
      <c r="J130" s="515">
        <v>1</v>
      </c>
    </row>
    <row r="131" spans="1:10" ht="13.8" thickBot="1">
      <c r="A131" s="517"/>
      <c r="B131" s="518" t="s">
        <v>14092</v>
      </c>
      <c r="C131" s="516"/>
      <c r="D131" s="514" t="s">
        <v>14091</v>
      </c>
      <c r="E131" s="515">
        <v>3</v>
      </c>
      <c r="F131" s="518" t="s">
        <v>1854</v>
      </c>
      <c r="G131" s="515" t="s">
        <v>1793</v>
      </c>
      <c r="H131" s="514" t="s">
        <v>1224</v>
      </c>
      <c r="I131" s="515"/>
      <c r="J131" s="515">
        <v>1</v>
      </c>
    </row>
    <row r="132" spans="1:10" ht="13.8" thickBot="1">
      <c r="A132" s="517"/>
      <c r="B132" s="518" t="s">
        <v>14090</v>
      </c>
      <c r="C132" s="516"/>
      <c r="D132" s="514" t="s">
        <v>1792</v>
      </c>
      <c r="E132" s="515">
        <v>3</v>
      </c>
      <c r="F132" s="518" t="s">
        <v>1854</v>
      </c>
      <c r="G132" s="515" t="s">
        <v>1793</v>
      </c>
      <c r="H132" s="514" t="s">
        <v>1224</v>
      </c>
      <c r="I132" s="515"/>
      <c r="J132" s="515">
        <v>1</v>
      </c>
    </row>
    <row r="133" spans="1:10" ht="13.8" thickBot="1">
      <c r="A133" s="517"/>
      <c r="B133" s="518" t="s">
        <v>14089</v>
      </c>
      <c r="C133" s="516"/>
      <c r="D133" s="514" t="s">
        <v>1874</v>
      </c>
      <c r="E133" s="515">
        <v>3</v>
      </c>
      <c r="F133" s="518" t="s">
        <v>1854</v>
      </c>
      <c r="G133" s="515" t="s">
        <v>1793</v>
      </c>
      <c r="H133" s="514"/>
      <c r="I133" s="515"/>
      <c r="J133" s="515">
        <v>2</v>
      </c>
    </row>
    <row r="134" spans="1:10" ht="13.8" thickBot="1">
      <c r="A134" s="517"/>
      <c r="B134" s="518" t="s">
        <v>14088</v>
      </c>
      <c r="C134" s="516"/>
      <c r="D134" s="514" t="s">
        <v>13991</v>
      </c>
      <c r="E134" s="515">
        <v>3</v>
      </c>
      <c r="F134" s="514"/>
      <c r="G134" s="515" t="s">
        <v>1793</v>
      </c>
      <c r="H134" s="514"/>
      <c r="I134" s="515"/>
      <c r="J134" s="515">
        <v>2</v>
      </c>
    </row>
    <row r="135" spans="1:10" ht="13.8" thickBot="1">
      <c r="A135" s="517"/>
      <c r="B135" s="518" t="s">
        <v>14087</v>
      </c>
      <c r="C135" s="516"/>
      <c r="D135" s="514" t="s">
        <v>14086</v>
      </c>
      <c r="E135" s="515">
        <v>3</v>
      </c>
      <c r="F135" s="518" t="s">
        <v>1978</v>
      </c>
      <c r="G135" s="515" t="s">
        <v>1793</v>
      </c>
      <c r="H135" s="514"/>
      <c r="I135" s="515"/>
      <c r="J135" s="515">
        <v>1</v>
      </c>
    </row>
    <row r="136" spans="1:10" ht="13.8" thickBot="1">
      <c r="A136" s="517"/>
      <c r="B136" s="518" t="s">
        <v>14085</v>
      </c>
      <c r="C136" s="516"/>
      <c r="D136" s="514" t="s">
        <v>14084</v>
      </c>
      <c r="E136" s="515">
        <v>3</v>
      </c>
      <c r="F136" s="518" t="s">
        <v>1854</v>
      </c>
      <c r="G136" s="515" t="s">
        <v>1793</v>
      </c>
      <c r="H136" s="514"/>
      <c r="I136" s="515"/>
      <c r="J136" s="515">
        <v>1</v>
      </c>
    </row>
    <row r="137" spans="1:10" ht="13.8" thickBot="1">
      <c r="A137" s="517"/>
      <c r="B137" s="518" t="s">
        <v>14083</v>
      </c>
      <c r="C137" s="516"/>
      <c r="D137" s="514" t="s">
        <v>1792</v>
      </c>
      <c r="E137" s="515">
        <v>3</v>
      </c>
      <c r="F137" s="518" t="s">
        <v>1854</v>
      </c>
      <c r="G137" s="515" t="s">
        <v>1793</v>
      </c>
      <c r="H137" s="514"/>
      <c r="I137" s="515"/>
      <c r="J137" s="515">
        <v>1</v>
      </c>
    </row>
    <row r="138" spans="1:10" ht="13.8" thickBot="1">
      <c r="A138" s="517"/>
      <c r="B138" s="518" t="s">
        <v>14082</v>
      </c>
      <c r="C138" s="516"/>
      <c r="D138" s="514" t="s">
        <v>1874</v>
      </c>
      <c r="E138" s="515">
        <v>3</v>
      </c>
      <c r="F138" s="518" t="s">
        <v>1854</v>
      </c>
      <c r="G138" s="515" t="s">
        <v>1793</v>
      </c>
      <c r="H138" s="514"/>
      <c r="I138" s="515"/>
      <c r="J138" s="515">
        <v>1</v>
      </c>
    </row>
    <row r="139" spans="1:10" ht="13.8" thickBot="1">
      <c r="A139" s="517"/>
      <c r="B139" s="518" t="s">
        <v>14081</v>
      </c>
      <c r="C139" s="516"/>
      <c r="D139" s="514" t="s">
        <v>1792</v>
      </c>
      <c r="E139" s="515">
        <v>3</v>
      </c>
      <c r="F139" s="518" t="s">
        <v>1854</v>
      </c>
      <c r="G139" s="515" t="s">
        <v>1793</v>
      </c>
      <c r="H139" s="514"/>
      <c r="I139" s="515"/>
      <c r="J139" s="515">
        <v>1</v>
      </c>
    </row>
    <row r="140" spans="1:10" ht="13.8" thickBot="1">
      <c r="A140" s="517"/>
      <c r="B140" s="518" t="s">
        <v>14080</v>
      </c>
      <c r="C140" s="516"/>
      <c r="D140" s="514" t="s">
        <v>1802</v>
      </c>
      <c r="E140" s="529">
        <v>3</v>
      </c>
      <c r="F140" s="514"/>
      <c r="G140" s="515" t="s">
        <v>1793</v>
      </c>
      <c r="H140" s="514"/>
      <c r="I140" s="515"/>
      <c r="J140" s="515">
        <v>1</v>
      </c>
    </row>
    <row r="141" spans="1:10" ht="13.8" thickBot="1">
      <c r="A141" s="517"/>
      <c r="B141" s="518" t="s">
        <v>14079</v>
      </c>
      <c r="C141" s="516"/>
      <c r="D141" s="514" t="s">
        <v>1874</v>
      </c>
      <c r="E141" s="515">
        <v>3</v>
      </c>
      <c r="F141" s="514"/>
      <c r="G141" s="515" t="s">
        <v>1793</v>
      </c>
      <c r="H141" s="514"/>
      <c r="I141" s="515"/>
      <c r="J141" s="515">
        <v>1</v>
      </c>
    </row>
    <row r="142" spans="1:10" ht="13.8" thickBot="1">
      <c r="A142" s="517"/>
      <c r="B142" s="518" t="s">
        <v>14078</v>
      </c>
      <c r="C142" s="516"/>
      <c r="D142" s="514" t="s">
        <v>14077</v>
      </c>
      <c r="E142" s="515">
        <v>3</v>
      </c>
      <c r="F142" s="518" t="s">
        <v>1854</v>
      </c>
      <c r="G142" s="515" t="s">
        <v>1793</v>
      </c>
      <c r="H142" s="514"/>
      <c r="I142" s="515"/>
      <c r="J142" s="515"/>
    </row>
    <row r="143" spans="1:10" ht="13.8" thickBot="1">
      <c r="A143" s="517"/>
      <c r="B143" s="518" t="s">
        <v>14076</v>
      </c>
      <c r="C143" s="516"/>
      <c r="D143" s="514" t="s">
        <v>1792</v>
      </c>
      <c r="E143" s="515">
        <v>3</v>
      </c>
      <c r="F143" s="518" t="s">
        <v>1854</v>
      </c>
      <c r="G143" s="515" t="s">
        <v>1793</v>
      </c>
      <c r="H143" s="514"/>
      <c r="I143" s="515"/>
      <c r="J143" s="515"/>
    </row>
    <row r="144" spans="1:10" ht="13.8" thickBot="1">
      <c r="A144" s="517"/>
      <c r="B144" s="518" t="s">
        <v>14075</v>
      </c>
      <c r="C144" s="516"/>
      <c r="D144" s="514" t="s">
        <v>1792</v>
      </c>
      <c r="E144" s="515">
        <v>3</v>
      </c>
      <c r="F144" s="518" t="s">
        <v>1854</v>
      </c>
      <c r="G144" s="515" t="s">
        <v>1793</v>
      </c>
      <c r="H144" s="514"/>
      <c r="I144" s="515"/>
      <c r="J144" s="515"/>
    </row>
    <row r="145" spans="1:10" ht="13.8" thickBot="1">
      <c r="A145" s="517"/>
      <c r="B145" s="518" t="s">
        <v>14074</v>
      </c>
      <c r="C145" s="516"/>
      <c r="D145" s="514" t="s">
        <v>1792</v>
      </c>
      <c r="E145" s="515">
        <v>3</v>
      </c>
      <c r="F145" s="518" t="s">
        <v>1854</v>
      </c>
      <c r="G145" s="515" t="s">
        <v>1793</v>
      </c>
      <c r="H145" s="514"/>
      <c r="I145" s="515"/>
      <c r="J145" s="515"/>
    </row>
    <row r="146" spans="1:10" ht="13.8" thickBot="1">
      <c r="A146" s="517"/>
      <c r="B146" s="518" t="s">
        <v>14073</v>
      </c>
      <c r="C146" s="516"/>
      <c r="D146" s="514" t="s">
        <v>1792</v>
      </c>
      <c r="E146" s="515">
        <v>3</v>
      </c>
      <c r="F146" s="518" t="s">
        <v>1854</v>
      </c>
      <c r="G146" s="515" t="s">
        <v>1793</v>
      </c>
      <c r="H146" s="514"/>
      <c r="I146" s="515"/>
      <c r="J146" s="515"/>
    </row>
    <row r="147" spans="1:10" ht="13.8" thickBot="1">
      <c r="A147" s="517"/>
      <c r="B147" s="518" t="s">
        <v>14072</v>
      </c>
      <c r="C147" s="516"/>
      <c r="D147" s="514" t="s">
        <v>1792</v>
      </c>
      <c r="E147" s="515">
        <v>3</v>
      </c>
      <c r="F147" s="518" t="s">
        <v>1854</v>
      </c>
      <c r="G147" s="515" t="s">
        <v>1793</v>
      </c>
      <c r="H147" s="514"/>
      <c r="I147" s="515"/>
      <c r="J147" s="515"/>
    </row>
    <row r="148" spans="1:10" ht="13.8" thickBot="1">
      <c r="A148" s="517"/>
      <c r="B148" s="518" t="s">
        <v>14071</v>
      </c>
      <c r="C148" s="516"/>
      <c r="D148" s="514" t="s">
        <v>13991</v>
      </c>
      <c r="E148" s="515">
        <v>2.5</v>
      </c>
      <c r="F148" s="514"/>
      <c r="G148" s="515" t="s">
        <v>1793</v>
      </c>
      <c r="H148" s="514"/>
      <c r="I148" s="515"/>
      <c r="J148" s="515">
        <v>3</v>
      </c>
    </row>
    <row r="149" spans="1:10" ht="13.8" thickBot="1">
      <c r="A149" s="517"/>
      <c r="B149" s="518" t="s">
        <v>14070</v>
      </c>
      <c r="C149" s="516"/>
      <c r="D149" s="514" t="s">
        <v>1802</v>
      </c>
      <c r="E149" s="515">
        <v>2.5</v>
      </c>
      <c r="F149" s="518" t="s">
        <v>1854</v>
      </c>
      <c r="G149" s="515" t="s">
        <v>1793</v>
      </c>
      <c r="H149" s="514"/>
      <c r="I149" s="515"/>
      <c r="J149" s="515">
        <v>1</v>
      </c>
    </row>
    <row r="150" spans="1:10" ht="13.8" thickBot="1">
      <c r="A150" s="517"/>
      <c r="B150" s="518" t="s">
        <v>14069</v>
      </c>
      <c r="C150" s="516"/>
      <c r="D150" s="514" t="s">
        <v>14068</v>
      </c>
      <c r="E150" s="515">
        <v>2</v>
      </c>
      <c r="F150" s="514"/>
      <c r="G150" s="515" t="s">
        <v>1793</v>
      </c>
      <c r="H150" s="514"/>
      <c r="I150" s="515"/>
      <c r="J150" s="515">
        <v>2</v>
      </c>
    </row>
    <row r="151" spans="1:10" ht="13.8" thickBot="1">
      <c r="A151" s="517"/>
      <c r="B151" s="518" t="s">
        <v>14067</v>
      </c>
      <c r="C151" s="516"/>
      <c r="D151" s="514" t="s">
        <v>13991</v>
      </c>
      <c r="E151" s="515">
        <v>2</v>
      </c>
      <c r="F151" s="518" t="s">
        <v>1854</v>
      </c>
      <c r="G151" s="515" t="s">
        <v>1793</v>
      </c>
      <c r="H151" s="514"/>
      <c r="I151" s="515"/>
      <c r="J151" s="515">
        <v>1</v>
      </c>
    </row>
    <row r="152" spans="1:10" ht="13.8" thickBot="1">
      <c r="A152" s="517"/>
      <c r="B152" s="518" t="s">
        <v>14066</v>
      </c>
      <c r="C152" s="516"/>
      <c r="D152" s="514" t="s">
        <v>13991</v>
      </c>
      <c r="E152" s="515">
        <v>2</v>
      </c>
      <c r="F152" s="518" t="s">
        <v>1854</v>
      </c>
      <c r="G152" s="515" t="s">
        <v>1793</v>
      </c>
      <c r="H152" s="514"/>
      <c r="I152" s="515"/>
      <c r="J152" s="515">
        <v>1</v>
      </c>
    </row>
    <row r="153" spans="1:10" ht="13.8" thickBot="1">
      <c r="A153" s="517"/>
      <c r="B153" s="518" t="s">
        <v>14065</v>
      </c>
      <c r="C153" s="516"/>
      <c r="D153" s="514" t="s">
        <v>13991</v>
      </c>
      <c r="E153" s="515">
        <v>2</v>
      </c>
      <c r="F153" s="518" t="s">
        <v>1854</v>
      </c>
      <c r="G153" s="515" t="s">
        <v>1793</v>
      </c>
      <c r="H153" s="514"/>
      <c r="I153" s="515"/>
      <c r="J153" s="515">
        <v>1</v>
      </c>
    </row>
    <row r="154" spans="1:10" ht="13.8" thickBot="1">
      <c r="A154" s="517"/>
      <c r="B154" s="518" t="s">
        <v>14064</v>
      </c>
      <c r="C154" s="516"/>
      <c r="D154" s="514" t="s">
        <v>1899</v>
      </c>
      <c r="E154" s="515">
        <v>2</v>
      </c>
      <c r="F154" s="518" t="s">
        <v>1854</v>
      </c>
      <c r="G154" s="515" t="s">
        <v>1793</v>
      </c>
      <c r="H154" s="514"/>
      <c r="I154" s="515"/>
      <c r="J154" s="515">
        <v>1</v>
      </c>
    </row>
    <row r="155" spans="1:10" ht="13.8" thickBot="1">
      <c r="A155" s="517"/>
      <c r="B155" s="518" t="s">
        <v>14063</v>
      </c>
      <c r="C155" s="516"/>
      <c r="D155" s="514" t="s">
        <v>1792</v>
      </c>
      <c r="E155" s="515">
        <v>2</v>
      </c>
      <c r="F155" s="518" t="s">
        <v>1854</v>
      </c>
      <c r="G155" s="515" t="s">
        <v>1793</v>
      </c>
      <c r="H155" s="514"/>
      <c r="I155" s="515"/>
      <c r="J155" s="515">
        <v>1</v>
      </c>
    </row>
    <row r="156" spans="1:10" ht="13.8" thickBot="1">
      <c r="A156" s="517"/>
      <c r="B156" s="518" t="s">
        <v>14062</v>
      </c>
      <c r="C156" s="516"/>
      <c r="D156" s="514" t="s">
        <v>1792</v>
      </c>
      <c r="E156" s="515">
        <v>2</v>
      </c>
      <c r="F156" s="518" t="s">
        <v>1854</v>
      </c>
      <c r="G156" s="515" t="s">
        <v>1793</v>
      </c>
      <c r="H156" s="514"/>
      <c r="I156" s="515"/>
      <c r="J156" s="515">
        <v>1</v>
      </c>
    </row>
    <row r="157" spans="1:10" ht="13.8" thickBot="1">
      <c r="A157" s="517"/>
      <c r="B157" s="518" t="s">
        <v>14061</v>
      </c>
      <c r="C157" s="516"/>
      <c r="D157" s="514" t="s">
        <v>13991</v>
      </c>
      <c r="E157" s="515">
        <v>2</v>
      </c>
      <c r="F157" s="514"/>
      <c r="G157" s="515" t="s">
        <v>1793</v>
      </c>
      <c r="H157" s="514"/>
      <c r="I157" s="515"/>
      <c r="J157" s="515">
        <v>1</v>
      </c>
    </row>
    <row r="158" spans="1:10" ht="13.8" thickBot="1">
      <c r="A158" s="517"/>
      <c r="B158" s="518" t="s">
        <v>14060</v>
      </c>
      <c r="C158" s="516"/>
      <c r="D158" s="514" t="s">
        <v>13991</v>
      </c>
      <c r="E158" s="515">
        <v>2</v>
      </c>
      <c r="F158" s="514"/>
      <c r="G158" s="515" t="s">
        <v>1793</v>
      </c>
      <c r="H158" s="514"/>
      <c r="I158" s="515"/>
      <c r="J158" s="515">
        <v>1</v>
      </c>
    </row>
    <row r="159" spans="1:10" ht="13.8" thickBot="1">
      <c r="A159" s="517"/>
      <c r="B159" s="518" t="s">
        <v>14059</v>
      </c>
      <c r="C159" s="516"/>
      <c r="D159" s="514" t="s">
        <v>13991</v>
      </c>
      <c r="E159" s="515">
        <v>2</v>
      </c>
      <c r="F159" s="518" t="s">
        <v>1854</v>
      </c>
      <c r="G159" s="515" t="s">
        <v>1793</v>
      </c>
      <c r="H159" s="514"/>
      <c r="I159" s="515"/>
      <c r="J159" s="515"/>
    </row>
    <row r="160" spans="1:10" ht="13.8" thickBot="1">
      <c r="A160" s="517"/>
      <c r="B160" s="518" t="s">
        <v>14058</v>
      </c>
      <c r="C160" s="516"/>
      <c r="D160" s="514" t="s">
        <v>13991</v>
      </c>
      <c r="E160" s="515">
        <v>2</v>
      </c>
      <c r="F160" s="518" t="s">
        <v>1854</v>
      </c>
      <c r="G160" s="515" t="s">
        <v>1793</v>
      </c>
      <c r="H160" s="514"/>
      <c r="I160" s="515"/>
      <c r="J160" s="515"/>
    </row>
    <row r="161" spans="1:10" ht="13.8" thickBot="1">
      <c r="A161" s="517"/>
      <c r="B161" s="518" t="s">
        <v>14057</v>
      </c>
      <c r="C161" s="516"/>
      <c r="D161" s="514" t="s">
        <v>13991</v>
      </c>
      <c r="E161" s="515">
        <v>2</v>
      </c>
      <c r="F161" s="518" t="s">
        <v>1854</v>
      </c>
      <c r="G161" s="515" t="s">
        <v>1793</v>
      </c>
      <c r="H161" s="514"/>
      <c r="I161" s="515"/>
      <c r="J161" s="515"/>
    </row>
    <row r="162" spans="1:10" ht="13.8" thickBot="1">
      <c r="A162" s="517"/>
      <c r="B162" s="518" t="s">
        <v>14056</v>
      </c>
      <c r="C162" s="516"/>
      <c r="D162" s="514" t="s">
        <v>13991</v>
      </c>
      <c r="E162" s="515">
        <v>2</v>
      </c>
      <c r="F162" s="518" t="s">
        <v>1854</v>
      </c>
      <c r="G162" s="515" t="s">
        <v>1793</v>
      </c>
      <c r="H162" s="514"/>
      <c r="I162" s="515"/>
      <c r="J162" s="515"/>
    </row>
    <row r="163" spans="1:10" ht="13.8" thickBot="1">
      <c r="A163" s="517"/>
      <c r="B163" s="518" t="s">
        <v>14055</v>
      </c>
      <c r="C163" s="516"/>
      <c r="D163" s="514" t="s">
        <v>13991</v>
      </c>
      <c r="E163" s="515">
        <v>2</v>
      </c>
      <c r="F163" s="518" t="s">
        <v>1854</v>
      </c>
      <c r="G163" s="515" t="s">
        <v>1793</v>
      </c>
      <c r="H163" s="514"/>
      <c r="I163" s="515"/>
      <c r="J163" s="515"/>
    </row>
    <row r="164" spans="1:10" ht="13.8" thickBot="1">
      <c r="A164" s="517"/>
      <c r="B164" s="518" t="s">
        <v>14054</v>
      </c>
      <c r="C164" s="516"/>
      <c r="D164" s="514" t="s">
        <v>13991</v>
      </c>
      <c r="E164" s="515">
        <v>2</v>
      </c>
      <c r="F164" s="518" t="s">
        <v>1854</v>
      </c>
      <c r="G164" s="515" t="s">
        <v>1793</v>
      </c>
      <c r="H164" s="514"/>
      <c r="I164" s="515"/>
      <c r="J164" s="515"/>
    </row>
    <row r="165" spans="1:10" ht="13.8" thickBot="1">
      <c r="A165" s="517"/>
      <c r="B165" s="518" t="s">
        <v>14053</v>
      </c>
      <c r="C165" s="516"/>
      <c r="D165" s="514" t="s">
        <v>13991</v>
      </c>
      <c r="E165" s="515">
        <v>2</v>
      </c>
      <c r="F165" s="518" t="s">
        <v>1854</v>
      </c>
      <c r="G165" s="515" t="s">
        <v>1793</v>
      </c>
      <c r="H165" s="514"/>
      <c r="I165" s="515"/>
      <c r="J165" s="515"/>
    </row>
    <row r="166" spans="1:10" ht="13.8" thickBot="1">
      <c r="A166" s="517"/>
      <c r="B166" s="518" t="s">
        <v>14052</v>
      </c>
      <c r="C166" s="516"/>
      <c r="D166" s="514" t="s">
        <v>13991</v>
      </c>
      <c r="E166" s="515">
        <v>2</v>
      </c>
      <c r="F166" s="518" t="s">
        <v>1854</v>
      </c>
      <c r="G166" s="515" t="s">
        <v>1793</v>
      </c>
      <c r="H166" s="514"/>
      <c r="I166" s="515"/>
      <c r="J166" s="515"/>
    </row>
    <row r="167" spans="1:10" ht="13.8" thickBot="1">
      <c r="A167" s="517"/>
      <c r="B167" s="518" t="s">
        <v>14051</v>
      </c>
      <c r="C167" s="516"/>
      <c r="D167" s="514" t="s">
        <v>13991</v>
      </c>
      <c r="E167" s="515">
        <v>2</v>
      </c>
      <c r="F167" s="518" t="s">
        <v>1854</v>
      </c>
      <c r="G167" s="515" t="s">
        <v>1793</v>
      </c>
      <c r="H167" s="514"/>
      <c r="I167" s="515"/>
      <c r="J167" s="515"/>
    </row>
    <row r="168" spans="1:10" ht="13.8" thickBot="1">
      <c r="A168" s="517"/>
      <c r="B168" s="518" t="s">
        <v>14050</v>
      </c>
      <c r="C168" s="516"/>
      <c r="D168" s="514" t="s">
        <v>13991</v>
      </c>
      <c r="E168" s="515">
        <v>2</v>
      </c>
      <c r="F168" s="518" t="s">
        <v>1854</v>
      </c>
      <c r="G168" s="515" t="s">
        <v>1793</v>
      </c>
      <c r="H168" s="514"/>
      <c r="I168" s="515"/>
      <c r="J168" s="515"/>
    </row>
    <row r="169" spans="1:10" ht="13.8" thickBot="1">
      <c r="A169" s="517"/>
      <c r="B169" s="518" t="s">
        <v>14049</v>
      </c>
      <c r="C169" s="516"/>
      <c r="D169" s="514" t="s">
        <v>13991</v>
      </c>
      <c r="E169" s="515">
        <v>2</v>
      </c>
      <c r="F169" s="518" t="s">
        <v>1854</v>
      </c>
      <c r="G169" s="515" t="s">
        <v>1793</v>
      </c>
      <c r="H169" s="514"/>
      <c r="I169" s="515"/>
      <c r="J169" s="515"/>
    </row>
    <row r="170" spans="1:10" ht="13.8" thickBot="1">
      <c r="A170" s="517"/>
      <c r="B170" s="518" t="s">
        <v>14048</v>
      </c>
      <c r="C170" s="516"/>
      <c r="D170" s="514" t="s">
        <v>13991</v>
      </c>
      <c r="E170" s="515">
        <v>2</v>
      </c>
      <c r="F170" s="518" t="s">
        <v>1854</v>
      </c>
      <c r="G170" s="515" t="s">
        <v>1793</v>
      </c>
      <c r="H170" s="514"/>
      <c r="I170" s="515"/>
      <c r="J170" s="515"/>
    </row>
    <row r="171" spans="1:10" ht="13.8" thickBot="1">
      <c r="A171" s="517"/>
      <c r="B171" s="518" t="s">
        <v>14047</v>
      </c>
      <c r="C171" s="516"/>
      <c r="D171" s="514" t="s">
        <v>13991</v>
      </c>
      <c r="E171" s="515">
        <v>2</v>
      </c>
      <c r="F171" s="518" t="s">
        <v>1854</v>
      </c>
      <c r="G171" s="515" t="s">
        <v>1793</v>
      </c>
      <c r="H171" s="514"/>
      <c r="I171" s="515"/>
      <c r="J171" s="515"/>
    </row>
    <row r="172" spans="1:10" ht="13.8" thickBot="1">
      <c r="A172" s="517"/>
      <c r="B172" s="518" t="s">
        <v>14046</v>
      </c>
      <c r="C172" s="516"/>
      <c r="D172" s="514" t="s">
        <v>13991</v>
      </c>
      <c r="E172" s="515">
        <v>2</v>
      </c>
      <c r="F172" s="518" t="s">
        <v>1854</v>
      </c>
      <c r="G172" s="515" t="s">
        <v>1793</v>
      </c>
      <c r="H172" s="514"/>
      <c r="I172" s="515"/>
      <c r="J172" s="515"/>
    </row>
    <row r="173" spans="1:10" ht="13.8" thickBot="1">
      <c r="A173" s="517"/>
      <c r="B173" s="518" t="s">
        <v>14045</v>
      </c>
      <c r="C173" s="516"/>
      <c r="D173" s="514" t="s">
        <v>13991</v>
      </c>
      <c r="E173" s="515">
        <v>2</v>
      </c>
      <c r="F173" s="518" t="s">
        <v>1854</v>
      </c>
      <c r="G173" s="515" t="s">
        <v>1793</v>
      </c>
      <c r="H173" s="514"/>
      <c r="I173" s="515"/>
      <c r="J173" s="515"/>
    </row>
    <row r="174" spans="1:10" ht="13.8" thickBot="1">
      <c r="A174" s="517"/>
      <c r="B174" s="518" t="s">
        <v>14044</v>
      </c>
      <c r="C174" s="516"/>
      <c r="D174" s="514" t="s">
        <v>13991</v>
      </c>
      <c r="E174" s="515">
        <v>2</v>
      </c>
      <c r="F174" s="518" t="s">
        <v>1854</v>
      </c>
      <c r="G174" s="515" t="s">
        <v>1793</v>
      </c>
      <c r="H174" s="514"/>
      <c r="I174" s="515"/>
      <c r="J174" s="515"/>
    </row>
    <row r="175" spans="1:10" ht="13.8" thickBot="1">
      <c r="A175" s="517"/>
      <c r="B175" s="518" t="s">
        <v>14043</v>
      </c>
      <c r="C175" s="516"/>
      <c r="D175" s="514" t="s">
        <v>13991</v>
      </c>
      <c r="E175" s="515">
        <v>2</v>
      </c>
      <c r="F175" s="518" t="s">
        <v>1854</v>
      </c>
      <c r="G175" s="515" t="s">
        <v>1793</v>
      </c>
      <c r="H175" s="514"/>
      <c r="I175" s="515"/>
      <c r="J175" s="515"/>
    </row>
    <row r="176" spans="1:10" ht="13.8" thickBot="1">
      <c r="A176" s="517"/>
      <c r="B176" s="518" t="s">
        <v>14042</v>
      </c>
      <c r="C176" s="516"/>
      <c r="D176" s="514" t="s">
        <v>13991</v>
      </c>
      <c r="E176" s="515">
        <v>2</v>
      </c>
      <c r="F176" s="518" t="s">
        <v>1854</v>
      </c>
      <c r="G176" s="515" t="s">
        <v>1793</v>
      </c>
      <c r="H176" s="514"/>
      <c r="I176" s="515"/>
      <c r="J176" s="515"/>
    </row>
    <row r="177" spans="1:10" ht="13.8" thickBot="1">
      <c r="A177" s="517"/>
      <c r="B177" s="518" t="s">
        <v>14041</v>
      </c>
      <c r="C177" s="516"/>
      <c r="D177" s="514" t="s">
        <v>13991</v>
      </c>
      <c r="E177" s="515">
        <v>2</v>
      </c>
      <c r="F177" s="518" t="s">
        <v>1854</v>
      </c>
      <c r="G177" s="515" t="s">
        <v>1793</v>
      </c>
      <c r="H177" s="514"/>
      <c r="I177" s="515"/>
      <c r="J177" s="515"/>
    </row>
    <row r="178" spans="1:10" ht="13.8" thickBot="1">
      <c r="A178" s="517"/>
      <c r="B178" s="518" t="s">
        <v>14040</v>
      </c>
      <c r="C178" s="516"/>
      <c r="D178" s="514" t="s">
        <v>1792</v>
      </c>
      <c r="E178" s="515">
        <v>2</v>
      </c>
      <c r="F178" s="518" t="s">
        <v>1854</v>
      </c>
      <c r="G178" s="515" t="s">
        <v>1793</v>
      </c>
      <c r="H178" s="514"/>
      <c r="I178" s="515"/>
      <c r="J178" s="515"/>
    </row>
    <row r="179" spans="1:10" ht="13.8" thickBot="1">
      <c r="A179" s="517"/>
      <c r="B179" s="518" t="s">
        <v>14039</v>
      </c>
      <c r="C179" s="516"/>
      <c r="D179" s="514" t="s">
        <v>1792</v>
      </c>
      <c r="E179" s="515">
        <v>2</v>
      </c>
      <c r="F179" s="518" t="s">
        <v>11609</v>
      </c>
      <c r="G179" s="515" t="s">
        <v>1793</v>
      </c>
      <c r="H179" s="514"/>
      <c r="I179" s="515"/>
      <c r="J179" s="515"/>
    </row>
    <row r="180" spans="1:10" ht="13.8" thickBot="1">
      <c r="A180" s="517"/>
      <c r="B180" s="518" t="s">
        <v>14038</v>
      </c>
      <c r="C180" s="516"/>
      <c r="D180" s="514" t="s">
        <v>13991</v>
      </c>
      <c r="E180" s="515">
        <v>2</v>
      </c>
      <c r="F180" s="514"/>
      <c r="G180" s="515" t="s">
        <v>1793</v>
      </c>
      <c r="H180" s="514"/>
      <c r="I180" s="515"/>
      <c r="J180" s="515"/>
    </row>
    <row r="181" spans="1:10" ht="13.8" thickBot="1">
      <c r="A181" s="517"/>
      <c r="B181" s="518" t="s">
        <v>14037</v>
      </c>
      <c r="C181" s="516"/>
      <c r="D181" s="514" t="s">
        <v>13991</v>
      </c>
      <c r="E181" s="515">
        <v>1</v>
      </c>
      <c r="F181" s="514"/>
      <c r="G181" s="515" t="s">
        <v>1793</v>
      </c>
      <c r="H181" s="514"/>
      <c r="I181" s="515"/>
      <c r="J181" s="515">
        <v>2</v>
      </c>
    </row>
    <row r="182" spans="1:10" ht="13.8" thickBot="1">
      <c r="A182" s="517"/>
      <c r="B182" s="518" t="s">
        <v>14036</v>
      </c>
      <c r="C182" s="516"/>
      <c r="D182" s="514" t="s">
        <v>13991</v>
      </c>
      <c r="E182" s="515">
        <v>1</v>
      </c>
      <c r="F182" s="514"/>
      <c r="G182" s="515" t="s">
        <v>1793</v>
      </c>
      <c r="H182" s="514"/>
      <c r="I182" s="515"/>
      <c r="J182" s="515">
        <v>2</v>
      </c>
    </row>
    <row r="183" spans="1:10" ht="13.8" thickBot="1">
      <c r="A183" s="517"/>
      <c r="B183" s="518" t="s">
        <v>14035</v>
      </c>
      <c r="C183" s="516"/>
      <c r="D183" s="514" t="s">
        <v>13991</v>
      </c>
      <c r="E183" s="515">
        <v>1</v>
      </c>
      <c r="F183" s="518" t="s">
        <v>1854</v>
      </c>
      <c r="G183" s="515" t="s">
        <v>1793</v>
      </c>
      <c r="H183" s="514"/>
      <c r="I183" s="515"/>
      <c r="J183" s="515">
        <v>1</v>
      </c>
    </row>
    <row r="184" spans="1:10" ht="13.8" thickBot="1">
      <c r="A184" s="517"/>
      <c r="B184" s="518" t="s">
        <v>14034</v>
      </c>
      <c r="C184" s="516"/>
      <c r="D184" s="514" t="s">
        <v>1792</v>
      </c>
      <c r="E184" s="515">
        <v>1</v>
      </c>
      <c r="F184" s="518" t="s">
        <v>1854</v>
      </c>
      <c r="G184" s="515" t="s">
        <v>1793</v>
      </c>
      <c r="H184" s="514"/>
      <c r="I184" s="515"/>
      <c r="J184" s="515">
        <v>1</v>
      </c>
    </row>
    <row r="185" spans="1:10" ht="13.8" thickBot="1">
      <c r="A185" s="517"/>
      <c r="B185" s="518" t="s">
        <v>14033</v>
      </c>
      <c r="C185" s="516"/>
      <c r="D185" s="514" t="s">
        <v>13991</v>
      </c>
      <c r="E185" s="515">
        <v>1</v>
      </c>
      <c r="F185" s="518" t="s">
        <v>1854</v>
      </c>
      <c r="G185" s="515" t="s">
        <v>1793</v>
      </c>
      <c r="H185" s="514"/>
      <c r="I185" s="515"/>
      <c r="J185" s="515">
        <v>1</v>
      </c>
    </row>
    <row r="186" spans="1:10" ht="13.8" thickBot="1">
      <c r="A186" s="517"/>
      <c r="B186" s="518" t="s">
        <v>14032</v>
      </c>
      <c r="C186" s="516"/>
      <c r="D186" s="514" t="s">
        <v>13991</v>
      </c>
      <c r="E186" s="515">
        <v>1</v>
      </c>
      <c r="F186" s="518" t="s">
        <v>11609</v>
      </c>
      <c r="G186" s="515" t="s">
        <v>1793</v>
      </c>
      <c r="H186" s="514"/>
      <c r="I186" s="515"/>
      <c r="J186" s="515">
        <v>1</v>
      </c>
    </row>
    <row r="187" spans="1:10" ht="13.8" thickBot="1">
      <c r="A187" s="517"/>
      <c r="B187" s="518" t="s">
        <v>14031</v>
      </c>
      <c r="C187" s="516"/>
      <c r="D187" s="514" t="s">
        <v>14030</v>
      </c>
      <c r="E187" s="515">
        <v>1</v>
      </c>
      <c r="F187" s="514"/>
      <c r="G187" s="515" t="s">
        <v>1793</v>
      </c>
      <c r="H187" s="514"/>
      <c r="I187" s="515"/>
      <c r="J187" s="515">
        <v>1</v>
      </c>
    </row>
    <row r="188" spans="1:10" ht="13.8" thickBot="1">
      <c r="A188" s="517"/>
      <c r="B188" s="518" t="s">
        <v>14029</v>
      </c>
      <c r="C188" s="516"/>
      <c r="D188" s="514" t="s">
        <v>1792</v>
      </c>
      <c r="E188" s="515">
        <v>1</v>
      </c>
      <c r="F188" s="514"/>
      <c r="G188" s="515" t="s">
        <v>1793</v>
      </c>
      <c r="H188" s="514"/>
      <c r="I188" s="515"/>
      <c r="J188" s="515">
        <v>1</v>
      </c>
    </row>
    <row r="189" spans="1:10" ht="13.8" thickBot="1">
      <c r="A189" s="517"/>
      <c r="B189" s="518" t="s">
        <v>14028</v>
      </c>
      <c r="C189" s="516"/>
      <c r="D189" s="514" t="s">
        <v>13991</v>
      </c>
      <c r="E189" s="515">
        <v>1</v>
      </c>
      <c r="F189" s="514"/>
      <c r="G189" s="515" t="s">
        <v>1793</v>
      </c>
      <c r="H189" s="514"/>
      <c r="I189" s="515"/>
      <c r="J189" s="515">
        <v>1</v>
      </c>
    </row>
    <row r="190" spans="1:10" ht="13.8" thickBot="1">
      <c r="A190" s="517"/>
      <c r="B190" s="518" t="s">
        <v>14027</v>
      </c>
      <c r="C190" s="516"/>
      <c r="D190" s="514" t="s">
        <v>1792</v>
      </c>
      <c r="E190" s="515">
        <v>1</v>
      </c>
      <c r="F190" s="514"/>
      <c r="G190" s="515" t="s">
        <v>1793</v>
      </c>
      <c r="H190" s="514"/>
      <c r="I190" s="515"/>
      <c r="J190" s="515">
        <v>1</v>
      </c>
    </row>
    <row r="191" spans="1:10" ht="13.8" thickBot="1">
      <c r="A191" s="517"/>
      <c r="B191" s="518" t="s">
        <v>14026</v>
      </c>
      <c r="C191" s="516"/>
      <c r="D191" s="514" t="s">
        <v>13991</v>
      </c>
      <c r="E191" s="515">
        <v>1</v>
      </c>
      <c r="F191" s="514"/>
      <c r="G191" s="515" t="s">
        <v>1793</v>
      </c>
      <c r="H191" s="514"/>
      <c r="I191" s="515"/>
      <c r="J191" s="515">
        <v>1</v>
      </c>
    </row>
    <row r="192" spans="1:10" ht="13.8" thickBot="1">
      <c r="A192" s="517"/>
      <c r="B192" s="518" t="s">
        <v>14025</v>
      </c>
      <c r="C192" s="516"/>
      <c r="D192" s="514" t="s">
        <v>13991</v>
      </c>
      <c r="E192" s="515">
        <v>1</v>
      </c>
      <c r="F192" s="514"/>
      <c r="G192" s="515" t="s">
        <v>1793</v>
      </c>
      <c r="H192" s="514"/>
      <c r="I192" s="515"/>
      <c r="J192" s="515">
        <v>1</v>
      </c>
    </row>
    <row r="193" spans="1:10" ht="13.8" thickBot="1">
      <c r="A193" s="517"/>
      <c r="B193" s="518" t="s">
        <v>14024</v>
      </c>
      <c r="C193" s="516"/>
      <c r="D193" s="514" t="s">
        <v>13991</v>
      </c>
      <c r="E193" s="515">
        <v>1</v>
      </c>
      <c r="F193" s="514"/>
      <c r="G193" s="515" t="s">
        <v>1793</v>
      </c>
      <c r="H193" s="514"/>
      <c r="I193" s="515"/>
      <c r="J193" s="515">
        <v>1</v>
      </c>
    </row>
    <row r="194" spans="1:10" ht="13.8" thickBot="1">
      <c r="A194" s="517"/>
      <c r="B194" s="518" t="s">
        <v>14023</v>
      </c>
      <c r="C194" s="516"/>
      <c r="D194" s="514" t="s">
        <v>13991</v>
      </c>
      <c r="E194" s="515">
        <v>1</v>
      </c>
      <c r="F194" s="514"/>
      <c r="G194" s="515" t="s">
        <v>1793</v>
      </c>
      <c r="H194" s="514"/>
      <c r="I194" s="515"/>
      <c r="J194" s="515">
        <v>1</v>
      </c>
    </row>
    <row r="195" spans="1:10" ht="13.8" thickBot="1">
      <c r="A195" s="517"/>
      <c r="B195" s="518" t="s">
        <v>14022</v>
      </c>
      <c r="C195" s="516"/>
      <c r="D195" s="514" t="s">
        <v>13991</v>
      </c>
      <c r="E195" s="515">
        <v>1</v>
      </c>
      <c r="F195" s="514"/>
      <c r="G195" s="515" t="s">
        <v>1793</v>
      </c>
      <c r="H195" s="514"/>
      <c r="I195" s="515"/>
      <c r="J195" s="515">
        <v>1</v>
      </c>
    </row>
    <row r="196" spans="1:10" ht="13.8" thickBot="1">
      <c r="A196" s="517"/>
      <c r="B196" s="518" t="s">
        <v>14021</v>
      </c>
      <c r="C196" s="516"/>
      <c r="D196" s="514" t="s">
        <v>13991</v>
      </c>
      <c r="E196" s="515">
        <v>1</v>
      </c>
      <c r="F196" s="514"/>
      <c r="G196" s="515" t="s">
        <v>1793</v>
      </c>
      <c r="H196" s="514"/>
      <c r="I196" s="515"/>
      <c r="J196" s="515">
        <v>1</v>
      </c>
    </row>
    <row r="197" spans="1:10" ht="13.8" thickBot="1">
      <c r="A197" s="517"/>
      <c r="B197" s="518" t="s">
        <v>14020</v>
      </c>
      <c r="C197" s="516"/>
      <c r="D197" s="514" t="s">
        <v>13991</v>
      </c>
      <c r="E197" s="515">
        <v>1</v>
      </c>
      <c r="F197" s="518" t="s">
        <v>1854</v>
      </c>
      <c r="G197" s="515" t="s">
        <v>1793</v>
      </c>
      <c r="H197" s="514"/>
      <c r="I197" s="515"/>
      <c r="J197" s="515"/>
    </row>
    <row r="198" spans="1:10" ht="13.8" thickBot="1">
      <c r="A198" s="517"/>
      <c r="B198" s="518" t="s">
        <v>14019</v>
      </c>
      <c r="C198" s="516"/>
      <c r="D198" s="514" t="s">
        <v>13991</v>
      </c>
      <c r="E198" s="515">
        <v>1</v>
      </c>
      <c r="F198" s="518" t="s">
        <v>1854</v>
      </c>
      <c r="G198" s="515" t="s">
        <v>1793</v>
      </c>
      <c r="H198" s="514"/>
      <c r="I198" s="515"/>
      <c r="J198" s="515"/>
    </row>
    <row r="199" spans="1:10" ht="13.8" thickBot="1">
      <c r="A199" s="517"/>
      <c r="B199" s="518" t="s">
        <v>14018</v>
      </c>
      <c r="C199" s="516"/>
      <c r="D199" s="514" t="s">
        <v>13991</v>
      </c>
      <c r="E199" s="515">
        <v>1</v>
      </c>
      <c r="F199" s="518" t="s">
        <v>1854</v>
      </c>
      <c r="G199" s="515" t="s">
        <v>1793</v>
      </c>
      <c r="H199" s="514"/>
      <c r="I199" s="515"/>
      <c r="J199" s="515"/>
    </row>
    <row r="200" spans="1:10" ht="13.8" thickBot="1">
      <c r="A200" s="517"/>
      <c r="B200" s="518" t="s">
        <v>14017</v>
      </c>
      <c r="C200" s="516"/>
      <c r="D200" s="514" t="s">
        <v>13991</v>
      </c>
      <c r="E200" s="515">
        <v>1</v>
      </c>
      <c r="F200" s="518" t="s">
        <v>1854</v>
      </c>
      <c r="G200" s="515" t="s">
        <v>1793</v>
      </c>
      <c r="H200" s="514"/>
      <c r="I200" s="515"/>
      <c r="J200" s="515"/>
    </row>
    <row r="201" spans="1:10" ht="13.8" thickBot="1">
      <c r="A201" s="517"/>
      <c r="B201" s="518" t="s">
        <v>14016</v>
      </c>
      <c r="C201" s="516"/>
      <c r="D201" s="514" t="s">
        <v>13991</v>
      </c>
      <c r="E201" s="515">
        <v>1</v>
      </c>
      <c r="F201" s="518" t="s">
        <v>1854</v>
      </c>
      <c r="G201" s="515" t="s">
        <v>1793</v>
      </c>
      <c r="H201" s="514"/>
      <c r="I201" s="515"/>
      <c r="J201" s="515"/>
    </row>
    <row r="202" spans="1:10" ht="13.8" thickBot="1">
      <c r="A202" s="517"/>
      <c r="B202" s="518" t="s">
        <v>14015</v>
      </c>
      <c r="C202" s="516"/>
      <c r="D202" s="514" t="s">
        <v>13991</v>
      </c>
      <c r="E202" s="515">
        <v>1</v>
      </c>
      <c r="F202" s="518" t="s">
        <v>1854</v>
      </c>
      <c r="G202" s="515" t="s">
        <v>1793</v>
      </c>
      <c r="H202" s="514"/>
      <c r="I202" s="515"/>
      <c r="J202" s="515"/>
    </row>
    <row r="203" spans="1:10" ht="13.8" thickBot="1">
      <c r="A203" s="517"/>
      <c r="B203" s="518" t="s">
        <v>14014</v>
      </c>
      <c r="C203" s="516"/>
      <c r="D203" s="514" t="s">
        <v>13991</v>
      </c>
      <c r="E203" s="515">
        <v>1</v>
      </c>
      <c r="F203" s="518" t="s">
        <v>1854</v>
      </c>
      <c r="G203" s="515" t="s">
        <v>1793</v>
      </c>
      <c r="H203" s="514"/>
      <c r="I203" s="515"/>
      <c r="J203" s="515"/>
    </row>
    <row r="204" spans="1:10" ht="13.8" thickBot="1">
      <c r="A204" s="517"/>
      <c r="B204" s="518" t="s">
        <v>14013</v>
      </c>
      <c r="C204" s="516"/>
      <c r="D204" s="514" t="s">
        <v>13991</v>
      </c>
      <c r="E204" s="515">
        <v>1</v>
      </c>
      <c r="F204" s="518" t="s">
        <v>1854</v>
      </c>
      <c r="G204" s="515" t="s">
        <v>1793</v>
      </c>
      <c r="H204" s="514"/>
      <c r="I204" s="515"/>
      <c r="J204" s="515"/>
    </row>
    <row r="205" spans="1:10" ht="13.8" thickBot="1">
      <c r="A205" s="517"/>
      <c r="B205" s="518" t="s">
        <v>14012</v>
      </c>
      <c r="C205" s="516"/>
      <c r="D205" s="514" t="s">
        <v>13991</v>
      </c>
      <c r="E205" s="515">
        <v>1</v>
      </c>
      <c r="F205" s="518" t="s">
        <v>1854</v>
      </c>
      <c r="G205" s="515" t="s">
        <v>1793</v>
      </c>
      <c r="H205" s="514"/>
      <c r="I205" s="515"/>
      <c r="J205" s="515"/>
    </row>
    <row r="206" spans="1:10" ht="13.8" thickBot="1">
      <c r="A206" s="517"/>
      <c r="B206" s="518" t="s">
        <v>14011</v>
      </c>
      <c r="C206" s="516"/>
      <c r="D206" s="514" t="s">
        <v>13991</v>
      </c>
      <c r="E206" s="515">
        <v>1</v>
      </c>
      <c r="F206" s="518" t="s">
        <v>1854</v>
      </c>
      <c r="G206" s="515" t="s">
        <v>1793</v>
      </c>
      <c r="H206" s="514"/>
      <c r="I206" s="515"/>
      <c r="J206" s="515"/>
    </row>
    <row r="207" spans="1:10" ht="13.8" thickBot="1">
      <c r="A207" s="517"/>
      <c r="B207" s="518" t="s">
        <v>14010</v>
      </c>
      <c r="C207" s="516"/>
      <c r="D207" s="514" t="s">
        <v>13991</v>
      </c>
      <c r="E207" s="515">
        <v>1</v>
      </c>
      <c r="F207" s="518" t="s">
        <v>1854</v>
      </c>
      <c r="G207" s="515" t="s">
        <v>1793</v>
      </c>
      <c r="H207" s="514"/>
      <c r="I207" s="515"/>
      <c r="J207" s="515"/>
    </row>
    <row r="208" spans="1:10" ht="13.8" thickBot="1">
      <c r="A208" s="517"/>
      <c r="B208" s="518" t="s">
        <v>14009</v>
      </c>
      <c r="C208" s="516"/>
      <c r="D208" s="514" t="s">
        <v>1792</v>
      </c>
      <c r="E208" s="515">
        <v>1</v>
      </c>
      <c r="F208" s="518" t="s">
        <v>1854</v>
      </c>
      <c r="G208" s="515" t="s">
        <v>1793</v>
      </c>
      <c r="H208" s="514"/>
      <c r="I208" s="515"/>
      <c r="J208" s="515"/>
    </row>
    <row r="209" spans="1:10" ht="13.8" thickBot="1">
      <c r="A209" s="517"/>
      <c r="B209" s="518" t="s">
        <v>14008</v>
      </c>
      <c r="C209" s="516"/>
      <c r="D209" s="514" t="s">
        <v>13991</v>
      </c>
      <c r="E209" s="515">
        <v>1</v>
      </c>
      <c r="F209" s="518" t="s">
        <v>1854</v>
      </c>
      <c r="G209" s="515" t="s">
        <v>1793</v>
      </c>
      <c r="H209" s="514"/>
      <c r="I209" s="515"/>
      <c r="J209" s="515"/>
    </row>
    <row r="210" spans="1:10" ht="13.8" thickBot="1">
      <c r="A210" s="517"/>
      <c r="B210" s="518" t="s">
        <v>14007</v>
      </c>
      <c r="C210" s="516"/>
      <c r="D210" s="514" t="s">
        <v>13991</v>
      </c>
      <c r="E210" s="515">
        <v>1</v>
      </c>
      <c r="F210" s="518" t="s">
        <v>1854</v>
      </c>
      <c r="G210" s="515" t="s">
        <v>1793</v>
      </c>
      <c r="H210" s="514"/>
      <c r="I210" s="515"/>
      <c r="J210" s="515"/>
    </row>
    <row r="211" spans="1:10" ht="13.8" thickBot="1">
      <c r="A211" s="517"/>
      <c r="B211" s="518" t="s">
        <v>14006</v>
      </c>
      <c r="C211" s="516"/>
      <c r="D211" s="514" t="s">
        <v>13991</v>
      </c>
      <c r="E211" s="515">
        <v>1</v>
      </c>
      <c r="F211" s="518" t="s">
        <v>1854</v>
      </c>
      <c r="G211" s="515" t="s">
        <v>1793</v>
      </c>
      <c r="H211" s="514"/>
      <c r="I211" s="515"/>
      <c r="J211" s="515"/>
    </row>
    <row r="212" spans="1:10" ht="13.8" thickBot="1">
      <c r="A212" s="517"/>
      <c r="B212" s="518" t="s">
        <v>14005</v>
      </c>
      <c r="C212" s="516"/>
      <c r="D212" s="514" t="s">
        <v>13991</v>
      </c>
      <c r="E212" s="515">
        <v>1</v>
      </c>
      <c r="F212" s="518" t="s">
        <v>1854</v>
      </c>
      <c r="G212" s="515" t="s">
        <v>1793</v>
      </c>
      <c r="H212" s="514"/>
      <c r="I212" s="515"/>
      <c r="J212" s="515"/>
    </row>
    <row r="213" spans="1:10" ht="13.8" thickBot="1">
      <c r="A213" s="517"/>
      <c r="B213" s="518" t="s">
        <v>14004</v>
      </c>
      <c r="C213" s="516"/>
      <c r="D213" s="514" t="s">
        <v>13991</v>
      </c>
      <c r="E213" s="515">
        <v>1</v>
      </c>
      <c r="F213" s="518" t="s">
        <v>1854</v>
      </c>
      <c r="G213" s="515" t="s">
        <v>1793</v>
      </c>
      <c r="H213" s="514"/>
      <c r="I213" s="515"/>
      <c r="J213" s="515"/>
    </row>
    <row r="214" spans="1:10" ht="13.8" thickBot="1">
      <c r="A214" s="517"/>
      <c r="B214" s="518" t="s">
        <v>14003</v>
      </c>
      <c r="C214" s="516"/>
      <c r="D214" s="514" t="s">
        <v>13991</v>
      </c>
      <c r="E214" s="515">
        <v>1</v>
      </c>
      <c r="F214" s="514"/>
      <c r="G214" s="515" t="s">
        <v>1793</v>
      </c>
      <c r="H214" s="514"/>
      <c r="I214" s="515"/>
      <c r="J214" s="515"/>
    </row>
    <row r="215" spans="1:10" ht="13.8" thickBot="1">
      <c r="A215" s="517"/>
      <c r="B215" s="518" t="s">
        <v>14002</v>
      </c>
      <c r="C215" s="516"/>
      <c r="D215" s="514" t="s">
        <v>13991</v>
      </c>
      <c r="E215" s="515">
        <v>1</v>
      </c>
      <c r="F215" s="514"/>
      <c r="G215" s="515" t="s">
        <v>1793</v>
      </c>
      <c r="H215" s="514"/>
      <c r="I215" s="515"/>
      <c r="J215" s="515"/>
    </row>
    <row r="216" spans="1:10" ht="13.8" thickBot="1">
      <c r="A216" s="517"/>
      <c r="B216" s="518" t="s">
        <v>14001</v>
      </c>
      <c r="C216" s="516"/>
      <c r="D216" s="514" t="s">
        <v>13991</v>
      </c>
      <c r="E216" s="515">
        <v>1</v>
      </c>
      <c r="F216" s="514"/>
      <c r="G216" s="515" t="s">
        <v>1793</v>
      </c>
      <c r="H216" s="514"/>
      <c r="I216" s="515"/>
      <c r="J216" s="515"/>
    </row>
    <row r="217" spans="1:10" ht="13.8" thickBot="1">
      <c r="A217" s="517"/>
      <c r="B217" s="518" t="s">
        <v>14000</v>
      </c>
      <c r="C217" s="516"/>
      <c r="D217" s="514" t="s">
        <v>13991</v>
      </c>
      <c r="E217" s="515">
        <v>1</v>
      </c>
      <c r="F217" s="514"/>
      <c r="G217" s="515" t="s">
        <v>1793</v>
      </c>
      <c r="H217" s="514"/>
      <c r="I217" s="515"/>
      <c r="J217" s="515"/>
    </row>
    <row r="218" spans="1:10" ht="13.8" thickBot="1">
      <c r="A218" s="517"/>
      <c r="B218" s="518" t="s">
        <v>13999</v>
      </c>
      <c r="C218" s="516"/>
      <c r="D218" s="514" t="s">
        <v>13991</v>
      </c>
      <c r="E218" s="515">
        <v>1</v>
      </c>
      <c r="F218" s="514"/>
      <c r="G218" s="515" t="s">
        <v>1793</v>
      </c>
      <c r="H218" s="514"/>
      <c r="I218" s="515"/>
      <c r="J218" s="515"/>
    </row>
    <row r="219" spans="1:10" ht="13.8" thickBot="1">
      <c r="A219" s="517"/>
      <c r="B219" s="518" t="s">
        <v>13998</v>
      </c>
      <c r="C219" s="516"/>
      <c r="D219" s="514" t="s">
        <v>13991</v>
      </c>
      <c r="E219" s="515">
        <v>1</v>
      </c>
      <c r="F219" s="514"/>
      <c r="G219" s="515" t="s">
        <v>1793</v>
      </c>
      <c r="H219" s="514"/>
      <c r="I219" s="515"/>
      <c r="J219" s="515"/>
    </row>
    <row r="220" spans="1:10" ht="13.8" thickBot="1">
      <c r="A220" s="517"/>
      <c r="B220" s="518" t="s">
        <v>13997</v>
      </c>
      <c r="C220" s="516"/>
      <c r="D220" s="514" t="s">
        <v>13991</v>
      </c>
      <c r="E220" s="515">
        <v>1</v>
      </c>
      <c r="F220" s="514"/>
      <c r="G220" s="515" t="s">
        <v>1793</v>
      </c>
      <c r="H220" s="514"/>
      <c r="I220" s="515"/>
      <c r="J220" s="515"/>
    </row>
    <row r="221" spans="1:10" ht="13.8" thickBot="1">
      <c r="A221" s="517"/>
      <c r="B221" s="518" t="s">
        <v>13996</v>
      </c>
      <c r="C221" s="516"/>
      <c r="D221" s="514" t="s">
        <v>13991</v>
      </c>
      <c r="E221" s="515">
        <v>1</v>
      </c>
      <c r="F221" s="514"/>
      <c r="G221" s="515" t="s">
        <v>1793</v>
      </c>
      <c r="H221" s="514"/>
      <c r="I221" s="515"/>
      <c r="J221" s="515"/>
    </row>
    <row r="222" spans="1:10" ht="13.8" thickBot="1">
      <c r="A222" s="517"/>
      <c r="B222" s="518" t="s">
        <v>13995</v>
      </c>
      <c r="C222" s="516"/>
      <c r="D222" s="514" t="s">
        <v>13991</v>
      </c>
      <c r="E222" s="515">
        <v>1</v>
      </c>
      <c r="F222" s="514"/>
      <c r="G222" s="515" t="s">
        <v>1793</v>
      </c>
      <c r="H222" s="514"/>
      <c r="I222" s="515"/>
      <c r="J222" s="515"/>
    </row>
    <row r="223" spans="1:10" ht="13.8" thickBot="1">
      <c r="A223" s="517"/>
      <c r="B223" s="518" t="s">
        <v>13994</v>
      </c>
      <c r="C223" s="516"/>
      <c r="D223" s="514" t="s">
        <v>13991</v>
      </c>
      <c r="E223" s="515">
        <v>1</v>
      </c>
      <c r="F223" s="514"/>
      <c r="G223" s="515" t="s">
        <v>1793</v>
      </c>
      <c r="H223" s="514"/>
      <c r="I223" s="515"/>
      <c r="J223" s="515"/>
    </row>
    <row r="224" spans="1:10" ht="13.8" thickBot="1">
      <c r="A224" s="517"/>
      <c r="B224" s="518" t="s">
        <v>13993</v>
      </c>
      <c r="C224" s="516"/>
      <c r="D224" s="514" t="s">
        <v>13991</v>
      </c>
      <c r="E224" s="515">
        <v>1</v>
      </c>
      <c r="F224" s="514"/>
      <c r="G224" s="515" t="s">
        <v>1793</v>
      </c>
      <c r="H224" s="514"/>
      <c r="I224" s="515"/>
      <c r="J224" s="515"/>
    </row>
    <row r="225" spans="1:10" ht="13.8" thickBot="1">
      <c r="A225" s="517"/>
      <c r="B225" s="518" t="s">
        <v>13992</v>
      </c>
      <c r="C225" s="516"/>
      <c r="D225" s="514" t="s">
        <v>13991</v>
      </c>
      <c r="E225" s="515">
        <v>1</v>
      </c>
      <c r="F225" s="514"/>
      <c r="G225" s="515" t="s">
        <v>1793</v>
      </c>
      <c r="H225" s="514"/>
      <c r="I225" s="515"/>
      <c r="J225" s="515"/>
    </row>
    <row r="226" spans="1:10" ht="13.8" thickBot="1">
      <c r="A226" s="517"/>
      <c r="B226" s="518" t="s">
        <v>13990</v>
      </c>
      <c r="C226" s="516"/>
      <c r="D226" s="514" t="s">
        <v>13989</v>
      </c>
      <c r="E226" s="515"/>
      <c r="F226" s="518" t="s">
        <v>1854</v>
      </c>
      <c r="G226" s="515" t="s">
        <v>1793</v>
      </c>
      <c r="H226" s="514"/>
      <c r="I226" s="522"/>
      <c r="J226" s="522">
        <v>1</v>
      </c>
    </row>
    <row r="227" spans="1:10" ht="13.8" thickBot="1">
      <c r="A227" s="517"/>
      <c r="B227" s="518" t="s">
        <v>13988</v>
      </c>
      <c r="C227" s="516"/>
      <c r="D227" s="514" t="s">
        <v>1852</v>
      </c>
      <c r="E227" s="515"/>
      <c r="F227" s="518" t="s">
        <v>1854</v>
      </c>
      <c r="G227" s="515" t="s">
        <v>1793</v>
      </c>
      <c r="H227" s="514"/>
      <c r="I227" s="515"/>
      <c r="J227" s="515"/>
    </row>
    <row r="228" spans="1:10" ht="13.8" thickBot="1">
      <c r="A228" s="517"/>
      <c r="B228" s="518" t="s">
        <v>13987</v>
      </c>
      <c r="C228" s="516"/>
      <c r="D228" s="514" t="s">
        <v>1802</v>
      </c>
      <c r="E228" s="515"/>
      <c r="F228" s="518" t="s">
        <v>1854</v>
      </c>
      <c r="G228" s="515" t="s">
        <v>1793</v>
      </c>
      <c r="H228" s="514"/>
      <c r="I228" s="515"/>
      <c r="J228" s="515"/>
    </row>
    <row r="229" spans="1:10" ht="13.8" thickBot="1">
      <c r="A229" s="517"/>
      <c r="B229" s="518" t="s">
        <v>13986</v>
      </c>
      <c r="C229" s="516"/>
      <c r="D229" s="514" t="s">
        <v>1792</v>
      </c>
      <c r="E229" s="515"/>
      <c r="F229" s="514"/>
      <c r="G229" s="515" t="s">
        <v>1793</v>
      </c>
      <c r="H229" s="514"/>
      <c r="I229" s="515"/>
      <c r="J229" s="515"/>
    </row>
    <row r="230" spans="1:10" ht="13.8" thickBot="1">
      <c r="A230" s="517"/>
      <c r="B230" s="518" t="s">
        <v>13985</v>
      </c>
      <c r="C230" s="516"/>
      <c r="D230" s="514" t="s">
        <v>1792</v>
      </c>
      <c r="E230" s="515"/>
      <c r="F230" s="514"/>
      <c r="G230" s="515" t="s">
        <v>1793</v>
      </c>
      <c r="H230" s="514"/>
      <c r="I230" s="515"/>
      <c r="J230" s="515"/>
    </row>
    <row r="231" spans="1:10" ht="13.8" thickBot="1">
      <c r="A231" s="517"/>
      <c r="B231" s="518" t="s">
        <v>13984</v>
      </c>
      <c r="C231" s="516"/>
      <c r="D231" s="514" t="s">
        <v>1792</v>
      </c>
      <c r="E231" s="515"/>
      <c r="F231" s="514"/>
      <c r="G231" s="515" t="s">
        <v>1793</v>
      </c>
      <c r="H231" s="514"/>
      <c r="I231" s="515"/>
      <c r="J231" s="515"/>
    </row>
    <row r="232" spans="1:10" ht="13.8" thickBot="1">
      <c r="A232" s="517"/>
      <c r="B232" s="518" t="s">
        <v>13983</v>
      </c>
      <c r="C232" s="516"/>
      <c r="D232" s="514" t="s">
        <v>1792</v>
      </c>
      <c r="E232" s="515"/>
      <c r="F232" s="514"/>
      <c r="G232" s="515" t="s">
        <v>1793</v>
      </c>
      <c r="H232" s="514"/>
      <c r="I232" s="515"/>
      <c r="J232" s="515"/>
    </row>
    <row r="233" spans="1:10" ht="13.8" thickBot="1">
      <c r="A233" s="517"/>
      <c r="B233" s="518" t="s">
        <v>13982</v>
      </c>
      <c r="C233" s="516"/>
      <c r="D233" s="514" t="s">
        <v>13981</v>
      </c>
      <c r="E233" s="515">
        <v>7</v>
      </c>
      <c r="F233" s="518" t="s">
        <v>614</v>
      </c>
      <c r="G233" s="515" t="s">
        <v>1922</v>
      </c>
      <c r="H233" s="514"/>
      <c r="I233" s="522"/>
      <c r="J233" s="522">
        <v>1</v>
      </c>
    </row>
    <row r="234" spans="1:10" ht="13.8" thickBot="1">
      <c r="A234" s="517"/>
      <c r="B234" s="518" t="s">
        <v>13980</v>
      </c>
      <c r="C234" s="516"/>
      <c r="D234" s="514" t="s">
        <v>13979</v>
      </c>
      <c r="E234" s="515">
        <v>6.8</v>
      </c>
      <c r="F234" s="518" t="s">
        <v>1854</v>
      </c>
      <c r="G234" s="515" t="s">
        <v>1922</v>
      </c>
      <c r="H234" s="514" t="s">
        <v>1224</v>
      </c>
      <c r="I234" s="515">
        <v>1</v>
      </c>
      <c r="J234" s="515">
        <v>4</v>
      </c>
    </row>
    <row r="235" spans="1:10" ht="13.8" thickBot="1">
      <c r="A235" s="517"/>
      <c r="B235" s="518" t="s">
        <v>13978</v>
      </c>
      <c r="C235" s="516"/>
      <c r="D235" s="514" t="s">
        <v>13977</v>
      </c>
      <c r="E235" s="515">
        <v>6.6</v>
      </c>
      <c r="F235" s="518" t="s">
        <v>614</v>
      </c>
      <c r="G235" s="515" t="s">
        <v>1922</v>
      </c>
      <c r="H235" s="514" t="s">
        <v>1224</v>
      </c>
      <c r="I235" s="522">
        <v>3</v>
      </c>
      <c r="J235" s="515">
        <v>7</v>
      </c>
    </row>
    <row r="236" spans="1:10" ht="13.8" thickBot="1">
      <c r="A236" s="517"/>
      <c r="B236" s="518" t="s">
        <v>13976</v>
      </c>
      <c r="C236" s="516"/>
      <c r="D236" s="514" t="s">
        <v>13975</v>
      </c>
      <c r="E236" s="515">
        <v>6.5</v>
      </c>
      <c r="F236" s="518" t="s">
        <v>614</v>
      </c>
      <c r="G236" s="515" t="s">
        <v>1922</v>
      </c>
      <c r="H236" s="514" t="s">
        <v>1226</v>
      </c>
      <c r="I236" s="515"/>
      <c r="J236" s="515">
        <v>6</v>
      </c>
    </row>
    <row r="237" spans="1:10" ht="13.8" thickBot="1">
      <c r="A237" s="517"/>
      <c r="B237" s="518" t="s">
        <v>13974</v>
      </c>
      <c r="C237" s="516"/>
      <c r="D237" s="514" t="s">
        <v>13973</v>
      </c>
      <c r="E237" s="515">
        <v>6</v>
      </c>
      <c r="F237" s="518" t="s">
        <v>614</v>
      </c>
      <c r="G237" s="515" t="s">
        <v>1922</v>
      </c>
      <c r="H237" s="514" t="s">
        <v>1224</v>
      </c>
      <c r="I237" s="515"/>
      <c r="J237" s="515">
        <v>4</v>
      </c>
    </row>
    <row r="238" spans="1:10" ht="13.8" thickBot="1">
      <c r="A238" s="517"/>
      <c r="B238" s="518" t="s">
        <v>13972</v>
      </c>
      <c r="C238" s="516"/>
      <c r="D238" s="514" t="s">
        <v>13971</v>
      </c>
      <c r="E238" s="515">
        <v>5.25</v>
      </c>
      <c r="F238" s="515" t="s">
        <v>12413</v>
      </c>
      <c r="G238" s="515" t="s">
        <v>1922</v>
      </c>
      <c r="H238" s="514" t="s">
        <v>1226</v>
      </c>
      <c r="I238" s="515"/>
      <c r="J238" s="515">
        <v>1</v>
      </c>
    </row>
    <row r="239" spans="1:10" ht="13.8" thickBot="1">
      <c r="A239" s="517"/>
      <c r="B239" s="518" t="s">
        <v>13970</v>
      </c>
      <c r="C239" s="516"/>
      <c r="D239" s="514" t="s">
        <v>13969</v>
      </c>
      <c r="E239" s="515">
        <v>5</v>
      </c>
      <c r="F239" s="518" t="s">
        <v>614</v>
      </c>
      <c r="G239" s="515" t="s">
        <v>1922</v>
      </c>
      <c r="H239" s="514" t="s">
        <v>1226</v>
      </c>
      <c r="I239" s="515"/>
      <c r="J239" s="515">
        <v>4</v>
      </c>
    </row>
    <row r="240" spans="1:10" ht="13.8" thickBot="1">
      <c r="A240" s="517"/>
      <c r="B240" s="518" t="s">
        <v>13968</v>
      </c>
      <c r="C240" s="516"/>
      <c r="D240" s="514" t="s">
        <v>13967</v>
      </c>
      <c r="E240" s="515">
        <v>5</v>
      </c>
      <c r="F240" s="518" t="s">
        <v>614</v>
      </c>
      <c r="G240" s="515" t="s">
        <v>1922</v>
      </c>
      <c r="H240" s="514"/>
      <c r="I240" s="515"/>
      <c r="J240" s="515">
        <v>1</v>
      </c>
    </row>
    <row r="241" spans="1:10" ht="13.8" thickBot="1">
      <c r="A241" s="517"/>
      <c r="B241" s="518" t="s">
        <v>13966</v>
      </c>
      <c r="C241" s="516"/>
      <c r="D241" s="514" t="s">
        <v>13965</v>
      </c>
      <c r="E241" s="515">
        <v>5</v>
      </c>
      <c r="F241" s="518" t="s">
        <v>1854</v>
      </c>
      <c r="G241" s="515" t="s">
        <v>1922</v>
      </c>
      <c r="H241" s="514"/>
      <c r="I241" s="515"/>
      <c r="J241" s="515">
        <v>1</v>
      </c>
    </row>
    <row r="242" spans="1:10" ht="13.8" thickBot="1">
      <c r="A242" s="517"/>
      <c r="B242" s="518" t="s">
        <v>13964</v>
      </c>
      <c r="C242" s="516"/>
      <c r="D242" s="514" t="s">
        <v>1252</v>
      </c>
      <c r="E242" s="515">
        <v>5</v>
      </c>
      <c r="F242" s="518" t="s">
        <v>1854</v>
      </c>
      <c r="G242" s="515" t="s">
        <v>1922</v>
      </c>
      <c r="H242" s="514"/>
      <c r="I242" s="515"/>
      <c r="J242" s="515">
        <v>1</v>
      </c>
    </row>
    <row r="243" spans="1:10" ht="13.8" thickBot="1">
      <c r="A243" s="517"/>
      <c r="B243" s="514" t="s">
        <v>13963</v>
      </c>
      <c r="C243" s="516"/>
      <c r="D243" s="514" t="s">
        <v>13962</v>
      </c>
      <c r="E243" s="515">
        <v>5</v>
      </c>
      <c r="F243" s="514"/>
      <c r="G243" s="515" t="s">
        <v>1922</v>
      </c>
      <c r="H243" s="514"/>
      <c r="I243" s="515"/>
      <c r="J243" s="515">
        <v>1</v>
      </c>
    </row>
    <row r="244" spans="1:10" ht="13.8" thickBot="1">
      <c r="A244" s="517"/>
      <c r="B244" s="518" t="s">
        <v>13961</v>
      </c>
      <c r="C244" s="516"/>
      <c r="D244" s="514" t="s">
        <v>13960</v>
      </c>
      <c r="E244" s="515">
        <v>4</v>
      </c>
      <c r="F244" s="514"/>
      <c r="G244" s="515" t="s">
        <v>1922</v>
      </c>
      <c r="H244" s="514"/>
      <c r="I244" s="515"/>
      <c r="J244" s="515">
        <v>8</v>
      </c>
    </row>
    <row r="245" spans="1:10" ht="13.8" thickBot="1">
      <c r="A245" s="517"/>
      <c r="B245" s="518" t="s">
        <v>13959</v>
      </c>
      <c r="C245" s="516"/>
      <c r="D245" s="514" t="s">
        <v>13958</v>
      </c>
      <c r="E245" s="515">
        <v>3.5</v>
      </c>
      <c r="F245" s="518" t="s">
        <v>614</v>
      </c>
      <c r="G245" s="515" t="s">
        <v>1922</v>
      </c>
      <c r="H245" s="514"/>
      <c r="I245" s="515"/>
      <c r="J245" s="515">
        <v>1</v>
      </c>
    </row>
    <row r="246" spans="1:10" ht="13.8" thickBot="1">
      <c r="A246" s="517"/>
      <c r="B246" s="518" t="s">
        <v>13957</v>
      </c>
      <c r="C246" s="516"/>
      <c r="D246" s="514" t="s">
        <v>1252</v>
      </c>
      <c r="E246" s="515">
        <v>3</v>
      </c>
      <c r="F246" s="518" t="s">
        <v>1854</v>
      </c>
      <c r="G246" s="515" t="s">
        <v>1922</v>
      </c>
      <c r="H246" s="514"/>
      <c r="I246" s="515">
        <v>1</v>
      </c>
      <c r="J246" s="515">
        <v>2</v>
      </c>
    </row>
    <row r="247" spans="1:10" ht="13.8" thickBot="1">
      <c r="A247" s="517"/>
      <c r="B247" s="518" t="s">
        <v>13956</v>
      </c>
      <c r="C247" s="516"/>
      <c r="D247" s="514" t="s">
        <v>1252</v>
      </c>
      <c r="E247" s="515">
        <v>3</v>
      </c>
      <c r="F247" s="518" t="s">
        <v>1854</v>
      </c>
      <c r="G247" s="515" t="s">
        <v>1922</v>
      </c>
      <c r="H247" s="514"/>
      <c r="I247" s="515"/>
      <c r="J247" s="515">
        <v>2</v>
      </c>
    </row>
    <row r="248" spans="1:10" ht="13.8" thickBot="1">
      <c r="A248" s="517"/>
      <c r="B248" s="518" t="s">
        <v>13955</v>
      </c>
      <c r="C248" s="516"/>
      <c r="D248" s="514" t="s">
        <v>1256</v>
      </c>
      <c r="E248" s="515">
        <v>3</v>
      </c>
      <c r="F248" s="518" t="s">
        <v>1854</v>
      </c>
      <c r="G248" s="515" t="s">
        <v>1922</v>
      </c>
      <c r="H248" s="514"/>
      <c r="I248" s="515"/>
      <c r="J248" s="515">
        <v>1</v>
      </c>
    </row>
    <row r="249" spans="1:10" ht="13.8" thickBot="1">
      <c r="A249" s="517"/>
      <c r="B249" s="514" t="s">
        <v>13954</v>
      </c>
      <c r="C249" s="516"/>
      <c r="D249" s="514" t="s">
        <v>13953</v>
      </c>
      <c r="E249" s="515">
        <v>2</v>
      </c>
      <c r="F249" s="518" t="s">
        <v>614</v>
      </c>
      <c r="G249" s="515" t="s">
        <v>1922</v>
      </c>
      <c r="H249" s="514"/>
      <c r="I249" s="515"/>
      <c r="J249" s="515">
        <v>1</v>
      </c>
    </row>
    <row r="250" spans="1:10" ht="13.8" thickBot="1">
      <c r="A250" s="517"/>
      <c r="B250" s="518" t="s">
        <v>13952</v>
      </c>
      <c r="C250" s="516"/>
      <c r="D250" s="514" t="s">
        <v>1252</v>
      </c>
      <c r="E250" s="515">
        <v>2</v>
      </c>
      <c r="F250" s="514"/>
      <c r="G250" s="515" t="s">
        <v>1922</v>
      </c>
      <c r="H250" s="514"/>
      <c r="I250" s="515"/>
      <c r="J250" s="515">
        <v>1</v>
      </c>
    </row>
    <row r="251" spans="1:10" ht="13.8" thickBot="1">
      <c r="A251" s="517"/>
      <c r="B251" s="518" t="s">
        <v>13951</v>
      </c>
      <c r="C251" s="516"/>
      <c r="D251" s="514" t="s">
        <v>1256</v>
      </c>
      <c r="E251" s="515">
        <v>2</v>
      </c>
      <c r="F251" s="514"/>
      <c r="G251" s="515" t="s">
        <v>1922</v>
      </c>
      <c r="H251" s="514"/>
      <c r="I251" s="515"/>
      <c r="J251" s="515">
        <v>1</v>
      </c>
    </row>
    <row r="252" spans="1:10" ht="13.8" thickBot="1">
      <c r="A252" s="517"/>
      <c r="B252" s="518" t="s">
        <v>13950</v>
      </c>
      <c r="C252" s="516"/>
      <c r="D252" s="514" t="s">
        <v>1256</v>
      </c>
      <c r="E252" s="515">
        <v>1</v>
      </c>
      <c r="F252" s="518" t="s">
        <v>614</v>
      </c>
      <c r="G252" s="515" t="s">
        <v>1922</v>
      </c>
      <c r="H252" s="514"/>
      <c r="I252" s="522"/>
      <c r="J252" s="522">
        <v>4</v>
      </c>
    </row>
    <row r="253" spans="1:10" ht="13.8" thickBot="1">
      <c r="A253" s="517"/>
      <c r="B253" s="518" t="s">
        <v>13949</v>
      </c>
      <c r="C253" s="516"/>
      <c r="D253" s="514" t="s">
        <v>1252</v>
      </c>
      <c r="E253" s="515">
        <v>1</v>
      </c>
      <c r="F253" s="514"/>
      <c r="G253" s="515" t="s">
        <v>1922</v>
      </c>
      <c r="H253" s="514"/>
      <c r="I253" s="515"/>
      <c r="J253" s="515">
        <v>2</v>
      </c>
    </row>
    <row r="254" spans="1:10" ht="13.8" thickBot="1">
      <c r="A254" s="517"/>
      <c r="B254" s="518" t="s">
        <v>13948</v>
      </c>
      <c r="C254" s="516"/>
      <c r="D254" s="514" t="s">
        <v>1252</v>
      </c>
      <c r="E254" s="515">
        <v>1</v>
      </c>
      <c r="F254" s="514"/>
      <c r="G254" s="515" t="s">
        <v>1922</v>
      </c>
      <c r="H254" s="514"/>
      <c r="I254" s="515"/>
      <c r="J254" s="515">
        <v>1</v>
      </c>
    </row>
    <row r="255" spans="1:10" ht="13.8" thickBot="1">
      <c r="A255" s="517"/>
      <c r="B255" s="518" t="s">
        <v>13947</v>
      </c>
      <c r="C255" s="516"/>
      <c r="D255" s="514" t="s">
        <v>1252</v>
      </c>
      <c r="E255" s="515">
        <v>1</v>
      </c>
      <c r="F255" s="514"/>
      <c r="G255" s="515" t="s">
        <v>1922</v>
      </c>
      <c r="H255" s="514"/>
      <c r="I255" s="515"/>
      <c r="J255" s="515">
        <v>1</v>
      </c>
    </row>
    <row r="256" spans="1:10" ht="13.8" thickBot="1">
      <c r="A256" s="517"/>
      <c r="B256" s="518" t="s">
        <v>13946</v>
      </c>
      <c r="C256" s="516"/>
      <c r="D256" s="514" t="s">
        <v>13945</v>
      </c>
      <c r="E256" s="515"/>
      <c r="F256" s="518" t="s">
        <v>1854</v>
      </c>
      <c r="G256" s="515" t="s">
        <v>1922</v>
      </c>
      <c r="H256" s="514"/>
      <c r="I256" s="515"/>
      <c r="J256" s="515"/>
    </row>
    <row r="257" spans="1:10" ht="13.8" thickBot="1">
      <c r="A257" s="517"/>
      <c r="B257" s="518" t="s">
        <v>13944</v>
      </c>
      <c r="C257" s="516"/>
      <c r="D257" s="514" t="s">
        <v>1252</v>
      </c>
      <c r="E257" s="515"/>
      <c r="F257" s="514"/>
      <c r="G257" s="515" t="s">
        <v>1922</v>
      </c>
      <c r="H257" s="514"/>
      <c r="I257" s="515"/>
      <c r="J257" s="515"/>
    </row>
    <row r="258" spans="1:10" ht="13.8" thickBot="1">
      <c r="A258" s="517"/>
      <c r="B258" s="518" t="s">
        <v>13943</v>
      </c>
      <c r="C258" s="516"/>
      <c r="D258" s="514" t="s">
        <v>13942</v>
      </c>
      <c r="E258" s="515">
        <v>7</v>
      </c>
      <c r="F258" s="518" t="s">
        <v>614</v>
      </c>
      <c r="G258" s="515" t="s">
        <v>1997</v>
      </c>
      <c r="H258" s="514" t="s">
        <v>1224</v>
      </c>
      <c r="I258" s="515"/>
      <c r="J258" s="515">
        <v>1</v>
      </c>
    </row>
    <row r="259" spans="1:10" ht="13.8" thickBot="1">
      <c r="A259" s="517"/>
      <c r="B259" s="518" t="s">
        <v>13941</v>
      </c>
      <c r="C259" s="516"/>
      <c r="D259" s="514" t="s">
        <v>1752</v>
      </c>
      <c r="E259" s="515">
        <v>5.5</v>
      </c>
      <c r="F259" s="518" t="s">
        <v>614</v>
      </c>
      <c r="G259" s="515" t="s">
        <v>1997</v>
      </c>
      <c r="H259" s="514" t="s">
        <v>1226</v>
      </c>
      <c r="I259" s="515"/>
      <c r="J259" s="515">
        <v>2</v>
      </c>
    </row>
    <row r="260" spans="1:10" ht="13.8" thickBot="1">
      <c r="A260" s="517"/>
      <c r="B260" s="518" t="s">
        <v>13940</v>
      </c>
      <c r="C260" s="516"/>
      <c r="D260" s="519" t="s">
        <v>13939</v>
      </c>
      <c r="E260" s="515">
        <v>8.25</v>
      </c>
      <c r="F260" s="518" t="s">
        <v>614</v>
      </c>
      <c r="G260" s="515" t="s">
        <v>2032</v>
      </c>
      <c r="H260" s="514" t="s">
        <v>1229</v>
      </c>
      <c r="I260" s="515">
        <v>4</v>
      </c>
      <c r="J260" s="515">
        <v>7</v>
      </c>
    </row>
    <row r="261" spans="1:10" ht="13.8" thickBot="1">
      <c r="A261" s="517"/>
      <c r="B261" s="518" t="s">
        <v>13938</v>
      </c>
      <c r="C261" s="516"/>
      <c r="D261" s="514" t="s">
        <v>13937</v>
      </c>
      <c r="E261" s="515">
        <v>7.75</v>
      </c>
      <c r="F261" s="518" t="s">
        <v>614</v>
      </c>
      <c r="G261" s="515" t="s">
        <v>2032</v>
      </c>
      <c r="H261" s="514" t="s">
        <v>1224</v>
      </c>
      <c r="I261" s="515"/>
      <c r="J261" s="515">
        <v>4</v>
      </c>
    </row>
    <row r="262" spans="1:10" ht="13.8" thickBot="1">
      <c r="A262" s="517"/>
      <c r="B262" s="518" t="s">
        <v>13936</v>
      </c>
      <c r="C262" s="516"/>
      <c r="D262" s="514" t="s">
        <v>13935</v>
      </c>
      <c r="E262" s="515">
        <v>7.5</v>
      </c>
      <c r="F262" s="518" t="s">
        <v>614</v>
      </c>
      <c r="G262" s="515" t="s">
        <v>2032</v>
      </c>
      <c r="H262" s="514" t="s">
        <v>1226</v>
      </c>
      <c r="I262" s="515"/>
      <c r="J262" s="515">
        <v>2</v>
      </c>
    </row>
    <row r="263" spans="1:10" ht="13.8" thickBot="1">
      <c r="A263" s="517"/>
      <c r="B263" s="518" t="s">
        <v>13934</v>
      </c>
      <c r="C263" s="516"/>
      <c r="D263" s="514" t="s">
        <v>2044</v>
      </c>
      <c r="E263" s="515">
        <v>7.5</v>
      </c>
      <c r="F263" s="514"/>
      <c r="G263" s="515" t="s">
        <v>2032</v>
      </c>
      <c r="H263" s="514" t="s">
        <v>1226</v>
      </c>
      <c r="I263" s="515"/>
      <c r="J263" s="515">
        <v>1</v>
      </c>
    </row>
    <row r="264" spans="1:10" ht="13.8" thickBot="1">
      <c r="A264" s="517"/>
      <c r="B264" s="518" t="s">
        <v>13933</v>
      </c>
      <c r="C264" s="516"/>
      <c r="D264" s="514" t="s">
        <v>13932</v>
      </c>
      <c r="E264" s="515">
        <v>7.25</v>
      </c>
      <c r="F264" s="518" t="s">
        <v>614</v>
      </c>
      <c r="G264" s="515" t="s">
        <v>2032</v>
      </c>
      <c r="H264" s="514" t="s">
        <v>1226</v>
      </c>
      <c r="I264" s="515"/>
      <c r="J264" s="515">
        <v>1</v>
      </c>
    </row>
    <row r="265" spans="1:10" ht="13.8" thickBot="1">
      <c r="A265" s="517"/>
      <c r="B265" s="518" t="s">
        <v>13931</v>
      </c>
      <c r="C265" s="516"/>
      <c r="D265" s="514" t="s">
        <v>13930</v>
      </c>
      <c r="E265" s="515">
        <v>7</v>
      </c>
      <c r="F265" s="518" t="s">
        <v>1854</v>
      </c>
      <c r="G265" s="515" t="s">
        <v>2032</v>
      </c>
      <c r="H265" s="514" t="s">
        <v>1224</v>
      </c>
      <c r="I265" s="515"/>
      <c r="J265" s="522">
        <v>2</v>
      </c>
    </row>
    <row r="266" spans="1:10" ht="13.8" thickBot="1">
      <c r="A266" s="517"/>
      <c r="B266" s="518" t="s">
        <v>13929</v>
      </c>
      <c r="C266" s="516"/>
      <c r="D266" s="519" t="s">
        <v>13928</v>
      </c>
      <c r="E266" s="515">
        <v>7</v>
      </c>
      <c r="F266" s="518" t="s">
        <v>614</v>
      </c>
      <c r="G266" s="515" t="s">
        <v>2032</v>
      </c>
      <c r="H266" s="514"/>
      <c r="I266" s="515"/>
      <c r="J266" s="515">
        <v>1</v>
      </c>
    </row>
    <row r="267" spans="1:10" ht="13.8" thickBot="1">
      <c r="A267" s="517"/>
      <c r="B267" s="518" t="s">
        <v>13927</v>
      </c>
      <c r="C267" s="516"/>
      <c r="D267" s="514" t="s">
        <v>13926</v>
      </c>
      <c r="E267" s="515">
        <v>6.8</v>
      </c>
      <c r="F267" s="518" t="s">
        <v>614</v>
      </c>
      <c r="G267" s="515" t="s">
        <v>2032</v>
      </c>
      <c r="H267" s="514" t="s">
        <v>1226</v>
      </c>
      <c r="I267" s="515">
        <v>2</v>
      </c>
      <c r="J267" s="515">
        <v>6</v>
      </c>
    </row>
    <row r="268" spans="1:10" ht="13.8" thickBot="1">
      <c r="A268" s="517"/>
      <c r="B268" s="518" t="s">
        <v>13925</v>
      </c>
      <c r="C268" s="516"/>
      <c r="D268" s="514" t="s">
        <v>13924</v>
      </c>
      <c r="E268" s="515">
        <v>6.8</v>
      </c>
      <c r="F268" s="518" t="s">
        <v>614</v>
      </c>
      <c r="G268" s="515" t="s">
        <v>2032</v>
      </c>
      <c r="H268" s="514" t="s">
        <v>1226</v>
      </c>
      <c r="I268" s="515"/>
      <c r="J268" s="515">
        <v>5</v>
      </c>
    </row>
    <row r="269" spans="1:10" ht="13.8" thickBot="1">
      <c r="A269" s="517"/>
      <c r="B269" s="518" t="s">
        <v>13923</v>
      </c>
      <c r="C269" s="516"/>
      <c r="D269" s="514" t="s">
        <v>13922</v>
      </c>
      <c r="E269" s="515">
        <v>6.75</v>
      </c>
      <c r="F269" s="518" t="s">
        <v>614</v>
      </c>
      <c r="G269" s="515" t="s">
        <v>2032</v>
      </c>
      <c r="H269" s="514" t="s">
        <v>2374</v>
      </c>
      <c r="I269" s="522">
        <v>1</v>
      </c>
      <c r="J269" s="522">
        <v>10</v>
      </c>
    </row>
    <row r="270" spans="1:10" ht="13.8" thickBot="1">
      <c r="A270" s="517"/>
      <c r="B270" s="518" t="s">
        <v>13921</v>
      </c>
      <c r="C270" s="516"/>
      <c r="D270" s="514" t="s">
        <v>13920</v>
      </c>
      <c r="E270" s="515">
        <v>6.6</v>
      </c>
      <c r="F270" s="518" t="s">
        <v>13919</v>
      </c>
      <c r="G270" s="515" t="s">
        <v>2032</v>
      </c>
      <c r="H270" s="514"/>
      <c r="I270" s="522">
        <v>1</v>
      </c>
      <c r="J270" s="522">
        <v>2</v>
      </c>
    </row>
    <row r="271" spans="1:10" ht="13.8" thickBot="1">
      <c r="A271" s="517"/>
      <c r="B271" s="518" t="s">
        <v>13918</v>
      </c>
      <c r="C271" s="516"/>
      <c r="D271" s="514" t="s">
        <v>13917</v>
      </c>
      <c r="E271" s="515">
        <v>6.5</v>
      </c>
      <c r="F271" s="518" t="s">
        <v>614</v>
      </c>
      <c r="G271" s="515" t="s">
        <v>2032</v>
      </c>
      <c r="H271" s="514" t="s">
        <v>2319</v>
      </c>
      <c r="I271" s="515"/>
      <c r="J271" s="515">
        <v>12</v>
      </c>
    </row>
    <row r="272" spans="1:10" ht="13.8" thickBot="1">
      <c r="A272" s="517"/>
      <c r="B272" s="518" t="s">
        <v>13916</v>
      </c>
      <c r="C272" s="516"/>
      <c r="D272" s="514" t="s">
        <v>13915</v>
      </c>
      <c r="E272" s="515">
        <v>6.5</v>
      </c>
      <c r="F272" s="514"/>
      <c r="G272" s="515" t="s">
        <v>2032</v>
      </c>
      <c r="H272" s="514" t="s">
        <v>1251</v>
      </c>
      <c r="I272" s="515"/>
      <c r="J272" s="515">
        <v>10</v>
      </c>
    </row>
    <row r="273" spans="1:10" ht="13.8" thickBot="1">
      <c r="A273" s="517"/>
      <c r="B273" s="518" t="s">
        <v>13914</v>
      </c>
      <c r="C273" s="516"/>
      <c r="D273" s="514" t="s">
        <v>13913</v>
      </c>
      <c r="E273" s="515">
        <v>6.5</v>
      </c>
      <c r="F273" s="518" t="s">
        <v>1854</v>
      </c>
      <c r="G273" s="515" t="s">
        <v>2032</v>
      </c>
      <c r="H273" s="514"/>
      <c r="I273" s="515">
        <v>2</v>
      </c>
      <c r="J273" s="515">
        <v>10</v>
      </c>
    </row>
    <row r="274" spans="1:10" ht="13.8" thickBot="1">
      <c r="A274" s="517"/>
      <c r="B274" s="518" t="s">
        <v>13912</v>
      </c>
      <c r="C274" s="516"/>
      <c r="D274" s="519" t="s">
        <v>2057</v>
      </c>
      <c r="E274" s="515">
        <v>6.5</v>
      </c>
      <c r="F274" s="518" t="s">
        <v>614</v>
      </c>
      <c r="G274" s="515" t="s">
        <v>2032</v>
      </c>
      <c r="H274" s="514"/>
      <c r="I274" s="515"/>
      <c r="J274" s="515">
        <v>2</v>
      </c>
    </row>
    <row r="275" spans="1:10" ht="13.8" thickBot="1">
      <c r="A275" s="517"/>
      <c r="B275" s="518" t="s">
        <v>13911</v>
      </c>
      <c r="C275" s="516"/>
      <c r="D275" s="514" t="s">
        <v>13910</v>
      </c>
      <c r="E275" s="515">
        <v>6.5</v>
      </c>
      <c r="F275" s="518" t="s">
        <v>614</v>
      </c>
      <c r="G275" s="515" t="s">
        <v>2032</v>
      </c>
      <c r="H275" s="514"/>
      <c r="I275" s="515"/>
      <c r="J275" s="515">
        <v>2</v>
      </c>
    </row>
    <row r="276" spans="1:10" ht="13.8" thickBot="1">
      <c r="A276" s="517"/>
      <c r="B276" s="518" t="s">
        <v>13909</v>
      </c>
      <c r="C276" s="516"/>
      <c r="D276" s="514" t="s">
        <v>2044</v>
      </c>
      <c r="E276" s="515">
        <v>6.5</v>
      </c>
      <c r="F276" s="514"/>
      <c r="G276" s="515" t="s">
        <v>2032</v>
      </c>
      <c r="H276" s="514"/>
      <c r="I276" s="515"/>
      <c r="J276" s="515">
        <v>2</v>
      </c>
    </row>
    <row r="277" spans="1:10" ht="13.8" thickBot="1">
      <c r="A277" s="517"/>
      <c r="B277" s="518" t="s">
        <v>13908</v>
      </c>
      <c r="C277" s="516"/>
      <c r="D277" s="514" t="s">
        <v>13907</v>
      </c>
      <c r="E277" s="515">
        <v>6.5</v>
      </c>
      <c r="F277" s="518" t="s">
        <v>1854</v>
      </c>
      <c r="G277" s="515" t="s">
        <v>2032</v>
      </c>
      <c r="H277" s="514"/>
      <c r="I277" s="515"/>
      <c r="J277" s="515">
        <v>1</v>
      </c>
    </row>
    <row r="278" spans="1:10" ht="13.8" thickBot="1">
      <c r="A278" s="517"/>
      <c r="B278" s="518" t="s">
        <v>13906</v>
      </c>
      <c r="C278" s="516"/>
      <c r="D278" s="514" t="s">
        <v>13905</v>
      </c>
      <c r="E278" s="515">
        <v>6.25</v>
      </c>
      <c r="F278" s="518" t="s">
        <v>614</v>
      </c>
      <c r="G278" s="515" t="s">
        <v>2032</v>
      </c>
      <c r="H278" s="514" t="s">
        <v>1226</v>
      </c>
      <c r="I278" s="515"/>
      <c r="J278" s="515">
        <v>11</v>
      </c>
    </row>
    <row r="279" spans="1:10" ht="13.8" thickBot="1">
      <c r="A279" s="517"/>
      <c r="B279" s="518" t="s">
        <v>13904</v>
      </c>
      <c r="C279" s="516"/>
      <c r="D279" s="514" t="s">
        <v>13903</v>
      </c>
      <c r="E279" s="515">
        <v>6.25</v>
      </c>
      <c r="F279" s="518" t="s">
        <v>614</v>
      </c>
      <c r="G279" s="515" t="s">
        <v>2032</v>
      </c>
      <c r="H279" s="514" t="s">
        <v>1226</v>
      </c>
      <c r="I279" s="515">
        <v>1</v>
      </c>
      <c r="J279" s="515">
        <v>6</v>
      </c>
    </row>
    <row r="280" spans="1:10" ht="13.8" thickBot="1">
      <c r="A280" s="517"/>
      <c r="B280" s="518" t="s">
        <v>13902</v>
      </c>
      <c r="C280" s="516"/>
      <c r="D280" s="514" t="s">
        <v>13901</v>
      </c>
      <c r="E280" s="515">
        <v>6.25</v>
      </c>
      <c r="F280" s="518" t="s">
        <v>1854</v>
      </c>
      <c r="G280" s="515" t="s">
        <v>2032</v>
      </c>
      <c r="H280" s="514"/>
      <c r="I280" s="515"/>
      <c r="J280" s="515">
        <v>1</v>
      </c>
    </row>
    <row r="281" spans="1:10" ht="13.8" thickBot="1">
      <c r="A281" s="517"/>
      <c r="B281" s="518" t="s">
        <v>13900</v>
      </c>
      <c r="C281" s="516"/>
      <c r="D281" s="514" t="s">
        <v>13899</v>
      </c>
      <c r="E281" s="515">
        <v>6</v>
      </c>
      <c r="F281" s="518" t="s">
        <v>614</v>
      </c>
      <c r="G281" s="515" t="s">
        <v>2032</v>
      </c>
      <c r="H281" s="514" t="s">
        <v>3556</v>
      </c>
      <c r="I281" s="515"/>
      <c r="J281" s="515">
        <v>17</v>
      </c>
    </row>
    <row r="282" spans="1:10" ht="13.8" thickBot="1">
      <c r="A282" s="517"/>
      <c r="B282" s="518" t="s">
        <v>13898</v>
      </c>
      <c r="C282" s="516"/>
      <c r="D282" s="514" t="s">
        <v>13897</v>
      </c>
      <c r="E282" s="515">
        <v>6</v>
      </c>
      <c r="F282" s="518" t="s">
        <v>614</v>
      </c>
      <c r="G282" s="515" t="s">
        <v>2032</v>
      </c>
      <c r="H282" s="514" t="s">
        <v>1226</v>
      </c>
      <c r="I282" s="522">
        <v>1</v>
      </c>
      <c r="J282" s="522">
        <v>8</v>
      </c>
    </row>
    <row r="283" spans="1:10" ht="13.8" thickBot="1">
      <c r="A283" s="517"/>
      <c r="B283" s="518" t="s">
        <v>13896</v>
      </c>
      <c r="C283" s="516"/>
      <c r="D283" s="514" t="s">
        <v>2082</v>
      </c>
      <c r="E283" s="515">
        <v>6</v>
      </c>
      <c r="F283" s="518" t="s">
        <v>614</v>
      </c>
      <c r="G283" s="515" t="s">
        <v>2032</v>
      </c>
      <c r="H283" s="514" t="s">
        <v>1226</v>
      </c>
      <c r="I283" s="515"/>
      <c r="J283" s="515">
        <v>6</v>
      </c>
    </row>
    <row r="284" spans="1:10" ht="13.8" thickBot="1">
      <c r="A284" s="517"/>
      <c r="B284" s="518" t="s">
        <v>13895</v>
      </c>
      <c r="C284" s="516"/>
      <c r="D284" s="514" t="s">
        <v>13894</v>
      </c>
      <c r="E284" s="515">
        <v>6</v>
      </c>
      <c r="F284" s="518" t="s">
        <v>614</v>
      </c>
      <c r="G284" s="515" t="s">
        <v>2032</v>
      </c>
      <c r="H284" s="514" t="s">
        <v>1226</v>
      </c>
      <c r="I284" s="515"/>
      <c r="J284" s="515">
        <v>5</v>
      </c>
    </row>
    <row r="285" spans="1:10" ht="13.8" thickBot="1">
      <c r="A285" s="517"/>
      <c r="B285" s="518" t="s">
        <v>13893</v>
      </c>
      <c r="C285" s="516"/>
      <c r="D285" s="514" t="s">
        <v>2065</v>
      </c>
      <c r="E285" s="515">
        <v>6</v>
      </c>
      <c r="F285" s="514"/>
      <c r="G285" s="515" t="s">
        <v>2032</v>
      </c>
      <c r="H285" s="514" t="s">
        <v>1224</v>
      </c>
      <c r="I285" s="515"/>
      <c r="J285" s="515">
        <v>2</v>
      </c>
    </row>
    <row r="286" spans="1:10" ht="13.8" thickBot="1">
      <c r="A286" s="517"/>
      <c r="B286" s="518" t="s">
        <v>13892</v>
      </c>
      <c r="C286" s="516"/>
      <c r="D286" s="520" t="s">
        <v>13891</v>
      </c>
      <c r="E286" s="521">
        <v>6</v>
      </c>
      <c r="F286" s="518" t="s">
        <v>1854</v>
      </c>
      <c r="G286" s="515" t="s">
        <v>2032</v>
      </c>
      <c r="H286" s="514"/>
      <c r="I286" s="521"/>
      <c r="J286" s="521">
        <v>3</v>
      </c>
    </row>
    <row r="287" spans="1:10" ht="13.8" thickBot="1">
      <c r="A287" s="517"/>
      <c r="B287" s="518" t="s">
        <v>13890</v>
      </c>
      <c r="C287" s="516"/>
      <c r="D287" s="514" t="s">
        <v>13889</v>
      </c>
      <c r="E287" s="515">
        <v>6</v>
      </c>
      <c r="F287" s="518" t="s">
        <v>614</v>
      </c>
      <c r="G287" s="515" t="s">
        <v>2032</v>
      </c>
      <c r="H287" s="514"/>
      <c r="I287" s="515"/>
      <c r="J287" s="515">
        <v>1</v>
      </c>
    </row>
    <row r="288" spans="1:10" ht="13.8" thickBot="1">
      <c r="A288" s="517"/>
      <c r="B288" s="518" t="s">
        <v>13888</v>
      </c>
      <c r="C288" s="516"/>
      <c r="D288" s="514" t="s">
        <v>2044</v>
      </c>
      <c r="E288" s="515">
        <v>6</v>
      </c>
      <c r="F288" s="518" t="s">
        <v>614</v>
      </c>
      <c r="G288" s="515" t="s">
        <v>2032</v>
      </c>
      <c r="H288" s="514"/>
      <c r="I288" s="515"/>
      <c r="J288" s="515">
        <v>1</v>
      </c>
    </row>
    <row r="289" spans="1:10" ht="13.8" thickBot="1">
      <c r="A289" s="517"/>
      <c r="B289" s="518" t="s">
        <v>13887</v>
      </c>
      <c r="C289" s="516"/>
      <c r="D289" s="514" t="s">
        <v>2044</v>
      </c>
      <c r="E289" s="515">
        <v>6</v>
      </c>
      <c r="F289" s="518" t="s">
        <v>1854</v>
      </c>
      <c r="G289" s="515" t="s">
        <v>2032</v>
      </c>
      <c r="H289" s="514"/>
      <c r="I289" s="515"/>
      <c r="J289" s="515">
        <v>1</v>
      </c>
    </row>
    <row r="290" spans="1:10" ht="13.8" thickBot="1">
      <c r="A290" s="517"/>
      <c r="B290" s="518" t="s">
        <v>13886</v>
      </c>
      <c r="C290" s="516"/>
      <c r="D290" s="514" t="s">
        <v>13885</v>
      </c>
      <c r="E290" s="515">
        <v>5.75</v>
      </c>
      <c r="F290" s="518" t="s">
        <v>614</v>
      </c>
      <c r="G290" s="515" t="s">
        <v>2032</v>
      </c>
      <c r="H290" s="514" t="s">
        <v>1226</v>
      </c>
      <c r="I290" s="515"/>
      <c r="J290" s="515">
        <v>5</v>
      </c>
    </row>
    <row r="291" spans="1:10" ht="13.8" thickBot="1">
      <c r="A291" s="517"/>
      <c r="B291" s="518" t="s">
        <v>13884</v>
      </c>
      <c r="C291" s="516"/>
      <c r="D291" s="514" t="s">
        <v>13883</v>
      </c>
      <c r="E291" s="515">
        <v>5.5</v>
      </c>
      <c r="F291" s="518" t="s">
        <v>614</v>
      </c>
      <c r="G291" s="515" t="s">
        <v>2032</v>
      </c>
      <c r="H291" s="514" t="s">
        <v>1841</v>
      </c>
      <c r="I291" s="522">
        <v>1</v>
      </c>
      <c r="J291" s="522">
        <v>8</v>
      </c>
    </row>
    <row r="292" spans="1:10" ht="13.8" thickBot="1">
      <c r="A292" s="517"/>
      <c r="B292" s="518" t="s">
        <v>13882</v>
      </c>
      <c r="C292" s="516"/>
      <c r="D292" s="514" t="s">
        <v>13881</v>
      </c>
      <c r="E292" s="515">
        <v>5.5</v>
      </c>
      <c r="F292" s="518" t="s">
        <v>614</v>
      </c>
      <c r="G292" s="515" t="s">
        <v>2032</v>
      </c>
      <c r="H292" s="514" t="s">
        <v>1841</v>
      </c>
      <c r="I292" s="515"/>
      <c r="J292" s="515">
        <v>4</v>
      </c>
    </row>
    <row r="293" spans="1:10" ht="13.8" thickBot="1">
      <c r="A293" s="517"/>
      <c r="B293" s="518" t="s">
        <v>13880</v>
      </c>
      <c r="C293" s="516"/>
      <c r="D293" s="514" t="s">
        <v>13879</v>
      </c>
      <c r="E293" s="515">
        <v>5.5</v>
      </c>
      <c r="F293" s="518" t="s">
        <v>614</v>
      </c>
      <c r="G293" s="515" t="s">
        <v>2032</v>
      </c>
      <c r="H293" s="514" t="s">
        <v>1226</v>
      </c>
      <c r="I293" s="515"/>
      <c r="J293" s="515">
        <v>14</v>
      </c>
    </row>
    <row r="294" spans="1:10" ht="13.8" thickBot="1">
      <c r="A294" s="517"/>
      <c r="B294" s="518" t="s">
        <v>13878</v>
      </c>
      <c r="C294" s="516"/>
      <c r="D294" s="514" t="s">
        <v>2044</v>
      </c>
      <c r="E294" s="515">
        <v>5.5</v>
      </c>
      <c r="F294" s="518" t="s">
        <v>614</v>
      </c>
      <c r="G294" s="515" t="s">
        <v>2032</v>
      </c>
      <c r="H294" s="514" t="s">
        <v>1226</v>
      </c>
      <c r="I294" s="515"/>
      <c r="J294" s="515">
        <v>3</v>
      </c>
    </row>
    <row r="295" spans="1:10" ht="13.8" thickBot="1">
      <c r="A295" s="517"/>
      <c r="B295" s="518" t="s">
        <v>13877</v>
      </c>
      <c r="C295" s="516"/>
      <c r="D295" s="514" t="s">
        <v>13876</v>
      </c>
      <c r="E295" s="515">
        <v>5.5</v>
      </c>
      <c r="F295" s="518" t="s">
        <v>614</v>
      </c>
      <c r="G295" s="515" t="s">
        <v>2032</v>
      </c>
      <c r="H295" s="514" t="s">
        <v>1224</v>
      </c>
      <c r="I295" s="515"/>
      <c r="J295" s="515">
        <v>2</v>
      </c>
    </row>
    <row r="296" spans="1:10" ht="13.8" thickBot="1">
      <c r="A296" s="517"/>
      <c r="B296" s="518" t="s">
        <v>13875</v>
      </c>
      <c r="C296" s="516"/>
      <c r="D296" s="514" t="s">
        <v>1287</v>
      </c>
      <c r="E296" s="515">
        <v>5.5</v>
      </c>
      <c r="F296" s="518" t="s">
        <v>614</v>
      </c>
      <c r="G296" s="515" t="s">
        <v>2032</v>
      </c>
      <c r="H296" s="514" t="s">
        <v>1224</v>
      </c>
      <c r="I296" s="515"/>
      <c r="J296" s="515">
        <v>1</v>
      </c>
    </row>
    <row r="297" spans="1:10" ht="13.8" thickBot="1">
      <c r="A297" s="517"/>
      <c r="B297" s="518" t="s">
        <v>13874</v>
      </c>
      <c r="C297" s="516"/>
      <c r="D297" s="514" t="s">
        <v>13873</v>
      </c>
      <c r="E297" s="515">
        <v>5.5</v>
      </c>
      <c r="F297" s="518" t="s">
        <v>614</v>
      </c>
      <c r="G297" s="515" t="s">
        <v>2032</v>
      </c>
      <c r="H297" s="514"/>
      <c r="I297" s="515"/>
      <c r="J297" s="515">
        <v>3</v>
      </c>
    </row>
    <row r="298" spans="1:10" ht="13.8" thickBot="1">
      <c r="A298" s="517"/>
      <c r="B298" s="518" t="s">
        <v>13872</v>
      </c>
      <c r="C298" s="516"/>
      <c r="D298" s="514" t="s">
        <v>13871</v>
      </c>
      <c r="E298" s="515">
        <v>5.5</v>
      </c>
      <c r="F298" s="518" t="s">
        <v>614</v>
      </c>
      <c r="G298" s="515" t="s">
        <v>2032</v>
      </c>
      <c r="H298" s="514"/>
      <c r="I298" s="515"/>
      <c r="J298" s="515">
        <v>1</v>
      </c>
    </row>
    <row r="299" spans="1:10" ht="13.8" thickBot="1">
      <c r="A299" s="517"/>
      <c r="B299" s="518" t="s">
        <v>13870</v>
      </c>
      <c r="C299" s="516"/>
      <c r="D299" s="514" t="s">
        <v>13869</v>
      </c>
      <c r="E299" s="515">
        <v>5.5</v>
      </c>
      <c r="F299" s="518" t="s">
        <v>614</v>
      </c>
      <c r="G299" s="515" t="s">
        <v>2032</v>
      </c>
      <c r="H299" s="514"/>
      <c r="I299" s="515"/>
      <c r="J299" s="515">
        <v>1</v>
      </c>
    </row>
    <row r="300" spans="1:10" ht="13.8" thickBot="1">
      <c r="A300" s="517"/>
      <c r="B300" s="518" t="s">
        <v>13868</v>
      </c>
      <c r="C300" s="516"/>
      <c r="D300" s="514" t="s">
        <v>13867</v>
      </c>
      <c r="E300" s="515">
        <v>5</v>
      </c>
      <c r="F300" s="514"/>
      <c r="G300" s="515" t="s">
        <v>2032</v>
      </c>
      <c r="H300" s="514"/>
      <c r="I300" s="515"/>
      <c r="J300" s="515">
        <v>2</v>
      </c>
    </row>
    <row r="301" spans="1:10" ht="13.8" thickBot="1">
      <c r="A301" s="517"/>
      <c r="B301" s="518" t="s">
        <v>13866</v>
      </c>
      <c r="C301" s="516"/>
      <c r="D301" s="514" t="s">
        <v>13865</v>
      </c>
      <c r="E301" s="515">
        <v>5</v>
      </c>
      <c r="F301" s="518" t="s">
        <v>614</v>
      </c>
      <c r="G301" s="515" t="s">
        <v>2032</v>
      </c>
      <c r="H301" s="514"/>
      <c r="I301" s="515"/>
      <c r="J301" s="515">
        <v>1</v>
      </c>
    </row>
    <row r="302" spans="1:10" ht="13.8" thickBot="1">
      <c r="A302" s="517"/>
      <c r="B302" s="518" t="s">
        <v>13864</v>
      </c>
      <c r="C302" s="516"/>
      <c r="D302" s="514" t="s">
        <v>13863</v>
      </c>
      <c r="E302" s="515">
        <v>5</v>
      </c>
      <c r="F302" s="518" t="s">
        <v>1854</v>
      </c>
      <c r="G302" s="515" t="s">
        <v>2032</v>
      </c>
      <c r="H302" s="514"/>
      <c r="I302" s="515"/>
      <c r="J302" s="515"/>
    </row>
    <row r="303" spans="1:10" ht="13.8" thickBot="1">
      <c r="A303" s="517"/>
      <c r="B303" s="518" t="s">
        <v>13862</v>
      </c>
      <c r="C303" s="516"/>
      <c r="D303" s="514" t="s">
        <v>13861</v>
      </c>
      <c r="E303" s="515">
        <v>4</v>
      </c>
      <c r="F303" s="518" t="s">
        <v>614</v>
      </c>
      <c r="G303" s="515" t="s">
        <v>2032</v>
      </c>
      <c r="H303" s="514" t="s">
        <v>1226</v>
      </c>
      <c r="I303" s="515">
        <v>1</v>
      </c>
      <c r="J303" s="515">
        <v>2</v>
      </c>
    </row>
    <row r="304" spans="1:10" ht="13.8" thickBot="1">
      <c r="A304" s="517"/>
      <c r="B304" s="518" t="s">
        <v>13860</v>
      </c>
      <c r="C304" s="516"/>
      <c r="D304" s="514" t="s">
        <v>13858</v>
      </c>
      <c r="E304" s="515">
        <v>4</v>
      </c>
      <c r="F304" s="518" t="s">
        <v>1854</v>
      </c>
      <c r="G304" s="515" t="s">
        <v>2032</v>
      </c>
      <c r="H304" s="514" t="s">
        <v>1224</v>
      </c>
      <c r="I304" s="515"/>
      <c r="J304" s="515">
        <v>1</v>
      </c>
    </row>
    <row r="305" spans="1:10" ht="13.8" thickBot="1">
      <c r="A305" s="517"/>
      <c r="B305" s="518" t="s">
        <v>13859</v>
      </c>
      <c r="C305" s="516"/>
      <c r="D305" s="514" t="s">
        <v>13858</v>
      </c>
      <c r="E305" s="515">
        <v>4</v>
      </c>
      <c r="F305" s="518" t="s">
        <v>1854</v>
      </c>
      <c r="G305" s="515" t="s">
        <v>2032</v>
      </c>
      <c r="H305" s="514" t="s">
        <v>1224</v>
      </c>
      <c r="I305" s="515"/>
      <c r="J305" s="515">
        <v>1</v>
      </c>
    </row>
    <row r="306" spans="1:10" ht="13.8" thickBot="1">
      <c r="A306" s="517"/>
      <c r="B306" s="518" t="s">
        <v>13857</v>
      </c>
      <c r="C306" s="516"/>
      <c r="D306" s="514" t="s">
        <v>13856</v>
      </c>
      <c r="E306" s="515">
        <v>4</v>
      </c>
      <c r="F306" s="518" t="s">
        <v>614</v>
      </c>
      <c r="G306" s="515" t="s">
        <v>2032</v>
      </c>
      <c r="H306" s="514"/>
      <c r="I306" s="515"/>
      <c r="J306" s="515">
        <v>1</v>
      </c>
    </row>
    <row r="307" spans="1:10" ht="13.8" thickBot="1">
      <c r="A307" s="517"/>
      <c r="B307" s="518" t="s">
        <v>13855</v>
      </c>
      <c r="C307" s="516"/>
      <c r="D307" s="514" t="s">
        <v>13854</v>
      </c>
      <c r="E307" s="515">
        <v>4</v>
      </c>
      <c r="F307" s="514"/>
      <c r="G307" s="515" t="s">
        <v>2032</v>
      </c>
      <c r="H307" s="514"/>
      <c r="I307" s="515"/>
      <c r="J307" s="515"/>
    </row>
    <row r="308" spans="1:10" ht="13.8" thickBot="1">
      <c r="A308" s="517"/>
      <c r="B308" s="518" t="s">
        <v>13853</v>
      </c>
      <c r="C308" s="516"/>
      <c r="D308" s="514" t="s">
        <v>2044</v>
      </c>
      <c r="E308" s="529">
        <v>3</v>
      </c>
      <c r="F308" s="514"/>
      <c r="G308" s="515" t="s">
        <v>2032</v>
      </c>
      <c r="H308" s="514"/>
      <c r="I308" s="515"/>
      <c r="J308" s="515">
        <v>2</v>
      </c>
    </row>
    <row r="309" spans="1:10" ht="13.8" thickBot="1">
      <c r="A309" s="517"/>
      <c r="B309" s="518" t="s">
        <v>13852</v>
      </c>
      <c r="C309" s="516"/>
      <c r="D309" s="514" t="s">
        <v>13851</v>
      </c>
      <c r="E309" s="515">
        <v>3</v>
      </c>
      <c r="F309" s="518" t="s">
        <v>1854</v>
      </c>
      <c r="G309" s="515" t="s">
        <v>2032</v>
      </c>
      <c r="H309" s="514"/>
      <c r="I309" s="515"/>
      <c r="J309" s="515"/>
    </row>
    <row r="310" spans="1:10" ht="13.8" thickBot="1">
      <c r="A310" s="517"/>
      <c r="B310" s="518" t="s">
        <v>13850</v>
      </c>
      <c r="C310" s="516"/>
      <c r="D310" s="514" t="s">
        <v>2044</v>
      </c>
      <c r="E310" s="515">
        <v>2</v>
      </c>
      <c r="F310" s="514"/>
      <c r="G310" s="515" t="s">
        <v>2032</v>
      </c>
      <c r="H310" s="514"/>
      <c r="I310" s="515"/>
      <c r="J310" s="515">
        <v>3</v>
      </c>
    </row>
    <row r="311" spans="1:10" ht="13.8" thickBot="1">
      <c r="A311" s="517"/>
      <c r="B311" s="518" t="s">
        <v>13849</v>
      </c>
      <c r="C311" s="516"/>
      <c r="D311" s="514" t="s">
        <v>2044</v>
      </c>
      <c r="E311" s="515">
        <v>2</v>
      </c>
      <c r="F311" s="518" t="s">
        <v>1854</v>
      </c>
      <c r="G311" s="515" t="s">
        <v>2032</v>
      </c>
      <c r="H311" s="514"/>
      <c r="I311" s="515"/>
      <c r="J311" s="515">
        <v>1</v>
      </c>
    </row>
    <row r="312" spans="1:10" ht="13.8" thickBot="1">
      <c r="A312" s="517"/>
      <c r="B312" s="518" t="s">
        <v>13848</v>
      </c>
      <c r="C312" s="516"/>
      <c r="D312" s="514" t="s">
        <v>2044</v>
      </c>
      <c r="E312" s="515"/>
      <c r="F312" s="514"/>
      <c r="G312" s="515" t="s">
        <v>2032</v>
      </c>
      <c r="H312" s="514"/>
      <c r="I312" s="515"/>
      <c r="J312" s="515"/>
    </row>
    <row r="313" spans="1:10" ht="13.8" thickBot="1">
      <c r="A313" s="517"/>
      <c r="B313" s="518" t="s">
        <v>13847</v>
      </c>
      <c r="C313" s="516"/>
      <c r="D313" s="514" t="s">
        <v>2044</v>
      </c>
      <c r="E313" s="515"/>
      <c r="F313" s="514"/>
      <c r="G313" s="515" t="s">
        <v>2032</v>
      </c>
      <c r="H313" s="514"/>
      <c r="I313" s="515"/>
      <c r="J313" s="515"/>
    </row>
    <row r="314" spans="1:10" ht="13.8" thickBot="1">
      <c r="A314" s="517"/>
      <c r="B314" s="518" t="s">
        <v>13846</v>
      </c>
      <c r="C314" s="516"/>
      <c r="D314" s="514" t="s">
        <v>2044</v>
      </c>
      <c r="E314" s="515"/>
      <c r="F314" s="514"/>
      <c r="G314" s="515" t="s">
        <v>2032</v>
      </c>
      <c r="H314" s="514"/>
      <c r="I314" s="515"/>
      <c r="J314" s="515"/>
    </row>
    <row r="315" spans="1:10" ht="13.8" thickBot="1">
      <c r="A315" s="517"/>
      <c r="B315" s="518" t="s">
        <v>13845</v>
      </c>
      <c r="C315" s="516"/>
      <c r="D315" s="514" t="s">
        <v>2044</v>
      </c>
      <c r="E315" s="515"/>
      <c r="F315" s="514"/>
      <c r="G315" s="515" t="s">
        <v>2032</v>
      </c>
      <c r="H315" s="514"/>
      <c r="I315" s="515"/>
      <c r="J315" s="515"/>
    </row>
    <row r="316" spans="1:10" ht="13.8" thickBot="1">
      <c r="A316" s="517"/>
      <c r="B316" s="518" t="s">
        <v>13844</v>
      </c>
      <c r="C316" s="516"/>
      <c r="D316" s="514" t="s">
        <v>2044</v>
      </c>
      <c r="E316" s="515"/>
      <c r="F316" s="514"/>
      <c r="G316" s="515" t="s">
        <v>2032</v>
      </c>
      <c r="H316" s="514"/>
      <c r="I316" s="515"/>
      <c r="J316" s="515"/>
    </row>
    <row r="317" spans="1:10" ht="13.8" thickBot="1">
      <c r="A317" s="517"/>
      <c r="B317" s="518" t="s">
        <v>13843</v>
      </c>
      <c r="C317" s="516"/>
      <c r="D317" s="514" t="s">
        <v>13842</v>
      </c>
      <c r="E317" s="515">
        <v>8</v>
      </c>
      <c r="F317" s="518" t="s">
        <v>13841</v>
      </c>
      <c r="G317" s="515" t="s">
        <v>2087</v>
      </c>
      <c r="H317" s="514"/>
      <c r="I317" s="515"/>
      <c r="J317" s="515"/>
    </row>
    <row r="318" spans="1:10" ht="13.8" thickBot="1">
      <c r="A318" s="517"/>
      <c r="B318" s="518" t="s">
        <v>13840</v>
      </c>
      <c r="C318" s="516"/>
      <c r="D318" s="514" t="s">
        <v>13839</v>
      </c>
      <c r="E318" s="515">
        <v>7</v>
      </c>
      <c r="F318" s="518" t="s">
        <v>614</v>
      </c>
      <c r="G318" s="515" t="s">
        <v>2087</v>
      </c>
      <c r="H318" s="514" t="s">
        <v>1251</v>
      </c>
      <c r="I318" s="515">
        <v>2</v>
      </c>
      <c r="J318" s="515">
        <v>7</v>
      </c>
    </row>
    <row r="319" spans="1:10" ht="13.8" thickBot="1">
      <c r="A319" s="517"/>
      <c r="B319" s="518" t="s">
        <v>13838</v>
      </c>
      <c r="C319" s="516"/>
      <c r="D319" s="519" t="s">
        <v>13837</v>
      </c>
      <c r="E319" s="515">
        <v>6.75</v>
      </c>
      <c r="F319" s="518" t="s">
        <v>1854</v>
      </c>
      <c r="G319" s="515" t="s">
        <v>2087</v>
      </c>
      <c r="H319" s="514" t="s">
        <v>1224</v>
      </c>
      <c r="I319" s="515">
        <v>3</v>
      </c>
      <c r="J319" s="515">
        <v>5</v>
      </c>
    </row>
    <row r="320" spans="1:10" ht="13.8" thickBot="1">
      <c r="A320" s="517"/>
      <c r="B320" s="518" t="s">
        <v>13836</v>
      </c>
      <c r="C320" s="516"/>
      <c r="D320" s="514" t="s">
        <v>13835</v>
      </c>
      <c r="E320" s="515">
        <v>5</v>
      </c>
      <c r="F320" s="518" t="s">
        <v>614</v>
      </c>
      <c r="G320" s="515" t="s">
        <v>2087</v>
      </c>
      <c r="H320" s="514"/>
      <c r="I320" s="515"/>
      <c r="J320" s="515">
        <v>2</v>
      </c>
    </row>
    <row r="321" spans="1:10" ht="13.8" thickBot="1">
      <c r="A321" s="517"/>
      <c r="B321" s="518" t="s">
        <v>13834</v>
      </c>
      <c r="C321" s="516"/>
      <c r="D321" s="514" t="s">
        <v>13833</v>
      </c>
      <c r="E321" s="515">
        <v>7.75</v>
      </c>
      <c r="F321" s="518" t="s">
        <v>614</v>
      </c>
      <c r="G321" s="515" t="s">
        <v>2152</v>
      </c>
      <c r="H321" s="514" t="s">
        <v>1226</v>
      </c>
      <c r="I321" s="515"/>
      <c r="J321" s="515">
        <v>3</v>
      </c>
    </row>
    <row r="322" spans="1:10" ht="13.8" thickBot="1">
      <c r="A322" s="517"/>
      <c r="B322" s="518" t="s">
        <v>13832</v>
      </c>
      <c r="C322" s="516"/>
      <c r="D322" s="514" t="s">
        <v>1270</v>
      </c>
      <c r="E322" s="515">
        <v>7.5</v>
      </c>
      <c r="F322" s="518" t="s">
        <v>13831</v>
      </c>
      <c r="G322" s="515" t="s">
        <v>2152</v>
      </c>
      <c r="H322" s="514"/>
      <c r="I322" s="522"/>
      <c r="J322" s="522">
        <v>5</v>
      </c>
    </row>
    <row r="323" spans="1:10" ht="13.8" thickBot="1">
      <c r="A323" s="517"/>
      <c r="B323" s="518" t="s">
        <v>13830</v>
      </c>
      <c r="C323" s="516"/>
      <c r="D323" s="514" t="s">
        <v>13829</v>
      </c>
      <c r="E323" s="515">
        <v>7.5</v>
      </c>
      <c r="F323" s="518" t="s">
        <v>614</v>
      </c>
      <c r="G323" s="515" t="s">
        <v>2152</v>
      </c>
      <c r="H323" s="514"/>
      <c r="I323" s="515">
        <v>1</v>
      </c>
      <c r="J323" s="515">
        <v>2</v>
      </c>
    </row>
    <row r="324" spans="1:10" ht="13.8" thickBot="1">
      <c r="A324" s="517"/>
      <c r="B324" s="518" t="s">
        <v>13828</v>
      </c>
      <c r="C324" s="516"/>
      <c r="D324" s="514" t="s">
        <v>13827</v>
      </c>
      <c r="E324" s="515">
        <v>7.5</v>
      </c>
      <c r="F324" s="518" t="s">
        <v>1854</v>
      </c>
      <c r="G324" s="515" t="s">
        <v>2152</v>
      </c>
      <c r="H324" s="514"/>
      <c r="I324" s="515">
        <v>2</v>
      </c>
      <c r="J324" s="515">
        <v>2</v>
      </c>
    </row>
    <row r="325" spans="1:10" ht="13.8" thickBot="1">
      <c r="A325" s="517"/>
      <c r="B325" s="518" t="s">
        <v>13826</v>
      </c>
      <c r="C325" s="516"/>
      <c r="D325" s="514" t="s">
        <v>13825</v>
      </c>
      <c r="E325" s="515">
        <v>7</v>
      </c>
      <c r="F325" s="518" t="s">
        <v>614</v>
      </c>
      <c r="G325" s="515" t="s">
        <v>2152</v>
      </c>
      <c r="H325" s="514" t="s">
        <v>1226</v>
      </c>
      <c r="I325" s="515">
        <v>2</v>
      </c>
      <c r="J325" s="515">
        <v>11</v>
      </c>
    </row>
    <row r="326" spans="1:10" ht="13.8" thickBot="1">
      <c r="A326" s="517"/>
      <c r="B326" s="518" t="s">
        <v>13824</v>
      </c>
      <c r="C326" s="516"/>
      <c r="D326" s="519" t="s">
        <v>1270</v>
      </c>
      <c r="E326" s="515">
        <v>7</v>
      </c>
      <c r="F326" s="518" t="s">
        <v>614</v>
      </c>
      <c r="G326" s="515" t="s">
        <v>2152</v>
      </c>
      <c r="H326" s="514" t="s">
        <v>1224</v>
      </c>
      <c r="I326" s="515">
        <v>1</v>
      </c>
      <c r="J326" s="515">
        <v>2</v>
      </c>
    </row>
    <row r="327" spans="1:10" ht="13.8" thickBot="1">
      <c r="A327" s="517"/>
      <c r="B327" s="518" t="s">
        <v>13823</v>
      </c>
      <c r="C327" s="516"/>
      <c r="D327" s="514" t="s">
        <v>13822</v>
      </c>
      <c r="E327" s="515">
        <v>6.8</v>
      </c>
      <c r="F327" s="518" t="s">
        <v>614</v>
      </c>
      <c r="G327" s="515" t="s">
        <v>2152</v>
      </c>
      <c r="H327" s="514" t="s">
        <v>1226</v>
      </c>
      <c r="I327" s="515"/>
      <c r="J327" s="515">
        <v>3</v>
      </c>
    </row>
    <row r="328" spans="1:10" ht="13.8" thickBot="1">
      <c r="A328" s="517"/>
      <c r="B328" s="518" t="s">
        <v>13821</v>
      </c>
      <c r="C328" s="516"/>
      <c r="D328" s="514" t="s">
        <v>1270</v>
      </c>
      <c r="E328" s="515">
        <v>6.75</v>
      </c>
      <c r="F328" s="518" t="s">
        <v>614</v>
      </c>
      <c r="G328" s="515" t="s">
        <v>2152</v>
      </c>
      <c r="H328" s="514"/>
      <c r="I328" s="515">
        <v>2</v>
      </c>
      <c r="J328" s="515">
        <v>10</v>
      </c>
    </row>
    <row r="329" spans="1:10" ht="13.8" thickBot="1">
      <c r="A329" s="517"/>
      <c r="B329" s="518" t="s">
        <v>13820</v>
      </c>
      <c r="C329" s="516"/>
      <c r="D329" s="514" t="s">
        <v>1270</v>
      </c>
      <c r="E329" s="515">
        <v>6.75</v>
      </c>
      <c r="F329" s="514"/>
      <c r="G329" s="515" t="s">
        <v>2152</v>
      </c>
      <c r="H329" s="514"/>
      <c r="I329" s="515"/>
      <c r="J329" s="515">
        <v>1</v>
      </c>
    </row>
    <row r="330" spans="1:10" ht="13.8" thickBot="1">
      <c r="A330" s="517"/>
      <c r="B330" s="518" t="s">
        <v>13819</v>
      </c>
      <c r="C330" s="516"/>
      <c r="D330" s="514" t="s">
        <v>2159</v>
      </c>
      <c r="E330" s="515">
        <v>6.7</v>
      </c>
      <c r="F330" s="514"/>
      <c r="G330" s="515" t="s">
        <v>2152</v>
      </c>
      <c r="H330" s="514" t="s">
        <v>1251</v>
      </c>
      <c r="I330" s="515"/>
      <c r="J330" s="515">
        <v>5</v>
      </c>
    </row>
    <row r="331" spans="1:10" ht="13.8" thickBot="1">
      <c r="A331" s="517"/>
      <c r="B331" s="518" t="s">
        <v>13818</v>
      </c>
      <c r="C331" s="516"/>
      <c r="D331" s="514" t="s">
        <v>13817</v>
      </c>
      <c r="E331" s="515">
        <v>6.6</v>
      </c>
      <c r="F331" s="518" t="s">
        <v>614</v>
      </c>
      <c r="G331" s="515" t="s">
        <v>2152</v>
      </c>
      <c r="H331" s="514" t="s">
        <v>1224</v>
      </c>
      <c r="I331" s="515">
        <v>2</v>
      </c>
      <c r="J331" s="515">
        <v>6</v>
      </c>
    </row>
    <row r="332" spans="1:10" ht="13.8" thickBot="1">
      <c r="A332" s="517"/>
      <c r="B332" s="518" t="s">
        <v>13816</v>
      </c>
      <c r="C332" s="516"/>
      <c r="D332" s="514" t="s">
        <v>13815</v>
      </c>
      <c r="E332" s="515">
        <v>6.5</v>
      </c>
      <c r="F332" s="514"/>
      <c r="G332" s="515" t="s">
        <v>2152</v>
      </c>
      <c r="H332" s="514"/>
      <c r="I332" s="522"/>
      <c r="J332" s="522">
        <v>6</v>
      </c>
    </row>
    <row r="333" spans="1:10" ht="13.8" thickBot="1">
      <c r="A333" s="517"/>
      <c r="B333" s="518" t="s">
        <v>13814</v>
      </c>
      <c r="C333" s="516"/>
      <c r="D333" s="519" t="s">
        <v>13813</v>
      </c>
      <c r="E333" s="515">
        <v>6.3</v>
      </c>
      <c r="F333" s="518" t="s">
        <v>614</v>
      </c>
      <c r="G333" s="515" t="s">
        <v>2152</v>
      </c>
      <c r="H333" s="514" t="s">
        <v>1226</v>
      </c>
      <c r="I333" s="515"/>
      <c r="J333" s="515">
        <v>7</v>
      </c>
    </row>
    <row r="334" spans="1:10" ht="13.8" thickBot="1">
      <c r="A334" s="517"/>
      <c r="B334" s="518" t="s">
        <v>13812</v>
      </c>
      <c r="C334" s="516"/>
      <c r="D334" s="514" t="s">
        <v>13811</v>
      </c>
      <c r="E334" s="515">
        <v>6.3</v>
      </c>
      <c r="F334" s="518" t="s">
        <v>614</v>
      </c>
      <c r="G334" s="515" t="s">
        <v>2152</v>
      </c>
      <c r="H334" s="514" t="s">
        <v>1226</v>
      </c>
      <c r="I334" s="515"/>
      <c r="J334" s="515">
        <v>6</v>
      </c>
    </row>
    <row r="335" spans="1:10" ht="13.8" thickBot="1">
      <c r="A335" s="517"/>
      <c r="B335" s="518" t="s">
        <v>13810</v>
      </c>
      <c r="C335" s="516"/>
      <c r="D335" s="514" t="s">
        <v>13809</v>
      </c>
      <c r="E335" s="515">
        <v>6.25</v>
      </c>
      <c r="F335" s="518" t="s">
        <v>614</v>
      </c>
      <c r="G335" s="515" t="s">
        <v>2152</v>
      </c>
      <c r="H335" s="514" t="s">
        <v>1229</v>
      </c>
      <c r="I335" s="515">
        <v>2</v>
      </c>
      <c r="J335" s="515">
        <v>15</v>
      </c>
    </row>
    <row r="336" spans="1:10" ht="13.8" thickBot="1">
      <c r="A336" s="517"/>
      <c r="B336" s="518" t="s">
        <v>13808</v>
      </c>
      <c r="C336" s="516"/>
      <c r="D336" s="514" t="s">
        <v>13807</v>
      </c>
      <c r="E336" s="515">
        <v>6.25</v>
      </c>
      <c r="F336" s="518" t="s">
        <v>614</v>
      </c>
      <c r="G336" s="515" t="s">
        <v>2152</v>
      </c>
      <c r="H336" s="514" t="s">
        <v>1841</v>
      </c>
      <c r="I336" s="522">
        <v>1</v>
      </c>
      <c r="J336" s="522">
        <v>10</v>
      </c>
    </row>
    <row r="337" spans="1:10" ht="13.8" thickBot="1">
      <c r="A337" s="517"/>
      <c r="B337" s="518" t="s">
        <v>13806</v>
      </c>
      <c r="C337" s="516"/>
      <c r="D337" s="514" t="s">
        <v>13805</v>
      </c>
      <c r="E337" s="515">
        <v>6</v>
      </c>
      <c r="F337" s="514"/>
      <c r="G337" s="515" t="s">
        <v>2152</v>
      </c>
      <c r="H337" s="514" t="s">
        <v>1224</v>
      </c>
      <c r="I337" s="515"/>
      <c r="J337" s="515">
        <v>2</v>
      </c>
    </row>
    <row r="338" spans="1:10" ht="13.8" thickBot="1">
      <c r="A338" s="517"/>
      <c r="B338" s="518" t="s">
        <v>13804</v>
      </c>
      <c r="C338" s="516"/>
      <c r="D338" s="514" t="s">
        <v>13803</v>
      </c>
      <c r="E338" s="515">
        <v>6</v>
      </c>
      <c r="F338" s="518" t="s">
        <v>614</v>
      </c>
      <c r="G338" s="515" t="s">
        <v>2152</v>
      </c>
      <c r="H338" s="514"/>
      <c r="I338" s="515">
        <v>1</v>
      </c>
      <c r="J338" s="515">
        <v>10</v>
      </c>
    </row>
    <row r="339" spans="1:10" ht="13.8" thickBot="1">
      <c r="A339" s="517"/>
      <c r="B339" s="518" t="s">
        <v>13802</v>
      </c>
      <c r="C339" s="516"/>
      <c r="D339" s="514" t="s">
        <v>13801</v>
      </c>
      <c r="E339" s="515">
        <v>6</v>
      </c>
      <c r="F339" s="518" t="s">
        <v>614</v>
      </c>
      <c r="G339" s="515" t="s">
        <v>2152</v>
      </c>
      <c r="H339" s="514"/>
      <c r="I339" s="515">
        <v>1</v>
      </c>
      <c r="J339" s="515">
        <v>4</v>
      </c>
    </row>
    <row r="340" spans="1:10" ht="13.8" thickBot="1">
      <c r="A340" s="517"/>
      <c r="B340" s="518" t="s">
        <v>13800</v>
      </c>
      <c r="C340" s="516"/>
      <c r="D340" s="514" t="s">
        <v>13799</v>
      </c>
      <c r="E340" s="515">
        <v>6</v>
      </c>
      <c r="F340" s="518" t="s">
        <v>13798</v>
      </c>
      <c r="G340" s="515" t="s">
        <v>2152</v>
      </c>
      <c r="H340" s="514"/>
      <c r="I340" s="515"/>
      <c r="J340" s="515">
        <v>3</v>
      </c>
    </row>
    <row r="341" spans="1:10" ht="13.8" thickBot="1">
      <c r="A341" s="517"/>
      <c r="B341" s="518" t="s">
        <v>13797</v>
      </c>
      <c r="C341" s="516"/>
      <c r="D341" s="514" t="s">
        <v>13796</v>
      </c>
      <c r="E341" s="515">
        <v>6</v>
      </c>
      <c r="F341" s="518" t="s">
        <v>614</v>
      </c>
      <c r="G341" s="515" t="s">
        <v>2152</v>
      </c>
      <c r="H341" s="514"/>
      <c r="I341" s="515"/>
      <c r="J341" s="515">
        <v>1</v>
      </c>
    </row>
    <row r="342" spans="1:10" ht="13.8" thickBot="1">
      <c r="A342" s="517"/>
      <c r="B342" s="518" t="s">
        <v>13795</v>
      </c>
      <c r="C342" s="516"/>
      <c r="D342" s="514" t="s">
        <v>2188</v>
      </c>
      <c r="E342" s="515">
        <v>5.75</v>
      </c>
      <c r="F342" s="518" t="s">
        <v>614</v>
      </c>
      <c r="G342" s="515" t="s">
        <v>2152</v>
      </c>
      <c r="H342" s="514" t="s">
        <v>1226</v>
      </c>
      <c r="I342" s="515"/>
      <c r="J342" s="515">
        <v>2</v>
      </c>
    </row>
    <row r="343" spans="1:10" ht="13.8" thickBot="1">
      <c r="A343" s="517"/>
      <c r="B343" s="518" t="s">
        <v>13794</v>
      </c>
      <c r="C343" s="516"/>
      <c r="D343" s="514" t="s">
        <v>13793</v>
      </c>
      <c r="E343" s="515">
        <v>5.5</v>
      </c>
      <c r="F343" s="518" t="s">
        <v>614</v>
      </c>
      <c r="G343" s="515" t="s">
        <v>2152</v>
      </c>
      <c r="H343" s="514" t="s">
        <v>1251</v>
      </c>
      <c r="I343" s="515">
        <v>1</v>
      </c>
      <c r="J343" s="515">
        <v>7</v>
      </c>
    </row>
    <row r="344" spans="1:10" ht="13.8" thickBot="1">
      <c r="A344" s="517"/>
      <c r="B344" s="518" t="s">
        <v>13792</v>
      </c>
      <c r="C344" s="516"/>
      <c r="D344" s="514" t="s">
        <v>2153</v>
      </c>
      <c r="E344" s="515">
        <v>5.5</v>
      </c>
      <c r="F344" s="518" t="s">
        <v>614</v>
      </c>
      <c r="G344" s="515" t="s">
        <v>2152</v>
      </c>
      <c r="H344" s="514" t="s">
        <v>1251</v>
      </c>
      <c r="I344" s="515"/>
      <c r="J344" s="515">
        <v>5</v>
      </c>
    </row>
    <row r="345" spans="1:10" ht="13.8" thickBot="1">
      <c r="A345" s="517"/>
      <c r="B345" s="518" t="s">
        <v>13791</v>
      </c>
      <c r="C345" s="516"/>
      <c r="D345" s="514" t="s">
        <v>13790</v>
      </c>
      <c r="E345" s="515">
        <v>5.5</v>
      </c>
      <c r="F345" s="518" t="s">
        <v>614</v>
      </c>
      <c r="G345" s="515" t="s">
        <v>2152</v>
      </c>
      <c r="H345" s="514" t="s">
        <v>1226</v>
      </c>
      <c r="I345" s="515">
        <v>1</v>
      </c>
      <c r="J345" s="515">
        <v>6</v>
      </c>
    </row>
    <row r="346" spans="1:10" ht="13.8" thickBot="1">
      <c r="A346" s="517"/>
      <c r="B346" s="518" t="s">
        <v>13789</v>
      </c>
      <c r="C346" s="516"/>
      <c r="D346" s="514" t="s">
        <v>13788</v>
      </c>
      <c r="E346" s="515">
        <v>5.5</v>
      </c>
      <c r="F346" s="518" t="s">
        <v>614</v>
      </c>
      <c r="G346" s="515" t="s">
        <v>2152</v>
      </c>
      <c r="H346" s="514" t="s">
        <v>1226</v>
      </c>
      <c r="I346" s="515"/>
      <c r="J346" s="515">
        <v>1</v>
      </c>
    </row>
    <row r="347" spans="1:10" ht="13.8" thickBot="1">
      <c r="A347" s="517"/>
      <c r="B347" s="518" t="s">
        <v>13787</v>
      </c>
      <c r="C347" s="516"/>
      <c r="D347" s="514" t="s">
        <v>13786</v>
      </c>
      <c r="E347" s="515">
        <v>5.5</v>
      </c>
      <c r="F347" s="518" t="s">
        <v>614</v>
      </c>
      <c r="G347" s="515" t="s">
        <v>2152</v>
      </c>
      <c r="H347" s="514" t="s">
        <v>1224</v>
      </c>
      <c r="I347" s="515"/>
      <c r="J347" s="515">
        <v>3</v>
      </c>
    </row>
    <row r="348" spans="1:10" ht="13.8" thickBot="1">
      <c r="A348" s="517"/>
      <c r="B348" s="518" t="s">
        <v>13785</v>
      </c>
      <c r="C348" s="516"/>
      <c r="D348" s="514" t="s">
        <v>13784</v>
      </c>
      <c r="E348" s="515">
        <v>5.5</v>
      </c>
      <c r="F348" s="518" t="s">
        <v>1854</v>
      </c>
      <c r="G348" s="515" t="s">
        <v>2152</v>
      </c>
      <c r="H348" s="514"/>
      <c r="I348" s="522">
        <v>1</v>
      </c>
      <c r="J348" s="522">
        <v>2</v>
      </c>
    </row>
    <row r="349" spans="1:10" ht="13.8" thickBot="1">
      <c r="A349" s="517"/>
      <c r="B349" s="518" t="s">
        <v>13783</v>
      </c>
      <c r="C349" s="516"/>
      <c r="D349" s="514" t="s">
        <v>13782</v>
      </c>
      <c r="E349" s="515">
        <v>5.5</v>
      </c>
      <c r="F349" s="514"/>
      <c r="G349" s="515" t="s">
        <v>2152</v>
      </c>
      <c r="H349" s="514"/>
      <c r="I349" s="515"/>
      <c r="J349" s="515"/>
    </row>
    <row r="350" spans="1:10" ht="13.8" thickBot="1">
      <c r="A350" s="517"/>
      <c r="B350" s="518" t="s">
        <v>13781</v>
      </c>
      <c r="C350" s="516"/>
      <c r="D350" s="514" t="s">
        <v>13780</v>
      </c>
      <c r="E350" s="515">
        <v>5.5</v>
      </c>
      <c r="F350" s="514"/>
      <c r="G350" s="515" t="s">
        <v>2152</v>
      </c>
      <c r="H350" s="514"/>
      <c r="I350" s="515"/>
      <c r="J350" s="515"/>
    </row>
    <row r="351" spans="1:10" ht="13.8" thickBot="1">
      <c r="A351" s="517"/>
      <c r="B351" s="518" t="s">
        <v>13779</v>
      </c>
      <c r="C351" s="516"/>
      <c r="D351" s="514" t="s">
        <v>1270</v>
      </c>
      <c r="E351" s="515">
        <v>5.25</v>
      </c>
      <c r="F351" s="518" t="s">
        <v>1854</v>
      </c>
      <c r="G351" s="515" t="s">
        <v>2152</v>
      </c>
      <c r="H351" s="514"/>
      <c r="I351" s="515"/>
      <c r="J351" s="515">
        <v>1</v>
      </c>
    </row>
    <row r="352" spans="1:10" ht="13.8" thickBot="1">
      <c r="A352" s="517"/>
      <c r="B352" s="518" t="s">
        <v>13778</v>
      </c>
      <c r="C352" s="516"/>
      <c r="D352" s="514" t="s">
        <v>13777</v>
      </c>
      <c r="E352" s="515">
        <v>5</v>
      </c>
      <c r="F352" s="518" t="s">
        <v>614</v>
      </c>
      <c r="G352" s="515" t="s">
        <v>2152</v>
      </c>
      <c r="H352" s="514" t="s">
        <v>1841</v>
      </c>
      <c r="I352" s="515"/>
      <c r="J352" s="515">
        <v>13</v>
      </c>
    </row>
    <row r="353" spans="1:10" ht="13.8" thickBot="1">
      <c r="A353" s="517"/>
      <c r="B353" s="518" t="s">
        <v>13776</v>
      </c>
      <c r="C353" s="516"/>
      <c r="D353" s="514" t="s">
        <v>13775</v>
      </c>
      <c r="E353" s="515">
        <v>5</v>
      </c>
      <c r="F353" s="518" t="s">
        <v>614</v>
      </c>
      <c r="G353" s="515" t="s">
        <v>2152</v>
      </c>
      <c r="H353" s="514" t="s">
        <v>1226</v>
      </c>
      <c r="I353" s="515"/>
      <c r="J353" s="515">
        <v>11</v>
      </c>
    </row>
    <row r="354" spans="1:10" ht="13.8" thickBot="1">
      <c r="A354" s="517"/>
      <c r="B354" s="518" t="s">
        <v>13774</v>
      </c>
      <c r="C354" s="516"/>
      <c r="D354" s="514" t="s">
        <v>1270</v>
      </c>
      <c r="E354" s="515">
        <v>5</v>
      </c>
      <c r="F354" s="518" t="s">
        <v>1854</v>
      </c>
      <c r="G354" s="515" t="s">
        <v>2152</v>
      </c>
      <c r="H354" s="514" t="s">
        <v>1226</v>
      </c>
      <c r="I354" s="515"/>
      <c r="J354" s="515">
        <v>2</v>
      </c>
    </row>
    <row r="355" spans="1:10" ht="13.8" thickBot="1">
      <c r="A355" s="517"/>
      <c r="B355" s="518" t="s">
        <v>13773</v>
      </c>
      <c r="C355" s="516"/>
      <c r="D355" s="519" t="s">
        <v>13772</v>
      </c>
      <c r="E355" s="515">
        <v>5</v>
      </c>
      <c r="F355" s="518" t="s">
        <v>1854</v>
      </c>
      <c r="G355" s="515" t="s">
        <v>2152</v>
      </c>
      <c r="H355" s="514" t="s">
        <v>2067</v>
      </c>
      <c r="I355" s="515">
        <v>1</v>
      </c>
      <c r="J355" s="515">
        <v>6</v>
      </c>
    </row>
    <row r="356" spans="1:10" ht="13.8" thickBot="1">
      <c r="A356" s="517"/>
      <c r="B356" s="518" t="s">
        <v>13771</v>
      </c>
      <c r="C356" s="516"/>
      <c r="D356" s="514" t="s">
        <v>1270</v>
      </c>
      <c r="E356" s="515">
        <v>5</v>
      </c>
      <c r="F356" s="518" t="s">
        <v>614</v>
      </c>
      <c r="G356" s="515" t="s">
        <v>2152</v>
      </c>
      <c r="H356" s="514" t="s">
        <v>1224</v>
      </c>
      <c r="I356" s="515"/>
      <c r="J356" s="515">
        <v>1</v>
      </c>
    </row>
    <row r="357" spans="1:10" ht="13.8" thickBot="1">
      <c r="A357" s="517"/>
      <c r="B357" s="518" t="s">
        <v>13770</v>
      </c>
      <c r="C357" s="516"/>
      <c r="D357" s="514" t="s">
        <v>1270</v>
      </c>
      <c r="E357" s="515">
        <v>5</v>
      </c>
      <c r="F357" s="518" t="s">
        <v>614</v>
      </c>
      <c r="G357" s="515" t="s">
        <v>2152</v>
      </c>
      <c r="H357" s="514"/>
      <c r="I357" s="515"/>
      <c r="J357" s="515">
        <v>3</v>
      </c>
    </row>
    <row r="358" spans="1:10" ht="13.8" thickBot="1">
      <c r="A358" s="517"/>
      <c r="B358" s="518" t="s">
        <v>13769</v>
      </c>
      <c r="C358" s="516"/>
      <c r="D358" s="514" t="s">
        <v>13768</v>
      </c>
      <c r="E358" s="515">
        <v>5</v>
      </c>
      <c r="F358" s="514"/>
      <c r="G358" s="515" t="s">
        <v>2152</v>
      </c>
      <c r="H358" s="514"/>
      <c r="I358" s="515"/>
      <c r="J358" s="515">
        <v>2</v>
      </c>
    </row>
    <row r="359" spans="1:10" ht="13.8" thickBot="1">
      <c r="A359" s="517"/>
      <c r="B359" s="518" t="s">
        <v>13767</v>
      </c>
      <c r="C359" s="516"/>
      <c r="D359" s="514" t="s">
        <v>2214</v>
      </c>
      <c r="E359" s="515">
        <v>4.5</v>
      </c>
      <c r="F359" s="518" t="s">
        <v>614</v>
      </c>
      <c r="G359" s="515" t="s">
        <v>2152</v>
      </c>
      <c r="H359" s="514" t="s">
        <v>1226</v>
      </c>
      <c r="I359" s="515"/>
      <c r="J359" s="515">
        <v>3</v>
      </c>
    </row>
    <row r="360" spans="1:10" ht="13.8" thickBot="1">
      <c r="A360" s="517"/>
      <c r="B360" s="518" t="s">
        <v>13766</v>
      </c>
      <c r="C360" s="516"/>
      <c r="D360" s="514" t="s">
        <v>1270</v>
      </c>
      <c r="E360" s="515">
        <v>4.5</v>
      </c>
      <c r="F360" s="518" t="s">
        <v>614</v>
      </c>
      <c r="G360" s="515" t="s">
        <v>2152</v>
      </c>
      <c r="H360" s="514" t="s">
        <v>1224</v>
      </c>
      <c r="I360" s="515"/>
      <c r="J360" s="515">
        <v>1</v>
      </c>
    </row>
    <row r="361" spans="1:10" ht="13.8" thickBot="1">
      <c r="A361" s="517"/>
      <c r="B361" s="518" t="s">
        <v>13765</v>
      </c>
      <c r="C361" s="516"/>
      <c r="D361" s="519" t="s">
        <v>2155</v>
      </c>
      <c r="E361" s="515">
        <v>4</v>
      </c>
      <c r="F361" s="518" t="s">
        <v>614</v>
      </c>
      <c r="G361" s="515" t="s">
        <v>2152</v>
      </c>
      <c r="H361" s="514" t="s">
        <v>1226</v>
      </c>
      <c r="I361" s="515"/>
      <c r="J361" s="515">
        <v>6</v>
      </c>
    </row>
    <row r="362" spans="1:10" ht="13.8" thickBot="1">
      <c r="A362" s="517"/>
      <c r="B362" s="518" t="s">
        <v>13764</v>
      </c>
      <c r="C362" s="516"/>
      <c r="D362" s="514" t="s">
        <v>13763</v>
      </c>
      <c r="E362" s="515">
        <v>4</v>
      </c>
      <c r="F362" s="518" t="s">
        <v>614</v>
      </c>
      <c r="G362" s="515" t="s">
        <v>2152</v>
      </c>
      <c r="H362" s="514"/>
      <c r="I362" s="515">
        <v>1</v>
      </c>
      <c r="J362" s="515">
        <v>5</v>
      </c>
    </row>
    <row r="363" spans="1:10" ht="13.8" thickBot="1">
      <c r="A363" s="517"/>
      <c r="B363" s="518" t="s">
        <v>13762</v>
      </c>
      <c r="C363" s="516"/>
      <c r="D363" s="514" t="s">
        <v>2188</v>
      </c>
      <c r="E363" s="515">
        <v>3.5</v>
      </c>
      <c r="F363" s="514"/>
      <c r="G363" s="515" t="s">
        <v>2152</v>
      </c>
      <c r="H363" s="514"/>
      <c r="I363" s="515"/>
      <c r="J363" s="515">
        <v>2</v>
      </c>
    </row>
    <row r="364" spans="1:10" ht="13.8" thickBot="1">
      <c r="A364" s="517"/>
      <c r="B364" s="518" t="s">
        <v>13761</v>
      </c>
      <c r="C364" s="516"/>
      <c r="D364" s="514" t="s">
        <v>2159</v>
      </c>
      <c r="E364" s="515">
        <v>3.5</v>
      </c>
      <c r="F364" s="518" t="s">
        <v>1854</v>
      </c>
      <c r="G364" s="515" t="s">
        <v>2152</v>
      </c>
      <c r="H364" s="514"/>
      <c r="I364" s="515"/>
      <c r="J364" s="515">
        <v>1</v>
      </c>
    </row>
    <row r="365" spans="1:10" ht="13.8" thickBot="1">
      <c r="A365" s="517"/>
      <c r="B365" s="518" t="s">
        <v>13760</v>
      </c>
      <c r="C365" s="516"/>
      <c r="D365" s="514" t="s">
        <v>1270</v>
      </c>
      <c r="E365" s="515">
        <v>2</v>
      </c>
      <c r="F365" s="518" t="s">
        <v>1854</v>
      </c>
      <c r="G365" s="515" t="s">
        <v>2152</v>
      </c>
      <c r="H365" s="514"/>
      <c r="I365" s="515"/>
      <c r="J365" s="515"/>
    </row>
    <row r="366" spans="1:10" ht="13.8" thickBot="1">
      <c r="A366" s="517"/>
      <c r="B366" s="518" t="s">
        <v>13759</v>
      </c>
      <c r="C366" s="516"/>
      <c r="D366" s="519" t="s">
        <v>13758</v>
      </c>
      <c r="E366" s="515">
        <v>5.5</v>
      </c>
      <c r="F366" s="518" t="s">
        <v>614</v>
      </c>
      <c r="G366" s="515" t="s">
        <v>2216</v>
      </c>
      <c r="H366" s="514" t="s">
        <v>1226</v>
      </c>
      <c r="I366" s="522"/>
      <c r="J366" s="522">
        <v>12</v>
      </c>
    </row>
    <row r="367" spans="1:10" ht="13.8" thickBot="1">
      <c r="A367" s="517"/>
      <c r="B367" s="518" t="s">
        <v>13757</v>
      </c>
      <c r="C367" s="516"/>
      <c r="D367" s="514" t="s">
        <v>13756</v>
      </c>
      <c r="E367" s="515">
        <v>5.5</v>
      </c>
      <c r="F367" s="518" t="s">
        <v>151</v>
      </c>
      <c r="G367" s="515" t="s">
        <v>2242</v>
      </c>
      <c r="H367" s="514" t="s">
        <v>1226</v>
      </c>
      <c r="I367" s="515"/>
      <c r="J367" s="515">
        <v>8</v>
      </c>
    </row>
    <row r="368" spans="1:10" ht="13.8" thickBot="1">
      <c r="A368" s="517"/>
      <c r="B368" s="518" t="s">
        <v>13755</v>
      </c>
      <c r="C368" s="516"/>
      <c r="D368" s="519" t="s">
        <v>2246</v>
      </c>
      <c r="E368" s="515">
        <v>5.5</v>
      </c>
      <c r="F368" s="518" t="s">
        <v>1854</v>
      </c>
      <c r="G368" s="515" t="s">
        <v>2242</v>
      </c>
      <c r="H368" s="514" t="s">
        <v>1226</v>
      </c>
      <c r="I368" s="515"/>
      <c r="J368" s="515">
        <v>6</v>
      </c>
    </row>
    <row r="369" spans="1:10" ht="13.8" thickBot="1">
      <c r="A369" s="517"/>
      <c r="B369" s="518" t="s">
        <v>13754</v>
      </c>
      <c r="C369" s="516"/>
      <c r="D369" s="514" t="s">
        <v>13753</v>
      </c>
      <c r="E369" s="515">
        <v>8.5</v>
      </c>
      <c r="F369" s="518" t="s">
        <v>1854</v>
      </c>
      <c r="G369" s="515" t="s">
        <v>2289</v>
      </c>
      <c r="H369" s="514"/>
      <c r="I369" s="515"/>
      <c r="J369" s="515"/>
    </row>
    <row r="370" spans="1:10" ht="13.8" thickBot="1">
      <c r="A370" s="517"/>
      <c r="B370" s="518" t="s">
        <v>13752</v>
      </c>
      <c r="C370" s="516"/>
      <c r="D370" s="514" t="s">
        <v>13751</v>
      </c>
      <c r="E370" s="515">
        <v>8.1</v>
      </c>
      <c r="F370" s="518" t="s">
        <v>614</v>
      </c>
      <c r="G370" s="515" t="s">
        <v>2289</v>
      </c>
      <c r="H370" s="514" t="s">
        <v>1251</v>
      </c>
      <c r="I370" s="515">
        <v>2</v>
      </c>
      <c r="J370" s="515">
        <v>4</v>
      </c>
    </row>
    <row r="371" spans="1:10" ht="13.8" thickBot="1">
      <c r="A371" s="517"/>
      <c r="B371" s="518" t="s">
        <v>13750</v>
      </c>
      <c r="C371" s="516"/>
      <c r="D371" s="519" t="s">
        <v>13749</v>
      </c>
      <c r="E371" s="515">
        <v>8</v>
      </c>
      <c r="F371" s="518" t="s">
        <v>1854</v>
      </c>
      <c r="G371" s="515" t="s">
        <v>2289</v>
      </c>
      <c r="H371" s="514" t="s">
        <v>1224</v>
      </c>
      <c r="I371" s="515">
        <v>2</v>
      </c>
      <c r="J371" s="515">
        <v>3</v>
      </c>
    </row>
    <row r="372" spans="1:10" ht="13.8" thickBot="1">
      <c r="A372" s="517"/>
      <c r="B372" s="518" t="s">
        <v>13748</v>
      </c>
      <c r="C372" s="516"/>
      <c r="D372" s="519" t="s">
        <v>13747</v>
      </c>
      <c r="E372" s="515">
        <v>7.75</v>
      </c>
      <c r="F372" s="518" t="s">
        <v>1854</v>
      </c>
      <c r="G372" s="515" t="s">
        <v>2289</v>
      </c>
      <c r="H372" s="514" t="s">
        <v>1226</v>
      </c>
      <c r="I372" s="522">
        <v>1</v>
      </c>
      <c r="J372" s="522">
        <v>2</v>
      </c>
    </row>
    <row r="373" spans="1:10" ht="13.8" thickBot="1">
      <c r="A373" s="517"/>
      <c r="B373" s="518" t="s">
        <v>13746</v>
      </c>
      <c r="C373" s="516"/>
      <c r="D373" s="514" t="s">
        <v>13745</v>
      </c>
      <c r="E373" s="515">
        <v>7.5</v>
      </c>
      <c r="F373" s="518" t="s">
        <v>614</v>
      </c>
      <c r="G373" s="515" t="s">
        <v>2289</v>
      </c>
      <c r="H373" s="514" t="s">
        <v>1229</v>
      </c>
      <c r="I373" s="522">
        <v>4</v>
      </c>
      <c r="J373" s="522">
        <v>11</v>
      </c>
    </row>
    <row r="374" spans="1:10" ht="13.8" thickBot="1">
      <c r="A374" s="517"/>
      <c r="B374" s="518" t="s">
        <v>13744</v>
      </c>
      <c r="C374" s="516"/>
      <c r="D374" s="514" t="s">
        <v>13743</v>
      </c>
      <c r="E374" s="515">
        <v>7.5</v>
      </c>
      <c r="F374" s="518" t="s">
        <v>614</v>
      </c>
      <c r="G374" s="515" t="s">
        <v>2289</v>
      </c>
      <c r="H374" s="514" t="s">
        <v>1226</v>
      </c>
      <c r="I374" s="515"/>
      <c r="J374" s="515">
        <v>3</v>
      </c>
    </row>
    <row r="375" spans="1:10" ht="13.8" thickBot="1">
      <c r="A375" s="517"/>
      <c r="B375" s="518" t="s">
        <v>13742</v>
      </c>
      <c r="C375" s="516"/>
      <c r="D375" s="519" t="s">
        <v>13741</v>
      </c>
      <c r="E375" s="515">
        <v>7.5</v>
      </c>
      <c r="F375" s="518" t="s">
        <v>614</v>
      </c>
      <c r="G375" s="515" t="s">
        <v>2289</v>
      </c>
      <c r="H375" s="514" t="s">
        <v>1226</v>
      </c>
      <c r="I375" s="515"/>
      <c r="J375" s="515">
        <v>3</v>
      </c>
    </row>
    <row r="376" spans="1:10" ht="13.8" thickBot="1">
      <c r="A376" s="517"/>
      <c r="B376" s="518" t="s">
        <v>13740</v>
      </c>
      <c r="C376" s="516"/>
      <c r="D376" s="514" t="s">
        <v>1726</v>
      </c>
      <c r="E376" s="515">
        <v>7.5</v>
      </c>
      <c r="F376" s="518" t="s">
        <v>13739</v>
      </c>
      <c r="G376" s="515" t="s">
        <v>2289</v>
      </c>
      <c r="H376" s="514" t="s">
        <v>1224</v>
      </c>
      <c r="I376" s="515">
        <v>1</v>
      </c>
      <c r="J376" s="515">
        <v>2</v>
      </c>
    </row>
    <row r="377" spans="1:10" ht="13.8" thickBot="1">
      <c r="A377" s="517"/>
      <c r="B377" s="518" t="s">
        <v>13738</v>
      </c>
      <c r="C377" s="516"/>
      <c r="D377" s="514" t="s">
        <v>13737</v>
      </c>
      <c r="E377" s="515">
        <v>7.5</v>
      </c>
      <c r="F377" s="518" t="s">
        <v>2223</v>
      </c>
      <c r="G377" s="515" t="s">
        <v>2289</v>
      </c>
      <c r="H377" s="514"/>
      <c r="I377" s="515"/>
      <c r="J377" s="515"/>
    </row>
    <row r="378" spans="1:10" ht="13.8" thickBot="1">
      <c r="A378" s="517"/>
      <c r="B378" s="518" t="s">
        <v>13736</v>
      </c>
      <c r="C378" s="516"/>
      <c r="D378" s="514" t="s">
        <v>1726</v>
      </c>
      <c r="E378" s="515">
        <v>7.5</v>
      </c>
      <c r="F378" s="518" t="s">
        <v>1854</v>
      </c>
      <c r="G378" s="515" t="s">
        <v>2289</v>
      </c>
      <c r="H378" s="514"/>
      <c r="I378" s="515"/>
      <c r="J378" s="515"/>
    </row>
    <row r="379" spans="1:10" ht="13.8" thickBot="1">
      <c r="A379" s="517"/>
      <c r="B379" s="518" t="s">
        <v>13735</v>
      </c>
      <c r="C379" s="516"/>
      <c r="D379" s="514" t="s">
        <v>13734</v>
      </c>
      <c r="E379" s="515">
        <v>7.5</v>
      </c>
      <c r="F379" s="514"/>
      <c r="G379" s="515" t="s">
        <v>2289</v>
      </c>
      <c r="H379" s="514"/>
      <c r="I379" s="515"/>
      <c r="J379" s="515"/>
    </row>
    <row r="380" spans="1:10" ht="13.8" thickBot="1">
      <c r="A380" s="517"/>
      <c r="B380" s="518" t="s">
        <v>13733</v>
      </c>
      <c r="C380" s="516"/>
      <c r="D380" s="514" t="s">
        <v>13732</v>
      </c>
      <c r="E380" s="515">
        <v>7.25</v>
      </c>
      <c r="F380" s="518" t="s">
        <v>614</v>
      </c>
      <c r="G380" s="515" t="s">
        <v>2289</v>
      </c>
      <c r="H380" s="514" t="s">
        <v>1251</v>
      </c>
      <c r="I380" s="515"/>
      <c r="J380" s="515">
        <v>4</v>
      </c>
    </row>
    <row r="381" spans="1:10" ht="13.8" thickBot="1">
      <c r="A381" s="517"/>
      <c r="B381" s="518" t="s">
        <v>13731</v>
      </c>
      <c r="C381" s="516"/>
      <c r="D381" s="514" t="s">
        <v>13730</v>
      </c>
      <c r="E381" s="515">
        <v>7.25</v>
      </c>
      <c r="F381" s="518" t="s">
        <v>614</v>
      </c>
      <c r="G381" s="515" t="s">
        <v>2289</v>
      </c>
      <c r="H381" s="514" t="s">
        <v>1226</v>
      </c>
      <c r="I381" s="515">
        <v>3</v>
      </c>
      <c r="J381" s="515">
        <v>5</v>
      </c>
    </row>
    <row r="382" spans="1:10" ht="13.8" thickBot="1">
      <c r="A382" s="517"/>
      <c r="B382" s="518" t="s">
        <v>13729</v>
      </c>
      <c r="C382" s="516"/>
      <c r="D382" s="514" t="s">
        <v>13728</v>
      </c>
      <c r="E382" s="515">
        <v>7.25</v>
      </c>
      <c r="F382" s="514"/>
      <c r="G382" s="515" t="s">
        <v>2289</v>
      </c>
      <c r="H382" s="514"/>
      <c r="I382" s="515"/>
      <c r="J382" s="515">
        <v>1</v>
      </c>
    </row>
    <row r="383" spans="1:10" ht="13.8" thickBot="1">
      <c r="A383" s="517"/>
      <c r="B383" s="518" t="s">
        <v>13727</v>
      </c>
      <c r="C383" s="516"/>
      <c r="D383" s="514" t="s">
        <v>13726</v>
      </c>
      <c r="E383" s="515">
        <v>7.1</v>
      </c>
      <c r="F383" s="518" t="s">
        <v>614</v>
      </c>
      <c r="G383" s="515" t="s">
        <v>2289</v>
      </c>
      <c r="H383" s="514" t="s">
        <v>1251</v>
      </c>
      <c r="I383" s="515">
        <v>3</v>
      </c>
      <c r="J383" s="515">
        <v>8</v>
      </c>
    </row>
    <row r="384" spans="1:10" ht="13.8" thickBot="1">
      <c r="A384" s="517"/>
      <c r="B384" s="518" t="s">
        <v>13725</v>
      </c>
      <c r="C384" s="516"/>
      <c r="D384" s="514" t="s">
        <v>13724</v>
      </c>
      <c r="E384" s="515">
        <v>7.1</v>
      </c>
      <c r="F384" s="518" t="s">
        <v>614</v>
      </c>
      <c r="G384" s="515" t="s">
        <v>2289</v>
      </c>
      <c r="H384" s="514" t="s">
        <v>1251</v>
      </c>
      <c r="I384" s="515">
        <v>1</v>
      </c>
      <c r="J384" s="515">
        <v>6</v>
      </c>
    </row>
    <row r="385" spans="1:10" ht="13.8" thickBot="1">
      <c r="A385" s="517"/>
      <c r="B385" s="518" t="s">
        <v>13723</v>
      </c>
      <c r="C385" s="516"/>
      <c r="D385" s="514" t="s">
        <v>13722</v>
      </c>
      <c r="E385" s="515">
        <v>7</v>
      </c>
      <c r="F385" s="518" t="s">
        <v>1854</v>
      </c>
      <c r="G385" s="515" t="s">
        <v>2289</v>
      </c>
      <c r="H385" s="514" t="s">
        <v>1224</v>
      </c>
      <c r="I385" s="515">
        <v>3</v>
      </c>
      <c r="J385" s="515">
        <v>9</v>
      </c>
    </row>
    <row r="386" spans="1:10" ht="13.8" thickBot="1">
      <c r="A386" s="517"/>
      <c r="B386" s="518" t="s">
        <v>13721</v>
      </c>
      <c r="C386" s="516"/>
      <c r="D386" s="519" t="s">
        <v>15011</v>
      </c>
      <c r="E386" s="515">
        <v>7</v>
      </c>
      <c r="F386" s="518" t="s">
        <v>614</v>
      </c>
      <c r="G386" s="515" t="s">
        <v>2289</v>
      </c>
      <c r="H386" s="514" t="s">
        <v>1224</v>
      </c>
      <c r="I386" s="522">
        <v>2</v>
      </c>
      <c r="J386" s="515">
        <v>4</v>
      </c>
    </row>
    <row r="387" spans="1:10" ht="13.8" thickBot="1">
      <c r="A387" s="517"/>
      <c r="B387" s="518" t="s">
        <v>13719</v>
      </c>
      <c r="C387" s="516"/>
      <c r="D387" s="514" t="s">
        <v>13718</v>
      </c>
      <c r="E387" s="515">
        <v>7</v>
      </c>
      <c r="F387" s="518" t="s">
        <v>2223</v>
      </c>
      <c r="G387" s="515" t="s">
        <v>2289</v>
      </c>
      <c r="H387" s="514"/>
      <c r="I387" s="515"/>
      <c r="J387" s="515">
        <v>2</v>
      </c>
    </row>
    <row r="388" spans="1:10" ht="13.8" thickBot="1">
      <c r="A388" s="517"/>
      <c r="B388" s="518" t="s">
        <v>13717</v>
      </c>
      <c r="C388" s="516"/>
      <c r="D388" s="514" t="s">
        <v>13716</v>
      </c>
      <c r="E388" s="515">
        <v>7</v>
      </c>
      <c r="F388" s="518" t="s">
        <v>614</v>
      </c>
      <c r="G388" s="515" t="s">
        <v>2289</v>
      </c>
      <c r="H388" s="514"/>
      <c r="I388" s="515"/>
      <c r="J388" s="515">
        <v>1</v>
      </c>
    </row>
    <row r="389" spans="1:10" ht="13.8" thickBot="1">
      <c r="A389" s="517"/>
      <c r="B389" s="518" t="s">
        <v>13715</v>
      </c>
      <c r="C389" s="516"/>
      <c r="D389" s="514" t="s">
        <v>13714</v>
      </c>
      <c r="E389" s="515">
        <v>7</v>
      </c>
      <c r="F389" s="514"/>
      <c r="G389" s="515" t="s">
        <v>2289</v>
      </c>
      <c r="H389" s="514"/>
      <c r="I389" s="515"/>
      <c r="J389" s="515">
        <v>1</v>
      </c>
    </row>
    <row r="390" spans="1:10" ht="13.8" thickBot="1">
      <c r="A390" s="517"/>
      <c r="B390" s="518" t="s">
        <v>13713</v>
      </c>
      <c r="C390" s="516"/>
      <c r="D390" s="514" t="s">
        <v>2308</v>
      </c>
      <c r="E390" s="515">
        <v>7</v>
      </c>
      <c r="F390" s="514"/>
      <c r="G390" s="515" t="s">
        <v>2289</v>
      </c>
      <c r="H390" s="514"/>
      <c r="I390" s="515"/>
      <c r="J390" s="515">
        <v>1</v>
      </c>
    </row>
    <row r="391" spans="1:10" ht="13.8" thickBot="1">
      <c r="A391" s="517"/>
      <c r="B391" s="518" t="s">
        <v>13712</v>
      </c>
      <c r="C391" s="516"/>
      <c r="D391" s="514" t="s">
        <v>13711</v>
      </c>
      <c r="E391" s="515">
        <v>7</v>
      </c>
      <c r="F391" s="518" t="s">
        <v>13710</v>
      </c>
      <c r="G391" s="515" t="s">
        <v>2289</v>
      </c>
      <c r="H391" s="514"/>
      <c r="I391" s="515"/>
      <c r="J391" s="515"/>
    </row>
    <row r="392" spans="1:10" ht="13.8" thickBot="1">
      <c r="A392" s="517"/>
      <c r="B392" s="518" t="s">
        <v>13709</v>
      </c>
      <c r="C392" s="516"/>
      <c r="D392" s="514" t="s">
        <v>1726</v>
      </c>
      <c r="E392" s="515">
        <v>6.8</v>
      </c>
      <c r="F392" s="518" t="s">
        <v>614</v>
      </c>
      <c r="G392" s="515" t="s">
        <v>2289</v>
      </c>
      <c r="H392" s="514" t="s">
        <v>1251</v>
      </c>
      <c r="I392" s="522"/>
      <c r="J392" s="522">
        <v>10</v>
      </c>
    </row>
    <row r="393" spans="1:10" ht="13.8" thickBot="1">
      <c r="A393" s="517"/>
      <c r="B393" s="518" t="s">
        <v>13708</v>
      </c>
      <c r="C393" s="516"/>
      <c r="D393" s="514" t="s">
        <v>13707</v>
      </c>
      <c r="E393" s="515">
        <v>6.75</v>
      </c>
      <c r="F393" s="518" t="s">
        <v>614</v>
      </c>
      <c r="G393" s="515" t="s">
        <v>2289</v>
      </c>
      <c r="H393" s="514" t="s">
        <v>1229</v>
      </c>
      <c r="I393" s="515">
        <v>2</v>
      </c>
      <c r="J393" s="515">
        <v>18</v>
      </c>
    </row>
    <row r="394" spans="1:10" ht="13.8" thickBot="1">
      <c r="A394" s="517"/>
      <c r="B394" s="518" t="s">
        <v>13706</v>
      </c>
      <c r="C394" s="516"/>
      <c r="D394" s="514" t="s">
        <v>13705</v>
      </c>
      <c r="E394" s="515">
        <v>6.75</v>
      </c>
      <c r="F394" s="518" t="s">
        <v>614</v>
      </c>
      <c r="G394" s="515" t="s">
        <v>2289</v>
      </c>
      <c r="H394" s="514" t="s">
        <v>1229</v>
      </c>
      <c r="I394" s="515"/>
      <c r="J394" s="515">
        <v>8</v>
      </c>
    </row>
    <row r="395" spans="1:10" ht="13.8" thickBot="1">
      <c r="A395" s="517"/>
      <c r="B395" s="518" t="s">
        <v>13704</v>
      </c>
      <c r="C395" s="516"/>
      <c r="D395" s="514" t="s">
        <v>13703</v>
      </c>
      <c r="E395" s="515">
        <v>6.75</v>
      </c>
      <c r="F395" s="518" t="s">
        <v>614</v>
      </c>
      <c r="G395" s="515" t="s">
        <v>2289</v>
      </c>
      <c r="H395" s="514" t="s">
        <v>1841</v>
      </c>
      <c r="I395" s="515"/>
      <c r="J395" s="515">
        <v>12</v>
      </c>
    </row>
    <row r="396" spans="1:10" ht="13.8" thickBot="1">
      <c r="A396" s="517"/>
      <c r="B396" s="518" t="s">
        <v>13702</v>
      </c>
      <c r="C396" s="516"/>
      <c r="D396" s="514" t="s">
        <v>13701</v>
      </c>
      <c r="E396" s="515">
        <v>6.75</v>
      </c>
      <c r="F396" s="518" t="s">
        <v>614</v>
      </c>
      <c r="G396" s="515" t="s">
        <v>2289</v>
      </c>
      <c r="H396" s="514" t="s">
        <v>1226</v>
      </c>
      <c r="I396" s="515">
        <v>1</v>
      </c>
      <c r="J396" s="515">
        <v>6</v>
      </c>
    </row>
    <row r="397" spans="1:10" ht="13.8" thickBot="1">
      <c r="A397" s="517"/>
      <c r="B397" s="518" t="s">
        <v>13700</v>
      </c>
      <c r="C397" s="516"/>
      <c r="D397" s="514" t="s">
        <v>1732</v>
      </c>
      <c r="E397" s="515">
        <v>6.75</v>
      </c>
      <c r="F397" s="518" t="s">
        <v>614</v>
      </c>
      <c r="G397" s="515" t="s">
        <v>2289</v>
      </c>
      <c r="H397" s="514" t="s">
        <v>1224</v>
      </c>
      <c r="I397" s="515">
        <v>1</v>
      </c>
      <c r="J397" s="515">
        <v>5</v>
      </c>
    </row>
    <row r="398" spans="1:10" ht="13.8" thickBot="1">
      <c r="A398" s="517"/>
      <c r="B398" s="518" t="s">
        <v>13699</v>
      </c>
      <c r="C398" s="516"/>
      <c r="D398" s="514" t="s">
        <v>13698</v>
      </c>
      <c r="E398" s="515">
        <v>6.75</v>
      </c>
      <c r="F398" s="518" t="s">
        <v>614</v>
      </c>
      <c r="G398" s="515" t="s">
        <v>2289</v>
      </c>
      <c r="H398" s="514" t="s">
        <v>1224</v>
      </c>
      <c r="I398" s="515">
        <v>1</v>
      </c>
      <c r="J398" s="515">
        <v>3</v>
      </c>
    </row>
    <row r="399" spans="1:10" ht="13.8" thickBot="1">
      <c r="A399" s="517"/>
      <c r="B399" s="518" t="s">
        <v>13697</v>
      </c>
      <c r="C399" s="516"/>
      <c r="D399" s="519" t="s">
        <v>13696</v>
      </c>
      <c r="E399" s="515">
        <v>6.75</v>
      </c>
      <c r="F399" s="518" t="s">
        <v>1854</v>
      </c>
      <c r="G399" s="515" t="s">
        <v>2289</v>
      </c>
      <c r="H399" s="514" t="s">
        <v>1220</v>
      </c>
      <c r="I399" s="515">
        <v>1</v>
      </c>
      <c r="J399" s="515">
        <v>4</v>
      </c>
    </row>
    <row r="400" spans="1:10" ht="13.8" thickBot="1">
      <c r="A400" s="517"/>
      <c r="B400" s="518" t="s">
        <v>13695</v>
      </c>
      <c r="C400" s="516"/>
      <c r="D400" s="514" t="s">
        <v>1727</v>
      </c>
      <c r="E400" s="515">
        <v>6.75</v>
      </c>
      <c r="F400" s="518" t="s">
        <v>1854</v>
      </c>
      <c r="G400" s="515" t="s">
        <v>2289</v>
      </c>
      <c r="H400" s="514"/>
      <c r="I400" s="522"/>
      <c r="J400" s="522">
        <v>6</v>
      </c>
    </row>
    <row r="401" spans="1:10" ht="13.8" thickBot="1">
      <c r="A401" s="517"/>
      <c r="B401" s="518" t="s">
        <v>13694</v>
      </c>
      <c r="C401" s="516"/>
      <c r="D401" s="514" t="s">
        <v>13693</v>
      </c>
      <c r="E401" s="515">
        <v>6.7</v>
      </c>
      <c r="F401" s="518" t="s">
        <v>614</v>
      </c>
      <c r="G401" s="515" t="s">
        <v>2289</v>
      </c>
      <c r="H401" s="514" t="s">
        <v>1251</v>
      </c>
      <c r="I401" s="515"/>
      <c r="J401" s="515">
        <v>7</v>
      </c>
    </row>
    <row r="402" spans="1:10" ht="13.8" thickBot="1">
      <c r="A402" s="517"/>
      <c r="B402" s="518" t="s">
        <v>13692</v>
      </c>
      <c r="C402" s="516"/>
      <c r="D402" s="514" t="s">
        <v>13691</v>
      </c>
      <c r="E402" s="515">
        <v>6.6</v>
      </c>
      <c r="F402" s="518" t="s">
        <v>614</v>
      </c>
      <c r="G402" s="515" t="s">
        <v>2289</v>
      </c>
      <c r="H402" s="514" t="s">
        <v>1251</v>
      </c>
      <c r="I402" s="515"/>
      <c r="J402" s="515">
        <v>14</v>
      </c>
    </row>
    <row r="403" spans="1:10" ht="13.8" thickBot="1">
      <c r="A403" s="517"/>
      <c r="B403" s="518" t="s">
        <v>13690</v>
      </c>
      <c r="C403" s="516"/>
      <c r="D403" s="514" t="s">
        <v>2308</v>
      </c>
      <c r="E403" s="515">
        <v>6.5</v>
      </c>
      <c r="F403" s="518" t="s">
        <v>614</v>
      </c>
      <c r="G403" s="515" t="s">
        <v>2289</v>
      </c>
      <c r="H403" s="514" t="s">
        <v>1226</v>
      </c>
      <c r="I403" s="522">
        <v>1</v>
      </c>
      <c r="J403" s="522">
        <v>11</v>
      </c>
    </row>
    <row r="404" spans="1:10" ht="13.8" thickBot="1">
      <c r="A404" s="517"/>
      <c r="B404" s="518" t="s">
        <v>13689</v>
      </c>
      <c r="C404" s="516"/>
      <c r="D404" s="514" t="s">
        <v>13688</v>
      </c>
      <c r="E404" s="515">
        <v>6.5</v>
      </c>
      <c r="F404" s="518" t="s">
        <v>614</v>
      </c>
      <c r="G404" s="515" t="s">
        <v>2289</v>
      </c>
      <c r="H404" s="514" t="s">
        <v>1226</v>
      </c>
      <c r="I404" s="515"/>
      <c r="J404" s="515">
        <v>10</v>
      </c>
    </row>
    <row r="405" spans="1:10" ht="13.8" thickBot="1">
      <c r="A405" s="517"/>
      <c r="B405" s="518" t="s">
        <v>13687</v>
      </c>
      <c r="C405" s="516"/>
      <c r="D405" s="514" t="s">
        <v>13686</v>
      </c>
      <c r="E405" s="515">
        <v>6.5</v>
      </c>
      <c r="F405" s="518" t="s">
        <v>614</v>
      </c>
      <c r="G405" s="515" t="s">
        <v>2289</v>
      </c>
      <c r="H405" s="514" t="s">
        <v>1226</v>
      </c>
      <c r="I405" s="515">
        <v>1</v>
      </c>
      <c r="J405" s="515">
        <v>6</v>
      </c>
    </row>
    <row r="406" spans="1:10" ht="13.8" thickBot="1">
      <c r="A406" s="517"/>
      <c r="B406" s="518" t="s">
        <v>13685</v>
      </c>
      <c r="C406" s="516"/>
      <c r="D406" s="514" t="s">
        <v>1732</v>
      </c>
      <c r="E406" s="515">
        <v>6.5</v>
      </c>
      <c r="F406" s="518" t="s">
        <v>614</v>
      </c>
      <c r="G406" s="515" t="s">
        <v>2289</v>
      </c>
      <c r="H406" s="514"/>
      <c r="I406" s="515">
        <v>1</v>
      </c>
      <c r="J406" s="515">
        <v>3</v>
      </c>
    </row>
    <row r="407" spans="1:10" ht="13.8" thickBot="1">
      <c r="A407" s="517"/>
      <c r="B407" s="518" t="s">
        <v>13684</v>
      </c>
      <c r="C407" s="516"/>
      <c r="D407" s="514" t="s">
        <v>13683</v>
      </c>
      <c r="E407" s="515">
        <v>6.5</v>
      </c>
      <c r="F407" s="518" t="s">
        <v>614</v>
      </c>
      <c r="G407" s="515" t="s">
        <v>2289</v>
      </c>
      <c r="H407" s="514"/>
      <c r="I407" s="515">
        <v>1</v>
      </c>
      <c r="J407" s="515">
        <v>3</v>
      </c>
    </row>
    <row r="408" spans="1:10" ht="13.8" thickBot="1">
      <c r="A408" s="517"/>
      <c r="B408" s="518" t="s">
        <v>13682</v>
      </c>
      <c r="C408" s="516"/>
      <c r="D408" s="514" t="s">
        <v>13681</v>
      </c>
      <c r="E408" s="515">
        <v>6.5</v>
      </c>
      <c r="F408" s="518" t="s">
        <v>1854</v>
      </c>
      <c r="G408" s="515" t="s">
        <v>2289</v>
      </c>
      <c r="H408" s="514"/>
      <c r="I408" s="515"/>
      <c r="J408" s="515">
        <v>2</v>
      </c>
    </row>
    <row r="409" spans="1:10" ht="13.8" thickBot="1">
      <c r="A409" s="517"/>
      <c r="B409" s="518" t="s">
        <v>13680</v>
      </c>
      <c r="C409" s="516"/>
      <c r="D409" s="514" t="s">
        <v>13679</v>
      </c>
      <c r="E409" s="515">
        <v>6.4</v>
      </c>
      <c r="F409" s="518" t="s">
        <v>614</v>
      </c>
      <c r="G409" s="515" t="s">
        <v>2289</v>
      </c>
      <c r="H409" s="514" t="s">
        <v>1251</v>
      </c>
      <c r="I409" s="515">
        <v>2</v>
      </c>
      <c r="J409" s="515">
        <v>18</v>
      </c>
    </row>
    <row r="410" spans="1:10" ht="13.8" thickBot="1">
      <c r="A410" s="517"/>
      <c r="B410" s="518" t="s">
        <v>13678</v>
      </c>
      <c r="C410" s="516"/>
      <c r="D410" s="514" t="s">
        <v>13677</v>
      </c>
      <c r="E410" s="515">
        <v>6.3</v>
      </c>
      <c r="F410" s="518" t="s">
        <v>614</v>
      </c>
      <c r="G410" s="515" t="s">
        <v>2289</v>
      </c>
      <c r="H410" s="514" t="s">
        <v>1226</v>
      </c>
      <c r="I410" s="515">
        <v>1</v>
      </c>
      <c r="J410" s="515">
        <v>6</v>
      </c>
    </row>
    <row r="411" spans="1:10" ht="13.8" thickBot="1">
      <c r="A411" s="517"/>
      <c r="B411" s="518" t="s">
        <v>13676</v>
      </c>
      <c r="C411" s="516"/>
      <c r="D411" s="514" t="s">
        <v>13675</v>
      </c>
      <c r="E411" s="515">
        <v>6.3</v>
      </c>
      <c r="F411" s="518" t="s">
        <v>614</v>
      </c>
      <c r="G411" s="515" t="s">
        <v>2289</v>
      </c>
      <c r="H411" s="514" t="s">
        <v>1226</v>
      </c>
      <c r="I411" s="515"/>
      <c r="J411" s="515">
        <v>6</v>
      </c>
    </row>
    <row r="412" spans="1:10" ht="13.8" thickBot="1">
      <c r="A412" s="517"/>
      <c r="B412" s="518" t="s">
        <v>13674</v>
      </c>
      <c r="C412" s="516"/>
      <c r="D412" s="514" t="s">
        <v>13673</v>
      </c>
      <c r="E412" s="515">
        <v>6.25</v>
      </c>
      <c r="F412" s="518" t="s">
        <v>614</v>
      </c>
      <c r="G412" s="515" t="s">
        <v>2289</v>
      </c>
      <c r="H412" s="514"/>
      <c r="I412" s="522"/>
      <c r="J412" s="522">
        <v>3</v>
      </c>
    </row>
    <row r="413" spans="1:10" ht="13.8" thickBot="1">
      <c r="A413" s="517"/>
      <c r="B413" s="518" t="s">
        <v>13672</v>
      </c>
      <c r="C413" s="516"/>
      <c r="D413" s="514" t="s">
        <v>13671</v>
      </c>
      <c r="E413" s="515">
        <v>6.25</v>
      </c>
      <c r="F413" s="518" t="s">
        <v>1854</v>
      </c>
      <c r="G413" s="515" t="s">
        <v>2289</v>
      </c>
      <c r="H413" s="514"/>
      <c r="I413" s="515"/>
      <c r="J413" s="515">
        <v>2</v>
      </c>
    </row>
    <row r="414" spans="1:10" ht="13.8" thickBot="1">
      <c r="A414" s="517"/>
      <c r="B414" s="518" t="s">
        <v>13670</v>
      </c>
      <c r="C414" s="516"/>
      <c r="D414" s="514" t="s">
        <v>1726</v>
      </c>
      <c r="E414" s="515">
        <v>6.25</v>
      </c>
      <c r="F414" s="518" t="s">
        <v>1854</v>
      </c>
      <c r="G414" s="515" t="s">
        <v>2289</v>
      </c>
      <c r="H414" s="514"/>
      <c r="I414" s="515"/>
      <c r="J414" s="515">
        <v>1</v>
      </c>
    </row>
    <row r="415" spans="1:10" ht="13.8" thickBot="1">
      <c r="A415" s="517"/>
      <c r="B415" s="518" t="s">
        <v>13669</v>
      </c>
      <c r="C415" s="516"/>
      <c r="D415" s="514" t="s">
        <v>13668</v>
      </c>
      <c r="E415" s="515">
        <v>6.25</v>
      </c>
      <c r="F415" s="518" t="s">
        <v>1854</v>
      </c>
      <c r="G415" s="515" t="s">
        <v>2289</v>
      </c>
      <c r="H415" s="514"/>
      <c r="I415" s="515"/>
      <c r="J415" s="515">
        <v>1</v>
      </c>
    </row>
    <row r="416" spans="1:10" ht="13.8" thickBot="1">
      <c r="A416" s="517"/>
      <c r="B416" s="518" t="s">
        <v>13667</v>
      </c>
      <c r="C416" s="516"/>
      <c r="D416" s="520" t="s">
        <v>13666</v>
      </c>
      <c r="E416" s="521">
        <v>6.25</v>
      </c>
      <c r="F416" s="518" t="s">
        <v>1854</v>
      </c>
      <c r="G416" s="515" t="s">
        <v>2289</v>
      </c>
      <c r="H416" s="514"/>
      <c r="I416" s="521"/>
      <c r="J416" s="521">
        <v>1</v>
      </c>
    </row>
    <row r="417" spans="1:10" ht="13.8" thickBot="1">
      <c r="A417" s="517"/>
      <c r="B417" s="518" t="s">
        <v>13665</v>
      </c>
      <c r="C417" s="516"/>
      <c r="D417" s="514" t="s">
        <v>2418</v>
      </c>
      <c r="E417" s="515">
        <v>6.1</v>
      </c>
      <c r="F417" s="514"/>
      <c r="G417" s="515" t="s">
        <v>2289</v>
      </c>
      <c r="H417" s="514"/>
      <c r="I417" s="515"/>
      <c r="J417" s="515">
        <v>2</v>
      </c>
    </row>
    <row r="418" spans="1:10" ht="13.8" thickBot="1">
      <c r="A418" s="517"/>
      <c r="B418" s="518" t="s">
        <v>13664</v>
      </c>
      <c r="C418" s="516"/>
      <c r="D418" s="514" t="s">
        <v>13663</v>
      </c>
      <c r="E418" s="515">
        <v>6</v>
      </c>
      <c r="F418" s="518" t="s">
        <v>614</v>
      </c>
      <c r="G418" s="515" t="s">
        <v>2289</v>
      </c>
      <c r="H418" s="514" t="s">
        <v>1226</v>
      </c>
      <c r="I418" s="515">
        <v>3</v>
      </c>
      <c r="J418" s="515">
        <v>9</v>
      </c>
    </row>
    <row r="419" spans="1:10" ht="13.8" thickBot="1">
      <c r="A419" s="517"/>
      <c r="B419" s="518" t="s">
        <v>13662</v>
      </c>
      <c r="C419" s="516"/>
      <c r="D419" s="519" t="s">
        <v>13661</v>
      </c>
      <c r="E419" s="515">
        <v>6</v>
      </c>
      <c r="F419" s="518" t="s">
        <v>614</v>
      </c>
      <c r="G419" s="515" t="s">
        <v>2289</v>
      </c>
      <c r="H419" s="514" t="s">
        <v>1226</v>
      </c>
      <c r="I419" s="522"/>
      <c r="J419" s="522">
        <v>8</v>
      </c>
    </row>
    <row r="420" spans="1:10" ht="13.8" thickBot="1">
      <c r="A420" s="517"/>
      <c r="B420" s="518" t="s">
        <v>13660</v>
      </c>
      <c r="C420" s="516"/>
      <c r="D420" s="514" t="s">
        <v>13659</v>
      </c>
      <c r="E420" s="515">
        <v>6</v>
      </c>
      <c r="F420" s="518" t="s">
        <v>614</v>
      </c>
      <c r="G420" s="515" t="s">
        <v>2289</v>
      </c>
      <c r="H420" s="514" t="s">
        <v>1226</v>
      </c>
      <c r="I420" s="515"/>
      <c r="J420" s="515">
        <v>5</v>
      </c>
    </row>
    <row r="421" spans="1:10" ht="13.8" thickBot="1">
      <c r="A421" s="517"/>
      <c r="B421" s="518" t="s">
        <v>13658</v>
      </c>
      <c r="C421" s="516"/>
      <c r="D421" s="514" t="s">
        <v>13657</v>
      </c>
      <c r="E421" s="515">
        <v>6</v>
      </c>
      <c r="F421" s="518" t="s">
        <v>614</v>
      </c>
      <c r="G421" s="515" t="s">
        <v>2289</v>
      </c>
      <c r="H421" s="514" t="s">
        <v>1224</v>
      </c>
      <c r="I421" s="515"/>
      <c r="J421" s="515">
        <v>12</v>
      </c>
    </row>
    <row r="422" spans="1:10" ht="13.8" thickBot="1">
      <c r="A422" s="517"/>
      <c r="B422" s="518" t="s">
        <v>13656</v>
      </c>
      <c r="C422" s="516"/>
      <c r="D422" s="514" t="s">
        <v>13655</v>
      </c>
      <c r="E422" s="515">
        <v>6</v>
      </c>
      <c r="F422" s="518" t="s">
        <v>614</v>
      </c>
      <c r="G422" s="515" t="s">
        <v>2289</v>
      </c>
      <c r="H422" s="514" t="s">
        <v>1224</v>
      </c>
      <c r="I422" s="515"/>
      <c r="J422" s="515">
        <v>3</v>
      </c>
    </row>
    <row r="423" spans="1:10" ht="13.8" thickBot="1">
      <c r="A423" s="517"/>
      <c r="B423" s="518" t="s">
        <v>13654</v>
      </c>
      <c r="C423" s="516"/>
      <c r="D423" s="514" t="s">
        <v>13653</v>
      </c>
      <c r="E423" s="515">
        <v>6</v>
      </c>
      <c r="F423" s="518" t="s">
        <v>614</v>
      </c>
      <c r="G423" s="515" t="s">
        <v>2289</v>
      </c>
      <c r="H423" s="514" t="s">
        <v>1224</v>
      </c>
      <c r="I423" s="515"/>
      <c r="J423" s="515">
        <v>2</v>
      </c>
    </row>
    <row r="424" spans="1:10" ht="13.8" thickBot="1">
      <c r="A424" s="517"/>
      <c r="B424" s="518" t="s">
        <v>13652</v>
      </c>
      <c r="C424" s="516"/>
      <c r="D424" s="514" t="s">
        <v>1726</v>
      </c>
      <c r="E424" s="515">
        <v>6</v>
      </c>
      <c r="F424" s="518" t="s">
        <v>614</v>
      </c>
      <c r="G424" s="515" t="s">
        <v>2289</v>
      </c>
      <c r="H424" s="514" t="s">
        <v>1224</v>
      </c>
      <c r="I424" s="515"/>
      <c r="J424" s="515">
        <v>1</v>
      </c>
    </row>
    <row r="425" spans="1:10" ht="13.8" thickBot="1">
      <c r="A425" s="517"/>
      <c r="B425" s="518" t="s">
        <v>13651</v>
      </c>
      <c r="C425" s="516"/>
      <c r="D425" s="514" t="s">
        <v>13650</v>
      </c>
      <c r="E425" s="515">
        <v>6</v>
      </c>
      <c r="F425" s="514"/>
      <c r="G425" s="515" t="s">
        <v>2289</v>
      </c>
      <c r="H425" s="514" t="s">
        <v>1220</v>
      </c>
      <c r="I425" s="515"/>
      <c r="J425" s="515">
        <v>4</v>
      </c>
    </row>
    <row r="426" spans="1:10" ht="13.8" thickBot="1">
      <c r="A426" s="517"/>
      <c r="B426" s="518" t="s">
        <v>13649</v>
      </c>
      <c r="C426" s="516"/>
      <c r="D426" s="514" t="s">
        <v>13648</v>
      </c>
      <c r="E426" s="515">
        <v>6</v>
      </c>
      <c r="F426" s="514"/>
      <c r="G426" s="515" t="s">
        <v>2289</v>
      </c>
      <c r="H426" s="514"/>
      <c r="I426" s="515"/>
      <c r="J426" s="515">
        <v>2</v>
      </c>
    </row>
    <row r="427" spans="1:10" ht="13.8" thickBot="1">
      <c r="A427" s="517"/>
      <c r="B427" s="518" t="s">
        <v>13647</v>
      </c>
      <c r="C427" s="516"/>
      <c r="D427" s="514" t="s">
        <v>13646</v>
      </c>
      <c r="E427" s="515">
        <v>6</v>
      </c>
      <c r="F427" s="518" t="s">
        <v>614</v>
      </c>
      <c r="G427" s="515" t="s">
        <v>2289</v>
      </c>
      <c r="H427" s="514"/>
      <c r="I427" s="515"/>
      <c r="J427" s="515">
        <v>1</v>
      </c>
    </row>
    <row r="428" spans="1:10" ht="13.8" thickBot="1">
      <c r="A428" s="517"/>
      <c r="B428" s="518" t="s">
        <v>13645</v>
      </c>
      <c r="C428" s="516"/>
      <c r="D428" s="519" t="s">
        <v>13644</v>
      </c>
      <c r="E428" s="515">
        <v>6</v>
      </c>
      <c r="F428" s="514"/>
      <c r="G428" s="515" t="s">
        <v>2289</v>
      </c>
      <c r="H428" s="514"/>
      <c r="I428" s="515"/>
      <c r="J428" s="515">
        <v>1</v>
      </c>
    </row>
    <row r="429" spans="1:10" ht="13.8" thickBot="1">
      <c r="A429" s="517"/>
      <c r="B429" s="518" t="s">
        <v>13643</v>
      </c>
      <c r="C429" s="516"/>
      <c r="D429" s="514" t="s">
        <v>13642</v>
      </c>
      <c r="E429" s="515">
        <v>5.5</v>
      </c>
      <c r="F429" s="518" t="s">
        <v>614</v>
      </c>
      <c r="G429" s="515" t="s">
        <v>2289</v>
      </c>
      <c r="H429" s="514" t="s">
        <v>1226</v>
      </c>
      <c r="I429" s="515"/>
      <c r="J429" s="515">
        <v>7</v>
      </c>
    </row>
    <row r="430" spans="1:10" ht="13.8" thickBot="1">
      <c r="A430" s="517"/>
      <c r="B430" s="518" t="s">
        <v>13641</v>
      </c>
      <c r="C430" s="516"/>
      <c r="D430" s="514" t="s">
        <v>13640</v>
      </c>
      <c r="E430" s="515">
        <v>5.5</v>
      </c>
      <c r="F430" s="518" t="s">
        <v>614</v>
      </c>
      <c r="G430" s="515" t="s">
        <v>2289</v>
      </c>
      <c r="H430" s="514" t="s">
        <v>1226</v>
      </c>
      <c r="I430" s="515"/>
      <c r="J430" s="515">
        <v>1</v>
      </c>
    </row>
    <row r="431" spans="1:10" ht="13.8" thickBot="1">
      <c r="A431" s="517"/>
      <c r="B431" s="518" t="s">
        <v>13639</v>
      </c>
      <c r="C431" s="516"/>
      <c r="D431" s="514" t="s">
        <v>1726</v>
      </c>
      <c r="E431" s="515">
        <v>5.5</v>
      </c>
      <c r="F431" s="518" t="s">
        <v>614</v>
      </c>
      <c r="G431" s="515" t="s">
        <v>2289</v>
      </c>
      <c r="H431" s="514" t="s">
        <v>1226</v>
      </c>
      <c r="I431" s="515"/>
      <c r="J431" s="515">
        <v>1</v>
      </c>
    </row>
    <row r="432" spans="1:10" ht="13.8" thickBot="1">
      <c r="A432" s="517"/>
      <c r="B432" s="518" t="s">
        <v>13638</v>
      </c>
      <c r="C432" s="516"/>
      <c r="D432" s="514" t="s">
        <v>2308</v>
      </c>
      <c r="E432" s="515">
        <v>5.5</v>
      </c>
      <c r="F432" s="514"/>
      <c r="G432" s="515" t="s">
        <v>2289</v>
      </c>
      <c r="H432" s="514" t="s">
        <v>1224</v>
      </c>
      <c r="I432" s="515"/>
      <c r="J432" s="515">
        <v>6</v>
      </c>
    </row>
    <row r="433" spans="1:10" ht="13.8" thickBot="1">
      <c r="A433" s="517"/>
      <c r="B433" s="518" t="s">
        <v>13637</v>
      </c>
      <c r="C433" s="516"/>
      <c r="D433" s="514" t="s">
        <v>13636</v>
      </c>
      <c r="E433" s="515">
        <v>5.5</v>
      </c>
      <c r="F433" s="518" t="s">
        <v>1854</v>
      </c>
      <c r="G433" s="515" t="s">
        <v>2289</v>
      </c>
      <c r="H433" s="514" t="s">
        <v>1224</v>
      </c>
      <c r="I433" s="515"/>
      <c r="J433" s="515">
        <v>4</v>
      </c>
    </row>
    <row r="434" spans="1:10" ht="13.8" thickBot="1">
      <c r="A434" s="517"/>
      <c r="B434" s="518" t="s">
        <v>13635</v>
      </c>
      <c r="C434" s="516"/>
      <c r="D434" s="514" t="s">
        <v>13634</v>
      </c>
      <c r="E434" s="515">
        <v>5.5</v>
      </c>
      <c r="F434" s="514"/>
      <c r="G434" s="515" t="s">
        <v>2289</v>
      </c>
      <c r="H434" s="514"/>
      <c r="I434" s="515"/>
      <c r="J434" s="515"/>
    </row>
    <row r="435" spans="1:10" ht="13.8" thickBot="1">
      <c r="A435" s="517"/>
      <c r="B435" s="518" t="s">
        <v>13633</v>
      </c>
      <c r="C435" s="516"/>
      <c r="D435" s="519" t="s">
        <v>2297</v>
      </c>
      <c r="E435" s="515">
        <v>5</v>
      </c>
      <c r="F435" s="518" t="s">
        <v>614</v>
      </c>
      <c r="G435" s="515" t="s">
        <v>2289</v>
      </c>
      <c r="H435" s="514" t="s">
        <v>1226</v>
      </c>
      <c r="I435" s="515"/>
      <c r="J435" s="515">
        <v>5</v>
      </c>
    </row>
    <row r="436" spans="1:10" ht="13.8" thickBot="1">
      <c r="A436" s="517"/>
      <c r="B436" s="518" t="s">
        <v>13632</v>
      </c>
      <c r="C436" s="516"/>
      <c r="D436" s="514" t="s">
        <v>2297</v>
      </c>
      <c r="E436" s="515">
        <v>5</v>
      </c>
      <c r="F436" s="518" t="s">
        <v>614</v>
      </c>
      <c r="G436" s="515" t="s">
        <v>2289</v>
      </c>
      <c r="H436" s="514" t="s">
        <v>1224</v>
      </c>
      <c r="I436" s="515"/>
      <c r="J436" s="515">
        <v>7</v>
      </c>
    </row>
    <row r="437" spans="1:10" ht="13.8" thickBot="1">
      <c r="A437" s="517"/>
      <c r="B437" s="518" t="s">
        <v>13631</v>
      </c>
      <c r="C437" s="516"/>
      <c r="D437" s="519" t="s">
        <v>1726</v>
      </c>
      <c r="E437" s="515">
        <v>5</v>
      </c>
      <c r="F437" s="518" t="s">
        <v>614</v>
      </c>
      <c r="G437" s="515" t="s">
        <v>2289</v>
      </c>
      <c r="H437" s="514" t="s">
        <v>1224</v>
      </c>
      <c r="I437" s="522"/>
      <c r="J437" s="522">
        <v>4</v>
      </c>
    </row>
    <row r="438" spans="1:10" ht="13.8" thickBot="1">
      <c r="A438" s="517"/>
      <c r="B438" s="518" t="s">
        <v>13630</v>
      </c>
      <c r="C438" s="516"/>
      <c r="D438" s="514" t="s">
        <v>13629</v>
      </c>
      <c r="E438" s="515">
        <v>5</v>
      </c>
      <c r="F438" s="518" t="s">
        <v>2223</v>
      </c>
      <c r="G438" s="515" t="s">
        <v>2289</v>
      </c>
      <c r="H438" s="514" t="s">
        <v>1224</v>
      </c>
      <c r="I438" s="515"/>
      <c r="J438" s="515">
        <v>2</v>
      </c>
    </row>
    <row r="439" spans="1:10" ht="13.8" thickBot="1">
      <c r="A439" s="517"/>
      <c r="B439" s="518" t="s">
        <v>13628</v>
      </c>
      <c r="C439" s="516"/>
      <c r="D439" s="514" t="s">
        <v>1727</v>
      </c>
      <c r="E439" s="515">
        <v>5</v>
      </c>
      <c r="F439" s="518" t="s">
        <v>614</v>
      </c>
      <c r="G439" s="515" t="s">
        <v>2289</v>
      </c>
      <c r="H439" s="514"/>
      <c r="I439" s="515"/>
      <c r="J439" s="515">
        <v>3</v>
      </c>
    </row>
    <row r="440" spans="1:10" ht="13.8" thickBot="1">
      <c r="A440" s="517"/>
      <c r="B440" s="518" t="s">
        <v>13627</v>
      </c>
      <c r="C440" s="516"/>
      <c r="D440" s="514" t="s">
        <v>13626</v>
      </c>
      <c r="E440" s="515">
        <v>5</v>
      </c>
      <c r="F440" s="514"/>
      <c r="G440" s="515" t="s">
        <v>2289</v>
      </c>
      <c r="H440" s="514"/>
      <c r="I440" s="515"/>
      <c r="J440" s="515">
        <v>2</v>
      </c>
    </row>
    <row r="441" spans="1:10" ht="13.8" thickBot="1">
      <c r="A441" s="517"/>
      <c r="B441" s="518" t="s">
        <v>13625</v>
      </c>
      <c r="C441" s="516"/>
      <c r="D441" s="514" t="s">
        <v>13624</v>
      </c>
      <c r="E441" s="515">
        <v>5</v>
      </c>
      <c r="F441" s="518" t="s">
        <v>614</v>
      </c>
      <c r="G441" s="515" t="s">
        <v>2289</v>
      </c>
      <c r="H441" s="514"/>
      <c r="I441" s="515"/>
      <c r="J441" s="515">
        <v>1</v>
      </c>
    </row>
    <row r="442" spans="1:10" ht="13.8" thickBot="1">
      <c r="A442" s="517"/>
      <c r="B442" s="518" t="s">
        <v>13623</v>
      </c>
      <c r="C442" s="516"/>
      <c r="D442" s="514" t="s">
        <v>13622</v>
      </c>
      <c r="E442" s="515">
        <v>5</v>
      </c>
      <c r="F442" s="518" t="s">
        <v>614</v>
      </c>
      <c r="G442" s="515" t="s">
        <v>2289</v>
      </c>
      <c r="H442" s="514"/>
      <c r="I442" s="515"/>
      <c r="J442" s="515">
        <v>1</v>
      </c>
    </row>
    <row r="443" spans="1:10" ht="13.8" thickBot="1">
      <c r="A443" s="517"/>
      <c r="B443" s="518" t="s">
        <v>13621</v>
      </c>
      <c r="C443" s="516"/>
      <c r="D443" s="514" t="s">
        <v>1726</v>
      </c>
      <c r="E443" s="515">
        <v>5</v>
      </c>
      <c r="F443" s="514"/>
      <c r="G443" s="515" t="s">
        <v>2289</v>
      </c>
      <c r="H443" s="514"/>
      <c r="I443" s="515"/>
      <c r="J443" s="515">
        <v>1</v>
      </c>
    </row>
    <row r="444" spans="1:10" ht="13.8" thickBot="1">
      <c r="A444" s="517"/>
      <c r="B444" s="518" t="s">
        <v>13620</v>
      </c>
      <c r="C444" s="516"/>
      <c r="D444" s="514" t="s">
        <v>1726</v>
      </c>
      <c r="E444" s="515">
        <v>5</v>
      </c>
      <c r="F444" s="514"/>
      <c r="G444" s="515" t="s">
        <v>2289</v>
      </c>
      <c r="H444" s="514"/>
      <c r="I444" s="515"/>
      <c r="J444" s="515">
        <v>1</v>
      </c>
    </row>
    <row r="445" spans="1:10" ht="13.8" thickBot="1">
      <c r="A445" s="517"/>
      <c r="B445" s="518" t="s">
        <v>13619</v>
      </c>
      <c r="C445" s="516"/>
      <c r="D445" s="514" t="s">
        <v>1726</v>
      </c>
      <c r="E445" s="515">
        <v>5</v>
      </c>
      <c r="F445" s="514"/>
      <c r="G445" s="515" t="s">
        <v>2289</v>
      </c>
      <c r="H445" s="514"/>
      <c r="I445" s="515"/>
      <c r="J445" s="515">
        <v>1</v>
      </c>
    </row>
    <row r="446" spans="1:10" ht="13.8" thickBot="1">
      <c r="A446" s="517"/>
      <c r="B446" s="518" t="s">
        <v>13618</v>
      </c>
      <c r="C446" s="516"/>
      <c r="D446" s="514" t="s">
        <v>13617</v>
      </c>
      <c r="E446" s="515">
        <v>4.5</v>
      </c>
      <c r="F446" s="518" t="s">
        <v>614</v>
      </c>
      <c r="G446" s="515" t="s">
        <v>2289</v>
      </c>
      <c r="H446" s="514"/>
      <c r="I446" s="515"/>
      <c r="J446" s="515">
        <v>3</v>
      </c>
    </row>
    <row r="447" spans="1:10" ht="13.8" thickBot="1">
      <c r="A447" s="517"/>
      <c r="B447" s="518" t="s">
        <v>13616</v>
      </c>
      <c r="C447" s="516"/>
      <c r="D447" s="514" t="s">
        <v>13615</v>
      </c>
      <c r="E447" s="515">
        <v>8.5</v>
      </c>
      <c r="F447" s="514"/>
      <c r="G447" s="515" t="s">
        <v>2449</v>
      </c>
      <c r="H447" s="514"/>
      <c r="I447" s="515"/>
      <c r="J447" s="515"/>
    </row>
    <row r="448" spans="1:10" ht="13.8" thickBot="1">
      <c r="A448" s="517"/>
      <c r="B448" s="518" t="s">
        <v>13614</v>
      </c>
      <c r="C448" s="516"/>
      <c r="D448" s="514" t="s">
        <v>13613</v>
      </c>
      <c r="E448" s="515">
        <v>7.5</v>
      </c>
      <c r="F448" s="518" t="s">
        <v>614</v>
      </c>
      <c r="G448" s="515" t="s">
        <v>2449</v>
      </c>
      <c r="H448" s="514" t="s">
        <v>1251</v>
      </c>
      <c r="I448" s="522">
        <v>1</v>
      </c>
      <c r="J448" s="522">
        <v>8</v>
      </c>
    </row>
    <row r="449" spans="1:10" ht="13.8" thickBot="1">
      <c r="A449" s="517"/>
      <c r="B449" s="518" t="s">
        <v>13612</v>
      </c>
      <c r="C449" s="516"/>
      <c r="D449" s="514" t="s">
        <v>13611</v>
      </c>
      <c r="E449" s="515">
        <v>7.25</v>
      </c>
      <c r="F449" s="518" t="s">
        <v>614</v>
      </c>
      <c r="G449" s="515" t="s">
        <v>2449</v>
      </c>
      <c r="H449" s="514" t="s">
        <v>1251</v>
      </c>
      <c r="I449" s="515"/>
      <c r="J449" s="515">
        <v>6</v>
      </c>
    </row>
    <row r="450" spans="1:10" ht="13.8" thickBot="1">
      <c r="A450" s="517"/>
      <c r="B450" s="518" t="s">
        <v>13610</v>
      </c>
      <c r="C450" s="516"/>
      <c r="D450" s="514" t="s">
        <v>13609</v>
      </c>
      <c r="E450" s="515">
        <v>7</v>
      </c>
      <c r="F450" s="518" t="s">
        <v>614</v>
      </c>
      <c r="G450" s="515" t="s">
        <v>2449</v>
      </c>
      <c r="H450" s="514" t="s">
        <v>1226</v>
      </c>
      <c r="I450" s="515">
        <v>1</v>
      </c>
      <c r="J450" s="515">
        <v>6</v>
      </c>
    </row>
    <row r="451" spans="1:10" ht="13.8" thickBot="1">
      <c r="A451" s="517"/>
      <c r="B451" s="518" t="s">
        <v>13608</v>
      </c>
      <c r="C451" s="516"/>
      <c r="D451" s="514" t="s">
        <v>13607</v>
      </c>
      <c r="E451" s="515">
        <v>7</v>
      </c>
      <c r="F451" s="518" t="s">
        <v>614</v>
      </c>
      <c r="G451" s="515" t="s">
        <v>2449</v>
      </c>
      <c r="H451" s="514" t="s">
        <v>1224</v>
      </c>
      <c r="I451" s="515"/>
      <c r="J451" s="515">
        <v>2</v>
      </c>
    </row>
    <row r="452" spans="1:10" ht="13.8" thickBot="1">
      <c r="A452" s="517"/>
      <c r="B452" s="518" t="s">
        <v>13606</v>
      </c>
      <c r="C452" s="516"/>
      <c r="D452" s="514" t="s">
        <v>13605</v>
      </c>
      <c r="E452" s="515">
        <v>7</v>
      </c>
      <c r="F452" s="514"/>
      <c r="G452" s="515" t="s">
        <v>2449</v>
      </c>
      <c r="H452" s="514"/>
      <c r="I452" s="515"/>
      <c r="J452" s="515">
        <v>2</v>
      </c>
    </row>
    <row r="453" spans="1:10" ht="13.8" thickBot="1">
      <c r="A453" s="517"/>
      <c r="B453" s="518" t="s">
        <v>13604</v>
      </c>
      <c r="C453" s="516"/>
      <c r="D453" s="514" t="s">
        <v>13603</v>
      </c>
      <c r="E453" s="515">
        <v>6.8</v>
      </c>
      <c r="F453" s="518" t="s">
        <v>614</v>
      </c>
      <c r="G453" s="515" t="s">
        <v>2449</v>
      </c>
      <c r="H453" s="514" t="s">
        <v>1251</v>
      </c>
      <c r="I453" s="515"/>
      <c r="J453" s="515">
        <v>6</v>
      </c>
    </row>
    <row r="454" spans="1:10" ht="13.8" thickBot="1">
      <c r="A454" s="517"/>
      <c r="B454" s="518" t="s">
        <v>13602</v>
      </c>
      <c r="C454" s="516"/>
      <c r="D454" s="514" t="s">
        <v>13601</v>
      </c>
      <c r="E454" s="515">
        <v>6.8</v>
      </c>
      <c r="F454" s="514"/>
      <c r="G454" s="515" t="s">
        <v>2449</v>
      </c>
      <c r="H454" s="514" t="s">
        <v>1226</v>
      </c>
      <c r="I454" s="515">
        <v>3</v>
      </c>
      <c r="J454" s="515">
        <v>7</v>
      </c>
    </row>
    <row r="455" spans="1:10" ht="13.8" thickBot="1">
      <c r="A455" s="517"/>
      <c r="B455" s="518" t="s">
        <v>13600</v>
      </c>
      <c r="C455" s="516"/>
      <c r="D455" s="514" t="s">
        <v>13599</v>
      </c>
      <c r="E455" s="515">
        <v>6.7</v>
      </c>
      <c r="F455" s="518" t="s">
        <v>614</v>
      </c>
      <c r="G455" s="515" t="s">
        <v>2449</v>
      </c>
      <c r="H455" s="514" t="s">
        <v>1251</v>
      </c>
      <c r="I455" s="515"/>
      <c r="J455" s="515">
        <v>8</v>
      </c>
    </row>
    <row r="456" spans="1:10" ht="13.8" thickBot="1">
      <c r="A456" s="517"/>
      <c r="B456" s="518" t="s">
        <v>13598</v>
      </c>
      <c r="C456" s="516"/>
      <c r="D456" s="514" t="s">
        <v>13597</v>
      </c>
      <c r="E456" s="515">
        <v>6.5</v>
      </c>
      <c r="F456" s="518" t="s">
        <v>1854</v>
      </c>
      <c r="G456" s="515" t="s">
        <v>2449</v>
      </c>
      <c r="H456" s="514" t="s">
        <v>1224</v>
      </c>
      <c r="I456" s="515">
        <v>2</v>
      </c>
      <c r="J456" s="515">
        <v>6</v>
      </c>
    </row>
    <row r="457" spans="1:10" ht="13.8" thickBot="1">
      <c r="A457" s="517"/>
      <c r="B457" s="518" t="s">
        <v>13596</v>
      </c>
      <c r="C457" s="516"/>
      <c r="D457" s="514" t="s">
        <v>13595</v>
      </c>
      <c r="E457" s="515">
        <v>6.5</v>
      </c>
      <c r="F457" s="518" t="s">
        <v>12586</v>
      </c>
      <c r="G457" s="515" t="s">
        <v>2449</v>
      </c>
      <c r="H457" s="514"/>
      <c r="I457" s="515"/>
      <c r="J457" s="515"/>
    </row>
    <row r="458" spans="1:10" ht="13.8" thickBot="1">
      <c r="A458" s="517"/>
      <c r="B458" s="518" t="s">
        <v>13594</v>
      </c>
      <c r="C458" s="516"/>
      <c r="D458" s="514" t="s">
        <v>13593</v>
      </c>
      <c r="E458" s="515">
        <v>6.5</v>
      </c>
      <c r="F458" s="514"/>
      <c r="G458" s="515" t="s">
        <v>2449</v>
      </c>
      <c r="H458" s="514"/>
      <c r="I458" s="515"/>
      <c r="J458" s="515"/>
    </row>
    <row r="459" spans="1:10" ht="13.8" thickBot="1">
      <c r="A459" s="517"/>
      <c r="B459" s="518" t="s">
        <v>13592</v>
      </c>
      <c r="C459" s="516"/>
      <c r="D459" s="514" t="s">
        <v>13591</v>
      </c>
      <c r="E459" s="515">
        <v>6.25</v>
      </c>
      <c r="F459" s="514"/>
      <c r="G459" s="515" t="s">
        <v>2449</v>
      </c>
      <c r="H459" s="514" t="s">
        <v>1226</v>
      </c>
      <c r="I459" s="515"/>
      <c r="J459" s="515">
        <v>6</v>
      </c>
    </row>
    <row r="460" spans="1:10" ht="13.8" thickBot="1">
      <c r="A460" s="517"/>
      <c r="B460" s="518" t="s">
        <v>13590</v>
      </c>
      <c r="C460" s="516"/>
      <c r="D460" s="514" t="s">
        <v>13589</v>
      </c>
      <c r="E460" s="515">
        <v>6.25</v>
      </c>
      <c r="F460" s="514"/>
      <c r="G460" s="515" t="s">
        <v>2449</v>
      </c>
      <c r="H460" s="514" t="s">
        <v>1226</v>
      </c>
      <c r="I460" s="515"/>
      <c r="J460" s="515">
        <v>2</v>
      </c>
    </row>
    <row r="461" spans="1:10" ht="13.8" thickBot="1">
      <c r="A461" s="517"/>
      <c r="B461" s="518" t="s">
        <v>13588</v>
      </c>
      <c r="C461" s="516"/>
      <c r="D461" s="514" t="s">
        <v>13587</v>
      </c>
      <c r="E461" s="515">
        <v>6</v>
      </c>
      <c r="F461" s="518" t="s">
        <v>614</v>
      </c>
      <c r="G461" s="515" t="s">
        <v>2449</v>
      </c>
      <c r="H461" s="514" t="s">
        <v>1251</v>
      </c>
      <c r="I461" s="515"/>
      <c r="J461" s="515">
        <v>9</v>
      </c>
    </row>
    <row r="462" spans="1:10" ht="13.8" thickBot="1">
      <c r="A462" s="517"/>
      <c r="B462" s="518" t="s">
        <v>13586</v>
      </c>
      <c r="C462" s="516"/>
      <c r="D462" s="514" t="s">
        <v>13585</v>
      </c>
      <c r="E462" s="515">
        <v>6</v>
      </c>
      <c r="F462" s="518" t="s">
        <v>614</v>
      </c>
      <c r="G462" s="515" t="s">
        <v>2449</v>
      </c>
      <c r="H462" s="514" t="s">
        <v>1226</v>
      </c>
      <c r="I462" s="515"/>
      <c r="J462" s="515">
        <v>4</v>
      </c>
    </row>
    <row r="463" spans="1:10" ht="13.8" thickBot="1">
      <c r="A463" s="517"/>
      <c r="B463" s="518" t="s">
        <v>13584</v>
      </c>
      <c r="C463" s="516"/>
      <c r="D463" s="514" t="s">
        <v>13583</v>
      </c>
      <c r="E463" s="515">
        <v>5.5</v>
      </c>
      <c r="F463" s="514"/>
      <c r="G463" s="515" t="s">
        <v>2449</v>
      </c>
      <c r="H463" s="514"/>
      <c r="I463" s="515"/>
      <c r="J463" s="515">
        <v>2</v>
      </c>
    </row>
    <row r="464" spans="1:10" ht="13.8" thickBot="1">
      <c r="A464" s="517"/>
      <c r="B464" s="518" t="s">
        <v>13582</v>
      </c>
      <c r="C464" s="516"/>
      <c r="D464" s="514" t="s">
        <v>2448</v>
      </c>
      <c r="E464" s="515">
        <v>5.5</v>
      </c>
      <c r="F464" s="514"/>
      <c r="G464" s="515" t="s">
        <v>2449</v>
      </c>
      <c r="H464" s="514"/>
      <c r="I464" s="515"/>
      <c r="J464" s="515">
        <v>1</v>
      </c>
    </row>
    <row r="465" spans="1:10" ht="13.8" thickBot="1">
      <c r="A465" s="517"/>
      <c r="B465" s="518" t="s">
        <v>13581</v>
      </c>
      <c r="C465" s="516"/>
      <c r="D465" s="514" t="s">
        <v>2448</v>
      </c>
      <c r="E465" s="515">
        <v>5.25</v>
      </c>
      <c r="F465" s="518" t="s">
        <v>1854</v>
      </c>
      <c r="G465" s="515" t="s">
        <v>2449</v>
      </c>
      <c r="H465" s="514" t="s">
        <v>1226</v>
      </c>
      <c r="I465" s="515"/>
      <c r="J465" s="515">
        <v>2</v>
      </c>
    </row>
    <row r="466" spans="1:10" ht="13.8" thickBot="1">
      <c r="A466" s="517"/>
      <c r="B466" s="518" t="s">
        <v>13580</v>
      </c>
      <c r="C466" s="516"/>
      <c r="D466" s="514" t="s">
        <v>13579</v>
      </c>
      <c r="E466" s="515">
        <v>5</v>
      </c>
      <c r="F466" s="514"/>
      <c r="G466" s="515" t="s">
        <v>2449</v>
      </c>
      <c r="H466" s="514" t="s">
        <v>1226</v>
      </c>
      <c r="I466" s="515"/>
      <c r="J466" s="515">
        <v>1</v>
      </c>
    </row>
    <row r="467" spans="1:10" ht="13.8" thickBot="1">
      <c r="A467" s="517"/>
      <c r="B467" s="518" t="s">
        <v>13578</v>
      </c>
      <c r="C467" s="516"/>
      <c r="D467" s="514" t="s">
        <v>13577</v>
      </c>
      <c r="E467" s="515">
        <v>5</v>
      </c>
      <c r="F467" s="514"/>
      <c r="G467" s="515" t="s">
        <v>2449</v>
      </c>
      <c r="H467" s="514" t="s">
        <v>1224</v>
      </c>
      <c r="I467" s="515"/>
      <c r="J467" s="515">
        <v>2</v>
      </c>
    </row>
    <row r="468" spans="1:10" ht="13.8" thickBot="1">
      <c r="A468" s="517"/>
      <c r="B468" s="518" t="s">
        <v>13576</v>
      </c>
      <c r="C468" s="516"/>
      <c r="D468" s="514" t="s">
        <v>13575</v>
      </c>
      <c r="E468" s="515">
        <v>5</v>
      </c>
      <c r="F468" s="518" t="s">
        <v>614</v>
      </c>
      <c r="G468" s="515" t="s">
        <v>2449</v>
      </c>
      <c r="H468" s="514" t="s">
        <v>1224</v>
      </c>
      <c r="I468" s="515"/>
      <c r="J468" s="515">
        <v>1</v>
      </c>
    </row>
    <row r="469" spans="1:10" ht="13.8" thickBot="1">
      <c r="A469" s="517"/>
      <c r="B469" s="518" t="s">
        <v>13574</v>
      </c>
      <c r="C469" s="516"/>
      <c r="D469" s="514" t="s">
        <v>2448</v>
      </c>
      <c r="E469" s="515">
        <v>5</v>
      </c>
      <c r="F469" s="514"/>
      <c r="G469" s="515" t="s">
        <v>2449</v>
      </c>
      <c r="H469" s="514"/>
      <c r="I469" s="515"/>
      <c r="J469" s="515">
        <v>2</v>
      </c>
    </row>
    <row r="470" spans="1:10" ht="13.8" thickBot="1">
      <c r="A470" s="517"/>
      <c r="B470" s="518" t="s">
        <v>13573</v>
      </c>
      <c r="C470" s="516"/>
      <c r="D470" s="514" t="s">
        <v>13572</v>
      </c>
      <c r="E470" s="515">
        <v>5</v>
      </c>
      <c r="F470" s="514"/>
      <c r="G470" s="515" t="s">
        <v>2449</v>
      </c>
      <c r="H470" s="514"/>
      <c r="I470" s="515"/>
      <c r="J470" s="515">
        <v>1</v>
      </c>
    </row>
    <row r="471" spans="1:10" ht="13.8" thickBot="1">
      <c r="A471" s="517"/>
      <c r="B471" s="518" t="s">
        <v>13571</v>
      </c>
      <c r="C471" s="516"/>
      <c r="D471" s="514" t="s">
        <v>2448</v>
      </c>
      <c r="E471" s="515">
        <v>5</v>
      </c>
      <c r="F471" s="514"/>
      <c r="G471" s="515" t="s">
        <v>2449</v>
      </c>
      <c r="H471" s="514"/>
      <c r="I471" s="515"/>
      <c r="J471" s="515"/>
    </row>
    <row r="472" spans="1:10" ht="13.8" thickBot="1">
      <c r="A472" s="517"/>
      <c r="B472" s="518" t="s">
        <v>13570</v>
      </c>
      <c r="C472" s="516"/>
      <c r="D472" s="514" t="s">
        <v>2487</v>
      </c>
      <c r="E472" s="515">
        <v>4.5</v>
      </c>
      <c r="F472" s="518" t="s">
        <v>614</v>
      </c>
      <c r="G472" s="515" t="s">
        <v>2449</v>
      </c>
      <c r="H472" s="514"/>
      <c r="I472" s="515"/>
      <c r="J472" s="515">
        <v>1</v>
      </c>
    </row>
    <row r="473" spans="1:10" ht="13.8" thickBot="1">
      <c r="A473" s="517"/>
      <c r="B473" s="518" t="s">
        <v>13569</v>
      </c>
      <c r="C473" s="516"/>
      <c r="D473" s="514" t="s">
        <v>2519</v>
      </c>
      <c r="E473" s="515">
        <v>4.5</v>
      </c>
      <c r="F473" s="518" t="s">
        <v>1854</v>
      </c>
      <c r="G473" s="515" t="s">
        <v>2449</v>
      </c>
      <c r="H473" s="514"/>
      <c r="I473" s="522"/>
      <c r="J473" s="522">
        <v>1</v>
      </c>
    </row>
    <row r="474" spans="1:10" ht="13.8" thickBot="1">
      <c r="A474" s="517"/>
      <c r="B474" s="518" t="s">
        <v>13568</v>
      </c>
      <c r="C474" s="516"/>
      <c r="D474" s="514" t="s">
        <v>13567</v>
      </c>
      <c r="E474" s="515">
        <v>8</v>
      </c>
      <c r="F474" s="518" t="s">
        <v>1854</v>
      </c>
      <c r="G474" s="515" t="s">
        <v>2523</v>
      </c>
      <c r="H474" s="514"/>
      <c r="I474" s="515">
        <v>1</v>
      </c>
      <c r="J474" s="515">
        <v>2</v>
      </c>
    </row>
    <row r="475" spans="1:10" ht="13.8" thickBot="1">
      <c r="A475" s="517"/>
      <c r="B475" s="518" t="s">
        <v>13566</v>
      </c>
      <c r="C475" s="516"/>
      <c r="D475" s="514" t="s">
        <v>13565</v>
      </c>
      <c r="E475" s="515">
        <v>7.75</v>
      </c>
      <c r="F475" s="518" t="s">
        <v>13564</v>
      </c>
      <c r="G475" s="515" t="s">
        <v>2523</v>
      </c>
      <c r="H475" s="514"/>
      <c r="I475" s="515"/>
      <c r="J475" s="515"/>
    </row>
    <row r="476" spans="1:10" ht="13.8" thickBot="1">
      <c r="A476" s="517"/>
      <c r="B476" s="518" t="s">
        <v>13563</v>
      </c>
      <c r="C476" s="516"/>
      <c r="D476" s="514" t="s">
        <v>13562</v>
      </c>
      <c r="E476" s="515">
        <v>7.5</v>
      </c>
      <c r="F476" s="518" t="s">
        <v>614</v>
      </c>
      <c r="G476" s="515" t="s">
        <v>2523</v>
      </c>
      <c r="H476" s="514" t="s">
        <v>1229</v>
      </c>
      <c r="I476" s="515"/>
      <c r="J476" s="515">
        <v>9</v>
      </c>
    </row>
    <row r="477" spans="1:10" ht="13.8" thickBot="1">
      <c r="A477" s="517"/>
      <c r="B477" s="518" t="s">
        <v>13561</v>
      </c>
      <c r="C477" s="516"/>
      <c r="D477" s="514" t="s">
        <v>1300</v>
      </c>
      <c r="E477" s="515">
        <v>7.5</v>
      </c>
      <c r="F477" s="518" t="s">
        <v>614</v>
      </c>
      <c r="G477" s="515" t="s">
        <v>2523</v>
      </c>
      <c r="H477" s="514" t="s">
        <v>1251</v>
      </c>
      <c r="I477" s="515"/>
      <c r="J477" s="515">
        <v>2</v>
      </c>
    </row>
    <row r="478" spans="1:10" ht="13.8" thickBot="1">
      <c r="A478" s="517"/>
      <c r="B478" s="518" t="s">
        <v>13560</v>
      </c>
      <c r="C478" s="516"/>
      <c r="D478" s="514" t="s">
        <v>13559</v>
      </c>
      <c r="E478" s="515">
        <v>7.5</v>
      </c>
      <c r="F478" s="518" t="s">
        <v>1854</v>
      </c>
      <c r="G478" s="515" t="s">
        <v>2523</v>
      </c>
      <c r="H478" s="514" t="s">
        <v>1251</v>
      </c>
      <c r="I478" s="515"/>
      <c r="J478" s="515">
        <v>2</v>
      </c>
    </row>
    <row r="479" spans="1:10" ht="13.8" thickBot="1">
      <c r="A479" s="517"/>
      <c r="B479" s="518" t="s">
        <v>13558</v>
      </c>
      <c r="C479" s="516"/>
      <c r="D479" s="514" t="s">
        <v>2663</v>
      </c>
      <c r="E479" s="515">
        <v>7.5</v>
      </c>
      <c r="F479" s="514"/>
      <c r="G479" s="515" t="s">
        <v>2523</v>
      </c>
      <c r="H479" s="514" t="s">
        <v>1226</v>
      </c>
      <c r="I479" s="515"/>
      <c r="J479" s="515">
        <v>1</v>
      </c>
    </row>
    <row r="480" spans="1:10" ht="13.8" thickBot="1">
      <c r="A480" s="517"/>
      <c r="B480" s="518" t="s">
        <v>13557</v>
      </c>
      <c r="C480" s="516"/>
      <c r="D480" s="514" t="s">
        <v>1300</v>
      </c>
      <c r="E480" s="515">
        <v>7.5</v>
      </c>
      <c r="F480" s="518" t="s">
        <v>1854</v>
      </c>
      <c r="G480" s="515" t="s">
        <v>2523</v>
      </c>
      <c r="H480" s="514"/>
      <c r="I480" s="515"/>
      <c r="J480" s="515"/>
    </row>
    <row r="481" spans="1:10" ht="13.8" thickBot="1">
      <c r="A481" s="517"/>
      <c r="B481" s="518" t="s">
        <v>13556</v>
      </c>
      <c r="C481" s="516"/>
      <c r="D481" s="514" t="s">
        <v>13555</v>
      </c>
      <c r="E481" s="515">
        <v>7.25</v>
      </c>
      <c r="F481" s="518" t="s">
        <v>614</v>
      </c>
      <c r="G481" s="515" t="s">
        <v>2523</v>
      </c>
      <c r="H481" s="514" t="s">
        <v>1226</v>
      </c>
      <c r="I481" s="515">
        <v>1</v>
      </c>
      <c r="J481" s="515">
        <v>5</v>
      </c>
    </row>
    <row r="482" spans="1:10" ht="13.8" thickBot="1">
      <c r="A482" s="517"/>
      <c r="B482" s="518" t="s">
        <v>13554</v>
      </c>
      <c r="C482" s="516"/>
      <c r="D482" s="519" t="s">
        <v>13553</v>
      </c>
      <c r="E482" s="515">
        <v>7.25</v>
      </c>
      <c r="F482" s="518" t="s">
        <v>614</v>
      </c>
      <c r="G482" s="515" t="s">
        <v>2523</v>
      </c>
      <c r="H482" s="514" t="s">
        <v>1226</v>
      </c>
      <c r="I482" s="515">
        <v>1</v>
      </c>
      <c r="J482" s="515">
        <v>4</v>
      </c>
    </row>
    <row r="483" spans="1:10" ht="13.8" thickBot="1">
      <c r="A483" s="517"/>
      <c r="B483" s="518" t="s">
        <v>13552</v>
      </c>
      <c r="C483" s="516"/>
      <c r="D483" s="514" t="s">
        <v>13551</v>
      </c>
      <c r="E483" s="515">
        <v>7.25</v>
      </c>
      <c r="F483" s="518" t="s">
        <v>614</v>
      </c>
      <c r="G483" s="515" t="s">
        <v>2523</v>
      </c>
      <c r="H483" s="514"/>
      <c r="I483" s="515"/>
      <c r="J483" s="515">
        <v>1</v>
      </c>
    </row>
    <row r="484" spans="1:10" ht="13.8" thickBot="1">
      <c r="A484" s="517"/>
      <c r="B484" s="518" t="s">
        <v>13550</v>
      </c>
      <c r="C484" s="516"/>
      <c r="D484" s="514" t="s">
        <v>13549</v>
      </c>
      <c r="E484" s="515">
        <v>7.25</v>
      </c>
      <c r="F484" s="518" t="s">
        <v>1854</v>
      </c>
      <c r="G484" s="515" t="s">
        <v>2523</v>
      </c>
      <c r="H484" s="514"/>
      <c r="I484" s="515"/>
      <c r="J484" s="515">
        <v>1</v>
      </c>
    </row>
    <row r="485" spans="1:10" ht="13.8" thickBot="1">
      <c r="A485" s="517"/>
      <c r="B485" s="518" t="s">
        <v>13548</v>
      </c>
      <c r="C485" s="516"/>
      <c r="D485" s="514" t="s">
        <v>13547</v>
      </c>
      <c r="E485" s="515">
        <v>7.1</v>
      </c>
      <c r="F485" s="518" t="s">
        <v>614</v>
      </c>
      <c r="G485" s="515" t="s">
        <v>2523</v>
      </c>
      <c r="H485" s="514" t="s">
        <v>2319</v>
      </c>
      <c r="I485" s="522">
        <v>1</v>
      </c>
      <c r="J485" s="522">
        <v>12</v>
      </c>
    </row>
    <row r="486" spans="1:10" ht="13.8" thickBot="1">
      <c r="A486" s="517"/>
      <c r="B486" s="518" t="s">
        <v>13546</v>
      </c>
      <c r="C486" s="516"/>
      <c r="D486" s="514" t="s">
        <v>13545</v>
      </c>
      <c r="E486" s="515">
        <v>7.1</v>
      </c>
      <c r="F486" s="518" t="s">
        <v>614</v>
      </c>
      <c r="G486" s="515" t="s">
        <v>2523</v>
      </c>
      <c r="H486" s="514" t="s">
        <v>1226</v>
      </c>
      <c r="I486" s="515">
        <v>2</v>
      </c>
      <c r="J486" s="515">
        <v>12</v>
      </c>
    </row>
    <row r="487" spans="1:10" ht="13.8" thickBot="1">
      <c r="A487" s="517"/>
      <c r="B487" s="518" t="s">
        <v>13544</v>
      </c>
      <c r="C487" s="516"/>
      <c r="D487" s="514" t="s">
        <v>13543</v>
      </c>
      <c r="E487" s="515">
        <v>7.1</v>
      </c>
      <c r="F487" s="514"/>
      <c r="G487" s="515" t="s">
        <v>2523</v>
      </c>
      <c r="H487" s="514"/>
      <c r="I487" s="515"/>
      <c r="J487" s="515">
        <v>1</v>
      </c>
    </row>
    <row r="488" spans="1:10" ht="13.8" thickBot="1">
      <c r="A488" s="517"/>
      <c r="B488" s="518" t="s">
        <v>13542</v>
      </c>
      <c r="C488" s="516"/>
      <c r="D488" s="514" t="s">
        <v>1300</v>
      </c>
      <c r="E488" s="515">
        <v>7</v>
      </c>
      <c r="F488" s="518" t="s">
        <v>614</v>
      </c>
      <c r="G488" s="515" t="s">
        <v>2523</v>
      </c>
      <c r="H488" s="514" t="s">
        <v>1226</v>
      </c>
      <c r="I488" s="515">
        <v>2</v>
      </c>
      <c r="J488" s="515">
        <v>5</v>
      </c>
    </row>
    <row r="489" spans="1:10" ht="13.8" thickBot="1">
      <c r="A489" s="517"/>
      <c r="B489" s="518" t="s">
        <v>13541</v>
      </c>
      <c r="C489" s="516"/>
      <c r="D489" s="514" t="s">
        <v>13540</v>
      </c>
      <c r="E489" s="515">
        <v>7</v>
      </c>
      <c r="F489" s="518" t="s">
        <v>614</v>
      </c>
      <c r="G489" s="515" t="s">
        <v>2523</v>
      </c>
      <c r="H489" s="514" t="s">
        <v>1226</v>
      </c>
      <c r="I489" s="515"/>
      <c r="J489" s="515">
        <v>1</v>
      </c>
    </row>
    <row r="490" spans="1:10" ht="13.8" thickBot="1">
      <c r="A490" s="517"/>
      <c r="B490" s="518" t="s">
        <v>13539</v>
      </c>
      <c r="C490" s="516"/>
      <c r="D490" s="514" t="s">
        <v>2559</v>
      </c>
      <c r="E490" s="515">
        <v>7</v>
      </c>
      <c r="F490" s="515" t="s">
        <v>12413</v>
      </c>
      <c r="G490" s="515" t="s">
        <v>2523</v>
      </c>
      <c r="H490" s="514"/>
      <c r="I490" s="522"/>
      <c r="J490" s="522">
        <v>2</v>
      </c>
    </row>
    <row r="491" spans="1:10" ht="13.8" thickBot="1">
      <c r="A491" s="517"/>
      <c r="B491" s="518" t="s">
        <v>13538</v>
      </c>
      <c r="C491" s="516"/>
      <c r="D491" s="514" t="s">
        <v>13537</v>
      </c>
      <c r="E491" s="515">
        <v>7</v>
      </c>
      <c r="F491" s="518" t="s">
        <v>614</v>
      </c>
      <c r="G491" s="515" t="s">
        <v>2523</v>
      </c>
      <c r="H491" s="514"/>
      <c r="I491" s="515"/>
      <c r="J491" s="515">
        <v>2</v>
      </c>
    </row>
    <row r="492" spans="1:10" ht="13.8" thickBot="1">
      <c r="A492" s="517"/>
      <c r="B492" s="518" t="s">
        <v>13536</v>
      </c>
      <c r="C492" s="516"/>
      <c r="D492" s="514" t="s">
        <v>13535</v>
      </c>
      <c r="E492" s="515">
        <v>7</v>
      </c>
      <c r="F492" s="518" t="s">
        <v>614</v>
      </c>
      <c r="G492" s="515" t="s">
        <v>2523</v>
      </c>
      <c r="H492" s="514"/>
      <c r="I492" s="515"/>
      <c r="J492" s="515">
        <v>1</v>
      </c>
    </row>
    <row r="493" spans="1:10" ht="13.8" thickBot="1">
      <c r="A493" s="517"/>
      <c r="B493" s="518" t="s">
        <v>13534</v>
      </c>
      <c r="C493" s="516"/>
      <c r="D493" s="514" t="s">
        <v>13533</v>
      </c>
      <c r="E493" s="515">
        <v>7</v>
      </c>
      <c r="F493" s="518" t="s">
        <v>614</v>
      </c>
      <c r="G493" s="515" t="s">
        <v>2523</v>
      </c>
      <c r="H493" s="514"/>
      <c r="I493" s="515"/>
      <c r="J493" s="515">
        <v>1</v>
      </c>
    </row>
    <row r="494" spans="1:10" ht="13.8" thickBot="1">
      <c r="A494" s="517"/>
      <c r="B494" s="518" t="s">
        <v>13532</v>
      </c>
      <c r="C494" s="516"/>
      <c r="D494" s="514" t="s">
        <v>1300</v>
      </c>
      <c r="E494" s="515">
        <v>7</v>
      </c>
      <c r="F494" s="518" t="s">
        <v>614</v>
      </c>
      <c r="G494" s="515" t="s">
        <v>2523</v>
      </c>
      <c r="H494" s="514"/>
      <c r="I494" s="515"/>
      <c r="J494" s="515">
        <v>1</v>
      </c>
    </row>
    <row r="495" spans="1:10" ht="13.8" thickBot="1">
      <c r="A495" s="517"/>
      <c r="B495" s="518" t="s">
        <v>13531</v>
      </c>
      <c r="C495" s="516"/>
      <c r="D495" s="519" t="s">
        <v>13530</v>
      </c>
      <c r="E495" s="515">
        <v>6.8</v>
      </c>
      <c r="F495" s="518" t="s">
        <v>614</v>
      </c>
      <c r="G495" s="515" t="s">
        <v>2523</v>
      </c>
      <c r="H495" s="514" t="s">
        <v>1226</v>
      </c>
      <c r="I495" s="515">
        <v>1</v>
      </c>
      <c r="J495" s="515">
        <v>9</v>
      </c>
    </row>
    <row r="496" spans="1:10" ht="13.8" thickBot="1">
      <c r="A496" s="517"/>
      <c r="B496" s="518" t="s">
        <v>13529</v>
      </c>
      <c r="C496" s="516"/>
      <c r="D496" s="514" t="s">
        <v>2551</v>
      </c>
      <c r="E496" s="515">
        <v>6.8</v>
      </c>
      <c r="F496" s="518" t="s">
        <v>614</v>
      </c>
      <c r="G496" s="515" t="s">
        <v>2523</v>
      </c>
      <c r="H496" s="514" t="s">
        <v>1226</v>
      </c>
      <c r="I496" s="515"/>
      <c r="J496" s="515">
        <v>5</v>
      </c>
    </row>
    <row r="497" spans="1:10" ht="13.8" thickBot="1">
      <c r="A497" s="517"/>
      <c r="B497" s="518" t="s">
        <v>13528</v>
      </c>
      <c r="C497" s="516"/>
      <c r="D497" s="514" t="s">
        <v>13527</v>
      </c>
      <c r="E497" s="515">
        <v>6.75</v>
      </c>
      <c r="F497" s="518" t="s">
        <v>13526</v>
      </c>
      <c r="G497" s="515" t="s">
        <v>2523</v>
      </c>
      <c r="H497" s="514" t="s">
        <v>1841</v>
      </c>
      <c r="I497" s="515">
        <v>1</v>
      </c>
      <c r="J497" s="515">
        <v>5</v>
      </c>
    </row>
    <row r="498" spans="1:10" ht="13.8" thickBot="1">
      <c r="A498" s="517"/>
      <c r="B498" s="518" t="s">
        <v>13525</v>
      </c>
      <c r="C498" s="516"/>
      <c r="D498" s="514" t="s">
        <v>13524</v>
      </c>
      <c r="E498" s="515">
        <v>6.75</v>
      </c>
      <c r="F498" s="518" t="s">
        <v>614</v>
      </c>
      <c r="G498" s="515" t="s">
        <v>2523</v>
      </c>
      <c r="H498" s="514" t="s">
        <v>1226</v>
      </c>
      <c r="I498" s="515">
        <v>1</v>
      </c>
      <c r="J498" s="515">
        <v>6</v>
      </c>
    </row>
    <row r="499" spans="1:10" ht="13.8" thickBot="1">
      <c r="A499" s="517"/>
      <c r="B499" s="518" t="s">
        <v>13523</v>
      </c>
      <c r="C499" s="516"/>
      <c r="D499" s="514" t="s">
        <v>13522</v>
      </c>
      <c r="E499" s="515">
        <v>6.75</v>
      </c>
      <c r="F499" s="518" t="s">
        <v>614</v>
      </c>
      <c r="G499" s="515" t="s">
        <v>2523</v>
      </c>
      <c r="H499" s="514" t="s">
        <v>1226</v>
      </c>
      <c r="I499" s="515"/>
      <c r="J499" s="515">
        <v>6</v>
      </c>
    </row>
    <row r="500" spans="1:10" ht="13.8" thickBot="1">
      <c r="A500" s="517"/>
      <c r="B500" s="518" t="s">
        <v>13521</v>
      </c>
      <c r="C500" s="516"/>
      <c r="D500" s="514" t="s">
        <v>13520</v>
      </c>
      <c r="E500" s="515">
        <v>6.75</v>
      </c>
      <c r="F500" s="518" t="s">
        <v>614</v>
      </c>
      <c r="G500" s="515" t="s">
        <v>2523</v>
      </c>
      <c r="H500" s="514" t="s">
        <v>1226</v>
      </c>
      <c r="I500" s="515"/>
      <c r="J500" s="515">
        <v>4</v>
      </c>
    </row>
    <row r="501" spans="1:10" ht="13.8" thickBot="1">
      <c r="A501" s="517"/>
      <c r="B501" s="518" t="s">
        <v>13519</v>
      </c>
      <c r="C501" s="516"/>
      <c r="D501" s="514" t="s">
        <v>2571</v>
      </c>
      <c r="E501" s="515">
        <v>6.75</v>
      </c>
      <c r="F501" s="518" t="s">
        <v>614</v>
      </c>
      <c r="G501" s="515" t="s">
        <v>2523</v>
      </c>
      <c r="H501" s="514" t="s">
        <v>1226</v>
      </c>
      <c r="I501" s="515"/>
      <c r="J501" s="515">
        <v>3</v>
      </c>
    </row>
    <row r="502" spans="1:10" ht="13.8" thickBot="1">
      <c r="A502" s="517"/>
      <c r="B502" s="518" t="s">
        <v>13518</v>
      </c>
      <c r="C502" s="516"/>
      <c r="D502" s="514" t="s">
        <v>13517</v>
      </c>
      <c r="E502" s="515">
        <v>6.75</v>
      </c>
      <c r="F502" s="518" t="s">
        <v>13516</v>
      </c>
      <c r="G502" s="515" t="s">
        <v>2523</v>
      </c>
      <c r="H502" s="514"/>
      <c r="I502" s="522"/>
      <c r="J502" s="522">
        <v>5</v>
      </c>
    </row>
    <row r="503" spans="1:10" ht="13.8" thickBot="1">
      <c r="A503" s="517"/>
      <c r="B503" s="518" t="s">
        <v>13515</v>
      </c>
      <c r="C503" s="516"/>
      <c r="D503" s="514" t="s">
        <v>13514</v>
      </c>
      <c r="E503" s="515">
        <v>6.75</v>
      </c>
      <c r="F503" s="518" t="s">
        <v>614</v>
      </c>
      <c r="G503" s="515" t="s">
        <v>2523</v>
      </c>
      <c r="H503" s="514"/>
      <c r="I503" s="515"/>
      <c r="J503" s="515">
        <v>1</v>
      </c>
    </row>
    <row r="504" spans="1:10" ht="13.8" thickBot="1">
      <c r="A504" s="517"/>
      <c r="B504" s="518" t="s">
        <v>13513</v>
      </c>
      <c r="C504" s="516"/>
      <c r="D504" s="514" t="s">
        <v>13512</v>
      </c>
      <c r="E504" s="515">
        <v>6.75</v>
      </c>
      <c r="F504" s="514"/>
      <c r="G504" s="515" t="s">
        <v>2523</v>
      </c>
      <c r="H504" s="514"/>
      <c r="I504" s="515"/>
      <c r="J504" s="515">
        <v>1</v>
      </c>
    </row>
    <row r="505" spans="1:10" ht="13.8" thickBot="1">
      <c r="A505" s="517"/>
      <c r="B505" s="518" t="s">
        <v>13511</v>
      </c>
      <c r="C505" s="516"/>
      <c r="D505" s="514" t="s">
        <v>2534</v>
      </c>
      <c r="E505" s="515">
        <v>6.75</v>
      </c>
      <c r="F505" s="514"/>
      <c r="G505" s="515" t="s">
        <v>2523</v>
      </c>
      <c r="H505" s="514"/>
      <c r="I505" s="522"/>
      <c r="J505" s="522"/>
    </row>
    <row r="506" spans="1:10" ht="13.8" thickBot="1">
      <c r="A506" s="517"/>
      <c r="B506" s="518" t="s">
        <v>13510</v>
      </c>
      <c r="C506" s="516"/>
      <c r="D506" s="514" t="s">
        <v>13509</v>
      </c>
      <c r="E506" s="515">
        <v>6.7</v>
      </c>
      <c r="F506" s="518" t="s">
        <v>614</v>
      </c>
      <c r="G506" s="515" t="s">
        <v>2523</v>
      </c>
      <c r="H506" s="514" t="s">
        <v>1251</v>
      </c>
      <c r="I506" s="515"/>
      <c r="J506" s="515">
        <v>7</v>
      </c>
    </row>
    <row r="507" spans="1:10" ht="13.8" thickBot="1">
      <c r="A507" s="517"/>
      <c r="B507" s="518" t="s">
        <v>13508</v>
      </c>
      <c r="C507" s="516"/>
      <c r="D507" s="514" t="s">
        <v>13507</v>
      </c>
      <c r="E507" s="515">
        <v>6.7</v>
      </c>
      <c r="F507" s="518" t="s">
        <v>614</v>
      </c>
      <c r="G507" s="515" t="s">
        <v>2523</v>
      </c>
      <c r="H507" s="514" t="s">
        <v>1251</v>
      </c>
      <c r="I507" s="515">
        <v>1</v>
      </c>
      <c r="J507" s="515">
        <v>6</v>
      </c>
    </row>
    <row r="508" spans="1:10" ht="13.8" thickBot="1">
      <c r="A508" s="517"/>
      <c r="B508" s="518" t="s">
        <v>13506</v>
      </c>
      <c r="C508" s="516"/>
      <c r="D508" s="514" t="s">
        <v>13505</v>
      </c>
      <c r="E508" s="515">
        <v>6.7</v>
      </c>
      <c r="F508" s="518" t="s">
        <v>614</v>
      </c>
      <c r="G508" s="515" t="s">
        <v>2523</v>
      </c>
      <c r="H508" s="514" t="s">
        <v>1226</v>
      </c>
      <c r="I508" s="515"/>
      <c r="J508" s="515">
        <v>6</v>
      </c>
    </row>
    <row r="509" spans="1:10" ht="13.8" thickBot="1">
      <c r="A509" s="517"/>
      <c r="B509" s="518" t="s">
        <v>13504</v>
      </c>
      <c r="C509" s="516"/>
      <c r="D509" s="514" t="s">
        <v>13503</v>
      </c>
      <c r="E509" s="515">
        <v>6.7</v>
      </c>
      <c r="F509" s="518" t="s">
        <v>614</v>
      </c>
      <c r="G509" s="515" t="s">
        <v>2523</v>
      </c>
      <c r="H509" s="514" t="s">
        <v>1226</v>
      </c>
      <c r="I509" s="515">
        <v>1</v>
      </c>
      <c r="J509" s="515">
        <v>5</v>
      </c>
    </row>
    <row r="510" spans="1:10" ht="13.8" thickBot="1">
      <c r="A510" s="517"/>
      <c r="B510" s="518" t="s">
        <v>13502</v>
      </c>
      <c r="C510" s="516"/>
      <c r="D510" s="514" t="s">
        <v>13501</v>
      </c>
      <c r="E510" s="515">
        <v>6.7</v>
      </c>
      <c r="F510" s="518" t="s">
        <v>614</v>
      </c>
      <c r="G510" s="515" t="s">
        <v>2523</v>
      </c>
      <c r="H510" s="514" t="s">
        <v>1226</v>
      </c>
      <c r="I510" s="515">
        <v>1</v>
      </c>
      <c r="J510" s="515">
        <v>5</v>
      </c>
    </row>
    <row r="511" spans="1:10" ht="13.8" thickBot="1">
      <c r="A511" s="517"/>
      <c r="B511" s="518" t="s">
        <v>13500</v>
      </c>
      <c r="C511" s="516"/>
      <c r="D511" s="514" t="s">
        <v>13499</v>
      </c>
      <c r="E511" s="515">
        <v>6.5</v>
      </c>
      <c r="F511" s="518" t="s">
        <v>614</v>
      </c>
      <c r="G511" s="515" t="s">
        <v>2523</v>
      </c>
      <c r="H511" s="514" t="s">
        <v>1251</v>
      </c>
      <c r="I511" s="515">
        <v>1</v>
      </c>
      <c r="J511" s="515">
        <v>10</v>
      </c>
    </row>
    <row r="512" spans="1:10" ht="13.8" thickBot="1">
      <c r="A512" s="517"/>
      <c r="B512" s="518" t="s">
        <v>13498</v>
      </c>
      <c r="C512" s="516"/>
      <c r="D512" s="514" t="s">
        <v>13497</v>
      </c>
      <c r="E512" s="515">
        <v>6.5</v>
      </c>
      <c r="F512" s="518" t="s">
        <v>614</v>
      </c>
      <c r="G512" s="515" t="s">
        <v>2523</v>
      </c>
      <c r="H512" s="514" t="s">
        <v>1226</v>
      </c>
      <c r="I512" s="515">
        <v>3</v>
      </c>
      <c r="J512" s="515">
        <v>6</v>
      </c>
    </row>
    <row r="513" spans="1:10" ht="13.8" thickBot="1">
      <c r="A513" s="517"/>
      <c r="B513" s="518" t="s">
        <v>13496</v>
      </c>
      <c r="C513" s="516"/>
      <c r="D513" s="514" t="s">
        <v>13495</v>
      </c>
      <c r="E513" s="515">
        <v>6.5</v>
      </c>
      <c r="F513" s="518" t="s">
        <v>614</v>
      </c>
      <c r="G513" s="515" t="s">
        <v>2523</v>
      </c>
      <c r="H513" s="514" t="s">
        <v>1226</v>
      </c>
      <c r="I513" s="515">
        <v>1</v>
      </c>
      <c r="J513" s="515">
        <v>6</v>
      </c>
    </row>
    <row r="514" spans="1:10" ht="13.8" thickBot="1">
      <c r="A514" s="517"/>
      <c r="B514" s="518" t="s">
        <v>13494</v>
      </c>
      <c r="C514" s="516"/>
      <c r="D514" s="514" t="s">
        <v>13493</v>
      </c>
      <c r="E514" s="515">
        <v>6.5</v>
      </c>
      <c r="F514" s="518" t="s">
        <v>614</v>
      </c>
      <c r="G514" s="515" t="s">
        <v>2523</v>
      </c>
      <c r="H514" s="514" t="s">
        <v>1226</v>
      </c>
      <c r="I514" s="515"/>
      <c r="J514" s="515">
        <v>5</v>
      </c>
    </row>
    <row r="515" spans="1:10" ht="13.8" thickBot="1">
      <c r="A515" s="517"/>
      <c r="B515" s="518" t="s">
        <v>13492</v>
      </c>
      <c r="C515" s="516"/>
      <c r="D515" s="514" t="s">
        <v>13491</v>
      </c>
      <c r="E515" s="515">
        <v>6.5</v>
      </c>
      <c r="F515" s="518" t="s">
        <v>614</v>
      </c>
      <c r="G515" s="515" t="s">
        <v>2523</v>
      </c>
      <c r="H515" s="514" t="s">
        <v>1226</v>
      </c>
      <c r="I515" s="515"/>
      <c r="J515" s="515">
        <v>5</v>
      </c>
    </row>
    <row r="516" spans="1:10" ht="13.8" thickBot="1">
      <c r="A516" s="517"/>
      <c r="B516" s="518" t="s">
        <v>13490</v>
      </c>
      <c r="C516" s="516"/>
      <c r="D516" s="514" t="s">
        <v>13489</v>
      </c>
      <c r="E516" s="515">
        <v>6.5</v>
      </c>
      <c r="F516" s="518" t="s">
        <v>614</v>
      </c>
      <c r="G516" s="515" t="s">
        <v>2523</v>
      </c>
      <c r="H516" s="514" t="s">
        <v>1226</v>
      </c>
      <c r="I516" s="515"/>
      <c r="J516" s="515">
        <v>3</v>
      </c>
    </row>
    <row r="517" spans="1:10" ht="13.8" thickBot="1">
      <c r="A517" s="517"/>
      <c r="B517" s="518" t="s">
        <v>13488</v>
      </c>
      <c r="C517" s="516"/>
      <c r="D517" s="519" t="s">
        <v>13487</v>
      </c>
      <c r="E517" s="515">
        <v>6.5</v>
      </c>
      <c r="F517" s="514"/>
      <c r="G517" s="515" t="s">
        <v>2523</v>
      </c>
      <c r="H517" s="514" t="s">
        <v>1224</v>
      </c>
      <c r="I517" s="515"/>
      <c r="J517" s="515">
        <v>5</v>
      </c>
    </row>
    <row r="518" spans="1:10" ht="13.8" thickBot="1">
      <c r="A518" s="517"/>
      <c r="B518" s="518" t="s">
        <v>13486</v>
      </c>
      <c r="C518" s="516"/>
      <c r="D518" s="514" t="s">
        <v>13485</v>
      </c>
      <c r="E518" s="515">
        <v>6.5</v>
      </c>
      <c r="F518" s="518" t="s">
        <v>614</v>
      </c>
      <c r="G518" s="515" t="s">
        <v>2523</v>
      </c>
      <c r="H518" s="514" t="s">
        <v>1224</v>
      </c>
      <c r="I518" s="515"/>
      <c r="J518" s="522">
        <v>3</v>
      </c>
    </row>
    <row r="519" spans="1:10" ht="13.8" thickBot="1">
      <c r="A519" s="517"/>
      <c r="B519" s="518" t="s">
        <v>13484</v>
      </c>
      <c r="C519" s="516"/>
      <c r="D519" s="514" t="s">
        <v>2552</v>
      </c>
      <c r="E519" s="515">
        <v>6.5</v>
      </c>
      <c r="F519" s="514"/>
      <c r="G519" s="515" t="s">
        <v>2523</v>
      </c>
      <c r="H519" s="514" t="s">
        <v>1224</v>
      </c>
      <c r="I519" s="515"/>
      <c r="J519" s="515">
        <v>2</v>
      </c>
    </row>
    <row r="520" spans="1:10" ht="13.8" thickBot="1">
      <c r="A520" s="517"/>
      <c r="B520" s="518" t="s">
        <v>13483</v>
      </c>
      <c r="C520" s="516"/>
      <c r="D520" s="514" t="s">
        <v>13482</v>
      </c>
      <c r="E520" s="515">
        <v>6.5</v>
      </c>
      <c r="F520" s="518" t="s">
        <v>614</v>
      </c>
      <c r="G520" s="515" t="s">
        <v>2523</v>
      </c>
      <c r="H520" s="514" t="s">
        <v>1224</v>
      </c>
      <c r="I520" s="515"/>
      <c r="J520" s="515">
        <v>1</v>
      </c>
    </row>
    <row r="521" spans="1:10" ht="13.8" thickBot="1">
      <c r="A521" s="517"/>
      <c r="B521" s="518" t="s">
        <v>13481</v>
      </c>
      <c r="C521" s="516"/>
      <c r="D521" s="514" t="s">
        <v>1300</v>
      </c>
      <c r="E521" s="515">
        <v>6.5</v>
      </c>
      <c r="F521" s="518" t="s">
        <v>1854</v>
      </c>
      <c r="G521" s="515" t="s">
        <v>2523</v>
      </c>
      <c r="H521" s="514"/>
      <c r="I521" s="522"/>
      <c r="J521" s="522">
        <v>2</v>
      </c>
    </row>
    <row r="522" spans="1:10" ht="13.8" thickBot="1">
      <c r="A522" s="517"/>
      <c r="B522" s="518" t="s">
        <v>13480</v>
      </c>
      <c r="C522" s="516"/>
      <c r="D522" s="514" t="s">
        <v>1300</v>
      </c>
      <c r="E522" s="515">
        <v>6.5</v>
      </c>
      <c r="F522" s="518" t="s">
        <v>614</v>
      </c>
      <c r="G522" s="515" t="s">
        <v>2523</v>
      </c>
      <c r="H522" s="514"/>
      <c r="I522" s="515">
        <v>1</v>
      </c>
      <c r="J522" s="515">
        <v>2</v>
      </c>
    </row>
    <row r="523" spans="1:10" ht="13.8" thickBot="1">
      <c r="A523" s="517"/>
      <c r="B523" s="518" t="s">
        <v>13479</v>
      </c>
      <c r="C523" s="516"/>
      <c r="D523" s="514" t="s">
        <v>13352</v>
      </c>
      <c r="E523" s="515">
        <v>6.5</v>
      </c>
      <c r="F523" s="518" t="s">
        <v>614</v>
      </c>
      <c r="G523" s="515" t="s">
        <v>2523</v>
      </c>
      <c r="H523" s="514"/>
      <c r="I523" s="515"/>
      <c r="J523" s="515">
        <v>1</v>
      </c>
    </row>
    <row r="524" spans="1:10" ht="13.8" thickBot="1">
      <c r="A524" s="517"/>
      <c r="B524" s="518" t="s">
        <v>13478</v>
      </c>
      <c r="C524" s="516"/>
      <c r="D524" s="514" t="s">
        <v>13477</v>
      </c>
      <c r="E524" s="515">
        <v>6.5</v>
      </c>
      <c r="F524" s="518" t="s">
        <v>614</v>
      </c>
      <c r="G524" s="515" t="s">
        <v>2523</v>
      </c>
      <c r="H524" s="514"/>
      <c r="I524" s="515"/>
      <c r="J524" s="515">
        <v>1</v>
      </c>
    </row>
    <row r="525" spans="1:10" ht="13.8" thickBot="1">
      <c r="A525" s="517"/>
      <c r="B525" s="518" t="s">
        <v>13476</v>
      </c>
      <c r="C525" s="516"/>
      <c r="D525" s="514" t="s">
        <v>2534</v>
      </c>
      <c r="E525" s="515">
        <v>6.5</v>
      </c>
      <c r="F525" s="514"/>
      <c r="G525" s="515" t="s">
        <v>2523</v>
      </c>
      <c r="H525" s="514"/>
      <c r="I525" s="515"/>
      <c r="J525" s="515"/>
    </row>
    <row r="526" spans="1:10" ht="13.8" thickBot="1">
      <c r="A526" s="517"/>
      <c r="B526" s="518" t="s">
        <v>13475</v>
      </c>
      <c r="C526" s="516"/>
      <c r="D526" s="514" t="s">
        <v>13474</v>
      </c>
      <c r="E526" s="515">
        <v>6.4</v>
      </c>
      <c r="F526" s="518" t="s">
        <v>614</v>
      </c>
      <c r="G526" s="515" t="s">
        <v>2523</v>
      </c>
      <c r="H526" s="514" t="s">
        <v>1251</v>
      </c>
      <c r="I526" s="515"/>
      <c r="J526" s="515">
        <v>7</v>
      </c>
    </row>
    <row r="527" spans="1:10" ht="13.8" thickBot="1">
      <c r="A527" s="517"/>
      <c r="B527" s="518" t="s">
        <v>13473</v>
      </c>
      <c r="C527" s="516"/>
      <c r="D527" s="514" t="s">
        <v>13472</v>
      </c>
      <c r="E527" s="515">
        <v>6.4</v>
      </c>
      <c r="F527" s="518" t="s">
        <v>614</v>
      </c>
      <c r="G527" s="515" t="s">
        <v>2523</v>
      </c>
      <c r="H527" s="514" t="s">
        <v>1841</v>
      </c>
      <c r="I527" s="515"/>
      <c r="J527" s="515">
        <v>7</v>
      </c>
    </row>
    <row r="528" spans="1:10" ht="13.8" thickBot="1">
      <c r="A528" s="517"/>
      <c r="B528" s="518" t="s">
        <v>13471</v>
      </c>
      <c r="C528" s="516"/>
      <c r="D528" s="514" t="s">
        <v>13470</v>
      </c>
      <c r="E528" s="515">
        <v>6.3</v>
      </c>
      <c r="F528" s="518" t="s">
        <v>614</v>
      </c>
      <c r="G528" s="515" t="s">
        <v>2523</v>
      </c>
      <c r="H528" s="514" t="s">
        <v>2319</v>
      </c>
      <c r="I528" s="515">
        <v>2</v>
      </c>
      <c r="J528" s="515">
        <v>21</v>
      </c>
    </row>
    <row r="529" spans="1:10" ht="13.8" thickBot="1">
      <c r="A529" s="517"/>
      <c r="B529" s="518" t="s">
        <v>13469</v>
      </c>
      <c r="C529" s="516"/>
      <c r="D529" s="514" t="s">
        <v>13468</v>
      </c>
      <c r="E529" s="515">
        <v>6.3</v>
      </c>
      <c r="F529" s="518" t="s">
        <v>614</v>
      </c>
      <c r="G529" s="515" t="s">
        <v>2523</v>
      </c>
      <c r="H529" s="514" t="s">
        <v>1226</v>
      </c>
      <c r="I529" s="515"/>
      <c r="J529" s="515">
        <v>9</v>
      </c>
    </row>
    <row r="530" spans="1:10" ht="13.8" thickBot="1">
      <c r="A530" s="517"/>
      <c r="B530" s="518" t="s">
        <v>13467</v>
      </c>
      <c r="C530" s="516"/>
      <c r="D530" s="514" t="s">
        <v>13466</v>
      </c>
      <c r="E530" s="515">
        <v>6.25</v>
      </c>
      <c r="F530" s="518" t="s">
        <v>614</v>
      </c>
      <c r="G530" s="515" t="s">
        <v>2523</v>
      </c>
      <c r="H530" s="514" t="s">
        <v>1229</v>
      </c>
      <c r="I530" s="515"/>
      <c r="J530" s="515">
        <v>8</v>
      </c>
    </row>
    <row r="531" spans="1:10" ht="13.8" thickBot="1">
      <c r="A531" s="517"/>
      <c r="B531" s="518" t="s">
        <v>13465</v>
      </c>
      <c r="C531" s="516"/>
      <c r="D531" s="514" t="s">
        <v>13464</v>
      </c>
      <c r="E531" s="515">
        <v>6.25</v>
      </c>
      <c r="F531" s="518" t="s">
        <v>614</v>
      </c>
      <c r="G531" s="515" t="s">
        <v>2523</v>
      </c>
      <c r="H531" s="514" t="s">
        <v>1251</v>
      </c>
      <c r="I531" s="515">
        <v>1</v>
      </c>
      <c r="J531" s="515">
        <v>13</v>
      </c>
    </row>
    <row r="532" spans="1:10" ht="13.8" thickBot="1">
      <c r="A532" s="517"/>
      <c r="B532" s="518" t="s">
        <v>13463</v>
      </c>
      <c r="C532" s="516"/>
      <c r="D532" s="514" t="s">
        <v>13462</v>
      </c>
      <c r="E532" s="515">
        <v>6.25</v>
      </c>
      <c r="F532" s="518" t="s">
        <v>614</v>
      </c>
      <c r="G532" s="515" t="s">
        <v>2523</v>
      </c>
      <c r="H532" s="514" t="s">
        <v>1251</v>
      </c>
      <c r="I532" s="515">
        <v>1</v>
      </c>
      <c r="J532" s="515">
        <v>3</v>
      </c>
    </row>
    <row r="533" spans="1:10" ht="13.8" thickBot="1">
      <c r="A533" s="517"/>
      <c r="B533" s="518" t="s">
        <v>13461</v>
      </c>
      <c r="C533" s="516"/>
      <c r="D533" s="519" t="s">
        <v>13460</v>
      </c>
      <c r="E533" s="515">
        <v>6.25</v>
      </c>
      <c r="F533" s="518" t="s">
        <v>614</v>
      </c>
      <c r="G533" s="515" t="s">
        <v>2523</v>
      </c>
      <c r="H533" s="514" t="s">
        <v>1226</v>
      </c>
      <c r="I533" s="515">
        <v>1</v>
      </c>
      <c r="J533" s="515">
        <v>9</v>
      </c>
    </row>
    <row r="534" spans="1:10" ht="13.8" thickBot="1">
      <c r="A534" s="517"/>
      <c r="B534" s="518" t="s">
        <v>13459</v>
      </c>
      <c r="C534" s="516"/>
      <c r="D534" s="514" t="s">
        <v>13458</v>
      </c>
      <c r="E534" s="515">
        <v>6.25</v>
      </c>
      <c r="F534" s="518" t="s">
        <v>614</v>
      </c>
      <c r="G534" s="515" t="s">
        <v>2523</v>
      </c>
      <c r="H534" s="514" t="s">
        <v>1226</v>
      </c>
      <c r="I534" s="515"/>
      <c r="J534" s="515">
        <v>8</v>
      </c>
    </row>
    <row r="535" spans="1:10" ht="13.8" thickBot="1">
      <c r="A535" s="517"/>
      <c r="B535" s="518" t="s">
        <v>13457</v>
      </c>
      <c r="C535" s="516"/>
      <c r="D535" s="514" t="s">
        <v>13456</v>
      </c>
      <c r="E535" s="515">
        <v>6.25</v>
      </c>
      <c r="F535" s="518" t="s">
        <v>614</v>
      </c>
      <c r="G535" s="515" t="s">
        <v>2523</v>
      </c>
      <c r="H535" s="514" t="s">
        <v>1226</v>
      </c>
      <c r="I535" s="515">
        <v>1</v>
      </c>
      <c r="J535" s="515">
        <v>6</v>
      </c>
    </row>
    <row r="536" spans="1:10" ht="13.8" thickBot="1">
      <c r="A536" s="517"/>
      <c r="B536" s="518" t="s">
        <v>13455</v>
      </c>
      <c r="C536" s="516"/>
      <c r="D536" s="514" t="s">
        <v>13454</v>
      </c>
      <c r="E536" s="515">
        <v>6.25</v>
      </c>
      <c r="F536" s="518" t="s">
        <v>614</v>
      </c>
      <c r="G536" s="515" t="s">
        <v>2523</v>
      </c>
      <c r="H536" s="514" t="s">
        <v>1226</v>
      </c>
      <c r="I536" s="515"/>
      <c r="J536" s="515">
        <v>6</v>
      </c>
    </row>
    <row r="537" spans="1:10" ht="13.8" thickBot="1">
      <c r="A537" s="517"/>
      <c r="B537" s="518" t="s">
        <v>13453</v>
      </c>
      <c r="C537" s="516"/>
      <c r="D537" s="519" t="s">
        <v>13452</v>
      </c>
      <c r="E537" s="515">
        <v>6.25</v>
      </c>
      <c r="F537" s="518" t="s">
        <v>1854</v>
      </c>
      <c r="G537" s="515" t="s">
        <v>2523</v>
      </c>
      <c r="H537" s="514" t="s">
        <v>1226</v>
      </c>
      <c r="I537" s="515">
        <v>1</v>
      </c>
      <c r="J537" s="515">
        <v>4</v>
      </c>
    </row>
    <row r="538" spans="1:10" ht="13.8" thickBot="1">
      <c r="A538" s="517"/>
      <c r="B538" s="518" t="s">
        <v>13451</v>
      </c>
      <c r="C538" s="516"/>
      <c r="D538" s="514" t="s">
        <v>13450</v>
      </c>
      <c r="E538" s="515">
        <v>6.25</v>
      </c>
      <c r="F538" s="518" t="s">
        <v>614</v>
      </c>
      <c r="G538" s="515" t="s">
        <v>2523</v>
      </c>
      <c r="H538" s="514" t="s">
        <v>1226</v>
      </c>
      <c r="I538" s="515"/>
      <c r="J538" s="515">
        <v>4</v>
      </c>
    </row>
    <row r="539" spans="1:10" ht="13.8" thickBot="1">
      <c r="A539" s="517"/>
      <c r="B539" s="518" t="s">
        <v>13449</v>
      </c>
      <c r="C539" s="516"/>
      <c r="D539" s="514" t="s">
        <v>13448</v>
      </c>
      <c r="E539" s="515">
        <v>6.25</v>
      </c>
      <c r="F539" s="518" t="s">
        <v>614</v>
      </c>
      <c r="G539" s="515" t="s">
        <v>2523</v>
      </c>
      <c r="H539" s="514" t="s">
        <v>1226</v>
      </c>
      <c r="I539" s="515"/>
      <c r="J539" s="515">
        <v>3</v>
      </c>
    </row>
    <row r="540" spans="1:10" ht="13.8" thickBot="1">
      <c r="A540" s="517"/>
      <c r="B540" s="518" t="s">
        <v>13447</v>
      </c>
      <c r="C540" s="516"/>
      <c r="D540" s="514" t="s">
        <v>13446</v>
      </c>
      <c r="E540" s="515">
        <v>6.25</v>
      </c>
      <c r="F540" s="518" t="s">
        <v>614</v>
      </c>
      <c r="G540" s="515" t="s">
        <v>2523</v>
      </c>
      <c r="H540" s="514" t="s">
        <v>1226</v>
      </c>
      <c r="I540" s="515"/>
      <c r="J540" s="515">
        <v>3</v>
      </c>
    </row>
    <row r="541" spans="1:10" ht="13.8" thickBot="1">
      <c r="A541" s="517"/>
      <c r="B541" s="518" t="s">
        <v>13445</v>
      </c>
      <c r="C541" s="516"/>
      <c r="D541" s="514" t="s">
        <v>13444</v>
      </c>
      <c r="E541" s="515">
        <v>6.25</v>
      </c>
      <c r="F541" s="518" t="s">
        <v>614</v>
      </c>
      <c r="G541" s="515" t="s">
        <v>2523</v>
      </c>
      <c r="H541" s="514" t="s">
        <v>1224</v>
      </c>
      <c r="I541" s="515"/>
      <c r="J541" s="515">
        <v>2</v>
      </c>
    </row>
    <row r="542" spans="1:10" ht="13.8" thickBot="1">
      <c r="A542" s="517"/>
      <c r="B542" s="518" t="s">
        <v>13443</v>
      </c>
      <c r="C542" s="516"/>
      <c r="D542" s="514" t="s">
        <v>13442</v>
      </c>
      <c r="E542" s="515">
        <v>6.25</v>
      </c>
      <c r="F542" s="518" t="s">
        <v>1854</v>
      </c>
      <c r="G542" s="515" t="s">
        <v>2523</v>
      </c>
      <c r="H542" s="514" t="s">
        <v>1224</v>
      </c>
      <c r="I542" s="515">
        <v>1</v>
      </c>
      <c r="J542" s="515">
        <v>2</v>
      </c>
    </row>
    <row r="543" spans="1:10" ht="13.8" thickBot="1">
      <c r="A543" s="517"/>
      <c r="B543" s="518" t="s">
        <v>13441</v>
      </c>
      <c r="C543" s="516"/>
      <c r="D543" s="514" t="s">
        <v>13440</v>
      </c>
      <c r="E543" s="515">
        <v>6.25</v>
      </c>
      <c r="F543" s="518" t="s">
        <v>614</v>
      </c>
      <c r="G543" s="515" t="s">
        <v>2523</v>
      </c>
      <c r="H543" s="514"/>
      <c r="I543" s="515">
        <v>2</v>
      </c>
      <c r="J543" s="515">
        <v>3</v>
      </c>
    </row>
    <row r="544" spans="1:10" ht="13.8" thickBot="1">
      <c r="A544" s="517"/>
      <c r="B544" s="518" t="s">
        <v>13439</v>
      </c>
      <c r="C544" s="516"/>
      <c r="D544" s="514" t="s">
        <v>13438</v>
      </c>
      <c r="E544" s="515">
        <v>6.25</v>
      </c>
      <c r="F544" s="518" t="s">
        <v>1854</v>
      </c>
      <c r="G544" s="515" t="s">
        <v>2523</v>
      </c>
      <c r="H544" s="514"/>
      <c r="I544" s="522">
        <v>1</v>
      </c>
      <c r="J544" s="522">
        <v>2</v>
      </c>
    </row>
    <row r="545" spans="1:10" ht="13.8" thickBot="1">
      <c r="A545" s="517"/>
      <c r="B545" s="518" t="s">
        <v>13437</v>
      </c>
      <c r="C545" s="516"/>
      <c r="D545" s="514" t="s">
        <v>13436</v>
      </c>
      <c r="E545" s="515">
        <v>6.25</v>
      </c>
      <c r="F545" s="518" t="s">
        <v>614</v>
      </c>
      <c r="G545" s="515" t="s">
        <v>2523</v>
      </c>
      <c r="H545" s="514"/>
      <c r="I545" s="515"/>
      <c r="J545" s="515">
        <v>1</v>
      </c>
    </row>
    <row r="546" spans="1:10" ht="13.8" thickBot="1">
      <c r="A546" s="517"/>
      <c r="B546" s="518" t="s">
        <v>13435</v>
      </c>
      <c r="C546" s="516"/>
      <c r="D546" s="514" t="s">
        <v>13434</v>
      </c>
      <c r="E546" s="515">
        <v>6.25</v>
      </c>
      <c r="F546" s="518" t="s">
        <v>1854</v>
      </c>
      <c r="G546" s="515" t="s">
        <v>2523</v>
      </c>
      <c r="H546" s="514"/>
      <c r="I546" s="522"/>
      <c r="J546" s="515">
        <v>1</v>
      </c>
    </row>
    <row r="547" spans="1:10" ht="13.8" thickBot="1">
      <c r="A547" s="517"/>
      <c r="B547" s="518" t="s">
        <v>13433</v>
      </c>
      <c r="C547" s="516"/>
      <c r="D547" s="514" t="s">
        <v>13432</v>
      </c>
      <c r="E547" s="515">
        <v>6.1</v>
      </c>
      <c r="F547" s="518" t="s">
        <v>614</v>
      </c>
      <c r="G547" s="515" t="s">
        <v>2523</v>
      </c>
      <c r="H547" s="514" t="s">
        <v>1226</v>
      </c>
      <c r="I547" s="522"/>
      <c r="J547" s="522">
        <v>4</v>
      </c>
    </row>
    <row r="548" spans="1:10" ht="13.8" thickBot="1">
      <c r="A548" s="517"/>
      <c r="B548" s="518" t="s">
        <v>13431</v>
      </c>
      <c r="C548" s="516"/>
      <c r="D548" s="514" t="s">
        <v>13430</v>
      </c>
      <c r="E548" s="515">
        <v>6.1</v>
      </c>
      <c r="F548" s="514"/>
      <c r="G548" s="515" t="s">
        <v>2523</v>
      </c>
      <c r="H548" s="514"/>
      <c r="I548" s="515"/>
      <c r="J548" s="515">
        <v>3</v>
      </c>
    </row>
    <row r="549" spans="1:10" ht="13.8" thickBot="1">
      <c r="A549" s="517"/>
      <c r="B549" s="518" t="s">
        <v>13429</v>
      </c>
      <c r="C549" s="516"/>
      <c r="D549" s="514" t="s">
        <v>13428</v>
      </c>
      <c r="E549" s="515">
        <v>6</v>
      </c>
      <c r="F549" s="518" t="s">
        <v>614</v>
      </c>
      <c r="G549" s="515" t="s">
        <v>2523</v>
      </c>
      <c r="H549" s="514" t="s">
        <v>1226</v>
      </c>
      <c r="I549" s="515"/>
      <c r="J549" s="515">
        <v>6</v>
      </c>
    </row>
    <row r="550" spans="1:10" ht="13.8" thickBot="1">
      <c r="A550" s="517"/>
      <c r="B550" s="518" t="s">
        <v>13427</v>
      </c>
      <c r="C550" s="516"/>
      <c r="D550" s="514" t="s">
        <v>13426</v>
      </c>
      <c r="E550" s="515">
        <v>6</v>
      </c>
      <c r="F550" s="518" t="s">
        <v>614</v>
      </c>
      <c r="G550" s="515" t="s">
        <v>2523</v>
      </c>
      <c r="H550" s="514" t="s">
        <v>1226</v>
      </c>
      <c r="I550" s="515">
        <v>1</v>
      </c>
      <c r="J550" s="515">
        <v>5</v>
      </c>
    </row>
    <row r="551" spans="1:10" ht="13.8" thickBot="1">
      <c r="A551" s="517"/>
      <c r="B551" s="518" t="s">
        <v>13425</v>
      </c>
      <c r="C551" s="516"/>
      <c r="D551" s="514" t="s">
        <v>13424</v>
      </c>
      <c r="E551" s="515">
        <v>6</v>
      </c>
      <c r="F551" s="518" t="s">
        <v>614</v>
      </c>
      <c r="G551" s="515" t="s">
        <v>2523</v>
      </c>
      <c r="H551" s="514" t="s">
        <v>1226</v>
      </c>
      <c r="I551" s="515"/>
      <c r="J551" s="515">
        <v>5</v>
      </c>
    </row>
    <row r="552" spans="1:10" ht="13.8" thickBot="1">
      <c r="A552" s="517"/>
      <c r="B552" s="518" t="s">
        <v>13423</v>
      </c>
      <c r="C552" s="516"/>
      <c r="D552" s="514" t="s">
        <v>1300</v>
      </c>
      <c r="E552" s="515">
        <v>6</v>
      </c>
      <c r="F552" s="514"/>
      <c r="G552" s="515" t="s">
        <v>2523</v>
      </c>
      <c r="H552" s="514" t="s">
        <v>1226</v>
      </c>
      <c r="I552" s="515"/>
      <c r="J552" s="515">
        <v>3</v>
      </c>
    </row>
    <row r="553" spans="1:10" ht="13.8" thickBot="1">
      <c r="A553" s="517"/>
      <c r="B553" s="514" t="s">
        <v>13422</v>
      </c>
      <c r="C553" s="516"/>
      <c r="D553" s="514" t="s">
        <v>13421</v>
      </c>
      <c r="E553" s="515">
        <v>6</v>
      </c>
      <c r="F553" s="518" t="s">
        <v>614</v>
      </c>
      <c r="G553" s="515" t="s">
        <v>2523</v>
      </c>
      <c r="H553" s="514" t="s">
        <v>1226</v>
      </c>
      <c r="I553" s="515"/>
      <c r="J553" s="515">
        <v>1</v>
      </c>
    </row>
    <row r="554" spans="1:10" ht="13.8" thickBot="1">
      <c r="A554" s="517"/>
      <c r="B554" s="518" t="s">
        <v>13420</v>
      </c>
      <c r="C554" s="516"/>
      <c r="D554" s="514" t="s">
        <v>1328</v>
      </c>
      <c r="E554" s="515">
        <v>6</v>
      </c>
      <c r="F554" s="518" t="s">
        <v>614</v>
      </c>
      <c r="G554" s="515" t="s">
        <v>2523</v>
      </c>
      <c r="H554" s="514" t="s">
        <v>1224</v>
      </c>
      <c r="I554" s="515">
        <v>1</v>
      </c>
      <c r="J554" s="515">
        <v>13</v>
      </c>
    </row>
    <row r="555" spans="1:10" ht="13.8" thickBot="1">
      <c r="A555" s="517"/>
      <c r="B555" s="518" t="s">
        <v>13419</v>
      </c>
      <c r="C555" s="516"/>
      <c r="D555" s="514" t="s">
        <v>13418</v>
      </c>
      <c r="E555" s="515">
        <v>6</v>
      </c>
      <c r="F555" s="518" t="s">
        <v>614</v>
      </c>
      <c r="G555" s="515" t="s">
        <v>2523</v>
      </c>
      <c r="H555" s="514" t="s">
        <v>1224</v>
      </c>
      <c r="I555" s="515"/>
      <c r="J555" s="515">
        <v>5</v>
      </c>
    </row>
    <row r="556" spans="1:10" ht="13.8" thickBot="1">
      <c r="A556" s="517"/>
      <c r="B556" s="518" t="s">
        <v>13417</v>
      </c>
      <c r="C556" s="516"/>
      <c r="D556" s="514" t="s">
        <v>1302</v>
      </c>
      <c r="E556" s="515">
        <v>6</v>
      </c>
      <c r="F556" s="518" t="s">
        <v>614</v>
      </c>
      <c r="G556" s="515" t="s">
        <v>2523</v>
      </c>
      <c r="H556" s="514" t="s">
        <v>1224</v>
      </c>
      <c r="I556" s="515"/>
      <c r="J556" s="515">
        <v>4</v>
      </c>
    </row>
    <row r="557" spans="1:10" ht="13.8" thickBot="1">
      <c r="A557" s="517"/>
      <c r="B557" s="518" t="s">
        <v>13416</v>
      </c>
      <c r="C557" s="516"/>
      <c r="D557" s="514" t="s">
        <v>13415</v>
      </c>
      <c r="E557" s="515">
        <v>6</v>
      </c>
      <c r="F557" s="518" t="s">
        <v>614</v>
      </c>
      <c r="G557" s="515" t="s">
        <v>2523</v>
      </c>
      <c r="H557" s="514" t="s">
        <v>1224</v>
      </c>
      <c r="I557" s="515"/>
      <c r="J557" s="515">
        <v>2</v>
      </c>
    </row>
    <row r="558" spans="1:10" ht="13.8" thickBot="1">
      <c r="A558" s="517"/>
      <c r="B558" s="518" t="s">
        <v>13414</v>
      </c>
      <c r="C558" s="516"/>
      <c r="D558" s="514" t="s">
        <v>1300</v>
      </c>
      <c r="E558" s="515">
        <v>6</v>
      </c>
      <c r="F558" s="518" t="s">
        <v>614</v>
      </c>
      <c r="G558" s="515" t="s">
        <v>2523</v>
      </c>
      <c r="H558" s="514" t="s">
        <v>1220</v>
      </c>
      <c r="I558" s="515"/>
      <c r="J558" s="515">
        <v>2</v>
      </c>
    </row>
    <row r="559" spans="1:10" ht="13.8" thickBot="1">
      <c r="A559" s="517"/>
      <c r="B559" s="518" t="s">
        <v>13413</v>
      </c>
      <c r="C559" s="516"/>
      <c r="D559" s="514" t="s">
        <v>1300</v>
      </c>
      <c r="E559" s="515">
        <v>6</v>
      </c>
      <c r="F559" s="518" t="s">
        <v>1854</v>
      </c>
      <c r="G559" s="515" t="s">
        <v>2523</v>
      </c>
      <c r="H559" s="514" t="s">
        <v>13412</v>
      </c>
      <c r="I559" s="515">
        <v>1</v>
      </c>
      <c r="J559" s="515">
        <v>2</v>
      </c>
    </row>
    <row r="560" spans="1:10" ht="13.8" thickBot="1">
      <c r="A560" s="517"/>
      <c r="B560" s="518" t="s">
        <v>13411</v>
      </c>
      <c r="C560" s="516"/>
      <c r="D560" s="514" t="s">
        <v>2712</v>
      </c>
      <c r="E560" s="515">
        <v>6</v>
      </c>
      <c r="F560" s="518" t="s">
        <v>1854</v>
      </c>
      <c r="G560" s="515" t="s">
        <v>2523</v>
      </c>
      <c r="H560" s="514"/>
      <c r="I560" s="522">
        <v>1</v>
      </c>
      <c r="J560" s="522">
        <v>6</v>
      </c>
    </row>
    <row r="561" spans="1:10" ht="13.8" thickBot="1">
      <c r="A561" s="517"/>
      <c r="B561" s="518" t="s">
        <v>13410</v>
      </c>
      <c r="C561" s="516"/>
      <c r="D561" s="514" t="s">
        <v>1313</v>
      </c>
      <c r="E561" s="515">
        <v>6</v>
      </c>
      <c r="F561" s="518" t="s">
        <v>614</v>
      </c>
      <c r="G561" s="515" t="s">
        <v>2523</v>
      </c>
      <c r="H561" s="514"/>
      <c r="I561" s="515"/>
      <c r="J561" s="515">
        <v>6</v>
      </c>
    </row>
    <row r="562" spans="1:10" ht="13.8" thickBot="1">
      <c r="A562" s="517"/>
      <c r="B562" s="518" t="s">
        <v>13409</v>
      </c>
      <c r="C562" s="516"/>
      <c r="D562" s="514" t="s">
        <v>13408</v>
      </c>
      <c r="E562" s="515">
        <v>6</v>
      </c>
      <c r="F562" s="518" t="s">
        <v>1854</v>
      </c>
      <c r="G562" s="515" t="s">
        <v>2523</v>
      </c>
      <c r="H562" s="514"/>
      <c r="I562" s="515"/>
      <c r="J562" s="515">
        <v>2</v>
      </c>
    </row>
    <row r="563" spans="1:10" ht="13.8" thickBot="1">
      <c r="A563" s="517"/>
      <c r="B563" s="518" t="s">
        <v>13407</v>
      </c>
      <c r="C563" s="516"/>
      <c r="D563" s="514" t="s">
        <v>13406</v>
      </c>
      <c r="E563" s="515">
        <v>6</v>
      </c>
      <c r="F563" s="514"/>
      <c r="G563" s="515" t="s">
        <v>2523</v>
      </c>
      <c r="H563" s="514"/>
      <c r="I563" s="515">
        <v>1</v>
      </c>
      <c r="J563" s="515">
        <v>2</v>
      </c>
    </row>
    <row r="564" spans="1:10" ht="13.8" thickBot="1">
      <c r="A564" s="517"/>
      <c r="B564" s="518" t="s">
        <v>13405</v>
      </c>
      <c r="C564" s="516"/>
      <c r="D564" s="514" t="s">
        <v>1300</v>
      </c>
      <c r="E564" s="515">
        <v>6</v>
      </c>
      <c r="F564" s="514"/>
      <c r="G564" s="515" t="s">
        <v>2523</v>
      </c>
      <c r="H564" s="514"/>
      <c r="I564" s="515"/>
      <c r="J564" s="515">
        <v>2</v>
      </c>
    </row>
    <row r="565" spans="1:10" ht="13.8" thickBot="1">
      <c r="A565" s="517"/>
      <c r="B565" s="518" t="s">
        <v>13404</v>
      </c>
      <c r="C565" s="516"/>
      <c r="D565" s="514" t="s">
        <v>13403</v>
      </c>
      <c r="E565" s="515">
        <v>6</v>
      </c>
      <c r="F565" s="518" t="s">
        <v>614</v>
      </c>
      <c r="G565" s="515" t="s">
        <v>2523</v>
      </c>
      <c r="H565" s="514"/>
      <c r="I565" s="515"/>
      <c r="J565" s="515">
        <v>1</v>
      </c>
    </row>
    <row r="566" spans="1:10" ht="13.8" thickBot="1">
      <c r="A566" s="517"/>
      <c r="B566" s="518" t="s">
        <v>13402</v>
      </c>
      <c r="C566" s="516"/>
      <c r="D566" s="514" t="s">
        <v>13401</v>
      </c>
      <c r="E566" s="515">
        <v>5.75</v>
      </c>
      <c r="F566" s="518" t="s">
        <v>614</v>
      </c>
      <c r="G566" s="515" t="s">
        <v>2523</v>
      </c>
      <c r="H566" s="514" t="s">
        <v>1841</v>
      </c>
      <c r="I566" s="515">
        <v>1</v>
      </c>
      <c r="J566" s="515">
        <v>12</v>
      </c>
    </row>
    <row r="567" spans="1:10" ht="13.8" thickBot="1">
      <c r="A567" s="517"/>
      <c r="B567" s="518" t="s">
        <v>13400</v>
      </c>
      <c r="C567" s="516"/>
      <c r="D567" s="514" t="s">
        <v>1300</v>
      </c>
      <c r="E567" s="515">
        <v>5.75</v>
      </c>
      <c r="F567" s="514"/>
      <c r="G567" s="515" t="s">
        <v>2523</v>
      </c>
      <c r="H567" s="514" t="s">
        <v>1226</v>
      </c>
      <c r="I567" s="515"/>
      <c r="J567" s="515">
        <v>13</v>
      </c>
    </row>
    <row r="568" spans="1:10" ht="13.8" thickBot="1">
      <c r="A568" s="517"/>
      <c r="B568" s="518" t="s">
        <v>13399</v>
      </c>
      <c r="C568" s="516"/>
      <c r="D568" s="514" t="s">
        <v>13398</v>
      </c>
      <c r="E568" s="515">
        <v>5.75</v>
      </c>
      <c r="F568" s="518" t="s">
        <v>614</v>
      </c>
      <c r="G568" s="515" t="s">
        <v>2523</v>
      </c>
      <c r="H568" s="514" t="s">
        <v>1226</v>
      </c>
      <c r="I568" s="515"/>
      <c r="J568" s="515">
        <v>8</v>
      </c>
    </row>
    <row r="569" spans="1:10" ht="13.8" thickBot="1">
      <c r="A569" s="517"/>
      <c r="B569" s="518" t="s">
        <v>13397</v>
      </c>
      <c r="C569" s="516"/>
      <c r="D569" s="519" t="s">
        <v>13396</v>
      </c>
      <c r="E569" s="515">
        <v>5.75</v>
      </c>
      <c r="F569" s="518" t="s">
        <v>614</v>
      </c>
      <c r="G569" s="515" t="s">
        <v>2523</v>
      </c>
      <c r="H569" s="514" t="s">
        <v>1226</v>
      </c>
      <c r="I569" s="515"/>
      <c r="J569" s="515">
        <v>5</v>
      </c>
    </row>
    <row r="570" spans="1:10" ht="13.8" thickBot="1">
      <c r="A570" s="517"/>
      <c r="B570" s="518" t="s">
        <v>13395</v>
      </c>
      <c r="C570" s="516"/>
      <c r="D570" s="519" t="s">
        <v>13394</v>
      </c>
      <c r="E570" s="515">
        <v>5.75</v>
      </c>
      <c r="F570" s="518" t="s">
        <v>614</v>
      </c>
      <c r="G570" s="515" t="s">
        <v>2523</v>
      </c>
      <c r="H570" s="514" t="s">
        <v>1226</v>
      </c>
      <c r="I570" s="515">
        <v>1</v>
      </c>
      <c r="J570" s="515">
        <v>4</v>
      </c>
    </row>
    <row r="571" spans="1:10" ht="13.8" thickBot="1">
      <c r="A571" s="517"/>
      <c r="B571" s="518" t="s">
        <v>13393</v>
      </c>
      <c r="C571" s="516"/>
      <c r="D571" s="514" t="s">
        <v>13392</v>
      </c>
      <c r="E571" s="515">
        <v>5.75</v>
      </c>
      <c r="F571" s="518" t="s">
        <v>614</v>
      </c>
      <c r="G571" s="515" t="s">
        <v>2523</v>
      </c>
      <c r="H571" s="514" t="s">
        <v>1226</v>
      </c>
      <c r="I571" s="515"/>
      <c r="J571" s="515">
        <v>4</v>
      </c>
    </row>
    <row r="572" spans="1:10" ht="13.8" thickBot="1">
      <c r="A572" s="517"/>
      <c r="B572" s="518" t="s">
        <v>13391</v>
      </c>
      <c r="C572" s="516"/>
      <c r="D572" s="514" t="s">
        <v>2533</v>
      </c>
      <c r="E572" s="515">
        <v>5.75</v>
      </c>
      <c r="F572" s="518" t="s">
        <v>614</v>
      </c>
      <c r="G572" s="515" t="s">
        <v>2523</v>
      </c>
      <c r="H572" s="514" t="s">
        <v>1226</v>
      </c>
      <c r="I572" s="515">
        <v>1</v>
      </c>
      <c r="J572" s="515">
        <v>2</v>
      </c>
    </row>
    <row r="573" spans="1:10" ht="13.8" thickBot="1">
      <c r="A573" s="517"/>
      <c r="B573" s="518" t="s">
        <v>13390</v>
      </c>
      <c r="C573" s="516"/>
      <c r="D573" s="514" t="s">
        <v>13389</v>
      </c>
      <c r="E573" s="515">
        <v>5.75</v>
      </c>
      <c r="F573" s="514"/>
      <c r="G573" s="515" t="s">
        <v>2523</v>
      </c>
      <c r="H573" s="514" t="s">
        <v>1224</v>
      </c>
      <c r="I573" s="515"/>
      <c r="J573" s="515">
        <v>5</v>
      </c>
    </row>
    <row r="574" spans="1:10" ht="13.8" thickBot="1">
      <c r="A574" s="517"/>
      <c r="B574" s="518" t="s">
        <v>13388</v>
      </c>
      <c r="C574" s="516"/>
      <c r="D574" s="514" t="s">
        <v>13387</v>
      </c>
      <c r="E574" s="515">
        <v>5.75</v>
      </c>
      <c r="F574" s="518" t="s">
        <v>614</v>
      </c>
      <c r="G574" s="515" t="s">
        <v>2523</v>
      </c>
      <c r="H574" s="514" t="s">
        <v>1224</v>
      </c>
      <c r="I574" s="515">
        <v>1</v>
      </c>
      <c r="J574" s="515">
        <v>2</v>
      </c>
    </row>
    <row r="575" spans="1:10" ht="13.8" thickBot="1">
      <c r="A575" s="517"/>
      <c r="B575" s="518" t="s">
        <v>13386</v>
      </c>
      <c r="C575" s="516"/>
      <c r="D575" s="514" t="s">
        <v>13385</v>
      </c>
      <c r="E575" s="515">
        <v>5.75</v>
      </c>
      <c r="F575" s="518" t="s">
        <v>1854</v>
      </c>
      <c r="G575" s="515" t="s">
        <v>2523</v>
      </c>
      <c r="H575" s="514"/>
      <c r="I575" s="515">
        <v>1</v>
      </c>
      <c r="J575" s="515">
        <v>2</v>
      </c>
    </row>
    <row r="576" spans="1:10" ht="13.8" thickBot="1">
      <c r="A576" s="517"/>
      <c r="B576" s="518" t="s">
        <v>13384</v>
      </c>
      <c r="C576" s="516"/>
      <c r="D576" s="514" t="s">
        <v>1300</v>
      </c>
      <c r="E576" s="515">
        <v>5.5</v>
      </c>
      <c r="F576" s="518" t="s">
        <v>1854</v>
      </c>
      <c r="G576" s="515" t="s">
        <v>2523</v>
      </c>
      <c r="H576" s="514" t="s">
        <v>1226</v>
      </c>
      <c r="I576" s="515"/>
      <c r="J576" s="515">
        <v>3</v>
      </c>
    </row>
    <row r="577" spans="1:10" ht="13.8" thickBot="1">
      <c r="A577" s="517"/>
      <c r="B577" s="518" t="s">
        <v>13383</v>
      </c>
      <c r="C577" s="516"/>
      <c r="D577" s="514" t="s">
        <v>13382</v>
      </c>
      <c r="E577" s="515">
        <v>5.5</v>
      </c>
      <c r="F577" s="518" t="s">
        <v>614</v>
      </c>
      <c r="G577" s="515" t="s">
        <v>2523</v>
      </c>
      <c r="H577" s="514" t="s">
        <v>1226</v>
      </c>
      <c r="I577" s="515"/>
      <c r="J577" s="515">
        <v>3</v>
      </c>
    </row>
    <row r="578" spans="1:10" ht="13.8" thickBot="1">
      <c r="A578" s="517"/>
      <c r="B578" s="518" t="s">
        <v>13381</v>
      </c>
      <c r="C578" s="516"/>
      <c r="D578" s="514" t="s">
        <v>1304</v>
      </c>
      <c r="E578" s="515">
        <v>5.5</v>
      </c>
      <c r="F578" s="514"/>
      <c r="G578" s="515" t="s">
        <v>2523</v>
      </c>
      <c r="H578" s="514" t="s">
        <v>1226</v>
      </c>
      <c r="I578" s="515"/>
      <c r="J578" s="515">
        <v>3</v>
      </c>
    </row>
    <row r="579" spans="1:10" ht="13.8" thickBot="1">
      <c r="A579" s="517"/>
      <c r="B579" s="518" t="s">
        <v>13380</v>
      </c>
      <c r="C579" s="516"/>
      <c r="D579" s="514" t="s">
        <v>13379</v>
      </c>
      <c r="E579" s="515">
        <v>5.5</v>
      </c>
      <c r="F579" s="518" t="s">
        <v>614</v>
      </c>
      <c r="G579" s="515" t="s">
        <v>2523</v>
      </c>
      <c r="H579" s="514" t="s">
        <v>1226</v>
      </c>
      <c r="I579" s="515"/>
      <c r="J579" s="515">
        <v>2</v>
      </c>
    </row>
    <row r="580" spans="1:10" ht="13.8" thickBot="1">
      <c r="A580" s="517"/>
      <c r="B580" s="518" t="s">
        <v>13378</v>
      </c>
      <c r="C580" s="516"/>
      <c r="D580" s="514" t="s">
        <v>1300</v>
      </c>
      <c r="E580" s="515">
        <v>5.5</v>
      </c>
      <c r="F580" s="518" t="s">
        <v>614</v>
      </c>
      <c r="G580" s="515" t="s">
        <v>2523</v>
      </c>
      <c r="H580" s="514" t="s">
        <v>1226</v>
      </c>
      <c r="I580" s="515"/>
      <c r="J580" s="515">
        <v>2</v>
      </c>
    </row>
    <row r="581" spans="1:10" ht="13.8" thickBot="1">
      <c r="A581" s="517"/>
      <c r="B581" s="518" t="s">
        <v>13377</v>
      </c>
      <c r="C581" s="516"/>
      <c r="D581" s="514" t="s">
        <v>13376</v>
      </c>
      <c r="E581" s="515">
        <v>5.5</v>
      </c>
      <c r="F581" s="518" t="s">
        <v>614</v>
      </c>
      <c r="G581" s="515" t="s">
        <v>2523</v>
      </c>
      <c r="H581" s="514" t="s">
        <v>1226</v>
      </c>
      <c r="I581" s="515"/>
      <c r="J581" s="515">
        <v>1</v>
      </c>
    </row>
    <row r="582" spans="1:10" ht="13.8" thickBot="1">
      <c r="A582" s="517"/>
      <c r="B582" s="518" t="s">
        <v>13375</v>
      </c>
      <c r="C582" s="516"/>
      <c r="D582" s="514" t="s">
        <v>13374</v>
      </c>
      <c r="E582" s="515">
        <v>5.5</v>
      </c>
      <c r="F582" s="518" t="s">
        <v>614</v>
      </c>
      <c r="G582" s="515" t="s">
        <v>2523</v>
      </c>
      <c r="H582" s="514" t="s">
        <v>1226</v>
      </c>
      <c r="I582" s="515"/>
      <c r="J582" s="515">
        <v>1</v>
      </c>
    </row>
    <row r="583" spans="1:10" ht="13.8" thickBot="1">
      <c r="A583" s="517"/>
      <c r="B583" s="518" t="s">
        <v>13373</v>
      </c>
      <c r="C583" s="516"/>
      <c r="D583" s="514" t="s">
        <v>2656</v>
      </c>
      <c r="E583" s="515">
        <v>5.5</v>
      </c>
      <c r="F583" s="518" t="s">
        <v>614</v>
      </c>
      <c r="G583" s="515" t="s">
        <v>2523</v>
      </c>
      <c r="H583" s="514" t="s">
        <v>1226</v>
      </c>
      <c r="I583" s="515"/>
      <c r="J583" s="515">
        <v>1</v>
      </c>
    </row>
    <row r="584" spans="1:10" ht="13.8" thickBot="1">
      <c r="A584" s="517"/>
      <c r="B584" s="518" t="s">
        <v>13372</v>
      </c>
      <c r="C584" s="516"/>
      <c r="D584" s="514" t="s">
        <v>13371</v>
      </c>
      <c r="E584" s="515">
        <v>5.5</v>
      </c>
      <c r="F584" s="518" t="s">
        <v>614</v>
      </c>
      <c r="G584" s="515" t="s">
        <v>2523</v>
      </c>
      <c r="H584" s="514" t="s">
        <v>1224</v>
      </c>
      <c r="I584" s="515"/>
      <c r="J584" s="515">
        <v>2</v>
      </c>
    </row>
    <row r="585" spans="1:10" ht="13.8" thickBot="1">
      <c r="A585" s="517"/>
      <c r="B585" s="518" t="s">
        <v>13370</v>
      </c>
      <c r="C585" s="516"/>
      <c r="D585" s="514" t="s">
        <v>13369</v>
      </c>
      <c r="E585" s="515">
        <v>5.5</v>
      </c>
      <c r="F585" s="518" t="s">
        <v>614</v>
      </c>
      <c r="G585" s="515" t="s">
        <v>2523</v>
      </c>
      <c r="H585" s="514" t="s">
        <v>1224</v>
      </c>
      <c r="I585" s="515"/>
      <c r="J585" s="515">
        <v>2</v>
      </c>
    </row>
    <row r="586" spans="1:10" ht="13.8" thickBot="1">
      <c r="A586" s="517"/>
      <c r="B586" s="518" t="s">
        <v>13368</v>
      </c>
      <c r="C586" s="516"/>
      <c r="D586" s="514" t="s">
        <v>13367</v>
      </c>
      <c r="E586" s="515">
        <v>5.5</v>
      </c>
      <c r="F586" s="518" t="s">
        <v>614</v>
      </c>
      <c r="G586" s="515" t="s">
        <v>2523</v>
      </c>
      <c r="H586" s="514" t="s">
        <v>1224</v>
      </c>
      <c r="I586" s="515"/>
      <c r="J586" s="515">
        <v>1</v>
      </c>
    </row>
    <row r="587" spans="1:10" ht="13.8" thickBot="1">
      <c r="A587" s="517"/>
      <c r="B587" s="518" t="s">
        <v>13366</v>
      </c>
      <c r="C587" s="516"/>
      <c r="D587" s="514" t="s">
        <v>13365</v>
      </c>
      <c r="E587" s="515">
        <v>5.5</v>
      </c>
      <c r="F587" s="518" t="s">
        <v>614</v>
      </c>
      <c r="G587" s="515" t="s">
        <v>2523</v>
      </c>
      <c r="H587" s="514"/>
      <c r="I587" s="515"/>
      <c r="J587" s="515">
        <v>4</v>
      </c>
    </row>
    <row r="588" spans="1:10" ht="13.8" thickBot="1">
      <c r="A588" s="517"/>
      <c r="B588" s="518" t="s">
        <v>13364</v>
      </c>
      <c r="C588" s="516"/>
      <c r="D588" s="514" t="s">
        <v>13363</v>
      </c>
      <c r="E588" s="515">
        <v>5.5</v>
      </c>
      <c r="F588" s="518" t="s">
        <v>614</v>
      </c>
      <c r="G588" s="515" t="s">
        <v>2523</v>
      </c>
      <c r="H588" s="514"/>
      <c r="I588" s="522">
        <v>1</v>
      </c>
      <c r="J588" s="522">
        <v>3</v>
      </c>
    </row>
    <row r="589" spans="1:10" ht="13.8" thickBot="1">
      <c r="A589" s="517"/>
      <c r="B589" s="518" t="s">
        <v>13362</v>
      </c>
      <c r="C589" s="516"/>
      <c r="D589" s="514" t="s">
        <v>1300</v>
      </c>
      <c r="E589" s="515">
        <v>5.5</v>
      </c>
      <c r="F589" s="514"/>
      <c r="G589" s="515" t="s">
        <v>2523</v>
      </c>
      <c r="H589" s="514"/>
      <c r="I589" s="515">
        <v>1</v>
      </c>
      <c r="J589" s="515">
        <v>3</v>
      </c>
    </row>
    <row r="590" spans="1:10" ht="13.8" thickBot="1">
      <c r="A590" s="517"/>
      <c r="B590" s="518" t="s">
        <v>13361</v>
      </c>
      <c r="C590" s="516"/>
      <c r="D590" s="514" t="s">
        <v>13360</v>
      </c>
      <c r="E590" s="515">
        <v>5.5</v>
      </c>
      <c r="F590" s="518" t="s">
        <v>614</v>
      </c>
      <c r="G590" s="515" t="s">
        <v>2523</v>
      </c>
      <c r="H590" s="514"/>
      <c r="I590" s="515"/>
      <c r="J590" s="515">
        <v>2</v>
      </c>
    </row>
    <row r="591" spans="1:10" ht="13.8" thickBot="1">
      <c r="A591" s="517"/>
      <c r="B591" s="518" t="s">
        <v>13359</v>
      </c>
      <c r="C591" s="516"/>
      <c r="D591" s="514" t="s">
        <v>13358</v>
      </c>
      <c r="E591" s="515">
        <v>5.5</v>
      </c>
      <c r="F591" s="518" t="s">
        <v>614</v>
      </c>
      <c r="G591" s="515" t="s">
        <v>2523</v>
      </c>
      <c r="H591" s="514"/>
      <c r="I591" s="522"/>
      <c r="J591" s="522">
        <v>2</v>
      </c>
    </row>
    <row r="592" spans="1:10" ht="13.8" thickBot="1">
      <c r="A592" s="517"/>
      <c r="B592" s="518" t="s">
        <v>13357</v>
      </c>
      <c r="C592" s="516"/>
      <c r="D592" s="514" t="s">
        <v>13356</v>
      </c>
      <c r="E592" s="515">
        <v>5.5</v>
      </c>
      <c r="F592" s="518" t="s">
        <v>614</v>
      </c>
      <c r="G592" s="515" t="s">
        <v>2523</v>
      </c>
      <c r="H592" s="514"/>
      <c r="I592" s="515"/>
      <c r="J592" s="515">
        <v>1</v>
      </c>
    </row>
    <row r="593" spans="1:10" ht="13.8" thickBot="1">
      <c r="A593" s="517"/>
      <c r="B593" s="518" t="s">
        <v>13355</v>
      </c>
      <c r="C593" s="516"/>
      <c r="D593" s="514" t="s">
        <v>13354</v>
      </c>
      <c r="E593" s="515">
        <v>5.5</v>
      </c>
      <c r="F593" s="518" t="s">
        <v>614</v>
      </c>
      <c r="G593" s="515" t="s">
        <v>2523</v>
      </c>
      <c r="H593" s="514"/>
      <c r="I593" s="515"/>
      <c r="J593" s="515">
        <v>1</v>
      </c>
    </row>
    <row r="594" spans="1:10" ht="13.8" thickBot="1">
      <c r="A594" s="517"/>
      <c r="B594" s="518" t="s">
        <v>13353</v>
      </c>
      <c r="C594" s="516"/>
      <c r="D594" s="514" t="s">
        <v>13352</v>
      </c>
      <c r="E594" s="515">
        <v>5.5</v>
      </c>
      <c r="F594" s="518" t="s">
        <v>614</v>
      </c>
      <c r="G594" s="515" t="s">
        <v>2523</v>
      </c>
      <c r="H594" s="514"/>
      <c r="I594" s="515"/>
      <c r="J594" s="515">
        <v>1</v>
      </c>
    </row>
    <row r="595" spans="1:10" ht="13.8" thickBot="1">
      <c r="A595" s="517"/>
      <c r="B595" s="518" t="s">
        <v>13351</v>
      </c>
      <c r="C595" s="516"/>
      <c r="D595" s="514" t="s">
        <v>13350</v>
      </c>
      <c r="E595" s="515">
        <v>5.5</v>
      </c>
      <c r="F595" s="518" t="s">
        <v>614</v>
      </c>
      <c r="G595" s="515" t="s">
        <v>2523</v>
      </c>
      <c r="H595" s="514"/>
      <c r="I595" s="515"/>
      <c r="J595" s="515">
        <v>1</v>
      </c>
    </row>
    <row r="596" spans="1:10" ht="13.8" thickBot="1">
      <c r="A596" s="517"/>
      <c r="B596" s="518" t="s">
        <v>13349</v>
      </c>
      <c r="C596" s="516"/>
      <c r="D596" s="514" t="s">
        <v>13348</v>
      </c>
      <c r="E596" s="515">
        <v>5.5</v>
      </c>
      <c r="F596" s="518" t="s">
        <v>614</v>
      </c>
      <c r="G596" s="515" t="s">
        <v>2523</v>
      </c>
      <c r="H596" s="514"/>
      <c r="I596" s="515"/>
      <c r="J596" s="515">
        <v>1</v>
      </c>
    </row>
    <row r="597" spans="1:10" ht="13.8" thickBot="1">
      <c r="A597" s="517"/>
      <c r="B597" s="518" t="s">
        <v>13347</v>
      </c>
      <c r="C597" s="516"/>
      <c r="D597" s="514" t="s">
        <v>1300</v>
      </c>
      <c r="E597" s="515">
        <v>5.5</v>
      </c>
      <c r="F597" s="514"/>
      <c r="G597" s="515" t="s">
        <v>2523</v>
      </c>
      <c r="H597" s="514"/>
      <c r="I597" s="515"/>
      <c r="J597" s="515">
        <v>1</v>
      </c>
    </row>
    <row r="598" spans="1:10" ht="13.8" thickBot="1">
      <c r="A598" s="517"/>
      <c r="B598" s="518" t="s">
        <v>13346</v>
      </c>
      <c r="C598" s="516"/>
      <c r="D598" s="514" t="s">
        <v>13345</v>
      </c>
      <c r="E598" s="515">
        <v>5.5</v>
      </c>
      <c r="F598" s="514"/>
      <c r="G598" s="515" t="s">
        <v>2523</v>
      </c>
      <c r="H598" s="514"/>
      <c r="I598" s="515"/>
      <c r="J598" s="515"/>
    </row>
    <row r="599" spans="1:10" ht="13.8" thickBot="1">
      <c r="A599" s="517"/>
      <c r="B599" s="518" t="s">
        <v>13344</v>
      </c>
      <c r="C599" s="516"/>
      <c r="D599" s="514" t="s">
        <v>1300</v>
      </c>
      <c r="E599" s="515">
        <v>5.25</v>
      </c>
      <c r="F599" s="518" t="s">
        <v>1854</v>
      </c>
      <c r="G599" s="515" t="s">
        <v>2523</v>
      </c>
      <c r="H599" s="514" t="s">
        <v>1226</v>
      </c>
      <c r="I599" s="515"/>
      <c r="J599" s="515">
        <v>3</v>
      </c>
    </row>
    <row r="600" spans="1:10" ht="13.8" thickBot="1">
      <c r="A600" s="517"/>
      <c r="B600" s="518" t="s">
        <v>13343</v>
      </c>
      <c r="C600" s="516"/>
      <c r="D600" s="514" t="s">
        <v>1300</v>
      </c>
      <c r="E600" s="515">
        <v>5.25</v>
      </c>
      <c r="F600" s="518" t="s">
        <v>1854</v>
      </c>
      <c r="G600" s="515" t="s">
        <v>2523</v>
      </c>
      <c r="H600" s="514" t="s">
        <v>1226</v>
      </c>
      <c r="I600" s="522"/>
      <c r="J600" s="522">
        <v>3</v>
      </c>
    </row>
    <row r="601" spans="1:10" ht="13.8" thickBot="1">
      <c r="A601" s="517"/>
      <c r="B601" s="518" t="s">
        <v>13342</v>
      </c>
      <c r="C601" s="516"/>
      <c r="D601" s="519" t="s">
        <v>1316</v>
      </c>
      <c r="E601" s="515">
        <v>5.25</v>
      </c>
      <c r="F601" s="518" t="s">
        <v>1854</v>
      </c>
      <c r="G601" s="515" t="s">
        <v>2523</v>
      </c>
      <c r="H601" s="514" t="s">
        <v>1226</v>
      </c>
      <c r="I601" s="522"/>
      <c r="J601" s="522">
        <v>2</v>
      </c>
    </row>
    <row r="602" spans="1:10" ht="13.8" thickBot="1">
      <c r="A602" s="517"/>
      <c r="B602" s="518" t="s">
        <v>13341</v>
      </c>
      <c r="C602" s="516"/>
      <c r="D602" s="514" t="s">
        <v>13340</v>
      </c>
      <c r="E602" s="515">
        <v>5.25</v>
      </c>
      <c r="F602" s="518" t="s">
        <v>614</v>
      </c>
      <c r="G602" s="515" t="s">
        <v>2523</v>
      </c>
      <c r="H602" s="514" t="s">
        <v>1224</v>
      </c>
      <c r="I602" s="515"/>
      <c r="J602" s="515">
        <v>1</v>
      </c>
    </row>
    <row r="603" spans="1:10" ht="13.8" thickBot="1">
      <c r="A603" s="517"/>
      <c r="B603" s="518" t="s">
        <v>13339</v>
      </c>
      <c r="C603" s="516"/>
      <c r="D603" s="514" t="s">
        <v>13338</v>
      </c>
      <c r="E603" s="515">
        <v>5.25</v>
      </c>
      <c r="F603" s="514"/>
      <c r="G603" s="515" t="s">
        <v>2523</v>
      </c>
      <c r="H603" s="514"/>
      <c r="I603" s="515">
        <v>1</v>
      </c>
      <c r="J603" s="515">
        <v>3</v>
      </c>
    </row>
    <row r="604" spans="1:10" ht="13.8" thickBot="1">
      <c r="A604" s="517"/>
      <c r="B604" s="518" t="s">
        <v>13337</v>
      </c>
      <c r="C604" s="516"/>
      <c r="D604" s="514" t="s">
        <v>13336</v>
      </c>
      <c r="E604" s="515">
        <v>5.25</v>
      </c>
      <c r="F604" s="518" t="s">
        <v>1854</v>
      </c>
      <c r="G604" s="515" t="s">
        <v>2523</v>
      </c>
      <c r="H604" s="514"/>
      <c r="I604" s="515">
        <v>1</v>
      </c>
      <c r="J604" s="515">
        <v>2</v>
      </c>
    </row>
    <row r="605" spans="1:10" ht="13.8" thickBot="1">
      <c r="A605" s="517"/>
      <c r="B605" s="518" t="s">
        <v>13335</v>
      </c>
      <c r="C605" s="516"/>
      <c r="D605" s="514" t="s">
        <v>2537</v>
      </c>
      <c r="E605" s="515">
        <v>5.25</v>
      </c>
      <c r="F605" s="514"/>
      <c r="G605" s="515" t="s">
        <v>2523</v>
      </c>
      <c r="H605" s="514"/>
      <c r="I605" s="515"/>
      <c r="J605" s="515"/>
    </row>
    <row r="606" spans="1:10" ht="13.8" thickBot="1">
      <c r="A606" s="517"/>
      <c r="B606" s="518" t="s">
        <v>13334</v>
      </c>
      <c r="C606" s="516"/>
      <c r="D606" s="514" t="s">
        <v>13333</v>
      </c>
      <c r="E606" s="515">
        <v>5</v>
      </c>
      <c r="F606" s="518" t="s">
        <v>614</v>
      </c>
      <c r="G606" s="515" t="s">
        <v>2523</v>
      </c>
      <c r="H606" s="514" t="s">
        <v>1226</v>
      </c>
      <c r="I606" s="515"/>
      <c r="J606" s="515">
        <v>2</v>
      </c>
    </row>
    <row r="607" spans="1:10" ht="13.8" thickBot="1">
      <c r="A607" s="517"/>
      <c r="B607" s="518" t="s">
        <v>13332</v>
      </c>
      <c r="C607" s="516"/>
      <c r="D607" s="514" t="s">
        <v>13331</v>
      </c>
      <c r="E607" s="515">
        <v>5</v>
      </c>
      <c r="F607" s="518" t="s">
        <v>1854</v>
      </c>
      <c r="G607" s="515" t="s">
        <v>2523</v>
      </c>
      <c r="H607" s="514" t="s">
        <v>1226</v>
      </c>
      <c r="I607" s="515">
        <v>1</v>
      </c>
      <c r="J607" s="515">
        <v>2</v>
      </c>
    </row>
    <row r="608" spans="1:10" ht="13.8" thickBot="1">
      <c r="A608" s="517"/>
      <c r="B608" s="518" t="s">
        <v>13330</v>
      </c>
      <c r="C608" s="516"/>
      <c r="D608" s="514" t="s">
        <v>1300</v>
      </c>
      <c r="E608" s="515">
        <v>5</v>
      </c>
      <c r="F608" s="518" t="s">
        <v>614</v>
      </c>
      <c r="G608" s="515" t="s">
        <v>2523</v>
      </c>
      <c r="H608" s="514" t="s">
        <v>1224</v>
      </c>
      <c r="I608" s="515"/>
      <c r="J608" s="515">
        <v>2</v>
      </c>
    </row>
    <row r="609" spans="1:10" ht="13.8" thickBot="1">
      <c r="A609" s="517"/>
      <c r="B609" s="518" t="s">
        <v>13329</v>
      </c>
      <c r="C609" s="516"/>
      <c r="D609" s="514" t="s">
        <v>1300</v>
      </c>
      <c r="E609" s="515">
        <v>5</v>
      </c>
      <c r="F609" s="518" t="s">
        <v>1854</v>
      </c>
      <c r="G609" s="515" t="s">
        <v>2523</v>
      </c>
      <c r="H609" s="514" t="s">
        <v>1224</v>
      </c>
      <c r="I609" s="515"/>
      <c r="J609" s="515">
        <v>2</v>
      </c>
    </row>
    <row r="610" spans="1:10" ht="13.8" thickBot="1">
      <c r="A610" s="517"/>
      <c r="B610" s="518" t="s">
        <v>13328</v>
      </c>
      <c r="C610" s="516"/>
      <c r="D610" s="514" t="s">
        <v>1300</v>
      </c>
      <c r="E610" s="515">
        <v>5</v>
      </c>
      <c r="F610" s="514"/>
      <c r="G610" s="515" t="s">
        <v>2523</v>
      </c>
      <c r="H610" s="514" t="s">
        <v>1224</v>
      </c>
      <c r="I610" s="515"/>
      <c r="J610" s="515">
        <v>2</v>
      </c>
    </row>
    <row r="611" spans="1:10" ht="13.8" thickBot="1">
      <c r="A611" s="517"/>
      <c r="B611" s="518" t="s">
        <v>13327</v>
      </c>
      <c r="C611" s="516"/>
      <c r="D611" s="514" t="s">
        <v>1300</v>
      </c>
      <c r="E611" s="515">
        <v>5</v>
      </c>
      <c r="F611" s="518" t="s">
        <v>614</v>
      </c>
      <c r="G611" s="515" t="s">
        <v>2523</v>
      </c>
      <c r="H611" s="514" t="s">
        <v>1224</v>
      </c>
      <c r="I611" s="515"/>
      <c r="J611" s="515">
        <v>1</v>
      </c>
    </row>
    <row r="612" spans="1:10" ht="13.8" thickBot="1">
      <c r="A612" s="517"/>
      <c r="B612" s="518" t="s">
        <v>13326</v>
      </c>
      <c r="C612" s="516"/>
      <c r="D612" s="514" t="s">
        <v>1300</v>
      </c>
      <c r="E612" s="515">
        <v>5</v>
      </c>
      <c r="F612" s="514"/>
      <c r="G612" s="515" t="s">
        <v>2523</v>
      </c>
      <c r="H612" s="514" t="s">
        <v>1224</v>
      </c>
      <c r="I612" s="515"/>
      <c r="J612" s="515">
        <v>1</v>
      </c>
    </row>
    <row r="613" spans="1:10" ht="13.8" thickBot="1">
      <c r="A613" s="517"/>
      <c r="B613" s="518" t="s">
        <v>13325</v>
      </c>
      <c r="C613" s="516"/>
      <c r="D613" s="514" t="s">
        <v>1300</v>
      </c>
      <c r="E613" s="515">
        <v>5</v>
      </c>
      <c r="F613" s="514"/>
      <c r="G613" s="515" t="s">
        <v>2523</v>
      </c>
      <c r="H613" s="514" t="s">
        <v>1224</v>
      </c>
      <c r="I613" s="515"/>
      <c r="J613" s="515">
        <v>1</v>
      </c>
    </row>
    <row r="614" spans="1:10" ht="13.8" thickBot="1">
      <c r="A614" s="517"/>
      <c r="B614" s="518" t="s">
        <v>13324</v>
      </c>
      <c r="C614" s="516"/>
      <c r="D614" s="514" t="s">
        <v>13323</v>
      </c>
      <c r="E614" s="515">
        <v>5</v>
      </c>
      <c r="F614" s="518" t="s">
        <v>614</v>
      </c>
      <c r="G614" s="515" t="s">
        <v>2523</v>
      </c>
      <c r="H614" s="514"/>
      <c r="I614" s="515"/>
      <c r="J614" s="515">
        <v>12</v>
      </c>
    </row>
    <row r="615" spans="1:10" ht="13.8" thickBot="1">
      <c r="A615" s="517"/>
      <c r="B615" s="518" t="s">
        <v>13322</v>
      </c>
      <c r="C615" s="516"/>
      <c r="D615" s="514" t="s">
        <v>13321</v>
      </c>
      <c r="E615" s="515">
        <v>5</v>
      </c>
      <c r="F615" s="518" t="s">
        <v>614</v>
      </c>
      <c r="G615" s="515" t="s">
        <v>2523</v>
      </c>
      <c r="H615" s="514"/>
      <c r="I615" s="522">
        <v>1</v>
      </c>
      <c r="J615" s="522">
        <v>8</v>
      </c>
    </row>
    <row r="616" spans="1:10" ht="13.8" thickBot="1">
      <c r="A616" s="517"/>
      <c r="B616" s="518" t="s">
        <v>13320</v>
      </c>
      <c r="C616" s="516"/>
      <c r="D616" s="514" t="s">
        <v>2551</v>
      </c>
      <c r="E616" s="515">
        <v>5</v>
      </c>
      <c r="F616" s="518" t="s">
        <v>614</v>
      </c>
      <c r="G616" s="515" t="s">
        <v>2523</v>
      </c>
      <c r="H616" s="514"/>
      <c r="I616" s="522"/>
      <c r="J616" s="522">
        <v>8</v>
      </c>
    </row>
    <row r="617" spans="1:10" ht="13.8" thickBot="1">
      <c r="A617" s="517"/>
      <c r="B617" s="518" t="s">
        <v>13319</v>
      </c>
      <c r="C617" s="516"/>
      <c r="D617" s="514" t="s">
        <v>13318</v>
      </c>
      <c r="E617" s="515">
        <v>5</v>
      </c>
      <c r="F617" s="518" t="s">
        <v>614</v>
      </c>
      <c r="G617" s="515" t="s">
        <v>2523</v>
      </c>
      <c r="H617" s="514"/>
      <c r="I617" s="515"/>
      <c r="J617" s="515">
        <v>6</v>
      </c>
    </row>
    <row r="618" spans="1:10" ht="13.8" thickBot="1">
      <c r="A618" s="517"/>
      <c r="B618" s="518" t="s">
        <v>13317</v>
      </c>
      <c r="C618" s="516"/>
      <c r="D618" s="514" t="s">
        <v>13316</v>
      </c>
      <c r="E618" s="515">
        <v>5</v>
      </c>
      <c r="F618" s="518" t="s">
        <v>614</v>
      </c>
      <c r="G618" s="515" t="s">
        <v>2523</v>
      </c>
      <c r="H618" s="514"/>
      <c r="I618" s="522"/>
      <c r="J618" s="522">
        <v>3</v>
      </c>
    </row>
    <row r="619" spans="1:10" ht="13.8" thickBot="1">
      <c r="A619" s="517"/>
      <c r="B619" s="518" t="s">
        <v>13315</v>
      </c>
      <c r="C619" s="516"/>
      <c r="D619" s="514" t="s">
        <v>13314</v>
      </c>
      <c r="E619" s="515">
        <v>5</v>
      </c>
      <c r="F619" s="518" t="s">
        <v>614</v>
      </c>
      <c r="G619" s="515" t="s">
        <v>2523</v>
      </c>
      <c r="H619" s="514"/>
      <c r="I619" s="515"/>
      <c r="J619" s="515">
        <v>2</v>
      </c>
    </row>
    <row r="620" spans="1:10" ht="13.8" thickBot="1">
      <c r="A620" s="517"/>
      <c r="B620" s="518" t="s">
        <v>13313</v>
      </c>
      <c r="C620" s="516"/>
      <c r="D620" s="514" t="s">
        <v>1300</v>
      </c>
      <c r="E620" s="515">
        <v>5</v>
      </c>
      <c r="F620" s="518" t="s">
        <v>1854</v>
      </c>
      <c r="G620" s="515" t="s">
        <v>2523</v>
      </c>
      <c r="H620" s="514"/>
      <c r="I620" s="515"/>
      <c r="J620" s="515">
        <v>2</v>
      </c>
    </row>
    <row r="621" spans="1:10" ht="13.8" thickBot="1">
      <c r="A621" s="517"/>
      <c r="B621" s="518" t="s">
        <v>13312</v>
      </c>
      <c r="C621" s="516"/>
      <c r="D621" s="514" t="s">
        <v>1300</v>
      </c>
      <c r="E621" s="515">
        <v>5</v>
      </c>
      <c r="F621" s="514"/>
      <c r="G621" s="515" t="s">
        <v>2523</v>
      </c>
      <c r="H621" s="514"/>
      <c r="I621" s="515"/>
      <c r="J621" s="515">
        <v>2</v>
      </c>
    </row>
    <row r="622" spans="1:10" ht="13.8" thickBot="1">
      <c r="A622" s="517"/>
      <c r="B622" s="518" t="s">
        <v>13311</v>
      </c>
      <c r="C622" s="516"/>
      <c r="D622" s="514" t="s">
        <v>13310</v>
      </c>
      <c r="E622" s="515">
        <v>5</v>
      </c>
      <c r="F622" s="518" t="s">
        <v>614</v>
      </c>
      <c r="G622" s="515" t="s">
        <v>2523</v>
      </c>
      <c r="H622" s="514"/>
      <c r="I622" s="515"/>
      <c r="J622" s="515">
        <v>1</v>
      </c>
    </row>
    <row r="623" spans="1:10" ht="13.8" thickBot="1">
      <c r="A623" s="517"/>
      <c r="B623" s="518" t="s">
        <v>13309</v>
      </c>
      <c r="C623" s="516"/>
      <c r="D623" s="514" t="s">
        <v>1328</v>
      </c>
      <c r="E623" s="515">
        <v>5</v>
      </c>
      <c r="F623" s="518" t="s">
        <v>1854</v>
      </c>
      <c r="G623" s="515" t="s">
        <v>2523</v>
      </c>
      <c r="H623" s="514"/>
      <c r="I623" s="515"/>
      <c r="J623" s="515">
        <v>1</v>
      </c>
    </row>
    <row r="624" spans="1:10" ht="13.8" thickBot="1">
      <c r="A624" s="517"/>
      <c r="B624" s="518" t="s">
        <v>13308</v>
      </c>
      <c r="C624" s="516"/>
      <c r="D624" s="514" t="s">
        <v>13307</v>
      </c>
      <c r="E624" s="515">
        <v>5</v>
      </c>
      <c r="F624" s="518" t="s">
        <v>1854</v>
      </c>
      <c r="G624" s="515" t="s">
        <v>2523</v>
      </c>
      <c r="H624" s="514"/>
      <c r="I624" s="515"/>
      <c r="J624" s="515">
        <v>1</v>
      </c>
    </row>
    <row r="625" spans="1:10" ht="13.8" thickBot="1">
      <c r="A625" s="517"/>
      <c r="B625" s="518" t="s">
        <v>13306</v>
      </c>
      <c r="C625" s="516"/>
      <c r="D625" s="514" t="s">
        <v>1300</v>
      </c>
      <c r="E625" s="515">
        <v>5</v>
      </c>
      <c r="F625" s="518" t="s">
        <v>1854</v>
      </c>
      <c r="G625" s="515" t="s">
        <v>2523</v>
      </c>
      <c r="H625" s="514"/>
      <c r="I625" s="515"/>
      <c r="J625" s="515">
        <v>1</v>
      </c>
    </row>
    <row r="626" spans="1:10" ht="13.8" thickBot="1">
      <c r="A626" s="517"/>
      <c r="B626" s="518" t="s">
        <v>13305</v>
      </c>
      <c r="C626" s="516"/>
      <c r="D626" s="514" t="s">
        <v>1300</v>
      </c>
      <c r="E626" s="515">
        <v>5</v>
      </c>
      <c r="F626" s="518" t="s">
        <v>1854</v>
      </c>
      <c r="G626" s="515" t="s">
        <v>2523</v>
      </c>
      <c r="H626" s="514"/>
      <c r="I626" s="515"/>
      <c r="J626" s="515">
        <v>1</v>
      </c>
    </row>
    <row r="627" spans="1:10" ht="13.8" thickBot="1">
      <c r="A627" s="517"/>
      <c r="B627" s="518" t="s">
        <v>13304</v>
      </c>
      <c r="C627" s="516"/>
      <c r="D627" s="514" t="s">
        <v>1300</v>
      </c>
      <c r="E627" s="515">
        <v>5</v>
      </c>
      <c r="F627" s="518" t="s">
        <v>1854</v>
      </c>
      <c r="G627" s="515" t="s">
        <v>2523</v>
      </c>
      <c r="H627" s="514"/>
      <c r="I627" s="515"/>
      <c r="J627" s="515">
        <v>1</v>
      </c>
    </row>
    <row r="628" spans="1:10" ht="13.8" thickBot="1">
      <c r="A628" s="517"/>
      <c r="B628" s="518" t="s">
        <v>13303</v>
      </c>
      <c r="C628" s="516"/>
      <c r="D628" s="514" t="s">
        <v>1300</v>
      </c>
      <c r="E628" s="515">
        <v>5</v>
      </c>
      <c r="F628" s="514"/>
      <c r="G628" s="515" t="s">
        <v>2523</v>
      </c>
      <c r="H628" s="514"/>
      <c r="I628" s="515"/>
      <c r="J628" s="515">
        <v>1</v>
      </c>
    </row>
    <row r="629" spans="1:10" ht="13.8" thickBot="1">
      <c r="A629" s="517"/>
      <c r="B629" s="518" t="s">
        <v>13302</v>
      </c>
      <c r="C629" s="516"/>
      <c r="D629" s="514" t="s">
        <v>1300</v>
      </c>
      <c r="E629" s="515">
        <v>5</v>
      </c>
      <c r="F629" s="514"/>
      <c r="G629" s="515" t="s">
        <v>2523</v>
      </c>
      <c r="H629" s="514"/>
      <c r="I629" s="515"/>
      <c r="J629" s="515">
        <v>1</v>
      </c>
    </row>
    <row r="630" spans="1:10" ht="13.8" thickBot="1">
      <c r="A630" s="517"/>
      <c r="B630" s="518" t="s">
        <v>13301</v>
      </c>
      <c r="C630" s="516"/>
      <c r="D630" s="514" t="s">
        <v>1300</v>
      </c>
      <c r="E630" s="515">
        <v>5</v>
      </c>
      <c r="F630" s="514"/>
      <c r="G630" s="515" t="s">
        <v>2523</v>
      </c>
      <c r="H630" s="514"/>
      <c r="I630" s="515"/>
      <c r="J630" s="515">
        <v>1</v>
      </c>
    </row>
    <row r="631" spans="1:10" ht="13.8" thickBot="1">
      <c r="A631" s="517"/>
      <c r="B631" s="518" t="s">
        <v>13300</v>
      </c>
      <c r="C631" s="516"/>
      <c r="D631" s="520" t="s">
        <v>13299</v>
      </c>
      <c r="E631" s="521">
        <v>5</v>
      </c>
      <c r="F631" s="518" t="s">
        <v>1854</v>
      </c>
      <c r="G631" s="515" t="s">
        <v>2523</v>
      </c>
      <c r="H631" s="514"/>
      <c r="I631" s="515"/>
      <c r="J631" s="515"/>
    </row>
    <row r="632" spans="1:10" ht="13.8" thickBot="1">
      <c r="A632" s="517"/>
      <c r="B632" s="518" t="s">
        <v>13298</v>
      </c>
      <c r="C632" s="516"/>
      <c r="D632" s="514" t="s">
        <v>1300</v>
      </c>
      <c r="E632" s="515">
        <v>5</v>
      </c>
      <c r="F632" s="518" t="s">
        <v>1854</v>
      </c>
      <c r="G632" s="515" t="s">
        <v>2523</v>
      </c>
      <c r="H632" s="514"/>
      <c r="I632" s="515"/>
      <c r="J632" s="515"/>
    </row>
    <row r="633" spans="1:10" ht="13.8" thickBot="1">
      <c r="A633" s="517"/>
      <c r="B633" s="518" t="s">
        <v>13297</v>
      </c>
      <c r="C633" s="516"/>
      <c r="D633" s="514" t="s">
        <v>1300</v>
      </c>
      <c r="E633" s="515">
        <v>5</v>
      </c>
      <c r="F633" s="518" t="s">
        <v>1854</v>
      </c>
      <c r="G633" s="515" t="s">
        <v>2523</v>
      </c>
      <c r="H633" s="514"/>
      <c r="I633" s="515"/>
      <c r="J633" s="515"/>
    </row>
    <row r="634" spans="1:10" ht="13.8" thickBot="1">
      <c r="A634" s="517"/>
      <c r="B634" s="518" t="s">
        <v>13296</v>
      </c>
      <c r="C634" s="516"/>
      <c r="D634" s="514" t="s">
        <v>13295</v>
      </c>
      <c r="E634" s="515">
        <v>5</v>
      </c>
      <c r="F634" s="518" t="s">
        <v>1854</v>
      </c>
      <c r="G634" s="515" t="s">
        <v>2523</v>
      </c>
      <c r="H634" s="514"/>
      <c r="I634" s="515"/>
      <c r="J634" s="515"/>
    </row>
    <row r="635" spans="1:10" ht="13.8" thickBot="1">
      <c r="A635" s="517"/>
      <c r="B635" s="518" t="s">
        <v>13294</v>
      </c>
      <c r="C635" s="516"/>
      <c r="D635" s="514" t="s">
        <v>1302</v>
      </c>
      <c r="E635" s="515">
        <v>5</v>
      </c>
      <c r="F635" s="518" t="s">
        <v>1854</v>
      </c>
      <c r="G635" s="515" t="s">
        <v>2523</v>
      </c>
      <c r="H635" s="514"/>
      <c r="I635" s="515"/>
      <c r="J635" s="515"/>
    </row>
    <row r="636" spans="1:10" ht="13.8" thickBot="1">
      <c r="A636" s="517"/>
      <c r="B636" s="518" t="s">
        <v>13293</v>
      </c>
      <c r="C636" s="516"/>
      <c r="D636" s="514" t="s">
        <v>1300</v>
      </c>
      <c r="E636" s="515">
        <v>5</v>
      </c>
      <c r="F636" s="518" t="s">
        <v>1854</v>
      </c>
      <c r="G636" s="515" t="s">
        <v>2523</v>
      </c>
      <c r="H636" s="514"/>
      <c r="I636" s="515"/>
      <c r="J636" s="515"/>
    </row>
    <row r="637" spans="1:10" ht="13.8" thickBot="1">
      <c r="A637" s="517"/>
      <c r="B637" s="518" t="s">
        <v>13292</v>
      </c>
      <c r="C637" s="516"/>
      <c r="D637" s="514" t="s">
        <v>13291</v>
      </c>
      <c r="E637" s="515">
        <v>5</v>
      </c>
      <c r="F637" s="514"/>
      <c r="G637" s="515" t="s">
        <v>2523</v>
      </c>
      <c r="H637" s="514"/>
      <c r="I637" s="515"/>
      <c r="J637" s="515"/>
    </row>
    <row r="638" spans="1:10" ht="13.8" thickBot="1">
      <c r="A638" s="517"/>
      <c r="B638" s="518" t="s">
        <v>13290</v>
      </c>
      <c r="C638" s="516"/>
      <c r="D638" s="514" t="s">
        <v>1300</v>
      </c>
      <c r="E638" s="515">
        <v>5</v>
      </c>
      <c r="F638" s="514"/>
      <c r="G638" s="515" t="s">
        <v>2523</v>
      </c>
      <c r="H638" s="514"/>
      <c r="I638" s="515"/>
      <c r="J638" s="515"/>
    </row>
    <row r="639" spans="1:10" ht="13.8" thickBot="1">
      <c r="A639" s="517"/>
      <c r="B639" s="518" t="s">
        <v>13289</v>
      </c>
      <c r="C639" s="516"/>
      <c r="D639" s="514" t="s">
        <v>13288</v>
      </c>
      <c r="E639" s="515">
        <v>4.75</v>
      </c>
      <c r="F639" s="518" t="s">
        <v>1854</v>
      </c>
      <c r="G639" s="515" t="s">
        <v>2523</v>
      </c>
      <c r="H639" s="514" t="s">
        <v>1226</v>
      </c>
      <c r="I639" s="515"/>
      <c r="J639" s="515">
        <v>1</v>
      </c>
    </row>
    <row r="640" spans="1:10" ht="13.8" thickBot="1">
      <c r="A640" s="517"/>
      <c r="B640" s="518" t="s">
        <v>13287</v>
      </c>
      <c r="C640" s="516"/>
      <c r="D640" s="514" t="s">
        <v>1300</v>
      </c>
      <c r="E640" s="515">
        <v>4.5</v>
      </c>
      <c r="F640" s="518" t="s">
        <v>1854</v>
      </c>
      <c r="G640" s="515" t="s">
        <v>2523</v>
      </c>
      <c r="H640" s="514" t="s">
        <v>1226</v>
      </c>
      <c r="I640" s="515">
        <v>1</v>
      </c>
      <c r="J640" s="515">
        <v>3</v>
      </c>
    </row>
    <row r="641" spans="1:10" ht="13.8" thickBot="1">
      <c r="A641" s="517"/>
      <c r="B641" s="518" t="s">
        <v>13286</v>
      </c>
      <c r="C641" s="516"/>
      <c r="D641" s="514" t="s">
        <v>1300</v>
      </c>
      <c r="E641" s="515">
        <v>4.5</v>
      </c>
      <c r="F641" s="518" t="s">
        <v>614</v>
      </c>
      <c r="G641" s="515" t="s">
        <v>2523</v>
      </c>
      <c r="H641" s="514" t="s">
        <v>1224</v>
      </c>
      <c r="I641" s="515"/>
      <c r="J641" s="515">
        <v>1</v>
      </c>
    </row>
    <row r="642" spans="1:10" ht="13.8" thickBot="1">
      <c r="A642" s="517"/>
      <c r="B642" s="518" t="s">
        <v>13285</v>
      </c>
      <c r="C642" s="516"/>
      <c r="D642" s="514" t="s">
        <v>13284</v>
      </c>
      <c r="E642" s="515">
        <v>4.5</v>
      </c>
      <c r="F642" s="518" t="s">
        <v>1854</v>
      </c>
      <c r="G642" s="515" t="s">
        <v>2523</v>
      </c>
      <c r="H642" s="514"/>
      <c r="I642" s="515"/>
      <c r="J642" s="515">
        <v>1</v>
      </c>
    </row>
    <row r="643" spans="1:10" ht="13.8" thickBot="1">
      <c r="A643" s="517"/>
      <c r="B643" s="518" t="s">
        <v>13283</v>
      </c>
      <c r="C643" s="516"/>
      <c r="D643" s="514" t="s">
        <v>13282</v>
      </c>
      <c r="E643" s="515">
        <v>4.5</v>
      </c>
      <c r="F643" s="518" t="s">
        <v>151</v>
      </c>
      <c r="G643" s="515" t="s">
        <v>2523</v>
      </c>
      <c r="H643" s="514"/>
      <c r="I643" s="515"/>
      <c r="J643" s="515">
        <v>1</v>
      </c>
    </row>
    <row r="644" spans="1:10" ht="13.8" thickBot="1">
      <c r="A644" s="517"/>
      <c r="B644" s="518" t="s">
        <v>13281</v>
      </c>
      <c r="C644" s="516"/>
      <c r="D644" s="514" t="s">
        <v>13280</v>
      </c>
      <c r="E644" s="515">
        <v>4.5</v>
      </c>
      <c r="F644" s="518" t="s">
        <v>614</v>
      </c>
      <c r="G644" s="515" t="s">
        <v>2523</v>
      </c>
      <c r="H644" s="514"/>
      <c r="I644" s="515"/>
      <c r="J644" s="515">
        <v>1</v>
      </c>
    </row>
    <row r="645" spans="1:10" ht="13.8" thickBot="1">
      <c r="A645" s="517"/>
      <c r="B645" s="518" t="s">
        <v>13279</v>
      </c>
      <c r="C645" s="516"/>
      <c r="D645" s="514" t="s">
        <v>1300</v>
      </c>
      <c r="E645" s="515">
        <v>4.5</v>
      </c>
      <c r="F645" s="514"/>
      <c r="G645" s="515" t="s">
        <v>2523</v>
      </c>
      <c r="H645" s="514"/>
      <c r="I645" s="515"/>
      <c r="J645" s="515">
        <v>1</v>
      </c>
    </row>
    <row r="646" spans="1:10" ht="13.8" thickBot="1">
      <c r="A646" s="517"/>
      <c r="B646" s="518" t="s">
        <v>13278</v>
      </c>
      <c r="C646" s="516"/>
      <c r="D646" s="514" t="s">
        <v>1300</v>
      </c>
      <c r="E646" s="515">
        <v>4.5</v>
      </c>
      <c r="F646" s="514"/>
      <c r="G646" s="515" t="s">
        <v>2523</v>
      </c>
      <c r="H646" s="514"/>
      <c r="I646" s="515"/>
      <c r="J646" s="515"/>
    </row>
    <row r="647" spans="1:10" ht="13.8" thickBot="1">
      <c r="A647" s="517"/>
      <c r="B647" s="518" t="s">
        <v>13277</v>
      </c>
      <c r="C647" s="516"/>
      <c r="D647" s="514" t="s">
        <v>13276</v>
      </c>
      <c r="E647" s="515">
        <v>4</v>
      </c>
      <c r="F647" s="518" t="s">
        <v>614</v>
      </c>
      <c r="G647" s="515" t="s">
        <v>2523</v>
      </c>
      <c r="H647" s="514" t="s">
        <v>1226</v>
      </c>
      <c r="I647" s="515"/>
      <c r="J647" s="515">
        <v>4</v>
      </c>
    </row>
    <row r="648" spans="1:10" ht="13.8" thickBot="1">
      <c r="A648" s="517"/>
      <c r="B648" s="518" t="s">
        <v>13275</v>
      </c>
      <c r="C648" s="516"/>
      <c r="D648" s="514" t="s">
        <v>1300</v>
      </c>
      <c r="E648" s="515">
        <v>4</v>
      </c>
      <c r="F648" s="518" t="s">
        <v>2223</v>
      </c>
      <c r="G648" s="515" t="s">
        <v>2523</v>
      </c>
      <c r="H648" s="514" t="s">
        <v>1224</v>
      </c>
      <c r="I648" s="515"/>
      <c r="J648" s="515">
        <v>1</v>
      </c>
    </row>
    <row r="649" spans="1:10" ht="13.8" thickBot="1">
      <c r="A649" s="517"/>
      <c r="B649" s="518" t="s">
        <v>13274</v>
      </c>
      <c r="C649" s="516"/>
      <c r="D649" s="514" t="s">
        <v>13273</v>
      </c>
      <c r="E649" s="515">
        <v>4</v>
      </c>
      <c r="F649" s="518" t="s">
        <v>1854</v>
      </c>
      <c r="G649" s="515" t="s">
        <v>2523</v>
      </c>
      <c r="H649" s="514"/>
      <c r="I649" s="515"/>
      <c r="J649" s="515">
        <v>9</v>
      </c>
    </row>
    <row r="650" spans="1:10" ht="13.8" thickBot="1">
      <c r="A650" s="517"/>
      <c r="B650" s="518" t="s">
        <v>13272</v>
      </c>
      <c r="C650" s="516"/>
      <c r="D650" s="514" t="s">
        <v>1300</v>
      </c>
      <c r="E650" s="515">
        <v>4</v>
      </c>
      <c r="F650" s="518" t="s">
        <v>614</v>
      </c>
      <c r="G650" s="515" t="s">
        <v>2523</v>
      </c>
      <c r="H650" s="514"/>
      <c r="I650" s="515"/>
      <c r="J650" s="515">
        <v>2</v>
      </c>
    </row>
    <row r="651" spans="1:10" ht="13.8" thickBot="1">
      <c r="A651" s="517"/>
      <c r="B651" s="518" t="s">
        <v>13271</v>
      </c>
      <c r="C651" s="516"/>
      <c r="D651" s="514" t="s">
        <v>1300</v>
      </c>
      <c r="E651" s="515">
        <v>4</v>
      </c>
      <c r="F651" s="514"/>
      <c r="G651" s="515" t="s">
        <v>2523</v>
      </c>
      <c r="H651" s="514"/>
      <c r="I651" s="515"/>
      <c r="J651" s="515">
        <v>2</v>
      </c>
    </row>
    <row r="652" spans="1:10" ht="13.8" thickBot="1">
      <c r="A652" s="517"/>
      <c r="B652" s="518" t="s">
        <v>13270</v>
      </c>
      <c r="C652" s="516"/>
      <c r="D652" s="514" t="s">
        <v>2681</v>
      </c>
      <c r="E652" s="515">
        <v>4</v>
      </c>
      <c r="F652" s="514"/>
      <c r="G652" s="515" t="s">
        <v>2523</v>
      </c>
      <c r="H652" s="514"/>
      <c r="I652" s="515"/>
      <c r="J652" s="515">
        <v>2</v>
      </c>
    </row>
    <row r="653" spans="1:10" ht="13.8" thickBot="1">
      <c r="A653" s="517"/>
      <c r="B653" s="518" t="s">
        <v>13269</v>
      </c>
      <c r="C653" s="516"/>
      <c r="D653" s="514" t="s">
        <v>1304</v>
      </c>
      <c r="E653" s="515">
        <v>4</v>
      </c>
      <c r="F653" s="518" t="s">
        <v>1854</v>
      </c>
      <c r="G653" s="515" t="s">
        <v>2523</v>
      </c>
      <c r="H653" s="514"/>
      <c r="I653" s="515"/>
      <c r="J653" s="515">
        <v>1</v>
      </c>
    </row>
    <row r="654" spans="1:10" ht="13.8" thickBot="1">
      <c r="A654" s="517"/>
      <c r="B654" s="518" t="s">
        <v>13268</v>
      </c>
      <c r="C654" s="516"/>
      <c r="D654" s="514" t="s">
        <v>2537</v>
      </c>
      <c r="E654" s="515">
        <v>4</v>
      </c>
      <c r="F654" s="518" t="s">
        <v>1854</v>
      </c>
      <c r="G654" s="515" t="s">
        <v>2523</v>
      </c>
      <c r="H654" s="514"/>
      <c r="I654" s="515"/>
      <c r="J654" s="515">
        <v>1</v>
      </c>
    </row>
    <row r="655" spans="1:10" ht="13.8" thickBot="1">
      <c r="A655" s="517"/>
      <c r="B655" s="518" t="s">
        <v>13267</v>
      </c>
      <c r="C655" s="516"/>
      <c r="D655" s="514" t="s">
        <v>1300</v>
      </c>
      <c r="E655" s="515">
        <v>4</v>
      </c>
      <c r="F655" s="518" t="s">
        <v>614</v>
      </c>
      <c r="G655" s="515" t="s">
        <v>2523</v>
      </c>
      <c r="H655" s="514"/>
      <c r="I655" s="522"/>
      <c r="J655" s="522">
        <v>1</v>
      </c>
    </row>
    <row r="656" spans="1:10" ht="13.8" thickBot="1">
      <c r="A656" s="517"/>
      <c r="B656" s="518" t="s">
        <v>13266</v>
      </c>
      <c r="C656" s="516"/>
      <c r="D656" s="514" t="s">
        <v>13265</v>
      </c>
      <c r="E656" s="515">
        <v>4</v>
      </c>
      <c r="F656" s="518" t="s">
        <v>1854</v>
      </c>
      <c r="G656" s="515" t="s">
        <v>2523</v>
      </c>
      <c r="H656" s="514"/>
      <c r="I656" s="515"/>
      <c r="J656" s="515">
        <v>1</v>
      </c>
    </row>
    <row r="657" spans="1:10" ht="13.8" thickBot="1">
      <c r="A657" s="517"/>
      <c r="B657" s="518" t="s">
        <v>13264</v>
      </c>
      <c r="C657" s="516"/>
      <c r="D657" s="514" t="s">
        <v>13263</v>
      </c>
      <c r="E657" s="515">
        <v>4</v>
      </c>
      <c r="F657" s="514"/>
      <c r="G657" s="515" t="s">
        <v>2523</v>
      </c>
      <c r="H657" s="514"/>
      <c r="I657" s="515"/>
      <c r="J657" s="515"/>
    </row>
    <row r="658" spans="1:10" ht="13.8" thickBot="1">
      <c r="A658" s="517"/>
      <c r="B658" s="518" t="s">
        <v>13262</v>
      </c>
      <c r="C658" s="516"/>
      <c r="D658" s="514" t="s">
        <v>2594</v>
      </c>
      <c r="E658" s="515">
        <v>3.5</v>
      </c>
      <c r="F658" s="518" t="s">
        <v>614</v>
      </c>
      <c r="G658" s="515" t="s">
        <v>2523</v>
      </c>
      <c r="H658" s="514"/>
      <c r="I658" s="515"/>
      <c r="J658" s="515">
        <v>1</v>
      </c>
    </row>
    <row r="659" spans="1:10" ht="13.8" thickBot="1">
      <c r="A659" s="517"/>
      <c r="B659" s="518" t="s">
        <v>13261</v>
      </c>
      <c r="C659" s="516"/>
      <c r="D659" s="514" t="s">
        <v>1302</v>
      </c>
      <c r="E659" s="515">
        <v>3</v>
      </c>
      <c r="F659" s="518" t="s">
        <v>1854</v>
      </c>
      <c r="G659" s="515" t="s">
        <v>2523</v>
      </c>
      <c r="H659" s="514" t="s">
        <v>1224</v>
      </c>
      <c r="I659" s="515"/>
      <c r="J659" s="515">
        <v>1</v>
      </c>
    </row>
    <row r="660" spans="1:10" ht="13.8" thickBot="1">
      <c r="A660" s="517"/>
      <c r="B660" s="518" t="s">
        <v>13260</v>
      </c>
      <c r="C660" s="516"/>
      <c r="D660" s="514" t="s">
        <v>13259</v>
      </c>
      <c r="E660" s="515">
        <v>3</v>
      </c>
      <c r="F660" s="518" t="s">
        <v>614</v>
      </c>
      <c r="G660" s="515" t="s">
        <v>2523</v>
      </c>
      <c r="H660" s="514"/>
      <c r="I660" s="515"/>
      <c r="J660" s="515">
        <v>1</v>
      </c>
    </row>
    <row r="661" spans="1:10" ht="13.8" thickBot="1">
      <c r="A661" s="517"/>
      <c r="B661" s="518" t="s">
        <v>13258</v>
      </c>
      <c r="C661" s="516"/>
      <c r="D661" s="514" t="s">
        <v>1300</v>
      </c>
      <c r="E661" s="515">
        <v>3</v>
      </c>
      <c r="F661" s="518" t="s">
        <v>1854</v>
      </c>
      <c r="G661" s="515" t="s">
        <v>2523</v>
      </c>
      <c r="H661" s="514"/>
      <c r="I661" s="515"/>
      <c r="J661" s="515"/>
    </row>
    <row r="662" spans="1:10" ht="13.8" thickBot="1">
      <c r="A662" s="517"/>
      <c r="B662" s="518" t="s">
        <v>13257</v>
      </c>
      <c r="C662" s="516"/>
      <c r="D662" s="514" t="s">
        <v>1300</v>
      </c>
      <c r="E662" s="515">
        <v>2</v>
      </c>
      <c r="F662" s="518" t="s">
        <v>1854</v>
      </c>
      <c r="G662" s="515" t="s">
        <v>2523</v>
      </c>
      <c r="H662" s="514"/>
      <c r="I662" s="522"/>
      <c r="J662" s="522"/>
    </row>
    <row r="663" spans="1:10" ht="13.8" thickBot="1">
      <c r="A663" s="517"/>
      <c r="B663" s="518" t="s">
        <v>13256</v>
      </c>
      <c r="C663" s="516"/>
      <c r="D663" s="514" t="s">
        <v>2537</v>
      </c>
      <c r="E663" s="515"/>
      <c r="F663" s="514"/>
      <c r="G663" s="515" t="s">
        <v>2523</v>
      </c>
      <c r="H663" s="514"/>
      <c r="I663" s="515"/>
      <c r="J663" s="515"/>
    </row>
    <row r="664" spans="1:10" ht="13.8" thickBot="1">
      <c r="A664" s="517"/>
      <c r="B664" s="518" t="s">
        <v>13255</v>
      </c>
      <c r="C664" s="516"/>
      <c r="D664" s="514" t="s">
        <v>1300</v>
      </c>
      <c r="E664" s="515"/>
      <c r="F664" s="514"/>
      <c r="G664" s="515" t="s">
        <v>2523</v>
      </c>
      <c r="H664" s="514"/>
      <c r="I664" s="515"/>
      <c r="J664" s="515"/>
    </row>
    <row r="665" spans="1:10" ht="13.8" thickBot="1">
      <c r="A665" s="517"/>
      <c r="B665" s="518" t="s">
        <v>13254</v>
      </c>
      <c r="C665" s="516"/>
      <c r="D665" s="514" t="s">
        <v>1300</v>
      </c>
      <c r="E665" s="515"/>
      <c r="F665" s="514"/>
      <c r="G665" s="515" t="s">
        <v>2523</v>
      </c>
      <c r="H665" s="514"/>
      <c r="I665" s="515"/>
      <c r="J665" s="515"/>
    </row>
    <row r="666" spans="1:10" ht="13.8" thickBot="1">
      <c r="A666" s="517"/>
      <c r="B666" s="518" t="s">
        <v>13253</v>
      </c>
      <c r="C666" s="516"/>
      <c r="D666" s="514" t="s">
        <v>1300</v>
      </c>
      <c r="E666" s="515"/>
      <c r="F666" s="514"/>
      <c r="G666" s="515" t="s">
        <v>2523</v>
      </c>
      <c r="H666" s="514"/>
      <c r="I666" s="515"/>
      <c r="J666" s="515"/>
    </row>
    <row r="667" spans="1:10" ht="13.8" thickBot="1">
      <c r="A667" s="517"/>
      <c r="B667" s="518" t="s">
        <v>13252</v>
      </c>
      <c r="C667" s="516"/>
      <c r="D667" s="514" t="s">
        <v>1300</v>
      </c>
      <c r="E667" s="515"/>
      <c r="F667" s="514"/>
      <c r="G667" s="515" t="s">
        <v>2523</v>
      </c>
      <c r="H667" s="514"/>
      <c r="I667" s="515"/>
      <c r="J667" s="515"/>
    </row>
    <row r="668" spans="1:10" ht="13.8" thickBot="1">
      <c r="A668" s="517"/>
      <c r="B668" s="518" t="s">
        <v>13251</v>
      </c>
      <c r="C668" s="516"/>
      <c r="D668" s="514" t="s">
        <v>1300</v>
      </c>
      <c r="E668" s="515"/>
      <c r="F668" s="514"/>
      <c r="G668" s="515" t="s">
        <v>2523</v>
      </c>
      <c r="H668" s="514"/>
      <c r="I668" s="515"/>
      <c r="J668" s="515"/>
    </row>
    <row r="669" spans="1:10" ht="13.8" thickBot="1">
      <c r="A669" s="517"/>
      <c r="B669" s="518" t="s">
        <v>13250</v>
      </c>
      <c r="C669" s="516"/>
      <c r="D669" s="514" t="s">
        <v>2663</v>
      </c>
      <c r="E669" s="515"/>
      <c r="F669" s="514"/>
      <c r="G669" s="515" t="s">
        <v>2523</v>
      </c>
      <c r="H669" s="514"/>
      <c r="I669" s="515"/>
      <c r="J669" s="515"/>
    </row>
    <row r="670" spans="1:10" ht="13.8" thickBot="1">
      <c r="A670" s="517"/>
      <c r="B670" s="518" t="s">
        <v>13249</v>
      </c>
      <c r="C670" s="516"/>
      <c r="D670" s="514" t="s">
        <v>1300</v>
      </c>
      <c r="E670" s="515"/>
      <c r="F670" s="514"/>
      <c r="G670" s="515" t="s">
        <v>2523</v>
      </c>
      <c r="H670" s="514"/>
      <c r="I670" s="515"/>
      <c r="J670" s="515"/>
    </row>
    <row r="671" spans="1:10" ht="13.8" thickBot="1">
      <c r="A671" s="517"/>
      <c r="B671" s="518" t="s">
        <v>13248</v>
      </c>
      <c r="C671" s="516"/>
      <c r="D671" s="514" t="s">
        <v>1328</v>
      </c>
      <c r="E671" s="515"/>
      <c r="F671" s="514"/>
      <c r="G671" s="515" t="s">
        <v>2523</v>
      </c>
      <c r="H671" s="514"/>
      <c r="I671" s="515"/>
      <c r="J671" s="515"/>
    </row>
    <row r="672" spans="1:10" ht="13.8" thickBot="1">
      <c r="A672" s="517"/>
      <c r="B672" s="518" t="s">
        <v>13247</v>
      </c>
      <c r="C672" s="516"/>
      <c r="D672" s="514" t="s">
        <v>2663</v>
      </c>
      <c r="E672" s="515"/>
      <c r="F672" s="514"/>
      <c r="G672" s="515" t="s">
        <v>2523</v>
      </c>
      <c r="H672" s="514"/>
      <c r="I672" s="515"/>
      <c r="J672" s="515"/>
    </row>
    <row r="673" spans="1:10" ht="13.8" thickBot="1">
      <c r="A673" s="517"/>
      <c r="B673" s="518" t="s">
        <v>13246</v>
      </c>
      <c r="C673" s="516"/>
      <c r="D673" s="514" t="s">
        <v>13245</v>
      </c>
      <c r="E673" s="515">
        <v>7.1</v>
      </c>
      <c r="F673" s="518" t="s">
        <v>614</v>
      </c>
      <c r="G673" s="515" t="s">
        <v>2733</v>
      </c>
      <c r="H673" s="514" t="s">
        <v>1226</v>
      </c>
      <c r="I673" s="515">
        <v>1</v>
      </c>
      <c r="J673" s="515">
        <v>6</v>
      </c>
    </row>
    <row r="674" spans="1:10" ht="13.8" thickBot="1">
      <c r="A674" s="517"/>
      <c r="B674" s="518" t="s">
        <v>13244</v>
      </c>
      <c r="C674" s="516"/>
      <c r="D674" s="514" t="s">
        <v>13243</v>
      </c>
      <c r="E674" s="515">
        <v>7.1</v>
      </c>
      <c r="F674" s="518" t="s">
        <v>614</v>
      </c>
      <c r="G674" s="515" t="s">
        <v>2747</v>
      </c>
      <c r="H674" s="514" t="s">
        <v>1224</v>
      </c>
      <c r="I674" s="515"/>
      <c r="J674" s="515">
        <v>3</v>
      </c>
    </row>
    <row r="675" spans="1:10" ht="13.8" thickBot="1">
      <c r="A675" s="517"/>
      <c r="B675" s="518" t="s">
        <v>13242</v>
      </c>
      <c r="C675" s="516"/>
      <c r="D675" s="514" t="s">
        <v>13241</v>
      </c>
      <c r="E675" s="515">
        <v>6.6</v>
      </c>
      <c r="F675" s="518" t="s">
        <v>614</v>
      </c>
      <c r="G675" s="515" t="s">
        <v>2747</v>
      </c>
      <c r="H675" s="514" t="s">
        <v>1226</v>
      </c>
      <c r="I675" s="515"/>
      <c r="J675" s="515">
        <v>6</v>
      </c>
    </row>
    <row r="676" spans="1:10" ht="13.8" thickBot="1">
      <c r="A676" s="517"/>
      <c r="B676" s="518" t="s">
        <v>13240</v>
      </c>
      <c r="C676" s="516"/>
      <c r="D676" s="514" t="s">
        <v>13239</v>
      </c>
      <c r="E676" s="515">
        <v>5.75</v>
      </c>
      <c r="F676" s="518" t="s">
        <v>1854</v>
      </c>
      <c r="G676" s="515" t="s">
        <v>2747</v>
      </c>
      <c r="H676" s="514" t="s">
        <v>1224</v>
      </c>
      <c r="I676" s="515">
        <v>1</v>
      </c>
      <c r="J676" s="515">
        <v>5</v>
      </c>
    </row>
    <row r="677" spans="1:10" ht="13.8" thickBot="1">
      <c r="A677" s="517"/>
      <c r="B677" s="518" t="s">
        <v>13238</v>
      </c>
      <c r="C677" s="516"/>
      <c r="D677" s="514" t="s">
        <v>13237</v>
      </c>
      <c r="E677" s="515">
        <v>7</v>
      </c>
      <c r="F677" s="518" t="s">
        <v>614</v>
      </c>
      <c r="G677" s="515" t="s">
        <v>2779</v>
      </c>
      <c r="H677" s="514" t="s">
        <v>1224</v>
      </c>
      <c r="I677" s="515">
        <v>2</v>
      </c>
      <c r="J677" s="515">
        <v>5</v>
      </c>
    </row>
    <row r="678" spans="1:10" ht="13.8" thickBot="1">
      <c r="A678" s="517"/>
      <c r="B678" s="518" t="s">
        <v>13236</v>
      </c>
      <c r="C678" s="516"/>
      <c r="D678" s="514" t="s">
        <v>13235</v>
      </c>
      <c r="E678" s="515">
        <v>6.25</v>
      </c>
      <c r="F678" s="518" t="s">
        <v>614</v>
      </c>
      <c r="G678" s="515" t="s">
        <v>2779</v>
      </c>
      <c r="H678" s="514"/>
      <c r="I678" s="515"/>
      <c r="J678" s="515">
        <v>1</v>
      </c>
    </row>
    <row r="679" spans="1:10" ht="13.8" thickBot="1">
      <c r="A679" s="517"/>
      <c r="B679" s="518" t="s">
        <v>13234</v>
      </c>
      <c r="C679" s="516"/>
      <c r="D679" s="514" t="s">
        <v>13233</v>
      </c>
      <c r="E679" s="515">
        <v>6</v>
      </c>
      <c r="F679" s="518" t="s">
        <v>614</v>
      </c>
      <c r="G679" s="515" t="s">
        <v>2779</v>
      </c>
      <c r="H679" s="514" t="s">
        <v>1226</v>
      </c>
      <c r="I679" s="515"/>
      <c r="J679" s="515">
        <v>8</v>
      </c>
    </row>
    <row r="680" spans="1:10" ht="13.8" thickBot="1">
      <c r="A680" s="517"/>
      <c r="B680" s="518" t="s">
        <v>13232</v>
      </c>
      <c r="C680" s="516"/>
      <c r="D680" s="514" t="s">
        <v>13231</v>
      </c>
      <c r="E680" s="515">
        <v>6</v>
      </c>
      <c r="F680" s="518" t="s">
        <v>614</v>
      </c>
      <c r="G680" s="515" t="s">
        <v>2779</v>
      </c>
      <c r="H680" s="514"/>
      <c r="I680" s="515"/>
      <c r="J680" s="515">
        <v>1</v>
      </c>
    </row>
    <row r="681" spans="1:10" ht="13.8" thickBot="1">
      <c r="A681" s="517"/>
      <c r="B681" s="518" t="s">
        <v>13230</v>
      </c>
      <c r="C681" s="516"/>
      <c r="D681" s="514" t="s">
        <v>13229</v>
      </c>
      <c r="E681" s="515">
        <v>7.5</v>
      </c>
      <c r="F681" s="518" t="s">
        <v>1854</v>
      </c>
      <c r="G681" s="515" t="s">
        <v>2797</v>
      </c>
      <c r="H681" s="514" t="s">
        <v>1226</v>
      </c>
      <c r="I681" s="515"/>
      <c r="J681" s="515">
        <v>1</v>
      </c>
    </row>
    <row r="682" spans="1:10" ht="13.8" thickBot="1">
      <c r="A682" s="517"/>
      <c r="B682" s="518" t="s">
        <v>13228</v>
      </c>
      <c r="C682" s="516"/>
      <c r="D682" s="514" t="s">
        <v>13227</v>
      </c>
      <c r="E682" s="515">
        <v>7.5</v>
      </c>
      <c r="F682" s="514"/>
      <c r="G682" s="515" t="s">
        <v>2797</v>
      </c>
      <c r="H682" s="514"/>
      <c r="I682" s="515"/>
      <c r="J682" s="515"/>
    </row>
    <row r="683" spans="1:10" ht="13.8" thickBot="1">
      <c r="A683" s="517"/>
      <c r="B683" s="518" t="s">
        <v>13226</v>
      </c>
      <c r="C683" s="516"/>
      <c r="D683" s="514" t="s">
        <v>13225</v>
      </c>
      <c r="E683" s="515">
        <v>7.25</v>
      </c>
      <c r="F683" s="518" t="s">
        <v>614</v>
      </c>
      <c r="G683" s="515" t="s">
        <v>2797</v>
      </c>
      <c r="H683" s="514" t="s">
        <v>1226</v>
      </c>
      <c r="I683" s="515">
        <v>1</v>
      </c>
      <c r="J683" s="515">
        <v>4</v>
      </c>
    </row>
    <row r="684" spans="1:10" ht="13.8" thickBot="1">
      <c r="A684" s="517"/>
      <c r="B684" s="518" t="s">
        <v>13224</v>
      </c>
      <c r="C684" s="516"/>
      <c r="D684" s="514" t="s">
        <v>13223</v>
      </c>
      <c r="E684" s="515">
        <v>7</v>
      </c>
      <c r="F684" s="518" t="s">
        <v>614</v>
      </c>
      <c r="G684" s="515" t="s">
        <v>2797</v>
      </c>
      <c r="H684" s="514"/>
      <c r="I684" s="515">
        <v>1</v>
      </c>
      <c r="J684" s="515">
        <v>6</v>
      </c>
    </row>
    <row r="685" spans="1:10" ht="13.8" thickBot="1">
      <c r="A685" s="517"/>
      <c r="B685" s="518" t="s">
        <v>13222</v>
      </c>
      <c r="C685" s="516"/>
      <c r="D685" s="514" t="s">
        <v>13221</v>
      </c>
      <c r="E685" s="515">
        <v>6.8</v>
      </c>
      <c r="F685" s="518" t="s">
        <v>614</v>
      </c>
      <c r="G685" s="515" t="s">
        <v>2797</v>
      </c>
      <c r="H685" s="514" t="s">
        <v>1251</v>
      </c>
      <c r="I685" s="515"/>
      <c r="J685" s="515">
        <v>8</v>
      </c>
    </row>
    <row r="686" spans="1:10" ht="13.8" thickBot="1">
      <c r="A686" s="517"/>
      <c r="B686" s="518" t="s">
        <v>13220</v>
      </c>
      <c r="C686" s="516"/>
      <c r="D686" s="514" t="s">
        <v>13219</v>
      </c>
      <c r="E686" s="515">
        <v>6.6</v>
      </c>
      <c r="F686" s="518" t="s">
        <v>614</v>
      </c>
      <c r="G686" s="515" t="s">
        <v>2797</v>
      </c>
      <c r="H686" s="514" t="s">
        <v>1251</v>
      </c>
      <c r="I686" s="515"/>
      <c r="J686" s="515">
        <v>11</v>
      </c>
    </row>
    <row r="687" spans="1:10" ht="13.8" thickBot="1">
      <c r="A687" s="517"/>
      <c r="B687" s="518" t="s">
        <v>13218</v>
      </c>
      <c r="C687" s="516"/>
      <c r="D687" s="514" t="s">
        <v>13217</v>
      </c>
      <c r="E687" s="515">
        <v>6.3</v>
      </c>
      <c r="F687" s="518" t="s">
        <v>614</v>
      </c>
      <c r="G687" s="515" t="s">
        <v>2797</v>
      </c>
      <c r="H687" s="514" t="s">
        <v>1841</v>
      </c>
      <c r="I687" s="515">
        <v>1</v>
      </c>
      <c r="J687" s="515">
        <v>6</v>
      </c>
    </row>
    <row r="688" spans="1:10" ht="13.8" thickBot="1">
      <c r="A688" s="517"/>
      <c r="B688" s="518" t="s">
        <v>13216</v>
      </c>
      <c r="C688" s="516"/>
      <c r="D688" s="514" t="s">
        <v>13215</v>
      </c>
      <c r="E688" s="515">
        <v>6.1</v>
      </c>
      <c r="F688" s="518" t="s">
        <v>614</v>
      </c>
      <c r="G688" s="515" t="s">
        <v>2797</v>
      </c>
      <c r="H688" s="514"/>
      <c r="I688" s="515">
        <v>2</v>
      </c>
      <c r="J688" s="515">
        <v>4</v>
      </c>
    </row>
    <row r="689" spans="1:10" ht="13.8" thickBot="1">
      <c r="A689" s="517"/>
      <c r="B689" s="518" t="s">
        <v>13214</v>
      </c>
      <c r="C689" s="516"/>
      <c r="D689" s="514" t="s">
        <v>13213</v>
      </c>
      <c r="E689" s="515">
        <v>6</v>
      </c>
      <c r="F689" s="518" t="s">
        <v>614</v>
      </c>
      <c r="G689" s="515" t="s">
        <v>2797</v>
      </c>
      <c r="H689" s="514" t="s">
        <v>1251</v>
      </c>
      <c r="I689" s="515">
        <v>1</v>
      </c>
      <c r="J689" s="515">
        <v>13</v>
      </c>
    </row>
    <row r="690" spans="1:10" ht="13.8" thickBot="1">
      <c r="A690" s="517"/>
      <c r="B690" s="518" t="s">
        <v>13212</v>
      </c>
      <c r="C690" s="516"/>
      <c r="D690" s="514" t="s">
        <v>1331</v>
      </c>
      <c r="E690" s="515">
        <v>6</v>
      </c>
      <c r="F690" s="514"/>
      <c r="G690" s="515" t="s">
        <v>2797</v>
      </c>
      <c r="H690" s="514" t="s">
        <v>1224</v>
      </c>
      <c r="I690" s="515"/>
      <c r="J690" s="515">
        <v>3</v>
      </c>
    </row>
    <row r="691" spans="1:10" ht="13.8" thickBot="1">
      <c r="A691" s="517"/>
      <c r="B691" s="518" t="s">
        <v>13211</v>
      </c>
      <c r="C691" s="516"/>
      <c r="D691" s="514" t="s">
        <v>13210</v>
      </c>
      <c r="E691" s="515">
        <v>6</v>
      </c>
      <c r="F691" s="514"/>
      <c r="G691" s="515" t="s">
        <v>2797</v>
      </c>
      <c r="H691" s="514"/>
      <c r="I691" s="515"/>
      <c r="J691" s="515">
        <v>6</v>
      </c>
    </row>
    <row r="692" spans="1:10" ht="13.8" thickBot="1">
      <c r="A692" s="517"/>
      <c r="B692" s="518" t="s">
        <v>13209</v>
      </c>
      <c r="C692" s="516"/>
      <c r="D692" s="520" t="s">
        <v>13208</v>
      </c>
      <c r="E692" s="521">
        <v>6</v>
      </c>
      <c r="F692" s="518" t="s">
        <v>614</v>
      </c>
      <c r="G692" s="515" t="s">
        <v>2797</v>
      </c>
      <c r="H692" s="514"/>
      <c r="I692" s="521"/>
      <c r="J692" s="521">
        <v>5</v>
      </c>
    </row>
    <row r="693" spans="1:10" ht="13.8" thickBot="1">
      <c r="A693" s="517"/>
      <c r="B693" s="518" t="s">
        <v>13207</v>
      </c>
      <c r="C693" s="516"/>
      <c r="D693" s="514" t="s">
        <v>2837</v>
      </c>
      <c r="E693" s="515">
        <v>5.5</v>
      </c>
      <c r="F693" s="518" t="s">
        <v>614</v>
      </c>
      <c r="G693" s="515" t="s">
        <v>2797</v>
      </c>
      <c r="H693" s="514" t="s">
        <v>1226</v>
      </c>
      <c r="I693" s="515"/>
      <c r="J693" s="515">
        <v>2</v>
      </c>
    </row>
    <row r="694" spans="1:10" ht="13.8" thickBot="1">
      <c r="A694" s="517"/>
      <c r="B694" s="518" t="s">
        <v>13206</v>
      </c>
      <c r="C694" s="516"/>
      <c r="D694" s="514" t="s">
        <v>1331</v>
      </c>
      <c r="E694" s="515">
        <v>5.5</v>
      </c>
      <c r="F694" s="518" t="s">
        <v>614</v>
      </c>
      <c r="G694" s="515" t="s">
        <v>2797</v>
      </c>
      <c r="H694" s="514"/>
      <c r="I694" s="515"/>
      <c r="J694" s="515">
        <v>2</v>
      </c>
    </row>
    <row r="695" spans="1:10" ht="13.8" thickBot="1">
      <c r="A695" s="517"/>
      <c r="B695" s="518" t="s">
        <v>13205</v>
      </c>
      <c r="C695" s="516"/>
      <c r="D695" s="514" t="s">
        <v>1331</v>
      </c>
      <c r="E695" s="515">
        <v>5</v>
      </c>
      <c r="F695" s="518" t="s">
        <v>614</v>
      </c>
      <c r="G695" s="515" t="s">
        <v>2797</v>
      </c>
      <c r="H695" s="514" t="s">
        <v>1226</v>
      </c>
      <c r="I695" s="515"/>
      <c r="J695" s="515">
        <v>5</v>
      </c>
    </row>
    <row r="696" spans="1:10" ht="13.8" thickBot="1">
      <c r="A696" s="517"/>
      <c r="B696" s="518" t="s">
        <v>13204</v>
      </c>
      <c r="C696" s="516"/>
      <c r="D696" s="514" t="s">
        <v>13203</v>
      </c>
      <c r="E696" s="515">
        <v>4.5</v>
      </c>
      <c r="F696" s="518" t="s">
        <v>1854</v>
      </c>
      <c r="G696" s="515" t="s">
        <v>2797</v>
      </c>
      <c r="H696" s="514" t="s">
        <v>1226</v>
      </c>
      <c r="I696" s="515"/>
      <c r="J696" s="515">
        <v>2</v>
      </c>
    </row>
    <row r="697" spans="1:10" ht="13.8" thickBot="1">
      <c r="A697" s="517"/>
      <c r="B697" s="518" t="s">
        <v>13202</v>
      </c>
      <c r="C697" s="516"/>
      <c r="D697" s="514" t="s">
        <v>1331</v>
      </c>
      <c r="E697" s="515">
        <v>4</v>
      </c>
      <c r="F697" s="518" t="s">
        <v>1854</v>
      </c>
      <c r="G697" s="515" t="s">
        <v>2797</v>
      </c>
      <c r="H697" s="514"/>
      <c r="I697" s="515">
        <v>1</v>
      </c>
      <c r="J697" s="515">
        <v>5</v>
      </c>
    </row>
    <row r="698" spans="1:10" ht="13.8" thickBot="1">
      <c r="A698" s="517"/>
      <c r="B698" s="518" t="s">
        <v>13201</v>
      </c>
      <c r="C698" s="516"/>
      <c r="D698" s="514" t="s">
        <v>13200</v>
      </c>
      <c r="E698" s="515">
        <v>8</v>
      </c>
      <c r="F698" s="514"/>
      <c r="G698" s="515" t="s">
        <v>2841</v>
      </c>
      <c r="H698" s="514"/>
      <c r="I698" s="515"/>
      <c r="J698" s="515"/>
    </row>
    <row r="699" spans="1:10" ht="13.8" thickBot="1">
      <c r="A699" s="517"/>
      <c r="B699" s="518" t="s">
        <v>13199</v>
      </c>
      <c r="C699" s="516"/>
      <c r="D699" s="514" t="s">
        <v>13198</v>
      </c>
      <c r="E699" s="515">
        <v>7.5</v>
      </c>
      <c r="F699" s="514"/>
      <c r="G699" s="515" t="s">
        <v>2841</v>
      </c>
      <c r="H699" s="514" t="s">
        <v>1226</v>
      </c>
      <c r="I699" s="515"/>
      <c r="J699" s="515">
        <v>1</v>
      </c>
    </row>
    <row r="700" spans="1:10" ht="13.8" thickBot="1">
      <c r="A700" s="517"/>
      <c r="B700" s="518" t="s">
        <v>13197</v>
      </c>
      <c r="C700" s="516"/>
      <c r="D700" s="514" t="s">
        <v>13196</v>
      </c>
      <c r="E700" s="515">
        <v>6.8</v>
      </c>
      <c r="F700" s="518" t="s">
        <v>614</v>
      </c>
      <c r="G700" s="515" t="s">
        <v>2841</v>
      </c>
      <c r="H700" s="514" t="s">
        <v>1226</v>
      </c>
      <c r="I700" s="515"/>
      <c r="J700" s="515">
        <v>4</v>
      </c>
    </row>
    <row r="701" spans="1:10" ht="13.8" thickBot="1">
      <c r="A701" s="517"/>
      <c r="B701" s="518" t="s">
        <v>13195</v>
      </c>
      <c r="C701" s="516"/>
      <c r="D701" s="514" t="s">
        <v>13194</v>
      </c>
      <c r="E701" s="515">
        <v>6.75</v>
      </c>
      <c r="F701" s="518" t="s">
        <v>614</v>
      </c>
      <c r="G701" s="515" t="s">
        <v>2841</v>
      </c>
      <c r="H701" s="514" t="s">
        <v>1251</v>
      </c>
      <c r="I701" s="515"/>
      <c r="J701" s="515">
        <v>8</v>
      </c>
    </row>
    <row r="702" spans="1:10" ht="13.8" thickBot="1">
      <c r="A702" s="517"/>
      <c r="B702" s="518" t="s">
        <v>13193</v>
      </c>
      <c r="C702" s="516"/>
      <c r="D702" s="514" t="s">
        <v>13192</v>
      </c>
      <c r="E702" s="515">
        <v>6.5</v>
      </c>
      <c r="F702" s="518" t="s">
        <v>614</v>
      </c>
      <c r="G702" s="515" t="s">
        <v>2841</v>
      </c>
      <c r="H702" s="514" t="s">
        <v>2067</v>
      </c>
      <c r="I702" s="515">
        <v>3</v>
      </c>
      <c r="J702" s="515">
        <v>21</v>
      </c>
    </row>
    <row r="703" spans="1:10" ht="13.8" thickBot="1">
      <c r="A703" s="517"/>
      <c r="B703" s="518" t="s">
        <v>13191</v>
      </c>
      <c r="C703" s="516"/>
      <c r="D703" s="514" t="s">
        <v>13190</v>
      </c>
      <c r="E703" s="515">
        <v>6.4</v>
      </c>
      <c r="F703" s="518" t="s">
        <v>614</v>
      </c>
      <c r="G703" s="515" t="s">
        <v>2841</v>
      </c>
      <c r="H703" s="514" t="s">
        <v>1226</v>
      </c>
      <c r="I703" s="515"/>
      <c r="J703" s="515">
        <v>14</v>
      </c>
    </row>
    <row r="704" spans="1:10" ht="13.8" thickBot="1">
      <c r="A704" s="517"/>
      <c r="B704" s="518" t="s">
        <v>13189</v>
      </c>
      <c r="C704" s="516"/>
      <c r="D704" s="514" t="s">
        <v>13188</v>
      </c>
      <c r="E704" s="515">
        <v>6.25</v>
      </c>
      <c r="F704" s="518" t="s">
        <v>614</v>
      </c>
      <c r="G704" s="515" t="s">
        <v>2841</v>
      </c>
      <c r="H704" s="514" t="s">
        <v>2319</v>
      </c>
      <c r="I704" s="515">
        <v>1</v>
      </c>
      <c r="J704" s="515">
        <v>19</v>
      </c>
    </row>
    <row r="705" spans="1:10" ht="13.8" thickBot="1">
      <c r="A705" s="517"/>
      <c r="B705" s="518" t="s">
        <v>13187</v>
      </c>
      <c r="C705" s="516"/>
      <c r="D705" s="514" t="s">
        <v>13186</v>
      </c>
      <c r="E705" s="515">
        <v>6</v>
      </c>
      <c r="F705" s="518" t="s">
        <v>614</v>
      </c>
      <c r="G705" s="515" t="s">
        <v>2841</v>
      </c>
      <c r="H705" s="514" t="s">
        <v>1224</v>
      </c>
      <c r="I705" s="515">
        <v>1</v>
      </c>
      <c r="J705" s="515">
        <v>9</v>
      </c>
    </row>
    <row r="706" spans="1:10" ht="13.8" thickBot="1">
      <c r="A706" s="517"/>
      <c r="B706" s="518" t="s">
        <v>13185</v>
      </c>
      <c r="C706" s="516"/>
      <c r="D706" s="514" t="s">
        <v>13184</v>
      </c>
      <c r="E706" s="515">
        <v>5.75</v>
      </c>
      <c r="F706" s="518" t="s">
        <v>614</v>
      </c>
      <c r="G706" s="515" t="s">
        <v>2841</v>
      </c>
      <c r="H706" s="514"/>
      <c r="I706" s="515"/>
      <c r="J706" s="515">
        <v>2</v>
      </c>
    </row>
    <row r="707" spans="1:10" ht="13.8" thickBot="1">
      <c r="A707" s="517"/>
      <c r="B707" s="518" t="s">
        <v>13183</v>
      </c>
      <c r="C707" s="516"/>
      <c r="D707" s="514" t="s">
        <v>1340</v>
      </c>
      <c r="E707" s="515">
        <v>5.5</v>
      </c>
      <c r="F707" s="518" t="s">
        <v>1854</v>
      </c>
      <c r="G707" s="515" t="s">
        <v>2841</v>
      </c>
      <c r="H707" s="514"/>
      <c r="I707" s="515"/>
      <c r="J707" s="515">
        <v>2</v>
      </c>
    </row>
    <row r="708" spans="1:10" ht="13.8" thickBot="1">
      <c r="A708" s="517"/>
      <c r="B708" s="518" t="s">
        <v>13182</v>
      </c>
      <c r="C708" s="516"/>
      <c r="D708" s="514" t="s">
        <v>1340</v>
      </c>
      <c r="E708" s="515">
        <v>5</v>
      </c>
      <c r="F708" s="518" t="s">
        <v>614</v>
      </c>
      <c r="G708" s="515" t="s">
        <v>2841</v>
      </c>
      <c r="H708" s="514" t="s">
        <v>1226</v>
      </c>
      <c r="I708" s="515"/>
      <c r="J708" s="515">
        <v>2</v>
      </c>
    </row>
    <row r="709" spans="1:10" ht="13.8" thickBot="1">
      <c r="A709" s="517"/>
      <c r="B709" s="518" t="s">
        <v>13181</v>
      </c>
      <c r="C709" s="516"/>
      <c r="D709" s="514" t="s">
        <v>13180</v>
      </c>
      <c r="E709" s="515">
        <v>5</v>
      </c>
      <c r="F709" s="518" t="s">
        <v>614</v>
      </c>
      <c r="G709" s="515" t="s">
        <v>2841</v>
      </c>
      <c r="H709" s="514" t="s">
        <v>1226</v>
      </c>
      <c r="I709" s="522"/>
      <c r="J709" s="522">
        <v>1</v>
      </c>
    </row>
    <row r="710" spans="1:10" ht="13.8" thickBot="1">
      <c r="A710" s="517"/>
      <c r="B710" s="518" t="s">
        <v>13179</v>
      </c>
      <c r="C710" s="516"/>
      <c r="D710" s="514" t="s">
        <v>13178</v>
      </c>
      <c r="E710" s="515">
        <v>6.5</v>
      </c>
      <c r="F710" s="518" t="s">
        <v>614</v>
      </c>
      <c r="G710" s="515" t="s">
        <v>2884</v>
      </c>
      <c r="H710" s="514" t="s">
        <v>1226</v>
      </c>
      <c r="I710" s="515"/>
      <c r="J710" s="515">
        <v>4</v>
      </c>
    </row>
    <row r="711" spans="1:10" ht="13.8" thickBot="1">
      <c r="A711" s="517"/>
      <c r="B711" s="518" t="s">
        <v>13177</v>
      </c>
      <c r="C711" s="516"/>
      <c r="D711" s="514" t="s">
        <v>2923</v>
      </c>
      <c r="E711" s="515">
        <v>7</v>
      </c>
      <c r="F711" s="518" t="s">
        <v>614</v>
      </c>
      <c r="G711" s="515" t="s">
        <v>2922</v>
      </c>
      <c r="H711" s="514" t="s">
        <v>1226</v>
      </c>
      <c r="I711" s="515"/>
      <c r="J711" s="515">
        <v>1</v>
      </c>
    </row>
    <row r="712" spans="1:10" ht="13.8" thickBot="1">
      <c r="A712" s="517"/>
      <c r="B712" s="518" t="s">
        <v>13176</v>
      </c>
      <c r="C712" s="516"/>
      <c r="D712" s="514" t="s">
        <v>13175</v>
      </c>
      <c r="E712" s="515">
        <v>7.75</v>
      </c>
      <c r="F712" s="518" t="s">
        <v>614</v>
      </c>
      <c r="G712" s="515" t="s">
        <v>2943</v>
      </c>
      <c r="H712" s="514" t="s">
        <v>1229</v>
      </c>
      <c r="I712" s="515">
        <v>2</v>
      </c>
      <c r="J712" s="515">
        <v>10</v>
      </c>
    </row>
    <row r="713" spans="1:10" ht="13.8" thickBot="1">
      <c r="A713" s="517"/>
      <c r="B713" s="518" t="s">
        <v>13174</v>
      </c>
      <c r="C713" s="516"/>
      <c r="D713" s="514" t="s">
        <v>13173</v>
      </c>
      <c r="E713" s="515">
        <v>7</v>
      </c>
      <c r="F713" s="518" t="s">
        <v>13172</v>
      </c>
      <c r="G713" s="515" t="s">
        <v>2943</v>
      </c>
      <c r="H713" s="514" t="s">
        <v>1251</v>
      </c>
      <c r="I713" s="515">
        <v>1</v>
      </c>
      <c r="J713" s="515">
        <v>7</v>
      </c>
    </row>
    <row r="714" spans="1:10" ht="13.8" thickBot="1">
      <c r="A714" s="517"/>
      <c r="B714" s="518" t="s">
        <v>13171</v>
      </c>
      <c r="C714" s="516"/>
      <c r="D714" s="514" t="s">
        <v>13170</v>
      </c>
      <c r="E714" s="515">
        <v>6.75</v>
      </c>
      <c r="F714" s="518" t="s">
        <v>614</v>
      </c>
      <c r="G714" s="515" t="s">
        <v>2943</v>
      </c>
      <c r="H714" s="514" t="s">
        <v>1226</v>
      </c>
      <c r="I714" s="515">
        <v>1</v>
      </c>
      <c r="J714" s="515">
        <v>5</v>
      </c>
    </row>
    <row r="715" spans="1:10" ht="13.8" thickBot="1">
      <c r="A715" s="517"/>
      <c r="B715" s="518" t="s">
        <v>13169</v>
      </c>
      <c r="C715" s="516"/>
      <c r="D715" s="514" t="s">
        <v>1365</v>
      </c>
      <c r="E715" s="515">
        <v>6.5</v>
      </c>
      <c r="F715" s="518" t="s">
        <v>614</v>
      </c>
      <c r="G715" s="515" t="s">
        <v>2943</v>
      </c>
      <c r="H715" s="514" t="s">
        <v>1975</v>
      </c>
      <c r="I715" s="515"/>
      <c r="J715" s="515">
        <v>4</v>
      </c>
    </row>
    <row r="716" spans="1:10" ht="13.8" thickBot="1">
      <c r="A716" s="517"/>
      <c r="B716" s="518" t="s">
        <v>13168</v>
      </c>
      <c r="C716" s="516"/>
      <c r="D716" s="514" t="s">
        <v>13167</v>
      </c>
      <c r="E716" s="515">
        <v>6</v>
      </c>
      <c r="F716" s="518" t="s">
        <v>614</v>
      </c>
      <c r="G716" s="515" t="s">
        <v>2943</v>
      </c>
      <c r="H716" s="514" t="s">
        <v>1841</v>
      </c>
      <c r="I716" s="515"/>
      <c r="J716" s="515">
        <v>14</v>
      </c>
    </row>
    <row r="717" spans="1:10" ht="13.8" thickBot="1">
      <c r="A717" s="517"/>
      <c r="B717" s="518" t="s">
        <v>13166</v>
      </c>
      <c r="C717" s="516"/>
      <c r="D717" s="514" t="s">
        <v>13165</v>
      </c>
      <c r="E717" s="515">
        <v>6</v>
      </c>
      <c r="F717" s="518" t="s">
        <v>614</v>
      </c>
      <c r="G717" s="515" t="s">
        <v>2943</v>
      </c>
      <c r="H717" s="514" t="s">
        <v>1226</v>
      </c>
      <c r="I717" s="515">
        <v>2</v>
      </c>
      <c r="J717" s="515">
        <v>7</v>
      </c>
    </row>
    <row r="718" spans="1:10" ht="13.8" thickBot="1">
      <c r="A718" s="517"/>
      <c r="B718" s="518" t="s">
        <v>13164</v>
      </c>
      <c r="C718" s="516"/>
      <c r="D718" s="514" t="s">
        <v>1365</v>
      </c>
      <c r="E718" s="515">
        <v>5.75</v>
      </c>
      <c r="F718" s="518" t="s">
        <v>614</v>
      </c>
      <c r="G718" s="515" t="s">
        <v>2943</v>
      </c>
      <c r="H718" s="514" t="s">
        <v>1251</v>
      </c>
      <c r="I718" s="515">
        <v>1</v>
      </c>
      <c r="J718" s="515">
        <v>6</v>
      </c>
    </row>
    <row r="719" spans="1:10" ht="13.8" thickBot="1">
      <c r="A719" s="517"/>
      <c r="B719" s="518" t="s">
        <v>13163</v>
      </c>
      <c r="C719" s="516"/>
      <c r="D719" s="514" t="s">
        <v>1365</v>
      </c>
      <c r="E719" s="515">
        <v>5</v>
      </c>
      <c r="F719" s="518" t="s">
        <v>614</v>
      </c>
      <c r="G719" s="515" t="s">
        <v>2943</v>
      </c>
      <c r="H719" s="514" t="s">
        <v>1226</v>
      </c>
      <c r="I719" s="515">
        <v>1</v>
      </c>
      <c r="J719" s="515">
        <v>6</v>
      </c>
    </row>
    <row r="720" spans="1:10" ht="13.8" thickBot="1">
      <c r="A720" s="517"/>
      <c r="B720" s="518" t="s">
        <v>13162</v>
      </c>
      <c r="C720" s="516"/>
      <c r="D720" s="514" t="s">
        <v>1365</v>
      </c>
      <c r="E720" s="515">
        <v>5</v>
      </c>
      <c r="F720" s="518" t="s">
        <v>13161</v>
      </c>
      <c r="G720" s="515" t="s">
        <v>2943</v>
      </c>
      <c r="H720" s="514" t="s">
        <v>1224</v>
      </c>
      <c r="I720" s="522"/>
      <c r="J720" s="522">
        <v>2</v>
      </c>
    </row>
    <row r="721" spans="1:10" ht="13.8" thickBot="1">
      <c r="A721" s="517"/>
      <c r="B721" s="518" t="s">
        <v>13160</v>
      </c>
      <c r="C721" s="516"/>
      <c r="D721" s="514" t="s">
        <v>13159</v>
      </c>
      <c r="E721" s="515">
        <v>7.25</v>
      </c>
      <c r="F721" s="518" t="s">
        <v>1854</v>
      </c>
      <c r="G721" s="515" t="s">
        <v>2957</v>
      </c>
      <c r="H721" s="514" t="s">
        <v>1226</v>
      </c>
      <c r="I721" s="515">
        <v>1</v>
      </c>
      <c r="J721" s="515">
        <v>4</v>
      </c>
    </row>
    <row r="722" spans="1:10" ht="13.8" thickBot="1">
      <c r="A722" s="517"/>
      <c r="B722" s="518" t="s">
        <v>13158</v>
      </c>
      <c r="C722" s="516"/>
      <c r="D722" s="514" t="s">
        <v>13157</v>
      </c>
      <c r="E722" s="515">
        <v>7.1</v>
      </c>
      <c r="F722" s="518" t="s">
        <v>614</v>
      </c>
      <c r="G722" s="515" t="s">
        <v>2957</v>
      </c>
      <c r="H722" s="514" t="s">
        <v>1251</v>
      </c>
      <c r="I722" s="522"/>
      <c r="J722" s="522">
        <v>8</v>
      </c>
    </row>
    <row r="723" spans="1:10" ht="13.8" thickBot="1">
      <c r="A723" s="517"/>
      <c r="B723" s="518" t="s">
        <v>13156</v>
      </c>
      <c r="C723" s="516"/>
      <c r="D723" s="514" t="s">
        <v>13155</v>
      </c>
      <c r="E723" s="515">
        <v>7.1</v>
      </c>
      <c r="F723" s="518" t="s">
        <v>614</v>
      </c>
      <c r="G723" s="515" t="s">
        <v>2957</v>
      </c>
      <c r="H723" s="514" t="s">
        <v>1251</v>
      </c>
      <c r="I723" s="515"/>
      <c r="J723" s="515">
        <v>8</v>
      </c>
    </row>
    <row r="724" spans="1:10" ht="13.8" thickBot="1">
      <c r="A724" s="517"/>
      <c r="B724" s="518" t="s">
        <v>13154</v>
      </c>
      <c r="C724" s="516"/>
      <c r="D724" s="514" t="s">
        <v>13153</v>
      </c>
      <c r="E724" s="515">
        <v>7.1</v>
      </c>
      <c r="F724" s="518" t="s">
        <v>614</v>
      </c>
      <c r="G724" s="515" t="s">
        <v>2957</v>
      </c>
      <c r="H724" s="514" t="s">
        <v>1226</v>
      </c>
      <c r="I724" s="515"/>
      <c r="J724" s="515">
        <v>4</v>
      </c>
    </row>
    <row r="725" spans="1:10" ht="13.8" thickBot="1">
      <c r="A725" s="517"/>
      <c r="B725" s="518" t="s">
        <v>13152</v>
      </c>
      <c r="C725" s="516"/>
      <c r="D725" s="514" t="s">
        <v>1552</v>
      </c>
      <c r="E725" s="515">
        <v>7.1</v>
      </c>
      <c r="F725" s="514"/>
      <c r="G725" s="515" t="s">
        <v>2957</v>
      </c>
      <c r="H725" s="514"/>
      <c r="I725" s="515"/>
      <c r="J725" s="515">
        <v>2</v>
      </c>
    </row>
    <row r="726" spans="1:10" ht="13.8" thickBot="1">
      <c r="A726" s="517"/>
      <c r="B726" s="518" t="s">
        <v>13151</v>
      </c>
      <c r="C726" s="516"/>
      <c r="D726" s="514" t="s">
        <v>13150</v>
      </c>
      <c r="E726" s="515">
        <v>7</v>
      </c>
      <c r="F726" s="518" t="s">
        <v>614</v>
      </c>
      <c r="G726" s="515" t="s">
        <v>2957</v>
      </c>
      <c r="H726" s="514"/>
      <c r="I726" s="515"/>
      <c r="J726" s="515">
        <v>1</v>
      </c>
    </row>
    <row r="727" spans="1:10" ht="13.8" thickBot="1">
      <c r="A727" s="517"/>
      <c r="B727" s="518" t="s">
        <v>13149</v>
      </c>
      <c r="C727" s="516"/>
      <c r="D727" s="514" t="s">
        <v>13148</v>
      </c>
      <c r="E727" s="515">
        <v>6.8</v>
      </c>
      <c r="F727" s="518" t="s">
        <v>614</v>
      </c>
      <c r="G727" s="515" t="s">
        <v>2957</v>
      </c>
      <c r="H727" s="514" t="s">
        <v>1229</v>
      </c>
      <c r="I727" s="515">
        <v>3</v>
      </c>
      <c r="J727" s="515">
        <v>9</v>
      </c>
    </row>
    <row r="728" spans="1:10" ht="13.8" thickBot="1">
      <c r="A728" s="517"/>
      <c r="B728" s="518" t="s">
        <v>13147</v>
      </c>
      <c r="C728" s="516"/>
      <c r="D728" s="514" t="s">
        <v>13146</v>
      </c>
      <c r="E728" s="515">
        <v>6.75</v>
      </c>
      <c r="F728" s="518" t="s">
        <v>614</v>
      </c>
      <c r="G728" s="515" t="s">
        <v>2957</v>
      </c>
      <c r="H728" s="514" t="s">
        <v>1251</v>
      </c>
      <c r="I728" s="515">
        <v>1</v>
      </c>
      <c r="J728" s="515">
        <v>9</v>
      </c>
    </row>
    <row r="729" spans="1:10" ht="13.8" thickBot="1">
      <c r="A729" s="517"/>
      <c r="B729" s="518" t="s">
        <v>13145</v>
      </c>
      <c r="C729" s="516"/>
      <c r="D729" s="514" t="s">
        <v>13144</v>
      </c>
      <c r="E729" s="515">
        <v>6.75</v>
      </c>
      <c r="F729" s="518" t="s">
        <v>614</v>
      </c>
      <c r="G729" s="515" t="s">
        <v>2957</v>
      </c>
      <c r="H729" s="514" t="s">
        <v>1251</v>
      </c>
      <c r="I729" s="515"/>
      <c r="J729" s="515">
        <v>8</v>
      </c>
    </row>
    <row r="730" spans="1:10" ht="13.8" thickBot="1">
      <c r="A730" s="517"/>
      <c r="B730" s="518" t="s">
        <v>13143</v>
      </c>
      <c r="C730" s="516"/>
      <c r="D730" s="514" t="s">
        <v>13142</v>
      </c>
      <c r="E730" s="515">
        <v>6.75</v>
      </c>
      <c r="F730" s="518" t="s">
        <v>614</v>
      </c>
      <c r="G730" s="515" t="s">
        <v>2957</v>
      </c>
      <c r="H730" s="514" t="s">
        <v>1226</v>
      </c>
      <c r="I730" s="522"/>
      <c r="J730" s="522">
        <v>5</v>
      </c>
    </row>
    <row r="731" spans="1:10" ht="13.8" thickBot="1">
      <c r="A731" s="517"/>
      <c r="B731" s="518" t="s">
        <v>13141</v>
      </c>
      <c r="C731" s="516"/>
      <c r="D731" s="519" t="s">
        <v>13140</v>
      </c>
      <c r="E731" s="515">
        <v>6.75</v>
      </c>
      <c r="F731" s="518" t="s">
        <v>614</v>
      </c>
      <c r="G731" s="515" t="s">
        <v>2957</v>
      </c>
      <c r="H731" s="514"/>
      <c r="I731" s="515"/>
      <c r="J731" s="515">
        <v>2</v>
      </c>
    </row>
    <row r="732" spans="1:10" ht="13.8" thickBot="1">
      <c r="A732" s="517"/>
      <c r="B732" s="518" t="s">
        <v>13139</v>
      </c>
      <c r="C732" s="516"/>
      <c r="D732" s="514" t="s">
        <v>13138</v>
      </c>
      <c r="E732" s="515">
        <v>6.7</v>
      </c>
      <c r="F732" s="518" t="s">
        <v>614</v>
      </c>
      <c r="G732" s="515" t="s">
        <v>2957</v>
      </c>
      <c r="H732" s="514" t="s">
        <v>1226</v>
      </c>
      <c r="I732" s="515">
        <v>2</v>
      </c>
      <c r="J732" s="515">
        <v>8</v>
      </c>
    </row>
    <row r="733" spans="1:10" ht="13.8" thickBot="1">
      <c r="A733" s="517"/>
      <c r="B733" s="518" t="s">
        <v>13137</v>
      </c>
      <c r="C733" s="516"/>
      <c r="D733" s="514" t="s">
        <v>13136</v>
      </c>
      <c r="E733" s="515">
        <v>6.6</v>
      </c>
      <c r="F733" s="518" t="s">
        <v>614</v>
      </c>
      <c r="G733" s="515" t="s">
        <v>2957</v>
      </c>
      <c r="H733" s="514" t="s">
        <v>1251</v>
      </c>
      <c r="I733" s="515">
        <v>3</v>
      </c>
      <c r="J733" s="515">
        <v>8</v>
      </c>
    </row>
    <row r="734" spans="1:10" ht="13.8" thickBot="1">
      <c r="A734" s="517"/>
      <c r="B734" s="518" t="s">
        <v>13135</v>
      </c>
      <c r="C734" s="516"/>
      <c r="D734" s="514" t="s">
        <v>13134</v>
      </c>
      <c r="E734" s="515">
        <v>6.6</v>
      </c>
      <c r="F734" s="518" t="s">
        <v>614</v>
      </c>
      <c r="G734" s="515" t="s">
        <v>2957</v>
      </c>
      <c r="H734" s="514" t="s">
        <v>2417</v>
      </c>
      <c r="I734" s="515">
        <v>2</v>
      </c>
      <c r="J734" s="515">
        <v>7</v>
      </c>
    </row>
    <row r="735" spans="1:10" ht="13.8" thickBot="1">
      <c r="A735" s="517"/>
      <c r="B735" s="518" t="s">
        <v>13133</v>
      </c>
      <c r="C735" s="516"/>
      <c r="D735" s="514" t="s">
        <v>13132</v>
      </c>
      <c r="E735" s="515">
        <v>6.5</v>
      </c>
      <c r="F735" s="518" t="s">
        <v>614</v>
      </c>
      <c r="G735" s="515" t="s">
        <v>2957</v>
      </c>
      <c r="H735" s="514" t="s">
        <v>1226</v>
      </c>
      <c r="I735" s="515">
        <v>1</v>
      </c>
      <c r="J735" s="515">
        <v>7</v>
      </c>
    </row>
    <row r="736" spans="1:10" ht="13.8" thickBot="1">
      <c r="A736" s="517"/>
      <c r="B736" s="518" t="s">
        <v>13131</v>
      </c>
      <c r="C736" s="516"/>
      <c r="D736" s="514" t="s">
        <v>1571</v>
      </c>
      <c r="E736" s="515">
        <v>6.5</v>
      </c>
      <c r="F736" s="518" t="s">
        <v>614</v>
      </c>
      <c r="G736" s="515" t="s">
        <v>2957</v>
      </c>
      <c r="H736" s="514" t="s">
        <v>1226</v>
      </c>
      <c r="I736" s="515"/>
      <c r="J736" s="515">
        <v>7</v>
      </c>
    </row>
    <row r="737" spans="1:10" ht="13.8" thickBot="1">
      <c r="A737" s="517"/>
      <c r="B737" s="518" t="s">
        <v>13130</v>
      </c>
      <c r="C737" s="516"/>
      <c r="D737" s="514" t="s">
        <v>13129</v>
      </c>
      <c r="E737" s="515">
        <v>6.5</v>
      </c>
      <c r="F737" s="518" t="s">
        <v>614</v>
      </c>
      <c r="G737" s="515" t="s">
        <v>2957</v>
      </c>
      <c r="H737" s="514" t="s">
        <v>1224</v>
      </c>
      <c r="I737" s="515"/>
      <c r="J737" s="515">
        <v>4</v>
      </c>
    </row>
    <row r="738" spans="1:10" ht="13.8" thickBot="1">
      <c r="A738" s="517"/>
      <c r="B738" s="518" t="s">
        <v>13128</v>
      </c>
      <c r="C738" s="516"/>
      <c r="D738" s="514" t="s">
        <v>13127</v>
      </c>
      <c r="E738" s="515">
        <v>6.5</v>
      </c>
      <c r="F738" s="518" t="s">
        <v>614</v>
      </c>
      <c r="G738" s="515" t="s">
        <v>2957</v>
      </c>
      <c r="H738" s="514"/>
      <c r="I738" s="522"/>
      <c r="J738" s="522">
        <v>8</v>
      </c>
    </row>
    <row r="739" spans="1:10" ht="13.8" thickBot="1">
      <c r="A739" s="517"/>
      <c r="B739" s="518" t="s">
        <v>13126</v>
      </c>
      <c r="C739" s="516"/>
      <c r="D739" s="514" t="s">
        <v>13125</v>
      </c>
      <c r="E739" s="515">
        <v>6.5</v>
      </c>
      <c r="F739" s="518" t="s">
        <v>614</v>
      </c>
      <c r="G739" s="515" t="s">
        <v>2957</v>
      </c>
      <c r="H739" s="514"/>
      <c r="I739" s="515"/>
      <c r="J739" s="515">
        <v>5</v>
      </c>
    </row>
    <row r="740" spans="1:10" ht="13.8" thickBot="1">
      <c r="A740" s="517"/>
      <c r="B740" s="518" t="s">
        <v>13124</v>
      </c>
      <c r="C740" s="516"/>
      <c r="D740" s="514" t="s">
        <v>13123</v>
      </c>
      <c r="E740" s="515">
        <v>6.5</v>
      </c>
      <c r="F740" s="518" t="s">
        <v>1854</v>
      </c>
      <c r="G740" s="515" t="s">
        <v>2957</v>
      </c>
      <c r="H740" s="514"/>
      <c r="I740" s="515">
        <v>1</v>
      </c>
      <c r="J740" s="515">
        <v>5</v>
      </c>
    </row>
    <row r="741" spans="1:10" ht="13.8" thickBot="1">
      <c r="A741" s="517"/>
      <c r="B741" s="518" t="s">
        <v>13122</v>
      </c>
      <c r="C741" s="516"/>
      <c r="D741" s="514" t="s">
        <v>13121</v>
      </c>
      <c r="E741" s="515">
        <v>6.5</v>
      </c>
      <c r="F741" s="518" t="s">
        <v>614</v>
      </c>
      <c r="G741" s="515" t="s">
        <v>2957</v>
      </c>
      <c r="H741" s="514"/>
      <c r="I741" s="515">
        <v>1</v>
      </c>
      <c r="J741" s="515">
        <v>2</v>
      </c>
    </row>
    <row r="742" spans="1:10" ht="13.8" thickBot="1">
      <c r="A742" s="517"/>
      <c r="B742" s="518" t="s">
        <v>13120</v>
      </c>
      <c r="C742" s="516"/>
      <c r="D742" s="514" t="s">
        <v>13119</v>
      </c>
      <c r="E742" s="515">
        <v>6.5</v>
      </c>
      <c r="F742" s="514"/>
      <c r="G742" s="515" t="s">
        <v>2957</v>
      </c>
      <c r="H742" s="514"/>
      <c r="I742" s="515"/>
      <c r="J742" s="515">
        <v>1</v>
      </c>
    </row>
    <row r="743" spans="1:10" ht="13.8" thickBot="1">
      <c r="A743" s="517"/>
      <c r="B743" s="518" t="s">
        <v>13118</v>
      </c>
      <c r="C743" s="516"/>
      <c r="D743" s="514" t="s">
        <v>13117</v>
      </c>
      <c r="E743" s="515">
        <v>6.4</v>
      </c>
      <c r="F743" s="518" t="s">
        <v>614</v>
      </c>
      <c r="G743" s="515" t="s">
        <v>2957</v>
      </c>
      <c r="H743" s="514" t="s">
        <v>1841</v>
      </c>
      <c r="I743" s="515">
        <v>1</v>
      </c>
      <c r="J743" s="515">
        <v>6</v>
      </c>
    </row>
    <row r="744" spans="1:10" ht="13.8" thickBot="1">
      <c r="A744" s="517"/>
      <c r="B744" s="518" t="s">
        <v>13116</v>
      </c>
      <c r="C744" s="516"/>
      <c r="D744" s="514" t="s">
        <v>1562</v>
      </c>
      <c r="E744" s="515">
        <v>6.4</v>
      </c>
      <c r="F744" s="518" t="s">
        <v>614</v>
      </c>
      <c r="G744" s="515" t="s">
        <v>2957</v>
      </c>
      <c r="H744" s="514" t="s">
        <v>1841</v>
      </c>
      <c r="I744" s="515"/>
      <c r="J744" s="515">
        <v>6</v>
      </c>
    </row>
    <row r="745" spans="1:10" ht="13.8" thickBot="1">
      <c r="A745" s="517"/>
      <c r="B745" s="518" t="s">
        <v>13115</v>
      </c>
      <c r="C745" s="516"/>
      <c r="D745" s="514" t="s">
        <v>13114</v>
      </c>
      <c r="E745" s="515">
        <v>6.3</v>
      </c>
      <c r="F745" s="518" t="s">
        <v>614</v>
      </c>
      <c r="G745" s="515" t="s">
        <v>2957</v>
      </c>
      <c r="H745" s="514" t="s">
        <v>1251</v>
      </c>
      <c r="I745" s="515"/>
      <c r="J745" s="515">
        <v>3</v>
      </c>
    </row>
    <row r="746" spans="1:10" ht="13.8" thickBot="1">
      <c r="A746" s="517"/>
      <c r="B746" s="518" t="s">
        <v>13113</v>
      </c>
      <c r="C746" s="516"/>
      <c r="D746" s="514" t="s">
        <v>13112</v>
      </c>
      <c r="E746" s="515">
        <v>6.3</v>
      </c>
      <c r="F746" s="518" t="s">
        <v>614</v>
      </c>
      <c r="G746" s="515" t="s">
        <v>2957</v>
      </c>
      <c r="H746" s="514" t="s">
        <v>1226</v>
      </c>
      <c r="I746" s="515"/>
      <c r="J746" s="515">
        <v>6</v>
      </c>
    </row>
    <row r="747" spans="1:10" ht="13.8" thickBot="1">
      <c r="A747" s="517"/>
      <c r="B747" s="518" t="s">
        <v>13111</v>
      </c>
      <c r="C747" s="516"/>
      <c r="D747" s="514" t="s">
        <v>13110</v>
      </c>
      <c r="E747" s="515">
        <v>6.3</v>
      </c>
      <c r="F747" s="518" t="s">
        <v>614</v>
      </c>
      <c r="G747" s="515" t="s">
        <v>2957</v>
      </c>
      <c r="H747" s="514" t="s">
        <v>1226</v>
      </c>
      <c r="I747" s="515"/>
      <c r="J747" s="515">
        <v>5</v>
      </c>
    </row>
    <row r="748" spans="1:10" ht="13.8" thickBot="1">
      <c r="A748" s="517"/>
      <c r="B748" s="518" t="s">
        <v>13109</v>
      </c>
      <c r="C748" s="516"/>
      <c r="D748" s="514" t="s">
        <v>13108</v>
      </c>
      <c r="E748" s="515">
        <v>6.25</v>
      </c>
      <c r="F748" s="518" t="s">
        <v>614</v>
      </c>
      <c r="G748" s="515" t="s">
        <v>2957</v>
      </c>
      <c r="H748" s="514" t="s">
        <v>1226</v>
      </c>
      <c r="I748" s="515">
        <v>1</v>
      </c>
      <c r="J748" s="515">
        <v>5</v>
      </c>
    </row>
    <row r="749" spans="1:10" ht="13.8" thickBot="1">
      <c r="A749" s="517"/>
      <c r="B749" s="518" t="s">
        <v>13107</v>
      </c>
      <c r="C749" s="516"/>
      <c r="D749" s="514" t="s">
        <v>1552</v>
      </c>
      <c r="E749" s="515">
        <v>6.25</v>
      </c>
      <c r="F749" s="518" t="s">
        <v>1854</v>
      </c>
      <c r="G749" s="515" t="s">
        <v>2957</v>
      </c>
      <c r="H749" s="514" t="s">
        <v>1224</v>
      </c>
      <c r="I749" s="522"/>
      <c r="J749" s="522">
        <v>4</v>
      </c>
    </row>
    <row r="750" spans="1:10" ht="13.8" thickBot="1">
      <c r="A750" s="517"/>
      <c r="B750" s="518" t="s">
        <v>13106</v>
      </c>
      <c r="C750" s="516"/>
      <c r="D750" s="514" t="s">
        <v>13105</v>
      </c>
      <c r="E750" s="515">
        <v>6.25</v>
      </c>
      <c r="F750" s="518" t="s">
        <v>614</v>
      </c>
      <c r="G750" s="515" t="s">
        <v>2957</v>
      </c>
      <c r="H750" s="514"/>
      <c r="I750" s="515">
        <v>1</v>
      </c>
      <c r="J750" s="515">
        <v>3</v>
      </c>
    </row>
    <row r="751" spans="1:10" ht="13.8" thickBot="1">
      <c r="A751" s="517"/>
      <c r="B751" s="518" t="s">
        <v>13104</v>
      </c>
      <c r="C751" s="516"/>
      <c r="D751" s="514" t="s">
        <v>13103</v>
      </c>
      <c r="E751" s="515">
        <v>6.25</v>
      </c>
      <c r="F751" s="518" t="s">
        <v>1854</v>
      </c>
      <c r="G751" s="515" t="s">
        <v>2957</v>
      </c>
      <c r="H751" s="514"/>
      <c r="I751" s="515"/>
      <c r="J751" s="515">
        <v>1</v>
      </c>
    </row>
    <row r="752" spans="1:10" ht="13.8" thickBot="1">
      <c r="A752" s="517"/>
      <c r="B752" s="518" t="s">
        <v>13102</v>
      </c>
      <c r="C752" s="516"/>
      <c r="D752" s="519" t="s">
        <v>13101</v>
      </c>
      <c r="E752" s="515">
        <v>6.1</v>
      </c>
      <c r="F752" s="518" t="s">
        <v>614</v>
      </c>
      <c r="G752" s="515" t="s">
        <v>2957</v>
      </c>
      <c r="H752" s="514" t="s">
        <v>1251</v>
      </c>
      <c r="I752" s="515"/>
      <c r="J752" s="515">
        <v>8</v>
      </c>
    </row>
    <row r="753" spans="1:10" ht="13.8" thickBot="1">
      <c r="A753" s="517"/>
      <c r="B753" s="518" t="s">
        <v>13100</v>
      </c>
      <c r="C753" s="516"/>
      <c r="D753" s="514" t="s">
        <v>13099</v>
      </c>
      <c r="E753" s="515">
        <v>6</v>
      </c>
      <c r="F753" s="518" t="s">
        <v>614</v>
      </c>
      <c r="G753" s="515" t="s">
        <v>2957</v>
      </c>
      <c r="H753" s="514" t="s">
        <v>1251</v>
      </c>
      <c r="I753" s="515">
        <v>1</v>
      </c>
      <c r="J753" s="515">
        <v>14</v>
      </c>
    </row>
    <row r="754" spans="1:10" ht="13.8" thickBot="1">
      <c r="A754" s="517"/>
      <c r="B754" s="518" t="s">
        <v>13098</v>
      </c>
      <c r="C754" s="516"/>
      <c r="D754" s="514" t="s">
        <v>13097</v>
      </c>
      <c r="E754" s="515">
        <v>6</v>
      </c>
      <c r="F754" s="518" t="s">
        <v>614</v>
      </c>
      <c r="G754" s="515" t="s">
        <v>2957</v>
      </c>
      <c r="H754" s="514" t="s">
        <v>1841</v>
      </c>
      <c r="I754" s="515"/>
      <c r="J754" s="515">
        <v>6</v>
      </c>
    </row>
    <row r="755" spans="1:10" ht="13.8" thickBot="1">
      <c r="A755" s="517"/>
      <c r="B755" s="518" t="s">
        <v>13096</v>
      </c>
      <c r="C755" s="516"/>
      <c r="D755" s="514" t="s">
        <v>3057</v>
      </c>
      <c r="E755" s="515">
        <v>6</v>
      </c>
      <c r="F755" s="518" t="s">
        <v>614</v>
      </c>
      <c r="G755" s="515" t="s">
        <v>2957</v>
      </c>
      <c r="H755" s="514" t="s">
        <v>1841</v>
      </c>
      <c r="I755" s="515"/>
      <c r="J755" s="515">
        <v>5</v>
      </c>
    </row>
    <row r="756" spans="1:10" ht="13.8" thickBot="1">
      <c r="A756" s="517"/>
      <c r="B756" s="518" t="s">
        <v>13095</v>
      </c>
      <c r="C756" s="516"/>
      <c r="D756" s="514" t="s">
        <v>13094</v>
      </c>
      <c r="E756" s="515">
        <v>6</v>
      </c>
      <c r="F756" s="518" t="s">
        <v>614</v>
      </c>
      <c r="G756" s="515" t="s">
        <v>2957</v>
      </c>
      <c r="H756" s="514" t="s">
        <v>1226</v>
      </c>
      <c r="I756" s="515">
        <v>1</v>
      </c>
      <c r="J756" s="515">
        <v>8</v>
      </c>
    </row>
    <row r="757" spans="1:10" ht="13.8" thickBot="1">
      <c r="A757" s="517"/>
      <c r="B757" s="518" t="s">
        <v>13093</v>
      </c>
      <c r="C757" s="516"/>
      <c r="D757" s="514" t="s">
        <v>13092</v>
      </c>
      <c r="E757" s="515">
        <v>6</v>
      </c>
      <c r="F757" s="518" t="s">
        <v>614</v>
      </c>
      <c r="G757" s="515" t="s">
        <v>2957</v>
      </c>
      <c r="H757" s="514" t="s">
        <v>1226</v>
      </c>
      <c r="I757" s="515">
        <v>1</v>
      </c>
      <c r="J757" s="515">
        <v>3</v>
      </c>
    </row>
    <row r="758" spans="1:10" ht="13.8" thickBot="1">
      <c r="A758" s="517"/>
      <c r="B758" s="518" t="s">
        <v>13091</v>
      </c>
      <c r="C758" s="516"/>
      <c r="D758" s="514" t="s">
        <v>3066</v>
      </c>
      <c r="E758" s="515">
        <v>6</v>
      </c>
      <c r="F758" s="518" t="s">
        <v>614</v>
      </c>
      <c r="G758" s="515" t="s">
        <v>2957</v>
      </c>
      <c r="H758" s="514" t="s">
        <v>2067</v>
      </c>
      <c r="I758" s="515">
        <v>1</v>
      </c>
      <c r="J758" s="515">
        <v>6</v>
      </c>
    </row>
    <row r="759" spans="1:10" ht="13.8" thickBot="1">
      <c r="A759" s="517"/>
      <c r="B759" s="518" t="s">
        <v>13090</v>
      </c>
      <c r="C759" s="516"/>
      <c r="D759" s="514" t="s">
        <v>13089</v>
      </c>
      <c r="E759" s="515">
        <v>6</v>
      </c>
      <c r="F759" s="518" t="s">
        <v>614</v>
      </c>
      <c r="G759" s="515" t="s">
        <v>2957</v>
      </c>
      <c r="H759" s="514" t="s">
        <v>1224</v>
      </c>
      <c r="I759" s="515">
        <v>1</v>
      </c>
      <c r="J759" s="515">
        <v>10</v>
      </c>
    </row>
    <row r="760" spans="1:10" ht="13.8" thickBot="1">
      <c r="A760" s="517"/>
      <c r="B760" s="518" t="s">
        <v>13088</v>
      </c>
      <c r="C760" s="516"/>
      <c r="D760" s="514" t="s">
        <v>1576</v>
      </c>
      <c r="E760" s="515">
        <v>6</v>
      </c>
      <c r="F760" s="518" t="s">
        <v>614</v>
      </c>
      <c r="G760" s="515" t="s">
        <v>2957</v>
      </c>
      <c r="H760" s="514" t="s">
        <v>1224</v>
      </c>
      <c r="I760" s="515"/>
      <c r="J760" s="515">
        <v>2</v>
      </c>
    </row>
    <row r="761" spans="1:10" ht="13.8" thickBot="1">
      <c r="A761" s="517"/>
      <c r="B761" s="518" t="s">
        <v>13087</v>
      </c>
      <c r="C761" s="516"/>
      <c r="D761" s="514" t="s">
        <v>13086</v>
      </c>
      <c r="E761" s="515">
        <v>6</v>
      </c>
      <c r="F761" s="518" t="s">
        <v>614</v>
      </c>
      <c r="G761" s="515" t="s">
        <v>2957</v>
      </c>
      <c r="H761" s="514" t="s">
        <v>1224</v>
      </c>
      <c r="I761" s="515"/>
      <c r="J761" s="515">
        <v>2</v>
      </c>
    </row>
    <row r="762" spans="1:10" ht="13.8" thickBot="1">
      <c r="A762" s="517"/>
      <c r="B762" s="518" t="s">
        <v>13085</v>
      </c>
      <c r="C762" s="516"/>
      <c r="D762" s="514" t="s">
        <v>13084</v>
      </c>
      <c r="E762" s="515">
        <v>5.75</v>
      </c>
      <c r="F762" s="518" t="s">
        <v>614</v>
      </c>
      <c r="G762" s="515" t="s">
        <v>2957</v>
      </c>
      <c r="H762" s="514" t="s">
        <v>1251</v>
      </c>
      <c r="I762" s="515"/>
      <c r="J762" s="515">
        <v>3</v>
      </c>
    </row>
    <row r="763" spans="1:10" ht="13.8" thickBot="1">
      <c r="A763" s="517"/>
      <c r="B763" s="518" t="s">
        <v>13083</v>
      </c>
      <c r="C763" s="516"/>
      <c r="D763" s="514" t="s">
        <v>13082</v>
      </c>
      <c r="E763" s="515">
        <v>5.75</v>
      </c>
      <c r="F763" s="518" t="s">
        <v>614</v>
      </c>
      <c r="G763" s="515" t="s">
        <v>2957</v>
      </c>
      <c r="H763" s="514" t="s">
        <v>1841</v>
      </c>
      <c r="I763" s="522">
        <v>3</v>
      </c>
      <c r="J763" s="522">
        <v>8</v>
      </c>
    </row>
    <row r="764" spans="1:10" ht="13.8" thickBot="1">
      <c r="A764" s="517"/>
      <c r="B764" s="518" t="s">
        <v>13081</v>
      </c>
      <c r="C764" s="516"/>
      <c r="D764" s="514" t="s">
        <v>13080</v>
      </c>
      <c r="E764" s="515">
        <v>5.75</v>
      </c>
      <c r="F764" s="518" t="s">
        <v>11671</v>
      </c>
      <c r="G764" s="515" t="s">
        <v>2957</v>
      </c>
      <c r="H764" s="514" t="s">
        <v>1226</v>
      </c>
      <c r="I764" s="515"/>
      <c r="J764" s="515">
        <v>4</v>
      </c>
    </row>
    <row r="765" spans="1:10" ht="13.8" thickBot="1">
      <c r="A765" s="517"/>
      <c r="B765" s="518" t="s">
        <v>13079</v>
      </c>
      <c r="C765" s="516"/>
      <c r="D765" s="514" t="s">
        <v>1554</v>
      </c>
      <c r="E765" s="515">
        <v>5.5</v>
      </c>
      <c r="F765" s="518" t="s">
        <v>614</v>
      </c>
      <c r="G765" s="515" t="s">
        <v>2957</v>
      </c>
      <c r="H765" s="514" t="s">
        <v>1226</v>
      </c>
      <c r="I765" s="515"/>
      <c r="J765" s="515">
        <v>5</v>
      </c>
    </row>
    <row r="766" spans="1:10" ht="13.8" thickBot="1">
      <c r="A766" s="517"/>
      <c r="B766" s="518" t="s">
        <v>13078</v>
      </c>
      <c r="C766" s="516"/>
      <c r="D766" s="519" t="s">
        <v>13077</v>
      </c>
      <c r="E766" s="515">
        <v>5.5</v>
      </c>
      <c r="F766" s="518" t="s">
        <v>614</v>
      </c>
      <c r="G766" s="515" t="s">
        <v>2957</v>
      </c>
      <c r="H766" s="514" t="s">
        <v>1226</v>
      </c>
      <c r="I766" s="515"/>
      <c r="J766" s="515">
        <v>3</v>
      </c>
    </row>
    <row r="767" spans="1:10" ht="13.8" thickBot="1">
      <c r="A767" s="517"/>
      <c r="B767" s="518" t="s">
        <v>13076</v>
      </c>
      <c r="C767" s="516"/>
      <c r="D767" s="514" t="s">
        <v>1552</v>
      </c>
      <c r="E767" s="515">
        <v>5.5</v>
      </c>
      <c r="F767" s="518" t="s">
        <v>614</v>
      </c>
      <c r="G767" s="515" t="s">
        <v>2957</v>
      </c>
      <c r="H767" s="514" t="s">
        <v>1226</v>
      </c>
      <c r="I767" s="522"/>
      <c r="J767" s="522">
        <v>3</v>
      </c>
    </row>
    <row r="768" spans="1:10" ht="13.8" thickBot="1">
      <c r="A768" s="517"/>
      <c r="B768" s="518" t="s">
        <v>13075</v>
      </c>
      <c r="C768" s="516"/>
      <c r="D768" s="514" t="s">
        <v>1576</v>
      </c>
      <c r="E768" s="515">
        <v>5.5</v>
      </c>
      <c r="F768" s="514"/>
      <c r="G768" s="515" t="s">
        <v>2957</v>
      </c>
      <c r="H768" s="514" t="s">
        <v>1224</v>
      </c>
      <c r="I768" s="515"/>
      <c r="J768" s="515">
        <v>5</v>
      </c>
    </row>
    <row r="769" spans="1:10" ht="13.8" thickBot="1">
      <c r="A769" s="517"/>
      <c r="B769" s="518" t="s">
        <v>13074</v>
      </c>
      <c r="C769" s="516"/>
      <c r="D769" s="514" t="s">
        <v>1571</v>
      </c>
      <c r="E769" s="515">
        <v>5.5</v>
      </c>
      <c r="F769" s="518" t="s">
        <v>614</v>
      </c>
      <c r="G769" s="515" t="s">
        <v>2957</v>
      </c>
      <c r="H769" s="514" t="s">
        <v>1224</v>
      </c>
      <c r="I769" s="522"/>
      <c r="J769" s="522">
        <v>4</v>
      </c>
    </row>
    <row r="770" spans="1:10" ht="13.8" thickBot="1">
      <c r="A770" s="517"/>
      <c r="B770" s="518" t="s">
        <v>13073</v>
      </c>
      <c r="C770" s="516"/>
      <c r="D770" s="514" t="s">
        <v>13072</v>
      </c>
      <c r="E770" s="515">
        <v>5.5</v>
      </c>
      <c r="F770" s="518" t="s">
        <v>614</v>
      </c>
      <c r="G770" s="515" t="s">
        <v>2957</v>
      </c>
      <c r="H770" s="514" t="s">
        <v>1224</v>
      </c>
      <c r="I770" s="515"/>
      <c r="J770" s="515">
        <v>3</v>
      </c>
    </row>
    <row r="771" spans="1:10" ht="13.8" thickBot="1">
      <c r="A771" s="517"/>
      <c r="B771" s="518" t="s">
        <v>13071</v>
      </c>
      <c r="C771" s="516"/>
      <c r="D771" s="514" t="s">
        <v>13070</v>
      </c>
      <c r="E771" s="515">
        <v>5.5</v>
      </c>
      <c r="F771" s="518" t="s">
        <v>614</v>
      </c>
      <c r="G771" s="515" t="s">
        <v>2957</v>
      </c>
      <c r="H771" s="514" t="s">
        <v>1224</v>
      </c>
      <c r="I771" s="515"/>
      <c r="J771" s="515">
        <v>3</v>
      </c>
    </row>
    <row r="772" spans="1:10" ht="13.8" thickBot="1">
      <c r="A772" s="517"/>
      <c r="B772" s="518" t="s">
        <v>13069</v>
      </c>
      <c r="C772" s="516"/>
      <c r="D772" s="514" t="s">
        <v>13068</v>
      </c>
      <c r="E772" s="515">
        <v>5.5</v>
      </c>
      <c r="F772" s="514"/>
      <c r="G772" s="515" t="s">
        <v>2957</v>
      </c>
      <c r="H772" s="514" t="s">
        <v>1224</v>
      </c>
      <c r="I772" s="515"/>
      <c r="J772" s="515">
        <v>3</v>
      </c>
    </row>
    <row r="773" spans="1:10" ht="13.8" thickBot="1">
      <c r="A773" s="517"/>
      <c r="B773" s="518" t="s">
        <v>13067</v>
      </c>
      <c r="C773" s="516"/>
      <c r="D773" s="514" t="s">
        <v>13066</v>
      </c>
      <c r="E773" s="515">
        <v>5.5</v>
      </c>
      <c r="F773" s="518" t="s">
        <v>614</v>
      </c>
      <c r="G773" s="515" t="s">
        <v>2957</v>
      </c>
      <c r="H773" s="514" t="s">
        <v>1224</v>
      </c>
      <c r="I773" s="515">
        <v>1</v>
      </c>
      <c r="J773" s="515">
        <v>2</v>
      </c>
    </row>
    <row r="774" spans="1:10" ht="13.8" thickBot="1">
      <c r="A774" s="517"/>
      <c r="B774" s="518" t="s">
        <v>13065</v>
      </c>
      <c r="C774" s="516"/>
      <c r="D774" s="514" t="s">
        <v>13064</v>
      </c>
      <c r="E774" s="515">
        <v>5.5</v>
      </c>
      <c r="F774" s="518" t="s">
        <v>614</v>
      </c>
      <c r="G774" s="515" t="s">
        <v>2957</v>
      </c>
      <c r="H774" s="514" t="s">
        <v>1224</v>
      </c>
      <c r="I774" s="515"/>
      <c r="J774" s="515">
        <v>2</v>
      </c>
    </row>
    <row r="775" spans="1:10" ht="13.8" thickBot="1">
      <c r="A775" s="517"/>
      <c r="B775" s="518" t="s">
        <v>13063</v>
      </c>
      <c r="C775" s="516"/>
      <c r="D775" s="514" t="s">
        <v>13062</v>
      </c>
      <c r="E775" s="515">
        <v>5.5</v>
      </c>
      <c r="F775" s="518" t="s">
        <v>614</v>
      </c>
      <c r="G775" s="515" t="s">
        <v>2957</v>
      </c>
      <c r="H775" s="514" t="s">
        <v>1224</v>
      </c>
      <c r="I775" s="515"/>
      <c r="J775" s="515">
        <v>1</v>
      </c>
    </row>
    <row r="776" spans="1:10" ht="13.8" thickBot="1">
      <c r="A776" s="517"/>
      <c r="B776" s="518" t="s">
        <v>13061</v>
      </c>
      <c r="C776" s="516"/>
      <c r="D776" s="514" t="s">
        <v>1552</v>
      </c>
      <c r="E776" s="515">
        <v>5.5</v>
      </c>
      <c r="F776" s="514"/>
      <c r="G776" s="515" t="s">
        <v>2957</v>
      </c>
      <c r="H776" s="514" t="s">
        <v>1224</v>
      </c>
      <c r="I776" s="515"/>
      <c r="J776" s="515">
        <v>1</v>
      </c>
    </row>
    <row r="777" spans="1:10" ht="13.8" thickBot="1">
      <c r="A777" s="517"/>
      <c r="B777" s="518" t="s">
        <v>13060</v>
      </c>
      <c r="C777" s="516"/>
      <c r="D777" s="519" t="s">
        <v>1552</v>
      </c>
      <c r="E777" s="515">
        <v>5.5</v>
      </c>
      <c r="F777" s="518" t="s">
        <v>614</v>
      </c>
      <c r="G777" s="515" t="s">
        <v>2957</v>
      </c>
      <c r="H777" s="514"/>
      <c r="I777" s="515">
        <v>1</v>
      </c>
      <c r="J777" s="515">
        <v>8</v>
      </c>
    </row>
    <row r="778" spans="1:10" ht="13.8" thickBot="1">
      <c r="A778" s="517"/>
      <c r="B778" s="518" t="s">
        <v>13059</v>
      </c>
      <c r="C778" s="516"/>
      <c r="D778" s="514" t="s">
        <v>13058</v>
      </c>
      <c r="E778" s="515">
        <v>5.5</v>
      </c>
      <c r="F778" s="518" t="s">
        <v>614</v>
      </c>
      <c r="G778" s="515" t="s">
        <v>2957</v>
      </c>
      <c r="H778" s="514"/>
      <c r="I778" s="515"/>
      <c r="J778" s="515">
        <v>2</v>
      </c>
    </row>
    <row r="779" spans="1:10" ht="13.8" thickBot="1">
      <c r="A779" s="517"/>
      <c r="B779" s="518" t="s">
        <v>13057</v>
      </c>
      <c r="C779" s="516"/>
      <c r="D779" s="514" t="s">
        <v>1555</v>
      </c>
      <c r="E779" s="515">
        <v>5.5</v>
      </c>
      <c r="F779" s="518" t="s">
        <v>614</v>
      </c>
      <c r="G779" s="515" t="s">
        <v>2957</v>
      </c>
      <c r="H779" s="514"/>
      <c r="I779" s="515"/>
      <c r="J779" s="515">
        <v>2</v>
      </c>
    </row>
    <row r="780" spans="1:10" ht="13.8" thickBot="1">
      <c r="A780" s="517"/>
      <c r="B780" s="518" t="s">
        <v>13056</v>
      </c>
      <c r="C780" s="516"/>
      <c r="D780" s="514" t="s">
        <v>13055</v>
      </c>
      <c r="E780" s="515">
        <v>5.5</v>
      </c>
      <c r="F780" s="518" t="s">
        <v>614</v>
      </c>
      <c r="G780" s="515" t="s">
        <v>2957</v>
      </c>
      <c r="H780" s="514"/>
      <c r="I780" s="515"/>
      <c r="J780" s="515">
        <v>1</v>
      </c>
    </row>
    <row r="781" spans="1:10" ht="13.8" thickBot="1">
      <c r="A781" s="517"/>
      <c r="B781" s="518" t="s">
        <v>13054</v>
      </c>
      <c r="C781" s="516"/>
      <c r="D781" s="514" t="s">
        <v>13053</v>
      </c>
      <c r="E781" s="515">
        <v>5.5</v>
      </c>
      <c r="F781" s="518" t="s">
        <v>1854</v>
      </c>
      <c r="G781" s="515" t="s">
        <v>2957</v>
      </c>
      <c r="H781" s="514"/>
      <c r="I781" s="515"/>
      <c r="J781" s="515">
        <v>1</v>
      </c>
    </row>
    <row r="782" spans="1:10" ht="13.8" thickBot="1">
      <c r="A782" s="517"/>
      <c r="B782" s="518" t="s">
        <v>13052</v>
      </c>
      <c r="C782" s="516"/>
      <c r="D782" s="519" t="s">
        <v>13051</v>
      </c>
      <c r="E782" s="515">
        <v>5</v>
      </c>
      <c r="F782" s="518" t="s">
        <v>614</v>
      </c>
      <c r="G782" s="515" t="s">
        <v>2957</v>
      </c>
      <c r="H782" s="514" t="s">
        <v>1841</v>
      </c>
      <c r="I782" s="515">
        <v>2</v>
      </c>
      <c r="J782" s="515">
        <v>17</v>
      </c>
    </row>
    <row r="783" spans="1:10" ht="13.8" thickBot="1">
      <c r="A783" s="517"/>
      <c r="B783" s="518" t="s">
        <v>13050</v>
      </c>
      <c r="C783" s="516"/>
      <c r="D783" s="514" t="s">
        <v>13049</v>
      </c>
      <c r="E783" s="515">
        <v>5</v>
      </c>
      <c r="F783" s="518" t="s">
        <v>614</v>
      </c>
      <c r="G783" s="515" t="s">
        <v>2957</v>
      </c>
      <c r="H783" s="514" t="s">
        <v>2374</v>
      </c>
      <c r="I783" s="515"/>
      <c r="J783" s="515">
        <v>5</v>
      </c>
    </row>
    <row r="784" spans="1:10" ht="13.8" thickBot="1">
      <c r="A784" s="517"/>
      <c r="B784" s="518" t="s">
        <v>13048</v>
      </c>
      <c r="C784" s="516"/>
      <c r="D784" s="514" t="s">
        <v>13047</v>
      </c>
      <c r="E784" s="515">
        <v>5</v>
      </c>
      <c r="F784" s="518" t="s">
        <v>614</v>
      </c>
      <c r="G784" s="515" t="s">
        <v>2957</v>
      </c>
      <c r="H784" s="514" t="s">
        <v>1226</v>
      </c>
      <c r="I784" s="515"/>
      <c r="J784" s="515">
        <v>5</v>
      </c>
    </row>
    <row r="785" spans="1:10" ht="13.8" thickBot="1">
      <c r="A785" s="517"/>
      <c r="B785" s="518" t="s">
        <v>13046</v>
      </c>
      <c r="C785" s="516"/>
      <c r="D785" s="514" t="s">
        <v>13045</v>
      </c>
      <c r="E785" s="515">
        <v>5</v>
      </c>
      <c r="F785" s="518" t="s">
        <v>614</v>
      </c>
      <c r="G785" s="515" t="s">
        <v>2957</v>
      </c>
      <c r="H785" s="514" t="s">
        <v>1226</v>
      </c>
      <c r="I785" s="515">
        <v>1</v>
      </c>
      <c r="J785" s="515">
        <v>2</v>
      </c>
    </row>
    <row r="786" spans="1:10" ht="13.8" thickBot="1">
      <c r="A786" s="517"/>
      <c r="B786" s="518" t="s">
        <v>13044</v>
      </c>
      <c r="C786" s="516"/>
      <c r="D786" s="514" t="s">
        <v>1552</v>
      </c>
      <c r="E786" s="515">
        <v>5</v>
      </c>
      <c r="F786" s="518" t="s">
        <v>1854</v>
      </c>
      <c r="G786" s="515" t="s">
        <v>2957</v>
      </c>
      <c r="H786" s="514" t="s">
        <v>1226</v>
      </c>
      <c r="I786" s="515"/>
      <c r="J786" s="515">
        <v>1</v>
      </c>
    </row>
    <row r="787" spans="1:10" ht="13.8" thickBot="1">
      <c r="A787" s="517"/>
      <c r="B787" s="518" t="s">
        <v>13043</v>
      </c>
      <c r="C787" s="516"/>
      <c r="D787" s="514" t="s">
        <v>13042</v>
      </c>
      <c r="E787" s="515">
        <v>5</v>
      </c>
      <c r="F787" s="518" t="s">
        <v>614</v>
      </c>
      <c r="G787" s="515" t="s">
        <v>2957</v>
      </c>
      <c r="H787" s="514" t="s">
        <v>1226</v>
      </c>
      <c r="I787" s="515"/>
      <c r="J787" s="515">
        <v>1</v>
      </c>
    </row>
    <row r="788" spans="1:10" ht="13.8" thickBot="1">
      <c r="A788" s="517"/>
      <c r="B788" s="518" t="s">
        <v>13041</v>
      </c>
      <c r="C788" s="516"/>
      <c r="D788" s="514" t="s">
        <v>1552</v>
      </c>
      <c r="E788" s="515">
        <v>5</v>
      </c>
      <c r="F788" s="514"/>
      <c r="G788" s="515" t="s">
        <v>2957</v>
      </c>
      <c r="H788" s="514" t="s">
        <v>1224</v>
      </c>
      <c r="I788" s="515"/>
      <c r="J788" s="515">
        <v>4</v>
      </c>
    </row>
    <row r="789" spans="1:10" ht="13.8" thickBot="1">
      <c r="A789" s="517"/>
      <c r="B789" s="518" t="s">
        <v>13040</v>
      </c>
      <c r="C789" s="516"/>
      <c r="D789" s="514" t="s">
        <v>1554</v>
      </c>
      <c r="E789" s="515">
        <v>5</v>
      </c>
      <c r="F789" s="514"/>
      <c r="G789" s="515" t="s">
        <v>2957</v>
      </c>
      <c r="H789" s="514" t="s">
        <v>1224</v>
      </c>
      <c r="I789" s="515"/>
      <c r="J789" s="515">
        <v>1</v>
      </c>
    </row>
    <row r="790" spans="1:10" ht="13.8" thickBot="1">
      <c r="A790" s="517"/>
      <c r="B790" s="518" t="s">
        <v>13039</v>
      </c>
      <c r="C790" s="516"/>
      <c r="D790" s="514" t="s">
        <v>13038</v>
      </c>
      <c r="E790" s="515">
        <v>5</v>
      </c>
      <c r="F790" s="514"/>
      <c r="G790" s="515" t="s">
        <v>2957</v>
      </c>
      <c r="H790" s="514"/>
      <c r="I790" s="522">
        <v>1</v>
      </c>
      <c r="J790" s="522">
        <v>5</v>
      </c>
    </row>
    <row r="791" spans="1:10" ht="13.8" thickBot="1">
      <c r="A791" s="517"/>
      <c r="B791" s="518" t="s">
        <v>13037</v>
      </c>
      <c r="C791" s="516"/>
      <c r="D791" s="514" t="s">
        <v>13036</v>
      </c>
      <c r="E791" s="515">
        <v>5</v>
      </c>
      <c r="F791" s="518" t="s">
        <v>614</v>
      </c>
      <c r="G791" s="515" t="s">
        <v>2957</v>
      </c>
      <c r="H791" s="514"/>
      <c r="I791" s="522"/>
      <c r="J791" s="522">
        <v>4</v>
      </c>
    </row>
    <row r="792" spans="1:10" ht="13.8" thickBot="1">
      <c r="A792" s="517"/>
      <c r="B792" s="518" t="s">
        <v>13035</v>
      </c>
      <c r="C792" s="516"/>
      <c r="D792" s="514" t="s">
        <v>13034</v>
      </c>
      <c r="E792" s="515">
        <v>5</v>
      </c>
      <c r="F792" s="518" t="s">
        <v>614</v>
      </c>
      <c r="G792" s="515" t="s">
        <v>2957</v>
      </c>
      <c r="H792" s="514"/>
      <c r="I792" s="515"/>
      <c r="J792" s="515">
        <v>3</v>
      </c>
    </row>
    <row r="793" spans="1:10" ht="13.8" thickBot="1">
      <c r="A793" s="517"/>
      <c r="B793" s="518" t="s">
        <v>13033</v>
      </c>
      <c r="C793" s="516"/>
      <c r="D793" s="514" t="s">
        <v>13032</v>
      </c>
      <c r="E793" s="515">
        <v>5</v>
      </c>
      <c r="F793" s="518" t="s">
        <v>614</v>
      </c>
      <c r="G793" s="515" t="s">
        <v>2957</v>
      </c>
      <c r="H793" s="514"/>
      <c r="I793" s="515"/>
      <c r="J793" s="515">
        <v>1</v>
      </c>
    </row>
    <row r="794" spans="1:10" ht="13.8" thickBot="1">
      <c r="A794" s="517"/>
      <c r="B794" s="518" t="s">
        <v>13031</v>
      </c>
      <c r="C794" s="516"/>
      <c r="D794" s="514" t="s">
        <v>1552</v>
      </c>
      <c r="E794" s="515">
        <v>5</v>
      </c>
      <c r="F794" s="518" t="s">
        <v>614</v>
      </c>
      <c r="G794" s="515" t="s">
        <v>2957</v>
      </c>
      <c r="H794" s="514"/>
      <c r="I794" s="515"/>
      <c r="J794" s="515">
        <v>1</v>
      </c>
    </row>
    <row r="795" spans="1:10" ht="13.8" thickBot="1">
      <c r="A795" s="517"/>
      <c r="B795" s="518" t="s">
        <v>13030</v>
      </c>
      <c r="C795" s="516"/>
      <c r="D795" s="514" t="s">
        <v>13029</v>
      </c>
      <c r="E795" s="515">
        <v>5</v>
      </c>
      <c r="F795" s="518" t="s">
        <v>1854</v>
      </c>
      <c r="G795" s="515" t="s">
        <v>2957</v>
      </c>
      <c r="H795" s="514"/>
      <c r="I795" s="515"/>
      <c r="J795" s="515">
        <v>1</v>
      </c>
    </row>
    <row r="796" spans="1:10" ht="13.8" thickBot="1">
      <c r="A796" s="517"/>
      <c r="B796" s="518" t="s">
        <v>13028</v>
      </c>
      <c r="C796" s="516"/>
      <c r="D796" s="514" t="s">
        <v>13027</v>
      </c>
      <c r="E796" s="515">
        <v>5</v>
      </c>
      <c r="F796" s="518" t="s">
        <v>614</v>
      </c>
      <c r="G796" s="515" t="s">
        <v>2957</v>
      </c>
      <c r="H796" s="514"/>
      <c r="I796" s="515"/>
      <c r="J796" s="515">
        <v>1</v>
      </c>
    </row>
    <row r="797" spans="1:10" ht="13.8" thickBot="1">
      <c r="A797" s="517"/>
      <c r="B797" s="518" t="s">
        <v>13026</v>
      </c>
      <c r="C797" s="516"/>
      <c r="D797" s="514" t="s">
        <v>13025</v>
      </c>
      <c r="E797" s="515">
        <v>5</v>
      </c>
      <c r="F797" s="518" t="s">
        <v>1854</v>
      </c>
      <c r="G797" s="515" t="s">
        <v>2957</v>
      </c>
      <c r="H797" s="514"/>
      <c r="I797" s="515"/>
      <c r="J797" s="515">
        <v>1</v>
      </c>
    </row>
    <row r="798" spans="1:10" ht="13.8" thickBot="1">
      <c r="A798" s="517"/>
      <c r="B798" s="518" t="s">
        <v>13024</v>
      </c>
      <c r="C798" s="516"/>
      <c r="D798" s="514" t="s">
        <v>1554</v>
      </c>
      <c r="E798" s="515">
        <v>5</v>
      </c>
      <c r="F798" s="518" t="s">
        <v>2512</v>
      </c>
      <c r="G798" s="515" t="s">
        <v>2957</v>
      </c>
      <c r="H798" s="514"/>
      <c r="I798" s="515"/>
      <c r="J798" s="515">
        <v>1</v>
      </c>
    </row>
    <row r="799" spans="1:10" ht="13.8" thickBot="1">
      <c r="A799" s="517"/>
      <c r="B799" s="518" t="s">
        <v>13023</v>
      </c>
      <c r="C799" s="516"/>
      <c r="D799" s="514" t="s">
        <v>1552</v>
      </c>
      <c r="E799" s="515">
        <v>5</v>
      </c>
      <c r="F799" s="514"/>
      <c r="G799" s="515" t="s">
        <v>2957</v>
      </c>
      <c r="H799" s="514"/>
      <c r="I799" s="515"/>
      <c r="J799" s="515"/>
    </row>
    <row r="800" spans="1:10" ht="13.8" thickBot="1">
      <c r="A800" s="517"/>
      <c r="B800" s="518" t="s">
        <v>13022</v>
      </c>
      <c r="C800" s="516"/>
      <c r="D800" s="514" t="s">
        <v>1552</v>
      </c>
      <c r="E800" s="515">
        <v>4.5</v>
      </c>
      <c r="F800" s="514"/>
      <c r="G800" s="515" t="s">
        <v>2957</v>
      </c>
      <c r="H800" s="514" t="s">
        <v>1224</v>
      </c>
      <c r="I800" s="515"/>
      <c r="J800" s="515">
        <v>1</v>
      </c>
    </row>
    <row r="801" spans="1:10" ht="13.8" thickBot="1">
      <c r="A801" s="517"/>
      <c r="B801" s="518" t="s">
        <v>13021</v>
      </c>
      <c r="C801" s="516"/>
      <c r="D801" s="514" t="s">
        <v>13020</v>
      </c>
      <c r="E801" s="515">
        <v>4.5</v>
      </c>
      <c r="F801" s="514"/>
      <c r="G801" s="515" t="s">
        <v>2957</v>
      </c>
      <c r="H801" s="514"/>
      <c r="I801" s="515">
        <v>1</v>
      </c>
      <c r="J801" s="515">
        <v>2</v>
      </c>
    </row>
    <row r="802" spans="1:10" ht="13.8" thickBot="1">
      <c r="A802" s="517"/>
      <c r="B802" s="518" t="s">
        <v>13019</v>
      </c>
      <c r="C802" s="516"/>
      <c r="D802" s="514" t="s">
        <v>13018</v>
      </c>
      <c r="E802" s="515">
        <v>4.5</v>
      </c>
      <c r="F802" s="518" t="s">
        <v>614</v>
      </c>
      <c r="G802" s="515" t="s">
        <v>2957</v>
      </c>
      <c r="H802" s="514"/>
      <c r="I802" s="515"/>
      <c r="J802" s="515">
        <v>1</v>
      </c>
    </row>
    <row r="803" spans="1:10" ht="13.8" thickBot="1">
      <c r="A803" s="517"/>
      <c r="B803" s="518" t="s">
        <v>13017</v>
      </c>
      <c r="C803" s="516"/>
      <c r="D803" s="514" t="s">
        <v>13016</v>
      </c>
      <c r="E803" s="515">
        <v>4.5</v>
      </c>
      <c r="F803" s="518" t="s">
        <v>614</v>
      </c>
      <c r="G803" s="515" t="s">
        <v>2957</v>
      </c>
      <c r="H803" s="514"/>
      <c r="I803" s="515"/>
      <c r="J803" s="515">
        <v>1</v>
      </c>
    </row>
    <row r="804" spans="1:10" ht="13.8" thickBot="1">
      <c r="A804" s="517"/>
      <c r="B804" s="518" t="s">
        <v>13015</v>
      </c>
      <c r="C804" s="516"/>
      <c r="D804" s="514" t="s">
        <v>13014</v>
      </c>
      <c r="E804" s="515">
        <v>4</v>
      </c>
      <c r="F804" s="518" t="s">
        <v>614</v>
      </c>
      <c r="G804" s="515" t="s">
        <v>2957</v>
      </c>
      <c r="H804" s="514" t="s">
        <v>2374</v>
      </c>
      <c r="I804" s="515"/>
      <c r="J804" s="515">
        <v>9</v>
      </c>
    </row>
    <row r="805" spans="1:10" ht="13.8" thickBot="1">
      <c r="A805" s="517"/>
      <c r="B805" s="518" t="s">
        <v>13013</v>
      </c>
      <c r="C805" s="516"/>
      <c r="D805" s="514" t="s">
        <v>3022</v>
      </c>
      <c r="E805" s="515">
        <v>4</v>
      </c>
      <c r="F805" s="518" t="s">
        <v>614</v>
      </c>
      <c r="G805" s="515" t="s">
        <v>2957</v>
      </c>
      <c r="H805" s="514" t="s">
        <v>1224</v>
      </c>
      <c r="I805" s="522"/>
      <c r="J805" s="522">
        <v>8</v>
      </c>
    </row>
    <row r="806" spans="1:10" ht="13.8" thickBot="1">
      <c r="A806" s="517"/>
      <c r="B806" s="518" t="s">
        <v>13012</v>
      </c>
      <c r="C806" s="516"/>
      <c r="D806" s="514" t="s">
        <v>2968</v>
      </c>
      <c r="E806" s="515">
        <v>4</v>
      </c>
      <c r="F806" s="518" t="s">
        <v>614</v>
      </c>
      <c r="G806" s="515" t="s">
        <v>2957</v>
      </c>
      <c r="H806" s="514" t="s">
        <v>1224</v>
      </c>
      <c r="I806" s="515"/>
      <c r="J806" s="515">
        <v>5</v>
      </c>
    </row>
    <row r="807" spans="1:10" ht="13.8" thickBot="1">
      <c r="A807" s="517"/>
      <c r="B807" s="518" t="s">
        <v>13011</v>
      </c>
      <c r="C807" s="516"/>
      <c r="D807" s="514" t="s">
        <v>13010</v>
      </c>
      <c r="E807" s="515">
        <v>4</v>
      </c>
      <c r="F807" s="518" t="s">
        <v>614</v>
      </c>
      <c r="G807" s="515" t="s">
        <v>2957</v>
      </c>
      <c r="H807" s="514"/>
      <c r="I807" s="515"/>
      <c r="J807" s="515">
        <v>1</v>
      </c>
    </row>
    <row r="808" spans="1:10" ht="13.8" thickBot="1">
      <c r="A808" s="517"/>
      <c r="B808" s="518" t="s">
        <v>13009</v>
      </c>
      <c r="C808" s="516"/>
      <c r="D808" s="514" t="s">
        <v>13008</v>
      </c>
      <c r="E808" s="515">
        <v>4</v>
      </c>
      <c r="F808" s="518" t="s">
        <v>614</v>
      </c>
      <c r="G808" s="515" t="s">
        <v>2957</v>
      </c>
      <c r="H808" s="514"/>
      <c r="I808" s="515"/>
      <c r="J808" s="515">
        <v>1</v>
      </c>
    </row>
    <row r="809" spans="1:10" ht="13.8" thickBot="1">
      <c r="A809" s="517"/>
      <c r="B809" s="518" t="s">
        <v>13007</v>
      </c>
      <c r="C809" s="516"/>
      <c r="D809" s="514" t="s">
        <v>13006</v>
      </c>
      <c r="E809" s="515">
        <v>4</v>
      </c>
      <c r="F809" s="518" t="s">
        <v>1854</v>
      </c>
      <c r="G809" s="515" t="s">
        <v>2957</v>
      </c>
      <c r="H809" s="514"/>
      <c r="I809" s="515"/>
      <c r="J809" s="515">
        <v>1</v>
      </c>
    </row>
    <row r="810" spans="1:10" ht="13.8" thickBot="1">
      <c r="A810" s="517"/>
      <c r="B810" s="518" t="s">
        <v>13005</v>
      </c>
      <c r="C810" s="516"/>
      <c r="D810" s="514" t="s">
        <v>1576</v>
      </c>
      <c r="E810" s="515">
        <v>4</v>
      </c>
      <c r="F810" s="518" t="s">
        <v>1854</v>
      </c>
      <c r="G810" s="515" t="s">
        <v>2957</v>
      </c>
      <c r="H810" s="514"/>
      <c r="I810" s="515"/>
      <c r="J810" s="515"/>
    </row>
    <row r="811" spans="1:10" ht="13.8" thickBot="1">
      <c r="A811" s="517"/>
      <c r="B811" s="518" t="s">
        <v>13004</v>
      </c>
      <c r="C811" s="516"/>
      <c r="D811" s="514" t="s">
        <v>1552</v>
      </c>
      <c r="E811" s="515">
        <v>4</v>
      </c>
      <c r="F811" s="514"/>
      <c r="G811" s="515" t="s">
        <v>2957</v>
      </c>
      <c r="H811" s="514"/>
      <c r="I811" s="515"/>
      <c r="J811" s="515"/>
    </row>
    <row r="812" spans="1:10" ht="13.8" thickBot="1">
      <c r="A812" s="517"/>
      <c r="B812" s="518" t="s">
        <v>13003</v>
      </c>
      <c r="C812" s="516"/>
      <c r="D812" s="519" t="s">
        <v>3057</v>
      </c>
      <c r="E812" s="515">
        <v>3.5</v>
      </c>
      <c r="F812" s="518" t="s">
        <v>1854</v>
      </c>
      <c r="G812" s="515" t="s">
        <v>2957</v>
      </c>
      <c r="H812" s="514" t="s">
        <v>1224</v>
      </c>
      <c r="I812" s="515"/>
      <c r="J812" s="515">
        <v>2</v>
      </c>
    </row>
    <row r="813" spans="1:10" ht="13.8" thickBot="1">
      <c r="A813" s="517"/>
      <c r="B813" s="518" t="s">
        <v>13002</v>
      </c>
      <c r="C813" s="516"/>
      <c r="D813" s="519" t="s">
        <v>13001</v>
      </c>
      <c r="E813" s="515">
        <v>3.5</v>
      </c>
      <c r="F813" s="518" t="s">
        <v>614</v>
      </c>
      <c r="G813" s="515" t="s">
        <v>2957</v>
      </c>
      <c r="H813" s="514" t="s">
        <v>1224</v>
      </c>
      <c r="I813" s="515"/>
      <c r="J813" s="515">
        <v>2</v>
      </c>
    </row>
    <row r="814" spans="1:10" ht="13.8" thickBot="1">
      <c r="A814" s="517"/>
      <c r="B814" s="518" t="s">
        <v>13000</v>
      </c>
      <c r="C814" s="516"/>
      <c r="D814" s="514" t="s">
        <v>1552</v>
      </c>
      <c r="E814" s="515">
        <v>3.5</v>
      </c>
      <c r="F814" s="514"/>
      <c r="G814" s="515" t="s">
        <v>2957</v>
      </c>
      <c r="H814" s="514"/>
      <c r="I814" s="515"/>
      <c r="J814" s="515">
        <v>2</v>
      </c>
    </row>
    <row r="815" spans="1:10" ht="13.8" thickBot="1">
      <c r="A815" s="517"/>
      <c r="B815" s="518" t="s">
        <v>12999</v>
      </c>
      <c r="C815" s="516"/>
      <c r="D815" s="514" t="s">
        <v>1552</v>
      </c>
      <c r="E815" s="515">
        <v>3</v>
      </c>
      <c r="F815" s="518" t="s">
        <v>614</v>
      </c>
      <c r="G815" s="515" t="s">
        <v>2957</v>
      </c>
      <c r="H815" s="514"/>
      <c r="I815" s="515"/>
      <c r="J815" s="515">
        <v>8</v>
      </c>
    </row>
    <row r="816" spans="1:10" ht="13.8" thickBot="1">
      <c r="A816" s="517"/>
      <c r="B816" s="518" t="s">
        <v>12998</v>
      </c>
      <c r="C816" s="516"/>
      <c r="D816" s="514" t="s">
        <v>12997</v>
      </c>
      <c r="E816" s="515">
        <v>3</v>
      </c>
      <c r="F816" s="518" t="s">
        <v>614</v>
      </c>
      <c r="G816" s="515" t="s">
        <v>2957</v>
      </c>
      <c r="H816" s="514"/>
      <c r="I816" s="515"/>
      <c r="J816" s="515">
        <v>1</v>
      </c>
    </row>
    <row r="817" spans="1:10" ht="13.8" thickBot="1">
      <c r="A817" s="517"/>
      <c r="B817" s="518" t="s">
        <v>12996</v>
      </c>
      <c r="C817" s="516"/>
      <c r="D817" s="514" t="s">
        <v>12995</v>
      </c>
      <c r="E817" s="515">
        <v>3</v>
      </c>
      <c r="F817" s="518" t="s">
        <v>1854</v>
      </c>
      <c r="G817" s="515" t="s">
        <v>2957</v>
      </c>
      <c r="H817" s="514"/>
      <c r="I817" s="515"/>
      <c r="J817" s="515">
        <v>1</v>
      </c>
    </row>
    <row r="818" spans="1:10" ht="13.8" thickBot="1">
      <c r="A818" s="517"/>
      <c r="B818" s="518" t="s">
        <v>12994</v>
      </c>
      <c r="C818" s="516"/>
      <c r="D818" s="514" t="s">
        <v>12993</v>
      </c>
      <c r="E818" s="515">
        <v>3</v>
      </c>
      <c r="F818" s="514"/>
      <c r="G818" s="515" t="s">
        <v>2957</v>
      </c>
      <c r="H818" s="514"/>
      <c r="I818" s="522"/>
      <c r="J818" s="522">
        <v>1</v>
      </c>
    </row>
    <row r="819" spans="1:10" ht="13.8" thickBot="1">
      <c r="A819" s="517"/>
      <c r="B819" s="514" t="s">
        <v>12992</v>
      </c>
      <c r="C819" s="516"/>
      <c r="D819" s="514" t="s">
        <v>12991</v>
      </c>
      <c r="E819" s="515">
        <v>2</v>
      </c>
      <c r="F819" s="514"/>
      <c r="G819" s="515" t="s">
        <v>2957</v>
      </c>
      <c r="H819" s="514"/>
      <c r="I819" s="515"/>
      <c r="J819" s="515">
        <v>1</v>
      </c>
    </row>
    <row r="820" spans="1:10" ht="13.8" thickBot="1">
      <c r="A820" s="517"/>
      <c r="B820" s="518" t="s">
        <v>12990</v>
      </c>
      <c r="C820" s="516"/>
      <c r="D820" s="514" t="s">
        <v>1552</v>
      </c>
      <c r="E820" s="515">
        <v>2</v>
      </c>
      <c r="F820" s="518" t="s">
        <v>1854</v>
      </c>
      <c r="G820" s="515" t="s">
        <v>2957</v>
      </c>
      <c r="H820" s="514"/>
      <c r="I820" s="515"/>
      <c r="J820" s="515"/>
    </row>
    <row r="821" spans="1:10" ht="13.8" thickBot="1">
      <c r="A821" s="517"/>
      <c r="B821" s="518" t="s">
        <v>12989</v>
      </c>
      <c r="C821" s="516"/>
      <c r="D821" s="514" t="s">
        <v>1554</v>
      </c>
      <c r="E821" s="515">
        <v>1</v>
      </c>
      <c r="F821" s="518" t="s">
        <v>1854</v>
      </c>
      <c r="G821" s="515" t="s">
        <v>2957</v>
      </c>
      <c r="H821" s="514"/>
      <c r="I821" s="515"/>
      <c r="J821" s="515">
        <v>1</v>
      </c>
    </row>
    <row r="822" spans="1:10" ht="13.8" thickBot="1">
      <c r="A822" s="517"/>
      <c r="B822" s="518" t="s">
        <v>12988</v>
      </c>
      <c r="C822" s="516"/>
      <c r="D822" s="514" t="s">
        <v>1552</v>
      </c>
      <c r="E822" s="515">
        <v>1</v>
      </c>
      <c r="F822" s="514"/>
      <c r="G822" s="515" t="s">
        <v>2957</v>
      </c>
      <c r="H822" s="514"/>
      <c r="I822" s="515"/>
      <c r="J822" s="515">
        <v>1</v>
      </c>
    </row>
    <row r="823" spans="1:10" ht="13.8" thickBot="1">
      <c r="A823" s="517"/>
      <c r="B823" s="518" t="s">
        <v>12987</v>
      </c>
      <c r="C823" s="516"/>
      <c r="D823" s="514" t="s">
        <v>1554</v>
      </c>
      <c r="E823" s="529">
        <v>1</v>
      </c>
      <c r="F823" s="514"/>
      <c r="G823" s="515" t="s">
        <v>2957</v>
      </c>
      <c r="H823" s="514"/>
      <c r="I823" s="529"/>
      <c r="J823" s="529"/>
    </row>
    <row r="824" spans="1:10" ht="13.8" thickBot="1">
      <c r="A824" s="517"/>
      <c r="B824" s="518" t="s">
        <v>12986</v>
      </c>
      <c r="C824" s="516"/>
      <c r="D824" s="514" t="s">
        <v>12985</v>
      </c>
      <c r="E824" s="515"/>
      <c r="F824" s="518" t="s">
        <v>1854</v>
      </c>
      <c r="G824" s="515" t="s">
        <v>2957</v>
      </c>
      <c r="H824" s="514"/>
      <c r="I824" s="515"/>
      <c r="J824" s="515"/>
    </row>
    <row r="825" spans="1:10" ht="13.8" thickBot="1">
      <c r="A825" s="517"/>
      <c r="B825" s="518" t="s">
        <v>12984</v>
      </c>
      <c r="C825" s="516"/>
      <c r="D825" s="514" t="s">
        <v>12983</v>
      </c>
      <c r="E825" s="515"/>
      <c r="F825" s="518" t="s">
        <v>1854</v>
      </c>
      <c r="G825" s="515" t="s">
        <v>2957</v>
      </c>
      <c r="H825" s="514"/>
      <c r="I825" s="515"/>
      <c r="J825" s="515"/>
    </row>
    <row r="826" spans="1:10" ht="13.8" thickBot="1">
      <c r="A826" s="517"/>
      <c r="B826" s="518" t="s">
        <v>12982</v>
      </c>
      <c r="C826" s="516"/>
      <c r="D826" s="514" t="s">
        <v>2968</v>
      </c>
      <c r="E826" s="515"/>
      <c r="F826" s="514"/>
      <c r="G826" s="515" t="s">
        <v>2957</v>
      </c>
      <c r="H826" s="514"/>
      <c r="I826" s="515"/>
      <c r="J826" s="515"/>
    </row>
    <row r="827" spans="1:10" ht="13.8" thickBot="1">
      <c r="A827" s="517"/>
      <c r="B827" s="518" t="s">
        <v>12981</v>
      </c>
      <c r="C827" s="516"/>
      <c r="D827" s="514" t="s">
        <v>12980</v>
      </c>
      <c r="E827" s="515">
        <v>7.25</v>
      </c>
      <c r="F827" s="518" t="s">
        <v>614</v>
      </c>
      <c r="G827" s="515" t="s">
        <v>3085</v>
      </c>
      <c r="H827" s="514" t="s">
        <v>1251</v>
      </c>
      <c r="I827" s="515">
        <v>2</v>
      </c>
      <c r="J827" s="515">
        <v>8</v>
      </c>
    </row>
    <row r="828" spans="1:10" ht="13.8" thickBot="1">
      <c r="A828" s="517"/>
      <c r="B828" s="518" t="s">
        <v>12979</v>
      </c>
      <c r="C828" s="516"/>
      <c r="D828" s="514" t="s">
        <v>12978</v>
      </c>
      <c r="E828" s="515">
        <v>6.8</v>
      </c>
      <c r="F828" s="518" t="s">
        <v>614</v>
      </c>
      <c r="G828" s="515" t="s">
        <v>3085</v>
      </c>
      <c r="H828" s="514" t="s">
        <v>1251</v>
      </c>
      <c r="I828" s="515"/>
      <c r="J828" s="515">
        <v>6</v>
      </c>
    </row>
    <row r="829" spans="1:10" ht="13.8" thickBot="1">
      <c r="A829" s="517"/>
      <c r="B829" s="518" t="s">
        <v>12977</v>
      </c>
      <c r="C829" s="516"/>
      <c r="D829" s="514" t="s">
        <v>12976</v>
      </c>
      <c r="E829" s="515">
        <v>6.5</v>
      </c>
      <c r="F829" s="518" t="s">
        <v>614</v>
      </c>
      <c r="G829" s="515" t="s">
        <v>3085</v>
      </c>
      <c r="H829" s="514"/>
      <c r="I829" s="515"/>
      <c r="J829" s="515">
        <v>2</v>
      </c>
    </row>
    <row r="830" spans="1:10" ht="13.8" thickBot="1">
      <c r="A830" s="517"/>
      <c r="B830" s="518" t="s">
        <v>12975</v>
      </c>
      <c r="C830" s="516"/>
      <c r="D830" s="514" t="s">
        <v>12974</v>
      </c>
      <c r="E830" s="522">
        <v>6.3</v>
      </c>
      <c r="F830" s="518" t="s">
        <v>614</v>
      </c>
      <c r="G830" s="515" t="s">
        <v>3085</v>
      </c>
      <c r="H830" s="514" t="s">
        <v>1226</v>
      </c>
      <c r="I830" s="515"/>
      <c r="J830" s="515">
        <v>7</v>
      </c>
    </row>
    <row r="831" spans="1:10" ht="13.8" thickBot="1">
      <c r="A831" s="517"/>
      <c r="B831" s="518" t="s">
        <v>12973</v>
      </c>
      <c r="C831" s="516"/>
      <c r="D831" s="514" t="s">
        <v>3103</v>
      </c>
      <c r="E831" s="515">
        <v>6</v>
      </c>
      <c r="F831" s="518" t="s">
        <v>614</v>
      </c>
      <c r="G831" s="515" t="s">
        <v>3085</v>
      </c>
      <c r="H831" s="514" t="s">
        <v>1251</v>
      </c>
      <c r="I831" s="515">
        <v>1</v>
      </c>
      <c r="J831" s="515">
        <v>6</v>
      </c>
    </row>
    <row r="832" spans="1:10" ht="13.8" thickBot="1">
      <c r="A832" s="517"/>
      <c r="B832" s="518" t="s">
        <v>12972</v>
      </c>
      <c r="C832" s="516"/>
      <c r="D832" s="514" t="s">
        <v>12971</v>
      </c>
      <c r="E832" s="515">
        <v>5.5</v>
      </c>
      <c r="F832" s="518" t="s">
        <v>614</v>
      </c>
      <c r="G832" s="515" t="s">
        <v>3085</v>
      </c>
      <c r="H832" s="514"/>
      <c r="I832" s="522"/>
      <c r="J832" s="522">
        <v>2</v>
      </c>
    </row>
    <row r="833" spans="1:10" ht="13.8" thickBot="1">
      <c r="A833" s="517"/>
      <c r="B833" s="518" t="s">
        <v>12970</v>
      </c>
      <c r="C833" s="516"/>
      <c r="D833" s="514" t="s">
        <v>3122</v>
      </c>
      <c r="E833" s="515">
        <v>6.5</v>
      </c>
      <c r="F833" s="518" t="s">
        <v>614</v>
      </c>
      <c r="G833" s="515" t="s">
        <v>3116</v>
      </c>
      <c r="H833" s="514" t="s">
        <v>1226</v>
      </c>
      <c r="I833" s="515"/>
      <c r="J833" s="515">
        <v>2</v>
      </c>
    </row>
    <row r="834" spans="1:10" ht="13.8" thickBot="1">
      <c r="A834" s="517"/>
      <c r="B834" s="518" t="s">
        <v>12969</v>
      </c>
      <c r="C834" s="516"/>
      <c r="D834" s="514" t="s">
        <v>3273</v>
      </c>
      <c r="E834" s="515">
        <v>9</v>
      </c>
      <c r="F834" s="514"/>
      <c r="G834" s="515" t="s">
        <v>3161</v>
      </c>
      <c r="H834" s="514"/>
      <c r="I834" s="522"/>
      <c r="J834" s="522"/>
    </row>
    <row r="835" spans="1:10" ht="13.8" thickBot="1">
      <c r="A835" s="517"/>
      <c r="B835" s="518" t="s">
        <v>12968</v>
      </c>
      <c r="C835" s="516"/>
      <c r="D835" s="514" t="s">
        <v>3273</v>
      </c>
      <c r="E835" s="515">
        <v>7.5</v>
      </c>
      <c r="F835" s="518" t="s">
        <v>12967</v>
      </c>
      <c r="G835" s="515" t="s">
        <v>3161</v>
      </c>
      <c r="H835" s="514"/>
      <c r="I835" s="515"/>
      <c r="J835" s="515"/>
    </row>
    <row r="836" spans="1:10" ht="13.8" thickBot="1">
      <c r="A836" s="517"/>
      <c r="B836" s="518" t="s">
        <v>12966</v>
      </c>
      <c r="C836" s="516"/>
      <c r="D836" s="514" t="s">
        <v>12965</v>
      </c>
      <c r="E836" s="515">
        <v>7.5</v>
      </c>
      <c r="F836" s="514"/>
      <c r="G836" s="515" t="s">
        <v>3161</v>
      </c>
      <c r="H836" s="514"/>
      <c r="I836" s="515"/>
      <c r="J836" s="515"/>
    </row>
    <row r="837" spans="1:10" ht="13.8" thickBot="1">
      <c r="A837" s="517"/>
      <c r="B837" s="518" t="s">
        <v>12964</v>
      </c>
      <c r="C837" s="516"/>
      <c r="D837" s="514" t="s">
        <v>12963</v>
      </c>
      <c r="E837" s="515">
        <v>7.3</v>
      </c>
      <c r="F837" s="518" t="s">
        <v>614</v>
      </c>
      <c r="G837" s="515" t="s">
        <v>3161</v>
      </c>
      <c r="H837" s="514" t="s">
        <v>1251</v>
      </c>
      <c r="I837" s="515"/>
      <c r="J837" s="515">
        <v>2</v>
      </c>
    </row>
    <row r="838" spans="1:10" ht="13.8" thickBot="1">
      <c r="A838" s="517"/>
      <c r="B838" s="518" t="s">
        <v>12962</v>
      </c>
      <c r="C838" s="516"/>
      <c r="D838" s="514" t="s">
        <v>12961</v>
      </c>
      <c r="E838" s="515">
        <v>7.25</v>
      </c>
      <c r="F838" s="518" t="s">
        <v>614</v>
      </c>
      <c r="G838" s="515" t="s">
        <v>3161</v>
      </c>
      <c r="H838" s="514" t="s">
        <v>1251</v>
      </c>
      <c r="I838" s="522"/>
      <c r="J838" s="522">
        <v>2</v>
      </c>
    </row>
    <row r="839" spans="1:10" ht="13.8" thickBot="1">
      <c r="A839" s="517"/>
      <c r="B839" s="518" t="s">
        <v>12960</v>
      </c>
      <c r="C839" s="516"/>
      <c r="D839" s="514" t="s">
        <v>12959</v>
      </c>
      <c r="E839" s="515">
        <v>7.25</v>
      </c>
      <c r="F839" s="518" t="s">
        <v>1854</v>
      </c>
      <c r="G839" s="515" t="s">
        <v>3161</v>
      </c>
      <c r="H839" s="514"/>
      <c r="I839" s="515"/>
      <c r="J839" s="515"/>
    </row>
    <row r="840" spans="1:10" ht="13.8" thickBot="1">
      <c r="A840" s="517"/>
      <c r="B840" s="518" t="s">
        <v>12958</v>
      </c>
      <c r="C840" s="516"/>
      <c r="D840" s="519" t="s">
        <v>12957</v>
      </c>
      <c r="E840" s="515">
        <v>7</v>
      </c>
      <c r="F840" s="518" t="s">
        <v>614</v>
      </c>
      <c r="G840" s="515" t="s">
        <v>3161</v>
      </c>
      <c r="H840" s="514" t="s">
        <v>1251</v>
      </c>
      <c r="I840" s="522"/>
      <c r="J840" s="515">
        <v>5</v>
      </c>
    </row>
    <row r="841" spans="1:10" ht="13.8" thickBot="1">
      <c r="A841" s="517"/>
      <c r="B841" s="518" t="s">
        <v>12956</v>
      </c>
      <c r="C841" s="516"/>
      <c r="D841" s="514" t="s">
        <v>12955</v>
      </c>
      <c r="E841" s="515">
        <v>7</v>
      </c>
      <c r="F841" s="518" t="s">
        <v>614</v>
      </c>
      <c r="G841" s="515" t="s">
        <v>3161</v>
      </c>
      <c r="H841" s="514" t="s">
        <v>1224</v>
      </c>
      <c r="I841" s="515"/>
      <c r="J841" s="515">
        <v>1</v>
      </c>
    </row>
    <row r="842" spans="1:10" ht="13.8" thickBot="1">
      <c r="A842" s="517"/>
      <c r="B842" s="518" t="s">
        <v>12954</v>
      </c>
      <c r="C842" s="516"/>
      <c r="D842" s="514" t="s">
        <v>12953</v>
      </c>
      <c r="E842" s="515">
        <v>7</v>
      </c>
      <c r="F842" s="518" t="s">
        <v>614</v>
      </c>
      <c r="G842" s="515" t="s">
        <v>3161</v>
      </c>
      <c r="H842" s="514"/>
      <c r="I842" s="515"/>
      <c r="J842" s="515">
        <v>1</v>
      </c>
    </row>
    <row r="843" spans="1:10" ht="13.8" thickBot="1">
      <c r="A843" s="517"/>
      <c r="B843" s="518" t="s">
        <v>12952</v>
      </c>
      <c r="C843" s="516"/>
      <c r="D843" s="514" t="s">
        <v>12951</v>
      </c>
      <c r="E843" s="515">
        <v>7</v>
      </c>
      <c r="F843" s="518" t="s">
        <v>1854</v>
      </c>
      <c r="G843" s="515" t="s">
        <v>3161</v>
      </c>
      <c r="H843" s="514"/>
      <c r="I843" s="515"/>
      <c r="J843" s="515"/>
    </row>
    <row r="844" spans="1:10" ht="13.8" thickBot="1">
      <c r="A844" s="517"/>
      <c r="B844" s="518" t="s">
        <v>12950</v>
      </c>
      <c r="C844" s="516"/>
      <c r="D844" s="514" t="s">
        <v>12949</v>
      </c>
      <c r="E844" s="515">
        <v>7</v>
      </c>
      <c r="F844" s="518" t="s">
        <v>1854</v>
      </c>
      <c r="G844" s="515" t="s">
        <v>3161</v>
      </c>
      <c r="H844" s="514"/>
      <c r="I844" s="515"/>
      <c r="J844" s="515"/>
    </row>
    <row r="845" spans="1:10" ht="13.8" thickBot="1">
      <c r="A845" s="517"/>
      <c r="B845" s="518" t="s">
        <v>12948</v>
      </c>
      <c r="C845" s="516"/>
      <c r="D845" s="514" t="s">
        <v>1390</v>
      </c>
      <c r="E845" s="515">
        <v>7</v>
      </c>
      <c r="F845" s="518" t="s">
        <v>1854</v>
      </c>
      <c r="G845" s="515" t="s">
        <v>3161</v>
      </c>
      <c r="H845" s="514"/>
      <c r="I845" s="515"/>
      <c r="J845" s="515"/>
    </row>
    <row r="846" spans="1:10" ht="13.8" thickBot="1">
      <c r="A846" s="517"/>
      <c r="B846" s="518" t="s">
        <v>12947</v>
      </c>
      <c r="C846" s="516"/>
      <c r="D846" s="514" t="s">
        <v>1408</v>
      </c>
      <c r="E846" s="515">
        <v>6.8</v>
      </c>
      <c r="F846" s="518" t="s">
        <v>614</v>
      </c>
      <c r="G846" s="515" t="s">
        <v>3161</v>
      </c>
      <c r="H846" s="514" t="s">
        <v>1224</v>
      </c>
      <c r="I846" s="515"/>
      <c r="J846" s="515">
        <v>2</v>
      </c>
    </row>
    <row r="847" spans="1:10" ht="13.8" thickBot="1">
      <c r="A847" s="517"/>
      <c r="B847" s="518" t="s">
        <v>12946</v>
      </c>
      <c r="C847" s="516"/>
      <c r="D847" s="514" t="s">
        <v>3273</v>
      </c>
      <c r="E847" s="515">
        <v>6.75</v>
      </c>
      <c r="F847" s="518" t="s">
        <v>1854</v>
      </c>
      <c r="G847" s="515" t="s">
        <v>3161</v>
      </c>
      <c r="H847" s="514"/>
      <c r="I847" s="515"/>
      <c r="J847" s="515"/>
    </row>
    <row r="848" spans="1:10" ht="13.8" thickBot="1">
      <c r="A848" s="517"/>
      <c r="B848" s="518" t="s">
        <v>12945</v>
      </c>
      <c r="C848" s="516"/>
      <c r="D848" s="514" t="s">
        <v>1390</v>
      </c>
      <c r="E848" s="515">
        <v>6.75</v>
      </c>
      <c r="F848" s="518" t="s">
        <v>1854</v>
      </c>
      <c r="G848" s="515" t="s">
        <v>3161</v>
      </c>
      <c r="H848" s="514"/>
      <c r="I848" s="515"/>
      <c r="J848" s="515"/>
    </row>
    <row r="849" spans="1:10" ht="13.8" thickBot="1">
      <c r="A849" s="517"/>
      <c r="B849" s="518" t="s">
        <v>12944</v>
      </c>
      <c r="C849" s="516"/>
      <c r="D849" s="514" t="s">
        <v>12943</v>
      </c>
      <c r="E849" s="515">
        <v>6.75</v>
      </c>
      <c r="F849" s="518" t="s">
        <v>1854</v>
      </c>
      <c r="G849" s="515" t="s">
        <v>3161</v>
      </c>
      <c r="H849" s="514"/>
      <c r="I849" s="515"/>
      <c r="J849" s="515"/>
    </row>
    <row r="850" spans="1:10" ht="13.8" thickBot="1">
      <c r="A850" s="517"/>
      <c r="B850" s="518" t="s">
        <v>12942</v>
      </c>
      <c r="C850" s="516"/>
      <c r="D850" s="514" t="s">
        <v>12941</v>
      </c>
      <c r="E850" s="515">
        <v>6.5</v>
      </c>
      <c r="F850" s="518" t="s">
        <v>614</v>
      </c>
      <c r="G850" s="515" t="s">
        <v>3161</v>
      </c>
      <c r="H850" s="514" t="s">
        <v>1226</v>
      </c>
      <c r="I850" s="515">
        <v>1</v>
      </c>
      <c r="J850" s="515">
        <v>4</v>
      </c>
    </row>
    <row r="851" spans="1:10" ht="13.8" thickBot="1">
      <c r="A851" s="517"/>
      <c r="B851" s="518" t="s">
        <v>12940</v>
      </c>
      <c r="C851" s="516"/>
      <c r="D851" s="514" t="s">
        <v>12939</v>
      </c>
      <c r="E851" s="515">
        <v>6.5</v>
      </c>
      <c r="F851" s="518" t="s">
        <v>1854</v>
      </c>
      <c r="G851" s="515" t="s">
        <v>3161</v>
      </c>
      <c r="H851" s="514" t="s">
        <v>1226</v>
      </c>
      <c r="I851" s="515"/>
      <c r="J851" s="515">
        <v>2</v>
      </c>
    </row>
    <row r="852" spans="1:10" ht="13.8" thickBot="1">
      <c r="A852" s="517"/>
      <c r="B852" s="518" t="s">
        <v>12938</v>
      </c>
      <c r="C852" s="516"/>
      <c r="D852" s="514" t="s">
        <v>1390</v>
      </c>
      <c r="E852" s="515">
        <v>6.5</v>
      </c>
      <c r="F852" s="514"/>
      <c r="G852" s="515" t="s">
        <v>3161</v>
      </c>
      <c r="H852" s="514" t="s">
        <v>1226</v>
      </c>
      <c r="I852" s="515"/>
      <c r="J852" s="515">
        <v>2</v>
      </c>
    </row>
    <row r="853" spans="1:10" ht="13.8" thickBot="1">
      <c r="A853" s="517"/>
      <c r="B853" s="518" t="s">
        <v>12937</v>
      </c>
      <c r="C853" s="516"/>
      <c r="D853" s="514" t="s">
        <v>12936</v>
      </c>
      <c r="E853" s="515">
        <v>6.5</v>
      </c>
      <c r="F853" s="514"/>
      <c r="G853" s="515" t="s">
        <v>3161</v>
      </c>
      <c r="H853" s="514"/>
      <c r="I853" s="515"/>
      <c r="J853" s="515">
        <v>1</v>
      </c>
    </row>
    <row r="854" spans="1:10" ht="13.8" thickBot="1">
      <c r="A854" s="517"/>
      <c r="B854" s="518" t="s">
        <v>12935</v>
      </c>
      <c r="C854" s="516"/>
      <c r="D854" s="514" t="s">
        <v>1390</v>
      </c>
      <c r="E854" s="515">
        <v>6.5</v>
      </c>
      <c r="F854" s="518" t="s">
        <v>1854</v>
      </c>
      <c r="G854" s="515" t="s">
        <v>3161</v>
      </c>
      <c r="H854" s="514"/>
      <c r="I854" s="515"/>
      <c r="J854" s="515"/>
    </row>
    <row r="855" spans="1:10" ht="13.8" thickBot="1">
      <c r="A855" s="517"/>
      <c r="B855" s="518" t="s">
        <v>12934</v>
      </c>
      <c r="C855" s="516"/>
      <c r="D855" s="514" t="s">
        <v>12933</v>
      </c>
      <c r="E855" s="515">
        <v>6.4</v>
      </c>
      <c r="F855" s="518" t="s">
        <v>614</v>
      </c>
      <c r="G855" s="515" t="s">
        <v>3161</v>
      </c>
      <c r="H855" s="514" t="s">
        <v>1226</v>
      </c>
      <c r="I855" s="515"/>
      <c r="J855" s="515">
        <v>1</v>
      </c>
    </row>
    <row r="856" spans="1:10" ht="13.8" thickBot="1">
      <c r="A856" s="517"/>
      <c r="B856" s="518" t="s">
        <v>12932</v>
      </c>
      <c r="C856" s="516"/>
      <c r="D856" s="514" t="s">
        <v>12931</v>
      </c>
      <c r="E856" s="515">
        <v>6.3</v>
      </c>
      <c r="F856" s="518" t="s">
        <v>1854</v>
      </c>
      <c r="G856" s="515" t="s">
        <v>3161</v>
      </c>
      <c r="H856" s="514"/>
      <c r="I856" s="515"/>
      <c r="J856" s="515">
        <v>1</v>
      </c>
    </row>
    <row r="857" spans="1:10" ht="13.8" thickBot="1">
      <c r="A857" s="517"/>
      <c r="B857" s="518" t="s">
        <v>12930</v>
      </c>
      <c r="C857" s="516"/>
      <c r="D857" s="514" t="s">
        <v>12929</v>
      </c>
      <c r="E857" s="515">
        <v>6.25</v>
      </c>
      <c r="F857" s="518" t="s">
        <v>614</v>
      </c>
      <c r="G857" s="515" t="s">
        <v>3161</v>
      </c>
      <c r="H857" s="514" t="s">
        <v>1226</v>
      </c>
      <c r="I857" s="515"/>
      <c r="J857" s="515">
        <v>5</v>
      </c>
    </row>
    <row r="858" spans="1:10" ht="13.8" thickBot="1">
      <c r="A858" s="517"/>
      <c r="B858" s="518" t="s">
        <v>12928</v>
      </c>
      <c r="C858" s="516"/>
      <c r="D858" s="514" t="s">
        <v>12927</v>
      </c>
      <c r="E858" s="515">
        <v>6.25</v>
      </c>
      <c r="F858" s="518" t="s">
        <v>614</v>
      </c>
      <c r="G858" s="515" t="s">
        <v>3161</v>
      </c>
      <c r="H858" s="514" t="s">
        <v>1224</v>
      </c>
      <c r="I858" s="515"/>
      <c r="J858" s="515">
        <v>2</v>
      </c>
    </row>
    <row r="859" spans="1:10" ht="13.8" thickBot="1">
      <c r="A859" s="517"/>
      <c r="B859" s="518" t="s">
        <v>12926</v>
      </c>
      <c r="C859" s="516"/>
      <c r="D859" s="514" t="s">
        <v>12925</v>
      </c>
      <c r="E859" s="515">
        <v>6.1</v>
      </c>
      <c r="F859" s="518" t="s">
        <v>614</v>
      </c>
      <c r="G859" s="515" t="s">
        <v>3161</v>
      </c>
      <c r="H859" s="514" t="s">
        <v>1226</v>
      </c>
      <c r="I859" s="515"/>
      <c r="J859" s="515">
        <v>2</v>
      </c>
    </row>
    <row r="860" spans="1:10" ht="13.8" thickBot="1">
      <c r="A860" s="517"/>
      <c r="B860" s="518" t="s">
        <v>12924</v>
      </c>
      <c r="C860" s="516"/>
      <c r="D860" s="514" t="s">
        <v>12923</v>
      </c>
      <c r="E860" s="515">
        <v>6</v>
      </c>
      <c r="F860" s="518" t="s">
        <v>614</v>
      </c>
      <c r="G860" s="515" t="s">
        <v>3161</v>
      </c>
      <c r="H860" s="514"/>
      <c r="I860" s="522"/>
      <c r="J860" s="515">
        <v>2</v>
      </c>
    </row>
    <row r="861" spans="1:10" ht="13.8" thickBot="1">
      <c r="A861" s="517"/>
      <c r="B861" s="518" t="s">
        <v>12922</v>
      </c>
      <c r="C861" s="516"/>
      <c r="D861" s="514" t="s">
        <v>12921</v>
      </c>
      <c r="E861" s="515">
        <v>6</v>
      </c>
      <c r="F861" s="518" t="s">
        <v>614</v>
      </c>
      <c r="G861" s="515" t="s">
        <v>3161</v>
      </c>
      <c r="H861" s="514"/>
      <c r="I861" s="515"/>
      <c r="J861" s="515">
        <v>1</v>
      </c>
    </row>
    <row r="862" spans="1:10" ht="13.8" thickBot="1">
      <c r="A862" s="517"/>
      <c r="B862" s="518" t="s">
        <v>12920</v>
      </c>
      <c r="C862" s="516"/>
      <c r="D862" s="514" t="s">
        <v>12919</v>
      </c>
      <c r="E862" s="515">
        <v>5.5</v>
      </c>
      <c r="F862" s="518" t="s">
        <v>614</v>
      </c>
      <c r="G862" s="515" t="s">
        <v>3161</v>
      </c>
      <c r="H862" s="514"/>
      <c r="I862" s="515"/>
      <c r="J862" s="515">
        <v>1</v>
      </c>
    </row>
    <row r="863" spans="1:10" ht="13.8" thickBot="1">
      <c r="A863" s="517"/>
      <c r="B863" s="518" t="s">
        <v>12918</v>
      </c>
      <c r="C863" s="516"/>
      <c r="D863" s="514" t="s">
        <v>3164</v>
      </c>
      <c r="E863" s="515">
        <v>5.25</v>
      </c>
      <c r="F863" s="518" t="s">
        <v>1854</v>
      </c>
      <c r="G863" s="515" t="s">
        <v>3161</v>
      </c>
      <c r="H863" s="514" t="s">
        <v>1226</v>
      </c>
      <c r="I863" s="515"/>
      <c r="J863" s="515">
        <v>1</v>
      </c>
    </row>
    <row r="864" spans="1:10" ht="13.8" thickBot="1">
      <c r="A864" s="517"/>
      <c r="B864" s="518" t="s">
        <v>12917</v>
      </c>
      <c r="C864" s="516"/>
      <c r="D864" s="514" t="s">
        <v>3178</v>
      </c>
      <c r="E864" s="515">
        <v>5</v>
      </c>
      <c r="F864" s="518" t="s">
        <v>614</v>
      </c>
      <c r="G864" s="515" t="s">
        <v>3161</v>
      </c>
      <c r="H864" s="514"/>
      <c r="I864" s="515"/>
      <c r="J864" s="515">
        <v>1</v>
      </c>
    </row>
    <row r="865" spans="1:10" ht="13.8" thickBot="1">
      <c r="A865" s="517"/>
      <c r="B865" s="518" t="s">
        <v>12916</v>
      </c>
      <c r="C865" s="516"/>
      <c r="D865" s="514" t="s">
        <v>1390</v>
      </c>
      <c r="E865" s="515">
        <v>5</v>
      </c>
      <c r="F865" s="518" t="s">
        <v>1854</v>
      </c>
      <c r="G865" s="515" t="s">
        <v>3161</v>
      </c>
      <c r="H865" s="514"/>
      <c r="I865" s="515"/>
      <c r="J865" s="515">
        <v>1</v>
      </c>
    </row>
    <row r="866" spans="1:10" ht="13.8" thickBot="1">
      <c r="A866" s="517"/>
      <c r="B866" s="518" t="s">
        <v>12915</v>
      </c>
      <c r="C866" s="516"/>
      <c r="D866" s="514" t="s">
        <v>12914</v>
      </c>
      <c r="E866" s="515">
        <v>5</v>
      </c>
      <c r="F866" s="518" t="s">
        <v>1854</v>
      </c>
      <c r="G866" s="515" t="s">
        <v>3161</v>
      </c>
      <c r="H866" s="514"/>
      <c r="I866" s="522"/>
      <c r="J866" s="522"/>
    </row>
    <row r="867" spans="1:10" ht="13.8" thickBot="1">
      <c r="A867" s="517"/>
      <c r="B867" s="518" t="s">
        <v>12913</v>
      </c>
      <c r="C867" s="516"/>
      <c r="D867" s="514" t="s">
        <v>1390</v>
      </c>
      <c r="E867" s="515">
        <v>4</v>
      </c>
      <c r="F867" s="518" t="s">
        <v>1854</v>
      </c>
      <c r="G867" s="515" t="s">
        <v>3161</v>
      </c>
      <c r="H867" s="514" t="s">
        <v>1224</v>
      </c>
      <c r="I867" s="515"/>
      <c r="J867" s="515">
        <v>1</v>
      </c>
    </row>
    <row r="868" spans="1:10" ht="13.8" thickBot="1">
      <c r="A868" s="517"/>
      <c r="B868" s="518" t="s">
        <v>12912</v>
      </c>
      <c r="C868" s="516"/>
      <c r="D868" s="514" t="s">
        <v>12911</v>
      </c>
      <c r="E868" s="515">
        <v>3.5</v>
      </c>
      <c r="F868" s="518" t="s">
        <v>1854</v>
      </c>
      <c r="G868" s="515" t="s">
        <v>3161</v>
      </c>
      <c r="H868" s="514"/>
      <c r="I868" s="515"/>
      <c r="J868" s="515">
        <v>2</v>
      </c>
    </row>
    <row r="869" spans="1:10" ht="13.8" thickBot="1">
      <c r="A869" s="517"/>
      <c r="B869" s="518" t="s">
        <v>12910</v>
      </c>
      <c r="C869" s="516"/>
      <c r="D869" s="514" t="s">
        <v>1390</v>
      </c>
      <c r="E869" s="515">
        <v>2</v>
      </c>
      <c r="F869" s="518" t="s">
        <v>614</v>
      </c>
      <c r="G869" s="515" t="s">
        <v>3161</v>
      </c>
      <c r="H869" s="514"/>
      <c r="I869" s="515"/>
      <c r="J869" s="515">
        <v>1</v>
      </c>
    </row>
    <row r="870" spans="1:10" ht="13.8" thickBot="1">
      <c r="A870" s="517"/>
      <c r="B870" s="518" t="s">
        <v>12909</v>
      </c>
      <c r="C870" s="516"/>
      <c r="D870" s="514" t="s">
        <v>12908</v>
      </c>
      <c r="E870" s="515"/>
      <c r="F870" s="518" t="s">
        <v>1854</v>
      </c>
      <c r="G870" s="515" t="s">
        <v>3161</v>
      </c>
      <c r="H870" s="514"/>
      <c r="I870" s="515"/>
      <c r="J870" s="515"/>
    </row>
    <row r="871" spans="1:10" ht="13.8" thickBot="1">
      <c r="A871" s="517"/>
      <c r="B871" s="518" t="s">
        <v>12907</v>
      </c>
      <c r="C871" s="516"/>
      <c r="D871" s="514" t="s">
        <v>12906</v>
      </c>
      <c r="E871" s="515">
        <v>7.25</v>
      </c>
      <c r="F871" s="518" t="s">
        <v>614</v>
      </c>
      <c r="G871" s="515" t="s">
        <v>3285</v>
      </c>
      <c r="H871" s="514" t="s">
        <v>1251</v>
      </c>
      <c r="I871" s="515"/>
      <c r="J871" s="515">
        <v>1</v>
      </c>
    </row>
    <row r="872" spans="1:10" ht="13.8" thickBot="1">
      <c r="A872" s="517"/>
      <c r="B872" s="518" t="s">
        <v>12905</v>
      </c>
      <c r="C872" s="516"/>
      <c r="D872" s="514" t="s">
        <v>12904</v>
      </c>
      <c r="E872" s="515">
        <v>6</v>
      </c>
      <c r="F872" s="515" t="s">
        <v>12413</v>
      </c>
      <c r="G872" s="515" t="s">
        <v>3285</v>
      </c>
      <c r="H872" s="514" t="s">
        <v>1224</v>
      </c>
      <c r="I872" s="522">
        <v>1</v>
      </c>
      <c r="J872" s="522">
        <v>2</v>
      </c>
    </row>
    <row r="873" spans="1:10" ht="13.8" thickBot="1">
      <c r="A873" s="517"/>
      <c r="B873" s="518" t="s">
        <v>12903</v>
      </c>
      <c r="C873" s="516"/>
      <c r="D873" s="514" t="s">
        <v>12902</v>
      </c>
      <c r="E873" s="515">
        <v>5</v>
      </c>
      <c r="F873" s="518" t="s">
        <v>1854</v>
      </c>
      <c r="G873" s="515" t="s">
        <v>3285</v>
      </c>
      <c r="H873" s="514" t="s">
        <v>1226</v>
      </c>
      <c r="I873" s="515"/>
      <c r="J873" s="515">
        <v>3</v>
      </c>
    </row>
    <row r="874" spans="1:10" ht="13.8" thickBot="1">
      <c r="A874" s="517"/>
      <c r="B874" s="518" t="s">
        <v>12901</v>
      </c>
      <c r="C874" s="516"/>
      <c r="D874" s="514" t="s">
        <v>12900</v>
      </c>
      <c r="E874" s="515">
        <v>5</v>
      </c>
      <c r="F874" s="518" t="s">
        <v>614</v>
      </c>
      <c r="G874" s="515" t="s">
        <v>3285</v>
      </c>
      <c r="H874" s="514" t="s">
        <v>1224</v>
      </c>
      <c r="I874" s="515"/>
      <c r="J874" s="515">
        <v>3</v>
      </c>
    </row>
    <row r="875" spans="1:10" ht="13.8" thickBot="1">
      <c r="A875" s="517"/>
      <c r="B875" s="518" t="s">
        <v>12899</v>
      </c>
      <c r="C875" s="516"/>
      <c r="D875" s="514" t="s">
        <v>12898</v>
      </c>
      <c r="E875" s="515">
        <v>5</v>
      </c>
      <c r="F875" s="518" t="s">
        <v>614</v>
      </c>
      <c r="G875" s="515" t="s">
        <v>3285</v>
      </c>
      <c r="H875" s="514" t="s">
        <v>1224</v>
      </c>
      <c r="I875" s="515"/>
      <c r="J875" s="515">
        <v>1</v>
      </c>
    </row>
    <row r="876" spans="1:10" ht="13.8" thickBot="1">
      <c r="A876" s="517"/>
      <c r="B876" s="518" t="s">
        <v>12897</v>
      </c>
      <c r="C876" s="516"/>
      <c r="D876" s="514" t="s">
        <v>12896</v>
      </c>
      <c r="E876" s="515">
        <v>5</v>
      </c>
      <c r="F876" s="518" t="s">
        <v>614</v>
      </c>
      <c r="G876" s="515" t="s">
        <v>3285</v>
      </c>
      <c r="H876" s="514"/>
      <c r="I876" s="522"/>
      <c r="J876" s="522">
        <v>4</v>
      </c>
    </row>
    <row r="877" spans="1:10" ht="13.8" thickBot="1">
      <c r="A877" s="517"/>
      <c r="B877" s="518" t="s">
        <v>12895</v>
      </c>
      <c r="C877" s="516"/>
      <c r="D877" s="514" t="s">
        <v>1433</v>
      </c>
      <c r="E877" s="515">
        <v>6.5</v>
      </c>
      <c r="F877" s="518" t="s">
        <v>614</v>
      </c>
      <c r="G877" s="515" t="s">
        <v>3315</v>
      </c>
      <c r="H877" s="514" t="s">
        <v>1226</v>
      </c>
      <c r="I877" s="515"/>
      <c r="J877" s="515">
        <v>2</v>
      </c>
    </row>
    <row r="878" spans="1:10" ht="13.8" thickBot="1">
      <c r="A878" s="517"/>
      <c r="B878" s="518" t="s">
        <v>12894</v>
      </c>
      <c r="C878" s="516"/>
      <c r="D878" s="514" t="s">
        <v>12893</v>
      </c>
      <c r="E878" s="515">
        <v>7.75</v>
      </c>
      <c r="F878" s="518" t="s">
        <v>614</v>
      </c>
      <c r="G878" s="515" t="s">
        <v>3351</v>
      </c>
      <c r="H878" s="514" t="s">
        <v>1251</v>
      </c>
      <c r="I878" s="515"/>
      <c r="J878" s="515">
        <v>1</v>
      </c>
    </row>
    <row r="879" spans="1:10" ht="13.8" thickBot="1">
      <c r="A879" s="517"/>
      <c r="B879" s="518" t="s">
        <v>12892</v>
      </c>
      <c r="C879" s="516"/>
      <c r="D879" s="514" t="s">
        <v>12891</v>
      </c>
      <c r="E879" s="515">
        <v>7.5</v>
      </c>
      <c r="F879" s="518" t="s">
        <v>1854</v>
      </c>
      <c r="G879" s="515" t="s">
        <v>3351</v>
      </c>
      <c r="H879" s="514"/>
      <c r="I879" s="515"/>
      <c r="J879" s="515"/>
    </row>
    <row r="880" spans="1:10" ht="13.8" thickBot="1">
      <c r="A880" s="517"/>
      <c r="B880" s="518" t="s">
        <v>12890</v>
      </c>
      <c r="C880" s="516"/>
      <c r="D880" s="514" t="s">
        <v>1440</v>
      </c>
      <c r="E880" s="515">
        <v>7.25</v>
      </c>
      <c r="F880" s="518" t="s">
        <v>1854</v>
      </c>
      <c r="G880" s="515" t="s">
        <v>3351</v>
      </c>
      <c r="H880" s="514"/>
      <c r="I880" s="515"/>
      <c r="J880" s="515"/>
    </row>
    <row r="881" spans="1:10" ht="13.8" thickBot="1">
      <c r="A881" s="517"/>
      <c r="B881" s="518" t="s">
        <v>12889</v>
      </c>
      <c r="C881" s="516"/>
      <c r="D881" s="514" t="s">
        <v>12888</v>
      </c>
      <c r="E881" s="515">
        <v>7</v>
      </c>
      <c r="F881" s="518" t="s">
        <v>614</v>
      </c>
      <c r="G881" s="515" t="s">
        <v>3351</v>
      </c>
      <c r="H881" s="514" t="s">
        <v>1224</v>
      </c>
      <c r="I881" s="522"/>
      <c r="J881" s="522">
        <v>1</v>
      </c>
    </row>
    <row r="882" spans="1:10" ht="13.8" thickBot="1">
      <c r="A882" s="517"/>
      <c r="B882" s="518" t="s">
        <v>12887</v>
      </c>
      <c r="C882" s="516"/>
      <c r="D882" s="514" t="s">
        <v>12886</v>
      </c>
      <c r="E882" s="515">
        <v>6.5</v>
      </c>
      <c r="F882" s="518" t="s">
        <v>614</v>
      </c>
      <c r="G882" s="515" t="s">
        <v>3351</v>
      </c>
      <c r="H882" s="514" t="s">
        <v>1224</v>
      </c>
      <c r="I882" s="515"/>
      <c r="J882" s="515">
        <v>3</v>
      </c>
    </row>
    <row r="883" spans="1:10" ht="13.8" thickBot="1">
      <c r="A883" s="517"/>
      <c r="B883" s="518" t="s">
        <v>12885</v>
      </c>
      <c r="C883" s="516"/>
      <c r="D883" s="514" t="s">
        <v>12884</v>
      </c>
      <c r="E883" s="515">
        <v>6.5</v>
      </c>
      <c r="F883" s="518" t="s">
        <v>1854</v>
      </c>
      <c r="G883" s="515" t="s">
        <v>3351</v>
      </c>
      <c r="H883" s="514"/>
      <c r="I883" s="515">
        <v>1</v>
      </c>
      <c r="J883" s="515">
        <v>1</v>
      </c>
    </row>
    <row r="884" spans="1:10" ht="13.8" thickBot="1">
      <c r="A884" s="517"/>
      <c r="B884" s="518" t="s">
        <v>12883</v>
      </c>
      <c r="C884" s="516"/>
      <c r="D884" s="514" t="s">
        <v>12882</v>
      </c>
      <c r="E884" s="515">
        <v>6.5</v>
      </c>
      <c r="F884" s="518" t="s">
        <v>614</v>
      </c>
      <c r="G884" s="515" t="s">
        <v>3351</v>
      </c>
      <c r="H884" s="514"/>
      <c r="I884" s="515"/>
      <c r="J884" s="515">
        <v>1</v>
      </c>
    </row>
    <row r="885" spans="1:10" ht="13.8" thickBot="1">
      <c r="A885" s="517"/>
      <c r="B885" s="518" t="s">
        <v>12881</v>
      </c>
      <c r="C885" s="516"/>
      <c r="D885" s="514" t="s">
        <v>12880</v>
      </c>
      <c r="E885" s="515">
        <v>6.25</v>
      </c>
      <c r="F885" s="518" t="s">
        <v>614</v>
      </c>
      <c r="G885" s="515" t="s">
        <v>3351</v>
      </c>
      <c r="H885" s="514" t="s">
        <v>1251</v>
      </c>
      <c r="I885" s="522"/>
      <c r="J885" s="515">
        <v>1</v>
      </c>
    </row>
    <row r="886" spans="1:10" ht="13.8" thickBot="1">
      <c r="A886" s="517"/>
      <c r="B886" s="518" t="s">
        <v>12879</v>
      </c>
      <c r="C886" s="516"/>
      <c r="D886" s="514" t="s">
        <v>12878</v>
      </c>
      <c r="E886" s="515">
        <v>3</v>
      </c>
      <c r="F886" s="518" t="s">
        <v>1854</v>
      </c>
      <c r="G886" s="515" t="s">
        <v>3351</v>
      </c>
      <c r="H886" s="514"/>
      <c r="I886" s="515"/>
      <c r="J886" s="515"/>
    </row>
    <row r="887" spans="1:10" ht="13.8" thickBot="1">
      <c r="A887" s="517"/>
      <c r="B887" s="518" t="s">
        <v>12877</v>
      </c>
      <c r="C887" s="516"/>
      <c r="D887" s="514" t="s">
        <v>12876</v>
      </c>
      <c r="E887" s="515">
        <v>7.25</v>
      </c>
      <c r="F887" s="514"/>
      <c r="G887" s="515" t="s">
        <v>3414</v>
      </c>
      <c r="H887" s="514"/>
      <c r="I887" s="515"/>
      <c r="J887" s="515"/>
    </row>
    <row r="888" spans="1:10" ht="13.8" thickBot="1">
      <c r="A888" s="517"/>
      <c r="B888" s="518" t="s">
        <v>12875</v>
      </c>
      <c r="C888" s="516"/>
      <c r="D888" s="514" t="s">
        <v>12874</v>
      </c>
      <c r="E888" s="515">
        <v>6.75</v>
      </c>
      <c r="F888" s="518" t="s">
        <v>614</v>
      </c>
      <c r="G888" s="515" t="s">
        <v>3414</v>
      </c>
      <c r="H888" s="514" t="s">
        <v>1226</v>
      </c>
      <c r="I888" s="515"/>
      <c r="J888" s="515">
        <v>3</v>
      </c>
    </row>
    <row r="889" spans="1:10" ht="13.8" thickBot="1">
      <c r="A889" s="517"/>
      <c r="B889" s="518" t="s">
        <v>12873</v>
      </c>
      <c r="C889" s="516"/>
      <c r="D889" s="514" t="s">
        <v>12872</v>
      </c>
      <c r="E889" s="515">
        <v>6.75</v>
      </c>
      <c r="F889" s="514"/>
      <c r="G889" s="515" t="s">
        <v>3414</v>
      </c>
      <c r="H889" s="514"/>
      <c r="I889" s="515">
        <v>1</v>
      </c>
      <c r="J889" s="515">
        <v>4</v>
      </c>
    </row>
    <row r="890" spans="1:10" ht="13.8" thickBot="1">
      <c r="A890" s="517"/>
      <c r="B890" s="518" t="s">
        <v>12871</v>
      </c>
      <c r="C890" s="516"/>
      <c r="D890" s="514" t="s">
        <v>12870</v>
      </c>
      <c r="E890" s="515">
        <v>6.5</v>
      </c>
      <c r="F890" s="518" t="s">
        <v>614</v>
      </c>
      <c r="G890" s="515" t="s">
        <v>3414</v>
      </c>
      <c r="H890" s="514" t="s">
        <v>1226</v>
      </c>
      <c r="I890" s="515"/>
      <c r="J890" s="515">
        <v>2</v>
      </c>
    </row>
    <row r="891" spans="1:10" ht="13.8" thickBot="1">
      <c r="A891" s="517"/>
      <c r="B891" s="518" t="s">
        <v>12869</v>
      </c>
      <c r="C891" s="516"/>
      <c r="D891" s="514" t="s">
        <v>12868</v>
      </c>
      <c r="E891" s="515">
        <v>6.5</v>
      </c>
      <c r="F891" s="518" t="s">
        <v>2223</v>
      </c>
      <c r="G891" s="515" t="s">
        <v>3414</v>
      </c>
      <c r="H891" s="514"/>
      <c r="I891" s="515"/>
      <c r="J891" s="515"/>
    </row>
    <row r="892" spans="1:10" ht="13.8" thickBot="1">
      <c r="A892" s="517"/>
      <c r="B892" s="518" t="s">
        <v>12867</v>
      </c>
      <c r="C892" s="516"/>
      <c r="D892" s="514" t="s">
        <v>3421</v>
      </c>
      <c r="E892" s="515">
        <v>6.5</v>
      </c>
      <c r="F892" s="518" t="s">
        <v>1854</v>
      </c>
      <c r="G892" s="515" t="s">
        <v>3414</v>
      </c>
      <c r="H892" s="514"/>
      <c r="I892" s="515"/>
      <c r="J892" s="515"/>
    </row>
    <row r="893" spans="1:10" ht="13.8" thickBot="1">
      <c r="A893" s="517"/>
      <c r="B893" s="518" t="s">
        <v>12866</v>
      </c>
      <c r="C893" s="516"/>
      <c r="D893" s="514" t="s">
        <v>3421</v>
      </c>
      <c r="E893" s="515">
        <v>6.5</v>
      </c>
      <c r="F893" s="514"/>
      <c r="G893" s="515" t="s">
        <v>3414</v>
      </c>
      <c r="H893" s="514"/>
      <c r="I893" s="515"/>
      <c r="J893" s="515"/>
    </row>
    <row r="894" spans="1:10" ht="13.8" thickBot="1">
      <c r="A894" s="517"/>
      <c r="B894" s="518" t="s">
        <v>12865</v>
      </c>
      <c r="C894" s="516"/>
      <c r="D894" s="514" t="s">
        <v>1447</v>
      </c>
      <c r="E894" s="515">
        <v>6</v>
      </c>
      <c r="F894" s="518" t="s">
        <v>614</v>
      </c>
      <c r="G894" s="515" t="s">
        <v>3448</v>
      </c>
      <c r="H894" s="514"/>
      <c r="I894" s="515"/>
      <c r="J894" s="515">
        <v>1</v>
      </c>
    </row>
    <row r="895" spans="1:10" ht="13.8" thickBot="1">
      <c r="A895" s="517"/>
      <c r="B895" s="518" t="s">
        <v>12864</v>
      </c>
      <c r="C895" s="516"/>
      <c r="D895" s="514" t="s">
        <v>12863</v>
      </c>
      <c r="E895" s="515">
        <v>7.75</v>
      </c>
      <c r="F895" s="518" t="s">
        <v>614</v>
      </c>
      <c r="G895" s="515" t="s">
        <v>3452</v>
      </c>
      <c r="H895" s="514" t="s">
        <v>1229</v>
      </c>
      <c r="I895" s="515">
        <v>3</v>
      </c>
      <c r="J895" s="515">
        <v>7</v>
      </c>
    </row>
    <row r="896" spans="1:10" ht="13.8" thickBot="1">
      <c r="A896" s="517"/>
      <c r="B896" s="518" t="s">
        <v>12862</v>
      </c>
      <c r="C896" s="516"/>
      <c r="D896" s="514" t="s">
        <v>12861</v>
      </c>
      <c r="E896" s="515">
        <v>7.1</v>
      </c>
      <c r="F896" s="518" t="s">
        <v>614</v>
      </c>
      <c r="G896" s="515" t="s">
        <v>3452</v>
      </c>
      <c r="H896" s="514" t="s">
        <v>1226</v>
      </c>
      <c r="I896" s="515"/>
      <c r="J896" s="515">
        <v>2</v>
      </c>
    </row>
    <row r="897" spans="1:10" ht="13.8" thickBot="1">
      <c r="A897" s="517"/>
      <c r="B897" s="518" t="s">
        <v>12860</v>
      </c>
      <c r="C897" s="516"/>
      <c r="D897" s="514" t="s">
        <v>12859</v>
      </c>
      <c r="E897" s="515">
        <v>7</v>
      </c>
      <c r="F897" s="518" t="s">
        <v>614</v>
      </c>
      <c r="G897" s="515" t="s">
        <v>3452</v>
      </c>
      <c r="H897" s="514"/>
      <c r="I897" s="515"/>
      <c r="J897" s="515">
        <v>3</v>
      </c>
    </row>
    <row r="898" spans="1:10" ht="13.8" thickBot="1">
      <c r="A898" s="517"/>
      <c r="B898" s="518" t="s">
        <v>12858</v>
      </c>
      <c r="C898" s="516"/>
      <c r="D898" s="514" t="s">
        <v>12857</v>
      </c>
      <c r="E898" s="515">
        <v>7</v>
      </c>
      <c r="F898" s="518" t="s">
        <v>614</v>
      </c>
      <c r="G898" s="515" t="s">
        <v>3452</v>
      </c>
      <c r="H898" s="514"/>
      <c r="I898" s="515"/>
      <c r="J898" s="515"/>
    </row>
    <row r="899" spans="1:10" ht="13.8" thickBot="1">
      <c r="A899" s="517"/>
      <c r="B899" s="518" t="s">
        <v>12856</v>
      </c>
      <c r="C899" s="516"/>
      <c r="D899" s="514" t="s">
        <v>3451</v>
      </c>
      <c r="E899" s="515">
        <v>7</v>
      </c>
      <c r="F899" s="518" t="s">
        <v>1854</v>
      </c>
      <c r="G899" s="515" t="s">
        <v>3452</v>
      </c>
      <c r="H899" s="514"/>
      <c r="I899" s="515"/>
      <c r="J899" s="515"/>
    </row>
    <row r="900" spans="1:10" ht="13.8" thickBot="1">
      <c r="A900" s="517"/>
      <c r="B900" s="518" t="s">
        <v>12855</v>
      </c>
      <c r="C900" s="516"/>
      <c r="D900" s="514" t="s">
        <v>12854</v>
      </c>
      <c r="E900" s="515">
        <v>7</v>
      </c>
      <c r="F900" s="514"/>
      <c r="G900" s="515" t="s">
        <v>3452</v>
      </c>
      <c r="H900" s="514"/>
      <c r="I900" s="515"/>
      <c r="J900" s="515"/>
    </row>
    <row r="901" spans="1:10" ht="13.8" thickBot="1">
      <c r="A901" s="517"/>
      <c r="B901" s="518" t="s">
        <v>12853</v>
      </c>
      <c r="C901" s="516"/>
      <c r="D901" s="514" t="s">
        <v>12852</v>
      </c>
      <c r="E901" s="515">
        <v>6.75</v>
      </c>
      <c r="F901" s="518" t="s">
        <v>614</v>
      </c>
      <c r="G901" s="515" t="s">
        <v>3452</v>
      </c>
      <c r="H901" s="514" t="s">
        <v>1251</v>
      </c>
      <c r="I901" s="515">
        <v>1</v>
      </c>
      <c r="J901" s="515">
        <v>5</v>
      </c>
    </row>
    <row r="902" spans="1:10" ht="13.8" thickBot="1">
      <c r="A902" s="517"/>
      <c r="B902" s="518" t="s">
        <v>12851</v>
      </c>
      <c r="C902" s="516"/>
      <c r="D902" s="514" t="s">
        <v>12850</v>
      </c>
      <c r="E902" s="515">
        <v>6.75</v>
      </c>
      <c r="F902" s="518" t="s">
        <v>614</v>
      </c>
      <c r="G902" s="515" t="s">
        <v>3452</v>
      </c>
      <c r="H902" s="514" t="s">
        <v>1224</v>
      </c>
      <c r="I902" s="515"/>
      <c r="J902" s="515">
        <v>2</v>
      </c>
    </row>
    <row r="903" spans="1:10" ht="13.8" thickBot="1">
      <c r="A903" s="517"/>
      <c r="B903" s="518" t="s">
        <v>12849</v>
      </c>
      <c r="C903" s="516"/>
      <c r="D903" s="514" t="s">
        <v>12848</v>
      </c>
      <c r="E903" s="515">
        <v>6.5</v>
      </c>
      <c r="F903" s="518" t="s">
        <v>614</v>
      </c>
      <c r="G903" s="515" t="s">
        <v>3452</v>
      </c>
      <c r="H903" s="514" t="s">
        <v>1226</v>
      </c>
      <c r="I903" s="515">
        <v>2</v>
      </c>
      <c r="J903" s="515">
        <v>6</v>
      </c>
    </row>
    <row r="904" spans="1:10" ht="13.8" thickBot="1">
      <c r="A904" s="517"/>
      <c r="B904" s="518" t="s">
        <v>12847</v>
      </c>
      <c r="C904" s="516"/>
      <c r="D904" s="519" t="s">
        <v>12846</v>
      </c>
      <c r="E904" s="515">
        <v>6.5</v>
      </c>
      <c r="F904" s="518" t="s">
        <v>614</v>
      </c>
      <c r="G904" s="515" t="s">
        <v>3452</v>
      </c>
      <c r="H904" s="514" t="s">
        <v>1226</v>
      </c>
      <c r="I904" s="515"/>
      <c r="J904" s="515">
        <v>3</v>
      </c>
    </row>
    <row r="905" spans="1:10" ht="13.8" thickBot="1">
      <c r="A905" s="517"/>
      <c r="B905" s="518" t="s">
        <v>12845</v>
      </c>
      <c r="C905" s="516"/>
      <c r="D905" s="514" t="s">
        <v>3451</v>
      </c>
      <c r="E905" s="515">
        <v>6.1</v>
      </c>
      <c r="F905" s="518" t="s">
        <v>614</v>
      </c>
      <c r="G905" s="515" t="s">
        <v>3452</v>
      </c>
      <c r="H905" s="514" t="s">
        <v>1220</v>
      </c>
      <c r="I905" s="515"/>
      <c r="J905" s="515">
        <v>2</v>
      </c>
    </row>
    <row r="906" spans="1:10" ht="13.8" thickBot="1">
      <c r="A906" s="517"/>
      <c r="B906" s="518" t="s">
        <v>12844</v>
      </c>
      <c r="C906" s="516"/>
      <c r="D906" s="514" t="s">
        <v>3457</v>
      </c>
      <c r="E906" s="515">
        <v>6</v>
      </c>
      <c r="F906" s="514"/>
      <c r="G906" s="515" t="s">
        <v>3452</v>
      </c>
      <c r="H906" s="514" t="s">
        <v>1224</v>
      </c>
      <c r="I906" s="515"/>
      <c r="J906" s="515">
        <v>2</v>
      </c>
    </row>
    <row r="907" spans="1:10" ht="13.8" thickBot="1">
      <c r="A907" s="517"/>
      <c r="B907" s="518" t="s">
        <v>12843</v>
      </c>
      <c r="C907" s="516"/>
      <c r="D907" s="514" t="s">
        <v>12842</v>
      </c>
      <c r="E907" s="515">
        <v>5.5</v>
      </c>
      <c r="F907" s="518" t="s">
        <v>614</v>
      </c>
      <c r="G907" s="515" t="s">
        <v>3452</v>
      </c>
      <c r="H907" s="514" t="s">
        <v>1226</v>
      </c>
      <c r="I907" s="515"/>
      <c r="J907" s="515">
        <v>2</v>
      </c>
    </row>
    <row r="908" spans="1:10" ht="13.8" thickBot="1">
      <c r="A908" s="517"/>
      <c r="B908" s="518" t="s">
        <v>12841</v>
      </c>
      <c r="C908" s="516"/>
      <c r="D908" s="514" t="s">
        <v>3451</v>
      </c>
      <c r="E908" s="515">
        <v>5.5</v>
      </c>
      <c r="F908" s="514"/>
      <c r="G908" s="515" t="s">
        <v>3452</v>
      </c>
      <c r="H908" s="514" t="s">
        <v>1224</v>
      </c>
      <c r="I908" s="515"/>
      <c r="J908" s="515">
        <v>1</v>
      </c>
    </row>
    <row r="909" spans="1:10" ht="13.8" thickBot="1">
      <c r="A909" s="517"/>
      <c r="B909" s="518" t="s">
        <v>12840</v>
      </c>
      <c r="C909" s="516"/>
      <c r="D909" s="514" t="s">
        <v>3451</v>
      </c>
      <c r="E909" s="515">
        <v>2</v>
      </c>
      <c r="F909" s="518" t="s">
        <v>1854</v>
      </c>
      <c r="G909" s="515" t="s">
        <v>3452</v>
      </c>
      <c r="H909" s="514"/>
      <c r="I909" s="515"/>
      <c r="J909" s="515"/>
    </row>
    <row r="910" spans="1:10" ht="13.8" thickBot="1">
      <c r="A910" s="517"/>
      <c r="B910" s="518" t="s">
        <v>12839</v>
      </c>
      <c r="C910" s="516"/>
      <c r="D910" s="514" t="s">
        <v>1452</v>
      </c>
      <c r="E910" s="515">
        <v>9</v>
      </c>
      <c r="F910" s="514"/>
      <c r="G910" s="515" t="s">
        <v>3517</v>
      </c>
      <c r="H910" s="514"/>
      <c r="I910" s="515"/>
      <c r="J910" s="515"/>
    </row>
    <row r="911" spans="1:10" ht="13.8" thickBot="1">
      <c r="A911" s="517"/>
      <c r="B911" s="518" t="s">
        <v>12838</v>
      </c>
      <c r="C911" s="516"/>
      <c r="D911" s="514" t="s">
        <v>1452</v>
      </c>
      <c r="E911" s="515">
        <v>8</v>
      </c>
      <c r="F911" s="514"/>
      <c r="G911" s="515" t="s">
        <v>3517</v>
      </c>
      <c r="H911" s="514"/>
      <c r="I911" s="515">
        <v>1</v>
      </c>
      <c r="J911" s="515">
        <v>2</v>
      </c>
    </row>
    <row r="912" spans="1:10" ht="13.8" thickBot="1">
      <c r="A912" s="517"/>
      <c r="B912" s="518" t="s">
        <v>12837</v>
      </c>
      <c r="C912" s="516"/>
      <c r="D912" s="514" t="s">
        <v>12836</v>
      </c>
      <c r="E912" s="515">
        <v>8</v>
      </c>
      <c r="F912" s="514"/>
      <c r="G912" s="515" t="s">
        <v>3517</v>
      </c>
      <c r="H912" s="514"/>
      <c r="I912" s="515"/>
      <c r="J912" s="515"/>
    </row>
    <row r="913" spans="1:10" ht="13.8" thickBot="1">
      <c r="A913" s="517"/>
      <c r="B913" s="518" t="s">
        <v>12835</v>
      </c>
      <c r="C913" s="516"/>
      <c r="D913" s="514" t="s">
        <v>12834</v>
      </c>
      <c r="E913" s="515">
        <v>8</v>
      </c>
      <c r="F913" s="514"/>
      <c r="G913" s="515" t="s">
        <v>3517</v>
      </c>
      <c r="H913" s="514"/>
      <c r="I913" s="515"/>
      <c r="J913" s="515"/>
    </row>
    <row r="914" spans="1:10" ht="13.8" thickBot="1">
      <c r="A914" s="517"/>
      <c r="B914" s="518" t="s">
        <v>12833</v>
      </c>
      <c r="C914" s="516"/>
      <c r="D914" s="514" t="s">
        <v>12832</v>
      </c>
      <c r="E914" s="515">
        <v>7.5</v>
      </c>
      <c r="F914" s="518" t="s">
        <v>614</v>
      </c>
      <c r="G914" s="515" t="s">
        <v>3517</v>
      </c>
      <c r="H914" s="514" t="s">
        <v>1251</v>
      </c>
      <c r="I914" s="515"/>
      <c r="J914" s="515">
        <v>2</v>
      </c>
    </row>
    <row r="915" spans="1:10" ht="13.8" thickBot="1">
      <c r="A915" s="517"/>
      <c r="B915" s="518" t="s">
        <v>12831</v>
      </c>
      <c r="C915" s="516"/>
      <c r="D915" s="514" t="s">
        <v>12830</v>
      </c>
      <c r="E915" s="515">
        <v>7.5</v>
      </c>
      <c r="F915" s="514"/>
      <c r="G915" s="515" t="s">
        <v>3517</v>
      </c>
      <c r="H915" s="514" t="s">
        <v>1226</v>
      </c>
      <c r="I915" s="515"/>
      <c r="J915" s="515">
        <v>1</v>
      </c>
    </row>
    <row r="916" spans="1:10" ht="13.8" thickBot="1">
      <c r="A916" s="517"/>
      <c r="B916" s="518" t="s">
        <v>12829</v>
      </c>
      <c r="C916" s="516"/>
      <c r="D916" s="514" t="s">
        <v>12828</v>
      </c>
      <c r="E916" s="515">
        <v>7.5</v>
      </c>
      <c r="F916" s="518" t="s">
        <v>1854</v>
      </c>
      <c r="G916" s="515" t="s">
        <v>3517</v>
      </c>
      <c r="H916" s="514"/>
      <c r="I916" s="515">
        <v>3</v>
      </c>
      <c r="J916" s="522">
        <v>3</v>
      </c>
    </row>
    <row r="917" spans="1:10" ht="13.8" thickBot="1">
      <c r="A917" s="517"/>
      <c r="B917" s="518" t="s">
        <v>12827</v>
      </c>
      <c r="C917" s="516"/>
      <c r="D917" s="514" t="s">
        <v>12826</v>
      </c>
      <c r="E917" s="515">
        <v>7.5</v>
      </c>
      <c r="F917" s="518" t="s">
        <v>2223</v>
      </c>
      <c r="G917" s="515" t="s">
        <v>3517</v>
      </c>
      <c r="H917" s="514"/>
      <c r="I917" s="522"/>
      <c r="J917" s="522">
        <v>1</v>
      </c>
    </row>
    <row r="918" spans="1:10" ht="13.8" thickBot="1">
      <c r="A918" s="517"/>
      <c r="B918" s="518" t="s">
        <v>12825</v>
      </c>
      <c r="C918" s="516"/>
      <c r="D918" s="514" t="s">
        <v>12824</v>
      </c>
      <c r="E918" s="515">
        <v>7.5</v>
      </c>
      <c r="F918" s="518" t="s">
        <v>1854</v>
      </c>
      <c r="G918" s="515" t="s">
        <v>3517</v>
      </c>
      <c r="H918" s="514"/>
      <c r="I918" s="522"/>
      <c r="J918" s="522"/>
    </row>
    <row r="919" spans="1:10" ht="13.8" thickBot="1">
      <c r="A919" s="517"/>
      <c r="B919" s="518" t="s">
        <v>12823</v>
      </c>
      <c r="C919" s="516"/>
      <c r="D919" s="514" t="s">
        <v>12822</v>
      </c>
      <c r="E919" s="515">
        <v>7.25</v>
      </c>
      <c r="F919" s="518" t="s">
        <v>1854</v>
      </c>
      <c r="G919" s="515" t="s">
        <v>3517</v>
      </c>
      <c r="H919" s="514" t="s">
        <v>1251</v>
      </c>
      <c r="I919" s="515">
        <v>2</v>
      </c>
      <c r="J919" s="515">
        <v>7</v>
      </c>
    </row>
    <row r="920" spans="1:10" ht="13.8" thickBot="1">
      <c r="A920" s="517"/>
      <c r="B920" s="518" t="s">
        <v>12821</v>
      </c>
      <c r="C920" s="516"/>
      <c r="D920" s="514" t="s">
        <v>3579</v>
      </c>
      <c r="E920" s="515">
        <v>7.25</v>
      </c>
      <c r="F920" s="514"/>
      <c r="G920" s="515" t="s">
        <v>3517</v>
      </c>
      <c r="H920" s="514"/>
      <c r="I920" s="515"/>
      <c r="J920" s="515"/>
    </row>
    <row r="921" spans="1:10" ht="13.8" thickBot="1">
      <c r="A921" s="517"/>
      <c r="B921" s="518" t="s">
        <v>12820</v>
      </c>
      <c r="C921" s="516"/>
      <c r="D921" s="514" t="s">
        <v>12819</v>
      </c>
      <c r="E921" s="515">
        <v>7.1</v>
      </c>
      <c r="F921" s="518" t="s">
        <v>614</v>
      </c>
      <c r="G921" s="515" t="s">
        <v>3517</v>
      </c>
      <c r="H921" s="514" t="s">
        <v>1251</v>
      </c>
      <c r="I921" s="515"/>
      <c r="J921" s="515">
        <v>7</v>
      </c>
    </row>
    <row r="922" spans="1:10" ht="13.8" thickBot="1">
      <c r="A922" s="517"/>
      <c r="B922" s="518" t="s">
        <v>12818</v>
      </c>
      <c r="C922" s="516"/>
      <c r="D922" s="514" t="s">
        <v>12817</v>
      </c>
      <c r="E922" s="515">
        <v>7.1</v>
      </c>
      <c r="F922" s="514"/>
      <c r="G922" s="515" t="s">
        <v>3517</v>
      </c>
      <c r="H922" s="514" t="s">
        <v>1226</v>
      </c>
      <c r="I922" s="515">
        <v>1</v>
      </c>
      <c r="J922" s="515">
        <v>7</v>
      </c>
    </row>
    <row r="923" spans="1:10" ht="13.8" thickBot="1">
      <c r="A923" s="517"/>
      <c r="B923" s="518" t="s">
        <v>12816</v>
      </c>
      <c r="C923" s="516"/>
      <c r="D923" s="514" t="s">
        <v>12815</v>
      </c>
      <c r="E923" s="515">
        <v>7.1</v>
      </c>
      <c r="F923" s="518" t="s">
        <v>614</v>
      </c>
      <c r="G923" s="515" t="s">
        <v>3517</v>
      </c>
      <c r="H923" s="514" t="s">
        <v>1226</v>
      </c>
      <c r="I923" s="515"/>
      <c r="J923" s="515">
        <v>4</v>
      </c>
    </row>
    <row r="924" spans="1:10" ht="13.8" thickBot="1">
      <c r="A924" s="517"/>
      <c r="B924" s="518" t="s">
        <v>12814</v>
      </c>
      <c r="C924" s="516"/>
      <c r="D924" s="514" t="s">
        <v>12813</v>
      </c>
      <c r="E924" s="515">
        <v>7</v>
      </c>
      <c r="F924" s="518" t="s">
        <v>614</v>
      </c>
      <c r="G924" s="515" t="s">
        <v>3517</v>
      </c>
      <c r="H924" s="514" t="s">
        <v>1251</v>
      </c>
      <c r="I924" s="515">
        <v>1</v>
      </c>
      <c r="J924" s="515">
        <v>7</v>
      </c>
    </row>
    <row r="925" spans="1:10" ht="13.8" thickBot="1">
      <c r="A925" s="517"/>
      <c r="B925" s="518" t="s">
        <v>12812</v>
      </c>
      <c r="C925" s="516"/>
      <c r="D925" s="514" t="s">
        <v>12811</v>
      </c>
      <c r="E925" s="515">
        <v>7</v>
      </c>
      <c r="F925" s="518" t="s">
        <v>614</v>
      </c>
      <c r="G925" s="515" t="s">
        <v>3517</v>
      </c>
      <c r="H925" s="514" t="s">
        <v>1251</v>
      </c>
      <c r="I925" s="515">
        <v>1</v>
      </c>
      <c r="J925" s="515">
        <v>5</v>
      </c>
    </row>
    <row r="926" spans="1:10" ht="13.8" thickBot="1">
      <c r="A926" s="517"/>
      <c r="B926" s="518" t="s">
        <v>12810</v>
      </c>
      <c r="C926" s="516"/>
      <c r="D926" s="514" t="s">
        <v>12809</v>
      </c>
      <c r="E926" s="515">
        <v>7</v>
      </c>
      <c r="F926" s="518" t="s">
        <v>614</v>
      </c>
      <c r="G926" s="515" t="s">
        <v>3517</v>
      </c>
      <c r="H926" s="514" t="s">
        <v>1226</v>
      </c>
      <c r="I926" s="515">
        <v>1</v>
      </c>
      <c r="J926" s="515">
        <v>5</v>
      </c>
    </row>
    <row r="927" spans="1:10" ht="13.8" thickBot="1">
      <c r="A927" s="517"/>
      <c r="B927" s="518" t="s">
        <v>12808</v>
      </c>
      <c r="C927" s="516"/>
      <c r="D927" s="514" t="s">
        <v>12807</v>
      </c>
      <c r="E927" s="515">
        <v>7</v>
      </c>
      <c r="F927" s="518" t="s">
        <v>614</v>
      </c>
      <c r="G927" s="515" t="s">
        <v>3517</v>
      </c>
      <c r="H927" s="514" t="s">
        <v>1224</v>
      </c>
      <c r="I927" s="515">
        <v>1</v>
      </c>
      <c r="J927" s="515">
        <v>2</v>
      </c>
    </row>
    <row r="928" spans="1:10" ht="13.8" thickBot="1">
      <c r="A928" s="517"/>
      <c r="B928" s="518" t="s">
        <v>12806</v>
      </c>
      <c r="C928" s="516"/>
      <c r="D928" s="514" t="s">
        <v>12805</v>
      </c>
      <c r="E928" s="515">
        <v>7</v>
      </c>
      <c r="F928" s="518" t="s">
        <v>1854</v>
      </c>
      <c r="G928" s="515" t="s">
        <v>3517</v>
      </c>
      <c r="H928" s="514"/>
      <c r="I928" s="515"/>
      <c r="J928" s="515">
        <v>1</v>
      </c>
    </row>
    <row r="929" spans="1:10" ht="13.8" thickBot="1">
      <c r="A929" s="517"/>
      <c r="B929" s="518" t="s">
        <v>12804</v>
      </c>
      <c r="C929" s="516"/>
      <c r="D929" s="514" t="s">
        <v>12803</v>
      </c>
      <c r="E929" s="515">
        <v>7</v>
      </c>
      <c r="F929" s="518" t="s">
        <v>2223</v>
      </c>
      <c r="G929" s="515" t="s">
        <v>3517</v>
      </c>
      <c r="H929" s="514"/>
      <c r="I929" s="515"/>
      <c r="J929" s="515"/>
    </row>
    <row r="930" spans="1:10" ht="13.8" thickBot="1">
      <c r="A930" s="517"/>
      <c r="B930" s="518" t="s">
        <v>12802</v>
      </c>
      <c r="C930" s="516"/>
      <c r="D930" s="520" t="s">
        <v>12801</v>
      </c>
      <c r="E930" s="521">
        <v>7</v>
      </c>
      <c r="F930" s="518" t="s">
        <v>1854</v>
      </c>
      <c r="G930" s="515" t="s">
        <v>3517</v>
      </c>
      <c r="H930" s="514"/>
      <c r="I930" s="515"/>
      <c r="J930" s="515"/>
    </row>
    <row r="931" spans="1:10" ht="13.8" thickBot="1">
      <c r="A931" s="517"/>
      <c r="B931" s="518" t="s">
        <v>12800</v>
      </c>
      <c r="C931" s="516"/>
      <c r="D931" s="514" t="s">
        <v>12799</v>
      </c>
      <c r="E931" s="515">
        <v>6.8</v>
      </c>
      <c r="F931" s="518" t="s">
        <v>1854</v>
      </c>
      <c r="G931" s="515" t="s">
        <v>3517</v>
      </c>
      <c r="H931" s="514" t="s">
        <v>1226</v>
      </c>
      <c r="I931" s="515"/>
      <c r="J931" s="515">
        <v>5</v>
      </c>
    </row>
    <row r="932" spans="1:10" ht="13.8" thickBot="1">
      <c r="A932" s="517"/>
      <c r="B932" s="518" t="s">
        <v>12798</v>
      </c>
      <c r="C932" s="516"/>
      <c r="D932" s="514" t="s">
        <v>1456</v>
      </c>
      <c r="E932" s="515">
        <v>6.75</v>
      </c>
      <c r="F932" s="518" t="s">
        <v>614</v>
      </c>
      <c r="G932" s="515" t="s">
        <v>3517</v>
      </c>
      <c r="H932" s="514" t="s">
        <v>1251</v>
      </c>
      <c r="I932" s="515"/>
      <c r="J932" s="515">
        <v>8</v>
      </c>
    </row>
    <row r="933" spans="1:10" ht="13.8" thickBot="1">
      <c r="A933" s="517"/>
      <c r="B933" s="518" t="s">
        <v>12797</v>
      </c>
      <c r="C933" s="516"/>
      <c r="D933" s="514" t="s">
        <v>12796</v>
      </c>
      <c r="E933" s="515">
        <v>6.75</v>
      </c>
      <c r="F933" s="518" t="s">
        <v>614</v>
      </c>
      <c r="G933" s="515" t="s">
        <v>3517</v>
      </c>
      <c r="H933" s="514" t="s">
        <v>1226</v>
      </c>
      <c r="I933" s="515"/>
      <c r="J933" s="515">
        <v>5</v>
      </c>
    </row>
    <row r="934" spans="1:10" ht="13.8" thickBot="1">
      <c r="A934" s="517"/>
      <c r="B934" s="518" t="s">
        <v>12795</v>
      </c>
      <c r="C934" s="516"/>
      <c r="D934" s="514" t="s">
        <v>12794</v>
      </c>
      <c r="E934" s="515">
        <v>6.75</v>
      </c>
      <c r="F934" s="518" t="s">
        <v>614</v>
      </c>
      <c r="G934" s="515" t="s">
        <v>3517</v>
      </c>
      <c r="H934" s="514" t="s">
        <v>1224</v>
      </c>
      <c r="I934" s="515">
        <v>1</v>
      </c>
      <c r="J934" s="515">
        <v>5</v>
      </c>
    </row>
    <row r="935" spans="1:10" ht="13.8" thickBot="1">
      <c r="A935" s="517"/>
      <c r="B935" s="518" t="s">
        <v>12793</v>
      </c>
      <c r="C935" s="516"/>
      <c r="D935" s="520" t="s">
        <v>12792</v>
      </c>
      <c r="E935" s="521">
        <v>6.75</v>
      </c>
      <c r="F935" s="514"/>
      <c r="G935" s="515" t="s">
        <v>3517</v>
      </c>
      <c r="H935" s="514"/>
      <c r="I935" s="515"/>
      <c r="J935" s="515">
        <v>1</v>
      </c>
    </row>
    <row r="936" spans="1:10" ht="13.8" thickBot="1">
      <c r="A936" s="517"/>
      <c r="B936" s="518" t="s">
        <v>12791</v>
      </c>
      <c r="C936" s="516"/>
      <c r="D936" s="514" t="s">
        <v>12790</v>
      </c>
      <c r="E936" s="515">
        <v>6.6</v>
      </c>
      <c r="F936" s="518" t="s">
        <v>614</v>
      </c>
      <c r="G936" s="515" t="s">
        <v>3517</v>
      </c>
      <c r="H936" s="514" t="s">
        <v>1226</v>
      </c>
      <c r="I936" s="522"/>
      <c r="J936" s="522">
        <v>11</v>
      </c>
    </row>
    <row r="937" spans="1:10" ht="13.8" thickBot="1">
      <c r="A937" s="517"/>
      <c r="B937" s="518" t="s">
        <v>12789</v>
      </c>
      <c r="C937" s="516"/>
      <c r="D937" s="519" t="s">
        <v>12788</v>
      </c>
      <c r="E937" s="515">
        <v>6.5</v>
      </c>
      <c r="F937" s="518" t="s">
        <v>614</v>
      </c>
      <c r="G937" s="515" t="s">
        <v>3517</v>
      </c>
      <c r="H937" s="514" t="s">
        <v>1226</v>
      </c>
      <c r="I937" s="515">
        <v>3</v>
      </c>
      <c r="J937" s="515">
        <v>10</v>
      </c>
    </row>
    <row r="938" spans="1:10" ht="13.8" thickBot="1">
      <c r="A938" s="517"/>
      <c r="B938" s="518" t="s">
        <v>12787</v>
      </c>
      <c r="C938" s="516"/>
      <c r="D938" s="514" t="s">
        <v>12786</v>
      </c>
      <c r="E938" s="515">
        <v>6.5</v>
      </c>
      <c r="F938" s="518" t="s">
        <v>614</v>
      </c>
      <c r="G938" s="515" t="s">
        <v>3517</v>
      </c>
      <c r="H938" s="514" t="s">
        <v>1226</v>
      </c>
      <c r="I938" s="515"/>
      <c r="J938" s="515">
        <v>6</v>
      </c>
    </row>
    <row r="939" spans="1:10" ht="13.8" thickBot="1">
      <c r="A939" s="517"/>
      <c r="B939" s="518" t="s">
        <v>12785</v>
      </c>
      <c r="C939" s="516"/>
      <c r="D939" s="514" t="s">
        <v>12784</v>
      </c>
      <c r="E939" s="515">
        <v>6.5</v>
      </c>
      <c r="F939" s="518" t="s">
        <v>614</v>
      </c>
      <c r="G939" s="515" t="s">
        <v>3517</v>
      </c>
      <c r="H939" s="514" t="s">
        <v>1226</v>
      </c>
      <c r="I939" s="522">
        <v>1</v>
      </c>
      <c r="J939" s="515">
        <v>6</v>
      </c>
    </row>
    <row r="940" spans="1:10" ht="13.8" thickBot="1">
      <c r="A940" s="517"/>
      <c r="B940" s="518" t="s">
        <v>12783</v>
      </c>
      <c r="C940" s="516"/>
      <c r="D940" s="514" t="s">
        <v>12782</v>
      </c>
      <c r="E940" s="515">
        <v>6.5</v>
      </c>
      <c r="F940" s="518" t="s">
        <v>614</v>
      </c>
      <c r="G940" s="515" t="s">
        <v>3517</v>
      </c>
      <c r="H940" s="514" t="s">
        <v>1226</v>
      </c>
      <c r="I940" s="515"/>
      <c r="J940" s="515">
        <v>6</v>
      </c>
    </row>
    <row r="941" spans="1:10" ht="13.8" thickBot="1">
      <c r="A941" s="517"/>
      <c r="B941" s="518" t="s">
        <v>12781</v>
      </c>
      <c r="C941" s="516"/>
      <c r="D941" s="514" t="s">
        <v>12780</v>
      </c>
      <c r="E941" s="515">
        <v>6.5</v>
      </c>
      <c r="F941" s="518" t="s">
        <v>614</v>
      </c>
      <c r="G941" s="515" t="s">
        <v>3517</v>
      </c>
      <c r="H941" s="514"/>
      <c r="I941" s="522">
        <v>1</v>
      </c>
      <c r="J941" s="522">
        <v>4</v>
      </c>
    </row>
    <row r="942" spans="1:10" ht="13.8" thickBot="1">
      <c r="A942" s="517"/>
      <c r="B942" s="518" t="s">
        <v>12779</v>
      </c>
      <c r="C942" s="516"/>
      <c r="D942" s="514" t="s">
        <v>1452</v>
      </c>
      <c r="E942" s="515">
        <v>6.5</v>
      </c>
      <c r="F942" s="518" t="s">
        <v>1854</v>
      </c>
      <c r="G942" s="515" t="s">
        <v>3517</v>
      </c>
      <c r="H942" s="514"/>
      <c r="I942" s="515"/>
      <c r="J942" s="515">
        <v>1</v>
      </c>
    </row>
    <row r="943" spans="1:10" ht="13.8" thickBot="1">
      <c r="A943" s="517"/>
      <c r="B943" s="518" t="s">
        <v>12778</v>
      </c>
      <c r="C943" s="516"/>
      <c r="D943" s="514" t="s">
        <v>1457</v>
      </c>
      <c r="E943" s="515">
        <v>6.4</v>
      </c>
      <c r="F943" s="518" t="s">
        <v>614</v>
      </c>
      <c r="G943" s="515" t="s">
        <v>3517</v>
      </c>
      <c r="H943" s="514" t="s">
        <v>1226</v>
      </c>
      <c r="I943" s="515"/>
      <c r="J943" s="515">
        <v>9</v>
      </c>
    </row>
    <row r="944" spans="1:10" ht="13.8" thickBot="1">
      <c r="A944" s="517"/>
      <c r="B944" s="518" t="s">
        <v>12777</v>
      </c>
      <c r="C944" s="516"/>
      <c r="D944" s="514" t="s">
        <v>12776</v>
      </c>
      <c r="E944" s="515">
        <v>6.3</v>
      </c>
      <c r="F944" s="518" t="s">
        <v>614</v>
      </c>
      <c r="G944" s="515" t="s">
        <v>3517</v>
      </c>
      <c r="H944" s="514" t="s">
        <v>1226</v>
      </c>
      <c r="I944" s="515"/>
      <c r="J944" s="515">
        <v>7</v>
      </c>
    </row>
    <row r="945" spans="1:10" ht="13.8" thickBot="1">
      <c r="A945" s="517"/>
      <c r="B945" s="518" t="s">
        <v>12775</v>
      </c>
      <c r="C945" s="516"/>
      <c r="D945" s="514" t="s">
        <v>12774</v>
      </c>
      <c r="E945" s="515">
        <v>6.3</v>
      </c>
      <c r="F945" s="518" t="s">
        <v>614</v>
      </c>
      <c r="G945" s="515" t="s">
        <v>3517</v>
      </c>
      <c r="H945" s="514" t="s">
        <v>1226</v>
      </c>
      <c r="I945" s="515">
        <v>1</v>
      </c>
      <c r="J945" s="515">
        <v>5</v>
      </c>
    </row>
    <row r="946" spans="1:10" ht="13.8" thickBot="1">
      <c r="A946" s="517"/>
      <c r="B946" s="518" t="s">
        <v>12773</v>
      </c>
      <c r="C946" s="516"/>
      <c r="D946" s="514" t="s">
        <v>12772</v>
      </c>
      <c r="E946" s="515">
        <v>6.3</v>
      </c>
      <c r="F946" s="518" t="s">
        <v>1854</v>
      </c>
      <c r="G946" s="515" t="s">
        <v>3517</v>
      </c>
      <c r="H946" s="514" t="s">
        <v>1224</v>
      </c>
      <c r="I946" s="515"/>
      <c r="J946" s="515">
        <v>1</v>
      </c>
    </row>
    <row r="947" spans="1:10" ht="13.8" thickBot="1">
      <c r="A947" s="517"/>
      <c r="B947" s="518" t="s">
        <v>12771</v>
      </c>
      <c r="C947" s="516"/>
      <c r="D947" s="514" t="s">
        <v>12770</v>
      </c>
      <c r="E947" s="515">
        <v>6.3</v>
      </c>
      <c r="F947" s="518" t="s">
        <v>614</v>
      </c>
      <c r="G947" s="515" t="s">
        <v>3517</v>
      </c>
      <c r="H947" s="514"/>
      <c r="I947" s="515"/>
      <c r="J947" s="515">
        <v>2</v>
      </c>
    </row>
    <row r="948" spans="1:10" ht="13.8" thickBot="1">
      <c r="A948" s="517"/>
      <c r="B948" s="518" t="s">
        <v>12769</v>
      </c>
      <c r="C948" s="516"/>
      <c r="D948" s="514" t="s">
        <v>12768</v>
      </c>
      <c r="E948" s="515">
        <v>6.25</v>
      </c>
      <c r="F948" s="518" t="s">
        <v>614</v>
      </c>
      <c r="G948" s="515" t="s">
        <v>3517</v>
      </c>
      <c r="H948" s="514" t="s">
        <v>2319</v>
      </c>
      <c r="I948" s="522">
        <v>3</v>
      </c>
      <c r="J948" s="522">
        <v>18</v>
      </c>
    </row>
    <row r="949" spans="1:10" ht="13.8" thickBot="1">
      <c r="A949" s="517"/>
      <c r="B949" s="518" t="s">
        <v>12767</v>
      </c>
      <c r="C949" s="516"/>
      <c r="D949" s="514" t="s">
        <v>12766</v>
      </c>
      <c r="E949" s="515">
        <v>6.25</v>
      </c>
      <c r="F949" s="518" t="s">
        <v>614</v>
      </c>
      <c r="G949" s="515" t="s">
        <v>3517</v>
      </c>
      <c r="H949" s="514" t="s">
        <v>1226</v>
      </c>
      <c r="I949" s="515"/>
      <c r="J949" s="515">
        <v>8</v>
      </c>
    </row>
    <row r="950" spans="1:10" ht="13.8" thickBot="1">
      <c r="A950" s="517"/>
      <c r="B950" s="518" t="s">
        <v>12765</v>
      </c>
      <c r="C950" s="516"/>
      <c r="D950" s="514" t="s">
        <v>12764</v>
      </c>
      <c r="E950" s="515">
        <v>6.25</v>
      </c>
      <c r="F950" s="518" t="s">
        <v>614</v>
      </c>
      <c r="G950" s="515" t="s">
        <v>3517</v>
      </c>
      <c r="H950" s="514" t="s">
        <v>1226</v>
      </c>
      <c r="I950" s="515"/>
      <c r="J950" s="515">
        <v>3</v>
      </c>
    </row>
    <row r="951" spans="1:10" ht="13.8" thickBot="1">
      <c r="A951" s="517"/>
      <c r="B951" s="518" t="s">
        <v>12763</v>
      </c>
      <c r="C951" s="516"/>
      <c r="D951" s="514" t="s">
        <v>12762</v>
      </c>
      <c r="E951" s="515">
        <v>6.25</v>
      </c>
      <c r="F951" s="518" t="s">
        <v>614</v>
      </c>
      <c r="G951" s="515" t="s">
        <v>3517</v>
      </c>
      <c r="H951" s="514" t="s">
        <v>1226</v>
      </c>
      <c r="I951" s="515"/>
      <c r="J951" s="515">
        <v>2</v>
      </c>
    </row>
    <row r="952" spans="1:10" ht="13.8" thickBot="1">
      <c r="A952" s="517"/>
      <c r="B952" s="518" t="s">
        <v>12761</v>
      </c>
      <c r="C952" s="516"/>
      <c r="D952" s="514" t="s">
        <v>12760</v>
      </c>
      <c r="E952" s="515">
        <v>6.25</v>
      </c>
      <c r="F952" s="518" t="s">
        <v>614</v>
      </c>
      <c r="G952" s="515" t="s">
        <v>3517</v>
      </c>
      <c r="H952" s="514" t="s">
        <v>1224</v>
      </c>
      <c r="I952" s="515"/>
      <c r="J952" s="515">
        <v>1</v>
      </c>
    </row>
    <row r="953" spans="1:10" ht="13.8" thickBot="1">
      <c r="A953" s="517"/>
      <c r="B953" s="518" t="s">
        <v>12759</v>
      </c>
      <c r="C953" s="516"/>
      <c r="D953" s="514" t="s">
        <v>12758</v>
      </c>
      <c r="E953" s="515">
        <v>6.1</v>
      </c>
      <c r="F953" s="518" t="s">
        <v>614</v>
      </c>
      <c r="G953" s="515" t="s">
        <v>3517</v>
      </c>
      <c r="H953" s="514"/>
      <c r="I953" s="515">
        <v>1</v>
      </c>
      <c r="J953" s="515">
        <v>7</v>
      </c>
    </row>
    <row r="954" spans="1:10" ht="13.8" thickBot="1">
      <c r="A954" s="517"/>
      <c r="B954" s="518" t="s">
        <v>12757</v>
      </c>
      <c r="C954" s="516"/>
      <c r="D954" s="514" t="s">
        <v>12756</v>
      </c>
      <c r="E954" s="515">
        <v>6</v>
      </c>
      <c r="F954" s="518" t="s">
        <v>614</v>
      </c>
      <c r="G954" s="515" t="s">
        <v>3517</v>
      </c>
      <c r="H954" s="514" t="s">
        <v>1841</v>
      </c>
      <c r="I954" s="522">
        <v>1</v>
      </c>
      <c r="J954" s="522">
        <v>13</v>
      </c>
    </row>
    <row r="955" spans="1:10" ht="13.8" thickBot="1">
      <c r="A955" s="517"/>
      <c r="B955" s="518" t="s">
        <v>12755</v>
      </c>
      <c r="C955" s="516"/>
      <c r="D955" s="514" t="s">
        <v>12754</v>
      </c>
      <c r="E955" s="515">
        <v>6</v>
      </c>
      <c r="F955" s="518" t="s">
        <v>614</v>
      </c>
      <c r="G955" s="515" t="s">
        <v>3517</v>
      </c>
      <c r="H955" s="514" t="s">
        <v>1226</v>
      </c>
      <c r="I955" s="515"/>
      <c r="J955" s="515">
        <v>13</v>
      </c>
    </row>
    <row r="956" spans="1:10" ht="13.8" thickBot="1">
      <c r="A956" s="517"/>
      <c r="B956" s="518" t="s">
        <v>12753</v>
      </c>
      <c r="C956" s="516"/>
      <c r="D956" s="514" t="s">
        <v>12752</v>
      </c>
      <c r="E956" s="515">
        <v>6</v>
      </c>
      <c r="F956" s="518" t="s">
        <v>614</v>
      </c>
      <c r="G956" s="515" t="s">
        <v>3517</v>
      </c>
      <c r="H956" s="514" t="s">
        <v>2067</v>
      </c>
      <c r="I956" s="515"/>
      <c r="J956" s="515">
        <v>8</v>
      </c>
    </row>
    <row r="957" spans="1:10" ht="13.8" thickBot="1">
      <c r="A957" s="517"/>
      <c r="B957" s="518" t="s">
        <v>12751</v>
      </c>
      <c r="C957" s="516"/>
      <c r="D957" s="514" t="s">
        <v>12750</v>
      </c>
      <c r="E957" s="515">
        <v>6</v>
      </c>
      <c r="F957" s="518" t="s">
        <v>614</v>
      </c>
      <c r="G957" s="515" t="s">
        <v>3517</v>
      </c>
      <c r="H957" s="514" t="s">
        <v>1224</v>
      </c>
      <c r="I957" s="522"/>
      <c r="J957" s="522">
        <v>6</v>
      </c>
    </row>
    <row r="958" spans="1:10" ht="13.8" thickBot="1">
      <c r="A958" s="517"/>
      <c r="B958" s="518" t="s">
        <v>12749</v>
      </c>
      <c r="C958" s="516"/>
      <c r="D958" s="514" t="s">
        <v>12748</v>
      </c>
      <c r="E958" s="515">
        <v>6</v>
      </c>
      <c r="F958" s="518" t="s">
        <v>2223</v>
      </c>
      <c r="G958" s="515" t="s">
        <v>3517</v>
      </c>
      <c r="H958" s="514" t="s">
        <v>1224</v>
      </c>
      <c r="I958" s="515"/>
      <c r="J958" s="515">
        <v>1</v>
      </c>
    </row>
    <row r="959" spans="1:10" ht="13.8" thickBot="1">
      <c r="A959" s="517"/>
      <c r="B959" s="518" t="s">
        <v>12747</v>
      </c>
      <c r="C959" s="516"/>
      <c r="D959" s="514" t="s">
        <v>12746</v>
      </c>
      <c r="E959" s="515">
        <v>6</v>
      </c>
      <c r="F959" s="518" t="s">
        <v>614</v>
      </c>
      <c r="G959" s="515" t="s">
        <v>3517</v>
      </c>
      <c r="H959" s="514"/>
      <c r="I959" s="515">
        <v>2</v>
      </c>
      <c r="J959" s="515">
        <v>4</v>
      </c>
    </row>
    <row r="960" spans="1:10" ht="13.8" thickBot="1">
      <c r="A960" s="517"/>
      <c r="B960" s="518" t="s">
        <v>12745</v>
      </c>
      <c r="C960" s="516"/>
      <c r="D960" s="514" t="s">
        <v>12744</v>
      </c>
      <c r="E960" s="515">
        <v>6</v>
      </c>
      <c r="F960" s="514"/>
      <c r="G960" s="515" t="s">
        <v>3517</v>
      </c>
      <c r="H960" s="514"/>
      <c r="I960" s="515"/>
      <c r="J960" s="515"/>
    </row>
    <row r="961" spans="1:10" ht="13.8" thickBot="1">
      <c r="A961" s="517"/>
      <c r="B961" s="518" t="s">
        <v>12743</v>
      </c>
      <c r="C961" s="516"/>
      <c r="D961" s="514" t="s">
        <v>3579</v>
      </c>
      <c r="E961" s="515">
        <v>5.75</v>
      </c>
      <c r="F961" s="518" t="s">
        <v>1854</v>
      </c>
      <c r="G961" s="515" t="s">
        <v>3517</v>
      </c>
      <c r="H961" s="514"/>
      <c r="I961" s="515"/>
      <c r="J961" s="515">
        <v>1</v>
      </c>
    </row>
    <row r="962" spans="1:10" ht="13.8" thickBot="1">
      <c r="A962" s="517"/>
      <c r="B962" s="518" t="s">
        <v>12742</v>
      </c>
      <c r="C962" s="516"/>
      <c r="D962" s="519" t="s">
        <v>12741</v>
      </c>
      <c r="E962" s="515">
        <v>5.5</v>
      </c>
      <c r="F962" s="518" t="s">
        <v>614</v>
      </c>
      <c r="G962" s="515" t="s">
        <v>3517</v>
      </c>
      <c r="H962" s="514" t="s">
        <v>1226</v>
      </c>
      <c r="I962" s="515"/>
      <c r="J962" s="515">
        <v>6</v>
      </c>
    </row>
    <row r="963" spans="1:10" ht="13.8" thickBot="1">
      <c r="A963" s="517"/>
      <c r="B963" s="518" t="s">
        <v>12740</v>
      </c>
      <c r="C963" s="516"/>
      <c r="D963" s="514" t="s">
        <v>3621</v>
      </c>
      <c r="E963" s="515">
        <v>5.5</v>
      </c>
      <c r="F963" s="514"/>
      <c r="G963" s="515" t="s">
        <v>3517</v>
      </c>
      <c r="H963" s="514" t="s">
        <v>1224</v>
      </c>
      <c r="I963" s="515"/>
      <c r="J963" s="515">
        <v>1</v>
      </c>
    </row>
    <row r="964" spans="1:10" ht="13.8" thickBot="1">
      <c r="A964" s="517"/>
      <c r="B964" s="518" t="s">
        <v>12739</v>
      </c>
      <c r="C964" s="516"/>
      <c r="D964" s="514" t="s">
        <v>12738</v>
      </c>
      <c r="E964" s="515">
        <v>5.5</v>
      </c>
      <c r="F964" s="518" t="s">
        <v>1854</v>
      </c>
      <c r="G964" s="515" t="s">
        <v>3517</v>
      </c>
      <c r="H964" s="514"/>
      <c r="I964" s="522"/>
      <c r="J964" s="515">
        <v>2</v>
      </c>
    </row>
    <row r="965" spans="1:10" ht="13.8" thickBot="1">
      <c r="A965" s="517"/>
      <c r="B965" s="518" t="s">
        <v>12737</v>
      </c>
      <c r="C965" s="516"/>
      <c r="D965" s="514" t="s">
        <v>3523</v>
      </c>
      <c r="E965" s="515">
        <v>5.25</v>
      </c>
      <c r="F965" s="518" t="s">
        <v>614</v>
      </c>
      <c r="G965" s="515" t="s">
        <v>3517</v>
      </c>
      <c r="H965" s="514" t="s">
        <v>1226</v>
      </c>
      <c r="I965" s="515"/>
      <c r="J965" s="515">
        <v>4</v>
      </c>
    </row>
    <row r="966" spans="1:10" ht="13.8" thickBot="1">
      <c r="A966" s="517"/>
      <c r="B966" s="518" t="s">
        <v>12736</v>
      </c>
      <c r="C966" s="516"/>
      <c r="D966" s="514" t="s">
        <v>12735</v>
      </c>
      <c r="E966" s="515">
        <v>5.0999999999999996</v>
      </c>
      <c r="F966" s="518" t="s">
        <v>614</v>
      </c>
      <c r="G966" s="515" t="s">
        <v>3517</v>
      </c>
      <c r="H966" s="514" t="s">
        <v>1226</v>
      </c>
      <c r="I966" s="515"/>
      <c r="J966" s="515">
        <v>2</v>
      </c>
    </row>
    <row r="967" spans="1:10" ht="13.8" thickBot="1">
      <c r="A967" s="517"/>
      <c r="B967" s="518" t="s">
        <v>12734</v>
      </c>
      <c r="C967" s="516"/>
      <c r="D967" s="514" t="s">
        <v>3579</v>
      </c>
      <c r="E967" s="515">
        <v>5</v>
      </c>
      <c r="F967" s="518" t="s">
        <v>1854</v>
      </c>
      <c r="G967" s="515" t="s">
        <v>3517</v>
      </c>
      <c r="H967" s="514" t="s">
        <v>1251</v>
      </c>
      <c r="I967" s="515"/>
      <c r="J967" s="515">
        <v>1</v>
      </c>
    </row>
    <row r="968" spans="1:10" ht="13.8" thickBot="1">
      <c r="A968" s="517"/>
      <c r="B968" s="518" t="s">
        <v>12733</v>
      </c>
      <c r="C968" s="516"/>
      <c r="D968" s="514" t="s">
        <v>12732</v>
      </c>
      <c r="E968" s="515">
        <v>5</v>
      </c>
      <c r="F968" s="518" t="s">
        <v>614</v>
      </c>
      <c r="G968" s="515" t="s">
        <v>3517</v>
      </c>
      <c r="H968" s="514" t="s">
        <v>1226</v>
      </c>
      <c r="I968" s="515"/>
      <c r="J968" s="515">
        <v>1</v>
      </c>
    </row>
    <row r="969" spans="1:10" ht="13.8" thickBot="1">
      <c r="A969" s="517"/>
      <c r="B969" s="518" t="s">
        <v>12731</v>
      </c>
      <c r="C969" s="516"/>
      <c r="D969" s="514" t="s">
        <v>12730</v>
      </c>
      <c r="E969" s="515">
        <v>5</v>
      </c>
      <c r="F969" s="518" t="s">
        <v>1854</v>
      </c>
      <c r="G969" s="515" t="s">
        <v>3517</v>
      </c>
      <c r="H969" s="514" t="s">
        <v>1224</v>
      </c>
      <c r="I969" s="515"/>
      <c r="J969" s="515">
        <v>1</v>
      </c>
    </row>
    <row r="970" spans="1:10" ht="13.8" thickBot="1">
      <c r="A970" s="517"/>
      <c r="B970" s="518" t="s">
        <v>12729</v>
      </c>
      <c r="C970" s="516"/>
      <c r="D970" s="514" t="s">
        <v>12728</v>
      </c>
      <c r="E970" s="515">
        <v>5</v>
      </c>
      <c r="F970" s="518" t="s">
        <v>1854</v>
      </c>
      <c r="G970" s="515" t="s">
        <v>3517</v>
      </c>
      <c r="H970" s="514" t="s">
        <v>1224</v>
      </c>
      <c r="I970" s="515"/>
      <c r="J970" s="515">
        <v>1</v>
      </c>
    </row>
    <row r="971" spans="1:10" ht="13.8" thickBot="1">
      <c r="A971" s="517"/>
      <c r="B971" s="518" t="s">
        <v>12727</v>
      </c>
      <c r="C971" s="516"/>
      <c r="D971" s="514" t="s">
        <v>1452</v>
      </c>
      <c r="E971" s="515">
        <v>5</v>
      </c>
      <c r="F971" s="514"/>
      <c r="G971" s="515" t="s">
        <v>3517</v>
      </c>
      <c r="H971" s="514"/>
      <c r="I971" s="515"/>
      <c r="J971" s="515">
        <v>1</v>
      </c>
    </row>
    <row r="972" spans="1:10" ht="13.8" thickBot="1">
      <c r="A972" s="517"/>
      <c r="B972" s="518" t="s">
        <v>12726</v>
      </c>
      <c r="C972" s="516"/>
      <c r="D972" s="514" t="s">
        <v>1452</v>
      </c>
      <c r="E972" s="515">
        <v>5</v>
      </c>
      <c r="F972" s="514"/>
      <c r="G972" s="515" t="s">
        <v>3517</v>
      </c>
      <c r="H972" s="514"/>
      <c r="I972" s="515"/>
      <c r="J972" s="515">
        <v>1</v>
      </c>
    </row>
    <row r="973" spans="1:10" ht="13.8" thickBot="1">
      <c r="A973" s="517"/>
      <c r="B973" s="518" t="s">
        <v>12725</v>
      </c>
      <c r="C973" s="516"/>
      <c r="D973" s="514" t="s">
        <v>1452</v>
      </c>
      <c r="E973" s="515">
        <v>5</v>
      </c>
      <c r="F973" s="514"/>
      <c r="G973" s="515" t="s">
        <v>3517</v>
      </c>
      <c r="H973" s="514"/>
      <c r="I973" s="515"/>
      <c r="J973" s="515">
        <v>1</v>
      </c>
    </row>
    <row r="974" spans="1:10" ht="13.8" thickBot="1">
      <c r="A974" s="517"/>
      <c r="B974" s="518" t="s">
        <v>12724</v>
      </c>
      <c r="C974" s="516"/>
      <c r="D974" s="514" t="s">
        <v>12723</v>
      </c>
      <c r="E974" s="515">
        <v>5</v>
      </c>
      <c r="F974" s="518" t="s">
        <v>1854</v>
      </c>
      <c r="G974" s="515" t="s">
        <v>3517</v>
      </c>
      <c r="H974" s="514"/>
      <c r="I974" s="522"/>
      <c r="J974" s="522"/>
    </row>
    <row r="975" spans="1:10" ht="13.8" thickBot="1">
      <c r="A975" s="517"/>
      <c r="B975" s="518" t="s">
        <v>12722</v>
      </c>
      <c r="C975" s="516"/>
      <c r="D975" s="514" t="s">
        <v>1452</v>
      </c>
      <c r="E975" s="515">
        <v>5</v>
      </c>
      <c r="F975" s="518" t="s">
        <v>1854</v>
      </c>
      <c r="G975" s="515" t="s">
        <v>3517</v>
      </c>
      <c r="H975" s="514"/>
      <c r="I975" s="515"/>
      <c r="J975" s="515"/>
    </row>
    <row r="976" spans="1:10" ht="13.8" thickBot="1">
      <c r="A976" s="517"/>
      <c r="B976" s="518" t="s">
        <v>12721</v>
      </c>
      <c r="C976" s="516"/>
      <c r="D976" s="514" t="s">
        <v>12720</v>
      </c>
      <c r="E976" s="515">
        <v>4.5</v>
      </c>
      <c r="F976" s="518" t="s">
        <v>614</v>
      </c>
      <c r="G976" s="515" t="s">
        <v>3517</v>
      </c>
      <c r="H976" s="514" t="s">
        <v>1226</v>
      </c>
      <c r="I976" s="515"/>
      <c r="J976" s="515">
        <v>12</v>
      </c>
    </row>
    <row r="977" spans="1:10" ht="13.8" thickBot="1">
      <c r="A977" s="517"/>
      <c r="B977" s="518" t="s">
        <v>12719</v>
      </c>
      <c r="C977" s="516"/>
      <c r="D977" s="514" t="s">
        <v>12718</v>
      </c>
      <c r="E977" s="515">
        <v>4.5</v>
      </c>
      <c r="F977" s="518" t="s">
        <v>614</v>
      </c>
      <c r="G977" s="515" t="s">
        <v>3517</v>
      </c>
      <c r="H977" s="514" t="s">
        <v>1224</v>
      </c>
      <c r="I977" s="515"/>
      <c r="J977" s="515">
        <v>2</v>
      </c>
    </row>
    <row r="978" spans="1:10" ht="13.8" thickBot="1">
      <c r="A978" s="517"/>
      <c r="B978" s="518" t="s">
        <v>12717</v>
      </c>
      <c r="C978" s="516"/>
      <c r="D978" s="514" t="s">
        <v>12716</v>
      </c>
      <c r="E978" s="515">
        <v>4.5</v>
      </c>
      <c r="F978" s="518" t="s">
        <v>614</v>
      </c>
      <c r="G978" s="515" t="s">
        <v>3517</v>
      </c>
      <c r="H978" s="514"/>
      <c r="I978" s="515"/>
      <c r="J978" s="515">
        <v>1</v>
      </c>
    </row>
    <row r="979" spans="1:10" ht="13.8" thickBot="1">
      <c r="A979" s="517"/>
      <c r="B979" s="518" t="s">
        <v>12715</v>
      </c>
      <c r="C979" s="516"/>
      <c r="D979" s="514" t="s">
        <v>1452</v>
      </c>
      <c r="E979" s="515">
        <v>4</v>
      </c>
      <c r="F979" s="514"/>
      <c r="G979" s="515" t="s">
        <v>3517</v>
      </c>
      <c r="H979" s="514" t="s">
        <v>1224</v>
      </c>
      <c r="I979" s="515"/>
      <c r="J979" s="515">
        <v>1</v>
      </c>
    </row>
    <row r="980" spans="1:10" ht="13.8" thickBot="1">
      <c r="A980" s="517"/>
      <c r="B980" s="518" t="s">
        <v>12714</v>
      </c>
      <c r="C980" s="516"/>
      <c r="D980" s="514" t="s">
        <v>12713</v>
      </c>
      <c r="E980" s="515">
        <v>4</v>
      </c>
      <c r="F980" s="518" t="s">
        <v>614</v>
      </c>
      <c r="G980" s="515" t="s">
        <v>3517</v>
      </c>
      <c r="H980" s="514"/>
      <c r="I980" s="515"/>
      <c r="J980" s="515">
        <v>1</v>
      </c>
    </row>
    <row r="981" spans="1:10" ht="13.8" thickBot="1">
      <c r="A981" s="517"/>
      <c r="B981" s="518" t="s">
        <v>12712</v>
      </c>
      <c r="C981" s="516"/>
      <c r="D981" s="514" t="s">
        <v>12711</v>
      </c>
      <c r="E981" s="515">
        <v>4</v>
      </c>
      <c r="F981" s="518" t="s">
        <v>614</v>
      </c>
      <c r="G981" s="515" t="s">
        <v>3517</v>
      </c>
      <c r="H981" s="514"/>
      <c r="I981" s="515"/>
      <c r="J981" s="515">
        <v>1</v>
      </c>
    </row>
    <row r="982" spans="1:10" ht="13.8" thickBot="1">
      <c r="A982" s="517"/>
      <c r="B982" s="518" t="s">
        <v>12710</v>
      </c>
      <c r="C982" s="516"/>
      <c r="D982" s="514" t="s">
        <v>12709</v>
      </c>
      <c r="E982" s="515">
        <v>4</v>
      </c>
      <c r="F982" s="518" t="s">
        <v>1854</v>
      </c>
      <c r="G982" s="515" t="s">
        <v>3517</v>
      </c>
      <c r="H982" s="514"/>
      <c r="I982" s="515"/>
      <c r="J982" s="515"/>
    </row>
    <row r="983" spans="1:10" ht="13.8" thickBot="1">
      <c r="A983" s="517"/>
      <c r="B983" s="518" t="s">
        <v>12708</v>
      </c>
      <c r="C983" s="516"/>
      <c r="D983" s="514" t="s">
        <v>12707</v>
      </c>
      <c r="E983" s="515">
        <v>3.5</v>
      </c>
      <c r="F983" s="518" t="s">
        <v>614</v>
      </c>
      <c r="G983" s="515" t="s">
        <v>3517</v>
      </c>
      <c r="H983" s="514"/>
      <c r="I983" s="515"/>
      <c r="J983" s="515">
        <v>1</v>
      </c>
    </row>
    <row r="984" spans="1:10" ht="13.8" thickBot="1">
      <c r="A984" s="517"/>
      <c r="B984" s="518" t="s">
        <v>12706</v>
      </c>
      <c r="C984" s="516"/>
      <c r="D984" s="514" t="s">
        <v>1452</v>
      </c>
      <c r="E984" s="515">
        <v>2</v>
      </c>
      <c r="F984" s="518" t="s">
        <v>1854</v>
      </c>
      <c r="G984" s="515" t="s">
        <v>3517</v>
      </c>
      <c r="H984" s="514"/>
      <c r="I984" s="515"/>
      <c r="J984" s="515"/>
    </row>
    <row r="985" spans="1:10" ht="13.8" thickBot="1">
      <c r="A985" s="517"/>
      <c r="B985" s="518" t="s">
        <v>12705</v>
      </c>
      <c r="C985" s="516"/>
      <c r="D985" s="520" t="s">
        <v>12704</v>
      </c>
      <c r="E985" s="521"/>
      <c r="F985" s="518" t="s">
        <v>12703</v>
      </c>
      <c r="G985" s="515" t="s">
        <v>3517</v>
      </c>
      <c r="H985" s="514"/>
      <c r="I985" s="528"/>
      <c r="J985" s="528"/>
    </row>
    <row r="986" spans="1:10" ht="13.8" thickBot="1">
      <c r="A986" s="517"/>
      <c r="B986" s="518" t="s">
        <v>12702</v>
      </c>
      <c r="C986" s="516"/>
      <c r="D986" s="514" t="s">
        <v>3616</v>
      </c>
      <c r="E986" s="515"/>
      <c r="F986" s="518" t="s">
        <v>1854</v>
      </c>
      <c r="G986" s="515" t="s">
        <v>3517</v>
      </c>
      <c r="H986" s="514"/>
      <c r="I986" s="515"/>
      <c r="J986" s="515"/>
    </row>
    <row r="987" spans="1:10" ht="13.8" thickBot="1">
      <c r="A987" s="517"/>
      <c r="B987" s="518" t="s">
        <v>12701</v>
      </c>
      <c r="C987" s="516"/>
      <c r="D987" s="514" t="s">
        <v>3534</v>
      </c>
      <c r="E987" s="515"/>
      <c r="F987" s="514"/>
      <c r="G987" s="515" t="s">
        <v>3517</v>
      </c>
      <c r="H987" s="514"/>
      <c r="I987" s="515"/>
      <c r="J987" s="515"/>
    </row>
    <row r="988" spans="1:10" ht="13.8" thickBot="1">
      <c r="A988" s="517"/>
      <c r="B988" s="518" t="s">
        <v>12700</v>
      </c>
      <c r="C988" s="516"/>
      <c r="D988" s="514" t="s">
        <v>1452</v>
      </c>
      <c r="E988" s="515"/>
      <c r="F988" s="514"/>
      <c r="G988" s="515" t="s">
        <v>3517</v>
      </c>
      <c r="H988" s="514"/>
      <c r="I988" s="515"/>
      <c r="J988" s="515"/>
    </row>
    <row r="989" spans="1:10" ht="13.8" thickBot="1">
      <c r="A989" s="517"/>
      <c r="B989" s="518" t="s">
        <v>12699</v>
      </c>
      <c r="C989" s="516"/>
      <c r="D989" s="514" t="s">
        <v>1452</v>
      </c>
      <c r="E989" s="515"/>
      <c r="F989" s="514"/>
      <c r="G989" s="515" t="s">
        <v>3517</v>
      </c>
      <c r="H989" s="514"/>
      <c r="I989" s="515"/>
      <c r="J989" s="515"/>
    </row>
    <row r="990" spans="1:10" ht="13.8" thickBot="1">
      <c r="A990" s="517"/>
      <c r="B990" s="518" t="s">
        <v>12698</v>
      </c>
      <c r="C990" s="516"/>
      <c r="D990" s="514" t="s">
        <v>1452</v>
      </c>
      <c r="E990" s="515"/>
      <c r="F990" s="514"/>
      <c r="G990" s="515" t="s">
        <v>3517</v>
      </c>
      <c r="H990" s="514"/>
      <c r="I990" s="515"/>
      <c r="J990" s="515"/>
    </row>
    <row r="991" spans="1:10" ht="13.8" thickBot="1">
      <c r="A991" s="517"/>
      <c r="B991" s="518" t="s">
        <v>12697</v>
      </c>
      <c r="C991" s="516"/>
      <c r="D991" s="514" t="s">
        <v>1452</v>
      </c>
      <c r="E991" s="515"/>
      <c r="F991" s="514"/>
      <c r="G991" s="515" t="s">
        <v>3517</v>
      </c>
      <c r="H991" s="514"/>
      <c r="I991" s="515"/>
      <c r="J991" s="515"/>
    </row>
    <row r="992" spans="1:10" ht="13.8" thickBot="1">
      <c r="A992" s="517"/>
      <c r="B992" s="518" t="s">
        <v>12696</v>
      </c>
      <c r="C992" s="516"/>
      <c r="D992" s="514" t="s">
        <v>1452</v>
      </c>
      <c r="E992" s="515"/>
      <c r="F992" s="514"/>
      <c r="G992" s="515" t="s">
        <v>3517</v>
      </c>
      <c r="H992" s="514"/>
      <c r="I992" s="515"/>
      <c r="J992" s="515"/>
    </row>
    <row r="993" spans="1:10" ht="13.8" thickBot="1">
      <c r="A993" s="517"/>
      <c r="B993" s="518" t="s">
        <v>12695</v>
      </c>
      <c r="C993" s="516"/>
      <c r="D993" s="514" t="s">
        <v>1452</v>
      </c>
      <c r="E993" s="515"/>
      <c r="F993" s="514"/>
      <c r="G993" s="515" t="s">
        <v>3517</v>
      </c>
      <c r="H993" s="514"/>
      <c r="I993" s="515"/>
      <c r="J993" s="515"/>
    </row>
    <row r="994" spans="1:10" ht="13.8" thickBot="1">
      <c r="A994" s="517"/>
      <c r="B994" s="518" t="s">
        <v>12694</v>
      </c>
      <c r="C994" s="516"/>
      <c r="D994" s="514" t="s">
        <v>1452</v>
      </c>
      <c r="E994" s="515"/>
      <c r="F994" s="514"/>
      <c r="G994" s="515" t="s">
        <v>3517</v>
      </c>
      <c r="H994" s="514"/>
      <c r="I994" s="515"/>
      <c r="J994" s="515"/>
    </row>
    <row r="995" spans="1:10" ht="13.8" thickBot="1">
      <c r="A995" s="517"/>
      <c r="B995" s="518" t="s">
        <v>12693</v>
      </c>
      <c r="C995" s="516"/>
      <c r="D995" s="514" t="s">
        <v>12692</v>
      </c>
      <c r="E995" s="515">
        <v>7.25</v>
      </c>
      <c r="F995" s="518" t="s">
        <v>1854</v>
      </c>
      <c r="G995" s="515" t="s">
        <v>3652</v>
      </c>
      <c r="H995" s="514"/>
      <c r="I995" s="515">
        <v>1</v>
      </c>
      <c r="J995" s="515">
        <v>1</v>
      </c>
    </row>
    <row r="996" spans="1:10" ht="13.8" thickBot="1">
      <c r="A996" s="517"/>
      <c r="B996" s="518" t="s">
        <v>12691</v>
      </c>
      <c r="C996" s="516"/>
      <c r="D996" s="514" t="s">
        <v>12690</v>
      </c>
      <c r="E996" s="515">
        <v>6.8</v>
      </c>
      <c r="F996" s="518" t="s">
        <v>614</v>
      </c>
      <c r="G996" s="515" t="s">
        <v>3652</v>
      </c>
      <c r="H996" s="514" t="s">
        <v>1251</v>
      </c>
      <c r="I996" s="515"/>
      <c r="J996" s="515">
        <v>8</v>
      </c>
    </row>
    <row r="997" spans="1:10" ht="13.8" thickBot="1">
      <c r="A997" s="517"/>
      <c r="B997" s="518" t="s">
        <v>12689</v>
      </c>
      <c r="C997" s="516"/>
      <c r="D997" s="514" t="s">
        <v>12688</v>
      </c>
      <c r="E997" s="515">
        <v>6.5</v>
      </c>
      <c r="F997" s="518" t="s">
        <v>614</v>
      </c>
      <c r="G997" s="515" t="s">
        <v>3652</v>
      </c>
      <c r="H997" s="514" t="s">
        <v>1841</v>
      </c>
      <c r="I997" s="515">
        <v>3</v>
      </c>
      <c r="J997" s="515">
        <v>11</v>
      </c>
    </row>
    <row r="998" spans="1:10" ht="13.8" thickBot="1">
      <c r="A998" s="517"/>
      <c r="B998" s="518" t="s">
        <v>12687</v>
      </c>
      <c r="C998" s="516"/>
      <c r="D998" s="514" t="s">
        <v>12686</v>
      </c>
      <c r="E998" s="515">
        <v>6.5</v>
      </c>
      <c r="F998" s="518" t="s">
        <v>614</v>
      </c>
      <c r="G998" s="515" t="s">
        <v>3652</v>
      </c>
      <c r="H998" s="514" t="s">
        <v>1226</v>
      </c>
      <c r="I998" s="515"/>
      <c r="J998" s="515">
        <v>6</v>
      </c>
    </row>
    <row r="999" spans="1:10" ht="13.8" thickBot="1">
      <c r="A999" s="517"/>
      <c r="B999" s="518" t="s">
        <v>12685</v>
      </c>
      <c r="C999" s="516"/>
      <c r="D999" s="514" t="s">
        <v>12684</v>
      </c>
      <c r="E999" s="515">
        <v>6</v>
      </c>
      <c r="F999" s="518" t="s">
        <v>614</v>
      </c>
      <c r="G999" s="515" t="s">
        <v>3652</v>
      </c>
      <c r="H999" s="514" t="s">
        <v>1226</v>
      </c>
      <c r="I999" s="515"/>
      <c r="J999" s="515">
        <v>4</v>
      </c>
    </row>
    <row r="1000" spans="1:10" ht="13.8" thickBot="1">
      <c r="A1000" s="517"/>
      <c r="B1000" s="518" t="s">
        <v>12683</v>
      </c>
      <c r="C1000" s="516"/>
      <c r="D1000" s="514" t="s">
        <v>12682</v>
      </c>
      <c r="E1000" s="515">
        <v>6</v>
      </c>
      <c r="F1000" s="518" t="s">
        <v>1854</v>
      </c>
      <c r="G1000" s="515" t="s">
        <v>3652</v>
      </c>
      <c r="H1000" s="514"/>
      <c r="I1000" s="515"/>
      <c r="J1000" s="515">
        <v>1</v>
      </c>
    </row>
    <row r="1001" spans="1:10" ht="13.8" thickBot="1">
      <c r="A1001" s="517"/>
      <c r="B1001" s="518" t="s">
        <v>12681</v>
      </c>
      <c r="C1001" s="516"/>
      <c r="D1001" s="514" t="s">
        <v>1466</v>
      </c>
      <c r="E1001" s="515">
        <v>5.75</v>
      </c>
      <c r="F1001" s="518" t="s">
        <v>1854</v>
      </c>
      <c r="G1001" s="515" t="s">
        <v>3652</v>
      </c>
      <c r="H1001" s="514" t="s">
        <v>1251</v>
      </c>
      <c r="I1001" s="515"/>
      <c r="J1001" s="515">
        <v>2</v>
      </c>
    </row>
    <row r="1002" spans="1:10" ht="13.8" thickBot="1">
      <c r="A1002" s="517"/>
      <c r="B1002" s="518" t="s">
        <v>12680</v>
      </c>
      <c r="C1002" s="516"/>
      <c r="D1002" s="514" t="s">
        <v>12679</v>
      </c>
      <c r="E1002" s="515">
        <v>5.5</v>
      </c>
      <c r="F1002" s="518" t="s">
        <v>614</v>
      </c>
      <c r="G1002" s="515" t="s">
        <v>3652</v>
      </c>
      <c r="H1002" s="514"/>
      <c r="I1002" s="515"/>
      <c r="J1002" s="515">
        <v>1</v>
      </c>
    </row>
    <row r="1003" spans="1:10" ht="13.8" thickBot="1">
      <c r="A1003" s="517"/>
      <c r="B1003" s="518" t="s">
        <v>12678</v>
      </c>
      <c r="C1003" s="516"/>
      <c r="D1003" s="514" t="s">
        <v>1468</v>
      </c>
      <c r="E1003" s="515">
        <v>5.5</v>
      </c>
      <c r="F1003" s="518" t="s">
        <v>1854</v>
      </c>
      <c r="G1003" s="515" t="s">
        <v>3652</v>
      </c>
      <c r="H1003" s="514"/>
      <c r="I1003" s="515"/>
      <c r="J1003" s="515">
        <v>1</v>
      </c>
    </row>
    <row r="1004" spans="1:10" ht="13.8" thickBot="1">
      <c r="A1004" s="517"/>
      <c r="B1004" s="518" t="s">
        <v>12677</v>
      </c>
      <c r="C1004" s="516"/>
      <c r="D1004" s="514" t="s">
        <v>1466</v>
      </c>
      <c r="E1004" s="515">
        <v>5.5</v>
      </c>
      <c r="F1004" s="518" t="s">
        <v>1854</v>
      </c>
      <c r="G1004" s="515" t="s">
        <v>3652</v>
      </c>
      <c r="H1004" s="514"/>
      <c r="I1004" s="515"/>
      <c r="J1004" s="515"/>
    </row>
    <row r="1005" spans="1:10" ht="13.8" thickBot="1">
      <c r="A1005" s="517"/>
      <c r="B1005" s="518" t="s">
        <v>12676</v>
      </c>
      <c r="C1005" s="516"/>
      <c r="D1005" s="514" t="s">
        <v>12675</v>
      </c>
      <c r="E1005" s="515">
        <v>5.25</v>
      </c>
      <c r="F1005" s="518" t="s">
        <v>614</v>
      </c>
      <c r="G1005" s="515" t="s">
        <v>3652</v>
      </c>
      <c r="H1005" s="514" t="s">
        <v>1226</v>
      </c>
      <c r="I1005" s="515"/>
      <c r="J1005" s="515">
        <v>3</v>
      </c>
    </row>
    <row r="1006" spans="1:10" ht="13.8" thickBot="1">
      <c r="A1006" s="517"/>
      <c r="B1006" s="518" t="s">
        <v>12674</v>
      </c>
      <c r="C1006" s="516"/>
      <c r="D1006" s="514" t="s">
        <v>12673</v>
      </c>
      <c r="E1006" s="515">
        <v>5</v>
      </c>
      <c r="F1006" s="518" t="s">
        <v>1854</v>
      </c>
      <c r="G1006" s="515" t="s">
        <v>3652</v>
      </c>
      <c r="H1006" s="514"/>
      <c r="I1006" s="515"/>
      <c r="J1006" s="515">
        <v>1</v>
      </c>
    </row>
    <row r="1007" spans="1:10" ht="13.8" thickBot="1">
      <c r="A1007" s="517"/>
      <c r="B1007" s="518" t="s">
        <v>12672</v>
      </c>
      <c r="C1007" s="516"/>
      <c r="D1007" s="520" t="s">
        <v>12671</v>
      </c>
      <c r="E1007" s="521">
        <v>5</v>
      </c>
      <c r="F1007" s="518" t="s">
        <v>1854</v>
      </c>
      <c r="G1007" s="515" t="s">
        <v>3652</v>
      </c>
      <c r="H1007" s="514"/>
      <c r="I1007" s="515"/>
      <c r="J1007" s="515">
        <v>1</v>
      </c>
    </row>
    <row r="1008" spans="1:10" ht="13.8" thickBot="1">
      <c r="A1008" s="517"/>
      <c r="B1008" s="518" t="s">
        <v>12670</v>
      </c>
      <c r="C1008" s="516"/>
      <c r="D1008" s="514" t="s">
        <v>12669</v>
      </c>
      <c r="E1008" s="515">
        <v>5</v>
      </c>
      <c r="F1008" s="514"/>
      <c r="G1008" s="515" t="s">
        <v>3652</v>
      </c>
      <c r="H1008" s="514"/>
      <c r="I1008" s="515"/>
      <c r="J1008" s="515">
        <v>1</v>
      </c>
    </row>
    <row r="1009" spans="1:10" ht="13.8" thickBot="1">
      <c r="A1009" s="517"/>
      <c r="B1009" s="518" t="s">
        <v>12668</v>
      </c>
      <c r="C1009" s="516"/>
      <c r="D1009" s="514" t="s">
        <v>1466</v>
      </c>
      <c r="E1009" s="515">
        <v>4</v>
      </c>
      <c r="F1009" s="518" t="s">
        <v>1854</v>
      </c>
      <c r="G1009" s="515" t="s">
        <v>3652</v>
      </c>
      <c r="H1009" s="514" t="s">
        <v>1224</v>
      </c>
      <c r="I1009" s="515"/>
      <c r="J1009" s="515">
        <v>2</v>
      </c>
    </row>
    <row r="1010" spans="1:10" ht="13.8" thickBot="1">
      <c r="A1010" s="517"/>
      <c r="B1010" s="518" t="s">
        <v>12667</v>
      </c>
      <c r="C1010" s="516"/>
      <c r="D1010" s="514" t="s">
        <v>1466</v>
      </c>
      <c r="E1010" s="515">
        <v>4</v>
      </c>
      <c r="F1010" s="518" t="s">
        <v>1854</v>
      </c>
      <c r="G1010" s="515" t="s">
        <v>3652</v>
      </c>
      <c r="H1010" s="514"/>
      <c r="I1010" s="515"/>
      <c r="J1010" s="515"/>
    </row>
    <row r="1011" spans="1:10" ht="13.8" thickBot="1">
      <c r="A1011" s="517"/>
      <c r="B1011" s="518" t="s">
        <v>12666</v>
      </c>
      <c r="C1011" s="516"/>
      <c r="D1011" s="514" t="s">
        <v>1466</v>
      </c>
      <c r="E1011" s="515">
        <v>3</v>
      </c>
      <c r="F1011" s="518" t="s">
        <v>1854</v>
      </c>
      <c r="G1011" s="515" t="s">
        <v>3652</v>
      </c>
      <c r="H1011" s="514"/>
      <c r="I1011" s="515"/>
      <c r="J1011" s="515"/>
    </row>
    <row r="1012" spans="1:10" ht="13.8" thickBot="1">
      <c r="A1012" s="517"/>
      <c r="B1012" s="518" t="s">
        <v>12665</v>
      </c>
      <c r="C1012" s="516"/>
      <c r="D1012" s="514" t="s">
        <v>1466</v>
      </c>
      <c r="E1012" s="515"/>
      <c r="F1012" s="514"/>
      <c r="G1012" s="515" t="s">
        <v>3652</v>
      </c>
      <c r="H1012" s="514"/>
      <c r="I1012" s="515"/>
      <c r="J1012" s="515"/>
    </row>
    <row r="1013" spans="1:10" ht="13.8" thickBot="1">
      <c r="A1013" s="517"/>
      <c r="B1013" s="518" t="s">
        <v>12664</v>
      </c>
      <c r="C1013" s="516"/>
      <c r="D1013" s="514" t="s">
        <v>1466</v>
      </c>
      <c r="E1013" s="515"/>
      <c r="F1013" s="514"/>
      <c r="G1013" s="515" t="s">
        <v>3652</v>
      </c>
      <c r="H1013" s="514"/>
      <c r="I1013" s="515"/>
      <c r="J1013" s="515"/>
    </row>
    <row r="1014" spans="1:10" ht="13.8" thickBot="1">
      <c r="A1014" s="517"/>
      <c r="B1014" s="518" t="s">
        <v>12663</v>
      </c>
      <c r="C1014" s="516"/>
      <c r="D1014" s="514" t="s">
        <v>12662</v>
      </c>
      <c r="E1014" s="515">
        <v>7</v>
      </c>
      <c r="F1014" s="518" t="s">
        <v>614</v>
      </c>
      <c r="G1014" s="515" t="s">
        <v>3724</v>
      </c>
      <c r="H1014" s="514" t="s">
        <v>1226</v>
      </c>
      <c r="I1014" s="515">
        <v>2</v>
      </c>
      <c r="J1014" s="515">
        <v>6</v>
      </c>
    </row>
    <row r="1015" spans="1:10" ht="13.8" thickBot="1">
      <c r="A1015" s="517"/>
      <c r="B1015" s="518" t="s">
        <v>12661</v>
      </c>
      <c r="C1015" s="516"/>
      <c r="D1015" s="514" t="s">
        <v>12660</v>
      </c>
      <c r="E1015" s="515">
        <v>5.75</v>
      </c>
      <c r="F1015" s="518" t="s">
        <v>614</v>
      </c>
      <c r="G1015" s="515" t="s">
        <v>3724</v>
      </c>
      <c r="H1015" s="514" t="s">
        <v>1226</v>
      </c>
      <c r="I1015" s="515"/>
      <c r="J1015" s="515">
        <v>12</v>
      </c>
    </row>
    <row r="1016" spans="1:10" ht="13.8" thickBot="1">
      <c r="A1016" s="517"/>
      <c r="B1016" s="518" t="s">
        <v>12659</v>
      </c>
      <c r="C1016" s="516"/>
      <c r="D1016" s="514" t="s">
        <v>12658</v>
      </c>
      <c r="E1016" s="515">
        <v>9</v>
      </c>
      <c r="F1016" s="514"/>
      <c r="G1016" s="515" t="s">
        <v>3734</v>
      </c>
      <c r="H1016" s="514"/>
      <c r="I1016" s="522"/>
      <c r="J1016" s="522"/>
    </row>
    <row r="1017" spans="1:10" ht="13.8" thickBot="1">
      <c r="A1017" s="517"/>
      <c r="B1017" s="518" t="s">
        <v>12657</v>
      </c>
      <c r="C1017" s="516"/>
      <c r="D1017" s="514" t="s">
        <v>1480</v>
      </c>
      <c r="E1017" s="515">
        <v>8</v>
      </c>
      <c r="F1017" s="514"/>
      <c r="G1017" s="515" t="s">
        <v>3734</v>
      </c>
      <c r="H1017" s="514"/>
      <c r="I1017" s="515"/>
      <c r="J1017" s="515"/>
    </row>
    <row r="1018" spans="1:10" ht="13.8" thickBot="1">
      <c r="A1018" s="517"/>
      <c r="B1018" s="518" t="s">
        <v>12656</v>
      </c>
      <c r="C1018" s="516"/>
      <c r="D1018" s="514" t="s">
        <v>12655</v>
      </c>
      <c r="E1018" s="515">
        <v>7</v>
      </c>
      <c r="F1018" s="518" t="s">
        <v>614</v>
      </c>
      <c r="G1018" s="515" t="s">
        <v>3734</v>
      </c>
      <c r="H1018" s="514" t="s">
        <v>1229</v>
      </c>
      <c r="I1018" s="515">
        <v>1</v>
      </c>
      <c r="J1018" s="515">
        <v>9</v>
      </c>
    </row>
    <row r="1019" spans="1:10" ht="13.8" thickBot="1">
      <c r="A1019" s="517"/>
      <c r="B1019" s="518" t="s">
        <v>12654</v>
      </c>
      <c r="C1019" s="516"/>
      <c r="D1019" s="514" t="s">
        <v>1482</v>
      </c>
      <c r="E1019" s="515">
        <v>7</v>
      </c>
      <c r="F1019" s="518" t="s">
        <v>1854</v>
      </c>
      <c r="G1019" s="515" t="s">
        <v>3734</v>
      </c>
      <c r="H1019" s="514"/>
      <c r="I1019" s="515"/>
      <c r="J1019" s="515"/>
    </row>
    <row r="1020" spans="1:10" ht="13.8" thickBot="1">
      <c r="A1020" s="517"/>
      <c r="B1020" s="518" t="s">
        <v>12653</v>
      </c>
      <c r="C1020" s="516"/>
      <c r="D1020" s="514" t="s">
        <v>12652</v>
      </c>
      <c r="E1020" s="515">
        <v>6.8</v>
      </c>
      <c r="F1020" s="518" t="s">
        <v>614</v>
      </c>
      <c r="G1020" s="515" t="s">
        <v>3734</v>
      </c>
      <c r="H1020" s="514" t="s">
        <v>1251</v>
      </c>
      <c r="I1020" s="515"/>
      <c r="J1020" s="515">
        <v>9</v>
      </c>
    </row>
    <row r="1021" spans="1:10" ht="13.8" thickBot="1">
      <c r="A1021" s="517"/>
      <c r="B1021" s="518" t="s">
        <v>12651</v>
      </c>
      <c r="C1021" s="516"/>
      <c r="D1021" s="514" t="s">
        <v>3782</v>
      </c>
      <c r="E1021" s="515">
        <v>6.8</v>
      </c>
      <c r="F1021" s="518" t="s">
        <v>614</v>
      </c>
      <c r="G1021" s="515" t="s">
        <v>3734</v>
      </c>
      <c r="H1021" s="514" t="s">
        <v>1226</v>
      </c>
      <c r="I1021" s="515">
        <v>1</v>
      </c>
      <c r="J1021" s="515">
        <v>4</v>
      </c>
    </row>
    <row r="1022" spans="1:10" ht="13.8" thickBot="1">
      <c r="A1022" s="517"/>
      <c r="B1022" s="518" t="s">
        <v>12650</v>
      </c>
      <c r="C1022" s="516"/>
      <c r="D1022" s="514" t="s">
        <v>3739</v>
      </c>
      <c r="E1022" s="515">
        <v>6.75</v>
      </c>
      <c r="F1022" s="518" t="s">
        <v>614</v>
      </c>
      <c r="G1022" s="515" t="s">
        <v>3734</v>
      </c>
      <c r="H1022" s="514"/>
      <c r="I1022" s="515"/>
      <c r="J1022" s="515">
        <v>2</v>
      </c>
    </row>
    <row r="1023" spans="1:10" ht="13.8" thickBot="1">
      <c r="A1023" s="517"/>
      <c r="B1023" s="518" t="s">
        <v>12649</v>
      </c>
      <c r="C1023" s="516"/>
      <c r="D1023" s="514" t="s">
        <v>3750</v>
      </c>
      <c r="E1023" s="515">
        <v>6.75</v>
      </c>
      <c r="F1023" s="518" t="s">
        <v>1854</v>
      </c>
      <c r="G1023" s="515" t="s">
        <v>3734</v>
      </c>
      <c r="H1023" s="514"/>
      <c r="I1023" s="515"/>
      <c r="J1023" s="515">
        <v>2</v>
      </c>
    </row>
    <row r="1024" spans="1:10" ht="13.8" thickBot="1">
      <c r="A1024" s="517"/>
      <c r="B1024" s="518" t="s">
        <v>12648</v>
      </c>
      <c r="C1024" s="516"/>
      <c r="D1024" s="514" t="s">
        <v>12647</v>
      </c>
      <c r="E1024" s="515">
        <v>6.6</v>
      </c>
      <c r="F1024" s="518" t="s">
        <v>614</v>
      </c>
      <c r="G1024" s="515" t="s">
        <v>3734</v>
      </c>
      <c r="H1024" s="514" t="s">
        <v>1226</v>
      </c>
      <c r="I1024" s="515">
        <v>1</v>
      </c>
      <c r="J1024" s="515">
        <v>6</v>
      </c>
    </row>
    <row r="1025" spans="1:10" ht="13.8" thickBot="1">
      <c r="A1025" s="517"/>
      <c r="B1025" s="518" t="s">
        <v>12646</v>
      </c>
      <c r="C1025" s="516"/>
      <c r="D1025" s="514" t="s">
        <v>3785</v>
      </c>
      <c r="E1025" s="515">
        <v>6.5</v>
      </c>
      <c r="F1025" s="518" t="s">
        <v>614</v>
      </c>
      <c r="G1025" s="515" t="s">
        <v>3734</v>
      </c>
      <c r="H1025" s="514" t="s">
        <v>1226</v>
      </c>
      <c r="I1025" s="515">
        <v>1</v>
      </c>
      <c r="J1025" s="515">
        <v>7</v>
      </c>
    </row>
    <row r="1026" spans="1:10" ht="13.8" thickBot="1">
      <c r="A1026" s="517"/>
      <c r="B1026" s="518" t="s">
        <v>12645</v>
      </c>
      <c r="C1026" s="516"/>
      <c r="D1026" s="514" t="s">
        <v>12644</v>
      </c>
      <c r="E1026" s="515">
        <v>6.5</v>
      </c>
      <c r="F1026" s="518" t="s">
        <v>614</v>
      </c>
      <c r="G1026" s="515" t="s">
        <v>3734</v>
      </c>
      <c r="H1026" s="514" t="s">
        <v>2067</v>
      </c>
      <c r="I1026" s="515"/>
      <c r="J1026" s="515">
        <v>5</v>
      </c>
    </row>
    <row r="1027" spans="1:10" ht="13.8" thickBot="1">
      <c r="A1027" s="517"/>
      <c r="B1027" s="518" t="s">
        <v>12643</v>
      </c>
      <c r="C1027" s="516"/>
      <c r="D1027" s="514" t="s">
        <v>12642</v>
      </c>
      <c r="E1027" s="515">
        <v>6.4</v>
      </c>
      <c r="F1027" s="518" t="s">
        <v>614</v>
      </c>
      <c r="G1027" s="515" t="s">
        <v>3734</v>
      </c>
      <c r="H1027" s="514" t="s">
        <v>1226</v>
      </c>
      <c r="I1027" s="515"/>
      <c r="J1027" s="515">
        <v>9</v>
      </c>
    </row>
    <row r="1028" spans="1:10" ht="13.8" thickBot="1">
      <c r="A1028" s="517"/>
      <c r="B1028" s="518" t="s">
        <v>12641</v>
      </c>
      <c r="C1028" s="516"/>
      <c r="D1028" s="514" t="s">
        <v>12640</v>
      </c>
      <c r="E1028" s="515">
        <v>6.3</v>
      </c>
      <c r="F1028" s="518" t="s">
        <v>614</v>
      </c>
      <c r="G1028" s="515" t="s">
        <v>3734</v>
      </c>
      <c r="H1028" s="514" t="s">
        <v>1226</v>
      </c>
      <c r="I1028" s="515">
        <v>2</v>
      </c>
      <c r="J1028" s="515">
        <v>15</v>
      </c>
    </row>
    <row r="1029" spans="1:10" ht="13.8" thickBot="1">
      <c r="A1029" s="517"/>
      <c r="B1029" s="518" t="s">
        <v>12639</v>
      </c>
      <c r="C1029" s="516"/>
      <c r="D1029" s="514" t="s">
        <v>12638</v>
      </c>
      <c r="E1029" s="515">
        <v>6.25</v>
      </c>
      <c r="F1029" s="518" t="s">
        <v>1854</v>
      </c>
      <c r="G1029" s="515" t="s">
        <v>3734</v>
      </c>
      <c r="H1029" s="514" t="s">
        <v>1224</v>
      </c>
      <c r="I1029" s="515">
        <v>2</v>
      </c>
      <c r="J1029" s="515">
        <v>8</v>
      </c>
    </row>
    <row r="1030" spans="1:10" ht="13.8" thickBot="1">
      <c r="A1030" s="517"/>
      <c r="B1030" s="518" t="s">
        <v>12637</v>
      </c>
      <c r="C1030" s="516"/>
      <c r="D1030" s="514" t="s">
        <v>12636</v>
      </c>
      <c r="E1030" s="515">
        <v>6</v>
      </c>
      <c r="F1030" s="518" t="s">
        <v>614</v>
      </c>
      <c r="G1030" s="515" t="s">
        <v>3734</v>
      </c>
      <c r="H1030" s="514"/>
      <c r="I1030" s="515"/>
      <c r="J1030" s="515">
        <v>5</v>
      </c>
    </row>
    <row r="1031" spans="1:10" ht="13.8" thickBot="1">
      <c r="A1031" s="517"/>
      <c r="B1031" s="518" t="s">
        <v>12635</v>
      </c>
      <c r="C1031" s="516"/>
      <c r="D1031" s="514" t="s">
        <v>12634</v>
      </c>
      <c r="E1031" s="515">
        <v>6</v>
      </c>
      <c r="F1031" s="518" t="s">
        <v>1854</v>
      </c>
      <c r="G1031" s="515" t="s">
        <v>3734</v>
      </c>
      <c r="H1031" s="514"/>
      <c r="I1031" s="515">
        <v>1</v>
      </c>
      <c r="J1031" s="515">
        <v>4</v>
      </c>
    </row>
    <row r="1032" spans="1:10" ht="13.8" thickBot="1">
      <c r="A1032" s="517"/>
      <c r="B1032" s="518" t="s">
        <v>12633</v>
      </c>
      <c r="C1032" s="516"/>
      <c r="D1032" s="514" t="s">
        <v>12632</v>
      </c>
      <c r="E1032" s="515">
        <v>6</v>
      </c>
      <c r="F1032" s="518" t="s">
        <v>614</v>
      </c>
      <c r="G1032" s="515" t="s">
        <v>3734</v>
      </c>
      <c r="H1032" s="514"/>
      <c r="I1032" s="522">
        <v>1</v>
      </c>
      <c r="J1032" s="522">
        <v>3</v>
      </c>
    </row>
    <row r="1033" spans="1:10" ht="13.8" thickBot="1">
      <c r="A1033" s="517"/>
      <c r="B1033" s="518" t="s">
        <v>12631</v>
      </c>
      <c r="C1033" s="516"/>
      <c r="D1033" s="514" t="s">
        <v>12630</v>
      </c>
      <c r="E1033" s="515">
        <v>6</v>
      </c>
      <c r="F1033" s="518" t="s">
        <v>614</v>
      </c>
      <c r="G1033" s="515" t="s">
        <v>3734</v>
      </c>
      <c r="H1033" s="514"/>
      <c r="I1033" s="515"/>
      <c r="J1033" s="515">
        <v>1</v>
      </c>
    </row>
    <row r="1034" spans="1:10" ht="13.8" thickBot="1">
      <c r="A1034" s="517"/>
      <c r="B1034" s="518" t="s">
        <v>12629</v>
      </c>
      <c r="C1034" s="516"/>
      <c r="D1034" s="514" t="s">
        <v>1488</v>
      </c>
      <c r="E1034" s="515">
        <v>5.5</v>
      </c>
      <c r="F1034" s="518" t="s">
        <v>614</v>
      </c>
      <c r="G1034" s="515" t="s">
        <v>3734</v>
      </c>
      <c r="H1034" s="514" t="s">
        <v>1251</v>
      </c>
      <c r="I1034" s="515"/>
      <c r="J1034" s="515">
        <v>1</v>
      </c>
    </row>
    <row r="1035" spans="1:10" ht="13.8" thickBot="1">
      <c r="A1035" s="517"/>
      <c r="B1035" s="518" t="s">
        <v>12628</v>
      </c>
      <c r="C1035" s="516"/>
      <c r="D1035" s="514" t="s">
        <v>12627</v>
      </c>
      <c r="E1035" s="515">
        <v>5.5</v>
      </c>
      <c r="F1035" s="514"/>
      <c r="G1035" s="515" t="s">
        <v>3734</v>
      </c>
      <c r="H1035" s="514"/>
      <c r="I1035" s="515"/>
      <c r="J1035" s="515"/>
    </row>
    <row r="1036" spans="1:10" ht="13.8" thickBot="1">
      <c r="A1036" s="517"/>
      <c r="B1036" s="518" t="s">
        <v>12626</v>
      </c>
      <c r="C1036" s="516"/>
      <c r="D1036" s="514" t="s">
        <v>12625</v>
      </c>
      <c r="E1036" s="515">
        <v>5.5</v>
      </c>
      <c r="F1036" s="514"/>
      <c r="G1036" s="515" t="s">
        <v>3734</v>
      </c>
      <c r="H1036" s="514"/>
      <c r="I1036" s="515"/>
      <c r="J1036" s="515"/>
    </row>
    <row r="1037" spans="1:10" ht="13.8" thickBot="1">
      <c r="A1037" s="517"/>
      <c r="B1037" s="518" t="s">
        <v>12624</v>
      </c>
      <c r="C1037" s="516"/>
      <c r="D1037" s="514" t="s">
        <v>1480</v>
      </c>
      <c r="E1037" s="515">
        <v>5.25</v>
      </c>
      <c r="F1037" s="518" t="s">
        <v>614</v>
      </c>
      <c r="G1037" s="515" t="s">
        <v>3734</v>
      </c>
      <c r="H1037" s="514" t="s">
        <v>1226</v>
      </c>
      <c r="I1037" s="515">
        <v>1</v>
      </c>
      <c r="J1037" s="515">
        <v>2</v>
      </c>
    </row>
    <row r="1038" spans="1:10" ht="13.8" thickBot="1">
      <c r="A1038" s="517"/>
      <c r="B1038" s="518" t="s">
        <v>12623</v>
      </c>
      <c r="C1038" s="516"/>
      <c r="D1038" s="514" t="s">
        <v>3739</v>
      </c>
      <c r="E1038" s="515">
        <v>5.25</v>
      </c>
      <c r="F1038" s="518" t="s">
        <v>614</v>
      </c>
      <c r="G1038" s="515" t="s">
        <v>3734</v>
      </c>
      <c r="H1038" s="514" t="s">
        <v>1226</v>
      </c>
      <c r="I1038" s="515"/>
      <c r="J1038" s="515">
        <v>2</v>
      </c>
    </row>
    <row r="1039" spans="1:10" ht="13.8" thickBot="1">
      <c r="A1039" s="517"/>
      <c r="B1039" s="518" t="s">
        <v>12622</v>
      </c>
      <c r="C1039" s="516"/>
      <c r="D1039" s="514" t="s">
        <v>3750</v>
      </c>
      <c r="E1039" s="515">
        <v>5</v>
      </c>
      <c r="F1039" s="518" t="s">
        <v>1854</v>
      </c>
      <c r="G1039" s="515" t="s">
        <v>3734</v>
      </c>
      <c r="H1039" s="514" t="s">
        <v>1251</v>
      </c>
      <c r="I1039" s="515"/>
      <c r="J1039" s="515">
        <v>1</v>
      </c>
    </row>
    <row r="1040" spans="1:10" ht="13.8" thickBot="1">
      <c r="A1040" s="517"/>
      <c r="B1040" s="518" t="s">
        <v>12621</v>
      </c>
      <c r="C1040" s="516"/>
      <c r="D1040" s="514" t="s">
        <v>3795</v>
      </c>
      <c r="E1040" s="515">
        <v>5</v>
      </c>
      <c r="F1040" s="518" t="s">
        <v>1854</v>
      </c>
      <c r="G1040" s="515" t="s">
        <v>3734</v>
      </c>
      <c r="H1040" s="514" t="s">
        <v>1226</v>
      </c>
      <c r="I1040" s="515">
        <v>1</v>
      </c>
      <c r="J1040" s="515">
        <v>5</v>
      </c>
    </row>
    <row r="1041" spans="1:10" ht="13.8" thickBot="1">
      <c r="A1041" s="517"/>
      <c r="B1041" s="518" t="s">
        <v>12620</v>
      </c>
      <c r="C1041" s="516"/>
      <c r="D1041" s="514" t="s">
        <v>12619</v>
      </c>
      <c r="E1041" s="515">
        <v>5</v>
      </c>
      <c r="F1041" s="518" t="s">
        <v>614</v>
      </c>
      <c r="G1041" s="515" t="s">
        <v>3734</v>
      </c>
      <c r="H1041" s="514"/>
      <c r="I1041" s="515"/>
      <c r="J1041" s="515">
        <v>7</v>
      </c>
    </row>
    <row r="1042" spans="1:10" ht="13.8" thickBot="1">
      <c r="A1042" s="517"/>
      <c r="B1042" s="518" t="s">
        <v>12618</v>
      </c>
      <c r="C1042" s="516"/>
      <c r="D1042" s="514" t="s">
        <v>12617</v>
      </c>
      <c r="E1042" s="515">
        <v>5</v>
      </c>
      <c r="F1042" s="518" t="s">
        <v>614</v>
      </c>
      <c r="G1042" s="515" t="s">
        <v>3734</v>
      </c>
      <c r="H1042" s="514"/>
      <c r="I1042" s="515"/>
      <c r="J1042" s="515">
        <v>1</v>
      </c>
    </row>
    <row r="1043" spans="1:10" ht="13.8" thickBot="1">
      <c r="A1043" s="517"/>
      <c r="B1043" s="518" t="s">
        <v>12616</v>
      </c>
      <c r="C1043" s="516"/>
      <c r="D1043" s="514" t="s">
        <v>12615</v>
      </c>
      <c r="E1043" s="515">
        <v>5</v>
      </c>
      <c r="F1043" s="518" t="s">
        <v>1854</v>
      </c>
      <c r="G1043" s="515" t="s">
        <v>3734</v>
      </c>
      <c r="H1043" s="514"/>
      <c r="I1043" s="515"/>
      <c r="J1043" s="515">
        <v>1</v>
      </c>
    </row>
    <row r="1044" spans="1:10" ht="13.8" thickBot="1">
      <c r="A1044" s="517"/>
      <c r="B1044" s="518" t="s">
        <v>12614</v>
      </c>
      <c r="C1044" s="516"/>
      <c r="D1044" s="514" t="s">
        <v>12613</v>
      </c>
      <c r="E1044" s="515">
        <v>5</v>
      </c>
      <c r="F1044" s="518" t="s">
        <v>1854</v>
      </c>
      <c r="G1044" s="515" t="s">
        <v>3734</v>
      </c>
      <c r="H1044" s="514"/>
      <c r="I1044" s="515"/>
      <c r="J1044" s="515"/>
    </row>
    <row r="1045" spans="1:10" ht="13.8" thickBot="1">
      <c r="A1045" s="517"/>
      <c r="B1045" s="518" t="s">
        <v>12612</v>
      </c>
      <c r="C1045" s="516"/>
      <c r="D1045" s="514" t="s">
        <v>1482</v>
      </c>
      <c r="E1045" s="515">
        <v>5</v>
      </c>
      <c r="F1045" s="518" t="s">
        <v>1854</v>
      </c>
      <c r="G1045" s="515" t="s">
        <v>3734</v>
      </c>
      <c r="H1045" s="514"/>
      <c r="I1045" s="515"/>
      <c r="J1045" s="515"/>
    </row>
    <row r="1046" spans="1:10" ht="13.8" thickBot="1">
      <c r="A1046" s="517"/>
      <c r="B1046" s="518" t="s">
        <v>12611</v>
      </c>
      <c r="C1046" s="516"/>
      <c r="D1046" s="514" t="s">
        <v>1480</v>
      </c>
      <c r="E1046" s="515">
        <v>4.5</v>
      </c>
      <c r="F1046" s="518" t="s">
        <v>1854</v>
      </c>
      <c r="G1046" s="515" t="s">
        <v>3734</v>
      </c>
      <c r="H1046" s="514" t="s">
        <v>1224</v>
      </c>
      <c r="I1046" s="515"/>
      <c r="J1046" s="515">
        <v>1</v>
      </c>
    </row>
    <row r="1047" spans="1:10" ht="13.8" thickBot="1">
      <c r="A1047" s="517"/>
      <c r="B1047" s="514" t="s">
        <v>12610</v>
      </c>
      <c r="C1047" s="516"/>
      <c r="D1047" s="514" t="s">
        <v>12609</v>
      </c>
      <c r="E1047" s="515">
        <v>4</v>
      </c>
      <c r="F1047" s="518" t="s">
        <v>614</v>
      </c>
      <c r="G1047" s="515" t="s">
        <v>3734</v>
      </c>
      <c r="H1047" s="514"/>
      <c r="I1047" s="515"/>
      <c r="J1047" s="515">
        <v>1</v>
      </c>
    </row>
    <row r="1048" spans="1:10" ht="13.8" thickBot="1">
      <c r="A1048" s="517"/>
      <c r="B1048" s="518" t="s">
        <v>12608</v>
      </c>
      <c r="C1048" s="516"/>
      <c r="D1048" s="514" t="s">
        <v>1480</v>
      </c>
      <c r="E1048" s="515">
        <v>4</v>
      </c>
      <c r="F1048" s="514"/>
      <c r="G1048" s="515" t="s">
        <v>3734</v>
      </c>
      <c r="H1048" s="514"/>
      <c r="I1048" s="515"/>
      <c r="J1048" s="515">
        <v>1</v>
      </c>
    </row>
    <row r="1049" spans="1:10" ht="13.8" thickBot="1">
      <c r="A1049" s="517"/>
      <c r="B1049" s="518" t="s">
        <v>12607</v>
      </c>
      <c r="C1049" s="516"/>
      <c r="D1049" s="514" t="s">
        <v>1480</v>
      </c>
      <c r="E1049" s="515">
        <v>3</v>
      </c>
      <c r="F1049" s="518" t="s">
        <v>1854</v>
      </c>
      <c r="G1049" s="515" t="s">
        <v>3734</v>
      </c>
      <c r="H1049" s="514"/>
      <c r="I1049" s="515"/>
      <c r="J1049" s="515">
        <v>1</v>
      </c>
    </row>
    <row r="1050" spans="1:10" ht="13.8" thickBot="1">
      <c r="A1050" s="517"/>
      <c r="B1050" s="518" t="s">
        <v>12606</v>
      </c>
      <c r="C1050" s="516"/>
      <c r="D1050" s="514" t="s">
        <v>1480</v>
      </c>
      <c r="E1050" s="515">
        <v>2</v>
      </c>
      <c r="F1050" s="514"/>
      <c r="G1050" s="515" t="s">
        <v>3734</v>
      </c>
      <c r="H1050" s="514"/>
      <c r="I1050" s="515"/>
      <c r="J1050" s="515">
        <v>4</v>
      </c>
    </row>
    <row r="1051" spans="1:10" ht="13.8" thickBot="1">
      <c r="A1051" s="517"/>
      <c r="B1051" s="518" t="s">
        <v>12605</v>
      </c>
      <c r="C1051" s="516"/>
      <c r="D1051" s="514" t="s">
        <v>1480</v>
      </c>
      <c r="E1051" s="515"/>
      <c r="F1051" s="514"/>
      <c r="G1051" s="515" t="s">
        <v>3734</v>
      </c>
      <c r="H1051" s="514"/>
      <c r="I1051" s="515"/>
      <c r="J1051" s="515"/>
    </row>
    <row r="1052" spans="1:10" ht="13.8" thickBot="1">
      <c r="A1052" s="517"/>
      <c r="B1052" s="518" t="s">
        <v>12604</v>
      </c>
      <c r="C1052" s="516"/>
      <c r="D1052" s="514" t="s">
        <v>12603</v>
      </c>
      <c r="E1052" s="515">
        <v>7.75</v>
      </c>
      <c r="F1052" s="518" t="s">
        <v>614</v>
      </c>
      <c r="G1052" s="515" t="s">
        <v>3807</v>
      </c>
      <c r="H1052" s="514" t="s">
        <v>1229</v>
      </c>
      <c r="I1052" s="515">
        <v>1</v>
      </c>
      <c r="J1052" s="515">
        <v>6</v>
      </c>
    </row>
    <row r="1053" spans="1:10" ht="13.8" thickBot="1">
      <c r="A1053" s="517"/>
      <c r="B1053" s="518" t="s">
        <v>12602</v>
      </c>
      <c r="C1053" s="516"/>
      <c r="D1053" s="514" t="s">
        <v>12601</v>
      </c>
      <c r="E1053" s="515">
        <v>7.5</v>
      </c>
      <c r="F1053" s="514"/>
      <c r="G1053" s="515" t="s">
        <v>3807</v>
      </c>
      <c r="H1053" s="514" t="s">
        <v>1226</v>
      </c>
      <c r="I1053" s="515"/>
      <c r="J1053" s="515">
        <v>1</v>
      </c>
    </row>
    <row r="1054" spans="1:10" ht="13.8" thickBot="1">
      <c r="A1054" s="517"/>
      <c r="B1054" s="518" t="s">
        <v>12600</v>
      </c>
      <c r="C1054" s="516"/>
      <c r="D1054" s="514" t="s">
        <v>12599</v>
      </c>
      <c r="E1054" s="515">
        <v>7.1</v>
      </c>
      <c r="F1054" s="518" t="s">
        <v>1854</v>
      </c>
      <c r="G1054" s="515" t="s">
        <v>3807</v>
      </c>
      <c r="H1054" s="514"/>
      <c r="I1054" s="515">
        <v>2</v>
      </c>
      <c r="J1054" s="515">
        <v>3</v>
      </c>
    </row>
    <row r="1055" spans="1:10" ht="13.8" thickBot="1">
      <c r="A1055" s="517"/>
      <c r="B1055" s="518" t="s">
        <v>12598</v>
      </c>
      <c r="C1055" s="516"/>
      <c r="D1055" s="514" t="s">
        <v>12597</v>
      </c>
      <c r="E1055" s="515">
        <v>7</v>
      </c>
      <c r="F1055" s="518" t="s">
        <v>614</v>
      </c>
      <c r="G1055" s="515" t="s">
        <v>3807</v>
      </c>
      <c r="H1055" s="514" t="s">
        <v>1229</v>
      </c>
      <c r="I1055" s="515"/>
      <c r="J1055" s="515">
        <v>9</v>
      </c>
    </row>
    <row r="1056" spans="1:10" ht="13.8" thickBot="1">
      <c r="A1056" s="517"/>
      <c r="B1056" s="518" t="s">
        <v>12596</v>
      </c>
      <c r="C1056" s="516"/>
      <c r="D1056" s="514" t="s">
        <v>3849</v>
      </c>
      <c r="E1056" s="515">
        <v>7</v>
      </c>
      <c r="F1056" s="518" t="s">
        <v>1854</v>
      </c>
      <c r="G1056" s="515" t="s">
        <v>3807</v>
      </c>
      <c r="H1056" s="514" t="s">
        <v>1226</v>
      </c>
      <c r="I1056" s="515"/>
      <c r="J1056" s="515">
        <v>2</v>
      </c>
    </row>
    <row r="1057" spans="1:10" ht="13.8" thickBot="1">
      <c r="A1057" s="517"/>
      <c r="B1057" s="518" t="s">
        <v>12595</v>
      </c>
      <c r="C1057" s="516"/>
      <c r="D1057" s="514" t="s">
        <v>1502</v>
      </c>
      <c r="E1057" s="515">
        <v>7</v>
      </c>
      <c r="F1057" s="518" t="s">
        <v>1854</v>
      </c>
      <c r="G1057" s="515" t="s">
        <v>3807</v>
      </c>
      <c r="H1057" s="514"/>
      <c r="I1057" s="515">
        <v>2</v>
      </c>
      <c r="J1057" s="515">
        <v>2</v>
      </c>
    </row>
    <row r="1058" spans="1:10" ht="13.8" thickBot="1">
      <c r="A1058" s="517"/>
      <c r="B1058" s="518" t="s">
        <v>12594</v>
      </c>
      <c r="C1058" s="516"/>
      <c r="D1058" s="514" t="s">
        <v>12593</v>
      </c>
      <c r="E1058" s="515">
        <v>6.75</v>
      </c>
      <c r="F1058" s="518" t="s">
        <v>614</v>
      </c>
      <c r="G1058" s="515" t="s">
        <v>3807</v>
      </c>
      <c r="H1058" s="514" t="s">
        <v>1251</v>
      </c>
      <c r="I1058" s="515">
        <v>2</v>
      </c>
      <c r="J1058" s="515">
        <v>7</v>
      </c>
    </row>
    <row r="1059" spans="1:10" ht="13.8" thickBot="1">
      <c r="A1059" s="517"/>
      <c r="B1059" s="518" t="s">
        <v>12592</v>
      </c>
      <c r="C1059" s="516"/>
      <c r="D1059" s="514" t="s">
        <v>12591</v>
      </c>
      <c r="E1059" s="515">
        <v>6.5</v>
      </c>
      <c r="F1059" s="518" t="s">
        <v>614</v>
      </c>
      <c r="G1059" s="515" t="s">
        <v>3807</v>
      </c>
      <c r="H1059" s="514" t="s">
        <v>1865</v>
      </c>
      <c r="I1059" s="515">
        <v>1</v>
      </c>
      <c r="J1059" s="515">
        <v>5</v>
      </c>
    </row>
    <row r="1060" spans="1:10" ht="13.8" thickBot="1">
      <c r="A1060" s="517"/>
      <c r="B1060" s="518" t="s">
        <v>12590</v>
      </c>
      <c r="C1060" s="516"/>
      <c r="D1060" s="514" t="s">
        <v>12589</v>
      </c>
      <c r="E1060" s="515">
        <v>6.5</v>
      </c>
      <c r="F1060" s="518" t="s">
        <v>614</v>
      </c>
      <c r="G1060" s="515" t="s">
        <v>3807</v>
      </c>
      <c r="H1060" s="514" t="s">
        <v>1226</v>
      </c>
      <c r="I1060" s="515"/>
      <c r="J1060" s="515">
        <v>3</v>
      </c>
    </row>
    <row r="1061" spans="1:10" ht="13.8" thickBot="1">
      <c r="A1061" s="517"/>
      <c r="B1061" s="518" t="s">
        <v>12588</v>
      </c>
      <c r="C1061" s="516"/>
      <c r="D1061" s="514" t="s">
        <v>12587</v>
      </c>
      <c r="E1061" s="515">
        <v>6.5</v>
      </c>
      <c r="F1061" s="518" t="s">
        <v>12586</v>
      </c>
      <c r="G1061" s="515" t="s">
        <v>3807</v>
      </c>
      <c r="H1061" s="514"/>
      <c r="I1061" s="515">
        <v>1</v>
      </c>
      <c r="J1061" s="515">
        <v>1</v>
      </c>
    </row>
    <row r="1062" spans="1:10" ht="13.8" thickBot="1">
      <c r="A1062" s="517"/>
      <c r="B1062" s="518" t="s">
        <v>12585</v>
      </c>
      <c r="C1062" s="516"/>
      <c r="D1062" s="514" t="s">
        <v>12584</v>
      </c>
      <c r="E1062" s="515">
        <v>6.5</v>
      </c>
      <c r="F1062" s="514"/>
      <c r="G1062" s="515" t="s">
        <v>3807</v>
      </c>
      <c r="H1062" s="514"/>
      <c r="I1062" s="515"/>
      <c r="J1062" s="515"/>
    </row>
    <row r="1063" spans="1:10" ht="13.8" thickBot="1">
      <c r="A1063" s="517"/>
      <c r="B1063" s="518" t="s">
        <v>12583</v>
      </c>
      <c r="C1063" s="516"/>
      <c r="D1063" s="514" t="s">
        <v>3822</v>
      </c>
      <c r="E1063" s="515">
        <v>6.4</v>
      </c>
      <c r="F1063" s="518" t="s">
        <v>614</v>
      </c>
      <c r="G1063" s="515" t="s">
        <v>3807</v>
      </c>
      <c r="H1063" s="514" t="s">
        <v>1226</v>
      </c>
      <c r="I1063" s="515"/>
      <c r="J1063" s="515">
        <v>11</v>
      </c>
    </row>
    <row r="1064" spans="1:10" ht="13.8" thickBot="1">
      <c r="A1064" s="517"/>
      <c r="B1064" s="518" t="s">
        <v>12582</v>
      </c>
      <c r="C1064" s="516"/>
      <c r="D1064" s="514" t="s">
        <v>12581</v>
      </c>
      <c r="E1064" s="515">
        <v>6.3</v>
      </c>
      <c r="F1064" s="518" t="s">
        <v>614</v>
      </c>
      <c r="G1064" s="515" t="s">
        <v>3807</v>
      </c>
      <c r="H1064" s="514" t="s">
        <v>1226</v>
      </c>
      <c r="I1064" s="515"/>
      <c r="J1064" s="515">
        <v>7</v>
      </c>
    </row>
    <row r="1065" spans="1:10" ht="13.8" thickBot="1">
      <c r="A1065" s="517"/>
      <c r="B1065" s="518" t="s">
        <v>12580</v>
      </c>
      <c r="C1065" s="516"/>
      <c r="D1065" s="514" t="s">
        <v>12579</v>
      </c>
      <c r="E1065" s="515">
        <v>6.25</v>
      </c>
      <c r="F1065" s="518" t="s">
        <v>614</v>
      </c>
      <c r="G1065" s="515" t="s">
        <v>3807</v>
      </c>
      <c r="H1065" s="514" t="s">
        <v>3306</v>
      </c>
      <c r="I1065" s="515">
        <v>2</v>
      </c>
      <c r="J1065" s="515">
        <v>30</v>
      </c>
    </row>
    <row r="1066" spans="1:10" ht="13.8" thickBot="1">
      <c r="A1066" s="517"/>
      <c r="B1066" s="518" t="s">
        <v>12578</v>
      </c>
      <c r="C1066" s="516"/>
      <c r="D1066" s="514" t="s">
        <v>1502</v>
      </c>
      <c r="E1066" s="515">
        <v>6.25</v>
      </c>
      <c r="F1066" s="518" t="s">
        <v>1854</v>
      </c>
      <c r="G1066" s="515" t="s">
        <v>3807</v>
      </c>
      <c r="H1066" s="514" t="s">
        <v>2067</v>
      </c>
      <c r="I1066" s="515"/>
      <c r="J1066" s="515">
        <v>9</v>
      </c>
    </row>
    <row r="1067" spans="1:10" ht="13.8" thickBot="1">
      <c r="A1067" s="517"/>
      <c r="B1067" s="518" t="s">
        <v>12577</v>
      </c>
      <c r="C1067" s="516"/>
      <c r="D1067" s="514" t="s">
        <v>12576</v>
      </c>
      <c r="E1067" s="515">
        <v>6.1</v>
      </c>
      <c r="F1067" s="518" t="s">
        <v>614</v>
      </c>
      <c r="G1067" s="515" t="s">
        <v>3807</v>
      </c>
      <c r="H1067" s="514" t="s">
        <v>1841</v>
      </c>
      <c r="I1067" s="522">
        <v>1</v>
      </c>
      <c r="J1067" s="522">
        <v>16</v>
      </c>
    </row>
    <row r="1068" spans="1:10" ht="13.8" thickBot="1">
      <c r="A1068" s="517"/>
      <c r="B1068" s="518" t="s">
        <v>12575</v>
      </c>
      <c r="C1068" s="516"/>
      <c r="D1068" s="514" t="s">
        <v>12574</v>
      </c>
      <c r="E1068" s="515">
        <v>6</v>
      </c>
      <c r="F1068" s="518" t="s">
        <v>614</v>
      </c>
      <c r="G1068" s="515" t="s">
        <v>3807</v>
      </c>
      <c r="H1068" s="514" t="s">
        <v>1226</v>
      </c>
      <c r="I1068" s="515">
        <v>1</v>
      </c>
      <c r="J1068" s="515">
        <v>4</v>
      </c>
    </row>
    <row r="1069" spans="1:10" ht="13.8" thickBot="1">
      <c r="A1069" s="517"/>
      <c r="B1069" s="518" t="s">
        <v>12573</v>
      </c>
      <c r="C1069" s="516"/>
      <c r="D1069" s="514" t="s">
        <v>3849</v>
      </c>
      <c r="E1069" s="515">
        <v>6</v>
      </c>
      <c r="F1069" s="518" t="s">
        <v>614</v>
      </c>
      <c r="G1069" s="515" t="s">
        <v>3807</v>
      </c>
      <c r="H1069" s="514"/>
      <c r="I1069" s="515"/>
      <c r="J1069" s="515">
        <v>2</v>
      </c>
    </row>
    <row r="1070" spans="1:10" ht="13.8" thickBot="1">
      <c r="A1070" s="517"/>
      <c r="B1070" s="518" t="s">
        <v>12572</v>
      </c>
      <c r="C1070" s="516"/>
      <c r="D1070" s="514" t="s">
        <v>12571</v>
      </c>
      <c r="E1070" s="515">
        <v>6</v>
      </c>
      <c r="F1070" s="514"/>
      <c r="G1070" s="515" t="s">
        <v>3807</v>
      </c>
      <c r="H1070" s="514"/>
      <c r="I1070" s="515"/>
      <c r="J1070" s="515"/>
    </row>
    <row r="1071" spans="1:10" ht="13.8" thickBot="1">
      <c r="A1071" s="517"/>
      <c r="B1071" s="518" t="s">
        <v>12570</v>
      </c>
      <c r="C1071" s="516"/>
      <c r="D1071" s="514" t="s">
        <v>12569</v>
      </c>
      <c r="E1071" s="515">
        <v>5.75</v>
      </c>
      <c r="F1071" s="518" t="s">
        <v>614</v>
      </c>
      <c r="G1071" s="515" t="s">
        <v>3807</v>
      </c>
      <c r="H1071" s="514" t="s">
        <v>1226</v>
      </c>
      <c r="I1071" s="515"/>
      <c r="J1071" s="515">
        <v>4</v>
      </c>
    </row>
    <row r="1072" spans="1:10" ht="13.8" thickBot="1">
      <c r="A1072" s="517"/>
      <c r="B1072" s="518" t="s">
        <v>12568</v>
      </c>
      <c r="C1072" s="516"/>
      <c r="D1072" s="514" t="s">
        <v>12567</v>
      </c>
      <c r="E1072" s="515">
        <v>5.75</v>
      </c>
      <c r="F1072" s="514"/>
      <c r="G1072" s="515" t="s">
        <v>3807</v>
      </c>
      <c r="H1072" s="514" t="s">
        <v>1226</v>
      </c>
      <c r="I1072" s="515">
        <v>2</v>
      </c>
      <c r="J1072" s="515">
        <v>3</v>
      </c>
    </row>
    <row r="1073" spans="1:10" ht="13.8" thickBot="1">
      <c r="A1073" s="517"/>
      <c r="B1073" s="518" t="s">
        <v>12566</v>
      </c>
      <c r="C1073" s="516"/>
      <c r="D1073" s="514" t="s">
        <v>1502</v>
      </c>
      <c r="E1073" s="515">
        <v>5.75</v>
      </c>
      <c r="F1073" s="514"/>
      <c r="G1073" s="515" t="s">
        <v>3807</v>
      </c>
      <c r="H1073" s="514" t="s">
        <v>1224</v>
      </c>
      <c r="I1073" s="515"/>
      <c r="J1073" s="515">
        <v>3</v>
      </c>
    </row>
    <row r="1074" spans="1:10" ht="13.8" thickBot="1">
      <c r="A1074" s="517"/>
      <c r="B1074" s="518" t="s">
        <v>12565</v>
      </c>
      <c r="C1074" s="516"/>
      <c r="D1074" s="514" t="s">
        <v>12564</v>
      </c>
      <c r="E1074" s="515">
        <v>5.5</v>
      </c>
      <c r="F1074" s="518" t="s">
        <v>614</v>
      </c>
      <c r="G1074" s="515" t="s">
        <v>3807</v>
      </c>
      <c r="H1074" s="514" t="s">
        <v>1224</v>
      </c>
      <c r="I1074" s="515"/>
      <c r="J1074" s="515">
        <v>3</v>
      </c>
    </row>
    <row r="1075" spans="1:10" ht="13.8" thickBot="1">
      <c r="A1075" s="517"/>
      <c r="B1075" s="518" t="s">
        <v>12563</v>
      </c>
      <c r="C1075" s="516"/>
      <c r="D1075" s="514" t="s">
        <v>12562</v>
      </c>
      <c r="E1075" s="515">
        <v>5.5</v>
      </c>
      <c r="F1075" s="514"/>
      <c r="G1075" s="515" t="s">
        <v>3807</v>
      </c>
      <c r="H1075" s="514"/>
      <c r="I1075" s="515"/>
      <c r="J1075" s="515"/>
    </row>
    <row r="1076" spans="1:10" ht="13.8" thickBot="1">
      <c r="A1076" s="517"/>
      <c r="B1076" s="518" t="s">
        <v>12561</v>
      </c>
      <c r="C1076" s="516"/>
      <c r="D1076" s="514" t="s">
        <v>3833</v>
      </c>
      <c r="E1076" s="515">
        <v>5</v>
      </c>
      <c r="F1076" s="518" t="s">
        <v>1854</v>
      </c>
      <c r="G1076" s="515" t="s">
        <v>3807</v>
      </c>
      <c r="H1076" s="514" t="s">
        <v>1226</v>
      </c>
      <c r="I1076" s="515"/>
      <c r="J1076" s="515">
        <v>2</v>
      </c>
    </row>
    <row r="1077" spans="1:10" ht="13.8" thickBot="1">
      <c r="A1077" s="517"/>
      <c r="B1077" s="518" t="s">
        <v>12560</v>
      </c>
      <c r="C1077" s="516"/>
      <c r="D1077" s="514" t="s">
        <v>12559</v>
      </c>
      <c r="E1077" s="515">
        <v>5</v>
      </c>
      <c r="F1077" s="518" t="s">
        <v>1854</v>
      </c>
      <c r="G1077" s="515" t="s">
        <v>3807</v>
      </c>
      <c r="H1077" s="514" t="s">
        <v>1224</v>
      </c>
      <c r="I1077" s="515"/>
      <c r="J1077" s="515">
        <v>1</v>
      </c>
    </row>
    <row r="1078" spans="1:10" ht="13.8" thickBot="1">
      <c r="A1078" s="517"/>
      <c r="B1078" s="518" t="s">
        <v>12558</v>
      </c>
      <c r="C1078" s="516"/>
      <c r="D1078" s="514" t="s">
        <v>12557</v>
      </c>
      <c r="E1078" s="515">
        <v>5</v>
      </c>
      <c r="F1078" s="518" t="s">
        <v>614</v>
      </c>
      <c r="G1078" s="515" t="s">
        <v>3807</v>
      </c>
      <c r="H1078" s="514"/>
      <c r="I1078" s="515"/>
      <c r="J1078" s="515">
        <v>1</v>
      </c>
    </row>
    <row r="1079" spans="1:10" ht="13.8" thickBot="1">
      <c r="A1079" s="517"/>
      <c r="B1079" s="518" t="s">
        <v>12556</v>
      </c>
      <c r="C1079" s="516"/>
      <c r="D1079" s="514" t="s">
        <v>1502</v>
      </c>
      <c r="E1079" s="515">
        <v>5</v>
      </c>
      <c r="F1079" s="514"/>
      <c r="G1079" s="515" t="s">
        <v>3807</v>
      </c>
      <c r="H1079" s="514"/>
      <c r="I1079" s="515"/>
      <c r="J1079" s="515">
        <v>1</v>
      </c>
    </row>
    <row r="1080" spans="1:10" ht="13.8" thickBot="1">
      <c r="A1080" s="517"/>
      <c r="B1080" s="518" t="s">
        <v>12555</v>
      </c>
      <c r="C1080" s="516"/>
      <c r="D1080" s="514" t="s">
        <v>12554</v>
      </c>
      <c r="E1080" s="515">
        <v>5</v>
      </c>
      <c r="F1080" s="518" t="s">
        <v>1854</v>
      </c>
      <c r="G1080" s="515" t="s">
        <v>3807</v>
      </c>
      <c r="H1080" s="514"/>
      <c r="I1080" s="515"/>
      <c r="J1080" s="515"/>
    </row>
    <row r="1081" spans="1:10" ht="13.8" thickBot="1">
      <c r="A1081" s="517"/>
      <c r="B1081" s="518" t="s">
        <v>12553</v>
      </c>
      <c r="C1081" s="516"/>
      <c r="D1081" s="514" t="s">
        <v>1502</v>
      </c>
      <c r="E1081" s="515">
        <v>5</v>
      </c>
      <c r="F1081" s="518" t="s">
        <v>1854</v>
      </c>
      <c r="G1081" s="515" t="s">
        <v>3807</v>
      </c>
      <c r="H1081" s="514"/>
      <c r="I1081" s="515"/>
      <c r="J1081" s="515"/>
    </row>
    <row r="1082" spans="1:10" ht="13.8" thickBot="1">
      <c r="A1082" s="517"/>
      <c r="B1082" s="518" t="s">
        <v>12552</v>
      </c>
      <c r="C1082" s="516"/>
      <c r="D1082" s="514" t="s">
        <v>1502</v>
      </c>
      <c r="E1082" s="515">
        <v>5</v>
      </c>
      <c r="F1082" s="514"/>
      <c r="G1082" s="515" t="s">
        <v>3807</v>
      </c>
      <c r="H1082" s="514"/>
      <c r="I1082" s="515"/>
      <c r="J1082" s="515"/>
    </row>
    <row r="1083" spans="1:10" ht="13.8" thickBot="1">
      <c r="A1083" s="517"/>
      <c r="B1083" s="518" t="s">
        <v>12551</v>
      </c>
      <c r="C1083" s="516"/>
      <c r="D1083" s="514" t="s">
        <v>1502</v>
      </c>
      <c r="E1083" s="515">
        <v>4</v>
      </c>
      <c r="F1083" s="518" t="s">
        <v>1854</v>
      </c>
      <c r="G1083" s="515" t="s">
        <v>3807</v>
      </c>
      <c r="H1083" s="514"/>
      <c r="I1083" s="515"/>
      <c r="J1083" s="515">
        <v>1</v>
      </c>
    </row>
    <row r="1084" spans="1:10" ht="13.8" thickBot="1">
      <c r="A1084" s="517"/>
      <c r="B1084" s="518" t="s">
        <v>12550</v>
      </c>
      <c r="C1084" s="516"/>
      <c r="D1084" s="514" t="s">
        <v>1502</v>
      </c>
      <c r="E1084" s="515">
        <v>4</v>
      </c>
      <c r="F1084" s="518" t="s">
        <v>11609</v>
      </c>
      <c r="G1084" s="515" t="s">
        <v>3807</v>
      </c>
      <c r="H1084" s="514"/>
      <c r="I1084" s="515"/>
      <c r="J1084" s="515"/>
    </row>
    <row r="1085" spans="1:10" ht="13.8" thickBot="1">
      <c r="A1085" s="517"/>
      <c r="B1085" s="518" t="s">
        <v>12549</v>
      </c>
      <c r="C1085" s="516"/>
      <c r="D1085" s="514" t="s">
        <v>12548</v>
      </c>
      <c r="E1085" s="515">
        <v>4</v>
      </c>
      <c r="F1085" s="514"/>
      <c r="G1085" s="515" t="s">
        <v>3807</v>
      </c>
      <c r="H1085" s="514"/>
      <c r="I1085" s="515"/>
      <c r="J1085" s="515"/>
    </row>
    <row r="1086" spans="1:10" ht="13.8" thickBot="1">
      <c r="A1086" s="517"/>
      <c r="B1086" s="518" t="s">
        <v>12547</v>
      </c>
      <c r="C1086" s="516"/>
      <c r="D1086" s="514" t="s">
        <v>1502</v>
      </c>
      <c r="E1086" s="515">
        <v>3</v>
      </c>
      <c r="F1086" s="518" t="s">
        <v>1854</v>
      </c>
      <c r="G1086" s="515" t="s">
        <v>3807</v>
      </c>
      <c r="H1086" s="514"/>
      <c r="I1086" s="515"/>
      <c r="J1086" s="515"/>
    </row>
    <row r="1087" spans="1:10" ht="13.8" thickBot="1">
      <c r="A1087" s="517"/>
      <c r="B1087" s="518" t="s">
        <v>12546</v>
      </c>
      <c r="C1087" s="516"/>
      <c r="D1087" s="514" t="s">
        <v>1502</v>
      </c>
      <c r="E1087" s="515">
        <v>3</v>
      </c>
      <c r="F1087" s="518" t="s">
        <v>1854</v>
      </c>
      <c r="G1087" s="515" t="s">
        <v>3807</v>
      </c>
      <c r="H1087" s="514"/>
      <c r="I1087" s="515"/>
      <c r="J1087" s="515"/>
    </row>
    <row r="1088" spans="1:10" ht="13.8" thickBot="1">
      <c r="A1088" s="517"/>
      <c r="B1088" s="518" t="s">
        <v>12545</v>
      </c>
      <c r="C1088" s="516"/>
      <c r="D1088" s="514" t="s">
        <v>12544</v>
      </c>
      <c r="E1088" s="515"/>
      <c r="F1088" s="514"/>
      <c r="G1088" s="515" t="s">
        <v>3807</v>
      </c>
      <c r="H1088" s="514"/>
      <c r="I1088" s="515"/>
      <c r="J1088" s="515"/>
    </row>
    <row r="1089" spans="1:10" ht="13.8" thickBot="1">
      <c r="A1089" s="517"/>
      <c r="B1089" s="518" t="s">
        <v>12543</v>
      </c>
      <c r="C1089" s="516"/>
      <c r="D1089" s="514" t="s">
        <v>1502</v>
      </c>
      <c r="E1089" s="515"/>
      <c r="F1089" s="514"/>
      <c r="G1089" s="515" t="s">
        <v>3807</v>
      </c>
      <c r="H1089" s="514"/>
      <c r="I1089" s="515"/>
      <c r="J1089" s="515"/>
    </row>
    <row r="1090" spans="1:10" ht="13.8" thickBot="1">
      <c r="A1090" s="517"/>
      <c r="B1090" s="518" t="s">
        <v>12542</v>
      </c>
      <c r="C1090" s="516"/>
      <c r="D1090" s="514" t="s">
        <v>12541</v>
      </c>
      <c r="E1090" s="515">
        <v>7.1</v>
      </c>
      <c r="F1090" s="518" t="s">
        <v>614</v>
      </c>
      <c r="G1090" s="515" t="s">
        <v>3856</v>
      </c>
      <c r="H1090" s="514" t="s">
        <v>1226</v>
      </c>
      <c r="I1090" s="515">
        <v>2</v>
      </c>
      <c r="J1090" s="515">
        <v>10</v>
      </c>
    </row>
    <row r="1091" spans="1:10" ht="13.8" thickBot="1">
      <c r="A1091" s="517"/>
      <c r="B1091" s="518" t="s">
        <v>12540</v>
      </c>
      <c r="C1091" s="516"/>
      <c r="D1091" s="514" t="s">
        <v>12539</v>
      </c>
      <c r="E1091" s="515">
        <v>7</v>
      </c>
      <c r="F1091" s="518" t="s">
        <v>614</v>
      </c>
      <c r="G1091" s="515" t="s">
        <v>3856</v>
      </c>
      <c r="H1091" s="514"/>
      <c r="I1091" s="515"/>
      <c r="J1091" s="515">
        <v>1</v>
      </c>
    </row>
    <row r="1092" spans="1:10" ht="13.8" thickBot="1">
      <c r="A1092" s="517"/>
      <c r="B1092" s="518" t="s">
        <v>12538</v>
      </c>
      <c r="C1092" s="516"/>
      <c r="D1092" s="514" t="s">
        <v>12537</v>
      </c>
      <c r="E1092" s="515">
        <v>6.75</v>
      </c>
      <c r="F1092" s="518" t="s">
        <v>614</v>
      </c>
      <c r="G1092" s="515" t="s">
        <v>3856</v>
      </c>
      <c r="H1092" s="514" t="s">
        <v>1226</v>
      </c>
      <c r="I1092" s="515"/>
      <c r="J1092" s="515">
        <v>6</v>
      </c>
    </row>
    <row r="1093" spans="1:10" ht="13.8" thickBot="1">
      <c r="A1093" s="517"/>
      <c r="B1093" s="518" t="s">
        <v>12536</v>
      </c>
      <c r="C1093" s="516"/>
      <c r="D1093" s="514" t="s">
        <v>12535</v>
      </c>
      <c r="E1093" s="515">
        <v>6.75</v>
      </c>
      <c r="F1093" s="518" t="s">
        <v>614</v>
      </c>
      <c r="G1093" s="515" t="s">
        <v>3856</v>
      </c>
      <c r="H1093" s="514" t="s">
        <v>1226</v>
      </c>
      <c r="I1093" s="515"/>
      <c r="J1093" s="515">
        <v>5</v>
      </c>
    </row>
    <row r="1094" spans="1:10" ht="13.8" thickBot="1">
      <c r="A1094" s="517"/>
      <c r="B1094" s="518" t="s">
        <v>12534</v>
      </c>
      <c r="C1094" s="516"/>
      <c r="D1094" s="514" t="s">
        <v>12533</v>
      </c>
      <c r="E1094" s="515">
        <v>6.75</v>
      </c>
      <c r="F1094" s="518" t="s">
        <v>614</v>
      </c>
      <c r="G1094" s="515" t="s">
        <v>3856</v>
      </c>
      <c r="H1094" s="514" t="s">
        <v>1226</v>
      </c>
      <c r="I1094" s="515"/>
      <c r="J1094" s="515">
        <v>5</v>
      </c>
    </row>
    <row r="1095" spans="1:10" ht="13.8" thickBot="1">
      <c r="A1095" s="517"/>
      <c r="B1095" s="518" t="s">
        <v>12532</v>
      </c>
      <c r="C1095" s="516"/>
      <c r="D1095" s="519" t="s">
        <v>12531</v>
      </c>
      <c r="E1095" s="515">
        <v>6.5</v>
      </c>
      <c r="F1095" s="518" t="s">
        <v>614</v>
      </c>
      <c r="G1095" s="515" t="s">
        <v>3856</v>
      </c>
      <c r="H1095" s="514" t="s">
        <v>1220</v>
      </c>
      <c r="I1095" s="515">
        <v>2</v>
      </c>
      <c r="J1095" s="515">
        <v>7</v>
      </c>
    </row>
    <row r="1096" spans="1:10" ht="13.8" thickBot="1">
      <c r="A1096" s="517"/>
      <c r="B1096" s="518" t="s">
        <v>12530</v>
      </c>
      <c r="C1096" s="516"/>
      <c r="D1096" s="514" t="s">
        <v>1507</v>
      </c>
      <c r="E1096" s="515">
        <v>6.5</v>
      </c>
      <c r="F1096" s="514"/>
      <c r="G1096" s="515" t="s">
        <v>3856</v>
      </c>
      <c r="H1096" s="514"/>
      <c r="I1096" s="515"/>
      <c r="J1096" s="515">
        <v>1</v>
      </c>
    </row>
    <row r="1097" spans="1:10" ht="13.8" thickBot="1">
      <c r="A1097" s="517"/>
      <c r="B1097" s="518" t="s">
        <v>12529</v>
      </c>
      <c r="C1097" s="516"/>
      <c r="D1097" s="514" t="s">
        <v>12528</v>
      </c>
      <c r="E1097" s="515">
        <v>6.5</v>
      </c>
      <c r="F1097" s="514"/>
      <c r="G1097" s="515" t="s">
        <v>3856</v>
      </c>
      <c r="H1097" s="514"/>
      <c r="I1097" s="515"/>
      <c r="J1097" s="515"/>
    </row>
    <row r="1098" spans="1:10" ht="13.8" thickBot="1">
      <c r="A1098" s="517"/>
      <c r="B1098" s="518" t="s">
        <v>12527</v>
      </c>
      <c r="C1098" s="516"/>
      <c r="D1098" s="519" t="s">
        <v>12526</v>
      </c>
      <c r="E1098" s="515">
        <v>6.4</v>
      </c>
      <c r="F1098" s="518" t="s">
        <v>614</v>
      </c>
      <c r="G1098" s="515" t="s">
        <v>3856</v>
      </c>
      <c r="H1098" s="514" t="s">
        <v>1251</v>
      </c>
      <c r="I1098" s="515"/>
      <c r="J1098" s="515">
        <v>9</v>
      </c>
    </row>
    <row r="1099" spans="1:10" ht="13.8" thickBot="1">
      <c r="A1099" s="517"/>
      <c r="B1099" s="518" t="s">
        <v>12525</v>
      </c>
      <c r="C1099" s="516"/>
      <c r="D1099" s="514" t="s">
        <v>12524</v>
      </c>
      <c r="E1099" s="515">
        <v>6.3</v>
      </c>
      <c r="F1099" s="518" t="s">
        <v>614</v>
      </c>
      <c r="G1099" s="515" t="s">
        <v>3856</v>
      </c>
      <c r="H1099" s="514" t="s">
        <v>1226</v>
      </c>
      <c r="I1099" s="515"/>
      <c r="J1099" s="515">
        <v>8</v>
      </c>
    </row>
    <row r="1100" spans="1:10" ht="13.8" thickBot="1">
      <c r="A1100" s="517"/>
      <c r="B1100" s="518" t="s">
        <v>12523</v>
      </c>
      <c r="C1100" s="516"/>
      <c r="D1100" s="514" t="s">
        <v>12522</v>
      </c>
      <c r="E1100" s="515">
        <v>6.25</v>
      </c>
      <c r="F1100" s="518" t="s">
        <v>614</v>
      </c>
      <c r="G1100" s="515" t="s">
        <v>3856</v>
      </c>
      <c r="H1100" s="514" t="s">
        <v>1224</v>
      </c>
      <c r="I1100" s="522"/>
      <c r="J1100" s="522">
        <v>20</v>
      </c>
    </row>
    <row r="1101" spans="1:10" ht="13.8" thickBot="1">
      <c r="A1101" s="517"/>
      <c r="B1101" s="518" t="s">
        <v>12521</v>
      </c>
      <c r="C1101" s="516"/>
      <c r="D1101" s="514" t="s">
        <v>12520</v>
      </c>
      <c r="E1101" s="515">
        <v>6.25</v>
      </c>
      <c r="F1101" s="514"/>
      <c r="G1101" s="515" t="s">
        <v>3856</v>
      </c>
      <c r="H1101" s="514"/>
      <c r="I1101" s="515"/>
      <c r="J1101" s="515"/>
    </row>
    <row r="1102" spans="1:10" ht="13.8" thickBot="1">
      <c r="A1102" s="517"/>
      <c r="B1102" s="518" t="s">
        <v>12519</v>
      </c>
      <c r="C1102" s="516"/>
      <c r="D1102" s="514" t="s">
        <v>3855</v>
      </c>
      <c r="E1102" s="515">
        <v>6</v>
      </c>
      <c r="F1102" s="518" t="s">
        <v>614</v>
      </c>
      <c r="G1102" s="515" t="s">
        <v>3856</v>
      </c>
      <c r="H1102" s="514" t="s">
        <v>1251</v>
      </c>
      <c r="I1102" s="515"/>
      <c r="J1102" s="515">
        <v>7</v>
      </c>
    </row>
    <row r="1103" spans="1:10" ht="13.8" thickBot="1">
      <c r="A1103" s="517"/>
      <c r="B1103" s="518" t="s">
        <v>12518</v>
      </c>
      <c r="C1103" s="516"/>
      <c r="D1103" s="514" t="s">
        <v>12517</v>
      </c>
      <c r="E1103" s="515">
        <v>6</v>
      </c>
      <c r="F1103" s="518" t="s">
        <v>614</v>
      </c>
      <c r="G1103" s="515" t="s">
        <v>3856</v>
      </c>
      <c r="H1103" s="514" t="s">
        <v>1226</v>
      </c>
      <c r="I1103" s="515"/>
      <c r="J1103" s="515">
        <v>3</v>
      </c>
    </row>
    <row r="1104" spans="1:10" ht="13.8" thickBot="1">
      <c r="A1104" s="517"/>
      <c r="B1104" s="518" t="s">
        <v>12516</v>
      </c>
      <c r="C1104" s="516"/>
      <c r="D1104" s="514" t="s">
        <v>12515</v>
      </c>
      <c r="E1104" s="515">
        <v>6</v>
      </c>
      <c r="F1104" s="518" t="s">
        <v>614</v>
      </c>
      <c r="G1104" s="515" t="s">
        <v>3856</v>
      </c>
      <c r="H1104" s="514" t="s">
        <v>1224</v>
      </c>
      <c r="I1104" s="515"/>
      <c r="J1104" s="515">
        <v>4</v>
      </c>
    </row>
    <row r="1105" spans="1:10" ht="13.8" thickBot="1">
      <c r="A1105" s="517"/>
      <c r="B1105" s="518" t="s">
        <v>12514</v>
      </c>
      <c r="C1105" s="516"/>
      <c r="D1105" s="514" t="s">
        <v>12513</v>
      </c>
      <c r="E1105" s="515">
        <v>6</v>
      </c>
      <c r="F1105" s="518" t="s">
        <v>614</v>
      </c>
      <c r="G1105" s="515" t="s">
        <v>3856</v>
      </c>
      <c r="H1105" s="514" t="s">
        <v>1224</v>
      </c>
      <c r="I1105" s="515"/>
      <c r="J1105" s="515">
        <v>1</v>
      </c>
    </row>
    <row r="1106" spans="1:10" ht="13.8" thickBot="1">
      <c r="A1106" s="517"/>
      <c r="B1106" s="518" t="s">
        <v>12512</v>
      </c>
      <c r="C1106" s="516"/>
      <c r="D1106" s="514" t="s">
        <v>12511</v>
      </c>
      <c r="E1106" s="515">
        <v>6</v>
      </c>
      <c r="F1106" s="518" t="s">
        <v>614</v>
      </c>
      <c r="G1106" s="515" t="s">
        <v>3856</v>
      </c>
      <c r="H1106" s="514"/>
      <c r="I1106" s="515"/>
      <c r="J1106" s="515">
        <v>1</v>
      </c>
    </row>
    <row r="1107" spans="1:10" ht="13.8" thickBot="1">
      <c r="A1107" s="517"/>
      <c r="B1107" s="518" t="s">
        <v>12510</v>
      </c>
      <c r="C1107" s="516"/>
      <c r="D1107" s="514" t="s">
        <v>12509</v>
      </c>
      <c r="E1107" s="515">
        <v>5.5</v>
      </c>
      <c r="F1107" s="518" t="s">
        <v>151</v>
      </c>
      <c r="G1107" s="515" t="s">
        <v>3856</v>
      </c>
      <c r="H1107" s="514" t="s">
        <v>1224</v>
      </c>
      <c r="I1107" s="515"/>
      <c r="J1107" s="515">
        <v>4</v>
      </c>
    </row>
    <row r="1108" spans="1:10" ht="13.8" thickBot="1">
      <c r="A1108" s="517"/>
      <c r="B1108" s="518" t="s">
        <v>12508</v>
      </c>
      <c r="C1108" s="516"/>
      <c r="D1108" s="514" t="s">
        <v>12507</v>
      </c>
      <c r="E1108" s="515">
        <v>5</v>
      </c>
      <c r="F1108" s="518" t="s">
        <v>614</v>
      </c>
      <c r="G1108" s="515" t="s">
        <v>3856</v>
      </c>
      <c r="H1108" s="514" t="s">
        <v>1226</v>
      </c>
      <c r="I1108" s="515"/>
      <c r="J1108" s="515">
        <v>2</v>
      </c>
    </row>
    <row r="1109" spans="1:10" ht="13.8" thickBot="1">
      <c r="A1109" s="517"/>
      <c r="B1109" s="518" t="s">
        <v>12506</v>
      </c>
      <c r="C1109" s="516"/>
      <c r="D1109" s="514" t="s">
        <v>12505</v>
      </c>
      <c r="E1109" s="515">
        <v>5</v>
      </c>
      <c r="F1109" s="518" t="s">
        <v>614</v>
      </c>
      <c r="G1109" s="515" t="s">
        <v>3856</v>
      </c>
      <c r="H1109" s="514" t="s">
        <v>1226</v>
      </c>
      <c r="I1109" s="515"/>
      <c r="J1109" s="515">
        <v>2</v>
      </c>
    </row>
    <row r="1110" spans="1:10" ht="13.8" thickBot="1">
      <c r="A1110" s="517"/>
      <c r="B1110" s="518" t="s">
        <v>12504</v>
      </c>
      <c r="C1110" s="516"/>
      <c r="D1110" s="514" t="s">
        <v>12503</v>
      </c>
      <c r="E1110" s="515">
        <v>5</v>
      </c>
      <c r="F1110" s="514"/>
      <c r="G1110" s="515" t="s">
        <v>3856</v>
      </c>
      <c r="H1110" s="514" t="s">
        <v>1226</v>
      </c>
      <c r="I1110" s="515"/>
      <c r="J1110" s="515">
        <v>2</v>
      </c>
    </row>
    <row r="1111" spans="1:10" ht="13.8" thickBot="1">
      <c r="A1111" s="517"/>
      <c r="B1111" s="518" t="s">
        <v>12502</v>
      </c>
      <c r="C1111" s="516"/>
      <c r="D1111" s="514" t="s">
        <v>12501</v>
      </c>
      <c r="E1111" s="515">
        <v>5</v>
      </c>
      <c r="F1111" s="518" t="s">
        <v>614</v>
      </c>
      <c r="G1111" s="515" t="s">
        <v>3856</v>
      </c>
      <c r="H1111" s="514"/>
      <c r="I1111" s="515"/>
      <c r="J1111" s="515">
        <v>1</v>
      </c>
    </row>
    <row r="1112" spans="1:10" ht="13.8" thickBot="1">
      <c r="A1112" s="517"/>
      <c r="B1112" s="518" t="s">
        <v>12500</v>
      </c>
      <c r="C1112" s="516"/>
      <c r="D1112" s="514" t="s">
        <v>1507</v>
      </c>
      <c r="E1112" s="515">
        <v>5</v>
      </c>
      <c r="F1112" s="518" t="s">
        <v>1854</v>
      </c>
      <c r="G1112" s="515" t="s">
        <v>3856</v>
      </c>
      <c r="H1112" s="514"/>
      <c r="I1112" s="515"/>
      <c r="J1112" s="515">
        <v>1</v>
      </c>
    </row>
    <row r="1113" spans="1:10" ht="13.8" thickBot="1">
      <c r="A1113" s="517"/>
      <c r="B1113" s="518" t="s">
        <v>12499</v>
      </c>
      <c r="C1113" s="516"/>
      <c r="D1113" s="514" t="s">
        <v>12498</v>
      </c>
      <c r="E1113" s="515">
        <v>4</v>
      </c>
      <c r="F1113" s="518" t="s">
        <v>1854</v>
      </c>
      <c r="G1113" s="515" t="s">
        <v>3856</v>
      </c>
      <c r="H1113" s="514" t="s">
        <v>1226</v>
      </c>
      <c r="I1113" s="515"/>
      <c r="J1113" s="515">
        <v>2</v>
      </c>
    </row>
    <row r="1114" spans="1:10" ht="13.8" thickBot="1">
      <c r="A1114" s="517"/>
      <c r="B1114" s="518" t="s">
        <v>12497</v>
      </c>
      <c r="C1114" s="516"/>
      <c r="D1114" s="514" t="s">
        <v>1507</v>
      </c>
      <c r="E1114" s="515">
        <v>3.5</v>
      </c>
      <c r="F1114" s="514"/>
      <c r="G1114" s="515" t="s">
        <v>3856</v>
      </c>
      <c r="H1114" s="514"/>
      <c r="I1114" s="515"/>
      <c r="J1114" s="515">
        <v>2</v>
      </c>
    </row>
    <row r="1115" spans="1:10" ht="13.8" thickBot="1">
      <c r="A1115" s="517"/>
      <c r="B1115" s="518" t="s">
        <v>12496</v>
      </c>
      <c r="C1115" s="516"/>
      <c r="D1115" s="514" t="s">
        <v>1507</v>
      </c>
      <c r="E1115" s="515">
        <v>3</v>
      </c>
      <c r="F1115" s="518" t="s">
        <v>1854</v>
      </c>
      <c r="G1115" s="515" t="s">
        <v>3856</v>
      </c>
      <c r="H1115" s="514" t="s">
        <v>1226</v>
      </c>
      <c r="I1115" s="515"/>
      <c r="J1115" s="515">
        <v>2</v>
      </c>
    </row>
    <row r="1116" spans="1:10" ht="13.8" thickBot="1">
      <c r="A1116" s="517"/>
      <c r="B1116" s="518" t="s">
        <v>12495</v>
      </c>
      <c r="C1116" s="516"/>
      <c r="D1116" s="514" t="s">
        <v>1507</v>
      </c>
      <c r="E1116" s="515"/>
      <c r="F1116" s="514"/>
      <c r="G1116" s="515" t="s">
        <v>3856</v>
      </c>
      <c r="H1116" s="514"/>
      <c r="I1116" s="515"/>
      <c r="J1116" s="515"/>
    </row>
    <row r="1117" spans="1:10" ht="13.8" thickBot="1">
      <c r="A1117" s="517"/>
      <c r="B1117" s="518" t="s">
        <v>12494</v>
      </c>
      <c r="C1117" s="516"/>
      <c r="D1117" s="514" t="s">
        <v>3908</v>
      </c>
      <c r="E1117" s="515">
        <v>7</v>
      </c>
      <c r="F1117" s="514"/>
      <c r="G1117" s="515" t="s">
        <v>3903</v>
      </c>
      <c r="H1117" s="514"/>
      <c r="I1117" s="515"/>
      <c r="J1117" s="515">
        <v>1</v>
      </c>
    </row>
    <row r="1118" spans="1:10" ht="13.8" thickBot="1">
      <c r="A1118" s="517"/>
      <c r="B1118" s="518" t="s">
        <v>12493</v>
      </c>
      <c r="C1118" s="516"/>
      <c r="D1118" s="514" t="s">
        <v>3908</v>
      </c>
      <c r="E1118" s="515">
        <v>6.6</v>
      </c>
      <c r="F1118" s="518" t="s">
        <v>614</v>
      </c>
      <c r="G1118" s="515" t="s">
        <v>3903</v>
      </c>
      <c r="H1118" s="514" t="s">
        <v>1251</v>
      </c>
      <c r="I1118" s="515"/>
      <c r="J1118" s="515">
        <v>4</v>
      </c>
    </row>
    <row r="1119" spans="1:10" ht="13.8" thickBot="1">
      <c r="A1119" s="517"/>
      <c r="B1119" s="518" t="s">
        <v>12492</v>
      </c>
      <c r="C1119" s="516"/>
      <c r="D1119" s="514" t="s">
        <v>3908</v>
      </c>
      <c r="E1119" s="515">
        <v>6.5</v>
      </c>
      <c r="F1119" s="518" t="s">
        <v>614</v>
      </c>
      <c r="G1119" s="515" t="s">
        <v>3903</v>
      </c>
      <c r="H1119" s="514" t="s">
        <v>1226</v>
      </c>
      <c r="I1119" s="515">
        <v>1</v>
      </c>
      <c r="J1119" s="515">
        <v>9</v>
      </c>
    </row>
    <row r="1120" spans="1:10" ht="13.8" thickBot="1">
      <c r="A1120" s="517"/>
      <c r="B1120" s="518" t="s">
        <v>12491</v>
      </c>
      <c r="C1120" s="516"/>
      <c r="D1120" s="514" t="s">
        <v>12490</v>
      </c>
      <c r="E1120" s="515">
        <v>6.5</v>
      </c>
      <c r="F1120" s="514"/>
      <c r="G1120" s="515" t="s">
        <v>3903</v>
      </c>
      <c r="H1120" s="514" t="s">
        <v>1224</v>
      </c>
      <c r="I1120" s="515"/>
      <c r="J1120" s="515">
        <v>4</v>
      </c>
    </row>
    <row r="1121" spans="1:10" ht="13.8" thickBot="1">
      <c r="A1121" s="517"/>
      <c r="B1121" s="518" t="s">
        <v>12489</v>
      </c>
      <c r="C1121" s="516"/>
      <c r="D1121" s="514" t="s">
        <v>12488</v>
      </c>
      <c r="E1121" s="515">
        <v>6.5</v>
      </c>
      <c r="F1121" s="518" t="s">
        <v>614</v>
      </c>
      <c r="G1121" s="515" t="s">
        <v>3903</v>
      </c>
      <c r="H1121" s="514"/>
      <c r="I1121" s="515"/>
      <c r="J1121" s="515">
        <v>1</v>
      </c>
    </row>
    <row r="1122" spans="1:10" ht="13.8" thickBot="1">
      <c r="A1122" s="517"/>
      <c r="B1122" s="518" t="s">
        <v>12487</v>
      </c>
      <c r="C1122" s="516"/>
      <c r="D1122" s="514" t="s">
        <v>12486</v>
      </c>
      <c r="E1122" s="515">
        <v>6.25</v>
      </c>
      <c r="F1122" s="518" t="s">
        <v>614</v>
      </c>
      <c r="G1122" s="515" t="s">
        <v>3903</v>
      </c>
      <c r="H1122" s="514" t="s">
        <v>1224</v>
      </c>
      <c r="I1122" s="515"/>
      <c r="J1122" s="515">
        <v>2</v>
      </c>
    </row>
    <row r="1123" spans="1:10" ht="13.8" thickBot="1">
      <c r="A1123" s="517"/>
      <c r="B1123" s="518" t="s">
        <v>12485</v>
      </c>
      <c r="C1123" s="516"/>
      <c r="D1123" s="519" t="s">
        <v>1514</v>
      </c>
      <c r="E1123" s="515">
        <v>6.7</v>
      </c>
      <c r="F1123" s="518" t="s">
        <v>614</v>
      </c>
      <c r="G1123" s="515" t="s">
        <v>3932</v>
      </c>
      <c r="H1123" s="514" t="s">
        <v>1251</v>
      </c>
      <c r="I1123" s="515"/>
      <c r="J1123" s="515">
        <v>11</v>
      </c>
    </row>
    <row r="1124" spans="1:10" ht="13.8" thickBot="1">
      <c r="A1124" s="517"/>
      <c r="B1124" s="518" t="s">
        <v>12484</v>
      </c>
      <c r="C1124" s="516"/>
      <c r="D1124" s="514" t="s">
        <v>12483</v>
      </c>
      <c r="E1124" s="515">
        <v>6.7</v>
      </c>
      <c r="F1124" s="518" t="s">
        <v>614</v>
      </c>
      <c r="G1124" s="515" t="s">
        <v>3932</v>
      </c>
      <c r="H1124" s="514"/>
      <c r="I1124" s="515">
        <v>5</v>
      </c>
      <c r="J1124" s="515">
        <v>9</v>
      </c>
    </row>
    <row r="1125" spans="1:10" ht="13.8" thickBot="1">
      <c r="A1125" s="517"/>
      <c r="B1125" s="518" t="s">
        <v>12482</v>
      </c>
      <c r="C1125" s="516"/>
      <c r="D1125" s="514" t="s">
        <v>12481</v>
      </c>
      <c r="E1125" s="515">
        <v>5.5</v>
      </c>
      <c r="F1125" s="514"/>
      <c r="G1125" s="515" t="s">
        <v>3932</v>
      </c>
      <c r="H1125" s="514" t="s">
        <v>1226</v>
      </c>
      <c r="I1125" s="515">
        <v>1</v>
      </c>
      <c r="J1125" s="515">
        <v>1</v>
      </c>
    </row>
    <row r="1126" spans="1:10" ht="13.8" thickBot="1">
      <c r="A1126" s="517"/>
      <c r="B1126" s="518" t="s">
        <v>12480</v>
      </c>
      <c r="C1126" s="516"/>
      <c r="D1126" s="514" t="s">
        <v>12479</v>
      </c>
      <c r="E1126" s="515">
        <v>5</v>
      </c>
      <c r="F1126" s="518" t="s">
        <v>614</v>
      </c>
      <c r="G1126" s="515" t="s">
        <v>3932</v>
      </c>
      <c r="H1126" s="514" t="s">
        <v>1220</v>
      </c>
      <c r="I1126" s="522">
        <v>1</v>
      </c>
      <c r="J1126" s="522">
        <v>2</v>
      </c>
    </row>
    <row r="1127" spans="1:10" ht="13.8" thickBot="1">
      <c r="A1127" s="517"/>
      <c r="B1127" s="518" t="s">
        <v>12478</v>
      </c>
      <c r="C1127" s="516"/>
      <c r="D1127" s="514" t="s">
        <v>12477</v>
      </c>
      <c r="E1127" s="515">
        <v>7.25</v>
      </c>
      <c r="F1127" s="518" t="s">
        <v>1854</v>
      </c>
      <c r="G1127" s="515" t="s">
        <v>3957</v>
      </c>
      <c r="H1127" s="514"/>
      <c r="I1127" s="515"/>
      <c r="J1127" s="515">
        <v>1</v>
      </c>
    </row>
    <row r="1128" spans="1:10" ht="13.8" thickBot="1">
      <c r="A1128" s="517"/>
      <c r="B1128" s="518" t="s">
        <v>12476</v>
      </c>
      <c r="C1128" s="516"/>
      <c r="D1128" s="514" t="s">
        <v>12475</v>
      </c>
      <c r="E1128" s="515">
        <v>7</v>
      </c>
      <c r="F1128" s="518" t="s">
        <v>614</v>
      </c>
      <c r="G1128" s="515" t="s">
        <v>3957</v>
      </c>
      <c r="H1128" s="514" t="s">
        <v>1251</v>
      </c>
      <c r="I1128" s="515">
        <v>1</v>
      </c>
      <c r="J1128" s="515">
        <v>3</v>
      </c>
    </row>
    <row r="1129" spans="1:10" ht="13.8" thickBot="1">
      <c r="A1129" s="517"/>
      <c r="B1129" s="518" t="s">
        <v>12474</v>
      </c>
      <c r="C1129" s="516"/>
      <c r="D1129" s="514" t="s">
        <v>1519</v>
      </c>
      <c r="E1129" s="515">
        <v>6.5</v>
      </c>
      <c r="F1129" s="518" t="s">
        <v>614</v>
      </c>
      <c r="G1129" s="515" t="s">
        <v>3957</v>
      </c>
      <c r="H1129" s="514" t="s">
        <v>1226</v>
      </c>
      <c r="I1129" s="515"/>
      <c r="J1129" s="515">
        <v>3</v>
      </c>
    </row>
    <row r="1130" spans="1:10" ht="13.8" thickBot="1">
      <c r="A1130" s="517"/>
      <c r="B1130" s="518" t="s">
        <v>12473</v>
      </c>
      <c r="C1130" s="516"/>
      <c r="D1130" s="514" t="s">
        <v>1525</v>
      </c>
      <c r="E1130" s="515">
        <v>7</v>
      </c>
      <c r="F1130" s="518" t="s">
        <v>614</v>
      </c>
      <c r="G1130" s="515" t="s">
        <v>3996</v>
      </c>
      <c r="H1130" s="514" t="s">
        <v>1226</v>
      </c>
      <c r="I1130" s="522">
        <v>1</v>
      </c>
      <c r="J1130" s="522">
        <v>5</v>
      </c>
    </row>
    <row r="1131" spans="1:10" ht="13.8" thickBot="1">
      <c r="A1131" s="517"/>
      <c r="B1131" s="518" t="s">
        <v>12472</v>
      </c>
      <c r="C1131" s="516"/>
      <c r="D1131" s="514" t="s">
        <v>12471</v>
      </c>
      <c r="E1131" s="515">
        <v>6.75</v>
      </c>
      <c r="F1131" s="518" t="s">
        <v>614</v>
      </c>
      <c r="G1131" s="515" t="s">
        <v>3996</v>
      </c>
      <c r="H1131" s="514" t="s">
        <v>1220</v>
      </c>
      <c r="I1131" s="515"/>
      <c r="J1131" s="515">
        <v>2</v>
      </c>
    </row>
    <row r="1132" spans="1:10" ht="13.8" thickBot="1">
      <c r="A1132" s="517"/>
      <c r="B1132" s="518" t="s">
        <v>12470</v>
      </c>
      <c r="C1132" s="516"/>
      <c r="D1132" s="514" t="s">
        <v>12469</v>
      </c>
      <c r="E1132" s="515">
        <v>6.6</v>
      </c>
      <c r="F1132" s="518" t="s">
        <v>614</v>
      </c>
      <c r="G1132" s="515" t="s">
        <v>3996</v>
      </c>
      <c r="H1132" s="514" t="s">
        <v>1226</v>
      </c>
      <c r="I1132" s="515">
        <v>2</v>
      </c>
      <c r="J1132" s="515">
        <v>5</v>
      </c>
    </row>
    <row r="1133" spans="1:10" ht="13.8" thickBot="1">
      <c r="A1133" s="517"/>
      <c r="B1133" s="518" t="s">
        <v>12468</v>
      </c>
      <c r="C1133" s="516"/>
      <c r="D1133" s="514" t="s">
        <v>1525</v>
      </c>
      <c r="E1133" s="515">
        <v>6.4</v>
      </c>
      <c r="F1133" s="518" t="s">
        <v>614</v>
      </c>
      <c r="G1133" s="515" t="s">
        <v>3996</v>
      </c>
      <c r="H1133" s="514" t="s">
        <v>1224</v>
      </c>
      <c r="I1133" s="515"/>
      <c r="J1133" s="515">
        <v>7</v>
      </c>
    </row>
    <row r="1134" spans="1:10" ht="13.8" thickBot="1">
      <c r="A1134" s="517"/>
      <c r="B1134" s="518" t="s">
        <v>12467</v>
      </c>
      <c r="C1134" s="516"/>
      <c r="D1134" s="514" t="s">
        <v>1525</v>
      </c>
      <c r="E1134" s="515">
        <v>6.3</v>
      </c>
      <c r="F1134" s="518" t="s">
        <v>1854</v>
      </c>
      <c r="G1134" s="515" t="s">
        <v>3996</v>
      </c>
      <c r="H1134" s="514" t="s">
        <v>1251</v>
      </c>
      <c r="I1134" s="515"/>
      <c r="J1134" s="515">
        <v>5</v>
      </c>
    </row>
    <row r="1135" spans="1:10" ht="13.8" thickBot="1">
      <c r="A1135" s="517"/>
      <c r="B1135" s="518" t="s">
        <v>12466</v>
      </c>
      <c r="C1135" s="516"/>
      <c r="D1135" s="514" t="s">
        <v>12465</v>
      </c>
      <c r="E1135" s="515">
        <v>6</v>
      </c>
      <c r="F1135" s="514"/>
      <c r="G1135" s="515" t="s">
        <v>3996</v>
      </c>
      <c r="H1135" s="514"/>
      <c r="I1135" s="515"/>
      <c r="J1135" s="515">
        <v>1</v>
      </c>
    </row>
    <row r="1136" spans="1:10" ht="13.8" thickBot="1">
      <c r="A1136" s="517"/>
      <c r="B1136" s="518" t="s">
        <v>12464</v>
      </c>
      <c r="C1136" s="516"/>
      <c r="D1136" s="514" t="s">
        <v>4025</v>
      </c>
      <c r="E1136" s="515">
        <v>5.5</v>
      </c>
      <c r="F1136" s="518" t="s">
        <v>614</v>
      </c>
      <c r="G1136" s="515" t="s">
        <v>3996</v>
      </c>
      <c r="H1136" s="514" t="s">
        <v>1224</v>
      </c>
      <c r="I1136" s="515"/>
      <c r="J1136" s="515">
        <v>4</v>
      </c>
    </row>
    <row r="1137" spans="1:10" ht="13.8" thickBot="1">
      <c r="A1137" s="517"/>
      <c r="B1137" s="518" t="s">
        <v>12463</v>
      </c>
      <c r="C1137" s="516"/>
      <c r="D1137" s="514" t="s">
        <v>12462</v>
      </c>
      <c r="E1137" s="515">
        <v>5</v>
      </c>
      <c r="F1137" s="518" t="s">
        <v>614</v>
      </c>
      <c r="G1137" s="515" t="s">
        <v>3996</v>
      </c>
      <c r="H1137" s="514" t="s">
        <v>1226</v>
      </c>
      <c r="I1137" s="522"/>
      <c r="J1137" s="522">
        <v>2</v>
      </c>
    </row>
    <row r="1138" spans="1:10" ht="13.8" thickBot="1">
      <c r="A1138" s="517"/>
      <c r="B1138" s="518" t="s">
        <v>12461</v>
      </c>
      <c r="C1138" s="516"/>
      <c r="D1138" s="514" t="s">
        <v>1525</v>
      </c>
      <c r="E1138" s="515">
        <v>5</v>
      </c>
      <c r="F1138" s="518" t="s">
        <v>1854</v>
      </c>
      <c r="G1138" s="515" t="s">
        <v>3996</v>
      </c>
      <c r="H1138" s="514"/>
      <c r="I1138" s="515"/>
      <c r="J1138" s="515"/>
    </row>
    <row r="1139" spans="1:10" ht="13.8" thickBot="1">
      <c r="A1139" s="517"/>
      <c r="B1139" s="518" t="s">
        <v>12460</v>
      </c>
      <c r="C1139" s="516"/>
      <c r="D1139" s="514" t="s">
        <v>1537</v>
      </c>
      <c r="E1139" s="515">
        <v>7.75</v>
      </c>
      <c r="F1139" s="518" t="s">
        <v>614</v>
      </c>
      <c r="G1139" s="515" t="s">
        <v>4067</v>
      </c>
      <c r="H1139" s="514"/>
      <c r="I1139" s="515">
        <v>1</v>
      </c>
      <c r="J1139" s="515">
        <v>3</v>
      </c>
    </row>
    <row r="1140" spans="1:10" ht="13.8" thickBot="1">
      <c r="A1140" s="517"/>
      <c r="B1140" s="518" t="s">
        <v>12459</v>
      </c>
      <c r="C1140" s="516"/>
      <c r="D1140" s="514" t="s">
        <v>12458</v>
      </c>
      <c r="E1140" s="515">
        <v>7.5</v>
      </c>
      <c r="F1140" s="518" t="s">
        <v>614</v>
      </c>
      <c r="G1140" s="515" t="s">
        <v>4067</v>
      </c>
      <c r="H1140" s="514" t="s">
        <v>1226</v>
      </c>
      <c r="I1140" s="515"/>
      <c r="J1140" s="515">
        <v>2</v>
      </c>
    </row>
    <row r="1141" spans="1:10" ht="13.8" thickBot="1">
      <c r="A1141" s="517"/>
      <c r="B1141" s="518" t="s">
        <v>12457</v>
      </c>
      <c r="C1141" s="516"/>
      <c r="D1141" s="519" t="s">
        <v>12456</v>
      </c>
      <c r="E1141" s="515">
        <v>7.5</v>
      </c>
      <c r="F1141" s="518" t="s">
        <v>614</v>
      </c>
      <c r="G1141" s="515" t="s">
        <v>4067</v>
      </c>
      <c r="H1141" s="514" t="s">
        <v>1224</v>
      </c>
      <c r="I1141" s="515"/>
      <c r="J1141" s="515">
        <v>1</v>
      </c>
    </row>
    <row r="1142" spans="1:10" ht="13.8" thickBot="1">
      <c r="A1142" s="517"/>
      <c r="B1142" s="518" t="s">
        <v>12455</v>
      </c>
      <c r="C1142" s="516"/>
      <c r="D1142" s="514" t="s">
        <v>12454</v>
      </c>
      <c r="E1142" s="515">
        <v>7.5</v>
      </c>
      <c r="F1142" s="518" t="s">
        <v>1854</v>
      </c>
      <c r="G1142" s="515" t="s">
        <v>4067</v>
      </c>
      <c r="H1142" s="514"/>
      <c r="I1142" s="515"/>
      <c r="J1142" s="515"/>
    </row>
    <row r="1143" spans="1:10" ht="13.8" thickBot="1">
      <c r="A1143" s="517"/>
      <c r="B1143" s="518" t="s">
        <v>12453</v>
      </c>
      <c r="C1143" s="516"/>
      <c r="D1143" s="519" t="s">
        <v>12452</v>
      </c>
      <c r="E1143" s="515">
        <v>7.25</v>
      </c>
      <c r="F1143" s="518" t="s">
        <v>614</v>
      </c>
      <c r="G1143" s="515" t="s">
        <v>4067</v>
      </c>
      <c r="H1143" s="514" t="s">
        <v>1229</v>
      </c>
      <c r="I1143" s="515"/>
      <c r="J1143" s="515">
        <v>3</v>
      </c>
    </row>
    <row r="1144" spans="1:10" ht="13.8" thickBot="1">
      <c r="A1144" s="517"/>
      <c r="B1144" s="518" t="s">
        <v>12451</v>
      </c>
      <c r="C1144" s="516"/>
      <c r="D1144" s="514" t="s">
        <v>1537</v>
      </c>
      <c r="E1144" s="515">
        <v>7.25</v>
      </c>
      <c r="F1144" s="518" t="s">
        <v>1854</v>
      </c>
      <c r="G1144" s="515" t="s">
        <v>4067</v>
      </c>
      <c r="H1144" s="514" t="s">
        <v>1226</v>
      </c>
      <c r="I1144" s="515">
        <v>2</v>
      </c>
      <c r="J1144" s="515">
        <v>6</v>
      </c>
    </row>
    <row r="1145" spans="1:10" ht="13.8" thickBot="1">
      <c r="A1145" s="517"/>
      <c r="B1145" s="518" t="s">
        <v>12450</v>
      </c>
      <c r="C1145" s="516"/>
      <c r="D1145" s="514" t="s">
        <v>12449</v>
      </c>
      <c r="E1145" s="515">
        <v>7</v>
      </c>
      <c r="F1145" s="518" t="s">
        <v>614</v>
      </c>
      <c r="G1145" s="515" t="s">
        <v>4067</v>
      </c>
      <c r="H1145" s="514" t="s">
        <v>1251</v>
      </c>
      <c r="I1145" s="515">
        <v>1</v>
      </c>
      <c r="J1145" s="515">
        <v>10</v>
      </c>
    </row>
    <row r="1146" spans="1:10" ht="13.8" thickBot="1">
      <c r="A1146" s="517"/>
      <c r="B1146" s="518" t="s">
        <v>12448</v>
      </c>
      <c r="C1146" s="516"/>
      <c r="D1146" s="514" t="s">
        <v>12447</v>
      </c>
      <c r="E1146" s="515">
        <v>6.8</v>
      </c>
      <c r="F1146" s="518" t="s">
        <v>614</v>
      </c>
      <c r="G1146" s="515" t="s">
        <v>4067</v>
      </c>
      <c r="H1146" s="514" t="s">
        <v>1226</v>
      </c>
      <c r="I1146" s="515"/>
      <c r="J1146" s="515">
        <v>5</v>
      </c>
    </row>
    <row r="1147" spans="1:10" ht="13.8" thickBot="1">
      <c r="A1147" s="517"/>
      <c r="B1147" s="518" t="s">
        <v>12446</v>
      </c>
      <c r="C1147" s="516"/>
      <c r="D1147" s="514" t="s">
        <v>12445</v>
      </c>
      <c r="E1147" s="515">
        <v>6.25</v>
      </c>
      <c r="F1147" s="514"/>
      <c r="G1147" s="515" t="s">
        <v>4067</v>
      </c>
      <c r="H1147" s="514" t="s">
        <v>1226</v>
      </c>
      <c r="I1147" s="515"/>
      <c r="J1147" s="515">
        <v>1</v>
      </c>
    </row>
    <row r="1148" spans="1:10" ht="13.8" thickBot="1">
      <c r="A1148" s="517"/>
      <c r="B1148" s="518" t="s">
        <v>12444</v>
      </c>
      <c r="C1148" s="516"/>
      <c r="D1148" s="514" t="s">
        <v>12443</v>
      </c>
      <c r="E1148" s="515">
        <v>6</v>
      </c>
      <c r="F1148" s="518" t="s">
        <v>614</v>
      </c>
      <c r="G1148" s="515" t="s">
        <v>4067</v>
      </c>
      <c r="H1148" s="514" t="s">
        <v>1251</v>
      </c>
      <c r="I1148" s="515"/>
      <c r="J1148" s="515">
        <v>10</v>
      </c>
    </row>
    <row r="1149" spans="1:10" ht="13.8" thickBot="1">
      <c r="A1149" s="517"/>
      <c r="B1149" s="518" t="s">
        <v>12442</v>
      </c>
      <c r="C1149" s="516"/>
      <c r="D1149" s="514" t="s">
        <v>12441</v>
      </c>
      <c r="E1149" s="515">
        <v>6</v>
      </c>
      <c r="F1149" s="518" t="s">
        <v>614</v>
      </c>
      <c r="G1149" s="515" t="s">
        <v>4067</v>
      </c>
      <c r="H1149" s="514" t="s">
        <v>1226</v>
      </c>
      <c r="I1149" s="515"/>
      <c r="J1149" s="515">
        <v>7</v>
      </c>
    </row>
    <row r="1150" spans="1:10" ht="13.8" thickBot="1">
      <c r="A1150" s="517"/>
      <c r="B1150" s="518" t="s">
        <v>12440</v>
      </c>
      <c r="C1150" s="516"/>
      <c r="D1150" s="514" t="s">
        <v>1537</v>
      </c>
      <c r="E1150" s="515">
        <v>6</v>
      </c>
      <c r="F1150" s="518" t="s">
        <v>614</v>
      </c>
      <c r="G1150" s="515" t="s">
        <v>4067</v>
      </c>
      <c r="H1150" s="514"/>
      <c r="I1150" s="522"/>
      <c r="J1150" s="522">
        <v>4</v>
      </c>
    </row>
    <row r="1151" spans="1:10" ht="13.8" thickBot="1">
      <c r="A1151" s="517"/>
      <c r="B1151" s="518" t="s">
        <v>12439</v>
      </c>
      <c r="C1151" s="516"/>
      <c r="D1151" s="514" t="s">
        <v>12438</v>
      </c>
      <c r="E1151" s="515">
        <v>6</v>
      </c>
      <c r="F1151" s="514"/>
      <c r="G1151" s="515" t="s">
        <v>4067</v>
      </c>
      <c r="H1151" s="514"/>
      <c r="I1151" s="515"/>
      <c r="J1151" s="515">
        <v>1</v>
      </c>
    </row>
    <row r="1152" spans="1:10" ht="13.8" thickBot="1">
      <c r="A1152" s="517"/>
      <c r="B1152" s="518" t="s">
        <v>12437</v>
      </c>
      <c r="C1152" s="516"/>
      <c r="D1152" s="514" t="s">
        <v>1537</v>
      </c>
      <c r="E1152" s="515">
        <v>5.5</v>
      </c>
      <c r="F1152" s="518" t="s">
        <v>1854</v>
      </c>
      <c r="G1152" s="515" t="s">
        <v>4067</v>
      </c>
      <c r="H1152" s="514"/>
      <c r="I1152" s="515"/>
      <c r="J1152" s="515">
        <v>1</v>
      </c>
    </row>
    <row r="1153" spans="1:10" ht="13.8" thickBot="1">
      <c r="A1153" s="517"/>
      <c r="B1153" s="518" t="s">
        <v>12436</v>
      </c>
      <c r="C1153" s="516"/>
      <c r="D1153" s="514" t="s">
        <v>12435</v>
      </c>
      <c r="E1153" s="515">
        <v>5</v>
      </c>
      <c r="F1153" s="518" t="s">
        <v>614</v>
      </c>
      <c r="G1153" s="515" t="s">
        <v>4067</v>
      </c>
      <c r="H1153" s="514" t="s">
        <v>1226</v>
      </c>
      <c r="I1153" s="515"/>
      <c r="J1153" s="515">
        <v>1</v>
      </c>
    </row>
    <row r="1154" spans="1:10" ht="13.8" thickBot="1">
      <c r="A1154" s="517"/>
      <c r="B1154" s="518" t="s">
        <v>12434</v>
      </c>
      <c r="C1154" s="516"/>
      <c r="D1154" s="514" t="s">
        <v>1537</v>
      </c>
      <c r="E1154" s="515">
        <v>4</v>
      </c>
      <c r="F1154" s="518" t="s">
        <v>1854</v>
      </c>
      <c r="G1154" s="515" t="s">
        <v>4067</v>
      </c>
      <c r="H1154" s="514"/>
      <c r="I1154" s="515"/>
      <c r="J1154" s="515">
        <v>1</v>
      </c>
    </row>
    <row r="1155" spans="1:10" ht="13.8" thickBot="1">
      <c r="A1155" s="517"/>
      <c r="B1155" s="518" t="s">
        <v>12433</v>
      </c>
      <c r="C1155" s="516"/>
      <c r="D1155" s="514" t="s">
        <v>1537</v>
      </c>
      <c r="E1155" s="515"/>
      <c r="F1155" s="514"/>
      <c r="G1155" s="515" t="s">
        <v>4067</v>
      </c>
      <c r="H1155" s="514"/>
      <c r="I1155" s="515"/>
      <c r="J1155" s="515"/>
    </row>
    <row r="1156" spans="1:10" ht="13.8" thickBot="1">
      <c r="A1156" s="517"/>
      <c r="B1156" s="518" t="s">
        <v>12432</v>
      </c>
      <c r="C1156" s="516"/>
      <c r="D1156" s="514" t="s">
        <v>12431</v>
      </c>
      <c r="E1156" s="515">
        <v>7.75</v>
      </c>
      <c r="F1156" s="518" t="s">
        <v>614</v>
      </c>
      <c r="G1156" s="515" t="s">
        <v>4102</v>
      </c>
      <c r="H1156" s="514" t="s">
        <v>1226</v>
      </c>
      <c r="I1156" s="515">
        <v>4</v>
      </c>
      <c r="J1156" s="515">
        <v>8</v>
      </c>
    </row>
    <row r="1157" spans="1:10" ht="13.8" thickBot="1">
      <c r="A1157" s="517"/>
      <c r="B1157" s="518" t="s">
        <v>12430</v>
      </c>
      <c r="C1157" s="516"/>
      <c r="D1157" s="514" t="s">
        <v>12429</v>
      </c>
      <c r="E1157" s="515">
        <v>7.5</v>
      </c>
      <c r="F1157" s="518" t="s">
        <v>2223</v>
      </c>
      <c r="G1157" s="515" t="s">
        <v>4102</v>
      </c>
      <c r="H1157" s="514" t="s">
        <v>1226</v>
      </c>
      <c r="I1157" s="515">
        <v>1</v>
      </c>
      <c r="J1157" s="515">
        <v>2</v>
      </c>
    </row>
    <row r="1158" spans="1:10" ht="13.8" thickBot="1">
      <c r="A1158" s="517"/>
      <c r="B1158" s="518" t="s">
        <v>12428</v>
      </c>
      <c r="C1158" s="516"/>
      <c r="D1158" s="514" t="s">
        <v>12427</v>
      </c>
      <c r="E1158" s="515">
        <v>7</v>
      </c>
      <c r="F1158" s="518" t="s">
        <v>614</v>
      </c>
      <c r="G1158" s="515" t="s">
        <v>4102</v>
      </c>
      <c r="H1158" s="514"/>
      <c r="I1158" s="515"/>
      <c r="J1158" s="515">
        <v>1</v>
      </c>
    </row>
    <row r="1159" spans="1:10" ht="13.8" thickBot="1">
      <c r="A1159" s="517"/>
      <c r="B1159" s="518" t="s">
        <v>12426</v>
      </c>
      <c r="C1159" s="516"/>
      <c r="D1159" s="514" t="s">
        <v>12425</v>
      </c>
      <c r="E1159" s="515">
        <v>6.5</v>
      </c>
      <c r="F1159" s="518" t="s">
        <v>614</v>
      </c>
      <c r="G1159" s="515" t="s">
        <v>4102</v>
      </c>
      <c r="H1159" s="514" t="s">
        <v>1251</v>
      </c>
      <c r="I1159" s="522">
        <v>1</v>
      </c>
      <c r="J1159" s="522">
        <v>13</v>
      </c>
    </row>
    <row r="1160" spans="1:10" ht="13.8" thickBot="1">
      <c r="A1160" s="517"/>
      <c r="B1160" s="518" t="s">
        <v>12424</v>
      </c>
      <c r="C1160" s="516"/>
      <c r="D1160" s="514" t="s">
        <v>12423</v>
      </c>
      <c r="E1160" s="515">
        <v>6.5</v>
      </c>
      <c r="F1160" s="518" t="s">
        <v>614</v>
      </c>
      <c r="G1160" s="515" t="s">
        <v>4102</v>
      </c>
      <c r="H1160" s="514"/>
      <c r="I1160" s="515">
        <v>1</v>
      </c>
      <c r="J1160" s="515">
        <v>4</v>
      </c>
    </row>
    <row r="1161" spans="1:10" ht="13.8" thickBot="1">
      <c r="A1161" s="517"/>
      <c r="B1161" s="518" t="s">
        <v>12422</v>
      </c>
      <c r="C1161" s="516"/>
      <c r="D1161" s="514" t="s">
        <v>12421</v>
      </c>
      <c r="E1161" s="515">
        <v>6.4</v>
      </c>
      <c r="F1161" s="518" t="s">
        <v>614</v>
      </c>
      <c r="G1161" s="515" t="s">
        <v>4102</v>
      </c>
      <c r="H1161" s="514" t="s">
        <v>1226</v>
      </c>
      <c r="I1161" s="515">
        <v>1</v>
      </c>
      <c r="J1161" s="515">
        <v>7</v>
      </c>
    </row>
    <row r="1162" spans="1:10" ht="13.8" thickBot="1">
      <c r="A1162" s="517"/>
      <c r="B1162" s="518" t="s">
        <v>12420</v>
      </c>
      <c r="C1162" s="516"/>
      <c r="D1162" s="514" t="s">
        <v>12419</v>
      </c>
      <c r="E1162" s="515">
        <v>6.25</v>
      </c>
      <c r="F1162" s="518" t="s">
        <v>614</v>
      </c>
      <c r="G1162" s="515" t="s">
        <v>4102</v>
      </c>
      <c r="H1162" s="514" t="s">
        <v>1226</v>
      </c>
      <c r="I1162" s="515">
        <v>1</v>
      </c>
      <c r="J1162" s="515">
        <v>6</v>
      </c>
    </row>
    <row r="1163" spans="1:10" ht="13.8" thickBot="1">
      <c r="A1163" s="517"/>
      <c r="B1163" s="518" t="s">
        <v>12418</v>
      </c>
      <c r="C1163" s="516"/>
      <c r="D1163" s="514" t="s">
        <v>12417</v>
      </c>
      <c r="E1163" s="515">
        <v>6</v>
      </c>
      <c r="F1163" s="518" t="s">
        <v>614</v>
      </c>
      <c r="G1163" s="515" t="s">
        <v>4102</v>
      </c>
      <c r="H1163" s="514" t="s">
        <v>1226</v>
      </c>
      <c r="I1163" s="522"/>
      <c r="J1163" s="522">
        <v>5</v>
      </c>
    </row>
    <row r="1164" spans="1:10" ht="13.8" thickBot="1">
      <c r="A1164" s="517"/>
      <c r="B1164" s="518" t="s">
        <v>12416</v>
      </c>
      <c r="C1164" s="516"/>
      <c r="D1164" s="514" t="s">
        <v>1544</v>
      </c>
      <c r="E1164" s="515">
        <v>6</v>
      </c>
      <c r="F1164" s="518" t="s">
        <v>1854</v>
      </c>
      <c r="G1164" s="515" t="s">
        <v>4102</v>
      </c>
      <c r="H1164" s="514"/>
      <c r="I1164" s="515"/>
      <c r="J1164" s="515">
        <v>1</v>
      </c>
    </row>
    <row r="1165" spans="1:10" ht="13.8" thickBot="1">
      <c r="A1165" s="517"/>
      <c r="B1165" s="518" t="s">
        <v>12415</v>
      </c>
      <c r="C1165" s="516"/>
      <c r="D1165" s="514" t="s">
        <v>12414</v>
      </c>
      <c r="E1165" s="515">
        <v>6</v>
      </c>
      <c r="F1165" s="515" t="s">
        <v>12413</v>
      </c>
      <c r="G1165" s="515" t="s">
        <v>4102</v>
      </c>
      <c r="H1165" s="514"/>
      <c r="I1165" s="515"/>
      <c r="J1165" s="515">
        <v>1</v>
      </c>
    </row>
    <row r="1166" spans="1:10" ht="13.8" thickBot="1">
      <c r="A1166" s="517"/>
      <c r="B1166" s="518" t="s">
        <v>12412</v>
      </c>
      <c r="C1166" s="516"/>
      <c r="D1166" s="514" t="s">
        <v>1544</v>
      </c>
      <c r="E1166" s="515">
        <v>5.5</v>
      </c>
      <c r="F1166" s="518" t="s">
        <v>614</v>
      </c>
      <c r="G1166" s="515" t="s">
        <v>4102</v>
      </c>
      <c r="H1166" s="514" t="s">
        <v>1224</v>
      </c>
      <c r="I1166" s="515"/>
      <c r="J1166" s="515">
        <v>4</v>
      </c>
    </row>
    <row r="1167" spans="1:10" ht="13.8" thickBot="1">
      <c r="A1167" s="517"/>
      <c r="B1167" s="518" t="s">
        <v>12411</v>
      </c>
      <c r="C1167" s="516"/>
      <c r="D1167" s="514" t="s">
        <v>12410</v>
      </c>
      <c r="E1167" s="515">
        <v>4.5</v>
      </c>
      <c r="F1167" s="518" t="s">
        <v>614</v>
      </c>
      <c r="G1167" s="515" t="s">
        <v>4102</v>
      </c>
      <c r="H1167" s="514" t="s">
        <v>1841</v>
      </c>
      <c r="I1167" s="515"/>
      <c r="J1167" s="515">
        <v>3</v>
      </c>
    </row>
    <row r="1168" spans="1:10" ht="13.8" thickBot="1">
      <c r="A1168" s="517"/>
      <c r="B1168" s="518" t="s">
        <v>12409</v>
      </c>
      <c r="C1168" s="516"/>
      <c r="D1168" s="514" t="s">
        <v>4125</v>
      </c>
      <c r="E1168" s="515">
        <v>6</v>
      </c>
      <c r="F1168" s="518" t="s">
        <v>614</v>
      </c>
      <c r="G1168" s="515" t="s">
        <v>4121</v>
      </c>
      <c r="H1168" s="514"/>
      <c r="I1168" s="515"/>
      <c r="J1168" s="515">
        <v>1</v>
      </c>
    </row>
    <row r="1169" spans="1:10" ht="13.8" thickBot="1">
      <c r="A1169" s="517"/>
      <c r="B1169" s="518" t="s">
        <v>12408</v>
      </c>
      <c r="C1169" s="516"/>
      <c r="D1169" s="514" t="s">
        <v>12407</v>
      </c>
      <c r="E1169" s="515">
        <v>6</v>
      </c>
      <c r="F1169" s="518" t="s">
        <v>614</v>
      </c>
      <c r="G1169" s="515" t="s">
        <v>4121</v>
      </c>
      <c r="H1169" s="514"/>
      <c r="I1169" s="515"/>
      <c r="J1169" s="515">
        <v>1</v>
      </c>
    </row>
    <row r="1170" spans="1:10" ht="13.8" thickBot="1">
      <c r="A1170" s="517"/>
      <c r="B1170" s="518" t="s">
        <v>12406</v>
      </c>
      <c r="C1170" s="516"/>
      <c r="D1170" s="514" t="s">
        <v>12405</v>
      </c>
      <c r="E1170" s="515">
        <v>7</v>
      </c>
      <c r="F1170" s="518" t="s">
        <v>614</v>
      </c>
      <c r="G1170" s="515" t="s">
        <v>4134</v>
      </c>
      <c r="H1170" s="514" t="s">
        <v>1224</v>
      </c>
      <c r="I1170" s="515"/>
      <c r="J1170" s="515">
        <v>4</v>
      </c>
    </row>
    <row r="1171" spans="1:10" ht="13.8" thickBot="1">
      <c r="A1171" s="517"/>
      <c r="B1171" s="518" t="s">
        <v>12404</v>
      </c>
      <c r="C1171" s="516"/>
      <c r="D1171" s="514" t="s">
        <v>12403</v>
      </c>
      <c r="E1171" s="515">
        <v>8</v>
      </c>
      <c r="F1171" s="518" t="s">
        <v>1854</v>
      </c>
      <c r="G1171" s="515" t="s">
        <v>4140</v>
      </c>
      <c r="H1171" s="514" t="s">
        <v>1226</v>
      </c>
      <c r="I1171" s="515">
        <v>2</v>
      </c>
      <c r="J1171" s="515">
        <v>3</v>
      </c>
    </row>
    <row r="1172" spans="1:10" ht="13.8" thickBot="1">
      <c r="A1172" s="517"/>
      <c r="B1172" s="518" t="s">
        <v>12402</v>
      </c>
      <c r="C1172" s="516"/>
      <c r="D1172" s="514" t="s">
        <v>12401</v>
      </c>
      <c r="E1172" s="515">
        <v>7.5</v>
      </c>
      <c r="F1172" s="518" t="s">
        <v>614</v>
      </c>
      <c r="G1172" s="515" t="s">
        <v>4140</v>
      </c>
      <c r="H1172" s="514" t="s">
        <v>1251</v>
      </c>
      <c r="I1172" s="522">
        <v>3</v>
      </c>
      <c r="J1172" s="522">
        <v>10</v>
      </c>
    </row>
    <row r="1173" spans="1:10" ht="13.8" thickBot="1">
      <c r="A1173" s="517"/>
      <c r="B1173" s="518" t="s">
        <v>12400</v>
      </c>
      <c r="C1173" s="516"/>
      <c r="D1173" s="514" t="s">
        <v>12399</v>
      </c>
      <c r="E1173" s="515">
        <v>7.25</v>
      </c>
      <c r="F1173" s="518" t="s">
        <v>614</v>
      </c>
      <c r="G1173" s="515" t="s">
        <v>4140</v>
      </c>
      <c r="H1173" s="514" t="s">
        <v>1224</v>
      </c>
      <c r="I1173" s="515">
        <v>1</v>
      </c>
      <c r="J1173" s="515">
        <v>4</v>
      </c>
    </row>
    <row r="1174" spans="1:10" ht="13.8" thickBot="1">
      <c r="A1174" s="517"/>
      <c r="B1174" s="518" t="s">
        <v>12398</v>
      </c>
      <c r="C1174" s="516"/>
      <c r="D1174" s="514" t="s">
        <v>12397</v>
      </c>
      <c r="E1174" s="515">
        <v>7.1</v>
      </c>
      <c r="F1174" s="518" t="s">
        <v>614</v>
      </c>
      <c r="G1174" s="515" t="s">
        <v>4140</v>
      </c>
      <c r="H1174" s="514" t="s">
        <v>1251</v>
      </c>
      <c r="I1174" s="515"/>
      <c r="J1174" s="515">
        <v>4</v>
      </c>
    </row>
    <row r="1175" spans="1:10" ht="13.8" thickBot="1">
      <c r="A1175" s="517"/>
      <c r="B1175" s="518" t="s">
        <v>12396</v>
      </c>
      <c r="C1175" s="516"/>
      <c r="D1175" s="514" t="s">
        <v>12395</v>
      </c>
      <c r="E1175" s="515">
        <v>6.5</v>
      </c>
      <c r="F1175" s="518" t="s">
        <v>614</v>
      </c>
      <c r="G1175" s="515" t="s">
        <v>4140</v>
      </c>
      <c r="H1175" s="514"/>
      <c r="I1175" s="515">
        <v>1</v>
      </c>
      <c r="J1175" s="515">
        <v>2</v>
      </c>
    </row>
    <row r="1176" spans="1:10" ht="13.8" thickBot="1">
      <c r="A1176" s="517"/>
      <c r="B1176" s="518" t="s">
        <v>12394</v>
      </c>
      <c r="C1176" s="516"/>
      <c r="D1176" s="514" t="s">
        <v>12393</v>
      </c>
      <c r="E1176" s="515">
        <v>6.5</v>
      </c>
      <c r="F1176" s="514"/>
      <c r="G1176" s="515" t="s">
        <v>4140</v>
      </c>
      <c r="H1176" s="514"/>
      <c r="I1176" s="515"/>
      <c r="J1176" s="515">
        <v>2</v>
      </c>
    </row>
    <row r="1177" spans="1:10" ht="13.8" thickBot="1">
      <c r="A1177" s="517"/>
      <c r="B1177" s="518" t="s">
        <v>12392</v>
      </c>
      <c r="C1177" s="516"/>
      <c r="D1177" s="514" t="s">
        <v>12391</v>
      </c>
      <c r="E1177" s="515">
        <v>5.5</v>
      </c>
      <c r="F1177" s="518" t="s">
        <v>614</v>
      </c>
      <c r="G1177" s="515" t="s">
        <v>4140</v>
      </c>
      <c r="H1177" s="514"/>
      <c r="I1177" s="515"/>
      <c r="J1177" s="515">
        <v>1</v>
      </c>
    </row>
    <row r="1178" spans="1:10" ht="13.8" thickBot="1">
      <c r="A1178" s="517"/>
      <c r="B1178" s="518" t="s">
        <v>12390</v>
      </c>
      <c r="C1178" s="516"/>
      <c r="D1178" s="514" t="s">
        <v>4142</v>
      </c>
      <c r="E1178" s="515">
        <v>5</v>
      </c>
      <c r="F1178" s="518" t="s">
        <v>614</v>
      </c>
      <c r="G1178" s="515" t="s">
        <v>4140</v>
      </c>
      <c r="H1178" s="514" t="s">
        <v>1220</v>
      </c>
      <c r="I1178" s="515"/>
      <c r="J1178" s="515">
        <v>2</v>
      </c>
    </row>
    <row r="1179" spans="1:10" ht="13.8" thickBot="1">
      <c r="A1179" s="517"/>
      <c r="B1179" s="518" t="s">
        <v>12389</v>
      </c>
      <c r="C1179" s="516"/>
      <c r="D1179" s="514" t="s">
        <v>12388</v>
      </c>
      <c r="E1179" s="515">
        <v>7.75</v>
      </c>
      <c r="F1179" s="518" t="s">
        <v>1854</v>
      </c>
      <c r="G1179" s="515" t="s">
        <v>4160</v>
      </c>
      <c r="H1179" s="514" t="s">
        <v>1251</v>
      </c>
      <c r="I1179" s="515"/>
      <c r="J1179" s="515">
        <v>3</v>
      </c>
    </row>
    <row r="1180" spans="1:10" ht="13.8" thickBot="1">
      <c r="A1180" s="517"/>
      <c r="B1180" s="518" t="s">
        <v>12387</v>
      </c>
      <c r="C1180" s="516"/>
      <c r="D1180" s="514" t="s">
        <v>12386</v>
      </c>
      <c r="E1180" s="515">
        <v>7</v>
      </c>
      <c r="F1180" s="514"/>
      <c r="G1180" s="515" t="s">
        <v>4160</v>
      </c>
      <c r="H1180" s="514"/>
      <c r="I1180" s="515"/>
      <c r="J1180" s="515"/>
    </row>
    <row r="1181" spans="1:10" ht="13.8" thickBot="1">
      <c r="A1181" s="517"/>
      <c r="B1181" s="518" t="s">
        <v>12385</v>
      </c>
      <c r="C1181" s="516"/>
      <c r="D1181" s="514" t="s">
        <v>12384</v>
      </c>
      <c r="E1181" s="515">
        <v>6.5</v>
      </c>
      <c r="F1181" s="518" t="s">
        <v>614</v>
      </c>
      <c r="G1181" s="515" t="s">
        <v>4160</v>
      </c>
      <c r="H1181" s="514" t="s">
        <v>1226</v>
      </c>
      <c r="I1181" s="515"/>
      <c r="J1181" s="515">
        <v>6</v>
      </c>
    </row>
    <row r="1182" spans="1:10" ht="13.8" thickBot="1">
      <c r="A1182" s="517"/>
      <c r="B1182" s="514" t="s">
        <v>12383</v>
      </c>
      <c r="C1182" s="516"/>
      <c r="D1182" s="514" t="s">
        <v>12382</v>
      </c>
      <c r="E1182" s="515">
        <v>6.5</v>
      </c>
      <c r="F1182" s="518" t="s">
        <v>614</v>
      </c>
      <c r="G1182" s="515" t="s">
        <v>4160</v>
      </c>
      <c r="H1182" s="514" t="s">
        <v>1226</v>
      </c>
      <c r="I1182" s="515"/>
      <c r="J1182" s="515">
        <v>1</v>
      </c>
    </row>
    <row r="1183" spans="1:10" ht="13.8" thickBot="1">
      <c r="A1183" s="517"/>
      <c r="B1183" s="518" t="s">
        <v>12381</v>
      </c>
      <c r="C1183" s="516"/>
      <c r="D1183" s="514" t="s">
        <v>12380</v>
      </c>
      <c r="E1183" s="515">
        <v>6.5</v>
      </c>
      <c r="F1183" s="518" t="s">
        <v>614</v>
      </c>
      <c r="G1183" s="515" t="s">
        <v>4160</v>
      </c>
      <c r="H1183" s="514"/>
      <c r="I1183" s="515">
        <v>1</v>
      </c>
      <c r="J1183" s="515">
        <v>2</v>
      </c>
    </row>
    <row r="1184" spans="1:10" ht="13.8" thickBot="1">
      <c r="A1184" s="517"/>
      <c r="B1184" s="518" t="s">
        <v>12379</v>
      </c>
      <c r="C1184" s="516"/>
      <c r="D1184" s="514" t="s">
        <v>12378</v>
      </c>
      <c r="E1184" s="515">
        <v>6.3</v>
      </c>
      <c r="F1184" s="518" t="s">
        <v>614</v>
      </c>
      <c r="G1184" s="515" t="s">
        <v>4160</v>
      </c>
      <c r="H1184" s="514" t="s">
        <v>1226</v>
      </c>
      <c r="I1184" s="515"/>
      <c r="J1184" s="515">
        <v>11</v>
      </c>
    </row>
    <row r="1185" spans="1:10" ht="13.8" thickBot="1">
      <c r="A1185" s="517"/>
      <c r="B1185" s="518" t="s">
        <v>12377</v>
      </c>
      <c r="C1185" s="516"/>
      <c r="D1185" s="519" t="s">
        <v>12376</v>
      </c>
      <c r="E1185" s="515">
        <v>6.1</v>
      </c>
      <c r="F1185" s="514"/>
      <c r="G1185" s="515" t="s">
        <v>4160</v>
      </c>
      <c r="H1185" s="514" t="s">
        <v>1226</v>
      </c>
      <c r="I1185" s="515"/>
      <c r="J1185" s="515">
        <v>8</v>
      </c>
    </row>
    <row r="1186" spans="1:10" ht="13.8" thickBot="1">
      <c r="A1186" s="517"/>
      <c r="B1186" s="518" t="s">
        <v>12375</v>
      </c>
      <c r="C1186" s="516"/>
      <c r="D1186" s="514" t="s">
        <v>12374</v>
      </c>
      <c r="E1186" s="515">
        <v>6</v>
      </c>
      <c r="F1186" s="518" t="s">
        <v>614</v>
      </c>
      <c r="G1186" s="515" t="s">
        <v>4160</v>
      </c>
      <c r="H1186" s="514" t="s">
        <v>1251</v>
      </c>
      <c r="I1186" s="515"/>
      <c r="J1186" s="515">
        <v>11</v>
      </c>
    </row>
    <row r="1187" spans="1:10" ht="13.8" thickBot="1">
      <c r="A1187" s="517"/>
      <c r="B1187" s="518" t="s">
        <v>12373</v>
      </c>
      <c r="C1187" s="516"/>
      <c r="D1187" s="514" t="s">
        <v>12372</v>
      </c>
      <c r="E1187" s="515">
        <v>6</v>
      </c>
      <c r="F1187" s="518" t="s">
        <v>614</v>
      </c>
      <c r="G1187" s="515" t="s">
        <v>4160</v>
      </c>
      <c r="H1187" s="514" t="s">
        <v>1226</v>
      </c>
      <c r="I1187" s="522">
        <v>2</v>
      </c>
      <c r="J1187" s="522">
        <v>9</v>
      </c>
    </row>
    <row r="1188" spans="1:10" ht="13.8" thickBot="1">
      <c r="A1188" s="517"/>
      <c r="B1188" s="518" t="s">
        <v>12371</v>
      </c>
      <c r="C1188" s="516"/>
      <c r="D1188" s="514" t="s">
        <v>4185</v>
      </c>
      <c r="E1188" s="515">
        <v>6</v>
      </c>
      <c r="F1188" s="518" t="s">
        <v>614</v>
      </c>
      <c r="G1188" s="515" t="s">
        <v>4160</v>
      </c>
      <c r="H1188" s="514" t="s">
        <v>1224</v>
      </c>
      <c r="I1188" s="515"/>
      <c r="J1188" s="515">
        <v>4</v>
      </c>
    </row>
    <row r="1189" spans="1:10" ht="13.8" thickBot="1">
      <c r="A1189" s="517"/>
      <c r="B1189" s="518" t="s">
        <v>12370</v>
      </c>
      <c r="C1189" s="516"/>
      <c r="D1189" s="514" t="s">
        <v>12369</v>
      </c>
      <c r="E1189" s="515">
        <v>5.5</v>
      </c>
      <c r="F1189" s="514"/>
      <c r="G1189" s="515" t="s">
        <v>4160</v>
      </c>
      <c r="H1189" s="514"/>
      <c r="I1189" s="515"/>
      <c r="J1189" s="515">
        <v>2</v>
      </c>
    </row>
    <row r="1190" spans="1:10" ht="13.8" thickBot="1">
      <c r="A1190" s="517"/>
      <c r="B1190" s="518" t="s">
        <v>12368</v>
      </c>
      <c r="C1190" s="516"/>
      <c r="D1190" s="519" t="s">
        <v>12367</v>
      </c>
      <c r="E1190" s="515">
        <v>5</v>
      </c>
      <c r="F1190" s="518" t="s">
        <v>614</v>
      </c>
      <c r="G1190" s="515" t="s">
        <v>4160</v>
      </c>
      <c r="H1190" s="514" t="s">
        <v>1226</v>
      </c>
      <c r="I1190" s="515"/>
      <c r="J1190" s="515">
        <v>3</v>
      </c>
    </row>
    <row r="1191" spans="1:10" ht="13.8" thickBot="1">
      <c r="A1191" s="517"/>
      <c r="B1191" s="518" t="s">
        <v>12366</v>
      </c>
      <c r="C1191" s="516"/>
      <c r="D1191" s="519" t="s">
        <v>4161</v>
      </c>
      <c r="E1191" s="515">
        <v>5</v>
      </c>
      <c r="F1191" s="518" t="s">
        <v>614</v>
      </c>
      <c r="G1191" s="515" t="s">
        <v>4160</v>
      </c>
      <c r="H1191" s="514" t="s">
        <v>1226</v>
      </c>
      <c r="I1191" s="515"/>
      <c r="J1191" s="515">
        <v>2</v>
      </c>
    </row>
    <row r="1192" spans="1:10" ht="13.8" thickBot="1">
      <c r="A1192" s="517"/>
      <c r="B1192" s="518" t="s">
        <v>12365</v>
      </c>
      <c r="C1192" s="516"/>
      <c r="D1192" s="514" t="s">
        <v>12364</v>
      </c>
      <c r="E1192" s="515">
        <v>9</v>
      </c>
      <c r="F1192" s="514"/>
      <c r="G1192" s="515" t="s">
        <v>4214</v>
      </c>
      <c r="H1192" s="514"/>
      <c r="I1192" s="515"/>
      <c r="J1192" s="515"/>
    </row>
    <row r="1193" spans="1:10" ht="13.8" thickBot="1">
      <c r="A1193" s="517"/>
      <c r="B1193" s="518" t="s">
        <v>12363</v>
      </c>
      <c r="C1193" s="516"/>
      <c r="D1193" s="514" t="s">
        <v>12362</v>
      </c>
      <c r="E1193" s="529">
        <v>8</v>
      </c>
      <c r="F1193" s="518" t="s">
        <v>614</v>
      </c>
      <c r="G1193" s="515" t="s">
        <v>4214</v>
      </c>
      <c r="H1193" s="514"/>
      <c r="I1193" s="522"/>
      <c r="J1193" s="522">
        <v>4</v>
      </c>
    </row>
    <row r="1194" spans="1:10" ht="13.8" thickBot="1">
      <c r="A1194" s="517"/>
      <c r="B1194" s="518" t="s">
        <v>12361</v>
      </c>
      <c r="C1194" s="516"/>
      <c r="D1194" s="514" t="s">
        <v>12360</v>
      </c>
      <c r="E1194" s="515">
        <v>8</v>
      </c>
      <c r="F1194" s="514"/>
      <c r="G1194" s="515" t="s">
        <v>4214</v>
      </c>
      <c r="H1194" s="514"/>
      <c r="I1194" s="515"/>
      <c r="J1194" s="515"/>
    </row>
    <row r="1195" spans="1:10" ht="13.8" thickBot="1">
      <c r="A1195" s="517"/>
      <c r="B1195" s="518" t="s">
        <v>12359</v>
      </c>
      <c r="C1195" s="516"/>
      <c r="D1195" s="514" t="s">
        <v>1607</v>
      </c>
      <c r="E1195" s="515">
        <v>7.5</v>
      </c>
      <c r="F1195" s="518" t="s">
        <v>614</v>
      </c>
      <c r="G1195" s="515" t="s">
        <v>4214</v>
      </c>
      <c r="H1195" s="514" t="s">
        <v>1226</v>
      </c>
      <c r="I1195" s="515">
        <v>1</v>
      </c>
      <c r="J1195" s="515">
        <v>2</v>
      </c>
    </row>
    <row r="1196" spans="1:10" ht="13.8" thickBot="1">
      <c r="A1196" s="517"/>
      <c r="B1196" s="518" t="s">
        <v>12358</v>
      </c>
      <c r="C1196" s="516"/>
      <c r="D1196" s="514" t="s">
        <v>1616</v>
      </c>
      <c r="E1196" s="515">
        <v>7.5</v>
      </c>
      <c r="F1196" s="518" t="s">
        <v>614</v>
      </c>
      <c r="G1196" s="515" t="s">
        <v>4214</v>
      </c>
      <c r="H1196" s="514" t="s">
        <v>1226</v>
      </c>
      <c r="I1196" s="515">
        <v>1</v>
      </c>
      <c r="J1196" s="515">
        <v>2</v>
      </c>
    </row>
    <row r="1197" spans="1:10" ht="13.8" thickBot="1">
      <c r="A1197" s="517"/>
      <c r="B1197" s="518" t="s">
        <v>12357</v>
      </c>
      <c r="C1197" s="516"/>
      <c r="D1197" s="514" t="s">
        <v>12356</v>
      </c>
      <c r="E1197" s="515">
        <v>7.5</v>
      </c>
      <c r="F1197" s="518" t="s">
        <v>1854</v>
      </c>
      <c r="G1197" s="515" t="s">
        <v>4214</v>
      </c>
      <c r="H1197" s="514"/>
      <c r="I1197" s="522"/>
      <c r="J1197" s="522">
        <v>1</v>
      </c>
    </row>
    <row r="1198" spans="1:10" ht="13.8" thickBot="1">
      <c r="A1198" s="517"/>
      <c r="B1198" s="518" t="s">
        <v>12355</v>
      </c>
      <c r="C1198" s="516"/>
      <c r="D1198" s="514" t="s">
        <v>12354</v>
      </c>
      <c r="E1198" s="515">
        <v>7.5</v>
      </c>
      <c r="F1198" s="514"/>
      <c r="G1198" s="515" t="s">
        <v>4214</v>
      </c>
      <c r="H1198" s="514"/>
      <c r="I1198" s="515"/>
      <c r="J1198" s="515"/>
    </row>
    <row r="1199" spans="1:10" ht="13.8" thickBot="1">
      <c r="A1199" s="517"/>
      <c r="B1199" s="518" t="s">
        <v>12353</v>
      </c>
      <c r="C1199" s="516"/>
      <c r="D1199" s="514" t="s">
        <v>12352</v>
      </c>
      <c r="E1199" s="515">
        <v>7.25</v>
      </c>
      <c r="F1199" s="518" t="s">
        <v>1854</v>
      </c>
      <c r="G1199" s="515" t="s">
        <v>4214</v>
      </c>
      <c r="H1199" s="514"/>
      <c r="I1199" s="515"/>
      <c r="J1199" s="515">
        <v>1</v>
      </c>
    </row>
    <row r="1200" spans="1:10" ht="13.8" thickBot="1">
      <c r="A1200" s="517"/>
      <c r="B1200" s="518" t="s">
        <v>12351</v>
      </c>
      <c r="C1200" s="516"/>
      <c r="D1200" s="519" t="s">
        <v>12350</v>
      </c>
      <c r="E1200" s="515">
        <v>7</v>
      </c>
      <c r="F1200" s="518" t="s">
        <v>614</v>
      </c>
      <c r="G1200" s="515" t="s">
        <v>4214</v>
      </c>
      <c r="H1200" s="514" t="s">
        <v>1226</v>
      </c>
      <c r="I1200" s="515"/>
      <c r="J1200" s="515">
        <v>1</v>
      </c>
    </row>
    <row r="1201" spans="1:10" ht="13.8" thickBot="1">
      <c r="A1201" s="517"/>
      <c r="B1201" s="518" t="s">
        <v>12349</v>
      </c>
      <c r="C1201" s="516"/>
      <c r="D1201" s="514" t="s">
        <v>12348</v>
      </c>
      <c r="E1201" s="515">
        <v>6.75</v>
      </c>
      <c r="F1201" s="518" t="s">
        <v>614</v>
      </c>
      <c r="G1201" s="515" t="s">
        <v>4214</v>
      </c>
      <c r="H1201" s="514" t="s">
        <v>1226</v>
      </c>
      <c r="I1201" s="515"/>
      <c r="J1201" s="515">
        <v>3</v>
      </c>
    </row>
    <row r="1202" spans="1:10" ht="13.8" thickBot="1">
      <c r="A1202" s="517"/>
      <c r="B1202" s="518" t="s">
        <v>12347</v>
      </c>
      <c r="C1202" s="516"/>
      <c r="D1202" s="514" t="s">
        <v>12346</v>
      </c>
      <c r="E1202" s="515">
        <v>6.5</v>
      </c>
      <c r="F1202" s="518" t="s">
        <v>614</v>
      </c>
      <c r="G1202" s="515" t="s">
        <v>4214</v>
      </c>
      <c r="H1202" s="514" t="s">
        <v>1226</v>
      </c>
      <c r="I1202" s="515"/>
      <c r="J1202" s="515">
        <v>2</v>
      </c>
    </row>
    <row r="1203" spans="1:10" ht="13.8" thickBot="1">
      <c r="A1203" s="517"/>
      <c r="B1203" s="518" t="s">
        <v>12345</v>
      </c>
      <c r="C1203" s="516"/>
      <c r="D1203" s="514" t="s">
        <v>12344</v>
      </c>
      <c r="E1203" s="515">
        <v>6.3</v>
      </c>
      <c r="F1203" s="518" t="s">
        <v>614</v>
      </c>
      <c r="G1203" s="515" t="s">
        <v>4214</v>
      </c>
      <c r="H1203" s="514" t="s">
        <v>1841</v>
      </c>
      <c r="I1203" s="515"/>
      <c r="J1203" s="515">
        <v>8</v>
      </c>
    </row>
    <row r="1204" spans="1:10" ht="13.8" thickBot="1">
      <c r="A1204" s="517"/>
      <c r="B1204" s="518" t="s">
        <v>12343</v>
      </c>
      <c r="C1204" s="516"/>
      <c r="D1204" s="519" t="s">
        <v>12342</v>
      </c>
      <c r="E1204" s="515">
        <v>6.3</v>
      </c>
      <c r="F1204" s="518" t="s">
        <v>614</v>
      </c>
      <c r="G1204" s="515" t="s">
        <v>4214</v>
      </c>
      <c r="H1204" s="514" t="s">
        <v>1226</v>
      </c>
      <c r="I1204" s="515">
        <v>1</v>
      </c>
      <c r="J1204" s="515">
        <v>6</v>
      </c>
    </row>
    <row r="1205" spans="1:10" ht="13.8" thickBot="1">
      <c r="A1205" s="517"/>
      <c r="B1205" s="518" t="s">
        <v>12341</v>
      </c>
      <c r="C1205" s="516"/>
      <c r="D1205" s="514" t="s">
        <v>12340</v>
      </c>
      <c r="E1205" s="515">
        <v>6.25</v>
      </c>
      <c r="F1205" s="518" t="s">
        <v>614</v>
      </c>
      <c r="G1205" s="515" t="s">
        <v>4214</v>
      </c>
      <c r="H1205" s="514" t="s">
        <v>1226</v>
      </c>
      <c r="I1205" s="515"/>
      <c r="J1205" s="515">
        <v>5</v>
      </c>
    </row>
    <row r="1206" spans="1:10" ht="13.8" thickBot="1">
      <c r="A1206" s="517"/>
      <c r="B1206" s="518" t="s">
        <v>12339</v>
      </c>
      <c r="C1206" s="516"/>
      <c r="D1206" s="514" t="s">
        <v>12338</v>
      </c>
      <c r="E1206" s="515">
        <v>6.25</v>
      </c>
      <c r="F1206" s="518" t="s">
        <v>614</v>
      </c>
      <c r="G1206" s="515" t="s">
        <v>4214</v>
      </c>
      <c r="H1206" s="514" t="s">
        <v>1224</v>
      </c>
      <c r="I1206" s="515">
        <v>2</v>
      </c>
      <c r="J1206" s="515">
        <v>3</v>
      </c>
    </row>
    <row r="1207" spans="1:10" ht="13.8" thickBot="1">
      <c r="A1207" s="517"/>
      <c r="B1207" s="518" t="s">
        <v>12337</v>
      </c>
      <c r="C1207" s="516"/>
      <c r="D1207" s="514" t="s">
        <v>12336</v>
      </c>
      <c r="E1207" s="515">
        <v>6.25</v>
      </c>
      <c r="F1207" s="518" t="s">
        <v>614</v>
      </c>
      <c r="G1207" s="515" t="s">
        <v>4214</v>
      </c>
      <c r="H1207" s="514"/>
      <c r="I1207" s="515"/>
      <c r="J1207" s="515">
        <v>1</v>
      </c>
    </row>
    <row r="1208" spans="1:10" ht="13.8" thickBot="1">
      <c r="A1208" s="517"/>
      <c r="B1208" s="518" t="s">
        <v>12335</v>
      </c>
      <c r="C1208" s="516"/>
      <c r="D1208" s="514" t="s">
        <v>12334</v>
      </c>
      <c r="E1208" s="515">
        <v>6.25</v>
      </c>
      <c r="F1208" s="518" t="s">
        <v>614</v>
      </c>
      <c r="G1208" s="515" t="s">
        <v>4214</v>
      </c>
      <c r="H1208" s="514"/>
      <c r="I1208" s="515"/>
      <c r="J1208" s="515">
        <v>1</v>
      </c>
    </row>
    <row r="1209" spans="1:10" ht="13.8" thickBot="1">
      <c r="A1209" s="517"/>
      <c r="B1209" s="518" t="s">
        <v>12333</v>
      </c>
      <c r="C1209" s="516"/>
      <c r="D1209" s="514" t="s">
        <v>12332</v>
      </c>
      <c r="E1209" s="515">
        <v>6.1</v>
      </c>
      <c r="F1209" s="518" t="s">
        <v>614</v>
      </c>
      <c r="G1209" s="515" t="s">
        <v>4214</v>
      </c>
      <c r="H1209" s="514" t="s">
        <v>1251</v>
      </c>
      <c r="I1209" s="522"/>
      <c r="J1209" s="522">
        <v>8</v>
      </c>
    </row>
    <row r="1210" spans="1:10" ht="13.8" thickBot="1">
      <c r="A1210" s="517"/>
      <c r="B1210" s="518" t="s">
        <v>12331</v>
      </c>
      <c r="C1210" s="516"/>
      <c r="D1210" s="514" t="s">
        <v>1617</v>
      </c>
      <c r="E1210" s="515">
        <v>6.1</v>
      </c>
      <c r="F1210" s="518" t="s">
        <v>614</v>
      </c>
      <c r="G1210" s="515" t="s">
        <v>4214</v>
      </c>
      <c r="H1210" s="514"/>
      <c r="I1210" s="515"/>
      <c r="J1210" s="515">
        <v>1</v>
      </c>
    </row>
    <row r="1211" spans="1:10" ht="13.8" thickBot="1">
      <c r="A1211" s="517"/>
      <c r="B1211" s="518" t="s">
        <v>12330</v>
      </c>
      <c r="C1211" s="516"/>
      <c r="D1211" s="519" t="s">
        <v>12329</v>
      </c>
      <c r="E1211" s="515">
        <v>6</v>
      </c>
      <c r="F1211" s="514"/>
      <c r="G1211" s="515" t="s">
        <v>4214</v>
      </c>
      <c r="H1211" s="514" t="s">
        <v>1226</v>
      </c>
      <c r="I1211" s="515"/>
      <c r="J1211" s="515">
        <v>5</v>
      </c>
    </row>
    <row r="1212" spans="1:10" ht="13.8" thickBot="1">
      <c r="A1212" s="517"/>
      <c r="B1212" s="518" t="s">
        <v>12328</v>
      </c>
      <c r="C1212" s="516"/>
      <c r="D1212" s="514" t="s">
        <v>12327</v>
      </c>
      <c r="E1212" s="515">
        <v>6</v>
      </c>
      <c r="F1212" s="518" t="s">
        <v>1978</v>
      </c>
      <c r="G1212" s="515" t="s">
        <v>4214</v>
      </c>
      <c r="H1212" s="514" t="s">
        <v>1226</v>
      </c>
      <c r="I1212" s="515"/>
      <c r="J1212" s="515">
        <v>1</v>
      </c>
    </row>
    <row r="1213" spans="1:10" ht="13.8" thickBot="1">
      <c r="A1213" s="517"/>
      <c r="B1213" s="518" t="s">
        <v>12326</v>
      </c>
      <c r="C1213" s="516"/>
      <c r="D1213" s="514" t="s">
        <v>12325</v>
      </c>
      <c r="E1213" s="515">
        <v>6</v>
      </c>
      <c r="F1213" s="518" t="s">
        <v>614</v>
      </c>
      <c r="G1213" s="515" t="s">
        <v>4214</v>
      </c>
      <c r="H1213" s="514" t="s">
        <v>1224</v>
      </c>
      <c r="I1213" s="515"/>
      <c r="J1213" s="515">
        <v>1</v>
      </c>
    </row>
    <row r="1214" spans="1:10" ht="13.8" thickBot="1">
      <c r="A1214" s="517"/>
      <c r="B1214" s="514" t="s">
        <v>12324</v>
      </c>
      <c r="C1214" s="516"/>
      <c r="D1214" s="514" t="s">
        <v>12323</v>
      </c>
      <c r="E1214" s="515">
        <v>6</v>
      </c>
      <c r="F1214" s="518" t="s">
        <v>614</v>
      </c>
      <c r="G1214" s="515" t="s">
        <v>4214</v>
      </c>
      <c r="H1214" s="514"/>
      <c r="I1214" s="515"/>
      <c r="J1214" s="515">
        <v>1</v>
      </c>
    </row>
    <row r="1215" spans="1:10" ht="13.8" thickBot="1">
      <c r="A1215" s="517"/>
      <c r="B1215" s="518" t="s">
        <v>12322</v>
      </c>
      <c r="C1215" s="516"/>
      <c r="D1215" s="514" t="s">
        <v>12321</v>
      </c>
      <c r="E1215" s="515">
        <v>6</v>
      </c>
      <c r="F1215" s="518" t="s">
        <v>614</v>
      </c>
      <c r="G1215" s="515" t="s">
        <v>4214</v>
      </c>
      <c r="H1215" s="514"/>
      <c r="I1215" s="515"/>
      <c r="J1215" s="515">
        <v>1</v>
      </c>
    </row>
    <row r="1216" spans="1:10" ht="13.8" thickBot="1">
      <c r="A1216" s="517"/>
      <c r="B1216" s="518" t="s">
        <v>12320</v>
      </c>
      <c r="C1216" s="516"/>
      <c r="D1216" s="514" t="s">
        <v>12319</v>
      </c>
      <c r="E1216" s="515">
        <v>6</v>
      </c>
      <c r="F1216" s="518" t="s">
        <v>614</v>
      </c>
      <c r="G1216" s="515" t="s">
        <v>4214</v>
      </c>
      <c r="H1216" s="514"/>
      <c r="I1216" s="515"/>
      <c r="J1216" s="515">
        <v>1</v>
      </c>
    </row>
    <row r="1217" spans="1:10" ht="13.8" thickBot="1">
      <c r="A1217" s="517"/>
      <c r="B1217" s="518" t="s">
        <v>12318</v>
      </c>
      <c r="C1217" s="516"/>
      <c r="D1217" s="514" t="s">
        <v>12317</v>
      </c>
      <c r="E1217" s="515">
        <v>5.75</v>
      </c>
      <c r="F1217" s="518" t="s">
        <v>1854</v>
      </c>
      <c r="G1217" s="515" t="s">
        <v>4214</v>
      </c>
      <c r="H1217" s="514"/>
      <c r="I1217" s="515">
        <v>1</v>
      </c>
      <c r="J1217" s="515">
        <v>2</v>
      </c>
    </row>
    <row r="1218" spans="1:10" ht="13.8" thickBot="1">
      <c r="A1218" s="517"/>
      <c r="B1218" s="518" t="s">
        <v>12316</v>
      </c>
      <c r="C1218" s="516"/>
      <c r="D1218" s="514" t="s">
        <v>4220</v>
      </c>
      <c r="E1218" s="515">
        <v>5.5</v>
      </c>
      <c r="F1218" s="518" t="s">
        <v>614</v>
      </c>
      <c r="G1218" s="515" t="s">
        <v>4214</v>
      </c>
      <c r="H1218" s="514" t="s">
        <v>1251</v>
      </c>
      <c r="I1218" s="515">
        <v>1</v>
      </c>
      <c r="J1218" s="515">
        <v>2</v>
      </c>
    </row>
    <row r="1219" spans="1:10" ht="13.8" thickBot="1">
      <c r="A1219" s="517"/>
      <c r="B1219" s="518" t="s">
        <v>12315</v>
      </c>
      <c r="C1219" s="516"/>
      <c r="D1219" s="514" t="s">
        <v>4216</v>
      </c>
      <c r="E1219" s="515">
        <v>5.5</v>
      </c>
      <c r="F1219" s="518" t="s">
        <v>614</v>
      </c>
      <c r="G1219" s="515" t="s">
        <v>4214</v>
      </c>
      <c r="H1219" s="514" t="s">
        <v>1226</v>
      </c>
      <c r="I1219" s="515"/>
      <c r="J1219" s="515">
        <v>3</v>
      </c>
    </row>
    <row r="1220" spans="1:10" ht="13.8" thickBot="1">
      <c r="A1220" s="517"/>
      <c r="B1220" s="518" t="s">
        <v>12314</v>
      </c>
      <c r="C1220" s="516"/>
      <c r="D1220" s="514" t="s">
        <v>12313</v>
      </c>
      <c r="E1220" s="515">
        <v>5</v>
      </c>
      <c r="F1220" s="518" t="s">
        <v>614</v>
      </c>
      <c r="G1220" s="515" t="s">
        <v>4214</v>
      </c>
      <c r="H1220" s="514" t="s">
        <v>1226</v>
      </c>
      <c r="I1220" s="515">
        <v>1</v>
      </c>
      <c r="J1220" s="515">
        <v>3</v>
      </c>
    </row>
    <row r="1221" spans="1:10" ht="13.8" thickBot="1">
      <c r="A1221" s="517"/>
      <c r="B1221" s="518" t="s">
        <v>12312</v>
      </c>
      <c r="C1221" s="516"/>
      <c r="D1221" s="514" t="s">
        <v>4292</v>
      </c>
      <c r="E1221" s="515">
        <v>5</v>
      </c>
      <c r="F1221" s="518" t="s">
        <v>1854</v>
      </c>
      <c r="G1221" s="515" t="s">
        <v>4214</v>
      </c>
      <c r="H1221" s="514" t="s">
        <v>1224</v>
      </c>
      <c r="I1221" s="515">
        <v>2</v>
      </c>
      <c r="J1221" s="515">
        <v>3</v>
      </c>
    </row>
    <row r="1222" spans="1:10" ht="13.8" thickBot="1">
      <c r="A1222" s="517"/>
      <c r="B1222" s="518" t="s">
        <v>12311</v>
      </c>
      <c r="C1222" s="516"/>
      <c r="D1222" s="514" t="s">
        <v>1607</v>
      </c>
      <c r="E1222" s="515">
        <v>5</v>
      </c>
      <c r="F1222" s="514"/>
      <c r="G1222" s="515" t="s">
        <v>4214</v>
      </c>
      <c r="H1222" s="514" t="s">
        <v>1224</v>
      </c>
      <c r="I1222" s="515">
        <v>1</v>
      </c>
      <c r="J1222" s="515">
        <v>2</v>
      </c>
    </row>
    <row r="1223" spans="1:10" ht="13.8" thickBot="1">
      <c r="A1223" s="517"/>
      <c r="B1223" s="518" t="s">
        <v>12310</v>
      </c>
      <c r="C1223" s="516"/>
      <c r="D1223" s="514" t="s">
        <v>4292</v>
      </c>
      <c r="E1223" s="515">
        <v>5</v>
      </c>
      <c r="F1223" s="514"/>
      <c r="G1223" s="515" t="s">
        <v>4214</v>
      </c>
      <c r="H1223" s="514" t="s">
        <v>1224</v>
      </c>
      <c r="I1223" s="515"/>
      <c r="J1223" s="515">
        <v>2</v>
      </c>
    </row>
    <row r="1224" spans="1:10" ht="13.8" thickBot="1">
      <c r="A1224" s="517"/>
      <c r="B1224" s="518" t="s">
        <v>12309</v>
      </c>
      <c r="C1224" s="516"/>
      <c r="D1224" s="514" t="s">
        <v>12308</v>
      </c>
      <c r="E1224" s="515">
        <v>5</v>
      </c>
      <c r="F1224" s="518" t="s">
        <v>614</v>
      </c>
      <c r="G1224" s="515" t="s">
        <v>4214</v>
      </c>
      <c r="H1224" s="514" t="s">
        <v>1224</v>
      </c>
      <c r="I1224" s="515"/>
      <c r="J1224" s="515">
        <v>1</v>
      </c>
    </row>
    <row r="1225" spans="1:10" ht="13.8" thickBot="1">
      <c r="A1225" s="517"/>
      <c r="B1225" s="518" t="s">
        <v>12307</v>
      </c>
      <c r="C1225" s="516"/>
      <c r="D1225" s="514" t="s">
        <v>1627</v>
      </c>
      <c r="E1225" s="515">
        <v>5</v>
      </c>
      <c r="F1225" s="518" t="s">
        <v>1854</v>
      </c>
      <c r="G1225" s="515" t="s">
        <v>4214</v>
      </c>
      <c r="H1225" s="514"/>
      <c r="I1225" s="515"/>
      <c r="J1225" s="515">
        <v>2</v>
      </c>
    </row>
    <row r="1226" spans="1:10" ht="13.8" thickBot="1">
      <c r="A1226" s="517"/>
      <c r="B1226" s="518" t="s">
        <v>12306</v>
      </c>
      <c r="C1226" s="516"/>
      <c r="D1226" s="519" t="s">
        <v>4290</v>
      </c>
      <c r="E1226" s="515">
        <v>5</v>
      </c>
      <c r="F1226" s="518" t="s">
        <v>1854</v>
      </c>
      <c r="G1226" s="515" t="s">
        <v>4214</v>
      </c>
      <c r="H1226" s="514"/>
      <c r="I1226" s="522"/>
      <c r="J1226" s="522">
        <v>2</v>
      </c>
    </row>
    <row r="1227" spans="1:10" ht="13.8" thickBot="1">
      <c r="A1227" s="517"/>
      <c r="B1227" s="518" t="s">
        <v>12305</v>
      </c>
      <c r="C1227" s="516"/>
      <c r="D1227" s="514" t="s">
        <v>1607</v>
      </c>
      <c r="E1227" s="515">
        <v>5</v>
      </c>
      <c r="F1227" s="518" t="s">
        <v>1854</v>
      </c>
      <c r="G1227" s="515" t="s">
        <v>4214</v>
      </c>
      <c r="H1227" s="514"/>
      <c r="I1227" s="515"/>
      <c r="J1227" s="515"/>
    </row>
    <row r="1228" spans="1:10" ht="13.8" thickBot="1">
      <c r="A1228" s="517"/>
      <c r="B1228" s="518" t="s">
        <v>12304</v>
      </c>
      <c r="C1228" s="516"/>
      <c r="D1228" s="514" t="s">
        <v>12303</v>
      </c>
      <c r="E1228" s="515">
        <v>4.5</v>
      </c>
      <c r="F1228" s="518" t="s">
        <v>614</v>
      </c>
      <c r="G1228" s="515" t="s">
        <v>4214</v>
      </c>
      <c r="H1228" s="514"/>
      <c r="I1228" s="515"/>
      <c r="J1228" s="515">
        <v>1</v>
      </c>
    </row>
    <row r="1229" spans="1:10" ht="13.8" thickBot="1">
      <c r="A1229" s="517"/>
      <c r="B1229" s="518" t="s">
        <v>12302</v>
      </c>
      <c r="C1229" s="516"/>
      <c r="D1229" s="514" t="s">
        <v>12301</v>
      </c>
      <c r="E1229" s="515">
        <v>4.5</v>
      </c>
      <c r="F1229" s="518" t="s">
        <v>11609</v>
      </c>
      <c r="G1229" s="515" t="s">
        <v>4214</v>
      </c>
      <c r="H1229" s="514"/>
      <c r="I1229" s="515"/>
      <c r="J1229" s="515"/>
    </row>
    <row r="1230" spans="1:10" ht="13.8" thickBot="1">
      <c r="A1230" s="517"/>
      <c r="B1230" s="518" t="s">
        <v>12300</v>
      </c>
      <c r="C1230" s="516"/>
      <c r="D1230" s="514" t="s">
        <v>1612</v>
      </c>
      <c r="E1230" s="515">
        <v>4</v>
      </c>
      <c r="F1230" s="518" t="s">
        <v>614</v>
      </c>
      <c r="G1230" s="515" t="s">
        <v>4214</v>
      </c>
      <c r="H1230" s="514" t="s">
        <v>1226</v>
      </c>
      <c r="I1230" s="515"/>
      <c r="J1230" s="515">
        <v>1</v>
      </c>
    </row>
    <row r="1231" spans="1:10" ht="13.8" thickBot="1">
      <c r="A1231" s="517"/>
      <c r="B1231" s="518" t="s">
        <v>12299</v>
      </c>
      <c r="C1231" s="516"/>
      <c r="D1231" s="514" t="s">
        <v>4315</v>
      </c>
      <c r="E1231" s="515">
        <v>4</v>
      </c>
      <c r="F1231" s="514"/>
      <c r="G1231" s="515" t="s">
        <v>4214</v>
      </c>
      <c r="H1231" s="514" t="s">
        <v>1226</v>
      </c>
      <c r="I1231" s="515"/>
      <c r="J1231" s="515">
        <v>1</v>
      </c>
    </row>
    <row r="1232" spans="1:10" ht="13.8" thickBot="1">
      <c r="A1232" s="517"/>
      <c r="B1232" s="518" t="s">
        <v>12298</v>
      </c>
      <c r="C1232" s="516"/>
      <c r="D1232" s="514" t="s">
        <v>1607</v>
      </c>
      <c r="E1232" s="515">
        <v>4</v>
      </c>
      <c r="F1232" s="518" t="s">
        <v>1854</v>
      </c>
      <c r="G1232" s="515" t="s">
        <v>4214</v>
      </c>
      <c r="H1232" s="514" t="s">
        <v>1224</v>
      </c>
      <c r="I1232" s="515"/>
      <c r="J1232" s="515">
        <v>1</v>
      </c>
    </row>
    <row r="1233" spans="1:10" ht="13.8" thickBot="1">
      <c r="A1233" s="517"/>
      <c r="B1233" s="518" t="s">
        <v>12297</v>
      </c>
      <c r="C1233" s="516"/>
      <c r="D1233" s="514" t="s">
        <v>12296</v>
      </c>
      <c r="E1233" s="515">
        <v>4</v>
      </c>
      <c r="F1233" s="518" t="s">
        <v>1854</v>
      </c>
      <c r="G1233" s="515" t="s">
        <v>4214</v>
      </c>
      <c r="H1233" s="514"/>
      <c r="I1233" s="515"/>
      <c r="J1233" s="515">
        <v>1</v>
      </c>
    </row>
    <row r="1234" spans="1:10" ht="13.8" thickBot="1">
      <c r="A1234" s="517"/>
      <c r="B1234" s="518" t="s">
        <v>12295</v>
      </c>
      <c r="C1234" s="516"/>
      <c r="D1234" s="514" t="s">
        <v>12294</v>
      </c>
      <c r="E1234" s="515">
        <v>4</v>
      </c>
      <c r="F1234" s="518" t="s">
        <v>1854</v>
      </c>
      <c r="G1234" s="515" t="s">
        <v>4214</v>
      </c>
      <c r="H1234" s="514"/>
      <c r="I1234" s="515"/>
      <c r="J1234" s="515">
        <v>1</v>
      </c>
    </row>
    <row r="1235" spans="1:10" ht="13.8" thickBot="1">
      <c r="A1235" s="517"/>
      <c r="B1235" s="518" t="s">
        <v>12293</v>
      </c>
      <c r="C1235" s="516"/>
      <c r="D1235" s="514" t="s">
        <v>1607</v>
      </c>
      <c r="E1235" s="515">
        <v>4</v>
      </c>
      <c r="F1235" s="514"/>
      <c r="G1235" s="515" t="s">
        <v>4214</v>
      </c>
      <c r="H1235" s="514"/>
      <c r="I1235" s="515"/>
      <c r="J1235" s="515">
        <v>1</v>
      </c>
    </row>
    <row r="1236" spans="1:10" ht="13.8" thickBot="1">
      <c r="A1236" s="517"/>
      <c r="B1236" s="518" t="s">
        <v>12292</v>
      </c>
      <c r="C1236" s="516"/>
      <c r="D1236" s="514" t="s">
        <v>1607</v>
      </c>
      <c r="E1236" s="515">
        <v>3.5</v>
      </c>
      <c r="F1236" s="514"/>
      <c r="G1236" s="515" t="s">
        <v>4214</v>
      </c>
      <c r="H1236" s="514"/>
      <c r="I1236" s="515"/>
      <c r="J1236" s="515">
        <v>1</v>
      </c>
    </row>
    <row r="1237" spans="1:10" ht="13.8" thickBot="1">
      <c r="A1237" s="517"/>
      <c r="B1237" s="518" t="s">
        <v>12291</v>
      </c>
      <c r="C1237" s="516"/>
      <c r="D1237" s="514" t="s">
        <v>1607</v>
      </c>
      <c r="E1237" s="515">
        <v>3</v>
      </c>
      <c r="F1237" s="514"/>
      <c r="G1237" s="515" t="s">
        <v>4214</v>
      </c>
      <c r="H1237" s="514"/>
      <c r="I1237" s="515"/>
      <c r="J1237" s="515">
        <v>1</v>
      </c>
    </row>
    <row r="1238" spans="1:10" ht="13.8" thickBot="1">
      <c r="A1238" s="517"/>
      <c r="B1238" s="518" t="s">
        <v>12290</v>
      </c>
      <c r="C1238" s="516"/>
      <c r="D1238" s="514" t="s">
        <v>12289</v>
      </c>
      <c r="E1238" s="515">
        <v>3</v>
      </c>
      <c r="F1238" s="518" t="s">
        <v>1854</v>
      </c>
      <c r="G1238" s="515" t="s">
        <v>4214</v>
      </c>
      <c r="H1238" s="514"/>
      <c r="I1238" s="515"/>
      <c r="J1238" s="515"/>
    </row>
    <row r="1239" spans="1:10" ht="13.8" thickBot="1">
      <c r="A1239" s="517"/>
      <c r="B1239" s="518" t="s">
        <v>12288</v>
      </c>
      <c r="C1239" s="516"/>
      <c r="D1239" s="514" t="s">
        <v>1607</v>
      </c>
      <c r="E1239" s="515">
        <v>2</v>
      </c>
      <c r="F1239" s="518" t="s">
        <v>1854</v>
      </c>
      <c r="G1239" s="515" t="s">
        <v>4214</v>
      </c>
      <c r="H1239" s="514"/>
      <c r="I1239" s="515"/>
      <c r="J1239" s="515">
        <v>1</v>
      </c>
    </row>
    <row r="1240" spans="1:10" ht="13.8" thickBot="1">
      <c r="A1240" s="517"/>
      <c r="B1240" s="518" t="s">
        <v>12287</v>
      </c>
      <c r="C1240" s="516"/>
      <c r="D1240" s="514" t="s">
        <v>1607</v>
      </c>
      <c r="E1240" s="515">
        <v>2</v>
      </c>
      <c r="F1240" s="514"/>
      <c r="G1240" s="515" t="s">
        <v>4214</v>
      </c>
      <c r="H1240" s="514"/>
      <c r="I1240" s="515"/>
      <c r="J1240" s="515">
        <v>1</v>
      </c>
    </row>
    <row r="1241" spans="1:10" ht="13.8" thickBot="1">
      <c r="A1241" s="517"/>
      <c r="B1241" s="518" t="s">
        <v>12286</v>
      </c>
      <c r="C1241" s="516"/>
      <c r="D1241" s="514" t="s">
        <v>1627</v>
      </c>
      <c r="E1241" s="515">
        <v>2</v>
      </c>
      <c r="F1241" s="518" t="s">
        <v>1854</v>
      </c>
      <c r="G1241" s="515" t="s">
        <v>4214</v>
      </c>
      <c r="H1241" s="514"/>
      <c r="I1241" s="515"/>
      <c r="J1241" s="515"/>
    </row>
    <row r="1242" spans="1:10" ht="13.8" thickBot="1">
      <c r="A1242" s="517"/>
      <c r="B1242" s="518" t="s">
        <v>12285</v>
      </c>
      <c r="C1242" s="516"/>
      <c r="D1242" s="514" t="s">
        <v>1617</v>
      </c>
      <c r="E1242" s="515"/>
      <c r="F1242" s="514"/>
      <c r="G1242" s="515" t="s">
        <v>4214</v>
      </c>
      <c r="H1242" s="514"/>
      <c r="I1242" s="515"/>
      <c r="J1242" s="515"/>
    </row>
    <row r="1243" spans="1:10" ht="13.8" thickBot="1">
      <c r="A1243" s="517"/>
      <c r="B1243" s="518" t="s">
        <v>12284</v>
      </c>
      <c r="C1243" s="516"/>
      <c r="D1243" s="514" t="s">
        <v>1617</v>
      </c>
      <c r="E1243" s="515"/>
      <c r="F1243" s="514"/>
      <c r="G1243" s="515" t="s">
        <v>4214</v>
      </c>
      <c r="H1243" s="514"/>
      <c r="I1243" s="515"/>
      <c r="J1243" s="515"/>
    </row>
    <row r="1244" spans="1:10" ht="13.8" thickBot="1">
      <c r="A1244" s="517"/>
      <c r="B1244" s="518" t="s">
        <v>12283</v>
      </c>
      <c r="C1244" s="516"/>
      <c r="D1244" s="514" t="s">
        <v>1607</v>
      </c>
      <c r="E1244" s="515"/>
      <c r="F1244" s="514"/>
      <c r="G1244" s="515" t="s">
        <v>4214</v>
      </c>
      <c r="H1244" s="514"/>
      <c r="I1244" s="515"/>
      <c r="J1244" s="515"/>
    </row>
    <row r="1245" spans="1:10" ht="13.8" thickBot="1">
      <c r="A1245" s="517"/>
      <c r="B1245" s="518" t="s">
        <v>12282</v>
      </c>
      <c r="C1245" s="516"/>
      <c r="D1245" s="514" t="s">
        <v>1607</v>
      </c>
      <c r="E1245" s="515"/>
      <c r="F1245" s="514"/>
      <c r="G1245" s="515" t="s">
        <v>4214</v>
      </c>
      <c r="H1245" s="514"/>
      <c r="I1245" s="515"/>
      <c r="J1245" s="515"/>
    </row>
    <row r="1246" spans="1:10" ht="13.8" thickBot="1">
      <c r="A1246" s="517"/>
      <c r="B1246" s="518" t="s">
        <v>12281</v>
      </c>
      <c r="C1246" s="516"/>
      <c r="D1246" s="514" t="s">
        <v>1607</v>
      </c>
      <c r="E1246" s="515"/>
      <c r="F1246" s="514"/>
      <c r="G1246" s="515" t="s">
        <v>4214</v>
      </c>
      <c r="H1246" s="514"/>
      <c r="I1246" s="515"/>
      <c r="J1246" s="515"/>
    </row>
    <row r="1247" spans="1:10" ht="13.8" thickBot="1">
      <c r="A1247" s="517"/>
      <c r="B1247" s="518" t="s">
        <v>12280</v>
      </c>
      <c r="C1247" s="516"/>
      <c r="D1247" s="514" t="s">
        <v>1607</v>
      </c>
      <c r="E1247" s="515"/>
      <c r="F1247" s="514"/>
      <c r="G1247" s="515" t="s">
        <v>4214</v>
      </c>
      <c r="H1247" s="514"/>
      <c r="I1247" s="515"/>
      <c r="J1247" s="515"/>
    </row>
    <row r="1248" spans="1:10" ht="13.8" thickBot="1">
      <c r="A1248" s="517"/>
      <c r="B1248" s="518" t="s">
        <v>12279</v>
      </c>
      <c r="C1248" s="516"/>
      <c r="D1248" s="514" t="s">
        <v>4352</v>
      </c>
      <c r="E1248" s="515">
        <v>7.5</v>
      </c>
      <c r="F1248" s="518" t="s">
        <v>614</v>
      </c>
      <c r="G1248" s="515" t="s">
        <v>4347</v>
      </c>
      <c r="H1248" s="514" t="s">
        <v>1226</v>
      </c>
      <c r="I1248" s="515">
        <v>1</v>
      </c>
      <c r="J1248" s="515">
        <v>5</v>
      </c>
    </row>
    <row r="1249" spans="1:10" ht="13.8" thickBot="1">
      <c r="A1249" s="517"/>
      <c r="B1249" s="518" t="s">
        <v>12278</v>
      </c>
      <c r="C1249" s="516"/>
      <c r="D1249" s="514" t="s">
        <v>12277</v>
      </c>
      <c r="E1249" s="515">
        <v>6.4</v>
      </c>
      <c r="F1249" s="518" t="s">
        <v>614</v>
      </c>
      <c r="G1249" s="515" t="s">
        <v>4354</v>
      </c>
      <c r="H1249" s="514" t="s">
        <v>1251</v>
      </c>
      <c r="I1249" s="515">
        <v>4</v>
      </c>
      <c r="J1249" s="515">
        <v>8</v>
      </c>
    </row>
    <row r="1250" spans="1:10" ht="13.8" thickBot="1">
      <c r="A1250" s="517"/>
      <c r="B1250" s="518" t="s">
        <v>12276</v>
      </c>
      <c r="C1250" s="516"/>
      <c r="D1250" s="519" t="s">
        <v>12275</v>
      </c>
      <c r="E1250" s="515">
        <v>6.25</v>
      </c>
      <c r="F1250" s="514"/>
      <c r="G1250" s="515" t="s">
        <v>4354</v>
      </c>
      <c r="H1250" s="514"/>
      <c r="I1250" s="515"/>
      <c r="J1250" s="515">
        <v>1</v>
      </c>
    </row>
    <row r="1251" spans="1:10" ht="13.8" thickBot="1">
      <c r="A1251" s="517"/>
      <c r="B1251" s="518" t="s">
        <v>12274</v>
      </c>
      <c r="C1251" s="516"/>
      <c r="D1251" s="514" t="s">
        <v>12273</v>
      </c>
      <c r="E1251" s="515">
        <v>5.5</v>
      </c>
      <c r="F1251" s="518" t="s">
        <v>614</v>
      </c>
      <c r="G1251" s="515" t="s">
        <v>4364</v>
      </c>
      <c r="H1251" s="514" t="s">
        <v>1226</v>
      </c>
      <c r="I1251" s="515"/>
      <c r="J1251" s="515">
        <v>3</v>
      </c>
    </row>
    <row r="1252" spans="1:10" ht="13.8" thickBot="1">
      <c r="A1252" s="517"/>
      <c r="B1252" s="518" t="s">
        <v>12272</v>
      </c>
      <c r="C1252" s="516"/>
      <c r="D1252" s="514" t="s">
        <v>12271</v>
      </c>
      <c r="E1252" s="515">
        <v>4</v>
      </c>
      <c r="F1252" s="518" t="s">
        <v>1854</v>
      </c>
      <c r="G1252" s="515" t="s">
        <v>4364</v>
      </c>
      <c r="H1252" s="514"/>
      <c r="I1252" s="515"/>
      <c r="J1252" s="515">
        <v>1</v>
      </c>
    </row>
    <row r="1253" spans="1:10" ht="13.8" thickBot="1">
      <c r="A1253" s="517"/>
      <c r="B1253" s="518" t="s">
        <v>12270</v>
      </c>
      <c r="C1253" s="516"/>
      <c r="D1253" s="514" t="s">
        <v>12269</v>
      </c>
      <c r="E1253" s="515">
        <v>4</v>
      </c>
      <c r="F1253" s="518" t="s">
        <v>1854</v>
      </c>
      <c r="G1253" s="515" t="s">
        <v>4364</v>
      </c>
      <c r="H1253" s="514"/>
      <c r="I1253" s="515"/>
      <c r="J1253" s="515"/>
    </row>
    <row r="1254" spans="1:10" ht="13.8" thickBot="1">
      <c r="A1254" s="517"/>
      <c r="B1254" s="518" t="s">
        <v>12268</v>
      </c>
      <c r="C1254" s="516"/>
      <c r="D1254" s="514" t="s">
        <v>12267</v>
      </c>
      <c r="E1254" s="515">
        <v>7.5</v>
      </c>
      <c r="F1254" s="518" t="s">
        <v>1854</v>
      </c>
      <c r="G1254" s="515" t="s">
        <v>4391</v>
      </c>
      <c r="H1254" s="514"/>
      <c r="I1254" s="515">
        <v>1</v>
      </c>
      <c r="J1254" s="515">
        <v>1</v>
      </c>
    </row>
    <row r="1255" spans="1:10" ht="13.8" thickBot="1">
      <c r="A1255" s="517"/>
      <c r="B1255" s="518" t="s">
        <v>12266</v>
      </c>
      <c r="C1255" s="516"/>
      <c r="D1255" s="519" t="s">
        <v>12265</v>
      </c>
      <c r="E1255" s="515">
        <v>7.1</v>
      </c>
      <c r="F1255" s="518" t="s">
        <v>614</v>
      </c>
      <c r="G1255" s="515" t="s">
        <v>4391</v>
      </c>
      <c r="H1255" s="514" t="s">
        <v>1251</v>
      </c>
      <c r="I1255" s="522">
        <v>2</v>
      </c>
      <c r="J1255" s="522">
        <v>6</v>
      </c>
    </row>
    <row r="1256" spans="1:10" ht="13.8" thickBot="1">
      <c r="A1256" s="517"/>
      <c r="B1256" s="518" t="s">
        <v>12264</v>
      </c>
      <c r="C1256" s="516"/>
      <c r="D1256" s="514" t="s">
        <v>12263</v>
      </c>
      <c r="E1256" s="515">
        <v>4</v>
      </c>
      <c r="F1256" s="518" t="s">
        <v>1978</v>
      </c>
      <c r="G1256" s="515" t="s">
        <v>4403</v>
      </c>
      <c r="H1256" s="514" t="s">
        <v>1226</v>
      </c>
      <c r="I1256" s="515"/>
      <c r="J1256" s="515">
        <v>4</v>
      </c>
    </row>
    <row r="1257" spans="1:10" ht="13.8" thickBot="1">
      <c r="A1257" s="517"/>
      <c r="B1257" s="518" t="s">
        <v>12262</v>
      </c>
      <c r="C1257" s="516"/>
      <c r="D1257" s="514" t="s">
        <v>4426</v>
      </c>
      <c r="E1257" s="515">
        <v>6</v>
      </c>
      <c r="F1257" s="514"/>
      <c r="G1257" s="515" t="s">
        <v>4425</v>
      </c>
      <c r="H1257" s="514"/>
      <c r="I1257" s="515"/>
      <c r="J1257" s="515"/>
    </row>
    <row r="1258" spans="1:10" ht="13.8" thickBot="1">
      <c r="A1258" s="517"/>
      <c r="B1258" s="518" t="s">
        <v>12261</v>
      </c>
      <c r="C1258" s="516"/>
      <c r="D1258" s="514" t="s">
        <v>4440</v>
      </c>
      <c r="E1258" s="515">
        <v>7.25</v>
      </c>
      <c r="F1258" s="514"/>
      <c r="G1258" s="515" t="s">
        <v>4438</v>
      </c>
      <c r="H1258" s="514" t="s">
        <v>1226</v>
      </c>
      <c r="I1258" s="515"/>
      <c r="J1258" s="522">
        <v>2</v>
      </c>
    </row>
    <row r="1259" spans="1:10" ht="13.8" thickBot="1">
      <c r="A1259" s="517"/>
      <c r="B1259" s="518" t="s">
        <v>12260</v>
      </c>
      <c r="C1259" s="516"/>
      <c r="D1259" s="514" t="s">
        <v>12259</v>
      </c>
      <c r="E1259" s="515">
        <v>6.5</v>
      </c>
      <c r="F1259" s="518" t="s">
        <v>614</v>
      </c>
      <c r="G1259" s="515" t="s">
        <v>4438</v>
      </c>
      <c r="H1259" s="514" t="s">
        <v>1226</v>
      </c>
      <c r="I1259" s="515">
        <v>3</v>
      </c>
      <c r="J1259" s="515">
        <v>7</v>
      </c>
    </row>
    <row r="1260" spans="1:10" ht="13.8" thickBot="1">
      <c r="A1260" s="517"/>
      <c r="B1260" s="518" t="s">
        <v>12258</v>
      </c>
      <c r="C1260" s="516"/>
      <c r="D1260" s="514" t="s">
        <v>1638</v>
      </c>
      <c r="E1260" s="515">
        <v>5.5</v>
      </c>
      <c r="F1260" s="518" t="s">
        <v>614</v>
      </c>
      <c r="G1260" s="515" t="s">
        <v>4438</v>
      </c>
      <c r="H1260" s="514" t="s">
        <v>1224</v>
      </c>
      <c r="I1260" s="515"/>
      <c r="J1260" s="515">
        <v>3</v>
      </c>
    </row>
    <row r="1261" spans="1:10" ht="13.8" thickBot="1">
      <c r="A1261" s="517"/>
      <c r="B1261" s="518" t="s">
        <v>12257</v>
      </c>
      <c r="C1261" s="516"/>
      <c r="D1261" s="514" t="s">
        <v>12256</v>
      </c>
      <c r="E1261" s="515">
        <v>5.25</v>
      </c>
      <c r="F1261" s="514"/>
      <c r="G1261" s="515" t="s">
        <v>4438</v>
      </c>
      <c r="H1261" s="514" t="s">
        <v>1226</v>
      </c>
      <c r="I1261" s="515"/>
      <c r="J1261" s="515">
        <v>3</v>
      </c>
    </row>
    <row r="1262" spans="1:10" ht="13.8" thickBot="1">
      <c r="A1262" s="517"/>
      <c r="B1262" s="518" t="s">
        <v>12255</v>
      </c>
      <c r="C1262" s="516"/>
      <c r="D1262" s="514" t="s">
        <v>1638</v>
      </c>
      <c r="E1262" s="515">
        <v>4.5</v>
      </c>
      <c r="F1262" s="518" t="s">
        <v>614</v>
      </c>
      <c r="G1262" s="515" t="s">
        <v>4438</v>
      </c>
      <c r="H1262" s="514"/>
      <c r="I1262" s="515"/>
      <c r="J1262" s="515">
        <v>1</v>
      </c>
    </row>
    <row r="1263" spans="1:10" ht="13.8" thickBot="1">
      <c r="A1263" s="517"/>
      <c r="B1263" s="518" t="s">
        <v>12254</v>
      </c>
      <c r="C1263" s="516"/>
      <c r="D1263" s="514" t="s">
        <v>12253</v>
      </c>
      <c r="E1263" s="515">
        <v>4</v>
      </c>
      <c r="F1263" s="518" t="s">
        <v>1854</v>
      </c>
      <c r="G1263" s="515" t="s">
        <v>4438</v>
      </c>
      <c r="H1263" s="514" t="s">
        <v>1224</v>
      </c>
      <c r="I1263" s="515"/>
      <c r="J1263" s="515">
        <v>1</v>
      </c>
    </row>
    <row r="1264" spans="1:10" ht="13.8" thickBot="1">
      <c r="A1264" s="517"/>
      <c r="B1264" s="518" t="s">
        <v>12252</v>
      </c>
      <c r="C1264" s="516"/>
      <c r="D1264" s="514" t="s">
        <v>12251</v>
      </c>
      <c r="E1264" s="515">
        <v>6.25</v>
      </c>
      <c r="F1264" s="518" t="s">
        <v>614</v>
      </c>
      <c r="G1264" s="515" t="s">
        <v>4491</v>
      </c>
      <c r="H1264" s="514" t="s">
        <v>1226</v>
      </c>
      <c r="I1264" s="515"/>
      <c r="J1264" s="515">
        <v>7</v>
      </c>
    </row>
    <row r="1265" spans="1:10" ht="13.8" thickBot="1">
      <c r="A1265" s="517"/>
      <c r="B1265" s="518" t="s">
        <v>12250</v>
      </c>
      <c r="C1265" s="516"/>
      <c r="D1265" s="514" t="s">
        <v>12249</v>
      </c>
      <c r="E1265" s="515">
        <v>8</v>
      </c>
      <c r="F1265" s="518" t="s">
        <v>2223</v>
      </c>
      <c r="G1265" s="515" t="s">
        <v>4509</v>
      </c>
      <c r="H1265" s="514"/>
      <c r="I1265" s="515"/>
      <c r="J1265" s="515"/>
    </row>
    <row r="1266" spans="1:10" ht="13.8" thickBot="1">
      <c r="A1266" s="517"/>
      <c r="B1266" s="518" t="s">
        <v>12248</v>
      </c>
      <c r="C1266" s="516"/>
      <c r="D1266" s="514" t="s">
        <v>12247</v>
      </c>
      <c r="E1266" s="515">
        <v>6.75</v>
      </c>
      <c r="F1266" s="518" t="s">
        <v>614</v>
      </c>
      <c r="G1266" s="515" t="s">
        <v>4509</v>
      </c>
      <c r="H1266" s="514" t="s">
        <v>1226</v>
      </c>
      <c r="I1266" s="515">
        <v>1</v>
      </c>
      <c r="J1266" s="515">
        <v>4</v>
      </c>
    </row>
    <row r="1267" spans="1:10" ht="13.8" thickBot="1">
      <c r="A1267" s="517"/>
      <c r="B1267" s="518" t="s">
        <v>12246</v>
      </c>
      <c r="C1267" s="516"/>
      <c r="D1267" s="514" t="s">
        <v>12245</v>
      </c>
      <c r="E1267" s="515">
        <v>7</v>
      </c>
      <c r="F1267" s="518" t="s">
        <v>614</v>
      </c>
      <c r="G1267" s="515" t="s">
        <v>4536</v>
      </c>
      <c r="H1267" s="514" t="s">
        <v>1226</v>
      </c>
      <c r="I1267" s="515"/>
      <c r="J1267" s="515">
        <v>3</v>
      </c>
    </row>
    <row r="1268" spans="1:10" ht="13.8" thickBot="1">
      <c r="A1268" s="517"/>
      <c r="B1268" s="518" t="s">
        <v>12244</v>
      </c>
      <c r="C1268" s="516"/>
      <c r="D1268" s="514" t="s">
        <v>12243</v>
      </c>
      <c r="E1268" s="515">
        <v>6.3</v>
      </c>
      <c r="F1268" s="518" t="s">
        <v>614</v>
      </c>
      <c r="G1268" s="515" t="s">
        <v>4536</v>
      </c>
      <c r="H1268" s="514" t="s">
        <v>1226</v>
      </c>
      <c r="I1268" s="515">
        <v>1</v>
      </c>
      <c r="J1268" s="515">
        <v>5</v>
      </c>
    </row>
    <row r="1269" spans="1:10" ht="13.8" thickBot="1">
      <c r="A1269" s="517"/>
      <c r="B1269" s="518" t="s">
        <v>12242</v>
      </c>
      <c r="C1269" s="516"/>
      <c r="D1269" s="514" t="s">
        <v>12241</v>
      </c>
      <c r="E1269" s="515">
        <v>6</v>
      </c>
      <c r="F1269" s="518" t="s">
        <v>614</v>
      </c>
      <c r="G1269" s="515" t="s">
        <v>4536</v>
      </c>
      <c r="H1269" s="514"/>
      <c r="I1269" s="515"/>
      <c r="J1269" s="515">
        <v>1</v>
      </c>
    </row>
    <row r="1270" spans="1:10" ht="13.8" thickBot="1">
      <c r="A1270" s="517"/>
      <c r="B1270" s="518" t="s">
        <v>12240</v>
      </c>
      <c r="C1270" s="516"/>
      <c r="D1270" s="514" t="s">
        <v>12239</v>
      </c>
      <c r="E1270" s="515">
        <v>5.5</v>
      </c>
      <c r="F1270" s="514"/>
      <c r="G1270" s="515" t="s">
        <v>4536</v>
      </c>
      <c r="H1270" s="514" t="s">
        <v>1224</v>
      </c>
      <c r="I1270" s="515"/>
      <c r="J1270" s="515">
        <v>2</v>
      </c>
    </row>
    <row r="1271" spans="1:10" ht="13.8" thickBot="1">
      <c r="A1271" s="517"/>
      <c r="B1271" s="518" t="s">
        <v>12238</v>
      </c>
      <c r="C1271" s="516"/>
      <c r="D1271" s="514" t="s">
        <v>12237</v>
      </c>
      <c r="E1271" s="515">
        <v>5</v>
      </c>
      <c r="F1271" s="518" t="s">
        <v>614</v>
      </c>
      <c r="G1271" s="515" t="s">
        <v>4536</v>
      </c>
      <c r="H1271" s="514"/>
      <c r="I1271" s="515"/>
      <c r="J1271" s="515">
        <v>1</v>
      </c>
    </row>
    <row r="1272" spans="1:10" ht="13.8" thickBot="1">
      <c r="A1272" s="517"/>
      <c r="B1272" s="518" t="s">
        <v>12236</v>
      </c>
      <c r="C1272" s="516"/>
      <c r="D1272" s="514" t="s">
        <v>12235</v>
      </c>
      <c r="E1272" s="515">
        <v>7</v>
      </c>
      <c r="F1272" s="518" t="s">
        <v>614</v>
      </c>
      <c r="G1272" s="515" t="s">
        <v>4596</v>
      </c>
      <c r="H1272" s="514" t="s">
        <v>1226</v>
      </c>
      <c r="I1272" s="515"/>
      <c r="J1272" s="515">
        <v>3</v>
      </c>
    </row>
    <row r="1273" spans="1:10" ht="13.8" thickBot="1">
      <c r="A1273" s="517"/>
      <c r="B1273" s="518" t="s">
        <v>12234</v>
      </c>
      <c r="C1273" s="516"/>
      <c r="D1273" s="514" t="s">
        <v>12233</v>
      </c>
      <c r="E1273" s="515">
        <v>6.7</v>
      </c>
      <c r="F1273" s="518" t="s">
        <v>614</v>
      </c>
      <c r="G1273" s="515" t="s">
        <v>4596</v>
      </c>
      <c r="H1273" s="514" t="s">
        <v>1251</v>
      </c>
      <c r="I1273" s="515"/>
      <c r="J1273" s="515">
        <v>9</v>
      </c>
    </row>
    <row r="1274" spans="1:10" ht="13.8" thickBot="1">
      <c r="A1274" s="517"/>
      <c r="B1274" s="518" t="s">
        <v>12232</v>
      </c>
      <c r="C1274" s="516"/>
      <c r="D1274" s="514" t="s">
        <v>12231</v>
      </c>
      <c r="E1274" s="515"/>
      <c r="F1274" s="518" t="s">
        <v>614</v>
      </c>
      <c r="G1274" s="515" t="s">
        <v>4596</v>
      </c>
      <c r="H1274" s="514" t="s">
        <v>1226</v>
      </c>
      <c r="I1274" s="515"/>
      <c r="J1274" s="515">
        <v>1</v>
      </c>
    </row>
    <row r="1275" spans="1:10" ht="13.8" thickBot="1">
      <c r="A1275" s="517"/>
      <c r="B1275" s="518" t="s">
        <v>12230</v>
      </c>
      <c r="C1275" s="516"/>
      <c r="D1275" s="514" t="s">
        <v>4635</v>
      </c>
      <c r="E1275" s="515">
        <v>5</v>
      </c>
      <c r="F1275" s="518" t="s">
        <v>1854</v>
      </c>
      <c r="G1275" s="515" t="s">
        <v>4628</v>
      </c>
      <c r="H1275" s="514"/>
      <c r="I1275" s="515"/>
      <c r="J1275" s="515"/>
    </row>
    <row r="1276" spans="1:10" ht="13.8" thickBot="1">
      <c r="A1276" s="517"/>
      <c r="B1276" s="518" t="s">
        <v>12229</v>
      </c>
      <c r="C1276" s="516"/>
      <c r="D1276" s="514" t="s">
        <v>12228</v>
      </c>
      <c r="E1276" s="515">
        <v>6</v>
      </c>
      <c r="F1276" s="518" t="s">
        <v>2223</v>
      </c>
      <c r="G1276" s="515" t="s">
        <v>4644</v>
      </c>
      <c r="H1276" s="514"/>
      <c r="I1276" s="515"/>
      <c r="J1276" s="515"/>
    </row>
    <row r="1277" spans="1:10" ht="13.8" thickBot="1">
      <c r="A1277" s="517"/>
      <c r="B1277" s="518" t="s">
        <v>12227</v>
      </c>
      <c r="C1277" s="516"/>
      <c r="D1277" s="514" t="s">
        <v>12226</v>
      </c>
      <c r="E1277" s="515">
        <v>6.7</v>
      </c>
      <c r="F1277" s="518" t="s">
        <v>614</v>
      </c>
      <c r="G1277" s="515" t="s">
        <v>4672</v>
      </c>
      <c r="H1277" s="514" t="s">
        <v>1224</v>
      </c>
      <c r="I1277" s="515"/>
      <c r="J1277" s="515">
        <v>5</v>
      </c>
    </row>
    <row r="1278" spans="1:10" ht="13.8" thickBot="1">
      <c r="A1278" s="517"/>
      <c r="B1278" s="518" t="s">
        <v>12225</v>
      </c>
      <c r="C1278" s="516"/>
      <c r="D1278" s="514" t="s">
        <v>12224</v>
      </c>
      <c r="E1278" s="515">
        <v>6.5</v>
      </c>
      <c r="F1278" s="518" t="s">
        <v>614</v>
      </c>
      <c r="G1278" s="515" t="s">
        <v>4672</v>
      </c>
      <c r="H1278" s="514" t="s">
        <v>1226</v>
      </c>
      <c r="I1278" s="515"/>
      <c r="J1278" s="515">
        <v>5</v>
      </c>
    </row>
    <row r="1279" spans="1:10" ht="13.8" thickBot="1">
      <c r="A1279" s="517"/>
      <c r="B1279" s="518" t="s">
        <v>12223</v>
      </c>
      <c r="C1279" s="516"/>
      <c r="D1279" s="514" t="s">
        <v>12222</v>
      </c>
      <c r="E1279" s="515">
        <v>5.5</v>
      </c>
      <c r="F1279" s="514"/>
      <c r="G1279" s="515" t="s">
        <v>4672</v>
      </c>
      <c r="H1279" s="514" t="s">
        <v>1224</v>
      </c>
      <c r="I1279" s="515"/>
      <c r="J1279" s="515">
        <v>1</v>
      </c>
    </row>
    <row r="1280" spans="1:10" ht="13.8" thickBot="1">
      <c r="A1280" s="517"/>
      <c r="B1280" s="518" t="s">
        <v>12221</v>
      </c>
      <c r="C1280" s="516"/>
      <c r="D1280" s="514" t="s">
        <v>12220</v>
      </c>
      <c r="E1280" s="515">
        <v>5</v>
      </c>
      <c r="F1280" s="514"/>
      <c r="G1280" s="515" t="s">
        <v>4672</v>
      </c>
      <c r="H1280" s="514"/>
      <c r="I1280" s="515"/>
      <c r="J1280" s="515">
        <v>2</v>
      </c>
    </row>
    <row r="1281" spans="1:10" ht="13.8" thickBot="1">
      <c r="A1281" s="517"/>
      <c r="B1281" s="518" t="s">
        <v>12219</v>
      </c>
      <c r="C1281" s="516"/>
      <c r="D1281" s="514" t="s">
        <v>12218</v>
      </c>
      <c r="E1281" s="515">
        <v>5</v>
      </c>
      <c r="F1281" s="518" t="s">
        <v>1854</v>
      </c>
      <c r="G1281" s="515" t="s">
        <v>4672</v>
      </c>
      <c r="H1281" s="514"/>
      <c r="I1281" s="515"/>
      <c r="J1281" s="515"/>
    </row>
    <row r="1282" spans="1:10" ht="13.8" thickBot="1">
      <c r="A1282" s="517"/>
      <c r="B1282" s="518" t="s">
        <v>12217</v>
      </c>
      <c r="C1282" s="516"/>
      <c r="D1282" s="514" t="s">
        <v>12216</v>
      </c>
      <c r="E1282" s="515">
        <v>5</v>
      </c>
      <c r="F1282" s="518" t="s">
        <v>1854</v>
      </c>
      <c r="G1282" s="515" t="s">
        <v>4672</v>
      </c>
      <c r="H1282" s="514"/>
      <c r="I1282" s="515"/>
      <c r="J1282" s="515"/>
    </row>
    <row r="1283" spans="1:10" ht="13.8" thickBot="1">
      <c r="A1283" s="517"/>
      <c r="B1283" s="514" t="s">
        <v>12215</v>
      </c>
      <c r="C1283" s="516"/>
      <c r="D1283" s="514" t="s">
        <v>12214</v>
      </c>
      <c r="E1283" s="515">
        <v>4</v>
      </c>
      <c r="F1283" s="514"/>
      <c r="G1283" s="515" t="s">
        <v>4672</v>
      </c>
      <c r="H1283" s="514"/>
      <c r="I1283" s="515"/>
      <c r="J1283" s="515">
        <v>1</v>
      </c>
    </row>
    <row r="1284" spans="1:10" ht="13.8" thickBot="1">
      <c r="A1284" s="517"/>
      <c r="B1284" s="518" t="s">
        <v>12213</v>
      </c>
      <c r="C1284" s="516"/>
      <c r="D1284" s="514" t="s">
        <v>1708</v>
      </c>
      <c r="E1284" s="515">
        <v>3</v>
      </c>
      <c r="F1284" s="518" t="s">
        <v>1854</v>
      </c>
      <c r="G1284" s="515" t="s">
        <v>4672</v>
      </c>
      <c r="H1284" s="514"/>
      <c r="I1284" s="515"/>
      <c r="J1284" s="515"/>
    </row>
    <row r="1285" spans="1:10" ht="13.8" thickBot="1">
      <c r="A1285" s="517"/>
      <c r="B1285" s="518" t="s">
        <v>12212</v>
      </c>
      <c r="C1285" s="516"/>
      <c r="D1285" s="514" t="s">
        <v>4701</v>
      </c>
      <c r="E1285" s="515">
        <v>7.25</v>
      </c>
      <c r="F1285" s="518" t="s">
        <v>1854</v>
      </c>
      <c r="G1285" s="515" t="s">
        <v>4702</v>
      </c>
      <c r="H1285" s="514" t="s">
        <v>1226</v>
      </c>
      <c r="I1285" s="515">
        <v>1</v>
      </c>
      <c r="J1285" s="515">
        <v>1</v>
      </c>
    </row>
    <row r="1286" spans="1:10" ht="13.8" thickBot="1">
      <c r="A1286" s="517"/>
      <c r="B1286" s="518" t="s">
        <v>12211</v>
      </c>
      <c r="C1286" s="516"/>
      <c r="D1286" s="514" t="s">
        <v>12210</v>
      </c>
      <c r="E1286" s="515">
        <v>7</v>
      </c>
      <c r="F1286" s="514"/>
      <c r="G1286" s="515" t="s">
        <v>4717</v>
      </c>
      <c r="H1286" s="514"/>
      <c r="I1286" s="515"/>
      <c r="J1286" s="515"/>
    </row>
    <row r="1287" spans="1:10" ht="13.8" thickBot="1">
      <c r="A1287" s="517"/>
      <c r="B1287" s="518" t="s">
        <v>12209</v>
      </c>
      <c r="C1287" s="516"/>
      <c r="D1287" s="514" t="s">
        <v>12208</v>
      </c>
      <c r="E1287" s="515">
        <v>6.8</v>
      </c>
      <c r="F1287" s="518" t="s">
        <v>614</v>
      </c>
      <c r="G1287" s="515" t="s">
        <v>4717</v>
      </c>
      <c r="H1287" s="514" t="s">
        <v>1251</v>
      </c>
      <c r="I1287" s="515"/>
      <c r="J1287" s="515">
        <v>5</v>
      </c>
    </row>
    <row r="1288" spans="1:10" ht="13.8" thickBot="1">
      <c r="A1288" s="517"/>
      <c r="B1288" s="518" t="s">
        <v>12207</v>
      </c>
      <c r="C1288" s="516"/>
      <c r="D1288" s="514" t="s">
        <v>12206</v>
      </c>
      <c r="E1288" s="515">
        <v>6.5</v>
      </c>
      <c r="F1288" s="518" t="s">
        <v>614</v>
      </c>
      <c r="G1288" s="515" t="s">
        <v>4717</v>
      </c>
      <c r="H1288" s="514" t="s">
        <v>1226</v>
      </c>
      <c r="I1288" s="515"/>
      <c r="J1288" s="515">
        <v>2</v>
      </c>
    </row>
    <row r="1289" spans="1:10" ht="13.8" thickBot="1">
      <c r="A1289" s="517"/>
      <c r="B1289" s="518" t="s">
        <v>12205</v>
      </c>
      <c r="C1289" s="516"/>
      <c r="D1289" s="514" t="s">
        <v>12204</v>
      </c>
      <c r="E1289" s="515">
        <v>6</v>
      </c>
      <c r="F1289" s="518" t="s">
        <v>1854</v>
      </c>
      <c r="G1289" s="515" t="s">
        <v>4717</v>
      </c>
      <c r="H1289" s="514"/>
      <c r="I1289" s="515"/>
      <c r="J1289" s="515">
        <v>1</v>
      </c>
    </row>
    <row r="1290" spans="1:10" ht="13.8" thickBot="1">
      <c r="A1290" s="517"/>
      <c r="B1290" s="518" t="s">
        <v>12203</v>
      </c>
      <c r="C1290" s="516"/>
      <c r="D1290" s="514" t="s">
        <v>12202</v>
      </c>
      <c r="E1290" s="515">
        <v>7</v>
      </c>
      <c r="F1290" s="518" t="s">
        <v>614</v>
      </c>
      <c r="G1290" s="515" t="s">
        <v>4789</v>
      </c>
      <c r="H1290" s="514" t="s">
        <v>1226</v>
      </c>
      <c r="I1290" s="522"/>
      <c r="J1290" s="515">
        <v>4</v>
      </c>
    </row>
    <row r="1291" spans="1:10" ht="13.8" thickBot="1">
      <c r="A1291" s="517"/>
      <c r="B1291" s="518" t="s">
        <v>12201</v>
      </c>
      <c r="C1291" s="516"/>
      <c r="D1291" s="514" t="s">
        <v>12200</v>
      </c>
      <c r="E1291" s="515">
        <v>7</v>
      </c>
      <c r="F1291" s="514"/>
      <c r="G1291" s="515" t="s">
        <v>4789</v>
      </c>
      <c r="H1291" s="514"/>
      <c r="I1291" s="515">
        <v>1</v>
      </c>
      <c r="J1291" s="515">
        <v>3</v>
      </c>
    </row>
    <row r="1292" spans="1:10" ht="13.8" thickBot="1">
      <c r="A1292" s="517"/>
      <c r="B1292" s="518" t="s">
        <v>12199</v>
      </c>
      <c r="C1292" s="516"/>
      <c r="D1292" s="514" t="s">
        <v>12198</v>
      </c>
      <c r="E1292" s="515">
        <v>6.5</v>
      </c>
      <c r="F1292" s="518" t="s">
        <v>614</v>
      </c>
      <c r="G1292" s="515" t="s">
        <v>4789</v>
      </c>
      <c r="H1292" s="514" t="s">
        <v>1220</v>
      </c>
      <c r="I1292" s="515"/>
      <c r="J1292" s="515">
        <v>2</v>
      </c>
    </row>
    <row r="1293" spans="1:10" ht="13.8" thickBot="1">
      <c r="A1293" s="517"/>
      <c r="B1293" s="514" t="s">
        <v>12197</v>
      </c>
      <c r="C1293" s="516"/>
      <c r="D1293" s="514" t="s">
        <v>12196</v>
      </c>
      <c r="E1293" s="515">
        <v>6.5</v>
      </c>
      <c r="F1293" s="514"/>
      <c r="G1293" s="515" t="s">
        <v>4789</v>
      </c>
      <c r="H1293" s="514"/>
      <c r="I1293" s="515"/>
      <c r="J1293" s="515">
        <v>1</v>
      </c>
    </row>
    <row r="1294" spans="1:10" ht="13.8" thickBot="1">
      <c r="A1294" s="517"/>
      <c r="B1294" s="518" t="s">
        <v>12195</v>
      </c>
      <c r="C1294" s="516"/>
      <c r="D1294" s="514" t="s">
        <v>4796</v>
      </c>
      <c r="E1294" s="515">
        <v>6.25</v>
      </c>
      <c r="F1294" s="518" t="s">
        <v>1854</v>
      </c>
      <c r="G1294" s="515" t="s">
        <v>4789</v>
      </c>
      <c r="H1294" s="514" t="s">
        <v>1226</v>
      </c>
      <c r="I1294" s="515"/>
      <c r="J1294" s="515">
        <v>6</v>
      </c>
    </row>
    <row r="1295" spans="1:10" ht="13.8" thickBot="1">
      <c r="A1295" s="517"/>
      <c r="B1295" s="518" t="s">
        <v>12194</v>
      </c>
      <c r="C1295" s="516"/>
      <c r="D1295" s="514" t="s">
        <v>12193</v>
      </c>
      <c r="E1295" s="515">
        <v>6</v>
      </c>
      <c r="F1295" s="518" t="s">
        <v>614</v>
      </c>
      <c r="G1295" s="515" t="s">
        <v>4789</v>
      </c>
      <c r="H1295" s="514"/>
      <c r="I1295" s="515"/>
      <c r="J1295" s="515">
        <v>13</v>
      </c>
    </row>
    <row r="1296" spans="1:10" ht="13.8" thickBot="1">
      <c r="A1296" s="517"/>
      <c r="B1296" s="518" t="s">
        <v>12192</v>
      </c>
      <c r="C1296" s="516"/>
      <c r="D1296" s="514" t="s">
        <v>12191</v>
      </c>
      <c r="E1296" s="515">
        <v>5.75</v>
      </c>
      <c r="F1296" s="514"/>
      <c r="G1296" s="515" t="s">
        <v>4789</v>
      </c>
      <c r="H1296" s="514"/>
      <c r="I1296" s="515"/>
      <c r="J1296" s="515">
        <v>1</v>
      </c>
    </row>
    <row r="1297" spans="1:10" ht="13.8" thickBot="1">
      <c r="A1297" s="517"/>
      <c r="B1297" s="518" t="s">
        <v>12190</v>
      </c>
      <c r="C1297" s="516"/>
      <c r="D1297" s="514" t="s">
        <v>12189</v>
      </c>
      <c r="E1297" s="515">
        <v>5.5</v>
      </c>
      <c r="F1297" s="518" t="s">
        <v>614</v>
      </c>
      <c r="G1297" s="515" t="s">
        <v>4789</v>
      </c>
      <c r="H1297" s="514" t="s">
        <v>1224</v>
      </c>
      <c r="I1297" s="515"/>
      <c r="J1297" s="515">
        <v>9</v>
      </c>
    </row>
    <row r="1298" spans="1:10" ht="13.8" thickBot="1">
      <c r="A1298" s="517"/>
      <c r="B1298" s="518" t="s">
        <v>12188</v>
      </c>
      <c r="C1298" s="516"/>
      <c r="D1298" s="514" t="s">
        <v>12187</v>
      </c>
      <c r="E1298" s="515">
        <v>7.25</v>
      </c>
      <c r="F1298" s="518" t="s">
        <v>614</v>
      </c>
      <c r="G1298" s="515" t="s">
        <v>4822</v>
      </c>
      <c r="H1298" s="514" t="s">
        <v>1251</v>
      </c>
      <c r="I1298" s="515"/>
      <c r="J1298" s="515">
        <v>1</v>
      </c>
    </row>
    <row r="1299" spans="1:10" ht="13.8" thickBot="1">
      <c r="A1299" s="517"/>
      <c r="B1299" s="518" t="s">
        <v>12186</v>
      </c>
      <c r="C1299" s="516"/>
      <c r="D1299" s="514" t="s">
        <v>12185</v>
      </c>
      <c r="E1299" s="515">
        <v>6.75</v>
      </c>
      <c r="F1299" s="518" t="s">
        <v>614</v>
      </c>
      <c r="G1299" s="515" t="s">
        <v>4822</v>
      </c>
      <c r="H1299" s="514"/>
      <c r="I1299" s="515"/>
      <c r="J1299" s="515">
        <v>2</v>
      </c>
    </row>
    <row r="1300" spans="1:10" ht="13.8" thickBot="1">
      <c r="A1300" s="517"/>
      <c r="B1300" s="518" t="s">
        <v>12184</v>
      </c>
      <c r="C1300" s="516"/>
      <c r="D1300" s="514" t="s">
        <v>12183</v>
      </c>
      <c r="E1300" s="515">
        <v>6.75</v>
      </c>
      <c r="F1300" s="518" t="s">
        <v>614</v>
      </c>
      <c r="G1300" s="515" t="s">
        <v>4822</v>
      </c>
      <c r="H1300" s="514"/>
      <c r="I1300" s="515"/>
      <c r="J1300" s="515">
        <v>1</v>
      </c>
    </row>
    <row r="1301" spans="1:10" ht="13.8" thickBot="1">
      <c r="A1301" s="517"/>
      <c r="B1301" s="518" t="s">
        <v>12182</v>
      </c>
      <c r="C1301" s="516"/>
      <c r="D1301" s="514" t="s">
        <v>12181</v>
      </c>
      <c r="E1301" s="515">
        <v>6.5</v>
      </c>
      <c r="F1301" s="518" t="s">
        <v>614</v>
      </c>
      <c r="G1301" s="515" t="s">
        <v>4822</v>
      </c>
      <c r="H1301" s="514" t="s">
        <v>1251</v>
      </c>
      <c r="I1301" s="515"/>
      <c r="J1301" s="515">
        <v>3</v>
      </c>
    </row>
    <row r="1302" spans="1:10" ht="13.8" thickBot="1">
      <c r="A1302" s="517"/>
      <c r="B1302" s="518" t="s">
        <v>12180</v>
      </c>
      <c r="C1302" s="516"/>
      <c r="D1302" s="514" t="s">
        <v>12179</v>
      </c>
      <c r="E1302" s="515">
        <v>6</v>
      </c>
      <c r="F1302" s="518" t="s">
        <v>614</v>
      </c>
      <c r="G1302" s="515" t="s">
        <v>4822</v>
      </c>
      <c r="H1302" s="514" t="s">
        <v>1226</v>
      </c>
      <c r="I1302" s="515">
        <v>1</v>
      </c>
      <c r="J1302" s="515">
        <v>4</v>
      </c>
    </row>
    <row r="1303" spans="1:10" ht="13.8" thickBot="1">
      <c r="A1303" s="517"/>
      <c r="B1303" s="518" t="s">
        <v>12178</v>
      </c>
      <c r="C1303" s="516"/>
      <c r="D1303" s="514" t="s">
        <v>1755</v>
      </c>
      <c r="E1303" s="515">
        <v>6</v>
      </c>
      <c r="F1303" s="518" t="s">
        <v>1854</v>
      </c>
      <c r="G1303" s="515" t="s">
        <v>4822</v>
      </c>
      <c r="H1303" s="514"/>
      <c r="I1303" s="522">
        <v>1</v>
      </c>
      <c r="J1303" s="522">
        <v>1</v>
      </c>
    </row>
    <row r="1304" spans="1:10" ht="13.8" thickBot="1">
      <c r="A1304" s="517"/>
      <c r="B1304" s="518" t="s">
        <v>12177</v>
      </c>
      <c r="C1304" s="516"/>
      <c r="D1304" s="514" t="s">
        <v>12176</v>
      </c>
      <c r="E1304" s="515">
        <v>7.5</v>
      </c>
      <c r="F1304" s="518" t="s">
        <v>1854</v>
      </c>
      <c r="G1304" s="515" t="s">
        <v>4850</v>
      </c>
      <c r="H1304" s="514" t="s">
        <v>1226</v>
      </c>
      <c r="I1304" s="515"/>
      <c r="J1304" s="515">
        <v>1</v>
      </c>
    </row>
    <row r="1305" spans="1:10" ht="13.8" thickBot="1">
      <c r="A1305" s="517"/>
      <c r="B1305" s="518" t="s">
        <v>12175</v>
      </c>
      <c r="C1305" s="516"/>
      <c r="D1305" s="514" t="s">
        <v>12174</v>
      </c>
      <c r="E1305" s="515">
        <v>7.75</v>
      </c>
      <c r="F1305" s="518" t="s">
        <v>614</v>
      </c>
      <c r="G1305" s="515" t="s">
        <v>4865</v>
      </c>
      <c r="H1305" s="514"/>
      <c r="I1305" s="515"/>
      <c r="J1305" s="515">
        <v>3</v>
      </c>
    </row>
    <row r="1306" spans="1:10" ht="13.8" thickBot="1">
      <c r="A1306" s="517"/>
      <c r="B1306" s="518" t="s">
        <v>12173</v>
      </c>
      <c r="C1306" s="516"/>
      <c r="D1306" s="514" t="s">
        <v>12172</v>
      </c>
      <c r="E1306" s="515">
        <v>6.5</v>
      </c>
      <c r="F1306" s="518" t="s">
        <v>2223</v>
      </c>
      <c r="G1306" s="515" t="s">
        <v>4865</v>
      </c>
      <c r="H1306" s="514"/>
      <c r="I1306" s="515"/>
      <c r="J1306" s="515"/>
    </row>
    <row r="1307" spans="1:10" ht="13.8" thickBot="1">
      <c r="A1307" s="517"/>
      <c r="B1307" s="518" t="s">
        <v>12171</v>
      </c>
      <c r="C1307" s="516"/>
      <c r="D1307" s="514" t="s">
        <v>4867</v>
      </c>
      <c r="E1307" s="515">
        <v>6.25</v>
      </c>
      <c r="F1307" s="514"/>
      <c r="G1307" s="515" t="s">
        <v>4865</v>
      </c>
      <c r="H1307" s="514" t="s">
        <v>1251</v>
      </c>
      <c r="I1307" s="515"/>
      <c r="J1307" s="515">
        <v>5</v>
      </c>
    </row>
    <row r="1308" spans="1:10" ht="13.8" thickBot="1">
      <c r="A1308" s="517"/>
      <c r="B1308" s="518" t="s">
        <v>12170</v>
      </c>
      <c r="C1308" s="516"/>
      <c r="D1308" s="514" t="s">
        <v>12169</v>
      </c>
      <c r="E1308" s="515">
        <v>6</v>
      </c>
      <c r="F1308" s="518" t="s">
        <v>614</v>
      </c>
      <c r="G1308" s="515" t="s">
        <v>4905</v>
      </c>
      <c r="H1308" s="514" t="s">
        <v>1251</v>
      </c>
      <c r="I1308" s="515"/>
      <c r="J1308" s="515">
        <v>7</v>
      </c>
    </row>
    <row r="1309" spans="1:10" ht="13.8" thickBot="1">
      <c r="A1309" s="517"/>
      <c r="B1309" s="518" t="s">
        <v>12168</v>
      </c>
      <c r="C1309" s="516"/>
      <c r="D1309" s="514" t="s">
        <v>12167</v>
      </c>
      <c r="E1309" s="515">
        <v>5.5</v>
      </c>
      <c r="F1309" s="518" t="s">
        <v>614</v>
      </c>
      <c r="G1309" s="515" t="s">
        <v>4905</v>
      </c>
      <c r="H1309" s="514" t="s">
        <v>1224</v>
      </c>
      <c r="I1309" s="515">
        <v>1</v>
      </c>
      <c r="J1309" s="515">
        <v>7</v>
      </c>
    </row>
    <row r="1310" spans="1:10" ht="13.8" thickBot="1">
      <c r="A1310" s="517"/>
      <c r="B1310" s="518" t="s">
        <v>12166</v>
      </c>
      <c r="C1310" s="516"/>
      <c r="D1310" s="514" t="s">
        <v>4930</v>
      </c>
      <c r="E1310" s="515">
        <v>8</v>
      </c>
      <c r="F1310" s="514"/>
      <c r="G1310" s="515" t="s">
        <v>4918</v>
      </c>
      <c r="H1310" s="514"/>
      <c r="I1310" s="522"/>
      <c r="J1310" s="522"/>
    </row>
    <row r="1311" spans="1:10" ht="13.8" thickBot="1">
      <c r="A1311" s="517"/>
      <c r="B1311" s="518" t="s">
        <v>12165</v>
      </c>
      <c r="C1311" s="516"/>
      <c r="D1311" s="514" t="s">
        <v>4935</v>
      </c>
      <c r="E1311" s="515">
        <v>7.25</v>
      </c>
      <c r="F1311" s="518" t="s">
        <v>614</v>
      </c>
      <c r="G1311" s="515" t="s">
        <v>4918</v>
      </c>
      <c r="H1311" s="514" t="s">
        <v>1226</v>
      </c>
      <c r="I1311" s="515"/>
      <c r="J1311" s="515">
        <v>1</v>
      </c>
    </row>
    <row r="1312" spans="1:10" ht="13.8" thickBot="1">
      <c r="A1312" s="517"/>
      <c r="B1312" s="518" t="s">
        <v>12164</v>
      </c>
      <c r="C1312" s="516"/>
      <c r="D1312" s="514" t="s">
        <v>12163</v>
      </c>
      <c r="E1312" s="515">
        <v>5</v>
      </c>
      <c r="F1312" s="518" t="s">
        <v>614</v>
      </c>
      <c r="G1312" s="515" t="s">
        <v>4918</v>
      </c>
      <c r="H1312" s="514"/>
      <c r="I1312" s="515"/>
      <c r="J1312" s="515">
        <v>1</v>
      </c>
    </row>
    <row r="1313" spans="1:10" ht="13.8" thickBot="1">
      <c r="A1313" s="517"/>
      <c r="B1313" s="518" t="s">
        <v>12162</v>
      </c>
      <c r="C1313" s="516"/>
      <c r="D1313" s="514" t="s">
        <v>12161</v>
      </c>
      <c r="E1313" s="515">
        <v>5</v>
      </c>
      <c r="F1313" s="514"/>
      <c r="G1313" s="515" t="s">
        <v>4918</v>
      </c>
      <c r="H1313" s="514"/>
      <c r="I1313" s="515"/>
      <c r="J1313" s="515"/>
    </row>
    <row r="1314" spans="1:10" ht="13.8" thickBot="1">
      <c r="A1314" s="517"/>
      <c r="B1314" s="518" t="s">
        <v>12160</v>
      </c>
      <c r="C1314" s="516"/>
      <c r="D1314" s="514" t="s">
        <v>12159</v>
      </c>
      <c r="E1314" s="515">
        <v>6</v>
      </c>
      <c r="F1314" s="518" t="s">
        <v>614</v>
      </c>
      <c r="G1314" s="515" t="s">
        <v>4943</v>
      </c>
      <c r="H1314" s="514" t="s">
        <v>1251</v>
      </c>
      <c r="I1314" s="515">
        <v>1</v>
      </c>
      <c r="J1314" s="515">
        <v>9</v>
      </c>
    </row>
    <row r="1315" spans="1:10" ht="13.8" thickBot="1">
      <c r="A1315" s="517"/>
      <c r="B1315" s="518" t="s">
        <v>12158</v>
      </c>
      <c r="C1315" s="516"/>
      <c r="D1315" s="514" t="s">
        <v>4959</v>
      </c>
      <c r="E1315" s="515">
        <v>6</v>
      </c>
      <c r="F1315" s="518" t="s">
        <v>614</v>
      </c>
      <c r="G1315" s="515" t="s">
        <v>4943</v>
      </c>
      <c r="H1315" s="514"/>
      <c r="I1315" s="515"/>
      <c r="J1315" s="515">
        <v>2</v>
      </c>
    </row>
    <row r="1316" spans="1:10" ht="13.8" thickBot="1">
      <c r="A1316" s="517"/>
      <c r="B1316" s="518" t="s">
        <v>12157</v>
      </c>
      <c r="C1316" s="516"/>
      <c r="D1316" s="514" t="s">
        <v>4942</v>
      </c>
      <c r="E1316" s="515">
        <v>6</v>
      </c>
      <c r="F1316" s="514"/>
      <c r="G1316" s="515" t="s">
        <v>4943</v>
      </c>
      <c r="H1316" s="514"/>
      <c r="I1316" s="515"/>
      <c r="J1316" s="515">
        <v>1</v>
      </c>
    </row>
    <row r="1317" spans="1:10" ht="13.8" thickBot="1">
      <c r="A1317" s="517"/>
      <c r="B1317" s="518" t="s">
        <v>12156</v>
      </c>
      <c r="C1317" s="516"/>
      <c r="D1317" s="514" t="s">
        <v>12155</v>
      </c>
      <c r="E1317" s="515">
        <v>6.5</v>
      </c>
      <c r="F1317" s="514"/>
      <c r="G1317" s="515" t="s">
        <v>4963</v>
      </c>
      <c r="H1317" s="514"/>
      <c r="I1317" s="515"/>
      <c r="J1317" s="515">
        <v>1</v>
      </c>
    </row>
    <row r="1318" spans="1:10" ht="13.8" thickBot="1">
      <c r="A1318" s="517"/>
      <c r="B1318" s="518" t="s">
        <v>12154</v>
      </c>
      <c r="C1318" s="516"/>
      <c r="D1318" s="514" t="s">
        <v>4966</v>
      </c>
      <c r="E1318" s="515">
        <v>5.5</v>
      </c>
      <c r="F1318" s="518" t="s">
        <v>614</v>
      </c>
      <c r="G1318" s="515" t="s">
        <v>4963</v>
      </c>
      <c r="H1318" s="514" t="s">
        <v>1224</v>
      </c>
      <c r="I1318" s="515"/>
      <c r="J1318" s="515">
        <v>1</v>
      </c>
    </row>
    <row r="1319" spans="1:10" ht="13.8" thickBot="1">
      <c r="A1319" s="517"/>
      <c r="B1319" s="518" t="s">
        <v>12153</v>
      </c>
      <c r="C1319" s="516"/>
      <c r="D1319" s="520" t="s">
        <v>12152</v>
      </c>
      <c r="E1319" s="521">
        <v>8</v>
      </c>
      <c r="F1319" s="518" t="s">
        <v>1854</v>
      </c>
      <c r="G1319" s="515" t="s">
        <v>4970</v>
      </c>
      <c r="H1319" s="514"/>
      <c r="I1319" s="521">
        <v>1</v>
      </c>
      <c r="J1319" s="521">
        <v>1</v>
      </c>
    </row>
    <row r="1320" spans="1:10" ht="13.8" thickBot="1">
      <c r="A1320" s="517"/>
      <c r="B1320" s="518" t="s">
        <v>12151</v>
      </c>
      <c r="C1320" s="516"/>
      <c r="D1320" s="520" t="s">
        <v>12150</v>
      </c>
      <c r="E1320" s="521">
        <v>8</v>
      </c>
      <c r="F1320" s="518" t="s">
        <v>1854</v>
      </c>
      <c r="G1320" s="515" t="s">
        <v>4970</v>
      </c>
      <c r="H1320" s="514"/>
      <c r="I1320" s="515"/>
      <c r="J1320" s="515"/>
    </row>
    <row r="1321" spans="1:10" ht="13.8" thickBot="1">
      <c r="A1321" s="517"/>
      <c r="B1321" s="518" t="s">
        <v>12149</v>
      </c>
      <c r="C1321" s="516"/>
      <c r="D1321" s="514" t="s">
        <v>12148</v>
      </c>
      <c r="E1321" s="529">
        <v>8</v>
      </c>
      <c r="F1321" s="518" t="s">
        <v>1854</v>
      </c>
      <c r="G1321" s="515" t="s">
        <v>4970</v>
      </c>
      <c r="H1321" s="514"/>
      <c r="I1321" s="515"/>
      <c r="J1321" s="515"/>
    </row>
    <row r="1322" spans="1:10" ht="13.8" thickBot="1">
      <c r="A1322" s="517"/>
      <c r="B1322" s="518" t="s">
        <v>12147</v>
      </c>
      <c r="C1322" s="516"/>
      <c r="D1322" s="514" t="s">
        <v>12146</v>
      </c>
      <c r="E1322" s="515">
        <v>8</v>
      </c>
      <c r="F1322" s="514"/>
      <c r="G1322" s="515" t="s">
        <v>4970</v>
      </c>
      <c r="H1322" s="514"/>
      <c r="I1322" s="515"/>
      <c r="J1322" s="515"/>
    </row>
    <row r="1323" spans="1:10" ht="13.8" thickBot="1">
      <c r="A1323" s="517"/>
      <c r="B1323" s="518" t="s">
        <v>12145</v>
      </c>
      <c r="C1323" s="516"/>
      <c r="D1323" s="514" t="s">
        <v>12144</v>
      </c>
      <c r="E1323" s="515">
        <v>7.5</v>
      </c>
      <c r="F1323" s="518" t="s">
        <v>1854</v>
      </c>
      <c r="G1323" s="515" t="s">
        <v>4970</v>
      </c>
      <c r="H1323" s="514"/>
      <c r="I1323" s="515"/>
      <c r="J1323" s="515"/>
    </row>
    <row r="1324" spans="1:10" ht="13.8" thickBot="1">
      <c r="A1324" s="517"/>
      <c r="B1324" s="518" t="s">
        <v>12143</v>
      </c>
      <c r="C1324" s="516"/>
      <c r="D1324" s="514" t="s">
        <v>12142</v>
      </c>
      <c r="E1324" s="515">
        <v>7.25</v>
      </c>
      <c r="F1324" s="518" t="s">
        <v>1854</v>
      </c>
      <c r="G1324" s="515" t="s">
        <v>4970</v>
      </c>
      <c r="H1324" s="514"/>
      <c r="I1324" s="515"/>
      <c r="J1324" s="515"/>
    </row>
    <row r="1325" spans="1:10" ht="13.8" thickBot="1">
      <c r="A1325" s="517"/>
      <c r="B1325" s="518" t="s">
        <v>12141</v>
      </c>
      <c r="C1325" s="516"/>
      <c r="D1325" s="514" t="s">
        <v>12140</v>
      </c>
      <c r="E1325" s="515">
        <v>7</v>
      </c>
      <c r="F1325" s="518" t="s">
        <v>1854</v>
      </c>
      <c r="G1325" s="515" t="s">
        <v>4970</v>
      </c>
      <c r="H1325" s="514"/>
      <c r="I1325" s="515"/>
      <c r="J1325" s="515"/>
    </row>
    <row r="1326" spans="1:10" ht="13.8" thickBot="1">
      <c r="A1326" s="517"/>
      <c r="B1326" s="518" t="s">
        <v>12139</v>
      </c>
      <c r="C1326" s="516"/>
      <c r="D1326" s="514" t="s">
        <v>12138</v>
      </c>
      <c r="E1326" s="515">
        <v>6.75</v>
      </c>
      <c r="F1326" s="518" t="s">
        <v>614</v>
      </c>
      <c r="G1326" s="515" t="s">
        <v>4970</v>
      </c>
      <c r="H1326" s="514" t="s">
        <v>1224</v>
      </c>
      <c r="I1326" s="515"/>
      <c r="J1326" s="515">
        <v>4</v>
      </c>
    </row>
    <row r="1327" spans="1:10" ht="13.8" thickBot="1">
      <c r="A1327" s="517"/>
      <c r="B1327" s="518" t="s">
        <v>12137</v>
      </c>
      <c r="C1327" s="516"/>
      <c r="D1327" s="514" t="s">
        <v>12136</v>
      </c>
      <c r="E1327" s="515">
        <v>6.5</v>
      </c>
      <c r="F1327" s="518" t="s">
        <v>1854</v>
      </c>
      <c r="G1327" s="515" t="s">
        <v>4970</v>
      </c>
      <c r="H1327" s="514" t="s">
        <v>1224</v>
      </c>
      <c r="I1327" s="515"/>
      <c r="J1327" s="515">
        <v>1</v>
      </c>
    </row>
    <row r="1328" spans="1:10" ht="13.8" thickBot="1">
      <c r="A1328" s="517"/>
      <c r="B1328" s="518" t="s">
        <v>12135</v>
      </c>
      <c r="C1328" s="516"/>
      <c r="D1328" s="514" t="s">
        <v>12134</v>
      </c>
      <c r="E1328" s="515">
        <v>6.5</v>
      </c>
      <c r="F1328" s="518" t="s">
        <v>614</v>
      </c>
      <c r="G1328" s="515" t="s">
        <v>4970</v>
      </c>
      <c r="H1328" s="514"/>
      <c r="I1328" s="522"/>
      <c r="J1328" s="522">
        <v>2</v>
      </c>
    </row>
    <row r="1329" spans="1:10" ht="13.8" thickBot="1">
      <c r="A1329" s="517"/>
      <c r="B1329" s="518" t="s">
        <v>12133</v>
      </c>
      <c r="C1329" s="516"/>
      <c r="D1329" s="514" t="s">
        <v>12132</v>
      </c>
      <c r="E1329" s="515">
        <v>6.25</v>
      </c>
      <c r="F1329" s="514"/>
      <c r="G1329" s="515" t="s">
        <v>4970</v>
      </c>
      <c r="H1329" s="514"/>
      <c r="I1329" s="515"/>
      <c r="J1329" s="515">
        <v>2</v>
      </c>
    </row>
    <row r="1330" spans="1:10" ht="13.8" thickBot="1">
      <c r="A1330" s="517"/>
      <c r="B1330" s="518" t="s">
        <v>12131</v>
      </c>
      <c r="C1330" s="516"/>
      <c r="D1330" s="514" t="s">
        <v>1593</v>
      </c>
      <c r="E1330" s="515">
        <v>6</v>
      </c>
      <c r="F1330" s="518" t="s">
        <v>614</v>
      </c>
      <c r="G1330" s="515" t="s">
        <v>4970</v>
      </c>
      <c r="H1330" s="514"/>
      <c r="I1330" s="515"/>
      <c r="J1330" s="515">
        <v>2</v>
      </c>
    </row>
    <row r="1331" spans="1:10" ht="13.8" thickBot="1">
      <c r="A1331" s="517"/>
      <c r="B1331" s="518" t="s">
        <v>12130</v>
      </c>
      <c r="C1331" s="516"/>
      <c r="D1331" s="514" t="s">
        <v>1598</v>
      </c>
      <c r="E1331" s="515">
        <v>6</v>
      </c>
      <c r="F1331" s="514"/>
      <c r="G1331" s="515" t="s">
        <v>4970</v>
      </c>
      <c r="H1331" s="514"/>
      <c r="I1331" s="515"/>
      <c r="J1331" s="515">
        <v>2</v>
      </c>
    </row>
    <row r="1332" spans="1:10" ht="13.8" thickBot="1">
      <c r="A1332" s="517"/>
      <c r="B1332" s="518" t="s">
        <v>12129</v>
      </c>
      <c r="C1332" s="516"/>
      <c r="D1332" s="514" t="s">
        <v>12128</v>
      </c>
      <c r="E1332" s="515">
        <v>6</v>
      </c>
      <c r="F1332" s="518" t="s">
        <v>614</v>
      </c>
      <c r="G1332" s="515" t="s">
        <v>4970</v>
      </c>
      <c r="H1332" s="514"/>
      <c r="I1332" s="515"/>
      <c r="J1332" s="515">
        <v>1</v>
      </c>
    </row>
    <row r="1333" spans="1:10" ht="13.8" thickBot="1">
      <c r="A1333" s="517"/>
      <c r="B1333" s="518" t="s">
        <v>12127</v>
      </c>
      <c r="C1333" s="516"/>
      <c r="D1333" s="514" t="s">
        <v>1593</v>
      </c>
      <c r="E1333" s="515">
        <v>5.5</v>
      </c>
      <c r="F1333" s="518" t="s">
        <v>614</v>
      </c>
      <c r="G1333" s="515" t="s">
        <v>4970</v>
      </c>
      <c r="H1333" s="514" t="s">
        <v>1220</v>
      </c>
      <c r="I1333" s="515"/>
      <c r="J1333" s="515">
        <v>3</v>
      </c>
    </row>
    <row r="1334" spans="1:10" ht="13.8" thickBot="1">
      <c r="A1334" s="517"/>
      <c r="B1334" s="518" t="s">
        <v>12126</v>
      </c>
      <c r="C1334" s="516"/>
      <c r="D1334" s="514" t="s">
        <v>12125</v>
      </c>
      <c r="E1334" s="515">
        <v>5.5</v>
      </c>
      <c r="F1334" s="514"/>
      <c r="G1334" s="515" t="s">
        <v>4970</v>
      </c>
      <c r="H1334" s="514"/>
      <c r="I1334" s="522">
        <v>1</v>
      </c>
      <c r="J1334" s="522">
        <v>2</v>
      </c>
    </row>
    <row r="1335" spans="1:10" ht="13.8" thickBot="1">
      <c r="A1335" s="517"/>
      <c r="B1335" s="518" t="s">
        <v>12124</v>
      </c>
      <c r="C1335" s="516"/>
      <c r="D1335" s="514" t="s">
        <v>12123</v>
      </c>
      <c r="E1335" s="515">
        <v>5.5</v>
      </c>
      <c r="F1335" s="518" t="s">
        <v>151</v>
      </c>
      <c r="G1335" s="515" t="s">
        <v>4970</v>
      </c>
      <c r="H1335" s="514"/>
      <c r="I1335" s="515"/>
      <c r="J1335" s="515">
        <v>1</v>
      </c>
    </row>
    <row r="1336" spans="1:10" ht="13.8" thickBot="1">
      <c r="A1336" s="517"/>
      <c r="B1336" s="518" t="s">
        <v>12122</v>
      </c>
      <c r="C1336" s="516"/>
      <c r="D1336" s="514" t="s">
        <v>12121</v>
      </c>
      <c r="E1336" s="515">
        <v>5.5</v>
      </c>
      <c r="F1336" s="518" t="s">
        <v>614</v>
      </c>
      <c r="G1336" s="515" t="s">
        <v>4970</v>
      </c>
      <c r="H1336" s="514"/>
      <c r="I1336" s="515"/>
      <c r="J1336" s="515">
        <v>1</v>
      </c>
    </row>
    <row r="1337" spans="1:10" ht="13.8" thickBot="1">
      <c r="A1337" s="517"/>
      <c r="B1337" s="518" t="s">
        <v>12120</v>
      </c>
      <c r="C1337" s="516"/>
      <c r="D1337" s="514" t="s">
        <v>12108</v>
      </c>
      <c r="E1337" s="515">
        <v>5.5</v>
      </c>
      <c r="F1337" s="514"/>
      <c r="G1337" s="515" t="s">
        <v>4970</v>
      </c>
      <c r="H1337" s="514"/>
      <c r="I1337" s="515"/>
      <c r="J1337" s="515"/>
    </row>
    <row r="1338" spans="1:10" ht="13.8" thickBot="1">
      <c r="A1338" s="517"/>
      <c r="B1338" s="518" t="s">
        <v>12119</v>
      </c>
      <c r="C1338" s="516"/>
      <c r="D1338" s="514" t="s">
        <v>1593</v>
      </c>
      <c r="E1338" s="515">
        <v>5.5</v>
      </c>
      <c r="F1338" s="514"/>
      <c r="G1338" s="515" t="s">
        <v>4970</v>
      </c>
      <c r="H1338" s="514"/>
      <c r="I1338" s="515"/>
      <c r="J1338" s="515"/>
    </row>
    <row r="1339" spans="1:10" ht="13.8" thickBot="1">
      <c r="A1339" s="517"/>
      <c r="B1339" s="518" t="s">
        <v>12118</v>
      </c>
      <c r="C1339" s="516"/>
      <c r="D1339" s="514" t="s">
        <v>4995</v>
      </c>
      <c r="E1339" s="515">
        <v>5</v>
      </c>
      <c r="F1339" s="518" t="s">
        <v>614</v>
      </c>
      <c r="G1339" s="515" t="s">
        <v>4970</v>
      </c>
      <c r="H1339" s="514" t="s">
        <v>1226</v>
      </c>
      <c r="I1339" s="515"/>
      <c r="J1339" s="515">
        <v>5</v>
      </c>
    </row>
    <row r="1340" spans="1:10" ht="13.8" thickBot="1">
      <c r="A1340" s="517"/>
      <c r="B1340" s="518" t="s">
        <v>12117</v>
      </c>
      <c r="C1340" s="516"/>
      <c r="D1340" s="514" t="s">
        <v>12116</v>
      </c>
      <c r="E1340" s="515">
        <v>5</v>
      </c>
      <c r="F1340" s="518" t="s">
        <v>1854</v>
      </c>
      <c r="G1340" s="515" t="s">
        <v>4970</v>
      </c>
      <c r="H1340" s="514" t="s">
        <v>1224</v>
      </c>
      <c r="I1340" s="515"/>
      <c r="J1340" s="515">
        <v>1</v>
      </c>
    </row>
    <row r="1341" spans="1:10" ht="13.8" thickBot="1">
      <c r="A1341" s="517"/>
      <c r="B1341" s="518" t="s">
        <v>12115</v>
      </c>
      <c r="C1341" s="516"/>
      <c r="D1341" s="514" t="s">
        <v>12114</v>
      </c>
      <c r="E1341" s="515">
        <v>5</v>
      </c>
      <c r="F1341" s="518" t="s">
        <v>614</v>
      </c>
      <c r="G1341" s="515" t="s">
        <v>4970</v>
      </c>
      <c r="H1341" s="514"/>
      <c r="I1341" s="515"/>
      <c r="J1341" s="515">
        <v>1</v>
      </c>
    </row>
    <row r="1342" spans="1:10" ht="13.8" thickBot="1">
      <c r="A1342" s="517"/>
      <c r="B1342" s="518" t="s">
        <v>12113</v>
      </c>
      <c r="C1342" s="516"/>
      <c r="D1342" s="514" t="s">
        <v>1593</v>
      </c>
      <c r="E1342" s="515">
        <v>5</v>
      </c>
      <c r="F1342" s="514"/>
      <c r="G1342" s="515" t="s">
        <v>4970</v>
      </c>
      <c r="H1342" s="514"/>
      <c r="I1342" s="515"/>
      <c r="J1342" s="515">
        <v>1</v>
      </c>
    </row>
    <row r="1343" spans="1:10" ht="13.8" thickBot="1">
      <c r="A1343" s="517"/>
      <c r="B1343" s="518" t="s">
        <v>12112</v>
      </c>
      <c r="C1343" s="516"/>
      <c r="D1343" s="514" t="s">
        <v>1593</v>
      </c>
      <c r="E1343" s="515">
        <v>5</v>
      </c>
      <c r="F1343" s="518" t="s">
        <v>1854</v>
      </c>
      <c r="G1343" s="515" t="s">
        <v>4970</v>
      </c>
      <c r="H1343" s="514"/>
      <c r="I1343" s="515"/>
      <c r="J1343" s="515"/>
    </row>
    <row r="1344" spans="1:10" ht="13.8" thickBot="1">
      <c r="A1344" s="517"/>
      <c r="B1344" s="518" t="s">
        <v>12111</v>
      </c>
      <c r="C1344" s="516"/>
      <c r="D1344" s="514" t="s">
        <v>1593</v>
      </c>
      <c r="E1344" s="515">
        <v>5</v>
      </c>
      <c r="F1344" s="518" t="s">
        <v>1854</v>
      </c>
      <c r="G1344" s="515" t="s">
        <v>4970</v>
      </c>
      <c r="H1344" s="514"/>
      <c r="I1344" s="515"/>
      <c r="J1344" s="515"/>
    </row>
    <row r="1345" spans="1:10" ht="13.8" thickBot="1">
      <c r="A1345" s="517"/>
      <c r="B1345" s="518" t="s">
        <v>12110</v>
      </c>
      <c r="C1345" s="516"/>
      <c r="D1345" s="514" t="s">
        <v>1593</v>
      </c>
      <c r="E1345" s="515">
        <v>5</v>
      </c>
      <c r="F1345" s="514"/>
      <c r="G1345" s="515" t="s">
        <v>4970</v>
      </c>
      <c r="H1345" s="514"/>
      <c r="I1345" s="515"/>
      <c r="J1345" s="515"/>
    </row>
    <row r="1346" spans="1:10" ht="13.8" thickBot="1">
      <c r="A1346" s="517"/>
      <c r="B1346" s="518" t="s">
        <v>12109</v>
      </c>
      <c r="C1346" s="516"/>
      <c r="D1346" s="514" t="s">
        <v>12108</v>
      </c>
      <c r="E1346" s="515">
        <v>5</v>
      </c>
      <c r="F1346" s="514"/>
      <c r="G1346" s="515" t="s">
        <v>4970</v>
      </c>
      <c r="H1346" s="514"/>
      <c r="I1346" s="515"/>
      <c r="J1346" s="515"/>
    </row>
    <row r="1347" spans="1:10" ht="13.8" thickBot="1">
      <c r="A1347" s="517"/>
      <c r="B1347" s="518" t="s">
        <v>12107</v>
      </c>
      <c r="C1347" s="516"/>
      <c r="D1347" s="514" t="s">
        <v>12106</v>
      </c>
      <c r="E1347" s="515">
        <v>4.5</v>
      </c>
      <c r="F1347" s="518" t="s">
        <v>1854</v>
      </c>
      <c r="G1347" s="515" t="s">
        <v>4970</v>
      </c>
      <c r="H1347" s="514" t="s">
        <v>1224</v>
      </c>
      <c r="I1347" s="515"/>
      <c r="J1347" s="515">
        <v>1</v>
      </c>
    </row>
    <row r="1348" spans="1:10" ht="13.8" thickBot="1">
      <c r="A1348" s="517"/>
      <c r="B1348" s="518" t="s">
        <v>12105</v>
      </c>
      <c r="C1348" s="516"/>
      <c r="D1348" s="514" t="s">
        <v>1593</v>
      </c>
      <c r="E1348" s="515">
        <v>4.5</v>
      </c>
      <c r="F1348" s="514"/>
      <c r="G1348" s="515" t="s">
        <v>4970</v>
      </c>
      <c r="H1348" s="514"/>
      <c r="I1348" s="515"/>
      <c r="J1348" s="515">
        <v>1</v>
      </c>
    </row>
    <row r="1349" spans="1:10" ht="13.8" thickBot="1">
      <c r="A1349" s="517"/>
      <c r="B1349" s="518" t="s">
        <v>12104</v>
      </c>
      <c r="C1349" s="516"/>
      <c r="D1349" s="514" t="s">
        <v>1593</v>
      </c>
      <c r="E1349" s="515">
        <v>4</v>
      </c>
      <c r="F1349" s="514"/>
      <c r="G1349" s="515" t="s">
        <v>4970</v>
      </c>
      <c r="H1349" s="514"/>
      <c r="I1349" s="515"/>
      <c r="J1349" s="515">
        <v>3</v>
      </c>
    </row>
    <row r="1350" spans="1:10" ht="13.8" thickBot="1">
      <c r="A1350" s="517"/>
      <c r="B1350" s="518" t="s">
        <v>12103</v>
      </c>
      <c r="C1350" s="516"/>
      <c r="D1350" s="514" t="s">
        <v>1593</v>
      </c>
      <c r="E1350" s="515">
        <v>4</v>
      </c>
      <c r="F1350" s="514"/>
      <c r="G1350" s="515" t="s">
        <v>4970</v>
      </c>
      <c r="H1350" s="514"/>
      <c r="I1350" s="515"/>
      <c r="J1350" s="515">
        <v>2</v>
      </c>
    </row>
    <row r="1351" spans="1:10" ht="13.8" thickBot="1">
      <c r="A1351" s="517"/>
      <c r="B1351" s="518" t="s">
        <v>12102</v>
      </c>
      <c r="C1351" s="516"/>
      <c r="D1351" s="514" t="s">
        <v>1598</v>
      </c>
      <c r="E1351" s="515">
        <v>4</v>
      </c>
      <c r="F1351" s="518" t="s">
        <v>614</v>
      </c>
      <c r="G1351" s="515" t="s">
        <v>4970</v>
      </c>
      <c r="H1351" s="514"/>
      <c r="I1351" s="515"/>
      <c r="J1351" s="515">
        <v>1</v>
      </c>
    </row>
    <row r="1352" spans="1:10" ht="13.8" thickBot="1">
      <c r="A1352" s="517"/>
      <c r="B1352" s="518" t="s">
        <v>12101</v>
      </c>
      <c r="C1352" s="516"/>
      <c r="D1352" s="514" t="s">
        <v>1593</v>
      </c>
      <c r="E1352" s="515">
        <v>4</v>
      </c>
      <c r="F1352" s="514"/>
      <c r="G1352" s="515" t="s">
        <v>4970</v>
      </c>
      <c r="H1352" s="514"/>
      <c r="I1352" s="515"/>
      <c r="J1352" s="515">
        <v>1</v>
      </c>
    </row>
    <row r="1353" spans="1:10" ht="13.8" thickBot="1">
      <c r="A1353" s="517"/>
      <c r="B1353" s="518" t="s">
        <v>12100</v>
      </c>
      <c r="C1353" s="516"/>
      <c r="D1353" s="514" t="s">
        <v>1593</v>
      </c>
      <c r="E1353" s="515">
        <v>4</v>
      </c>
      <c r="F1353" s="514"/>
      <c r="G1353" s="515" t="s">
        <v>4970</v>
      </c>
      <c r="H1353" s="514"/>
      <c r="I1353" s="515"/>
      <c r="J1353" s="515">
        <v>1</v>
      </c>
    </row>
    <row r="1354" spans="1:10" ht="13.8" thickBot="1">
      <c r="A1354" s="517"/>
      <c r="B1354" s="518" t="s">
        <v>12099</v>
      </c>
      <c r="C1354" s="516"/>
      <c r="D1354" s="514" t="s">
        <v>1593</v>
      </c>
      <c r="E1354" s="515">
        <v>3</v>
      </c>
      <c r="F1354" s="518" t="s">
        <v>614</v>
      </c>
      <c r="G1354" s="515" t="s">
        <v>4970</v>
      </c>
      <c r="H1354" s="514" t="s">
        <v>1226</v>
      </c>
      <c r="I1354" s="515"/>
      <c r="J1354" s="515">
        <v>1</v>
      </c>
    </row>
    <row r="1355" spans="1:10" ht="13.8" thickBot="1">
      <c r="A1355" s="517"/>
      <c r="B1355" s="518" t="s">
        <v>12098</v>
      </c>
      <c r="C1355" s="516"/>
      <c r="D1355" s="514" t="s">
        <v>1593</v>
      </c>
      <c r="E1355" s="515">
        <v>3</v>
      </c>
      <c r="F1355" s="518" t="s">
        <v>1854</v>
      </c>
      <c r="G1355" s="515" t="s">
        <v>4970</v>
      </c>
      <c r="H1355" s="514"/>
      <c r="I1355" s="515"/>
      <c r="J1355" s="515">
        <v>8</v>
      </c>
    </row>
    <row r="1356" spans="1:10" ht="13.8" thickBot="1">
      <c r="A1356" s="517"/>
      <c r="B1356" s="518" t="s">
        <v>12097</v>
      </c>
      <c r="C1356" s="516"/>
      <c r="D1356" s="514" t="s">
        <v>1593</v>
      </c>
      <c r="E1356" s="515">
        <v>3</v>
      </c>
      <c r="F1356" s="514"/>
      <c r="G1356" s="515" t="s">
        <v>4970</v>
      </c>
      <c r="H1356" s="514"/>
      <c r="I1356" s="515"/>
      <c r="J1356" s="515">
        <v>2</v>
      </c>
    </row>
    <row r="1357" spans="1:10" ht="13.8" thickBot="1">
      <c r="A1357" s="517"/>
      <c r="B1357" s="518" t="s">
        <v>12096</v>
      </c>
      <c r="C1357" s="516"/>
      <c r="D1357" s="514" t="s">
        <v>1593</v>
      </c>
      <c r="E1357" s="515">
        <v>3</v>
      </c>
      <c r="F1357" s="514"/>
      <c r="G1357" s="515" t="s">
        <v>4970</v>
      </c>
      <c r="H1357" s="514"/>
      <c r="I1357" s="515"/>
      <c r="J1357" s="515">
        <v>2</v>
      </c>
    </row>
    <row r="1358" spans="1:10" ht="13.8" thickBot="1">
      <c r="A1358" s="517"/>
      <c r="B1358" s="518" t="s">
        <v>12095</v>
      </c>
      <c r="C1358" s="516"/>
      <c r="D1358" s="514" t="s">
        <v>1593</v>
      </c>
      <c r="E1358" s="515">
        <v>3</v>
      </c>
      <c r="F1358" s="514"/>
      <c r="G1358" s="515" t="s">
        <v>4970</v>
      </c>
      <c r="H1358" s="514"/>
      <c r="I1358" s="515"/>
      <c r="J1358" s="515">
        <v>1</v>
      </c>
    </row>
    <row r="1359" spans="1:10" ht="13.8" thickBot="1">
      <c r="A1359" s="517"/>
      <c r="B1359" s="518" t="s">
        <v>12094</v>
      </c>
      <c r="C1359" s="516"/>
      <c r="D1359" s="514" t="s">
        <v>12093</v>
      </c>
      <c r="E1359" s="515">
        <v>2.5</v>
      </c>
      <c r="F1359" s="518" t="s">
        <v>614</v>
      </c>
      <c r="G1359" s="515" t="s">
        <v>4970</v>
      </c>
      <c r="H1359" s="514"/>
      <c r="I1359" s="515"/>
      <c r="J1359" s="515">
        <v>1</v>
      </c>
    </row>
    <row r="1360" spans="1:10" ht="13.8" thickBot="1">
      <c r="A1360" s="517"/>
      <c r="B1360" s="518" t="s">
        <v>12092</v>
      </c>
      <c r="C1360" s="516"/>
      <c r="D1360" s="514" t="s">
        <v>1593</v>
      </c>
      <c r="E1360" s="515">
        <v>2</v>
      </c>
      <c r="F1360" s="518" t="s">
        <v>1854</v>
      </c>
      <c r="G1360" s="515" t="s">
        <v>4970</v>
      </c>
      <c r="H1360" s="514"/>
      <c r="I1360" s="515"/>
      <c r="J1360" s="515">
        <v>4</v>
      </c>
    </row>
    <row r="1361" spans="1:10" ht="13.8" thickBot="1">
      <c r="A1361" s="517"/>
      <c r="B1361" s="518" t="s">
        <v>12091</v>
      </c>
      <c r="C1361" s="516"/>
      <c r="D1361" s="514" t="s">
        <v>1593</v>
      </c>
      <c r="E1361" s="515">
        <v>2</v>
      </c>
      <c r="F1361" s="518" t="s">
        <v>1854</v>
      </c>
      <c r="G1361" s="515" t="s">
        <v>4970</v>
      </c>
      <c r="H1361" s="514"/>
      <c r="I1361" s="522"/>
      <c r="J1361" s="522">
        <v>2</v>
      </c>
    </row>
    <row r="1362" spans="1:10" ht="13.8" thickBot="1">
      <c r="A1362" s="517"/>
      <c r="B1362" s="518" t="s">
        <v>12090</v>
      </c>
      <c r="C1362" s="516"/>
      <c r="D1362" s="514" t="s">
        <v>1593</v>
      </c>
      <c r="E1362" s="515">
        <v>2</v>
      </c>
      <c r="F1362" s="518" t="s">
        <v>1854</v>
      </c>
      <c r="G1362" s="515" t="s">
        <v>4970</v>
      </c>
      <c r="H1362" s="514"/>
      <c r="I1362" s="515"/>
      <c r="J1362" s="515">
        <v>1</v>
      </c>
    </row>
    <row r="1363" spans="1:10" ht="13.8" thickBot="1">
      <c r="A1363" s="517"/>
      <c r="B1363" s="518" t="s">
        <v>12089</v>
      </c>
      <c r="C1363" s="516"/>
      <c r="D1363" s="514" t="s">
        <v>12088</v>
      </c>
      <c r="E1363" s="515">
        <v>2</v>
      </c>
      <c r="F1363" s="518" t="s">
        <v>1854</v>
      </c>
      <c r="G1363" s="515" t="s">
        <v>4970</v>
      </c>
      <c r="H1363" s="514"/>
      <c r="I1363" s="515"/>
      <c r="J1363" s="515">
        <v>1</v>
      </c>
    </row>
    <row r="1364" spans="1:10" ht="13.8" thickBot="1">
      <c r="A1364" s="517"/>
      <c r="B1364" s="518" t="s">
        <v>12087</v>
      </c>
      <c r="C1364" s="516"/>
      <c r="D1364" s="514" t="s">
        <v>1593</v>
      </c>
      <c r="E1364" s="515">
        <v>2</v>
      </c>
      <c r="F1364" s="518" t="s">
        <v>1854</v>
      </c>
      <c r="G1364" s="515" t="s">
        <v>4970</v>
      </c>
      <c r="H1364" s="514"/>
      <c r="I1364" s="515"/>
      <c r="J1364" s="515">
        <v>1</v>
      </c>
    </row>
    <row r="1365" spans="1:10" ht="13.8" thickBot="1">
      <c r="A1365" s="517"/>
      <c r="B1365" s="518" t="s">
        <v>12086</v>
      </c>
      <c r="C1365" s="516"/>
      <c r="D1365" s="514" t="s">
        <v>1593</v>
      </c>
      <c r="E1365" s="515">
        <v>1</v>
      </c>
      <c r="F1365" s="514"/>
      <c r="G1365" s="515" t="s">
        <v>4970</v>
      </c>
      <c r="H1365" s="514"/>
      <c r="I1365" s="515"/>
      <c r="J1365" s="515">
        <v>4</v>
      </c>
    </row>
    <row r="1366" spans="1:10" ht="13.8" thickBot="1">
      <c r="A1366" s="517"/>
      <c r="B1366" s="518" t="s">
        <v>12085</v>
      </c>
      <c r="C1366" s="516"/>
      <c r="D1366" s="514" t="s">
        <v>12084</v>
      </c>
      <c r="E1366" s="515">
        <v>1</v>
      </c>
      <c r="F1366" s="518" t="s">
        <v>1854</v>
      </c>
      <c r="G1366" s="515" t="s">
        <v>4970</v>
      </c>
      <c r="H1366" s="514"/>
      <c r="I1366" s="515"/>
      <c r="J1366" s="515">
        <v>2</v>
      </c>
    </row>
    <row r="1367" spans="1:10" ht="13.8" thickBot="1">
      <c r="A1367" s="517"/>
      <c r="B1367" s="518" t="s">
        <v>12083</v>
      </c>
      <c r="C1367" s="516"/>
      <c r="D1367" s="514" t="s">
        <v>1593</v>
      </c>
      <c r="E1367" s="515">
        <v>1</v>
      </c>
      <c r="F1367" s="514"/>
      <c r="G1367" s="515" t="s">
        <v>4970</v>
      </c>
      <c r="H1367" s="514"/>
      <c r="I1367" s="515"/>
      <c r="J1367" s="515">
        <v>1</v>
      </c>
    </row>
    <row r="1368" spans="1:10" ht="13.8" thickBot="1">
      <c r="A1368" s="517"/>
      <c r="B1368" s="518" t="s">
        <v>12082</v>
      </c>
      <c r="C1368" s="516"/>
      <c r="D1368" s="514" t="s">
        <v>1598</v>
      </c>
      <c r="E1368" s="515">
        <v>1</v>
      </c>
      <c r="F1368" s="514"/>
      <c r="G1368" s="515" t="s">
        <v>4970</v>
      </c>
      <c r="H1368" s="514"/>
      <c r="I1368" s="515"/>
      <c r="J1368" s="515">
        <v>1</v>
      </c>
    </row>
    <row r="1369" spans="1:10" ht="13.8" thickBot="1">
      <c r="A1369" s="517"/>
      <c r="B1369" s="518" t="s">
        <v>12081</v>
      </c>
      <c r="C1369" s="516"/>
      <c r="D1369" s="514" t="s">
        <v>1598</v>
      </c>
      <c r="E1369" s="515">
        <v>1</v>
      </c>
      <c r="F1369" s="514"/>
      <c r="G1369" s="515" t="s">
        <v>4970</v>
      </c>
      <c r="H1369" s="514"/>
      <c r="I1369" s="515"/>
      <c r="J1369" s="515">
        <v>1</v>
      </c>
    </row>
    <row r="1370" spans="1:10" ht="13.8" thickBot="1">
      <c r="A1370" s="517"/>
      <c r="B1370" s="518" t="s">
        <v>12080</v>
      </c>
      <c r="C1370" s="516"/>
      <c r="D1370" s="514" t="s">
        <v>1598</v>
      </c>
      <c r="E1370" s="515">
        <v>1</v>
      </c>
      <c r="F1370" s="514"/>
      <c r="G1370" s="515" t="s">
        <v>4970</v>
      </c>
      <c r="H1370" s="514"/>
      <c r="I1370" s="515"/>
      <c r="J1370" s="515">
        <v>1</v>
      </c>
    </row>
    <row r="1371" spans="1:10" ht="13.8" thickBot="1">
      <c r="A1371" s="517"/>
      <c r="B1371" s="518" t="s">
        <v>12079</v>
      </c>
      <c r="C1371" s="516"/>
      <c r="D1371" s="514" t="s">
        <v>1598</v>
      </c>
      <c r="E1371" s="515">
        <v>1</v>
      </c>
      <c r="F1371" s="514"/>
      <c r="G1371" s="515" t="s">
        <v>4970</v>
      </c>
      <c r="H1371" s="514"/>
      <c r="I1371" s="515"/>
      <c r="J1371" s="515">
        <v>1</v>
      </c>
    </row>
    <row r="1372" spans="1:10" ht="13.8" thickBot="1">
      <c r="A1372" s="517"/>
      <c r="B1372" s="518" t="s">
        <v>12078</v>
      </c>
      <c r="C1372" s="516"/>
      <c r="D1372" s="514" t="s">
        <v>1598</v>
      </c>
      <c r="E1372" s="515">
        <v>1</v>
      </c>
      <c r="F1372" s="514"/>
      <c r="G1372" s="515" t="s">
        <v>4970</v>
      </c>
      <c r="H1372" s="514"/>
      <c r="I1372" s="515"/>
      <c r="J1372" s="515">
        <v>1</v>
      </c>
    </row>
    <row r="1373" spans="1:10" ht="13.8" thickBot="1">
      <c r="A1373" s="517"/>
      <c r="B1373" s="518" t="s">
        <v>12077</v>
      </c>
      <c r="C1373" s="516"/>
      <c r="D1373" s="520" t="s">
        <v>12076</v>
      </c>
      <c r="E1373" s="521">
        <v>6.5</v>
      </c>
      <c r="F1373" s="514"/>
      <c r="G1373" s="515" t="s">
        <v>5010</v>
      </c>
      <c r="H1373" s="514"/>
      <c r="I1373" s="521"/>
      <c r="J1373" s="521">
        <v>1</v>
      </c>
    </row>
    <row r="1374" spans="1:10" ht="13.8" thickBot="1">
      <c r="A1374" s="517"/>
      <c r="B1374" s="518" t="s">
        <v>12075</v>
      </c>
      <c r="C1374" s="516"/>
      <c r="D1374" s="514" t="s">
        <v>12074</v>
      </c>
      <c r="E1374" s="515">
        <v>6.4</v>
      </c>
      <c r="F1374" s="518" t="s">
        <v>614</v>
      </c>
      <c r="G1374" s="515" t="s">
        <v>5010</v>
      </c>
      <c r="H1374" s="514" t="s">
        <v>1841</v>
      </c>
      <c r="I1374" s="515">
        <v>1</v>
      </c>
      <c r="J1374" s="522">
        <v>8</v>
      </c>
    </row>
    <row r="1375" spans="1:10" ht="13.8" thickBot="1">
      <c r="A1375" s="517"/>
      <c r="B1375" s="518" t="s">
        <v>12073</v>
      </c>
      <c r="C1375" s="516"/>
      <c r="D1375" s="514" t="s">
        <v>12072</v>
      </c>
      <c r="E1375" s="515">
        <v>5.75</v>
      </c>
      <c r="F1375" s="518" t="s">
        <v>614</v>
      </c>
      <c r="G1375" s="515" t="s">
        <v>5010</v>
      </c>
      <c r="H1375" s="514" t="s">
        <v>1220</v>
      </c>
      <c r="I1375" s="515"/>
      <c r="J1375" s="515">
        <v>3</v>
      </c>
    </row>
    <row r="1376" spans="1:10" ht="13.8" thickBot="1">
      <c r="A1376" s="517"/>
      <c r="B1376" s="518" t="s">
        <v>12071</v>
      </c>
      <c r="C1376" s="516"/>
      <c r="D1376" s="514" t="s">
        <v>12070</v>
      </c>
      <c r="E1376" s="515">
        <v>5.5</v>
      </c>
      <c r="F1376" s="518" t="s">
        <v>614</v>
      </c>
      <c r="G1376" s="515" t="s">
        <v>5010</v>
      </c>
      <c r="H1376" s="514" t="s">
        <v>1226</v>
      </c>
      <c r="I1376" s="515"/>
      <c r="J1376" s="515">
        <v>2</v>
      </c>
    </row>
    <row r="1377" spans="1:10" ht="13.8" thickBot="1">
      <c r="A1377" s="517"/>
      <c r="B1377" s="518" t="s">
        <v>12069</v>
      </c>
      <c r="C1377" s="516"/>
      <c r="D1377" s="514" t="s">
        <v>12068</v>
      </c>
      <c r="E1377" s="515">
        <v>5.5</v>
      </c>
      <c r="F1377" s="518" t="s">
        <v>614</v>
      </c>
      <c r="G1377" s="515" t="s">
        <v>5010</v>
      </c>
      <c r="H1377" s="514" t="s">
        <v>1226</v>
      </c>
      <c r="I1377" s="515"/>
      <c r="J1377" s="515">
        <v>1</v>
      </c>
    </row>
    <row r="1378" spans="1:10" ht="13.8" thickBot="1">
      <c r="A1378" s="517"/>
      <c r="B1378" s="518" t="s">
        <v>12067</v>
      </c>
      <c r="C1378" s="516"/>
      <c r="D1378" s="514" t="s">
        <v>5017</v>
      </c>
      <c r="E1378" s="515">
        <v>5.5</v>
      </c>
      <c r="F1378" s="518" t="s">
        <v>1854</v>
      </c>
      <c r="G1378" s="515" t="s">
        <v>5010</v>
      </c>
      <c r="H1378" s="514" t="s">
        <v>1224</v>
      </c>
      <c r="I1378" s="515"/>
      <c r="J1378" s="515">
        <v>13</v>
      </c>
    </row>
    <row r="1379" spans="1:10" ht="13.8" thickBot="1">
      <c r="A1379" s="517"/>
      <c r="B1379" s="518" t="s">
        <v>12066</v>
      </c>
      <c r="C1379" s="516"/>
      <c r="D1379" s="514" t="s">
        <v>1767</v>
      </c>
      <c r="E1379" s="515">
        <v>5.5</v>
      </c>
      <c r="F1379" s="518" t="s">
        <v>614</v>
      </c>
      <c r="G1379" s="515" t="s">
        <v>5010</v>
      </c>
      <c r="H1379" s="514" t="s">
        <v>1224</v>
      </c>
      <c r="I1379" s="515"/>
      <c r="J1379" s="515">
        <v>1</v>
      </c>
    </row>
    <row r="1380" spans="1:10" ht="13.8" thickBot="1">
      <c r="A1380" s="517"/>
      <c r="B1380" s="518" t="s">
        <v>12065</v>
      </c>
      <c r="C1380" s="516"/>
      <c r="D1380" s="514" t="s">
        <v>12064</v>
      </c>
      <c r="E1380" s="515">
        <v>5.5</v>
      </c>
      <c r="F1380" s="514"/>
      <c r="G1380" s="515" t="s">
        <v>5010</v>
      </c>
      <c r="H1380" s="514"/>
      <c r="I1380" s="515"/>
      <c r="J1380" s="515">
        <v>1</v>
      </c>
    </row>
    <row r="1381" spans="1:10" ht="13.8" thickBot="1">
      <c r="A1381" s="517"/>
      <c r="B1381" s="518" t="s">
        <v>12063</v>
      </c>
      <c r="C1381" s="516"/>
      <c r="D1381" s="514" t="s">
        <v>12052</v>
      </c>
      <c r="E1381" s="515">
        <v>5</v>
      </c>
      <c r="F1381" s="518" t="s">
        <v>614</v>
      </c>
      <c r="G1381" s="515" t="s">
        <v>5010</v>
      </c>
      <c r="H1381" s="514" t="s">
        <v>1226</v>
      </c>
      <c r="I1381" s="522">
        <v>1</v>
      </c>
      <c r="J1381" s="522">
        <v>7</v>
      </c>
    </row>
    <row r="1382" spans="1:10" ht="13.8" thickBot="1">
      <c r="A1382" s="517"/>
      <c r="B1382" s="518" t="s">
        <v>12062</v>
      </c>
      <c r="C1382" s="516"/>
      <c r="D1382" s="514" t="s">
        <v>1767</v>
      </c>
      <c r="E1382" s="515">
        <v>5</v>
      </c>
      <c r="F1382" s="518" t="s">
        <v>614</v>
      </c>
      <c r="G1382" s="515" t="s">
        <v>5010</v>
      </c>
      <c r="H1382" s="514" t="s">
        <v>1226</v>
      </c>
      <c r="I1382" s="515">
        <v>1</v>
      </c>
      <c r="J1382" s="515">
        <v>4</v>
      </c>
    </row>
    <row r="1383" spans="1:10" ht="13.8" thickBot="1">
      <c r="A1383" s="517"/>
      <c r="B1383" s="518" t="s">
        <v>12061</v>
      </c>
      <c r="C1383" s="516"/>
      <c r="D1383" s="519" t="s">
        <v>12060</v>
      </c>
      <c r="E1383" s="515">
        <v>5</v>
      </c>
      <c r="F1383" s="518" t="s">
        <v>614</v>
      </c>
      <c r="G1383" s="515" t="s">
        <v>5010</v>
      </c>
      <c r="H1383" s="514" t="s">
        <v>1226</v>
      </c>
      <c r="I1383" s="515"/>
      <c r="J1383" s="515">
        <v>2</v>
      </c>
    </row>
    <row r="1384" spans="1:10" ht="13.8" thickBot="1">
      <c r="A1384" s="517"/>
      <c r="B1384" s="518" t="s">
        <v>12059</v>
      </c>
      <c r="C1384" s="516"/>
      <c r="D1384" s="519" t="s">
        <v>12058</v>
      </c>
      <c r="E1384" s="515">
        <v>5</v>
      </c>
      <c r="F1384" s="514"/>
      <c r="G1384" s="515" t="s">
        <v>5010</v>
      </c>
      <c r="H1384" s="514" t="s">
        <v>1224</v>
      </c>
      <c r="I1384" s="515"/>
      <c r="J1384" s="515">
        <v>1</v>
      </c>
    </row>
    <row r="1385" spans="1:10" ht="13.8" thickBot="1">
      <c r="A1385" s="517"/>
      <c r="B1385" s="518" t="s">
        <v>12057</v>
      </c>
      <c r="C1385" s="516"/>
      <c r="D1385" s="514" t="s">
        <v>12056</v>
      </c>
      <c r="E1385" s="515">
        <v>5</v>
      </c>
      <c r="F1385" s="514"/>
      <c r="G1385" s="515" t="s">
        <v>5010</v>
      </c>
      <c r="H1385" s="514"/>
      <c r="I1385" s="515"/>
      <c r="J1385" s="515">
        <v>5</v>
      </c>
    </row>
    <row r="1386" spans="1:10" ht="13.8" thickBot="1">
      <c r="A1386" s="517"/>
      <c r="B1386" s="518" t="s">
        <v>12055</v>
      </c>
      <c r="C1386" s="516"/>
      <c r="D1386" s="514" t="s">
        <v>1767</v>
      </c>
      <c r="E1386" s="515">
        <v>5</v>
      </c>
      <c r="F1386" s="518" t="s">
        <v>614</v>
      </c>
      <c r="G1386" s="515" t="s">
        <v>5010</v>
      </c>
      <c r="H1386" s="514"/>
      <c r="I1386" s="515"/>
      <c r="J1386" s="515">
        <v>4</v>
      </c>
    </row>
    <row r="1387" spans="1:10" ht="13.8" thickBot="1">
      <c r="A1387" s="517"/>
      <c r="B1387" s="518" t="s">
        <v>12054</v>
      </c>
      <c r="C1387" s="516"/>
      <c r="D1387" s="514" t="s">
        <v>1767</v>
      </c>
      <c r="E1387" s="515">
        <v>5</v>
      </c>
      <c r="F1387" s="518" t="s">
        <v>1854</v>
      </c>
      <c r="G1387" s="515" t="s">
        <v>5010</v>
      </c>
      <c r="H1387" s="514"/>
      <c r="I1387" s="515"/>
      <c r="J1387" s="515">
        <v>1</v>
      </c>
    </row>
    <row r="1388" spans="1:10" ht="13.8" thickBot="1">
      <c r="A1388" s="517"/>
      <c r="B1388" s="518" t="s">
        <v>12053</v>
      </c>
      <c r="C1388" s="516"/>
      <c r="D1388" s="514" t="s">
        <v>12052</v>
      </c>
      <c r="E1388" s="515">
        <v>4</v>
      </c>
      <c r="F1388" s="518" t="s">
        <v>614</v>
      </c>
      <c r="G1388" s="515" t="s">
        <v>5010</v>
      </c>
      <c r="H1388" s="514"/>
      <c r="I1388" s="515"/>
      <c r="J1388" s="515">
        <v>1</v>
      </c>
    </row>
    <row r="1389" spans="1:10" ht="13.8" thickBot="1">
      <c r="A1389" s="517"/>
      <c r="B1389" s="518" t="s">
        <v>12051</v>
      </c>
      <c r="C1389" s="516"/>
      <c r="D1389" s="514" t="s">
        <v>12050</v>
      </c>
      <c r="E1389" s="515">
        <v>4</v>
      </c>
      <c r="F1389" s="518" t="s">
        <v>614</v>
      </c>
      <c r="G1389" s="515" t="s">
        <v>5010</v>
      </c>
      <c r="H1389" s="514"/>
      <c r="I1389" s="515"/>
      <c r="J1389" s="515">
        <v>1</v>
      </c>
    </row>
    <row r="1390" spans="1:10" ht="13.8" thickBot="1">
      <c r="A1390" s="517"/>
      <c r="B1390" s="518" t="s">
        <v>12049</v>
      </c>
      <c r="C1390" s="516"/>
      <c r="D1390" s="514" t="s">
        <v>12048</v>
      </c>
      <c r="E1390" s="515">
        <v>4</v>
      </c>
      <c r="F1390" s="514"/>
      <c r="G1390" s="515" t="s">
        <v>5010</v>
      </c>
      <c r="H1390" s="514"/>
      <c r="I1390" s="515"/>
      <c r="J1390" s="515">
        <v>1</v>
      </c>
    </row>
    <row r="1391" spans="1:10" ht="13.8" thickBot="1">
      <c r="A1391" s="517"/>
      <c r="B1391" s="518" t="s">
        <v>12047</v>
      </c>
      <c r="C1391" s="516"/>
      <c r="D1391" s="514" t="s">
        <v>1767</v>
      </c>
      <c r="E1391" s="515">
        <v>3</v>
      </c>
      <c r="F1391" s="518" t="s">
        <v>1854</v>
      </c>
      <c r="G1391" s="515" t="s">
        <v>5010</v>
      </c>
      <c r="H1391" s="514"/>
      <c r="I1391" s="515"/>
      <c r="J1391" s="515">
        <v>3</v>
      </c>
    </row>
    <row r="1392" spans="1:10" ht="13.8" thickBot="1">
      <c r="A1392" s="517"/>
      <c r="B1392" s="518" t="s">
        <v>12046</v>
      </c>
      <c r="C1392" s="516"/>
      <c r="D1392" s="514" t="s">
        <v>12045</v>
      </c>
      <c r="E1392" s="515">
        <v>7</v>
      </c>
      <c r="F1392" s="518" t="s">
        <v>614</v>
      </c>
      <c r="G1392" s="515" t="s">
        <v>5031</v>
      </c>
      <c r="H1392" s="514"/>
      <c r="I1392" s="515"/>
      <c r="J1392" s="515">
        <v>1</v>
      </c>
    </row>
    <row r="1393" spans="1:10" ht="13.8" thickBot="1">
      <c r="A1393" s="517"/>
      <c r="B1393" s="518" t="s">
        <v>12044</v>
      </c>
      <c r="C1393" s="516"/>
      <c r="D1393" s="514" t="s">
        <v>12043</v>
      </c>
      <c r="E1393" s="515">
        <v>6.3</v>
      </c>
      <c r="F1393" s="518" t="s">
        <v>614</v>
      </c>
      <c r="G1393" s="515" t="s">
        <v>5031</v>
      </c>
      <c r="H1393" s="514" t="s">
        <v>1841</v>
      </c>
      <c r="I1393" s="515"/>
      <c r="J1393" s="515">
        <v>8</v>
      </c>
    </row>
    <row r="1394" spans="1:10" ht="13.8" thickBot="1">
      <c r="A1394" s="517"/>
      <c r="B1394" s="518" t="s">
        <v>12042</v>
      </c>
      <c r="C1394" s="516"/>
      <c r="D1394" s="514" t="s">
        <v>12041</v>
      </c>
      <c r="E1394" s="515">
        <v>5.75</v>
      </c>
      <c r="F1394" s="518" t="s">
        <v>614</v>
      </c>
      <c r="G1394" s="515" t="s">
        <v>5031</v>
      </c>
      <c r="H1394" s="514" t="s">
        <v>1226</v>
      </c>
      <c r="I1394" s="515">
        <v>1</v>
      </c>
      <c r="J1394" s="515">
        <v>10</v>
      </c>
    </row>
    <row r="1395" spans="1:10" ht="13.8" thickBot="1">
      <c r="A1395" s="517"/>
      <c r="B1395" s="518" t="s">
        <v>12040</v>
      </c>
      <c r="C1395" s="516"/>
      <c r="D1395" s="514" t="s">
        <v>12039</v>
      </c>
      <c r="E1395" s="515">
        <v>5.5</v>
      </c>
      <c r="F1395" s="518" t="s">
        <v>1854</v>
      </c>
      <c r="G1395" s="515" t="s">
        <v>5031</v>
      </c>
      <c r="H1395" s="514" t="s">
        <v>1224</v>
      </c>
      <c r="I1395" s="515"/>
      <c r="J1395" s="515">
        <v>1</v>
      </c>
    </row>
    <row r="1396" spans="1:10" ht="13.8" thickBot="1">
      <c r="A1396" s="517"/>
      <c r="B1396" s="518" t="s">
        <v>12038</v>
      </c>
      <c r="C1396" s="516"/>
      <c r="D1396" s="514" t="s">
        <v>5044</v>
      </c>
      <c r="E1396" s="515">
        <v>6.75</v>
      </c>
      <c r="F1396" s="518" t="s">
        <v>614</v>
      </c>
      <c r="G1396" s="515" t="s">
        <v>5042</v>
      </c>
      <c r="H1396" s="514" t="s">
        <v>1226</v>
      </c>
      <c r="I1396" s="515"/>
      <c r="J1396" s="515">
        <v>7</v>
      </c>
    </row>
    <row r="1397" spans="1:10" ht="13.8" thickBot="1">
      <c r="A1397" s="517"/>
      <c r="B1397" s="518" t="s">
        <v>12037</v>
      </c>
      <c r="C1397" s="516"/>
      <c r="D1397" s="514" t="s">
        <v>12036</v>
      </c>
      <c r="E1397" s="515">
        <v>6.5</v>
      </c>
      <c r="F1397" s="518" t="s">
        <v>614</v>
      </c>
      <c r="G1397" s="515" t="s">
        <v>5042</v>
      </c>
      <c r="H1397" s="514" t="s">
        <v>1224</v>
      </c>
      <c r="I1397" s="515"/>
      <c r="J1397" s="515">
        <v>4</v>
      </c>
    </row>
    <row r="1398" spans="1:10" ht="13.8" thickBot="1">
      <c r="A1398" s="517"/>
      <c r="B1398" s="518" t="s">
        <v>12035</v>
      </c>
      <c r="C1398" s="516"/>
      <c r="D1398" s="514" t="s">
        <v>12034</v>
      </c>
      <c r="E1398" s="515">
        <v>6</v>
      </c>
      <c r="F1398" s="514"/>
      <c r="G1398" s="515" t="s">
        <v>5042</v>
      </c>
      <c r="H1398" s="514"/>
      <c r="I1398" s="515">
        <v>1</v>
      </c>
      <c r="J1398" s="515">
        <v>2</v>
      </c>
    </row>
    <row r="1399" spans="1:10" ht="13.8" thickBot="1">
      <c r="A1399" s="517"/>
      <c r="B1399" s="518" t="s">
        <v>12033</v>
      </c>
      <c r="C1399" s="516"/>
      <c r="D1399" s="514" t="s">
        <v>5062</v>
      </c>
      <c r="E1399" s="515">
        <v>6.75</v>
      </c>
      <c r="F1399" s="518" t="s">
        <v>614</v>
      </c>
      <c r="G1399" s="515" t="s">
        <v>5059</v>
      </c>
      <c r="H1399" s="514" t="s">
        <v>1251</v>
      </c>
      <c r="I1399" s="515">
        <v>1</v>
      </c>
      <c r="J1399" s="515">
        <v>10</v>
      </c>
    </row>
    <row r="1400" spans="1:10" ht="13.8" thickBot="1">
      <c r="A1400" s="517"/>
      <c r="B1400" s="518" t="s">
        <v>12032</v>
      </c>
      <c r="C1400" s="516"/>
      <c r="D1400" s="514" t="s">
        <v>12031</v>
      </c>
      <c r="E1400" s="515">
        <v>6.75</v>
      </c>
      <c r="F1400" s="518" t="s">
        <v>614</v>
      </c>
      <c r="G1400" s="515" t="s">
        <v>5059</v>
      </c>
      <c r="H1400" s="514"/>
      <c r="I1400" s="515"/>
      <c r="J1400" s="515">
        <v>1</v>
      </c>
    </row>
    <row r="1401" spans="1:10" ht="13.8" thickBot="1">
      <c r="A1401" s="517"/>
      <c r="B1401" s="518" t="s">
        <v>12030</v>
      </c>
      <c r="C1401" s="516"/>
      <c r="D1401" s="514" t="s">
        <v>12029</v>
      </c>
      <c r="E1401" s="515">
        <v>6</v>
      </c>
      <c r="F1401" s="518" t="s">
        <v>614</v>
      </c>
      <c r="G1401" s="515" t="s">
        <v>5059</v>
      </c>
      <c r="H1401" s="514" t="s">
        <v>1226</v>
      </c>
      <c r="I1401" s="515">
        <v>1</v>
      </c>
      <c r="J1401" s="515">
        <v>6</v>
      </c>
    </row>
    <row r="1402" spans="1:10" ht="13.8" thickBot="1">
      <c r="A1402" s="517"/>
      <c r="B1402" s="518" t="s">
        <v>12028</v>
      </c>
      <c r="C1402" s="516"/>
      <c r="D1402" s="514" t="s">
        <v>12027</v>
      </c>
      <c r="E1402" s="515">
        <v>5.5</v>
      </c>
      <c r="F1402" s="518" t="s">
        <v>614</v>
      </c>
      <c r="G1402" s="515" t="s">
        <v>5059</v>
      </c>
      <c r="H1402" s="514" t="s">
        <v>1224</v>
      </c>
      <c r="I1402" s="515"/>
      <c r="J1402" s="515">
        <v>5</v>
      </c>
    </row>
    <row r="1403" spans="1:10" ht="13.8" thickBot="1">
      <c r="A1403" s="517"/>
      <c r="B1403" s="518" t="s">
        <v>12026</v>
      </c>
      <c r="C1403" s="516"/>
      <c r="D1403" s="514" t="s">
        <v>5062</v>
      </c>
      <c r="E1403" s="515">
        <v>5.5</v>
      </c>
      <c r="F1403" s="518" t="s">
        <v>614</v>
      </c>
      <c r="G1403" s="515" t="s">
        <v>5059</v>
      </c>
      <c r="H1403" s="514" t="s">
        <v>1224</v>
      </c>
      <c r="I1403" s="515"/>
      <c r="J1403" s="515">
        <v>1</v>
      </c>
    </row>
    <row r="1404" spans="1:10" ht="13.8" thickBot="1">
      <c r="A1404" s="517"/>
      <c r="B1404" s="518" t="s">
        <v>12025</v>
      </c>
      <c r="C1404" s="516"/>
      <c r="D1404" s="514" t="s">
        <v>5062</v>
      </c>
      <c r="E1404" s="515">
        <v>5.5</v>
      </c>
      <c r="F1404" s="518" t="s">
        <v>1854</v>
      </c>
      <c r="G1404" s="515" t="s">
        <v>5059</v>
      </c>
      <c r="H1404" s="514" t="s">
        <v>1224</v>
      </c>
      <c r="I1404" s="515"/>
      <c r="J1404" s="515">
        <v>1</v>
      </c>
    </row>
    <row r="1405" spans="1:10" ht="13.8" thickBot="1">
      <c r="A1405" s="517"/>
      <c r="B1405" s="518" t="s">
        <v>12024</v>
      </c>
      <c r="C1405" s="516"/>
      <c r="D1405" s="514" t="s">
        <v>12023</v>
      </c>
      <c r="E1405" s="515">
        <v>5</v>
      </c>
      <c r="F1405" s="518" t="s">
        <v>614</v>
      </c>
      <c r="G1405" s="515" t="s">
        <v>5059</v>
      </c>
      <c r="H1405" s="514"/>
      <c r="I1405" s="515"/>
      <c r="J1405" s="515">
        <v>1</v>
      </c>
    </row>
    <row r="1406" spans="1:10" ht="13.8" thickBot="1">
      <c r="A1406" s="517"/>
      <c r="B1406" s="518" t="s">
        <v>12022</v>
      </c>
      <c r="C1406" s="516"/>
      <c r="D1406" s="514" t="s">
        <v>12021</v>
      </c>
      <c r="E1406" s="515">
        <v>7.1</v>
      </c>
      <c r="F1406" s="518" t="s">
        <v>614</v>
      </c>
      <c r="G1406" s="515" t="s">
        <v>5079</v>
      </c>
      <c r="H1406" s="514"/>
      <c r="I1406" s="515">
        <v>2</v>
      </c>
      <c r="J1406" s="515">
        <v>5</v>
      </c>
    </row>
    <row r="1407" spans="1:10" ht="13.8" thickBot="1">
      <c r="A1407" s="517"/>
      <c r="B1407" s="518" t="s">
        <v>12020</v>
      </c>
      <c r="C1407" s="516"/>
      <c r="D1407" s="514" t="s">
        <v>12019</v>
      </c>
      <c r="E1407" s="515">
        <v>6.8</v>
      </c>
      <c r="F1407" s="518" t="s">
        <v>614</v>
      </c>
      <c r="G1407" s="515" t="s">
        <v>5079</v>
      </c>
      <c r="H1407" s="514" t="s">
        <v>1251</v>
      </c>
      <c r="I1407" s="515"/>
      <c r="J1407" s="515">
        <v>11</v>
      </c>
    </row>
    <row r="1408" spans="1:10" ht="13.8" thickBot="1">
      <c r="A1408" s="517"/>
      <c r="B1408" s="518" t="s">
        <v>12018</v>
      </c>
      <c r="C1408" s="516"/>
      <c r="D1408" s="514" t="s">
        <v>12017</v>
      </c>
      <c r="E1408" s="515">
        <v>6.5</v>
      </c>
      <c r="F1408" s="518" t="s">
        <v>614</v>
      </c>
      <c r="G1408" s="515" t="s">
        <v>5086</v>
      </c>
      <c r="H1408" s="514" t="s">
        <v>1224</v>
      </c>
      <c r="I1408" s="515">
        <v>1</v>
      </c>
      <c r="J1408" s="522">
        <v>3</v>
      </c>
    </row>
    <row r="1409" spans="1:10" ht="13.8" thickBot="1">
      <c r="A1409" s="517"/>
      <c r="B1409" s="518" t="s">
        <v>12016</v>
      </c>
      <c r="C1409" s="516"/>
      <c r="D1409" s="514" t="s">
        <v>5088</v>
      </c>
      <c r="E1409" s="515">
        <v>6.5</v>
      </c>
      <c r="F1409" s="518" t="s">
        <v>614</v>
      </c>
      <c r="G1409" s="515" t="s">
        <v>5086</v>
      </c>
      <c r="H1409" s="514"/>
      <c r="I1409" s="515"/>
      <c r="J1409" s="515">
        <v>2</v>
      </c>
    </row>
    <row r="1410" spans="1:10" ht="13.8" thickBot="1">
      <c r="A1410" s="517"/>
      <c r="B1410" s="518" t="s">
        <v>12015</v>
      </c>
      <c r="C1410" s="516"/>
      <c r="D1410" s="514" t="s">
        <v>1499</v>
      </c>
      <c r="E1410" s="515">
        <v>7</v>
      </c>
      <c r="F1410" s="514"/>
      <c r="G1410" s="515" t="s">
        <v>5109</v>
      </c>
      <c r="H1410" s="514"/>
      <c r="I1410" s="515"/>
      <c r="J1410" s="515">
        <v>2</v>
      </c>
    </row>
    <row r="1411" spans="1:10" ht="13.8" thickBot="1">
      <c r="A1411" s="517"/>
      <c r="B1411" s="518" t="s">
        <v>12014</v>
      </c>
      <c r="C1411" s="516"/>
      <c r="D1411" s="514" t="s">
        <v>12013</v>
      </c>
      <c r="E1411" s="515">
        <v>6.5</v>
      </c>
      <c r="F1411" s="518" t="s">
        <v>614</v>
      </c>
      <c r="G1411" s="515" t="s">
        <v>5109</v>
      </c>
      <c r="H1411" s="514" t="s">
        <v>2319</v>
      </c>
      <c r="I1411" s="515">
        <v>1</v>
      </c>
      <c r="J1411" s="515">
        <v>20</v>
      </c>
    </row>
    <row r="1412" spans="1:10" ht="13.8" thickBot="1">
      <c r="A1412" s="517"/>
      <c r="B1412" s="518" t="s">
        <v>12012</v>
      </c>
      <c r="C1412" s="516"/>
      <c r="D1412" s="514" t="s">
        <v>12011</v>
      </c>
      <c r="E1412" s="515">
        <v>6</v>
      </c>
      <c r="F1412" s="518" t="s">
        <v>614</v>
      </c>
      <c r="G1412" s="515" t="s">
        <v>5109</v>
      </c>
      <c r="H1412" s="514" t="s">
        <v>1251</v>
      </c>
      <c r="I1412" s="515">
        <v>3</v>
      </c>
      <c r="J1412" s="515">
        <v>19</v>
      </c>
    </row>
    <row r="1413" spans="1:10" ht="13.8" thickBot="1">
      <c r="A1413" s="517"/>
      <c r="B1413" s="518" t="s">
        <v>12010</v>
      </c>
      <c r="C1413" s="516"/>
      <c r="D1413" s="514" t="s">
        <v>12009</v>
      </c>
      <c r="E1413" s="515">
        <v>5.75</v>
      </c>
      <c r="F1413" s="518" t="s">
        <v>614</v>
      </c>
      <c r="G1413" s="515" t="s">
        <v>5109</v>
      </c>
      <c r="H1413" s="514" t="s">
        <v>1224</v>
      </c>
      <c r="I1413" s="515">
        <v>2</v>
      </c>
      <c r="J1413" s="515">
        <v>8</v>
      </c>
    </row>
    <row r="1414" spans="1:10" ht="13.8" thickBot="1">
      <c r="A1414" s="517"/>
      <c r="B1414" s="518" t="s">
        <v>12008</v>
      </c>
      <c r="C1414" s="516"/>
      <c r="D1414" s="514" t="s">
        <v>12007</v>
      </c>
      <c r="E1414" s="515">
        <v>4</v>
      </c>
      <c r="F1414" s="518" t="s">
        <v>1854</v>
      </c>
      <c r="G1414" s="515" t="s">
        <v>5109</v>
      </c>
      <c r="H1414" s="514"/>
      <c r="I1414" s="515"/>
      <c r="J1414" s="515">
        <v>1</v>
      </c>
    </row>
    <row r="1415" spans="1:10" ht="13.8" thickBot="1">
      <c r="A1415" s="517"/>
      <c r="B1415" s="518" t="s">
        <v>12006</v>
      </c>
      <c r="C1415" s="516"/>
      <c r="D1415" s="514" t="s">
        <v>12005</v>
      </c>
      <c r="E1415" s="515">
        <v>3.5</v>
      </c>
      <c r="F1415" s="518" t="s">
        <v>614</v>
      </c>
      <c r="G1415" s="515" t="s">
        <v>5109</v>
      </c>
      <c r="H1415" s="514"/>
      <c r="I1415" s="515"/>
      <c r="J1415" s="515">
        <v>1</v>
      </c>
    </row>
    <row r="1416" spans="1:10" ht="13.8" thickBot="1">
      <c r="A1416" s="517"/>
      <c r="B1416" s="518" t="s">
        <v>12004</v>
      </c>
      <c r="C1416" s="516"/>
      <c r="D1416" s="514" t="s">
        <v>12003</v>
      </c>
      <c r="E1416" s="515">
        <v>5.75</v>
      </c>
      <c r="F1416" s="518" t="s">
        <v>614</v>
      </c>
      <c r="G1416" s="515" t="s">
        <v>5125</v>
      </c>
      <c r="H1416" s="514" t="s">
        <v>1224</v>
      </c>
      <c r="I1416" s="515"/>
      <c r="J1416" s="515">
        <v>1</v>
      </c>
    </row>
    <row r="1417" spans="1:10" ht="13.8" thickBot="1">
      <c r="A1417" s="517"/>
      <c r="B1417" s="518" t="s">
        <v>12002</v>
      </c>
      <c r="C1417" s="516"/>
      <c r="D1417" s="514" t="s">
        <v>12001</v>
      </c>
      <c r="E1417" s="515">
        <v>8</v>
      </c>
      <c r="F1417" s="518" t="s">
        <v>2223</v>
      </c>
      <c r="G1417" s="515" t="s">
        <v>5155</v>
      </c>
      <c r="H1417" s="514"/>
      <c r="I1417" s="515"/>
      <c r="J1417" s="515"/>
    </row>
    <row r="1418" spans="1:10" ht="13.8" thickBot="1">
      <c r="A1418" s="517"/>
      <c r="B1418" s="518" t="s">
        <v>12000</v>
      </c>
      <c r="C1418" s="516"/>
      <c r="D1418" s="514" t="s">
        <v>11999</v>
      </c>
      <c r="E1418" s="515">
        <v>7.25</v>
      </c>
      <c r="F1418" s="518" t="s">
        <v>614</v>
      </c>
      <c r="G1418" s="515" t="s">
        <v>5155</v>
      </c>
      <c r="H1418" s="514" t="s">
        <v>1251</v>
      </c>
      <c r="I1418" s="522"/>
      <c r="J1418" s="522">
        <v>7</v>
      </c>
    </row>
    <row r="1419" spans="1:10" ht="13.8" thickBot="1">
      <c r="A1419" s="517"/>
      <c r="B1419" s="518" t="s">
        <v>11998</v>
      </c>
      <c r="C1419" s="516"/>
      <c r="D1419" s="514" t="s">
        <v>11997</v>
      </c>
      <c r="E1419" s="515">
        <v>7</v>
      </c>
      <c r="F1419" s="518" t="s">
        <v>614</v>
      </c>
      <c r="G1419" s="515" t="s">
        <v>5155</v>
      </c>
      <c r="H1419" s="514" t="s">
        <v>1226</v>
      </c>
      <c r="I1419" s="515"/>
      <c r="J1419" s="515">
        <v>2</v>
      </c>
    </row>
    <row r="1420" spans="1:10" ht="13.8" thickBot="1">
      <c r="A1420" s="517"/>
      <c r="B1420" s="518" t="s">
        <v>11996</v>
      </c>
      <c r="C1420" s="516"/>
      <c r="D1420" s="514" t="s">
        <v>11995</v>
      </c>
      <c r="E1420" s="515">
        <v>6.5</v>
      </c>
      <c r="F1420" s="518" t="s">
        <v>614</v>
      </c>
      <c r="G1420" s="515" t="s">
        <v>5155</v>
      </c>
      <c r="H1420" s="514" t="s">
        <v>1226</v>
      </c>
      <c r="I1420" s="515">
        <v>1</v>
      </c>
      <c r="J1420" s="515">
        <v>3</v>
      </c>
    </row>
    <row r="1421" spans="1:10" ht="13.8" thickBot="1">
      <c r="A1421" s="517"/>
      <c r="B1421" s="518" t="s">
        <v>11994</v>
      </c>
      <c r="C1421" s="516"/>
      <c r="D1421" s="514" t="s">
        <v>5163</v>
      </c>
      <c r="E1421" s="515">
        <v>5</v>
      </c>
      <c r="F1421" s="514"/>
      <c r="G1421" s="515" t="s">
        <v>5155</v>
      </c>
      <c r="H1421" s="514"/>
      <c r="I1421" s="515"/>
      <c r="J1421" s="515">
        <v>1</v>
      </c>
    </row>
    <row r="1422" spans="1:10" ht="13.8" thickBot="1">
      <c r="A1422" s="517"/>
      <c r="B1422" s="518" t="s">
        <v>11993</v>
      </c>
      <c r="C1422" s="516"/>
      <c r="D1422" s="514" t="s">
        <v>11992</v>
      </c>
      <c r="E1422" s="515">
        <v>7</v>
      </c>
      <c r="F1422" s="514"/>
      <c r="G1422" s="515" t="s">
        <v>5180</v>
      </c>
      <c r="H1422" s="514"/>
      <c r="I1422" s="515"/>
      <c r="J1422" s="515">
        <v>1</v>
      </c>
    </row>
    <row r="1423" spans="1:10" ht="13.8" thickBot="1">
      <c r="A1423" s="517"/>
      <c r="B1423" s="518" t="s">
        <v>11991</v>
      </c>
      <c r="C1423" s="516"/>
      <c r="D1423" s="514" t="s">
        <v>11990</v>
      </c>
      <c r="E1423" s="515">
        <v>6.75</v>
      </c>
      <c r="F1423" s="518" t="s">
        <v>614</v>
      </c>
      <c r="G1423" s="515" t="s">
        <v>5180</v>
      </c>
      <c r="H1423" s="514" t="s">
        <v>1226</v>
      </c>
      <c r="I1423" s="515">
        <v>1</v>
      </c>
      <c r="J1423" s="515">
        <v>6</v>
      </c>
    </row>
    <row r="1424" spans="1:10" ht="13.8" thickBot="1">
      <c r="A1424" s="517"/>
      <c r="B1424" s="518" t="s">
        <v>11989</v>
      </c>
      <c r="C1424" s="516"/>
      <c r="D1424" s="514" t="s">
        <v>11988</v>
      </c>
      <c r="E1424" s="515">
        <v>6.3</v>
      </c>
      <c r="F1424" s="518" t="s">
        <v>614</v>
      </c>
      <c r="G1424" s="515" t="s">
        <v>5180</v>
      </c>
      <c r="H1424" s="514" t="s">
        <v>1251</v>
      </c>
      <c r="I1424" s="515">
        <v>1</v>
      </c>
      <c r="J1424" s="515">
        <v>6</v>
      </c>
    </row>
    <row r="1425" spans="1:10" ht="13.8" thickBot="1">
      <c r="A1425" s="517"/>
      <c r="B1425" s="518" t="s">
        <v>11987</v>
      </c>
      <c r="C1425" s="516"/>
      <c r="D1425" s="514" t="s">
        <v>11986</v>
      </c>
      <c r="E1425" s="515">
        <v>6.3</v>
      </c>
      <c r="F1425" s="518" t="s">
        <v>614</v>
      </c>
      <c r="G1425" s="515" t="s">
        <v>5180</v>
      </c>
      <c r="H1425" s="514" t="s">
        <v>1226</v>
      </c>
      <c r="I1425" s="515"/>
      <c r="J1425" s="515">
        <v>5</v>
      </c>
    </row>
    <row r="1426" spans="1:10" ht="13.8" thickBot="1">
      <c r="A1426" s="517"/>
      <c r="B1426" s="518" t="s">
        <v>11985</v>
      </c>
      <c r="C1426" s="516"/>
      <c r="D1426" s="514" t="s">
        <v>11984</v>
      </c>
      <c r="E1426" s="515">
        <v>6.25</v>
      </c>
      <c r="F1426" s="514"/>
      <c r="G1426" s="515" t="s">
        <v>5180</v>
      </c>
      <c r="H1426" s="514" t="s">
        <v>1224</v>
      </c>
      <c r="I1426" s="515"/>
      <c r="J1426" s="515">
        <v>7</v>
      </c>
    </row>
    <row r="1427" spans="1:10" ht="13.8" thickBot="1">
      <c r="A1427" s="517"/>
      <c r="B1427" s="518" t="s">
        <v>11983</v>
      </c>
      <c r="C1427" s="516"/>
      <c r="D1427" s="514" t="s">
        <v>11982</v>
      </c>
      <c r="E1427" s="515">
        <v>6.25</v>
      </c>
      <c r="F1427" s="518" t="s">
        <v>614</v>
      </c>
      <c r="G1427" s="515" t="s">
        <v>5180</v>
      </c>
      <c r="H1427" s="514"/>
      <c r="I1427" s="515"/>
      <c r="J1427" s="515">
        <v>4</v>
      </c>
    </row>
    <row r="1428" spans="1:10" ht="13.8" thickBot="1">
      <c r="A1428" s="517"/>
      <c r="B1428" s="518" t="s">
        <v>11981</v>
      </c>
      <c r="C1428" s="516"/>
      <c r="D1428" s="514" t="s">
        <v>11980</v>
      </c>
      <c r="E1428" s="515">
        <v>6</v>
      </c>
      <c r="F1428" s="518" t="s">
        <v>614</v>
      </c>
      <c r="G1428" s="515" t="s">
        <v>5180</v>
      </c>
      <c r="H1428" s="514" t="s">
        <v>1226</v>
      </c>
      <c r="I1428" s="522"/>
      <c r="J1428" s="522">
        <v>7</v>
      </c>
    </row>
    <row r="1429" spans="1:10" ht="13.8" thickBot="1">
      <c r="A1429" s="517"/>
      <c r="B1429" s="518" t="s">
        <v>11979</v>
      </c>
      <c r="C1429" s="516"/>
      <c r="D1429" s="514" t="s">
        <v>11978</v>
      </c>
      <c r="E1429" s="515">
        <v>6</v>
      </c>
      <c r="F1429" s="518" t="s">
        <v>614</v>
      </c>
      <c r="G1429" s="515" t="s">
        <v>5180</v>
      </c>
      <c r="H1429" s="514" t="s">
        <v>1220</v>
      </c>
      <c r="I1429" s="515">
        <v>1</v>
      </c>
      <c r="J1429" s="515">
        <v>6</v>
      </c>
    </row>
    <row r="1430" spans="1:10" ht="13.8" thickBot="1">
      <c r="A1430" s="517"/>
      <c r="B1430" s="518" t="s">
        <v>11977</v>
      </c>
      <c r="C1430" s="516"/>
      <c r="D1430" s="514" t="s">
        <v>5184</v>
      </c>
      <c r="E1430" s="515">
        <v>6</v>
      </c>
      <c r="F1430" s="518" t="s">
        <v>614</v>
      </c>
      <c r="G1430" s="515" t="s">
        <v>5180</v>
      </c>
      <c r="H1430" s="514"/>
      <c r="I1430" s="515"/>
      <c r="J1430" s="515">
        <v>1</v>
      </c>
    </row>
    <row r="1431" spans="1:10" ht="13.8" thickBot="1">
      <c r="A1431" s="517"/>
      <c r="B1431" s="518" t="s">
        <v>11976</v>
      </c>
      <c r="C1431" s="516"/>
      <c r="D1431" s="514" t="s">
        <v>11975</v>
      </c>
      <c r="E1431" s="515">
        <v>5.5</v>
      </c>
      <c r="F1431" s="518" t="s">
        <v>614</v>
      </c>
      <c r="G1431" s="515" t="s">
        <v>5180</v>
      </c>
      <c r="H1431" s="514"/>
      <c r="I1431" s="515"/>
      <c r="J1431" s="515">
        <v>2</v>
      </c>
    </row>
    <row r="1432" spans="1:10" ht="13.8" thickBot="1">
      <c r="A1432" s="517"/>
      <c r="B1432" s="518" t="s">
        <v>11974</v>
      </c>
      <c r="C1432" s="516"/>
      <c r="D1432" s="514" t="s">
        <v>5195</v>
      </c>
      <c r="E1432" s="515">
        <v>7.25</v>
      </c>
      <c r="F1432" s="518" t="s">
        <v>614</v>
      </c>
      <c r="G1432" s="515" t="s">
        <v>5196</v>
      </c>
      <c r="H1432" s="514" t="s">
        <v>1251</v>
      </c>
      <c r="I1432" s="515">
        <v>2</v>
      </c>
      <c r="J1432" s="515">
        <v>4</v>
      </c>
    </row>
    <row r="1433" spans="1:10" ht="13.8" thickBot="1">
      <c r="A1433" s="517"/>
      <c r="B1433" s="518" t="s">
        <v>11973</v>
      </c>
      <c r="C1433" s="516"/>
      <c r="D1433" s="514" t="s">
        <v>11972</v>
      </c>
      <c r="E1433" s="515">
        <v>7.1</v>
      </c>
      <c r="F1433" s="518" t="s">
        <v>614</v>
      </c>
      <c r="G1433" s="515" t="s">
        <v>5196</v>
      </c>
      <c r="H1433" s="514" t="s">
        <v>1251</v>
      </c>
      <c r="I1433" s="515"/>
      <c r="J1433" s="515">
        <v>3</v>
      </c>
    </row>
    <row r="1434" spans="1:10" ht="13.8" thickBot="1">
      <c r="A1434" s="517"/>
      <c r="B1434" s="518" t="s">
        <v>11971</v>
      </c>
      <c r="C1434" s="516"/>
      <c r="D1434" s="514" t="s">
        <v>11970</v>
      </c>
      <c r="E1434" s="515">
        <v>6.8</v>
      </c>
      <c r="F1434" s="518" t="s">
        <v>614</v>
      </c>
      <c r="G1434" s="515" t="s">
        <v>5196</v>
      </c>
      <c r="H1434" s="514" t="s">
        <v>1226</v>
      </c>
      <c r="I1434" s="515">
        <v>1</v>
      </c>
      <c r="J1434" s="515">
        <v>8</v>
      </c>
    </row>
    <row r="1435" spans="1:10" ht="13.8" thickBot="1">
      <c r="A1435" s="517"/>
      <c r="B1435" s="518" t="s">
        <v>11969</v>
      </c>
      <c r="C1435" s="516"/>
      <c r="D1435" s="514" t="s">
        <v>11968</v>
      </c>
      <c r="E1435" s="515">
        <v>6.8</v>
      </c>
      <c r="F1435" s="518" t="s">
        <v>614</v>
      </c>
      <c r="G1435" s="515" t="s">
        <v>5196</v>
      </c>
      <c r="H1435" s="514" t="s">
        <v>1226</v>
      </c>
      <c r="I1435" s="515">
        <v>1</v>
      </c>
      <c r="J1435" s="515">
        <v>2</v>
      </c>
    </row>
    <row r="1436" spans="1:10" ht="13.8" thickBot="1">
      <c r="A1436" s="517"/>
      <c r="B1436" s="518" t="s">
        <v>11967</v>
      </c>
      <c r="C1436" s="516"/>
      <c r="D1436" s="514" t="s">
        <v>11966</v>
      </c>
      <c r="E1436" s="515">
        <v>6.25</v>
      </c>
      <c r="F1436" s="518" t="s">
        <v>614</v>
      </c>
      <c r="G1436" s="515" t="s">
        <v>5196</v>
      </c>
      <c r="H1436" s="514" t="s">
        <v>1251</v>
      </c>
      <c r="I1436" s="515"/>
      <c r="J1436" s="515">
        <v>10</v>
      </c>
    </row>
    <row r="1437" spans="1:10" ht="13.8" thickBot="1">
      <c r="A1437" s="517"/>
      <c r="B1437" s="518" t="s">
        <v>11965</v>
      </c>
      <c r="C1437" s="516"/>
      <c r="D1437" s="514" t="s">
        <v>11964</v>
      </c>
      <c r="E1437" s="515">
        <v>6.25</v>
      </c>
      <c r="F1437" s="518" t="s">
        <v>614</v>
      </c>
      <c r="G1437" s="515" t="s">
        <v>5196</v>
      </c>
      <c r="H1437" s="514"/>
      <c r="I1437" s="522">
        <v>1</v>
      </c>
      <c r="J1437" s="522">
        <v>13</v>
      </c>
    </row>
    <row r="1438" spans="1:10" ht="13.8" thickBot="1">
      <c r="A1438" s="517"/>
      <c r="B1438" s="518" t="s">
        <v>11963</v>
      </c>
      <c r="C1438" s="516"/>
      <c r="D1438" s="514" t="s">
        <v>11962</v>
      </c>
      <c r="E1438" s="515">
        <v>6.25</v>
      </c>
      <c r="F1438" s="518" t="s">
        <v>614</v>
      </c>
      <c r="G1438" s="515" t="s">
        <v>5196</v>
      </c>
      <c r="H1438" s="514"/>
      <c r="I1438" s="515"/>
      <c r="J1438" s="515">
        <v>9</v>
      </c>
    </row>
    <row r="1439" spans="1:10" ht="13.8" thickBot="1">
      <c r="A1439" s="517"/>
      <c r="B1439" s="518" t="s">
        <v>11961</v>
      </c>
      <c r="C1439" s="516"/>
      <c r="D1439" s="514" t="s">
        <v>11960</v>
      </c>
      <c r="E1439" s="515">
        <v>6</v>
      </c>
      <c r="F1439" s="518" t="s">
        <v>614</v>
      </c>
      <c r="G1439" s="515" t="s">
        <v>5196</v>
      </c>
      <c r="H1439" s="514" t="s">
        <v>1226</v>
      </c>
      <c r="I1439" s="515"/>
      <c r="J1439" s="515">
        <v>4</v>
      </c>
    </row>
    <row r="1440" spans="1:10" ht="13.8" thickBot="1">
      <c r="A1440" s="517"/>
      <c r="B1440" s="518" t="s">
        <v>11959</v>
      </c>
      <c r="C1440" s="516"/>
      <c r="D1440" s="514" t="s">
        <v>11958</v>
      </c>
      <c r="E1440" s="515">
        <v>6</v>
      </c>
      <c r="F1440" s="518" t="s">
        <v>614</v>
      </c>
      <c r="G1440" s="515" t="s">
        <v>5196</v>
      </c>
      <c r="H1440" s="514"/>
      <c r="I1440" s="522"/>
      <c r="J1440" s="515">
        <v>1</v>
      </c>
    </row>
    <row r="1441" spans="1:10" ht="13.8" thickBot="1">
      <c r="A1441" s="517"/>
      <c r="B1441" s="518" t="s">
        <v>11957</v>
      </c>
      <c r="C1441" s="516"/>
      <c r="D1441" s="514" t="s">
        <v>11956</v>
      </c>
      <c r="E1441" s="515">
        <v>6</v>
      </c>
      <c r="F1441" s="518" t="s">
        <v>614</v>
      </c>
      <c r="G1441" s="515" t="s">
        <v>5196</v>
      </c>
      <c r="H1441" s="514"/>
      <c r="I1441" s="515"/>
      <c r="J1441" s="515">
        <v>1</v>
      </c>
    </row>
    <row r="1442" spans="1:10" ht="13.8" thickBot="1">
      <c r="A1442" s="517"/>
      <c r="B1442" s="518" t="s">
        <v>11955</v>
      </c>
      <c r="C1442" s="516"/>
      <c r="D1442" s="514" t="s">
        <v>11954</v>
      </c>
      <c r="E1442" s="515">
        <v>5.75</v>
      </c>
      <c r="F1442" s="518" t="s">
        <v>614</v>
      </c>
      <c r="G1442" s="515" t="s">
        <v>5196</v>
      </c>
      <c r="H1442" s="514" t="s">
        <v>1226</v>
      </c>
      <c r="I1442" s="522"/>
      <c r="J1442" s="522">
        <v>12</v>
      </c>
    </row>
    <row r="1443" spans="1:10" ht="13.8" thickBot="1">
      <c r="A1443" s="517"/>
      <c r="B1443" s="518" t="s">
        <v>11953</v>
      </c>
      <c r="C1443" s="516"/>
      <c r="D1443" s="514" t="s">
        <v>11952</v>
      </c>
      <c r="E1443" s="515">
        <v>5.5</v>
      </c>
      <c r="F1443" s="518" t="s">
        <v>614</v>
      </c>
      <c r="G1443" s="515" t="s">
        <v>5196</v>
      </c>
      <c r="H1443" s="514" t="s">
        <v>1226</v>
      </c>
      <c r="I1443" s="515"/>
      <c r="J1443" s="515">
        <v>3</v>
      </c>
    </row>
    <row r="1444" spans="1:10" ht="13.8" thickBot="1">
      <c r="A1444" s="517"/>
      <c r="B1444" s="518" t="s">
        <v>11951</v>
      </c>
      <c r="C1444" s="516"/>
      <c r="D1444" s="514" t="s">
        <v>11950</v>
      </c>
      <c r="E1444" s="515">
        <v>5</v>
      </c>
      <c r="F1444" s="518" t="s">
        <v>614</v>
      </c>
      <c r="G1444" s="515" t="s">
        <v>5196</v>
      </c>
      <c r="H1444" s="514" t="s">
        <v>1224</v>
      </c>
      <c r="I1444" s="515"/>
      <c r="J1444" s="515">
        <v>2</v>
      </c>
    </row>
    <row r="1445" spans="1:10" ht="13.8" thickBot="1">
      <c r="A1445" s="517"/>
      <c r="B1445" s="518" t="s">
        <v>11949</v>
      </c>
      <c r="C1445" s="516"/>
      <c r="D1445" s="514" t="s">
        <v>11948</v>
      </c>
      <c r="E1445" s="515">
        <v>6</v>
      </c>
      <c r="F1445" s="518" t="s">
        <v>614</v>
      </c>
      <c r="G1445" s="515" t="s">
        <v>5219</v>
      </c>
      <c r="H1445" s="514" t="s">
        <v>1224</v>
      </c>
      <c r="I1445" s="515"/>
      <c r="J1445" s="515">
        <v>15</v>
      </c>
    </row>
    <row r="1446" spans="1:10" ht="13.8" thickBot="1">
      <c r="A1446" s="517"/>
      <c r="B1446" s="518" t="s">
        <v>11947</v>
      </c>
      <c r="C1446" s="516"/>
      <c r="D1446" s="514" t="s">
        <v>11946</v>
      </c>
      <c r="E1446" s="515">
        <v>5.5</v>
      </c>
      <c r="F1446" s="518" t="s">
        <v>11945</v>
      </c>
      <c r="G1446" s="515" t="s">
        <v>5219</v>
      </c>
      <c r="H1446" s="514"/>
      <c r="I1446" s="515"/>
      <c r="J1446" s="515"/>
    </row>
    <row r="1447" spans="1:10" ht="13.8" thickBot="1">
      <c r="A1447" s="517"/>
      <c r="B1447" s="518" t="s">
        <v>11944</v>
      </c>
      <c r="C1447" s="516"/>
      <c r="D1447" s="514" t="s">
        <v>11943</v>
      </c>
      <c r="E1447" s="515">
        <v>5</v>
      </c>
      <c r="F1447" s="518" t="s">
        <v>1854</v>
      </c>
      <c r="G1447" s="515" t="s">
        <v>5219</v>
      </c>
      <c r="H1447" s="514" t="s">
        <v>1224</v>
      </c>
      <c r="I1447" s="515"/>
      <c r="J1447" s="515">
        <v>1</v>
      </c>
    </row>
    <row r="1448" spans="1:10" ht="13.8" thickBot="1">
      <c r="A1448" s="517"/>
      <c r="B1448" s="518" t="s">
        <v>11942</v>
      </c>
      <c r="C1448" s="516"/>
      <c r="D1448" s="514" t="s">
        <v>11941</v>
      </c>
      <c r="E1448" s="515">
        <v>7.75</v>
      </c>
      <c r="F1448" s="518" t="s">
        <v>614</v>
      </c>
      <c r="G1448" s="515" t="s">
        <v>5226</v>
      </c>
      <c r="H1448" s="514" t="s">
        <v>1251</v>
      </c>
      <c r="I1448" s="515"/>
      <c r="J1448" s="515">
        <v>1</v>
      </c>
    </row>
    <row r="1449" spans="1:10" ht="13.8" thickBot="1">
      <c r="A1449" s="517"/>
      <c r="B1449" s="518" t="s">
        <v>11940</v>
      </c>
      <c r="C1449" s="516"/>
      <c r="D1449" s="514" t="s">
        <v>11939</v>
      </c>
      <c r="E1449" s="515">
        <v>7.5</v>
      </c>
      <c r="F1449" s="518" t="s">
        <v>614</v>
      </c>
      <c r="G1449" s="515" t="s">
        <v>5226</v>
      </c>
      <c r="H1449" s="514" t="s">
        <v>1229</v>
      </c>
      <c r="I1449" s="515"/>
      <c r="J1449" s="515">
        <v>2</v>
      </c>
    </row>
    <row r="1450" spans="1:10" ht="13.8" thickBot="1">
      <c r="A1450" s="517"/>
      <c r="B1450" s="518" t="s">
        <v>11938</v>
      </c>
      <c r="C1450" s="516"/>
      <c r="D1450" s="514" t="s">
        <v>5227</v>
      </c>
      <c r="E1450" s="515">
        <v>7.5</v>
      </c>
      <c r="F1450" s="514"/>
      <c r="G1450" s="515" t="s">
        <v>5226</v>
      </c>
      <c r="H1450" s="514" t="s">
        <v>1226</v>
      </c>
      <c r="I1450" s="515"/>
      <c r="J1450" s="515">
        <v>1</v>
      </c>
    </row>
    <row r="1451" spans="1:10" ht="13.8" thickBot="1">
      <c r="A1451" s="517"/>
      <c r="B1451" s="518" t="s">
        <v>11937</v>
      </c>
      <c r="C1451" s="516"/>
      <c r="D1451" s="514" t="s">
        <v>5227</v>
      </c>
      <c r="E1451" s="515">
        <v>7.5</v>
      </c>
      <c r="F1451" s="518" t="s">
        <v>1854</v>
      </c>
      <c r="G1451" s="515" t="s">
        <v>5226</v>
      </c>
      <c r="H1451" s="514"/>
      <c r="I1451" s="515">
        <v>2</v>
      </c>
      <c r="J1451" s="515">
        <v>2</v>
      </c>
    </row>
    <row r="1452" spans="1:10" ht="13.8" thickBot="1">
      <c r="A1452" s="517"/>
      <c r="B1452" s="518" t="s">
        <v>11936</v>
      </c>
      <c r="C1452" s="516"/>
      <c r="D1452" s="519" t="s">
        <v>11935</v>
      </c>
      <c r="E1452" s="515">
        <v>7.4</v>
      </c>
      <c r="F1452" s="518" t="s">
        <v>614</v>
      </c>
      <c r="G1452" s="515" t="s">
        <v>5226</v>
      </c>
      <c r="H1452" s="514" t="s">
        <v>1224</v>
      </c>
      <c r="I1452" s="515"/>
      <c r="J1452" s="515">
        <v>3</v>
      </c>
    </row>
    <row r="1453" spans="1:10" ht="13.8" thickBot="1">
      <c r="A1453" s="517"/>
      <c r="B1453" s="518" t="s">
        <v>11934</v>
      </c>
      <c r="C1453" s="516"/>
      <c r="D1453" s="514" t="s">
        <v>5231</v>
      </c>
      <c r="E1453" s="515">
        <v>7.25</v>
      </c>
      <c r="F1453" s="518" t="s">
        <v>614</v>
      </c>
      <c r="G1453" s="515" t="s">
        <v>5226</v>
      </c>
      <c r="H1453" s="514" t="s">
        <v>1251</v>
      </c>
      <c r="I1453" s="515"/>
      <c r="J1453" s="515">
        <v>12</v>
      </c>
    </row>
    <row r="1454" spans="1:10" ht="13.8" thickBot="1">
      <c r="A1454" s="517"/>
      <c r="B1454" s="518" t="s">
        <v>11933</v>
      </c>
      <c r="C1454" s="516"/>
      <c r="D1454" s="514" t="s">
        <v>11932</v>
      </c>
      <c r="E1454" s="515">
        <v>7.25</v>
      </c>
      <c r="F1454" s="518" t="s">
        <v>614</v>
      </c>
      <c r="G1454" s="515" t="s">
        <v>5226</v>
      </c>
      <c r="H1454" s="514" t="s">
        <v>1251</v>
      </c>
      <c r="I1454" s="515">
        <v>1</v>
      </c>
      <c r="J1454" s="515">
        <v>4</v>
      </c>
    </row>
    <row r="1455" spans="1:10" ht="13.8" thickBot="1">
      <c r="A1455" s="517"/>
      <c r="B1455" s="518" t="s">
        <v>11931</v>
      </c>
      <c r="C1455" s="516"/>
      <c r="D1455" s="519" t="s">
        <v>11930</v>
      </c>
      <c r="E1455" s="515">
        <v>7</v>
      </c>
      <c r="F1455" s="518" t="s">
        <v>614</v>
      </c>
      <c r="G1455" s="515" t="s">
        <v>5226</v>
      </c>
      <c r="H1455" s="514" t="s">
        <v>1226</v>
      </c>
      <c r="I1455" s="515"/>
      <c r="J1455" s="515">
        <v>5</v>
      </c>
    </row>
    <row r="1456" spans="1:10" ht="13.8" thickBot="1">
      <c r="A1456" s="517"/>
      <c r="B1456" s="518" t="s">
        <v>11929</v>
      </c>
      <c r="C1456" s="516"/>
      <c r="D1456" s="514" t="s">
        <v>11928</v>
      </c>
      <c r="E1456" s="515">
        <v>7</v>
      </c>
      <c r="F1456" s="518" t="s">
        <v>614</v>
      </c>
      <c r="G1456" s="515" t="s">
        <v>5226</v>
      </c>
      <c r="H1456" s="514"/>
      <c r="I1456" s="515"/>
      <c r="J1456" s="515">
        <v>1</v>
      </c>
    </row>
    <row r="1457" spans="1:10" ht="13.8" thickBot="1">
      <c r="A1457" s="517"/>
      <c r="B1457" s="518" t="s">
        <v>11927</v>
      </c>
      <c r="C1457" s="516"/>
      <c r="D1457" s="514" t="s">
        <v>11926</v>
      </c>
      <c r="E1457" s="515">
        <v>6.75</v>
      </c>
      <c r="F1457" s="518" t="s">
        <v>614</v>
      </c>
      <c r="G1457" s="515" t="s">
        <v>5226</v>
      </c>
      <c r="H1457" s="514" t="s">
        <v>1226</v>
      </c>
      <c r="I1457" s="515"/>
      <c r="J1457" s="515">
        <v>4</v>
      </c>
    </row>
    <row r="1458" spans="1:10" ht="13.8" thickBot="1">
      <c r="A1458" s="517"/>
      <c r="B1458" s="518" t="s">
        <v>11925</v>
      </c>
      <c r="C1458" s="516"/>
      <c r="D1458" s="514" t="s">
        <v>11924</v>
      </c>
      <c r="E1458" s="515">
        <v>6.75</v>
      </c>
      <c r="F1458" s="518" t="s">
        <v>614</v>
      </c>
      <c r="G1458" s="515" t="s">
        <v>5226</v>
      </c>
      <c r="H1458" s="514" t="s">
        <v>1220</v>
      </c>
      <c r="I1458" s="515">
        <v>2</v>
      </c>
      <c r="J1458" s="515">
        <v>8</v>
      </c>
    </row>
    <row r="1459" spans="1:10" ht="13.8" thickBot="1">
      <c r="A1459" s="517"/>
      <c r="B1459" s="518" t="s">
        <v>11923</v>
      </c>
      <c r="C1459" s="516"/>
      <c r="D1459" s="514" t="s">
        <v>11922</v>
      </c>
      <c r="E1459" s="515">
        <v>6.5</v>
      </c>
      <c r="F1459" s="518" t="s">
        <v>614</v>
      </c>
      <c r="G1459" s="515" t="s">
        <v>5226</v>
      </c>
      <c r="H1459" s="514" t="s">
        <v>1224</v>
      </c>
      <c r="I1459" s="515"/>
      <c r="J1459" s="515">
        <v>3</v>
      </c>
    </row>
    <row r="1460" spans="1:10" ht="13.8" thickBot="1">
      <c r="A1460" s="517"/>
      <c r="B1460" s="518" t="s">
        <v>11921</v>
      </c>
      <c r="C1460" s="516"/>
      <c r="D1460" s="514" t="s">
        <v>11920</v>
      </c>
      <c r="E1460" s="515">
        <v>6.4</v>
      </c>
      <c r="F1460" s="518" t="s">
        <v>614</v>
      </c>
      <c r="G1460" s="515" t="s">
        <v>5226</v>
      </c>
      <c r="H1460" s="514" t="s">
        <v>1224</v>
      </c>
      <c r="I1460" s="515"/>
      <c r="J1460" s="515">
        <v>6</v>
      </c>
    </row>
    <row r="1461" spans="1:10" ht="13.8" thickBot="1">
      <c r="A1461" s="517"/>
      <c r="B1461" s="518" t="s">
        <v>11919</v>
      </c>
      <c r="C1461" s="516"/>
      <c r="D1461" s="514" t="s">
        <v>11918</v>
      </c>
      <c r="E1461" s="515">
        <v>6.25</v>
      </c>
      <c r="F1461" s="518" t="s">
        <v>614</v>
      </c>
      <c r="G1461" s="515" t="s">
        <v>5226</v>
      </c>
      <c r="H1461" s="514" t="s">
        <v>1226</v>
      </c>
      <c r="I1461" s="515">
        <v>1</v>
      </c>
      <c r="J1461" s="515">
        <v>5</v>
      </c>
    </row>
    <row r="1462" spans="1:10" ht="13.8" thickBot="1">
      <c r="A1462" s="517"/>
      <c r="B1462" s="518" t="s">
        <v>11917</v>
      </c>
      <c r="C1462" s="516"/>
      <c r="D1462" s="514" t="s">
        <v>5227</v>
      </c>
      <c r="E1462" s="515">
        <v>6.25</v>
      </c>
      <c r="F1462" s="518" t="s">
        <v>614</v>
      </c>
      <c r="G1462" s="515" t="s">
        <v>5226</v>
      </c>
      <c r="H1462" s="514" t="s">
        <v>1226</v>
      </c>
      <c r="I1462" s="515">
        <v>1</v>
      </c>
      <c r="J1462" s="515">
        <v>3</v>
      </c>
    </row>
    <row r="1463" spans="1:10" ht="13.8" thickBot="1">
      <c r="A1463" s="517"/>
      <c r="B1463" s="518" t="s">
        <v>11916</v>
      </c>
      <c r="C1463" s="516"/>
      <c r="D1463" s="514" t="s">
        <v>11915</v>
      </c>
      <c r="E1463" s="515">
        <v>6</v>
      </c>
      <c r="F1463" s="518" t="s">
        <v>614</v>
      </c>
      <c r="G1463" s="515" t="s">
        <v>5226</v>
      </c>
      <c r="H1463" s="514" t="s">
        <v>1224</v>
      </c>
      <c r="I1463" s="515"/>
      <c r="J1463" s="515">
        <v>2</v>
      </c>
    </row>
    <row r="1464" spans="1:10" ht="13.8" thickBot="1">
      <c r="A1464" s="517"/>
      <c r="B1464" s="518" t="s">
        <v>11914</v>
      </c>
      <c r="C1464" s="516"/>
      <c r="D1464" s="514" t="s">
        <v>11913</v>
      </c>
      <c r="E1464" s="515">
        <v>5</v>
      </c>
      <c r="F1464" s="514"/>
      <c r="G1464" s="515" t="s">
        <v>5226</v>
      </c>
      <c r="H1464" s="514" t="s">
        <v>1224</v>
      </c>
      <c r="I1464" s="515"/>
      <c r="J1464" s="515">
        <v>3</v>
      </c>
    </row>
    <row r="1465" spans="1:10" ht="13.8" thickBot="1">
      <c r="A1465" s="517"/>
      <c r="B1465" s="518" t="s">
        <v>11912</v>
      </c>
      <c r="C1465" s="516"/>
      <c r="D1465" s="514" t="s">
        <v>11911</v>
      </c>
      <c r="E1465" s="515">
        <v>5</v>
      </c>
      <c r="F1465" s="518" t="s">
        <v>614</v>
      </c>
      <c r="G1465" s="515" t="s">
        <v>5226</v>
      </c>
      <c r="H1465" s="514" t="s">
        <v>1220</v>
      </c>
      <c r="I1465" s="515"/>
      <c r="J1465" s="515">
        <v>4</v>
      </c>
    </row>
    <row r="1466" spans="1:10" ht="13.8" thickBot="1">
      <c r="A1466" s="517"/>
      <c r="B1466" s="518" t="s">
        <v>11910</v>
      </c>
      <c r="C1466" s="516"/>
      <c r="D1466" s="514" t="s">
        <v>5227</v>
      </c>
      <c r="E1466" s="515">
        <v>5</v>
      </c>
      <c r="F1466" s="514"/>
      <c r="G1466" s="515" t="s">
        <v>5226</v>
      </c>
      <c r="H1466" s="514"/>
      <c r="I1466" s="515"/>
      <c r="J1466" s="515">
        <v>1</v>
      </c>
    </row>
    <row r="1467" spans="1:10" ht="13.8" thickBot="1">
      <c r="A1467" s="517"/>
      <c r="B1467" s="518" t="s">
        <v>11909</v>
      </c>
      <c r="C1467" s="516"/>
      <c r="D1467" s="514" t="s">
        <v>11905</v>
      </c>
      <c r="E1467" s="515">
        <v>7.25</v>
      </c>
      <c r="F1467" s="518" t="s">
        <v>614</v>
      </c>
      <c r="G1467" s="515" t="s">
        <v>5245</v>
      </c>
      <c r="H1467" s="514" t="s">
        <v>1229</v>
      </c>
      <c r="I1467" s="515">
        <v>2</v>
      </c>
      <c r="J1467" s="515">
        <v>11</v>
      </c>
    </row>
    <row r="1468" spans="1:10" ht="13.8" thickBot="1">
      <c r="A1468" s="517"/>
      <c r="B1468" s="518" t="s">
        <v>11908</v>
      </c>
      <c r="C1468" s="516"/>
      <c r="D1468" s="514" t="s">
        <v>11907</v>
      </c>
      <c r="E1468" s="515">
        <v>6.75</v>
      </c>
      <c r="F1468" s="518" t="s">
        <v>614</v>
      </c>
      <c r="G1468" s="515" t="s">
        <v>5245</v>
      </c>
      <c r="H1468" s="514" t="s">
        <v>1226</v>
      </c>
      <c r="I1468" s="515"/>
      <c r="J1468" s="515">
        <v>3</v>
      </c>
    </row>
    <row r="1469" spans="1:10" ht="13.8" thickBot="1">
      <c r="A1469" s="517"/>
      <c r="B1469" s="518" t="s">
        <v>11906</v>
      </c>
      <c r="C1469" s="516"/>
      <c r="D1469" s="514" t="s">
        <v>11905</v>
      </c>
      <c r="E1469" s="515">
        <v>6</v>
      </c>
      <c r="F1469" s="518" t="s">
        <v>614</v>
      </c>
      <c r="G1469" s="515" t="s">
        <v>5245</v>
      </c>
      <c r="H1469" s="514"/>
      <c r="I1469" s="515"/>
      <c r="J1469" s="515">
        <v>1</v>
      </c>
    </row>
    <row r="1470" spans="1:10" ht="13.8" thickBot="1">
      <c r="A1470" s="517"/>
      <c r="B1470" s="518" t="s">
        <v>11904</v>
      </c>
      <c r="C1470" s="516"/>
      <c r="D1470" s="514" t="s">
        <v>11903</v>
      </c>
      <c r="E1470" s="515">
        <v>6.4</v>
      </c>
      <c r="F1470" s="518" t="s">
        <v>614</v>
      </c>
      <c r="G1470" s="515" t="s">
        <v>5248</v>
      </c>
      <c r="H1470" s="514" t="s">
        <v>1226</v>
      </c>
      <c r="I1470" s="515"/>
      <c r="J1470" s="515">
        <v>7</v>
      </c>
    </row>
    <row r="1471" spans="1:10" ht="13.8" thickBot="1">
      <c r="A1471" s="517"/>
      <c r="B1471" s="518" t="s">
        <v>11902</v>
      </c>
      <c r="C1471" s="516"/>
      <c r="D1471" s="514" t="s">
        <v>11901</v>
      </c>
      <c r="E1471" s="515">
        <v>6.25</v>
      </c>
      <c r="F1471" s="518" t="s">
        <v>11900</v>
      </c>
      <c r="G1471" s="515" t="s">
        <v>5248</v>
      </c>
      <c r="H1471" s="514" t="s">
        <v>1226</v>
      </c>
      <c r="I1471" s="515"/>
      <c r="J1471" s="515">
        <v>8</v>
      </c>
    </row>
    <row r="1472" spans="1:10" ht="13.8" thickBot="1">
      <c r="A1472" s="517"/>
      <c r="B1472" s="518" t="s">
        <v>11899</v>
      </c>
      <c r="C1472" s="516"/>
      <c r="D1472" s="514" t="s">
        <v>11898</v>
      </c>
      <c r="E1472" s="515">
        <v>8</v>
      </c>
      <c r="F1472" s="518" t="s">
        <v>614</v>
      </c>
      <c r="G1472" s="515" t="s">
        <v>5257</v>
      </c>
      <c r="H1472" s="514" t="s">
        <v>1226</v>
      </c>
      <c r="I1472" s="515"/>
      <c r="J1472" s="515">
        <v>2</v>
      </c>
    </row>
    <row r="1473" spans="1:10" ht="13.8" thickBot="1">
      <c r="A1473" s="517"/>
      <c r="B1473" s="518" t="s">
        <v>11897</v>
      </c>
      <c r="C1473" s="516"/>
      <c r="D1473" s="514" t="s">
        <v>11896</v>
      </c>
      <c r="E1473" s="515">
        <v>7.25</v>
      </c>
      <c r="F1473" s="518" t="s">
        <v>614</v>
      </c>
      <c r="G1473" s="515" t="s">
        <v>11891</v>
      </c>
      <c r="H1473" s="514" t="s">
        <v>1229</v>
      </c>
      <c r="I1473" s="522"/>
      <c r="J1473" s="522">
        <v>7</v>
      </c>
    </row>
    <row r="1474" spans="1:10" ht="13.8" thickBot="1">
      <c r="A1474" s="517"/>
      <c r="B1474" s="518" t="s">
        <v>11895</v>
      </c>
      <c r="C1474" s="516"/>
      <c r="D1474" s="514" t="s">
        <v>11894</v>
      </c>
      <c r="E1474" s="515">
        <v>7</v>
      </c>
      <c r="F1474" s="518" t="s">
        <v>1854</v>
      </c>
      <c r="G1474" s="515" t="s">
        <v>11891</v>
      </c>
      <c r="H1474" s="514" t="s">
        <v>1251</v>
      </c>
      <c r="I1474" s="515">
        <v>3</v>
      </c>
      <c r="J1474" s="515">
        <v>7</v>
      </c>
    </row>
    <row r="1475" spans="1:10" ht="13.8" thickBot="1">
      <c r="A1475" s="517"/>
      <c r="B1475" s="518" t="s">
        <v>11893</v>
      </c>
      <c r="C1475" s="516"/>
      <c r="D1475" s="514" t="s">
        <v>11892</v>
      </c>
      <c r="E1475" s="515">
        <v>6.5</v>
      </c>
      <c r="F1475" s="518" t="s">
        <v>614</v>
      </c>
      <c r="G1475" s="515" t="s">
        <v>11891</v>
      </c>
      <c r="H1475" s="514" t="s">
        <v>1251</v>
      </c>
      <c r="I1475" s="522">
        <v>6</v>
      </c>
      <c r="J1475" s="522">
        <v>22</v>
      </c>
    </row>
    <row r="1476" spans="1:10" ht="13.8" thickBot="1">
      <c r="A1476" s="517"/>
      <c r="B1476" s="518" t="s">
        <v>11890</v>
      </c>
      <c r="C1476" s="516"/>
      <c r="D1476" s="514" t="s">
        <v>11889</v>
      </c>
      <c r="E1476" s="515">
        <v>7</v>
      </c>
      <c r="F1476" s="514"/>
      <c r="G1476" s="515" t="s">
        <v>5269</v>
      </c>
      <c r="H1476" s="514"/>
      <c r="I1476" s="515"/>
      <c r="J1476" s="515">
        <v>1</v>
      </c>
    </row>
    <row r="1477" spans="1:10" ht="13.8" thickBot="1">
      <c r="A1477" s="517"/>
      <c r="B1477" s="518" t="s">
        <v>11888</v>
      </c>
      <c r="C1477" s="516"/>
      <c r="D1477" s="514" t="s">
        <v>11887</v>
      </c>
      <c r="E1477" s="515">
        <v>6.9</v>
      </c>
      <c r="F1477" s="518" t="s">
        <v>614</v>
      </c>
      <c r="G1477" s="515" t="s">
        <v>5269</v>
      </c>
      <c r="H1477" s="514" t="s">
        <v>1251</v>
      </c>
      <c r="I1477" s="515"/>
      <c r="J1477" s="515">
        <v>7</v>
      </c>
    </row>
    <row r="1478" spans="1:10" ht="13.8" thickBot="1">
      <c r="A1478" s="517"/>
      <c r="B1478" s="518" t="s">
        <v>11886</v>
      </c>
      <c r="C1478" s="516"/>
      <c r="D1478" s="514" t="s">
        <v>5272</v>
      </c>
      <c r="E1478" s="515">
        <v>5.5</v>
      </c>
      <c r="F1478" s="514"/>
      <c r="G1478" s="515" t="s">
        <v>5269</v>
      </c>
      <c r="H1478" s="514" t="s">
        <v>1226</v>
      </c>
      <c r="I1478" s="515"/>
      <c r="J1478" s="515">
        <v>3</v>
      </c>
    </row>
    <row r="1479" spans="1:10" ht="13.8" thickBot="1">
      <c r="A1479" s="517"/>
      <c r="B1479" s="518" t="s">
        <v>11885</v>
      </c>
      <c r="C1479" s="516"/>
      <c r="D1479" s="514" t="s">
        <v>5272</v>
      </c>
      <c r="E1479" s="515">
        <v>5.5</v>
      </c>
      <c r="F1479" s="518" t="s">
        <v>614</v>
      </c>
      <c r="G1479" s="515" t="s">
        <v>5269</v>
      </c>
      <c r="H1479" s="514" t="s">
        <v>1226</v>
      </c>
      <c r="I1479" s="515"/>
      <c r="J1479" s="515">
        <v>2</v>
      </c>
    </row>
    <row r="1480" spans="1:10" ht="13.8" thickBot="1">
      <c r="A1480" s="517"/>
      <c r="B1480" s="518" t="s">
        <v>11884</v>
      </c>
      <c r="C1480" s="516"/>
      <c r="D1480" s="520" t="s">
        <v>11883</v>
      </c>
      <c r="E1480" s="521">
        <v>5</v>
      </c>
      <c r="F1480" s="518" t="s">
        <v>1854</v>
      </c>
      <c r="G1480" s="515" t="s">
        <v>5269</v>
      </c>
      <c r="H1480" s="514"/>
      <c r="I1480" s="520"/>
      <c r="J1480" s="530">
        <v>1</v>
      </c>
    </row>
    <row r="1481" spans="1:10" ht="13.8" thickBot="1">
      <c r="A1481" s="517"/>
      <c r="B1481" s="518" t="s">
        <v>11882</v>
      </c>
      <c r="C1481" s="516"/>
      <c r="D1481" s="519" t="s">
        <v>1381</v>
      </c>
      <c r="E1481" s="515">
        <v>7.5</v>
      </c>
      <c r="F1481" s="518" t="s">
        <v>614</v>
      </c>
      <c r="G1481" s="515" t="s">
        <v>5286</v>
      </c>
      <c r="H1481" s="514" t="s">
        <v>1251</v>
      </c>
      <c r="I1481" s="515"/>
      <c r="J1481" s="515">
        <v>2</v>
      </c>
    </row>
    <row r="1482" spans="1:10" ht="13.8" thickBot="1">
      <c r="A1482" s="517"/>
      <c r="B1482" s="518" t="s">
        <v>11881</v>
      </c>
      <c r="C1482" s="516"/>
      <c r="D1482" s="514" t="s">
        <v>11880</v>
      </c>
      <c r="E1482" s="515">
        <v>7.1</v>
      </c>
      <c r="F1482" s="518" t="s">
        <v>614</v>
      </c>
      <c r="G1482" s="515" t="s">
        <v>5286</v>
      </c>
      <c r="H1482" s="514" t="s">
        <v>1251</v>
      </c>
      <c r="I1482" s="515">
        <v>1</v>
      </c>
      <c r="J1482" s="515">
        <v>11</v>
      </c>
    </row>
    <row r="1483" spans="1:10" ht="13.8" thickBot="1">
      <c r="A1483" s="517"/>
      <c r="B1483" s="518" t="s">
        <v>11879</v>
      </c>
      <c r="C1483" s="516"/>
      <c r="D1483" s="514" t="s">
        <v>11878</v>
      </c>
      <c r="E1483" s="515">
        <v>7.1</v>
      </c>
      <c r="F1483" s="518" t="s">
        <v>614</v>
      </c>
      <c r="G1483" s="515" t="s">
        <v>5286</v>
      </c>
      <c r="H1483" s="514" t="s">
        <v>1251</v>
      </c>
      <c r="I1483" s="515">
        <v>1</v>
      </c>
      <c r="J1483" s="515">
        <v>5</v>
      </c>
    </row>
    <row r="1484" spans="1:10" ht="13.8" thickBot="1">
      <c r="A1484" s="517"/>
      <c r="B1484" s="518" t="s">
        <v>11877</v>
      </c>
      <c r="C1484" s="516"/>
      <c r="D1484" s="514" t="s">
        <v>1381</v>
      </c>
      <c r="E1484" s="515">
        <v>7</v>
      </c>
      <c r="F1484" s="518" t="s">
        <v>614</v>
      </c>
      <c r="G1484" s="515" t="s">
        <v>5286</v>
      </c>
      <c r="H1484" s="514" t="s">
        <v>1226</v>
      </c>
      <c r="I1484" s="515"/>
      <c r="J1484" s="515">
        <v>4</v>
      </c>
    </row>
    <row r="1485" spans="1:10" ht="13.8" thickBot="1">
      <c r="A1485" s="517"/>
      <c r="B1485" s="518" t="s">
        <v>11876</v>
      </c>
      <c r="C1485" s="516"/>
      <c r="D1485" s="514" t="s">
        <v>11875</v>
      </c>
      <c r="E1485" s="515">
        <v>6.75</v>
      </c>
      <c r="F1485" s="518" t="s">
        <v>1854</v>
      </c>
      <c r="G1485" s="515" t="s">
        <v>5286</v>
      </c>
      <c r="H1485" s="514"/>
      <c r="I1485" s="515">
        <v>1</v>
      </c>
      <c r="J1485" s="515">
        <v>2</v>
      </c>
    </row>
    <row r="1486" spans="1:10" ht="13.8" thickBot="1">
      <c r="A1486" s="517"/>
      <c r="B1486" s="518" t="s">
        <v>11874</v>
      </c>
      <c r="C1486" s="516"/>
      <c r="D1486" s="514" t="s">
        <v>11873</v>
      </c>
      <c r="E1486" s="515">
        <v>6.6</v>
      </c>
      <c r="F1486" s="518" t="s">
        <v>614</v>
      </c>
      <c r="G1486" s="515" t="s">
        <v>5286</v>
      </c>
      <c r="H1486" s="514" t="s">
        <v>1841</v>
      </c>
      <c r="I1486" s="515"/>
      <c r="J1486" s="515">
        <v>13</v>
      </c>
    </row>
    <row r="1487" spans="1:10" ht="13.8" thickBot="1">
      <c r="A1487" s="517"/>
      <c r="B1487" s="518" t="s">
        <v>11872</v>
      </c>
      <c r="C1487" s="516"/>
      <c r="D1487" s="514" t="s">
        <v>11871</v>
      </c>
      <c r="E1487" s="515">
        <v>6.5</v>
      </c>
      <c r="F1487" s="518" t="s">
        <v>614</v>
      </c>
      <c r="G1487" s="515" t="s">
        <v>5286</v>
      </c>
      <c r="H1487" s="514" t="s">
        <v>1251</v>
      </c>
      <c r="I1487" s="522">
        <v>1</v>
      </c>
      <c r="J1487" s="522">
        <v>9</v>
      </c>
    </row>
    <row r="1488" spans="1:10" ht="13.8" thickBot="1">
      <c r="A1488" s="517"/>
      <c r="B1488" s="518" t="s">
        <v>11870</v>
      </c>
      <c r="C1488" s="516"/>
      <c r="D1488" s="514" t="s">
        <v>11869</v>
      </c>
      <c r="E1488" s="515">
        <v>6.5</v>
      </c>
      <c r="F1488" s="518" t="s">
        <v>614</v>
      </c>
      <c r="G1488" s="515" t="s">
        <v>5286</v>
      </c>
      <c r="H1488" s="514" t="s">
        <v>1226</v>
      </c>
      <c r="I1488" s="515"/>
      <c r="J1488" s="515">
        <v>6</v>
      </c>
    </row>
    <row r="1489" spans="1:10" ht="13.8" thickBot="1">
      <c r="A1489" s="517"/>
      <c r="B1489" s="518" t="s">
        <v>11868</v>
      </c>
      <c r="C1489" s="516"/>
      <c r="D1489" s="514" t="s">
        <v>11867</v>
      </c>
      <c r="E1489" s="515">
        <v>6.5</v>
      </c>
      <c r="F1489" s="518" t="s">
        <v>614</v>
      </c>
      <c r="G1489" s="515" t="s">
        <v>5286</v>
      </c>
      <c r="H1489" s="514" t="s">
        <v>1226</v>
      </c>
      <c r="I1489" s="515">
        <v>1</v>
      </c>
      <c r="J1489" s="515">
        <v>5</v>
      </c>
    </row>
    <row r="1490" spans="1:10" ht="13.8" thickBot="1">
      <c r="A1490" s="517"/>
      <c r="B1490" s="518" t="s">
        <v>11866</v>
      </c>
      <c r="C1490" s="516"/>
      <c r="D1490" s="514" t="s">
        <v>11865</v>
      </c>
      <c r="E1490" s="515">
        <v>6.3</v>
      </c>
      <c r="F1490" s="518" t="s">
        <v>614</v>
      </c>
      <c r="G1490" s="515" t="s">
        <v>5286</v>
      </c>
      <c r="H1490" s="514" t="s">
        <v>2319</v>
      </c>
      <c r="I1490" s="522"/>
      <c r="J1490" s="515">
        <v>9</v>
      </c>
    </row>
    <row r="1491" spans="1:10" ht="13.8" thickBot="1">
      <c r="A1491" s="517"/>
      <c r="B1491" s="518" t="s">
        <v>11864</v>
      </c>
      <c r="C1491" s="516"/>
      <c r="D1491" s="514" t="s">
        <v>11863</v>
      </c>
      <c r="E1491" s="515">
        <v>6.25</v>
      </c>
      <c r="F1491" s="518" t="s">
        <v>614</v>
      </c>
      <c r="G1491" s="515" t="s">
        <v>5286</v>
      </c>
      <c r="H1491" s="514" t="s">
        <v>1251</v>
      </c>
      <c r="I1491" s="515"/>
      <c r="J1491" s="515">
        <v>6</v>
      </c>
    </row>
    <row r="1492" spans="1:10" ht="13.8" thickBot="1">
      <c r="A1492" s="517"/>
      <c r="B1492" s="518" t="s">
        <v>11862</v>
      </c>
      <c r="C1492" s="516"/>
      <c r="D1492" s="514" t="s">
        <v>1381</v>
      </c>
      <c r="E1492" s="515">
        <v>6.25</v>
      </c>
      <c r="F1492" s="518" t="s">
        <v>614</v>
      </c>
      <c r="G1492" s="515" t="s">
        <v>5286</v>
      </c>
      <c r="H1492" s="514" t="s">
        <v>1841</v>
      </c>
      <c r="I1492" s="522">
        <v>1</v>
      </c>
      <c r="J1492" s="522">
        <v>13</v>
      </c>
    </row>
    <row r="1493" spans="1:10" ht="13.8" thickBot="1">
      <c r="A1493" s="517"/>
      <c r="B1493" s="518" t="s">
        <v>11861</v>
      </c>
      <c r="C1493" s="516"/>
      <c r="D1493" s="514" t="s">
        <v>11860</v>
      </c>
      <c r="E1493" s="515">
        <v>6.25</v>
      </c>
      <c r="F1493" s="518" t="s">
        <v>614</v>
      </c>
      <c r="G1493" s="515" t="s">
        <v>5286</v>
      </c>
      <c r="H1493" s="514" t="s">
        <v>1226</v>
      </c>
      <c r="I1493" s="515">
        <v>1</v>
      </c>
      <c r="J1493" s="515">
        <v>14</v>
      </c>
    </row>
    <row r="1494" spans="1:10" ht="13.8" thickBot="1">
      <c r="A1494" s="517"/>
      <c r="B1494" s="518" t="s">
        <v>11859</v>
      </c>
      <c r="C1494" s="516"/>
      <c r="D1494" s="514" t="s">
        <v>1381</v>
      </c>
      <c r="E1494" s="515">
        <v>6.25</v>
      </c>
      <c r="F1494" s="518" t="s">
        <v>614</v>
      </c>
      <c r="G1494" s="515" t="s">
        <v>5286</v>
      </c>
      <c r="H1494" s="514" t="s">
        <v>1226</v>
      </c>
      <c r="I1494" s="515">
        <v>1</v>
      </c>
      <c r="J1494" s="515">
        <v>7</v>
      </c>
    </row>
    <row r="1495" spans="1:10" ht="13.8" thickBot="1">
      <c r="A1495" s="517"/>
      <c r="B1495" s="518" t="s">
        <v>11858</v>
      </c>
      <c r="C1495" s="516"/>
      <c r="D1495" s="514" t="s">
        <v>11857</v>
      </c>
      <c r="E1495" s="515">
        <v>6</v>
      </c>
      <c r="F1495" s="518" t="s">
        <v>614</v>
      </c>
      <c r="G1495" s="515" t="s">
        <v>5286</v>
      </c>
      <c r="H1495" s="514" t="s">
        <v>1226</v>
      </c>
      <c r="I1495" s="515"/>
      <c r="J1495" s="515">
        <v>5</v>
      </c>
    </row>
    <row r="1496" spans="1:10" ht="13.8" thickBot="1">
      <c r="A1496" s="517"/>
      <c r="B1496" s="518" t="s">
        <v>11856</v>
      </c>
      <c r="C1496" s="516"/>
      <c r="D1496" s="514" t="s">
        <v>11855</v>
      </c>
      <c r="E1496" s="515">
        <v>6</v>
      </c>
      <c r="F1496" s="518" t="s">
        <v>614</v>
      </c>
      <c r="G1496" s="515" t="s">
        <v>5286</v>
      </c>
      <c r="H1496" s="514" t="s">
        <v>1226</v>
      </c>
      <c r="I1496" s="515"/>
      <c r="J1496" s="515">
        <v>4</v>
      </c>
    </row>
    <row r="1497" spans="1:10" ht="13.8" thickBot="1">
      <c r="A1497" s="517"/>
      <c r="B1497" s="518" t="s">
        <v>11854</v>
      </c>
      <c r="C1497" s="516"/>
      <c r="D1497" s="514" t="s">
        <v>11853</v>
      </c>
      <c r="E1497" s="515">
        <v>6</v>
      </c>
      <c r="F1497" s="518" t="s">
        <v>614</v>
      </c>
      <c r="G1497" s="515" t="s">
        <v>5286</v>
      </c>
      <c r="H1497" s="514" t="s">
        <v>1224</v>
      </c>
      <c r="I1497" s="522"/>
      <c r="J1497" s="522">
        <v>11</v>
      </c>
    </row>
    <row r="1498" spans="1:10" ht="13.8" thickBot="1">
      <c r="A1498" s="517"/>
      <c r="B1498" s="518" t="s">
        <v>11852</v>
      </c>
      <c r="C1498" s="516"/>
      <c r="D1498" s="514" t="s">
        <v>11851</v>
      </c>
      <c r="E1498" s="515">
        <v>6</v>
      </c>
      <c r="F1498" s="518" t="s">
        <v>614</v>
      </c>
      <c r="G1498" s="515" t="s">
        <v>5286</v>
      </c>
      <c r="H1498" s="514"/>
      <c r="I1498" s="515">
        <v>1</v>
      </c>
      <c r="J1498" s="515">
        <v>6</v>
      </c>
    </row>
    <row r="1499" spans="1:10" ht="13.8" thickBot="1">
      <c r="A1499" s="517"/>
      <c r="B1499" s="518" t="s">
        <v>11850</v>
      </c>
      <c r="C1499" s="516"/>
      <c r="D1499" s="514" t="s">
        <v>11849</v>
      </c>
      <c r="E1499" s="515">
        <v>6</v>
      </c>
      <c r="F1499" s="518" t="s">
        <v>614</v>
      </c>
      <c r="G1499" s="515" t="s">
        <v>5286</v>
      </c>
      <c r="H1499" s="514"/>
      <c r="I1499" s="515"/>
      <c r="J1499" s="515">
        <v>5</v>
      </c>
    </row>
    <row r="1500" spans="1:10" ht="13.8" thickBot="1">
      <c r="A1500" s="517"/>
      <c r="B1500" s="518" t="s">
        <v>11848</v>
      </c>
      <c r="C1500" s="516"/>
      <c r="D1500" s="514" t="s">
        <v>11847</v>
      </c>
      <c r="E1500" s="515">
        <v>6</v>
      </c>
      <c r="F1500" s="518" t="s">
        <v>614</v>
      </c>
      <c r="G1500" s="515" t="s">
        <v>5286</v>
      </c>
      <c r="H1500" s="514"/>
      <c r="I1500" s="515"/>
      <c r="J1500" s="515">
        <v>2</v>
      </c>
    </row>
    <row r="1501" spans="1:10" ht="13.8" thickBot="1">
      <c r="A1501" s="517"/>
      <c r="B1501" s="518" t="s">
        <v>11846</v>
      </c>
      <c r="C1501" s="516"/>
      <c r="D1501" s="514" t="s">
        <v>1381</v>
      </c>
      <c r="E1501" s="515">
        <v>5.5</v>
      </c>
      <c r="F1501" s="518" t="s">
        <v>614</v>
      </c>
      <c r="G1501" s="515" t="s">
        <v>5286</v>
      </c>
      <c r="H1501" s="514"/>
      <c r="I1501" s="515"/>
      <c r="J1501" s="515">
        <v>2</v>
      </c>
    </row>
    <row r="1502" spans="1:10" ht="13.8" thickBot="1">
      <c r="A1502" s="517"/>
      <c r="B1502" s="518" t="s">
        <v>11845</v>
      </c>
      <c r="C1502" s="516"/>
      <c r="D1502" s="514" t="s">
        <v>1381</v>
      </c>
      <c r="E1502" s="515">
        <v>5.5</v>
      </c>
      <c r="F1502" s="514"/>
      <c r="G1502" s="515" t="s">
        <v>5286</v>
      </c>
      <c r="H1502" s="514"/>
      <c r="I1502" s="515"/>
      <c r="J1502" s="515">
        <v>1</v>
      </c>
    </row>
    <row r="1503" spans="1:10" ht="13.8" thickBot="1">
      <c r="A1503" s="517"/>
      <c r="B1503" s="518" t="s">
        <v>11844</v>
      </c>
      <c r="C1503" s="516"/>
      <c r="D1503" s="514" t="s">
        <v>1381</v>
      </c>
      <c r="E1503" s="515">
        <v>5</v>
      </c>
      <c r="F1503" s="518" t="s">
        <v>614</v>
      </c>
      <c r="G1503" s="515" t="s">
        <v>5286</v>
      </c>
      <c r="H1503" s="514"/>
      <c r="I1503" s="515"/>
      <c r="J1503" s="515">
        <v>1</v>
      </c>
    </row>
    <row r="1504" spans="1:10" ht="13.8" thickBot="1">
      <c r="A1504" s="517"/>
      <c r="B1504" s="518" t="s">
        <v>11843</v>
      </c>
      <c r="C1504" s="516"/>
      <c r="D1504" s="514" t="s">
        <v>11842</v>
      </c>
      <c r="E1504" s="515">
        <v>5</v>
      </c>
      <c r="F1504" s="518" t="s">
        <v>614</v>
      </c>
      <c r="G1504" s="515" t="s">
        <v>5286</v>
      </c>
      <c r="H1504" s="514"/>
      <c r="I1504" s="515"/>
      <c r="J1504" s="515">
        <v>1</v>
      </c>
    </row>
    <row r="1505" spans="1:10" ht="13.8" thickBot="1">
      <c r="A1505" s="517"/>
      <c r="B1505" s="518" t="s">
        <v>11841</v>
      </c>
      <c r="C1505" s="516"/>
      <c r="D1505" s="514" t="s">
        <v>11840</v>
      </c>
      <c r="E1505" s="515">
        <v>5</v>
      </c>
      <c r="F1505" s="514"/>
      <c r="G1505" s="515" t="s">
        <v>5286</v>
      </c>
      <c r="H1505" s="514"/>
      <c r="I1505" s="515"/>
      <c r="J1505" s="515">
        <v>1</v>
      </c>
    </row>
    <row r="1506" spans="1:10" ht="13.8" thickBot="1">
      <c r="A1506" s="517"/>
      <c r="B1506" s="518" t="s">
        <v>11839</v>
      </c>
      <c r="C1506" s="516"/>
      <c r="D1506" s="514" t="s">
        <v>11838</v>
      </c>
      <c r="E1506" s="515">
        <v>7.2</v>
      </c>
      <c r="F1506" s="518" t="s">
        <v>614</v>
      </c>
      <c r="G1506" s="515" t="s">
        <v>5319</v>
      </c>
      <c r="H1506" s="514" t="s">
        <v>1226</v>
      </c>
      <c r="I1506" s="515"/>
      <c r="J1506" s="515">
        <v>2</v>
      </c>
    </row>
    <row r="1507" spans="1:10" ht="13.8" thickBot="1">
      <c r="A1507" s="517"/>
      <c r="B1507" s="518" t="s">
        <v>11837</v>
      </c>
      <c r="C1507" s="516"/>
      <c r="D1507" s="514" t="s">
        <v>11836</v>
      </c>
      <c r="E1507" s="515">
        <v>6.75</v>
      </c>
      <c r="F1507" s="518" t="s">
        <v>614</v>
      </c>
      <c r="G1507" s="515" t="s">
        <v>5319</v>
      </c>
      <c r="H1507" s="514"/>
      <c r="I1507" s="515">
        <v>1</v>
      </c>
      <c r="J1507" s="515">
        <v>4</v>
      </c>
    </row>
    <row r="1508" spans="1:10" ht="13.8" thickBot="1">
      <c r="A1508" s="517"/>
      <c r="B1508" s="518" t="s">
        <v>11835</v>
      </c>
      <c r="C1508" s="516"/>
      <c r="D1508" s="514" t="s">
        <v>11834</v>
      </c>
      <c r="E1508" s="515">
        <v>6.6</v>
      </c>
      <c r="F1508" s="518" t="s">
        <v>614</v>
      </c>
      <c r="G1508" s="515" t="s">
        <v>5319</v>
      </c>
      <c r="H1508" s="514" t="s">
        <v>1226</v>
      </c>
      <c r="I1508" s="515">
        <v>1</v>
      </c>
      <c r="J1508" s="515">
        <v>6</v>
      </c>
    </row>
    <row r="1509" spans="1:10" ht="13.8" thickBot="1">
      <c r="A1509" s="517"/>
      <c r="B1509" s="518" t="s">
        <v>11833</v>
      </c>
      <c r="C1509" s="516"/>
      <c r="D1509" s="514" t="s">
        <v>11832</v>
      </c>
      <c r="E1509" s="515">
        <v>6.5</v>
      </c>
      <c r="F1509" s="518" t="s">
        <v>614</v>
      </c>
      <c r="G1509" s="515" t="s">
        <v>5319</v>
      </c>
      <c r="H1509" s="514" t="s">
        <v>1224</v>
      </c>
      <c r="I1509" s="522"/>
      <c r="J1509" s="515">
        <v>2</v>
      </c>
    </row>
    <row r="1510" spans="1:10" ht="13.8" thickBot="1">
      <c r="A1510" s="517"/>
      <c r="B1510" s="518" t="s">
        <v>11831</v>
      </c>
      <c r="C1510" s="516"/>
      <c r="D1510" s="514" t="s">
        <v>11830</v>
      </c>
      <c r="E1510" s="515">
        <v>6</v>
      </c>
      <c r="F1510" s="518" t="s">
        <v>614</v>
      </c>
      <c r="G1510" s="515" t="s">
        <v>5319</v>
      </c>
      <c r="H1510" s="514" t="s">
        <v>1226</v>
      </c>
      <c r="I1510" s="515"/>
      <c r="J1510" s="515">
        <v>9</v>
      </c>
    </row>
    <row r="1511" spans="1:10" ht="13.8" thickBot="1">
      <c r="A1511" s="517"/>
      <c r="B1511" s="518" t="s">
        <v>11829</v>
      </c>
      <c r="C1511" s="516"/>
      <c r="D1511" s="514" t="s">
        <v>11828</v>
      </c>
      <c r="E1511" s="515">
        <v>6</v>
      </c>
      <c r="F1511" s="518" t="s">
        <v>614</v>
      </c>
      <c r="G1511" s="515" t="s">
        <v>5319</v>
      </c>
      <c r="H1511" s="514" t="s">
        <v>1224</v>
      </c>
      <c r="I1511" s="515"/>
      <c r="J1511" s="515">
        <v>4</v>
      </c>
    </row>
    <row r="1512" spans="1:10" ht="13.8" thickBot="1">
      <c r="A1512" s="517"/>
      <c r="B1512" s="518" t="s">
        <v>11827</v>
      </c>
      <c r="C1512" s="516"/>
      <c r="D1512" s="514" t="s">
        <v>11826</v>
      </c>
      <c r="E1512" s="515">
        <v>5.5</v>
      </c>
      <c r="F1512" s="518" t="s">
        <v>614</v>
      </c>
      <c r="G1512" s="515" t="s">
        <v>5319</v>
      </c>
      <c r="H1512" s="514" t="s">
        <v>1220</v>
      </c>
      <c r="I1512" s="515"/>
      <c r="J1512" s="515">
        <v>2</v>
      </c>
    </row>
    <row r="1513" spans="1:10" ht="13.8" thickBot="1">
      <c r="A1513" s="517"/>
      <c r="B1513" s="518" t="s">
        <v>11825</v>
      </c>
      <c r="C1513" s="516"/>
      <c r="D1513" s="514" t="s">
        <v>11824</v>
      </c>
      <c r="E1513" s="515">
        <v>5</v>
      </c>
      <c r="F1513" s="518" t="s">
        <v>11609</v>
      </c>
      <c r="G1513" s="515" t="s">
        <v>5319</v>
      </c>
      <c r="H1513" s="514"/>
      <c r="I1513" s="515"/>
      <c r="J1513" s="515"/>
    </row>
    <row r="1514" spans="1:10" ht="13.8" thickBot="1">
      <c r="A1514" s="517"/>
      <c r="B1514" s="518" t="s">
        <v>11823</v>
      </c>
      <c r="C1514" s="516"/>
      <c r="D1514" s="514" t="s">
        <v>5328</v>
      </c>
      <c r="E1514" s="515">
        <v>6.25</v>
      </c>
      <c r="F1514" s="518" t="s">
        <v>614</v>
      </c>
      <c r="G1514" s="515" t="s">
        <v>5325</v>
      </c>
      <c r="H1514" s="514"/>
      <c r="I1514" s="515"/>
      <c r="J1514" s="515">
        <v>1</v>
      </c>
    </row>
    <row r="1515" spans="1:10" ht="13.8" thickBot="1">
      <c r="A1515" s="517"/>
      <c r="B1515" s="518" t="s">
        <v>11822</v>
      </c>
      <c r="C1515" s="516"/>
      <c r="D1515" s="514" t="s">
        <v>11821</v>
      </c>
      <c r="E1515" s="515">
        <v>8</v>
      </c>
      <c r="F1515" s="514"/>
      <c r="G1515" s="515" t="s">
        <v>11525</v>
      </c>
      <c r="H1515" s="514"/>
      <c r="I1515" s="515"/>
      <c r="J1515" s="515"/>
    </row>
    <row r="1516" spans="1:10" ht="13.8" thickBot="1">
      <c r="A1516" s="517"/>
      <c r="B1516" s="518" t="s">
        <v>11820</v>
      </c>
      <c r="C1516" s="516"/>
      <c r="D1516" s="514" t="s">
        <v>11652</v>
      </c>
      <c r="E1516" s="529"/>
      <c r="F1516" s="514"/>
      <c r="G1516" s="515" t="s">
        <v>11525</v>
      </c>
      <c r="H1516" s="514"/>
      <c r="I1516" s="515"/>
      <c r="J1516" s="515"/>
    </row>
    <row r="1517" spans="1:10" ht="13.8" thickBot="1">
      <c r="A1517" s="517"/>
      <c r="B1517" s="518" t="s">
        <v>11819</v>
      </c>
      <c r="C1517" s="516"/>
      <c r="D1517" s="514" t="s">
        <v>11533</v>
      </c>
      <c r="E1517" s="515"/>
      <c r="F1517" s="514"/>
      <c r="G1517" s="515" t="s">
        <v>11525</v>
      </c>
      <c r="H1517" s="514"/>
      <c r="I1517" s="515"/>
      <c r="J1517" s="515"/>
    </row>
    <row r="1518" spans="1:10" ht="13.8" thickBot="1">
      <c r="A1518" s="517"/>
      <c r="B1518" s="518" t="s">
        <v>11818</v>
      </c>
      <c r="C1518" s="516"/>
      <c r="D1518" s="514" t="s">
        <v>11533</v>
      </c>
      <c r="E1518" s="515"/>
      <c r="F1518" s="514"/>
      <c r="G1518" s="515" t="s">
        <v>11525</v>
      </c>
      <c r="H1518" s="514"/>
      <c r="I1518" s="515"/>
      <c r="J1518" s="515"/>
    </row>
    <row r="1519" spans="1:10" ht="13.8" thickBot="1">
      <c r="A1519" s="517"/>
      <c r="B1519" s="518" t="s">
        <v>11817</v>
      </c>
      <c r="C1519" s="516"/>
      <c r="D1519" s="514" t="s">
        <v>11533</v>
      </c>
      <c r="E1519" s="515"/>
      <c r="F1519" s="514"/>
      <c r="G1519" s="515" t="s">
        <v>11525</v>
      </c>
      <c r="H1519" s="514"/>
      <c r="I1519" s="515"/>
      <c r="J1519" s="515"/>
    </row>
    <row r="1520" spans="1:10" ht="13.8" thickBot="1">
      <c r="A1520" s="517"/>
      <c r="B1520" s="518" t="s">
        <v>11816</v>
      </c>
      <c r="C1520" s="516"/>
      <c r="D1520" s="514" t="s">
        <v>11533</v>
      </c>
      <c r="E1520" s="515"/>
      <c r="F1520" s="514"/>
      <c r="G1520" s="515" t="s">
        <v>11525</v>
      </c>
      <c r="H1520" s="514"/>
      <c r="I1520" s="515"/>
      <c r="J1520" s="515"/>
    </row>
    <row r="1521" spans="1:10" ht="13.8" thickBot="1">
      <c r="A1521" s="517"/>
      <c r="B1521" s="518" t="s">
        <v>11815</v>
      </c>
      <c r="C1521" s="516"/>
      <c r="D1521" s="514" t="s">
        <v>11533</v>
      </c>
      <c r="E1521" s="515"/>
      <c r="F1521" s="514"/>
      <c r="G1521" s="515" t="s">
        <v>11525</v>
      </c>
      <c r="H1521" s="514"/>
      <c r="I1521" s="515"/>
      <c r="J1521" s="515"/>
    </row>
    <row r="1522" spans="1:10" ht="13.8" thickBot="1">
      <c r="A1522" s="517"/>
      <c r="B1522" s="518" t="s">
        <v>11814</v>
      </c>
      <c r="C1522" s="516"/>
      <c r="D1522" s="514" t="s">
        <v>11533</v>
      </c>
      <c r="E1522" s="515"/>
      <c r="F1522" s="514"/>
      <c r="G1522" s="515" t="s">
        <v>11525</v>
      </c>
      <c r="H1522" s="514"/>
      <c r="I1522" s="515"/>
      <c r="J1522" s="515"/>
    </row>
    <row r="1523" spans="1:10" ht="13.8" thickBot="1">
      <c r="A1523" s="517"/>
      <c r="B1523" s="518" t="s">
        <v>11813</v>
      </c>
      <c r="C1523" s="516"/>
      <c r="D1523" s="514" t="s">
        <v>11533</v>
      </c>
      <c r="E1523" s="515"/>
      <c r="F1523" s="514"/>
      <c r="G1523" s="515" t="s">
        <v>11525</v>
      </c>
      <c r="H1523" s="514"/>
      <c r="I1523" s="515"/>
      <c r="J1523" s="515"/>
    </row>
    <row r="1524" spans="1:10" ht="13.8" thickBot="1">
      <c r="A1524" s="517"/>
      <c r="B1524" s="518" t="s">
        <v>11812</v>
      </c>
      <c r="C1524" s="516"/>
      <c r="D1524" s="514" t="s">
        <v>11533</v>
      </c>
      <c r="E1524" s="515"/>
      <c r="F1524" s="514"/>
      <c r="G1524" s="515" t="s">
        <v>11525</v>
      </c>
      <c r="H1524" s="514"/>
      <c r="I1524" s="515"/>
      <c r="J1524" s="515"/>
    </row>
    <row r="1525" spans="1:10" ht="13.8" thickBot="1">
      <c r="A1525" s="517"/>
      <c r="B1525" s="518" t="s">
        <v>11811</v>
      </c>
      <c r="C1525" s="516"/>
      <c r="D1525" s="514" t="s">
        <v>11533</v>
      </c>
      <c r="E1525" s="515"/>
      <c r="F1525" s="514"/>
      <c r="G1525" s="515" t="s">
        <v>11525</v>
      </c>
      <c r="H1525" s="514"/>
      <c r="I1525" s="515"/>
      <c r="J1525" s="515"/>
    </row>
    <row r="1526" spans="1:10" ht="13.8" thickBot="1">
      <c r="A1526" s="517"/>
      <c r="B1526" s="518" t="s">
        <v>11810</v>
      </c>
      <c r="C1526" s="516"/>
      <c r="D1526" s="514" t="s">
        <v>11533</v>
      </c>
      <c r="E1526" s="515"/>
      <c r="F1526" s="514"/>
      <c r="G1526" s="515" t="s">
        <v>11525</v>
      </c>
      <c r="H1526" s="514"/>
      <c r="I1526" s="515"/>
      <c r="J1526" s="515"/>
    </row>
    <row r="1527" spans="1:10" ht="13.8" thickBot="1">
      <c r="A1527" s="517"/>
      <c r="B1527" s="518" t="s">
        <v>11809</v>
      </c>
      <c r="C1527" s="516"/>
      <c r="D1527" s="514" t="s">
        <v>11533</v>
      </c>
      <c r="E1527" s="515">
        <v>9</v>
      </c>
      <c r="F1527" s="514"/>
      <c r="G1527" s="515" t="s">
        <v>11525</v>
      </c>
      <c r="H1527" s="514"/>
      <c r="I1527" s="515"/>
      <c r="J1527" s="515"/>
    </row>
    <row r="1528" spans="1:10" ht="13.8" thickBot="1">
      <c r="A1528" s="517"/>
      <c r="B1528" s="518" t="s">
        <v>11808</v>
      </c>
      <c r="C1528" s="516"/>
      <c r="D1528" s="514" t="s">
        <v>11533</v>
      </c>
      <c r="E1528" s="515">
        <v>9</v>
      </c>
      <c r="F1528" s="514"/>
      <c r="G1528" s="515" t="s">
        <v>11525</v>
      </c>
      <c r="H1528" s="514"/>
      <c r="I1528" s="515"/>
      <c r="J1528" s="515"/>
    </row>
    <row r="1529" spans="1:10" ht="13.8" thickBot="1">
      <c r="A1529" s="517"/>
      <c r="B1529" s="518" t="s">
        <v>11807</v>
      </c>
      <c r="C1529" s="516"/>
      <c r="D1529" s="514" t="s">
        <v>11533</v>
      </c>
      <c r="E1529" s="515"/>
      <c r="F1529" s="514"/>
      <c r="G1529" s="515" t="s">
        <v>11525</v>
      </c>
      <c r="H1529" s="514"/>
      <c r="I1529" s="515"/>
      <c r="J1529" s="515">
        <v>1</v>
      </c>
    </row>
    <row r="1530" spans="1:10" ht="13.8" thickBot="1">
      <c r="A1530" s="517"/>
      <c r="B1530" s="518" t="s">
        <v>11806</v>
      </c>
      <c r="C1530" s="516"/>
      <c r="D1530" s="514" t="s">
        <v>11533</v>
      </c>
      <c r="E1530" s="515"/>
      <c r="F1530" s="514"/>
      <c r="G1530" s="515" t="s">
        <v>11525</v>
      </c>
      <c r="H1530" s="514"/>
      <c r="I1530" s="515"/>
      <c r="J1530" s="515">
        <v>1</v>
      </c>
    </row>
    <row r="1531" spans="1:10" ht="13.8" thickBot="1">
      <c r="A1531" s="517"/>
      <c r="B1531" s="518" t="s">
        <v>11805</v>
      </c>
      <c r="C1531" s="516"/>
      <c r="D1531" s="514" t="s">
        <v>11533</v>
      </c>
      <c r="E1531" s="515">
        <v>7.25</v>
      </c>
      <c r="F1531" s="514"/>
      <c r="G1531" s="515" t="s">
        <v>11525</v>
      </c>
      <c r="H1531" s="514"/>
      <c r="I1531" s="515"/>
      <c r="J1531" s="515"/>
    </row>
    <row r="1532" spans="1:10" ht="13.8" thickBot="1">
      <c r="A1532" s="517"/>
      <c r="B1532" s="518" t="s">
        <v>11804</v>
      </c>
      <c r="C1532" s="516"/>
      <c r="D1532" s="514" t="s">
        <v>11533</v>
      </c>
      <c r="E1532" s="515"/>
      <c r="F1532" s="514"/>
      <c r="G1532" s="515" t="s">
        <v>11525</v>
      </c>
      <c r="H1532" s="514"/>
      <c r="I1532" s="522"/>
      <c r="J1532" s="522"/>
    </row>
    <row r="1533" spans="1:10" ht="13.8" thickBot="1">
      <c r="A1533" s="517"/>
      <c r="B1533" s="518" t="s">
        <v>11803</v>
      </c>
      <c r="C1533" s="516"/>
      <c r="D1533" s="514" t="s">
        <v>11533</v>
      </c>
      <c r="E1533" s="515"/>
      <c r="F1533" s="514"/>
      <c r="G1533" s="515" t="s">
        <v>11525</v>
      </c>
      <c r="H1533" s="514"/>
      <c r="I1533" s="522"/>
      <c r="J1533" s="522"/>
    </row>
    <row r="1534" spans="1:10" ht="13.8" thickBot="1">
      <c r="A1534" s="517"/>
      <c r="B1534" s="518" t="s">
        <v>11802</v>
      </c>
      <c r="C1534" s="516"/>
      <c r="D1534" s="514" t="s">
        <v>11533</v>
      </c>
      <c r="E1534" s="515">
        <v>5</v>
      </c>
      <c r="F1534" s="514"/>
      <c r="G1534" s="515" t="s">
        <v>11525</v>
      </c>
      <c r="H1534" s="514"/>
      <c r="I1534" s="515"/>
      <c r="J1534" s="515">
        <v>1</v>
      </c>
    </row>
    <row r="1535" spans="1:10" ht="13.8" thickBot="1">
      <c r="A1535" s="517"/>
      <c r="B1535" s="518" t="s">
        <v>11801</v>
      </c>
      <c r="C1535" s="516"/>
      <c r="D1535" s="514" t="s">
        <v>11533</v>
      </c>
      <c r="E1535" s="515">
        <v>5</v>
      </c>
      <c r="F1535" s="514"/>
      <c r="G1535" s="515" t="s">
        <v>11525</v>
      </c>
      <c r="H1535" s="514" t="s">
        <v>1226</v>
      </c>
      <c r="I1535" s="515"/>
      <c r="J1535" s="515">
        <v>1</v>
      </c>
    </row>
    <row r="1536" spans="1:10" ht="13.8" thickBot="1">
      <c r="A1536" s="517"/>
      <c r="B1536" s="518" t="s">
        <v>11800</v>
      </c>
      <c r="C1536" s="516"/>
      <c r="D1536" s="514" t="s">
        <v>11533</v>
      </c>
      <c r="E1536" s="515">
        <v>7.5</v>
      </c>
      <c r="F1536" s="514"/>
      <c r="G1536" s="515" t="s">
        <v>11525</v>
      </c>
      <c r="H1536" s="514"/>
      <c r="I1536" s="515"/>
      <c r="J1536" s="515"/>
    </row>
    <row r="1537" spans="1:10" ht="13.8" thickBot="1">
      <c r="A1537" s="517"/>
      <c r="B1537" s="518" t="s">
        <v>11799</v>
      </c>
      <c r="C1537" s="516"/>
      <c r="D1537" s="514" t="s">
        <v>11533</v>
      </c>
      <c r="E1537" s="515">
        <v>8</v>
      </c>
      <c r="F1537" s="514"/>
      <c r="G1537" s="515" t="s">
        <v>11525</v>
      </c>
      <c r="H1537" s="514"/>
      <c r="I1537" s="515"/>
      <c r="J1537" s="515"/>
    </row>
    <row r="1538" spans="1:10" ht="13.8" thickBot="1">
      <c r="A1538" s="517"/>
      <c r="B1538" s="518" t="s">
        <v>11798</v>
      </c>
      <c r="C1538" s="516"/>
      <c r="D1538" s="514" t="s">
        <v>11797</v>
      </c>
      <c r="E1538" s="515">
        <v>5</v>
      </c>
      <c r="F1538" s="514"/>
      <c r="G1538" s="515" t="s">
        <v>11525</v>
      </c>
      <c r="H1538" s="514"/>
      <c r="I1538" s="515"/>
      <c r="J1538" s="515">
        <v>1</v>
      </c>
    </row>
    <row r="1539" spans="1:10" ht="13.8" thickBot="1">
      <c r="A1539" s="517"/>
      <c r="B1539" s="518" t="s">
        <v>11796</v>
      </c>
      <c r="C1539" s="516"/>
      <c r="D1539" s="514" t="s">
        <v>11533</v>
      </c>
      <c r="E1539" s="515">
        <v>6.5</v>
      </c>
      <c r="F1539" s="514"/>
      <c r="G1539" s="515" t="s">
        <v>11525</v>
      </c>
      <c r="H1539" s="514"/>
      <c r="I1539" s="515"/>
      <c r="J1539" s="515"/>
    </row>
    <row r="1540" spans="1:10" ht="13.8" thickBot="1">
      <c r="A1540" s="517"/>
      <c r="B1540" s="518" t="s">
        <v>11795</v>
      </c>
      <c r="C1540" s="516"/>
      <c r="D1540" s="514" t="s">
        <v>11533</v>
      </c>
      <c r="E1540" s="515">
        <v>6.25</v>
      </c>
      <c r="F1540" s="514"/>
      <c r="G1540" s="515" t="s">
        <v>11525</v>
      </c>
      <c r="H1540" s="514"/>
      <c r="I1540" s="515"/>
      <c r="J1540" s="515"/>
    </row>
    <row r="1541" spans="1:10" ht="13.8" thickBot="1">
      <c r="A1541" s="517"/>
      <c r="B1541" s="518" t="s">
        <v>11794</v>
      </c>
      <c r="C1541" s="516"/>
      <c r="D1541" s="514" t="s">
        <v>11533</v>
      </c>
      <c r="E1541" s="515">
        <v>6.75</v>
      </c>
      <c r="F1541" s="514"/>
      <c r="G1541" s="515" t="s">
        <v>11525</v>
      </c>
      <c r="H1541" s="514"/>
      <c r="I1541" s="515"/>
      <c r="J1541" s="515"/>
    </row>
    <row r="1542" spans="1:10" ht="13.8" thickBot="1">
      <c r="A1542" s="517"/>
      <c r="B1542" s="518" t="s">
        <v>11793</v>
      </c>
      <c r="C1542" s="516"/>
      <c r="D1542" s="514" t="s">
        <v>11533</v>
      </c>
      <c r="E1542" s="515">
        <v>7.75</v>
      </c>
      <c r="F1542" s="514"/>
      <c r="G1542" s="515" t="s">
        <v>11525</v>
      </c>
      <c r="H1542" s="514"/>
      <c r="I1542" s="515"/>
      <c r="J1542" s="515"/>
    </row>
    <row r="1543" spans="1:10" ht="13.8" thickBot="1">
      <c r="A1543" s="517"/>
      <c r="B1543" s="518" t="s">
        <v>11792</v>
      </c>
      <c r="C1543" s="516"/>
      <c r="D1543" s="514" t="s">
        <v>11791</v>
      </c>
      <c r="E1543" s="515">
        <v>6.5</v>
      </c>
      <c r="F1543" s="514"/>
      <c r="G1543" s="515" t="s">
        <v>11525</v>
      </c>
      <c r="H1543" s="514"/>
      <c r="I1543" s="515"/>
      <c r="J1543" s="515"/>
    </row>
    <row r="1544" spans="1:10" ht="13.8" thickBot="1">
      <c r="A1544" s="517"/>
      <c r="B1544" s="518" t="s">
        <v>11790</v>
      </c>
      <c r="C1544" s="516"/>
      <c r="D1544" s="514" t="s">
        <v>11789</v>
      </c>
      <c r="E1544" s="515">
        <v>6.5</v>
      </c>
      <c r="F1544" s="514"/>
      <c r="G1544" s="515" t="s">
        <v>11525</v>
      </c>
      <c r="H1544" s="514"/>
      <c r="I1544" s="515"/>
      <c r="J1544" s="515"/>
    </row>
    <row r="1545" spans="1:10" ht="13.8" thickBot="1">
      <c r="A1545" s="517"/>
      <c r="B1545" s="518" t="s">
        <v>11788</v>
      </c>
      <c r="C1545" s="516"/>
      <c r="D1545" s="514" t="s">
        <v>11533</v>
      </c>
      <c r="E1545" s="515">
        <v>7</v>
      </c>
      <c r="F1545" s="514"/>
      <c r="G1545" s="515" t="s">
        <v>11525</v>
      </c>
      <c r="H1545" s="514"/>
      <c r="I1545" s="515"/>
      <c r="J1545" s="515"/>
    </row>
    <row r="1546" spans="1:10" ht="13.8" thickBot="1">
      <c r="A1546" s="517"/>
      <c r="B1546" s="518" t="s">
        <v>11787</v>
      </c>
      <c r="C1546" s="516"/>
      <c r="D1546" s="514" t="s">
        <v>11533</v>
      </c>
      <c r="E1546" s="515">
        <v>7</v>
      </c>
      <c r="F1546" s="514"/>
      <c r="G1546" s="515" t="s">
        <v>11525</v>
      </c>
      <c r="H1546" s="514"/>
      <c r="I1546" s="515"/>
      <c r="J1546" s="515"/>
    </row>
    <row r="1547" spans="1:10" ht="13.8" thickBot="1">
      <c r="A1547" s="517"/>
      <c r="B1547" s="518" t="s">
        <v>11786</v>
      </c>
      <c r="C1547" s="516"/>
      <c r="D1547" s="514" t="s">
        <v>11533</v>
      </c>
      <c r="E1547" s="515">
        <v>6.5</v>
      </c>
      <c r="F1547" s="514"/>
      <c r="G1547" s="515" t="s">
        <v>11525</v>
      </c>
      <c r="H1547" s="514"/>
      <c r="I1547" s="515"/>
      <c r="J1547" s="515"/>
    </row>
    <row r="1548" spans="1:10" ht="13.8" thickBot="1">
      <c r="A1548" s="517"/>
      <c r="B1548" s="518" t="s">
        <v>11785</v>
      </c>
      <c r="C1548" s="516"/>
      <c r="D1548" s="514" t="s">
        <v>11533</v>
      </c>
      <c r="E1548" s="515">
        <v>8.5</v>
      </c>
      <c r="F1548" s="518" t="s">
        <v>1854</v>
      </c>
      <c r="G1548" s="515" t="s">
        <v>11525</v>
      </c>
      <c r="H1548" s="514"/>
      <c r="I1548" s="515"/>
      <c r="J1548" s="515"/>
    </row>
    <row r="1549" spans="1:10" ht="13.8" thickBot="1">
      <c r="A1549" s="517"/>
      <c r="B1549" s="518" t="s">
        <v>11784</v>
      </c>
      <c r="C1549" s="516"/>
      <c r="D1549" s="514" t="s">
        <v>11533</v>
      </c>
      <c r="E1549" s="515">
        <v>3</v>
      </c>
      <c r="F1549" s="518" t="s">
        <v>1854</v>
      </c>
      <c r="G1549" s="515" t="s">
        <v>11525</v>
      </c>
      <c r="H1549" s="514"/>
      <c r="I1549" s="515"/>
      <c r="J1549" s="515"/>
    </row>
    <row r="1550" spans="1:10" ht="13.8" thickBot="1">
      <c r="A1550" s="517"/>
      <c r="B1550" s="518" t="s">
        <v>11783</v>
      </c>
      <c r="C1550" s="516"/>
      <c r="D1550" s="514" t="s">
        <v>11533</v>
      </c>
      <c r="E1550" s="515">
        <v>4.5</v>
      </c>
      <c r="F1550" s="518" t="s">
        <v>1854</v>
      </c>
      <c r="G1550" s="515" t="s">
        <v>11525</v>
      </c>
      <c r="H1550" s="514"/>
      <c r="I1550" s="515"/>
      <c r="J1550" s="515">
        <v>1</v>
      </c>
    </row>
    <row r="1551" spans="1:10" ht="13.8" thickBot="1">
      <c r="A1551" s="517"/>
      <c r="B1551" s="518" t="s">
        <v>11782</v>
      </c>
      <c r="C1551" s="516"/>
      <c r="D1551" s="514" t="s">
        <v>11533</v>
      </c>
      <c r="E1551" s="515">
        <v>3</v>
      </c>
      <c r="F1551" s="518" t="s">
        <v>1854</v>
      </c>
      <c r="G1551" s="515" t="s">
        <v>11525</v>
      </c>
      <c r="H1551" s="514"/>
      <c r="I1551" s="515"/>
      <c r="J1551" s="515"/>
    </row>
    <row r="1552" spans="1:10" ht="13.8" thickBot="1">
      <c r="A1552" s="517"/>
      <c r="B1552" s="518" t="s">
        <v>11781</v>
      </c>
      <c r="C1552" s="516"/>
      <c r="D1552" s="514" t="s">
        <v>11533</v>
      </c>
      <c r="E1552" s="515">
        <v>3</v>
      </c>
      <c r="F1552" s="518" t="s">
        <v>1854</v>
      </c>
      <c r="G1552" s="515" t="s">
        <v>11525</v>
      </c>
      <c r="H1552" s="514"/>
      <c r="I1552" s="515"/>
      <c r="J1552" s="515"/>
    </row>
    <row r="1553" spans="1:10" ht="13.8" thickBot="1">
      <c r="A1553" s="517"/>
      <c r="B1553" s="518" t="s">
        <v>11780</v>
      </c>
      <c r="C1553" s="516"/>
      <c r="D1553" s="514" t="s">
        <v>11533</v>
      </c>
      <c r="E1553" s="515">
        <v>1</v>
      </c>
      <c r="F1553" s="518" t="s">
        <v>1854</v>
      </c>
      <c r="G1553" s="515" t="s">
        <v>11525</v>
      </c>
      <c r="H1553" s="514"/>
      <c r="I1553" s="515"/>
      <c r="J1553" s="515"/>
    </row>
    <row r="1554" spans="1:10" ht="13.8" thickBot="1">
      <c r="A1554" s="517"/>
      <c r="B1554" s="518" t="s">
        <v>11779</v>
      </c>
      <c r="C1554" s="516"/>
      <c r="D1554" s="514" t="s">
        <v>11533</v>
      </c>
      <c r="E1554" s="515">
        <v>1</v>
      </c>
      <c r="F1554" s="518" t="s">
        <v>1854</v>
      </c>
      <c r="G1554" s="515" t="s">
        <v>11525</v>
      </c>
      <c r="H1554" s="514"/>
      <c r="I1554" s="515"/>
      <c r="J1554" s="515"/>
    </row>
    <row r="1555" spans="1:10" ht="13.8" thickBot="1">
      <c r="A1555" s="517"/>
      <c r="B1555" s="518" t="s">
        <v>11778</v>
      </c>
      <c r="C1555" s="516"/>
      <c r="D1555" s="514" t="s">
        <v>11533</v>
      </c>
      <c r="E1555" s="515">
        <v>1</v>
      </c>
      <c r="F1555" s="518" t="s">
        <v>1854</v>
      </c>
      <c r="G1555" s="515" t="s">
        <v>11525</v>
      </c>
      <c r="H1555" s="514"/>
      <c r="I1555" s="515"/>
      <c r="J1555" s="515"/>
    </row>
    <row r="1556" spans="1:10" ht="13.8" thickBot="1">
      <c r="A1556" s="517"/>
      <c r="B1556" s="518" t="s">
        <v>11777</v>
      </c>
      <c r="C1556" s="516"/>
      <c r="D1556" s="514" t="s">
        <v>11533</v>
      </c>
      <c r="E1556" s="515">
        <v>4</v>
      </c>
      <c r="F1556" s="518" t="s">
        <v>1854</v>
      </c>
      <c r="G1556" s="515" t="s">
        <v>11525</v>
      </c>
      <c r="H1556" s="514"/>
      <c r="I1556" s="515"/>
      <c r="J1556" s="515">
        <v>1</v>
      </c>
    </row>
    <row r="1557" spans="1:10" ht="13.8" thickBot="1">
      <c r="A1557" s="517"/>
      <c r="B1557" s="518" t="s">
        <v>11776</v>
      </c>
      <c r="C1557" s="516"/>
      <c r="D1557" s="514" t="s">
        <v>11533</v>
      </c>
      <c r="E1557" s="515">
        <v>4.5</v>
      </c>
      <c r="F1557" s="518" t="s">
        <v>1854</v>
      </c>
      <c r="G1557" s="515" t="s">
        <v>11525</v>
      </c>
      <c r="H1557" s="514"/>
      <c r="I1557" s="515"/>
      <c r="J1557" s="515">
        <v>2</v>
      </c>
    </row>
    <row r="1558" spans="1:10" ht="13.8" thickBot="1">
      <c r="A1558" s="517"/>
      <c r="B1558" s="518" t="s">
        <v>11775</v>
      </c>
      <c r="C1558" s="516"/>
      <c r="D1558" s="514" t="s">
        <v>11533</v>
      </c>
      <c r="E1558" s="515">
        <v>1</v>
      </c>
      <c r="F1558" s="518" t="s">
        <v>1854</v>
      </c>
      <c r="G1558" s="515" t="s">
        <v>11525</v>
      </c>
      <c r="H1558" s="514"/>
      <c r="I1558" s="515"/>
      <c r="J1558" s="515"/>
    </row>
    <row r="1559" spans="1:10" ht="13.8" thickBot="1">
      <c r="A1559" s="517"/>
      <c r="B1559" s="518" t="s">
        <v>11774</v>
      </c>
      <c r="C1559" s="516"/>
      <c r="D1559" s="514" t="s">
        <v>11533</v>
      </c>
      <c r="E1559" s="515">
        <v>1</v>
      </c>
      <c r="F1559" s="518" t="s">
        <v>1854</v>
      </c>
      <c r="G1559" s="515" t="s">
        <v>11525</v>
      </c>
      <c r="H1559" s="514"/>
      <c r="I1559" s="515"/>
      <c r="J1559" s="515"/>
    </row>
    <row r="1560" spans="1:10" ht="13.8" thickBot="1">
      <c r="A1560" s="517"/>
      <c r="B1560" s="518" t="s">
        <v>11773</v>
      </c>
      <c r="C1560" s="516"/>
      <c r="D1560" s="514" t="s">
        <v>11533</v>
      </c>
      <c r="E1560" s="515">
        <v>1</v>
      </c>
      <c r="F1560" s="518" t="s">
        <v>1854</v>
      </c>
      <c r="G1560" s="515" t="s">
        <v>11525</v>
      </c>
      <c r="H1560" s="514"/>
      <c r="I1560" s="515"/>
      <c r="J1560" s="515"/>
    </row>
    <row r="1561" spans="1:10" ht="13.8" thickBot="1">
      <c r="A1561" s="517"/>
      <c r="B1561" s="518" t="s">
        <v>11772</v>
      </c>
      <c r="C1561" s="516"/>
      <c r="D1561" s="514" t="s">
        <v>11533</v>
      </c>
      <c r="E1561" s="515">
        <v>1</v>
      </c>
      <c r="F1561" s="518" t="s">
        <v>1854</v>
      </c>
      <c r="G1561" s="515" t="s">
        <v>11525</v>
      </c>
      <c r="H1561" s="514"/>
      <c r="I1561" s="515"/>
      <c r="J1561" s="515"/>
    </row>
    <row r="1562" spans="1:10" ht="13.8" thickBot="1">
      <c r="A1562" s="517"/>
      <c r="B1562" s="518" t="s">
        <v>11771</v>
      </c>
      <c r="C1562" s="516"/>
      <c r="D1562" s="514" t="s">
        <v>11533</v>
      </c>
      <c r="E1562" s="515">
        <v>3.5</v>
      </c>
      <c r="F1562" s="518" t="s">
        <v>1854</v>
      </c>
      <c r="G1562" s="515" t="s">
        <v>11525</v>
      </c>
      <c r="H1562" s="514"/>
      <c r="I1562" s="515"/>
      <c r="J1562" s="515">
        <v>1</v>
      </c>
    </row>
    <row r="1563" spans="1:10" ht="13.8" thickBot="1">
      <c r="A1563" s="517"/>
      <c r="B1563" s="518" t="s">
        <v>11770</v>
      </c>
      <c r="C1563" s="516"/>
      <c r="D1563" s="514" t="s">
        <v>11533</v>
      </c>
      <c r="E1563" s="515">
        <v>1</v>
      </c>
      <c r="F1563" s="518" t="s">
        <v>1854</v>
      </c>
      <c r="G1563" s="515" t="s">
        <v>11525</v>
      </c>
      <c r="H1563" s="514"/>
      <c r="I1563" s="515"/>
      <c r="J1563" s="515"/>
    </row>
    <row r="1564" spans="1:10" ht="13.8" thickBot="1">
      <c r="A1564" s="517"/>
      <c r="B1564" s="518" t="s">
        <v>11769</v>
      </c>
      <c r="C1564" s="516"/>
      <c r="D1564" s="514" t="s">
        <v>11533</v>
      </c>
      <c r="E1564" s="515">
        <v>1</v>
      </c>
      <c r="F1564" s="518" t="s">
        <v>1854</v>
      </c>
      <c r="G1564" s="515" t="s">
        <v>11525</v>
      </c>
      <c r="H1564" s="514"/>
      <c r="I1564" s="515"/>
      <c r="J1564" s="515"/>
    </row>
    <row r="1565" spans="1:10" ht="13.8" thickBot="1">
      <c r="A1565" s="517"/>
      <c r="B1565" s="518" t="s">
        <v>11768</v>
      </c>
      <c r="C1565" s="516"/>
      <c r="D1565" s="514" t="s">
        <v>11533</v>
      </c>
      <c r="E1565" s="515">
        <v>1</v>
      </c>
      <c r="F1565" s="518" t="s">
        <v>1854</v>
      </c>
      <c r="G1565" s="515" t="s">
        <v>11525</v>
      </c>
      <c r="H1565" s="514"/>
      <c r="I1565" s="515"/>
      <c r="J1565" s="515"/>
    </row>
    <row r="1566" spans="1:10" ht="13.8" thickBot="1">
      <c r="A1566" s="517"/>
      <c r="B1566" s="518" t="s">
        <v>11767</v>
      </c>
      <c r="C1566" s="516"/>
      <c r="D1566" s="514" t="s">
        <v>11533</v>
      </c>
      <c r="E1566" s="515">
        <v>1</v>
      </c>
      <c r="F1566" s="518" t="s">
        <v>1854</v>
      </c>
      <c r="G1566" s="515" t="s">
        <v>11525</v>
      </c>
      <c r="H1566" s="514"/>
      <c r="I1566" s="515"/>
      <c r="J1566" s="515"/>
    </row>
    <row r="1567" spans="1:10" ht="13.8" thickBot="1">
      <c r="A1567" s="517"/>
      <c r="B1567" s="518" t="s">
        <v>11766</v>
      </c>
      <c r="C1567" s="516"/>
      <c r="D1567" s="514" t="s">
        <v>11765</v>
      </c>
      <c r="E1567" s="515">
        <v>7</v>
      </c>
      <c r="F1567" s="518" t="s">
        <v>1854</v>
      </c>
      <c r="G1567" s="515" t="s">
        <v>11525</v>
      </c>
      <c r="H1567" s="514"/>
      <c r="I1567" s="515"/>
      <c r="J1567" s="515"/>
    </row>
    <row r="1568" spans="1:10" ht="13.8" thickBot="1">
      <c r="A1568" s="517"/>
      <c r="B1568" s="518" t="s">
        <v>11764</v>
      </c>
      <c r="C1568" s="516"/>
      <c r="D1568" s="514" t="s">
        <v>11533</v>
      </c>
      <c r="E1568" s="515">
        <v>4.5</v>
      </c>
      <c r="F1568" s="518" t="s">
        <v>1854</v>
      </c>
      <c r="G1568" s="515" t="s">
        <v>11525</v>
      </c>
      <c r="H1568" s="514"/>
      <c r="I1568" s="515"/>
      <c r="J1568" s="515">
        <v>1</v>
      </c>
    </row>
    <row r="1569" spans="1:10" ht="13.8" thickBot="1">
      <c r="A1569" s="517"/>
      <c r="B1569" s="518" t="s">
        <v>11763</v>
      </c>
      <c r="C1569" s="516"/>
      <c r="D1569" s="514" t="s">
        <v>11533</v>
      </c>
      <c r="E1569" s="515">
        <v>1</v>
      </c>
      <c r="F1569" s="518" t="s">
        <v>1854</v>
      </c>
      <c r="G1569" s="515" t="s">
        <v>11525</v>
      </c>
      <c r="H1569" s="514"/>
      <c r="I1569" s="515"/>
      <c r="J1569" s="515"/>
    </row>
    <row r="1570" spans="1:10" ht="13.8" thickBot="1">
      <c r="A1570" s="517"/>
      <c r="B1570" s="518" t="s">
        <v>11762</v>
      </c>
      <c r="C1570" s="516"/>
      <c r="D1570" s="514" t="s">
        <v>11533</v>
      </c>
      <c r="E1570" s="515">
        <v>4.5</v>
      </c>
      <c r="F1570" s="518" t="s">
        <v>1854</v>
      </c>
      <c r="G1570" s="515" t="s">
        <v>11525</v>
      </c>
      <c r="H1570" s="514"/>
      <c r="I1570" s="515">
        <v>1</v>
      </c>
      <c r="J1570" s="515">
        <v>1</v>
      </c>
    </row>
    <row r="1571" spans="1:10" ht="13.8" thickBot="1">
      <c r="A1571" s="517"/>
      <c r="B1571" s="518" t="s">
        <v>11761</v>
      </c>
      <c r="C1571" s="516"/>
      <c r="D1571" s="514" t="s">
        <v>11533</v>
      </c>
      <c r="E1571" s="515">
        <v>1</v>
      </c>
      <c r="F1571" s="518" t="s">
        <v>1854</v>
      </c>
      <c r="G1571" s="515" t="s">
        <v>11525</v>
      </c>
      <c r="H1571" s="514"/>
      <c r="I1571" s="515"/>
      <c r="J1571" s="515"/>
    </row>
    <row r="1572" spans="1:10" ht="13.8" thickBot="1">
      <c r="A1572" s="517"/>
      <c r="B1572" s="518" t="s">
        <v>11760</v>
      </c>
      <c r="C1572" s="516"/>
      <c r="D1572" s="514" t="s">
        <v>11533</v>
      </c>
      <c r="E1572" s="515">
        <v>1</v>
      </c>
      <c r="F1572" s="518" t="s">
        <v>1854</v>
      </c>
      <c r="G1572" s="515" t="s">
        <v>11525</v>
      </c>
      <c r="H1572" s="514"/>
      <c r="I1572" s="515"/>
      <c r="J1572" s="515"/>
    </row>
    <row r="1573" spans="1:10" ht="13.8" thickBot="1">
      <c r="A1573" s="517"/>
      <c r="B1573" s="518" t="s">
        <v>11759</v>
      </c>
      <c r="C1573" s="516"/>
      <c r="D1573" s="514" t="s">
        <v>11533</v>
      </c>
      <c r="E1573" s="515">
        <v>1</v>
      </c>
      <c r="F1573" s="518" t="s">
        <v>1854</v>
      </c>
      <c r="G1573" s="515" t="s">
        <v>11525</v>
      </c>
      <c r="H1573" s="514"/>
      <c r="I1573" s="515"/>
      <c r="J1573" s="515"/>
    </row>
    <row r="1574" spans="1:10" ht="13.8" thickBot="1">
      <c r="A1574" s="517"/>
      <c r="B1574" s="518" t="s">
        <v>11758</v>
      </c>
      <c r="C1574" s="516"/>
      <c r="D1574" s="514" t="s">
        <v>11533</v>
      </c>
      <c r="E1574" s="515">
        <v>3</v>
      </c>
      <c r="F1574" s="518" t="s">
        <v>1854</v>
      </c>
      <c r="G1574" s="515" t="s">
        <v>11525</v>
      </c>
      <c r="H1574" s="514"/>
      <c r="I1574" s="515"/>
      <c r="J1574" s="515"/>
    </row>
    <row r="1575" spans="1:10" ht="13.8" thickBot="1">
      <c r="A1575" s="517"/>
      <c r="B1575" s="518" t="s">
        <v>11757</v>
      </c>
      <c r="C1575" s="516"/>
      <c r="D1575" s="514" t="s">
        <v>11533</v>
      </c>
      <c r="E1575" s="515">
        <v>3</v>
      </c>
      <c r="F1575" s="518" t="s">
        <v>1854</v>
      </c>
      <c r="G1575" s="515" t="s">
        <v>11525</v>
      </c>
      <c r="H1575" s="514"/>
      <c r="I1575" s="515"/>
      <c r="J1575" s="515"/>
    </row>
    <row r="1576" spans="1:10" ht="13.8" thickBot="1">
      <c r="A1576" s="517"/>
      <c r="B1576" s="518" t="s">
        <v>11756</v>
      </c>
      <c r="C1576" s="516"/>
      <c r="D1576" s="514" t="s">
        <v>11533</v>
      </c>
      <c r="E1576" s="515">
        <v>1</v>
      </c>
      <c r="F1576" s="518" t="s">
        <v>1854</v>
      </c>
      <c r="G1576" s="515" t="s">
        <v>11525</v>
      </c>
      <c r="H1576" s="514"/>
      <c r="I1576" s="515"/>
      <c r="J1576" s="515"/>
    </row>
    <row r="1577" spans="1:10" ht="13.8" thickBot="1">
      <c r="A1577" s="517"/>
      <c r="B1577" s="518" t="s">
        <v>11755</v>
      </c>
      <c r="C1577" s="516"/>
      <c r="D1577" s="514" t="s">
        <v>11533</v>
      </c>
      <c r="E1577" s="515">
        <v>1</v>
      </c>
      <c r="F1577" s="518" t="s">
        <v>1854</v>
      </c>
      <c r="G1577" s="515" t="s">
        <v>11525</v>
      </c>
      <c r="H1577" s="514"/>
      <c r="I1577" s="515"/>
      <c r="J1577" s="515"/>
    </row>
    <row r="1578" spans="1:10" ht="13.8" thickBot="1">
      <c r="A1578" s="517"/>
      <c r="B1578" s="518" t="s">
        <v>11754</v>
      </c>
      <c r="C1578" s="516"/>
      <c r="D1578" s="514" t="s">
        <v>11533</v>
      </c>
      <c r="E1578" s="515">
        <v>5</v>
      </c>
      <c r="F1578" s="518" t="s">
        <v>1854</v>
      </c>
      <c r="G1578" s="515" t="s">
        <v>11525</v>
      </c>
      <c r="H1578" s="514"/>
      <c r="I1578" s="515">
        <v>1</v>
      </c>
      <c r="J1578" s="515">
        <v>1</v>
      </c>
    </row>
    <row r="1579" spans="1:10" ht="13.8" thickBot="1">
      <c r="A1579" s="517"/>
      <c r="B1579" s="518" t="s">
        <v>11753</v>
      </c>
      <c r="C1579" s="516"/>
      <c r="D1579" s="514" t="s">
        <v>11533</v>
      </c>
      <c r="E1579" s="515">
        <v>3</v>
      </c>
      <c r="F1579" s="518" t="s">
        <v>1854</v>
      </c>
      <c r="G1579" s="515" t="s">
        <v>11525</v>
      </c>
      <c r="H1579" s="514"/>
      <c r="I1579" s="515"/>
      <c r="J1579" s="515"/>
    </row>
    <row r="1580" spans="1:10" ht="13.8" thickBot="1">
      <c r="A1580" s="517"/>
      <c r="B1580" s="518" t="s">
        <v>11752</v>
      </c>
      <c r="C1580" s="516"/>
      <c r="D1580" s="514" t="s">
        <v>11533</v>
      </c>
      <c r="E1580" s="515">
        <v>1</v>
      </c>
      <c r="F1580" s="518" t="s">
        <v>1854</v>
      </c>
      <c r="G1580" s="515" t="s">
        <v>11525</v>
      </c>
      <c r="H1580" s="514"/>
      <c r="I1580" s="515"/>
      <c r="J1580" s="515"/>
    </row>
    <row r="1581" spans="1:10" ht="13.8" thickBot="1">
      <c r="A1581" s="517"/>
      <c r="B1581" s="518" t="s">
        <v>11751</v>
      </c>
      <c r="C1581" s="516"/>
      <c r="D1581" s="514" t="s">
        <v>11533</v>
      </c>
      <c r="E1581" s="515">
        <v>5</v>
      </c>
      <c r="F1581" s="518" t="s">
        <v>1854</v>
      </c>
      <c r="G1581" s="515" t="s">
        <v>11525</v>
      </c>
      <c r="H1581" s="514"/>
      <c r="I1581" s="515"/>
      <c r="J1581" s="515">
        <v>1</v>
      </c>
    </row>
    <row r="1582" spans="1:10" ht="13.8" thickBot="1">
      <c r="A1582" s="517"/>
      <c r="B1582" s="518" t="s">
        <v>11750</v>
      </c>
      <c r="C1582" s="516"/>
      <c r="D1582" s="514" t="s">
        <v>11533</v>
      </c>
      <c r="E1582" s="515">
        <v>1</v>
      </c>
      <c r="F1582" s="518" t="s">
        <v>1854</v>
      </c>
      <c r="G1582" s="515" t="s">
        <v>11525</v>
      </c>
      <c r="H1582" s="514"/>
      <c r="I1582" s="515"/>
      <c r="J1582" s="515"/>
    </row>
    <row r="1583" spans="1:10" ht="13.8" thickBot="1">
      <c r="A1583" s="517"/>
      <c r="B1583" s="518" t="s">
        <v>11749</v>
      </c>
      <c r="C1583" s="516"/>
      <c r="D1583" s="514" t="s">
        <v>11533</v>
      </c>
      <c r="E1583" s="515">
        <v>1</v>
      </c>
      <c r="F1583" s="518" t="s">
        <v>1854</v>
      </c>
      <c r="G1583" s="515" t="s">
        <v>11525</v>
      </c>
      <c r="H1583" s="514"/>
      <c r="I1583" s="515"/>
      <c r="J1583" s="515"/>
    </row>
    <row r="1584" spans="1:10" ht="13.8" thickBot="1">
      <c r="A1584" s="517"/>
      <c r="B1584" s="518" t="s">
        <v>11748</v>
      </c>
      <c r="C1584" s="516"/>
      <c r="D1584" s="514" t="s">
        <v>11533</v>
      </c>
      <c r="E1584" s="515">
        <v>1</v>
      </c>
      <c r="F1584" s="518" t="s">
        <v>1854</v>
      </c>
      <c r="G1584" s="515" t="s">
        <v>11525</v>
      </c>
      <c r="H1584" s="514"/>
      <c r="I1584" s="515"/>
      <c r="J1584" s="515"/>
    </row>
    <row r="1585" spans="1:10" ht="13.8" thickBot="1">
      <c r="A1585" s="517"/>
      <c r="B1585" s="518" t="s">
        <v>11747</v>
      </c>
      <c r="C1585" s="516"/>
      <c r="D1585" s="514" t="s">
        <v>11533</v>
      </c>
      <c r="E1585" s="515">
        <v>1</v>
      </c>
      <c r="F1585" s="518" t="s">
        <v>1854</v>
      </c>
      <c r="G1585" s="515" t="s">
        <v>11525</v>
      </c>
      <c r="H1585" s="514"/>
      <c r="I1585" s="515"/>
      <c r="J1585" s="515"/>
    </row>
    <row r="1586" spans="1:10" ht="13.8" thickBot="1">
      <c r="A1586" s="517"/>
      <c r="B1586" s="518" t="s">
        <v>11746</v>
      </c>
      <c r="C1586" s="516"/>
      <c r="D1586" s="514" t="s">
        <v>11533</v>
      </c>
      <c r="E1586" s="515">
        <v>1</v>
      </c>
      <c r="F1586" s="518" t="s">
        <v>1854</v>
      </c>
      <c r="G1586" s="515" t="s">
        <v>11525</v>
      </c>
      <c r="H1586" s="514"/>
      <c r="I1586" s="515"/>
      <c r="J1586" s="515"/>
    </row>
    <row r="1587" spans="1:10" ht="13.8" thickBot="1">
      <c r="A1587" s="517"/>
      <c r="B1587" s="518" t="s">
        <v>11745</v>
      </c>
      <c r="C1587" s="516"/>
      <c r="D1587" s="514" t="s">
        <v>11533</v>
      </c>
      <c r="E1587" s="515">
        <v>5</v>
      </c>
      <c r="F1587" s="514"/>
      <c r="G1587" s="515" t="s">
        <v>11525</v>
      </c>
      <c r="H1587" s="514"/>
      <c r="I1587" s="515"/>
      <c r="J1587" s="515">
        <v>1</v>
      </c>
    </row>
    <row r="1588" spans="1:10" ht="13.8" thickBot="1">
      <c r="A1588" s="517"/>
      <c r="B1588" s="518" t="s">
        <v>11744</v>
      </c>
      <c r="C1588" s="516"/>
      <c r="D1588" s="514" t="s">
        <v>11533</v>
      </c>
      <c r="E1588" s="515">
        <v>5</v>
      </c>
      <c r="F1588" s="518" t="s">
        <v>1854</v>
      </c>
      <c r="G1588" s="515" t="s">
        <v>11525</v>
      </c>
      <c r="H1588" s="514"/>
      <c r="I1588" s="515"/>
      <c r="J1588" s="515">
        <v>1</v>
      </c>
    </row>
    <row r="1589" spans="1:10" ht="13.8" thickBot="1">
      <c r="A1589" s="517"/>
      <c r="B1589" s="518" t="s">
        <v>11743</v>
      </c>
      <c r="C1589" s="516"/>
      <c r="D1589" s="514" t="s">
        <v>11533</v>
      </c>
      <c r="E1589" s="515">
        <v>2</v>
      </c>
      <c r="F1589" s="518" t="s">
        <v>1854</v>
      </c>
      <c r="G1589" s="515" t="s">
        <v>11525</v>
      </c>
      <c r="H1589" s="514"/>
      <c r="I1589" s="515"/>
      <c r="J1589" s="515">
        <v>1</v>
      </c>
    </row>
    <row r="1590" spans="1:10" ht="13.8" thickBot="1">
      <c r="A1590" s="517"/>
      <c r="B1590" s="518" t="s">
        <v>11742</v>
      </c>
      <c r="C1590" s="516"/>
      <c r="D1590" s="514" t="s">
        <v>11533</v>
      </c>
      <c r="E1590" s="521">
        <v>1</v>
      </c>
      <c r="F1590" s="514"/>
      <c r="G1590" s="515" t="s">
        <v>11525</v>
      </c>
      <c r="H1590" s="514"/>
      <c r="I1590" s="515"/>
      <c r="J1590" s="515"/>
    </row>
    <row r="1591" spans="1:10" ht="13.8" thickBot="1">
      <c r="A1591" s="517"/>
      <c r="B1591" s="518" t="s">
        <v>11741</v>
      </c>
      <c r="C1591" s="516"/>
      <c r="D1591" s="514" t="s">
        <v>11533</v>
      </c>
      <c r="E1591" s="515">
        <v>1</v>
      </c>
      <c r="F1591" s="518" t="s">
        <v>1854</v>
      </c>
      <c r="G1591" s="515" t="s">
        <v>11525</v>
      </c>
      <c r="H1591" s="514"/>
      <c r="I1591" s="515"/>
      <c r="J1591" s="515"/>
    </row>
    <row r="1592" spans="1:10" ht="13.8" thickBot="1">
      <c r="A1592" s="517"/>
      <c r="B1592" s="518" t="s">
        <v>11740</v>
      </c>
      <c r="C1592" s="516"/>
      <c r="D1592" s="514" t="s">
        <v>11533</v>
      </c>
      <c r="E1592" s="515">
        <v>1</v>
      </c>
      <c r="F1592" s="518" t="s">
        <v>1854</v>
      </c>
      <c r="G1592" s="515" t="s">
        <v>11525</v>
      </c>
      <c r="H1592" s="514"/>
      <c r="I1592" s="515"/>
      <c r="J1592" s="515"/>
    </row>
    <row r="1593" spans="1:10" ht="13.8" thickBot="1">
      <c r="A1593" s="517"/>
      <c r="B1593" s="518" t="s">
        <v>11739</v>
      </c>
      <c r="C1593" s="516"/>
      <c r="D1593" s="514" t="s">
        <v>11533</v>
      </c>
      <c r="E1593" s="515">
        <v>1</v>
      </c>
      <c r="F1593" s="518" t="s">
        <v>1854</v>
      </c>
      <c r="G1593" s="515" t="s">
        <v>11525</v>
      </c>
      <c r="H1593" s="514"/>
      <c r="I1593" s="515"/>
      <c r="J1593" s="515"/>
    </row>
    <row r="1594" spans="1:10" ht="13.8" thickBot="1">
      <c r="A1594" s="517"/>
      <c r="B1594" s="518" t="s">
        <v>11738</v>
      </c>
      <c r="C1594" s="516"/>
      <c r="D1594" s="514" t="s">
        <v>11533</v>
      </c>
      <c r="E1594" s="515">
        <v>1</v>
      </c>
      <c r="F1594" s="518" t="s">
        <v>1854</v>
      </c>
      <c r="G1594" s="515" t="s">
        <v>11525</v>
      </c>
      <c r="H1594" s="514"/>
      <c r="I1594" s="515"/>
      <c r="J1594" s="515"/>
    </row>
    <row r="1595" spans="1:10" ht="13.8" thickBot="1">
      <c r="A1595" s="517"/>
      <c r="B1595" s="518" t="s">
        <v>11737</v>
      </c>
      <c r="C1595" s="516"/>
      <c r="D1595" s="514" t="s">
        <v>11533</v>
      </c>
      <c r="E1595" s="515">
        <v>1</v>
      </c>
      <c r="F1595" s="518" t="s">
        <v>1854</v>
      </c>
      <c r="G1595" s="515" t="s">
        <v>11525</v>
      </c>
      <c r="H1595" s="514"/>
      <c r="I1595" s="515"/>
      <c r="J1595" s="515"/>
    </row>
    <row r="1596" spans="1:10" ht="13.8" thickBot="1">
      <c r="A1596" s="517"/>
      <c r="B1596" s="518" t="s">
        <v>11736</v>
      </c>
      <c r="C1596" s="516"/>
      <c r="D1596" s="514" t="s">
        <v>11533</v>
      </c>
      <c r="E1596" s="515">
        <v>3.5</v>
      </c>
      <c r="F1596" s="518" t="s">
        <v>1854</v>
      </c>
      <c r="G1596" s="515" t="s">
        <v>11525</v>
      </c>
      <c r="H1596" s="514"/>
      <c r="I1596" s="515"/>
      <c r="J1596" s="515"/>
    </row>
    <row r="1597" spans="1:10" ht="13.8" thickBot="1">
      <c r="A1597" s="517"/>
      <c r="B1597" s="518" t="s">
        <v>11735</v>
      </c>
      <c r="C1597" s="516"/>
      <c r="D1597" s="514" t="s">
        <v>11533</v>
      </c>
      <c r="E1597" s="515">
        <v>6</v>
      </c>
      <c r="F1597" s="514"/>
      <c r="G1597" s="515" t="s">
        <v>11525</v>
      </c>
      <c r="H1597" s="514"/>
      <c r="I1597" s="515"/>
      <c r="J1597" s="515"/>
    </row>
    <row r="1598" spans="1:10" ht="13.8" thickBot="1">
      <c r="A1598" s="517"/>
      <c r="B1598" s="518" t="s">
        <v>11734</v>
      </c>
      <c r="C1598" s="516"/>
      <c r="D1598" s="514" t="s">
        <v>11533</v>
      </c>
      <c r="E1598" s="515">
        <v>3.5</v>
      </c>
      <c r="F1598" s="518" t="s">
        <v>1854</v>
      </c>
      <c r="G1598" s="515" t="s">
        <v>11525</v>
      </c>
      <c r="H1598" s="514"/>
      <c r="I1598" s="515"/>
      <c r="J1598" s="515"/>
    </row>
    <row r="1599" spans="1:10" ht="13.8" thickBot="1">
      <c r="A1599" s="517"/>
      <c r="B1599" s="518" t="s">
        <v>11733</v>
      </c>
      <c r="C1599" s="516"/>
      <c r="D1599" s="514" t="s">
        <v>11533</v>
      </c>
      <c r="E1599" s="515">
        <v>3</v>
      </c>
      <c r="F1599" s="518" t="s">
        <v>1854</v>
      </c>
      <c r="G1599" s="515" t="s">
        <v>11525</v>
      </c>
      <c r="H1599" s="514"/>
      <c r="I1599" s="515"/>
      <c r="J1599" s="515"/>
    </row>
    <row r="1600" spans="1:10" ht="13.8" thickBot="1">
      <c r="A1600" s="517"/>
      <c r="B1600" s="518" t="s">
        <v>11732</v>
      </c>
      <c r="C1600" s="516"/>
      <c r="D1600" s="514" t="s">
        <v>11533</v>
      </c>
      <c r="E1600" s="515">
        <v>2</v>
      </c>
      <c r="F1600" s="518" t="s">
        <v>1854</v>
      </c>
      <c r="G1600" s="515" t="s">
        <v>11525</v>
      </c>
      <c r="H1600" s="514"/>
      <c r="I1600" s="515"/>
      <c r="J1600" s="515"/>
    </row>
    <row r="1601" spans="1:10" ht="13.8" thickBot="1">
      <c r="A1601" s="517"/>
      <c r="B1601" s="518" t="s">
        <v>11731</v>
      </c>
      <c r="C1601" s="516"/>
      <c r="D1601" s="514" t="s">
        <v>11533</v>
      </c>
      <c r="E1601" s="515">
        <v>3</v>
      </c>
      <c r="F1601" s="518" t="s">
        <v>1854</v>
      </c>
      <c r="G1601" s="515" t="s">
        <v>11525</v>
      </c>
      <c r="H1601" s="514"/>
      <c r="I1601" s="515"/>
      <c r="J1601" s="515"/>
    </row>
    <row r="1602" spans="1:10" ht="13.8" thickBot="1">
      <c r="A1602" s="517"/>
      <c r="B1602" s="518" t="s">
        <v>11730</v>
      </c>
      <c r="C1602" s="516"/>
      <c r="D1602" s="514" t="s">
        <v>11533</v>
      </c>
      <c r="E1602" s="515">
        <v>3.5</v>
      </c>
      <c r="F1602" s="518" t="s">
        <v>1854</v>
      </c>
      <c r="G1602" s="515" t="s">
        <v>11525</v>
      </c>
      <c r="H1602" s="514"/>
      <c r="I1602" s="515"/>
      <c r="J1602" s="515"/>
    </row>
    <row r="1603" spans="1:10" ht="13.8" thickBot="1">
      <c r="A1603" s="517"/>
      <c r="B1603" s="518" t="s">
        <v>11729</v>
      </c>
      <c r="C1603" s="516"/>
      <c r="D1603" s="514" t="s">
        <v>11533</v>
      </c>
      <c r="E1603" s="515">
        <v>5</v>
      </c>
      <c r="F1603" s="518" t="s">
        <v>1854</v>
      </c>
      <c r="G1603" s="515" t="s">
        <v>11525</v>
      </c>
      <c r="H1603" s="514"/>
      <c r="I1603" s="515"/>
      <c r="J1603" s="515">
        <v>1</v>
      </c>
    </row>
    <row r="1604" spans="1:10" ht="13.8" thickBot="1">
      <c r="A1604" s="517"/>
      <c r="B1604" s="518" t="s">
        <v>11728</v>
      </c>
      <c r="C1604" s="516"/>
      <c r="D1604" s="514" t="s">
        <v>11533</v>
      </c>
      <c r="E1604" s="515">
        <v>2</v>
      </c>
      <c r="F1604" s="518" t="s">
        <v>1854</v>
      </c>
      <c r="G1604" s="515" t="s">
        <v>11525</v>
      </c>
      <c r="H1604" s="514"/>
      <c r="I1604" s="515"/>
      <c r="J1604" s="515"/>
    </row>
    <row r="1605" spans="1:10" ht="13.8" thickBot="1">
      <c r="A1605" s="517"/>
      <c r="B1605" s="518" t="s">
        <v>11727</v>
      </c>
      <c r="C1605" s="516"/>
      <c r="D1605" s="514" t="s">
        <v>11533</v>
      </c>
      <c r="E1605" s="515">
        <v>2</v>
      </c>
      <c r="F1605" s="518" t="s">
        <v>1854</v>
      </c>
      <c r="G1605" s="515" t="s">
        <v>11525</v>
      </c>
      <c r="H1605" s="514"/>
      <c r="I1605" s="515"/>
      <c r="J1605" s="515"/>
    </row>
    <row r="1606" spans="1:10" ht="13.8" thickBot="1">
      <c r="A1606" s="517"/>
      <c r="B1606" s="518" t="s">
        <v>11726</v>
      </c>
      <c r="C1606" s="516"/>
      <c r="D1606" s="514" t="s">
        <v>11725</v>
      </c>
      <c r="E1606" s="515">
        <v>7.5</v>
      </c>
      <c r="F1606" s="514"/>
      <c r="G1606" s="515" t="s">
        <v>11525</v>
      </c>
      <c r="H1606" s="514"/>
      <c r="I1606" s="515">
        <v>1</v>
      </c>
      <c r="J1606" s="515">
        <v>2</v>
      </c>
    </row>
    <row r="1607" spans="1:10" ht="13.8" thickBot="1">
      <c r="A1607" s="517"/>
      <c r="B1607" s="518" t="s">
        <v>11724</v>
      </c>
      <c r="C1607" s="516"/>
      <c r="D1607" s="514" t="s">
        <v>11533</v>
      </c>
      <c r="E1607" s="515"/>
      <c r="F1607" s="514"/>
      <c r="G1607" s="515" t="s">
        <v>11525</v>
      </c>
      <c r="H1607" s="514"/>
      <c r="I1607" s="515"/>
      <c r="J1607" s="515"/>
    </row>
    <row r="1608" spans="1:10" ht="13.8" thickBot="1">
      <c r="A1608" s="517"/>
      <c r="B1608" s="518" t="s">
        <v>11723</v>
      </c>
      <c r="C1608" s="516"/>
      <c r="D1608" s="514" t="s">
        <v>11533</v>
      </c>
      <c r="E1608" s="515"/>
      <c r="F1608" s="514"/>
      <c r="G1608" s="515" t="s">
        <v>11525</v>
      </c>
      <c r="H1608" s="514"/>
      <c r="I1608" s="515"/>
      <c r="J1608" s="515"/>
    </row>
    <row r="1609" spans="1:10" ht="13.8" thickBot="1">
      <c r="A1609" s="517"/>
      <c r="B1609" s="518" t="s">
        <v>11722</v>
      </c>
      <c r="C1609" s="516"/>
      <c r="D1609" s="514" t="s">
        <v>11721</v>
      </c>
      <c r="E1609" s="515">
        <v>6</v>
      </c>
      <c r="F1609" s="514"/>
      <c r="G1609" s="515" t="s">
        <v>11525</v>
      </c>
      <c r="H1609" s="514"/>
      <c r="I1609" s="515"/>
      <c r="J1609" s="515">
        <v>1</v>
      </c>
    </row>
    <row r="1610" spans="1:10" ht="13.8" thickBot="1">
      <c r="A1610" s="517"/>
      <c r="B1610" s="518" t="s">
        <v>11720</v>
      </c>
      <c r="C1610" s="516"/>
      <c r="D1610" s="514" t="s">
        <v>11533</v>
      </c>
      <c r="E1610" s="515"/>
      <c r="F1610" s="514"/>
      <c r="G1610" s="515" t="s">
        <v>11525</v>
      </c>
      <c r="H1610" s="514"/>
      <c r="I1610" s="515"/>
      <c r="J1610" s="515"/>
    </row>
    <row r="1611" spans="1:10" ht="13.8" thickBot="1">
      <c r="A1611" s="517"/>
      <c r="B1611" s="518" t="s">
        <v>11719</v>
      </c>
      <c r="C1611" s="516"/>
      <c r="D1611" s="514" t="s">
        <v>11533</v>
      </c>
      <c r="E1611" s="515"/>
      <c r="F1611" s="514"/>
      <c r="G1611" s="515" t="s">
        <v>11525</v>
      </c>
      <c r="H1611" s="514"/>
      <c r="I1611" s="515"/>
      <c r="J1611" s="515"/>
    </row>
    <row r="1612" spans="1:10" ht="13.8" thickBot="1">
      <c r="A1612" s="517"/>
      <c r="B1612" s="518" t="s">
        <v>11718</v>
      </c>
      <c r="C1612" s="516"/>
      <c r="D1612" s="514" t="s">
        <v>11533</v>
      </c>
      <c r="E1612" s="515"/>
      <c r="F1612" s="514"/>
      <c r="G1612" s="515" t="s">
        <v>11525</v>
      </c>
      <c r="H1612" s="514"/>
      <c r="I1612" s="515"/>
      <c r="J1612" s="515"/>
    </row>
    <row r="1613" spans="1:10" ht="13.8" thickBot="1">
      <c r="A1613" s="517"/>
      <c r="B1613" s="518" t="s">
        <v>11717</v>
      </c>
      <c r="C1613" s="516"/>
      <c r="D1613" s="514" t="s">
        <v>11533</v>
      </c>
      <c r="E1613" s="515"/>
      <c r="F1613" s="514"/>
      <c r="G1613" s="515" t="s">
        <v>11525</v>
      </c>
      <c r="H1613" s="514"/>
      <c r="I1613" s="515"/>
      <c r="J1613" s="515"/>
    </row>
    <row r="1614" spans="1:10" ht="13.8" thickBot="1">
      <c r="A1614" s="517"/>
      <c r="B1614" s="518" t="s">
        <v>11716</v>
      </c>
      <c r="C1614" s="516"/>
      <c r="D1614" s="514" t="s">
        <v>11533</v>
      </c>
      <c r="E1614" s="515"/>
      <c r="F1614" s="514"/>
      <c r="G1614" s="515" t="s">
        <v>11525</v>
      </c>
      <c r="H1614" s="514"/>
      <c r="I1614" s="515"/>
      <c r="J1614" s="515"/>
    </row>
    <row r="1615" spans="1:10" ht="13.8" thickBot="1">
      <c r="A1615" s="517"/>
      <c r="B1615" s="518" t="s">
        <v>11715</v>
      </c>
      <c r="C1615" s="516"/>
      <c r="D1615" s="514" t="s">
        <v>11533</v>
      </c>
      <c r="E1615" s="515"/>
      <c r="F1615" s="514"/>
      <c r="G1615" s="515" t="s">
        <v>11525</v>
      </c>
      <c r="H1615" s="514"/>
      <c r="I1615" s="515"/>
      <c r="J1615" s="515"/>
    </row>
    <row r="1616" spans="1:10" ht="13.8" thickBot="1">
      <c r="A1616" s="517"/>
      <c r="B1616" s="514" t="s">
        <v>11714</v>
      </c>
      <c r="C1616" s="516"/>
      <c r="D1616" s="514" t="s">
        <v>11533</v>
      </c>
      <c r="E1616" s="515">
        <v>2</v>
      </c>
      <c r="F1616" s="514"/>
      <c r="G1616" s="515" t="s">
        <v>11525</v>
      </c>
      <c r="H1616" s="514"/>
      <c r="I1616" s="515"/>
      <c r="J1616" s="515">
        <v>1</v>
      </c>
    </row>
    <row r="1617" spans="1:10" ht="13.8" thickBot="1">
      <c r="A1617" s="517"/>
      <c r="B1617" s="514" t="s">
        <v>11713</v>
      </c>
      <c r="C1617" s="516"/>
      <c r="D1617" s="514" t="s">
        <v>11533</v>
      </c>
      <c r="E1617" s="515">
        <v>1</v>
      </c>
      <c r="F1617" s="514"/>
      <c r="G1617" s="515" t="s">
        <v>11525</v>
      </c>
      <c r="H1617" s="514"/>
      <c r="I1617" s="515"/>
      <c r="J1617" s="515">
        <v>1</v>
      </c>
    </row>
    <row r="1618" spans="1:10" ht="13.8" thickBot="1">
      <c r="A1618" s="517"/>
      <c r="B1618" s="514" t="s">
        <v>11712</v>
      </c>
      <c r="C1618" s="516"/>
      <c r="D1618" s="514" t="s">
        <v>11533</v>
      </c>
      <c r="E1618" s="515">
        <v>5</v>
      </c>
      <c r="F1618" s="514"/>
      <c r="G1618" s="515" t="s">
        <v>11525</v>
      </c>
      <c r="H1618" s="514"/>
      <c r="I1618" s="515"/>
      <c r="J1618" s="515">
        <v>1</v>
      </c>
    </row>
    <row r="1619" spans="1:10" ht="13.8" thickBot="1">
      <c r="A1619" s="517"/>
      <c r="B1619" s="514" t="s">
        <v>11711</v>
      </c>
      <c r="C1619" s="516"/>
      <c r="D1619" s="514" t="s">
        <v>11533</v>
      </c>
      <c r="E1619" s="515">
        <v>5</v>
      </c>
      <c r="F1619" s="514"/>
      <c r="G1619" s="515" t="s">
        <v>11525</v>
      </c>
      <c r="H1619" s="514"/>
      <c r="I1619" s="515"/>
      <c r="J1619" s="515">
        <v>1</v>
      </c>
    </row>
    <row r="1620" spans="1:10" ht="13.8" thickBot="1">
      <c r="A1620" s="517"/>
      <c r="B1620" s="518" t="s">
        <v>11710</v>
      </c>
      <c r="C1620" s="516"/>
      <c r="D1620" s="514" t="s">
        <v>11533</v>
      </c>
      <c r="E1620" s="515">
        <v>2</v>
      </c>
      <c r="F1620" s="518" t="s">
        <v>1854</v>
      </c>
      <c r="G1620" s="515" t="s">
        <v>11525</v>
      </c>
      <c r="H1620" s="514"/>
      <c r="I1620" s="515"/>
      <c r="J1620" s="515"/>
    </row>
    <row r="1621" spans="1:10" ht="13.8" thickBot="1">
      <c r="A1621" s="517"/>
      <c r="B1621" s="518" t="s">
        <v>11709</v>
      </c>
      <c r="C1621" s="516"/>
      <c r="D1621" s="514" t="s">
        <v>11533</v>
      </c>
      <c r="E1621" s="515">
        <v>5</v>
      </c>
      <c r="F1621" s="518" t="s">
        <v>1854</v>
      </c>
      <c r="G1621" s="515" t="s">
        <v>11525</v>
      </c>
      <c r="H1621" s="514"/>
      <c r="I1621" s="515"/>
      <c r="J1621" s="515"/>
    </row>
    <row r="1622" spans="1:10" ht="13.8" thickBot="1">
      <c r="A1622" s="517"/>
      <c r="B1622" s="518" t="s">
        <v>11708</v>
      </c>
      <c r="C1622" s="516"/>
      <c r="D1622" s="514" t="s">
        <v>11533</v>
      </c>
      <c r="E1622" s="515">
        <v>5</v>
      </c>
      <c r="F1622" s="518" t="s">
        <v>1854</v>
      </c>
      <c r="G1622" s="515" t="s">
        <v>11525</v>
      </c>
      <c r="H1622" s="514"/>
      <c r="I1622" s="515"/>
      <c r="J1622" s="515"/>
    </row>
    <row r="1623" spans="1:10" ht="13.8" thickBot="1">
      <c r="A1623" s="517"/>
      <c r="B1623" s="518" t="s">
        <v>11707</v>
      </c>
      <c r="C1623" s="516"/>
      <c r="D1623" s="514" t="s">
        <v>11706</v>
      </c>
      <c r="E1623" s="515">
        <v>4</v>
      </c>
      <c r="F1623" s="518" t="s">
        <v>1854</v>
      </c>
      <c r="G1623" s="515" t="s">
        <v>11525</v>
      </c>
      <c r="H1623" s="514"/>
      <c r="I1623" s="515"/>
      <c r="J1623" s="515"/>
    </row>
    <row r="1624" spans="1:10" ht="13.8" thickBot="1">
      <c r="A1624" s="517"/>
      <c r="B1624" s="518" t="s">
        <v>11705</v>
      </c>
      <c r="C1624" s="516"/>
      <c r="D1624" s="514" t="s">
        <v>11704</v>
      </c>
      <c r="E1624" s="515">
        <v>7</v>
      </c>
      <c r="F1624" s="514"/>
      <c r="G1624" s="515" t="s">
        <v>11525</v>
      </c>
      <c r="H1624" s="514"/>
      <c r="I1624" s="515"/>
      <c r="J1624" s="515"/>
    </row>
    <row r="1625" spans="1:10" ht="13.8" thickBot="1">
      <c r="A1625" s="517"/>
      <c r="B1625" s="518" t="s">
        <v>11703</v>
      </c>
      <c r="C1625" s="516"/>
      <c r="D1625" s="514" t="s">
        <v>11533</v>
      </c>
      <c r="E1625" s="515">
        <v>5.5</v>
      </c>
      <c r="F1625" s="514"/>
      <c r="G1625" s="515" t="s">
        <v>11525</v>
      </c>
      <c r="H1625" s="514"/>
      <c r="I1625" s="515"/>
      <c r="J1625" s="515">
        <v>1</v>
      </c>
    </row>
    <row r="1626" spans="1:10" ht="13.8" thickBot="1">
      <c r="A1626" s="517"/>
      <c r="B1626" s="518" t="s">
        <v>11702</v>
      </c>
      <c r="C1626" s="516"/>
      <c r="D1626" s="514" t="s">
        <v>11533</v>
      </c>
      <c r="E1626" s="515"/>
      <c r="F1626" s="514"/>
      <c r="G1626" s="515" t="s">
        <v>11525</v>
      </c>
      <c r="H1626" s="514"/>
      <c r="I1626" s="515"/>
      <c r="J1626" s="515"/>
    </row>
    <row r="1627" spans="1:10" ht="13.8" thickBot="1">
      <c r="A1627" s="517"/>
      <c r="B1627" s="518" t="s">
        <v>11701</v>
      </c>
      <c r="C1627" s="516"/>
      <c r="D1627" s="514" t="s">
        <v>11533</v>
      </c>
      <c r="E1627" s="515">
        <v>5.5</v>
      </c>
      <c r="F1627" s="514"/>
      <c r="G1627" s="515" t="s">
        <v>11525</v>
      </c>
      <c r="H1627" s="514"/>
      <c r="I1627" s="515"/>
      <c r="J1627" s="515">
        <v>1</v>
      </c>
    </row>
    <row r="1628" spans="1:10" ht="13.8" thickBot="1">
      <c r="A1628" s="517"/>
      <c r="B1628" s="518" t="s">
        <v>11700</v>
      </c>
      <c r="C1628" s="516"/>
      <c r="D1628" s="514" t="s">
        <v>11533</v>
      </c>
      <c r="E1628" s="515">
        <v>5</v>
      </c>
      <c r="F1628" s="514"/>
      <c r="G1628" s="515" t="s">
        <v>11525</v>
      </c>
      <c r="H1628" s="514" t="s">
        <v>1226</v>
      </c>
      <c r="I1628" s="515"/>
      <c r="J1628" s="515">
        <v>1</v>
      </c>
    </row>
    <row r="1629" spans="1:10" ht="13.8" thickBot="1">
      <c r="A1629" s="517"/>
      <c r="B1629" s="518" t="s">
        <v>11699</v>
      </c>
      <c r="C1629" s="516"/>
      <c r="D1629" s="514" t="s">
        <v>11533</v>
      </c>
      <c r="E1629" s="515">
        <v>5</v>
      </c>
      <c r="F1629" s="514"/>
      <c r="G1629" s="515" t="s">
        <v>11525</v>
      </c>
      <c r="H1629" s="514" t="s">
        <v>1226</v>
      </c>
      <c r="I1629" s="515"/>
      <c r="J1629" s="515">
        <v>1</v>
      </c>
    </row>
    <row r="1630" spans="1:10" ht="13.8" thickBot="1">
      <c r="A1630" s="517"/>
      <c r="B1630" s="518" t="s">
        <v>11698</v>
      </c>
      <c r="C1630" s="516"/>
      <c r="D1630" s="514" t="s">
        <v>11533</v>
      </c>
      <c r="E1630" s="515">
        <v>7</v>
      </c>
      <c r="F1630" s="514"/>
      <c r="G1630" s="515" t="s">
        <v>11525</v>
      </c>
      <c r="H1630" s="514" t="s">
        <v>1224</v>
      </c>
      <c r="I1630" s="515"/>
      <c r="J1630" s="515">
        <v>1</v>
      </c>
    </row>
    <row r="1631" spans="1:10" ht="13.8" thickBot="1">
      <c r="A1631" s="517"/>
      <c r="B1631" s="518" t="s">
        <v>11697</v>
      </c>
      <c r="C1631" s="516"/>
      <c r="D1631" s="514" t="s">
        <v>11533</v>
      </c>
      <c r="E1631" s="515">
        <v>5.5</v>
      </c>
      <c r="F1631" s="514"/>
      <c r="G1631" s="515" t="s">
        <v>11525</v>
      </c>
      <c r="H1631" s="514"/>
      <c r="I1631" s="515"/>
      <c r="J1631" s="515">
        <v>1</v>
      </c>
    </row>
    <row r="1632" spans="1:10" ht="13.8" thickBot="1">
      <c r="A1632" s="517"/>
      <c r="B1632" s="518" t="s">
        <v>11696</v>
      </c>
      <c r="C1632" s="516"/>
      <c r="D1632" s="514" t="s">
        <v>11533</v>
      </c>
      <c r="E1632" s="515"/>
      <c r="F1632" s="514"/>
      <c r="G1632" s="515" t="s">
        <v>11525</v>
      </c>
      <c r="H1632" s="514"/>
      <c r="I1632" s="515"/>
      <c r="J1632" s="515"/>
    </row>
    <row r="1633" spans="1:10" ht="13.8" thickBot="1">
      <c r="A1633" s="517"/>
      <c r="B1633" s="518" t="s">
        <v>11695</v>
      </c>
      <c r="C1633" s="516"/>
      <c r="D1633" s="514" t="s">
        <v>11533</v>
      </c>
      <c r="E1633" s="515"/>
      <c r="F1633" s="514"/>
      <c r="G1633" s="515" t="s">
        <v>11525</v>
      </c>
      <c r="H1633" s="514"/>
      <c r="I1633" s="515"/>
      <c r="J1633" s="515"/>
    </row>
    <row r="1634" spans="1:10" ht="13.8" thickBot="1">
      <c r="A1634" s="517"/>
      <c r="B1634" s="518" t="s">
        <v>11694</v>
      </c>
      <c r="C1634" s="516"/>
      <c r="D1634" s="514" t="s">
        <v>11533</v>
      </c>
      <c r="E1634" s="515"/>
      <c r="F1634" s="514"/>
      <c r="G1634" s="515" t="s">
        <v>11525</v>
      </c>
      <c r="H1634" s="514"/>
      <c r="I1634" s="515"/>
      <c r="J1634" s="515"/>
    </row>
    <row r="1635" spans="1:10" ht="13.8" thickBot="1">
      <c r="A1635" s="517"/>
      <c r="B1635" s="518" t="s">
        <v>11693</v>
      </c>
      <c r="C1635" s="516"/>
      <c r="D1635" s="514" t="s">
        <v>11533</v>
      </c>
      <c r="E1635" s="515"/>
      <c r="F1635" s="514"/>
      <c r="G1635" s="515" t="s">
        <v>11525</v>
      </c>
      <c r="H1635" s="514"/>
      <c r="I1635" s="515"/>
      <c r="J1635" s="515"/>
    </row>
    <row r="1636" spans="1:10" ht="13.8" thickBot="1">
      <c r="A1636" s="517"/>
      <c r="B1636" s="518" t="s">
        <v>11692</v>
      </c>
      <c r="C1636" s="516"/>
      <c r="D1636" s="514" t="s">
        <v>11533</v>
      </c>
      <c r="E1636" s="515"/>
      <c r="F1636" s="514"/>
      <c r="G1636" s="515" t="s">
        <v>11525</v>
      </c>
      <c r="H1636" s="514"/>
      <c r="I1636" s="515"/>
      <c r="J1636" s="515"/>
    </row>
    <row r="1637" spans="1:10" ht="13.8" thickBot="1">
      <c r="A1637" s="517"/>
      <c r="B1637" s="518" t="s">
        <v>11691</v>
      </c>
      <c r="C1637" s="516"/>
      <c r="D1637" s="514" t="s">
        <v>11533</v>
      </c>
      <c r="E1637" s="515"/>
      <c r="F1637" s="514"/>
      <c r="G1637" s="515" t="s">
        <v>11525</v>
      </c>
      <c r="H1637" s="514"/>
      <c r="I1637" s="515"/>
      <c r="J1637" s="515"/>
    </row>
    <row r="1638" spans="1:10" ht="13.8" thickBot="1">
      <c r="A1638" s="517"/>
      <c r="B1638" s="518" t="s">
        <v>11690</v>
      </c>
      <c r="C1638" s="516"/>
      <c r="D1638" s="514" t="s">
        <v>11533</v>
      </c>
      <c r="E1638" s="515"/>
      <c r="F1638" s="514"/>
      <c r="G1638" s="515" t="s">
        <v>11525</v>
      </c>
      <c r="H1638" s="514"/>
      <c r="I1638" s="515"/>
      <c r="J1638" s="515"/>
    </row>
    <row r="1639" spans="1:10" ht="13.8" thickBot="1">
      <c r="A1639" s="517"/>
      <c r="B1639" s="518" t="s">
        <v>11689</v>
      </c>
      <c r="C1639" s="516"/>
      <c r="D1639" s="514" t="s">
        <v>11533</v>
      </c>
      <c r="E1639" s="515"/>
      <c r="F1639" s="514"/>
      <c r="G1639" s="515" t="s">
        <v>11525</v>
      </c>
      <c r="H1639" s="514"/>
      <c r="I1639" s="515"/>
      <c r="J1639" s="515"/>
    </row>
    <row r="1640" spans="1:10" ht="13.8" thickBot="1">
      <c r="A1640" s="517"/>
      <c r="B1640" s="518" t="s">
        <v>11688</v>
      </c>
      <c r="C1640" s="516"/>
      <c r="D1640" s="514" t="s">
        <v>11533</v>
      </c>
      <c r="E1640" s="515"/>
      <c r="F1640" s="514"/>
      <c r="G1640" s="515" t="s">
        <v>11525</v>
      </c>
      <c r="H1640" s="514"/>
      <c r="I1640" s="515"/>
      <c r="J1640" s="515"/>
    </row>
    <row r="1641" spans="1:10" ht="13.8" thickBot="1">
      <c r="A1641" s="517"/>
      <c r="B1641" s="518" t="s">
        <v>11687</v>
      </c>
      <c r="C1641" s="516"/>
      <c r="D1641" s="514" t="s">
        <v>11533</v>
      </c>
      <c r="E1641" s="515"/>
      <c r="F1641" s="514"/>
      <c r="G1641" s="515" t="s">
        <v>11525</v>
      </c>
      <c r="H1641" s="514"/>
      <c r="I1641" s="515"/>
      <c r="J1641" s="515"/>
    </row>
    <row r="1642" spans="1:10" ht="13.8" thickBot="1">
      <c r="A1642" s="517"/>
      <c r="B1642" s="518" t="s">
        <v>11686</v>
      </c>
      <c r="C1642" s="516"/>
      <c r="D1642" s="514" t="s">
        <v>11533</v>
      </c>
      <c r="E1642" s="515"/>
      <c r="F1642" s="514"/>
      <c r="G1642" s="515" t="s">
        <v>11525</v>
      </c>
      <c r="H1642" s="514"/>
      <c r="I1642" s="515"/>
      <c r="J1642" s="515"/>
    </row>
    <row r="1643" spans="1:10" ht="13.8" thickBot="1">
      <c r="A1643" s="517"/>
      <c r="B1643" s="518" t="s">
        <v>11685</v>
      </c>
      <c r="C1643" s="516"/>
      <c r="D1643" s="514" t="s">
        <v>11533</v>
      </c>
      <c r="E1643" s="515"/>
      <c r="F1643" s="514"/>
      <c r="G1643" s="515" t="s">
        <v>11525</v>
      </c>
      <c r="H1643" s="514"/>
      <c r="I1643" s="515"/>
      <c r="J1643" s="515"/>
    </row>
    <row r="1644" spans="1:10" ht="13.8" thickBot="1">
      <c r="A1644" s="517"/>
      <c r="B1644" s="518" t="s">
        <v>11684</v>
      </c>
      <c r="C1644" s="516"/>
      <c r="D1644" s="514" t="s">
        <v>11533</v>
      </c>
      <c r="E1644" s="515"/>
      <c r="F1644" s="514"/>
      <c r="G1644" s="515" t="s">
        <v>11525</v>
      </c>
      <c r="H1644" s="514"/>
      <c r="I1644" s="515"/>
      <c r="J1644" s="515"/>
    </row>
    <row r="1645" spans="1:10" ht="13.8" thickBot="1">
      <c r="A1645" s="517"/>
      <c r="B1645" s="518" t="s">
        <v>11683</v>
      </c>
      <c r="C1645" s="516"/>
      <c r="D1645" s="514" t="s">
        <v>11533</v>
      </c>
      <c r="E1645" s="515"/>
      <c r="F1645" s="514"/>
      <c r="G1645" s="515" t="s">
        <v>11525</v>
      </c>
      <c r="H1645" s="514"/>
      <c r="I1645" s="515"/>
      <c r="J1645" s="515"/>
    </row>
    <row r="1646" spans="1:10" ht="13.8" thickBot="1">
      <c r="A1646" s="517"/>
      <c r="B1646" s="518" t="s">
        <v>11682</v>
      </c>
      <c r="C1646" s="516"/>
      <c r="D1646" s="514" t="s">
        <v>11533</v>
      </c>
      <c r="E1646" s="515"/>
      <c r="F1646" s="514"/>
      <c r="G1646" s="515" t="s">
        <v>11525</v>
      </c>
      <c r="H1646" s="514"/>
      <c r="I1646" s="515"/>
      <c r="J1646" s="515"/>
    </row>
    <row r="1647" spans="1:10" ht="13.8" thickBot="1">
      <c r="A1647" s="517"/>
      <c r="B1647" s="518" t="s">
        <v>11681</v>
      </c>
      <c r="C1647" s="516"/>
      <c r="D1647" s="514" t="s">
        <v>11533</v>
      </c>
      <c r="E1647" s="515"/>
      <c r="F1647" s="514"/>
      <c r="G1647" s="515" t="s">
        <v>11525</v>
      </c>
      <c r="H1647" s="514"/>
      <c r="I1647" s="515"/>
      <c r="J1647" s="515"/>
    </row>
    <row r="1648" spans="1:10" ht="13.8" thickBot="1">
      <c r="A1648" s="517"/>
      <c r="B1648" s="518" t="s">
        <v>11680</v>
      </c>
      <c r="C1648" s="516"/>
      <c r="D1648" s="514" t="s">
        <v>11533</v>
      </c>
      <c r="E1648" s="515"/>
      <c r="F1648" s="514"/>
      <c r="G1648" s="515" t="s">
        <v>11525</v>
      </c>
      <c r="H1648" s="514"/>
      <c r="I1648" s="515"/>
      <c r="J1648" s="515"/>
    </row>
    <row r="1649" spans="1:10" ht="13.8" thickBot="1">
      <c r="A1649" s="517"/>
      <c r="B1649" s="518" t="s">
        <v>11679</v>
      </c>
      <c r="C1649" s="516"/>
      <c r="D1649" s="514" t="s">
        <v>11533</v>
      </c>
      <c r="E1649" s="515">
        <v>7.1</v>
      </c>
      <c r="F1649" s="514"/>
      <c r="G1649" s="515" t="s">
        <v>11525</v>
      </c>
      <c r="H1649" s="514" t="s">
        <v>1226</v>
      </c>
      <c r="I1649" s="515"/>
      <c r="J1649" s="515">
        <v>2</v>
      </c>
    </row>
    <row r="1650" spans="1:10" ht="13.8" thickBot="1">
      <c r="A1650" s="517"/>
      <c r="B1650" s="518" t="s">
        <v>11678</v>
      </c>
      <c r="C1650" s="516"/>
      <c r="D1650" s="514" t="s">
        <v>11533</v>
      </c>
      <c r="E1650" s="515">
        <v>7.1</v>
      </c>
      <c r="F1650" s="514"/>
      <c r="G1650" s="515" t="s">
        <v>11525</v>
      </c>
      <c r="H1650" s="514" t="s">
        <v>1226</v>
      </c>
      <c r="I1650" s="515"/>
      <c r="J1650" s="515"/>
    </row>
    <row r="1651" spans="1:10" ht="13.8" thickBot="1">
      <c r="A1651" s="517"/>
      <c r="B1651" s="518" t="s">
        <v>11677</v>
      </c>
      <c r="C1651" s="516"/>
      <c r="D1651" s="514" t="s">
        <v>11533</v>
      </c>
      <c r="E1651" s="515"/>
      <c r="F1651" s="514"/>
      <c r="G1651" s="515" t="s">
        <v>11525</v>
      </c>
      <c r="H1651" s="514"/>
      <c r="I1651" s="515"/>
      <c r="J1651" s="515"/>
    </row>
    <row r="1652" spans="1:10" ht="13.8" thickBot="1">
      <c r="A1652" s="517"/>
      <c r="B1652" s="518" t="s">
        <v>11676</v>
      </c>
      <c r="C1652" s="516"/>
      <c r="D1652" s="514" t="s">
        <v>11675</v>
      </c>
      <c r="E1652" s="515">
        <v>3</v>
      </c>
      <c r="F1652" s="518" t="s">
        <v>1854</v>
      </c>
      <c r="G1652" s="515" t="s">
        <v>11525</v>
      </c>
      <c r="H1652" s="514"/>
      <c r="I1652" s="522"/>
      <c r="J1652" s="522"/>
    </row>
    <row r="1653" spans="1:10" ht="13.8" thickBot="1">
      <c r="A1653" s="517"/>
      <c r="B1653" s="518" t="s">
        <v>11674</v>
      </c>
      <c r="C1653" s="516"/>
      <c r="D1653" s="514" t="s">
        <v>11533</v>
      </c>
      <c r="E1653" s="515">
        <v>5.25</v>
      </c>
      <c r="F1653" s="518" t="s">
        <v>1854</v>
      </c>
      <c r="G1653" s="515" t="s">
        <v>11525</v>
      </c>
      <c r="H1653" s="514"/>
      <c r="I1653" s="522"/>
      <c r="J1653" s="522">
        <v>2</v>
      </c>
    </row>
    <row r="1654" spans="1:10" ht="13.8" thickBot="1">
      <c r="A1654" s="517"/>
      <c r="B1654" s="518" t="s">
        <v>11673</v>
      </c>
      <c r="C1654" s="516"/>
      <c r="D1654" s="514" t="s">
        <v>11533</v>
      </c>
      <c r="E1654" s="515">
        <v>7.5</v>
      </c>
      <c r="F1654" s="518" t="s">
        <v>11671</v>
      </c>
      <c r="G1654" s="515" t="s">
        <v>11525</v>
      </c>
      <c r="H1654" s="514"/>
      <c r="I1654" s="515">
        <v>1</v>
      </c>
      <c r="J1654" s="515">
        <v>1</v>
      </c>
    </row>
    <row r="1655" spans="1:10" ht="13.8" thickBot="1">
      <c r="A1655" s="517"/>
      <c r="B1655" s="518" t="s">
        <v>11672</v>
      </c>
      <c r="C1655" s="516"/>
      <c r="D1655" s="514" t="s">
        <v>11533</v>
      </c>
      <c r="E1655" s="515">
        <v>8.5</v>
      </c>
      <c r="F1655" s="518" t="s">
        <v>11671</v>
      </c>
      <c r="G1655" s="515" t="s">
        <v>11525</v>
      </c>
      <c r="H1655" s="514"/>
      <c r="I1655" s="515"/>
      <c r="J1655" s="515"/>
    </row>
    <row r="1656" spans="1:10" ht="13.8" thickBot="1">
      <c r="A1656" s="517"/>
      <c r="B1656" s="518" t="s">
        <v>11670</v>
      </c>
      <c r="C1656" s="516"/>
      <c r="D1656" s="514" t="s">
        <v>11533</v>
      </c>
      <c r="E1656" s="515"/>
      <c r="F1656" s="514"/>
      <c r="G1656" s="515" t="s">
        <v>11525</v>
      </c>
      <c r="H1656" s="514"/>
      <c r="I1656" s="515"/>
      <c r="J1656" s="515"/>
    </row>
    <row r="1657" spans="1:10" ht="13.8" thickBot="1">
      <c r="A1657" s="517"/>
      <c r="B1657" s="518" t="s">
        <v>11669</v>
      </c>
      <c r="C1657" s="516"/>
      <c r="D1657" s="514" t="s">
        <v>11533</v>
      </c>
      <c r="E1657" s="515"/>
      <c r="F1657" s="514"/>
      <c r="G1657" s="515" t="s">
        <v>11525</v>
      </c>
      <c r="H1657" s="514"/>
      <c r="I1657" s="515"/>
      <c r="J1657" s="515"/>
    </row>
    <row r="1658" spans="1:10" ht="13.8" thickBot="1">
      <c r="A1658" s="517"/>
      <c r="B1658" s="518" t="s">
        <v>11668</v>
      </c>
      <c r="C1658" s="516"/>
      <c r="D1658" s="514" t="s">
        <v>11533</v>
      </c>
      <c r="E1658" s="515"/>
      <c r="F1658" s="514"/>
      <c r="G1658" s="515" t="s">
        <v>11525</v>
      </c>
      <c r="H1658" s="514"/>
      <c r="I1658" s="515"/>
      <c r="J1658" s="515"/>
    </row>
    <row r="1659" spans="1:10" ht="13.8" thickBot="1">
      <c r="A1659" s="517"/>
      <c r="B1659" s="518" t="s">
        <v>11667</v>
      </c>
      <c r="C1659" s="516"/>
      <c r="D1659" s="514" t="s">
        <v>11533</v>
      </c>
      <c r="E1659" s="515">
        <v>7</v>
      </c>
      <c r="F1659" s="514"/>
      <c r="G1659" s="515" t="s">
        <v>11525</v>
      </c>
      <c r="H1659" s="514"/>
      <c r="I1659" s="522"/>
      <c r="J1659" s="522"/>
    </row>
    <row r="1660" spans="1:10" ht="13.8" thickBot="1">
      <c r="A1660" s="517"/>
      <c r="B1660" s="518" t="s">
        <v>11666</v>
      </c>
      <c r="C1660" s="516"/>
      <c r="D1660" s="514" t="s">
        <v>11533</v>
      </c>
      <c r="E1660" s="515">
        <v>7.25</v>
      </c>
      <c r="F1660" s="514"/>
      <c r="G1660" s="515" t="s">
        <v>11525</v>
      </c>
      <c r="H1660" s="514"/>
      <c r="I1660" s="522"/>
      <c r="J1660" s="522"/>
    </row>
    <row r="1661" spans="1:10" ht="13.8" thickBot="1">
      <c r="A1661" s="517"/>
      <c r="B1661" s="518" t="s">
        <v>11665</v>
      </c>
      <c r="C1661" s="516"/>
      <c r="D1661" s="514" t="s">
        <v>11664</v>
      </c>
      <c r="E1661" s="515"/>
      <c r="F1661" s="514"/>
      <c r="G1661" s="515" t="s">
        <v>11525</v>
      </c>
      <c r="H1661" s="514"/>
      <c r="I1661" s="522"/>
      <c r="J1661" s="522"/>
    </row>
    <row r="1662" spans="1:10" ht="13.8" thickBot="1">
      <c r="A1662" s="517"/>
      <c r="B1662" s="518" t="s">
        <v>11663</v>
      </c>
      <c r="C1662" s="516"/>
      <c r="D1662" s="514" t="s">
        <v>11533</v>
      </c>
      <c r="E1662" s="515">
        <v>7.5</v>
      </c>
      <c r="F1662" s="514"/>
      <c r="G1662" s="515" t="s">
        <v>11525</v>
      </c>
      <c r="H1662" s="514"/>
      <c r="I1662" s="522"/>
      <c r="J1662" s="522"/>
    </row>
    <row r="1663" spans="1:10" ht="13.8" thickBot="1">
      <c r="A1663" s="517"/>
      <c r="B1663" s="518" t="s">
        <v>11662</v>
      </c>
      <c r="C1663" s="516"/>
      <c r="D1663" s="514" t="s">
        <v>11533</v>
      </c>
      <c r="E1663" s="515"/>
      <c r="F1663" s="514"/>
      <c r="G1663" s="515" t="s">
        <v>11525</v>
      </c>
      <c r="H1663" s="514"/>
      <c r="I1663" s="515"/>
      <c r="J1663" s="515"/>
    </row>
    <row r="1664" spans="1:10" ht="13.8" thickBot="1">
      <c r="A1664" s="517"/>
      <c r="B1664" s="518" t="s">
        <v>11661</v>
      </c>
      <c r="C1664" s="516"/>
      <c r="D1664" s="514" t="s">
        <v>11612</v>
      </c>
      <c r="E1664" s="515"/>
      <c r="F1664" s="514"/>
      <c r="G1664" s="515" t="s">
        <v>11525</v>
      </c>
      <c r="H1664" s="514"/>
      <c r="I1664" s="515"/>
      <c r="J1664" s="515"/>
    </row>
    <row r="1665" spans="1:10" ht="13.8" thickBot="1">
      <c r="A1665" s="517"/>
      <c r="B1665" s="518" t="s">
        <v>11660</v>
      </c>
      <c r="C1665" s="516"/>
      <c r="D1665" s="514" t="s">
        <v>11612</v>
      </c>
      <c r="E1665" s="515"/>
      <c r="F1665" s="514"/>
      <c r="G1665" s="515" t="s">
        <v>11525</v>
      </c>
      <c r="H1665" s="514"/>
      <c r="I1665" s="515"/>
      <c r="J1665" s="515"/>
    </row>
    <row r="1666" spans="1:10" ht="13.8" thickBot="1">
      <c r="A1666" s="517"/>
      <c r="B1666" s="518" t="s">
        <v>11659</v>
      </c>
      <c r="C1666" s="516"/>
      <c r="D1666" s="514" t="s">
        <v>11612</v>
      </c>
      <c r="E1666" s="515"/>
      <c r="F1666" s="514"/>
      <c r="G1666" s="515" t="s">
        <v>11525</v>
      </c>
      <c r="H1666" s="514"/>
      <c r="I1666" s="515"/>
      <c r="J1666" s="515"/>
    </row>
    <row r="1667" spans="1:10" ht="13.8" thickBot="1">
      <c r="A1667" s="517"/>
      <c r="B1667" s="518" t="s">
        <v>11658</v>
      </c>
      <c r="C1667" s="516"/>
      <c r="D1667" s="514" t="s">
        <v>11612</v>
      </c>
      <c r="E1667" s="515"/>
      <c r="F1667" s="514"/>
      <c r="G1667" s="515" t="s">
        <v>11525</v>
      </c>
      <c r="H1667" s="514"/>
      <c r="I1667" s="515"/>
      <c r="J1667" s="515"/>
    </row>
    <row r="1668" spans="1:10" ht="13.8" thickBot="1">
      <c r="A1668" s="517"/>
      <c r="B1668" s="518" t="s">
        <v>11657</v>
      </c>
      <c r="C1668" s="516"/>
      <c r="D1668" s="514" t="s">
        <v>11533</v>
      </c>
      <c r="E1668" s="515"/>
      <c r="F1668" s="514"/>
      <c r="G1668" s="515" t="s">
        <v>11525</v>
      </c>
      <c r="H1668" s="514"/>
      <c r="I1668" s="515"/>
      <c r="J1668" s="515"/>
    </row>
    <row r="1669" spans="1:10" ht="13.8" thickBot="1">
      <c r="A1669" s="517"/>
      <c r="B1669" s="518" t="s">
        <v>11656</v>
      </c>
      <c r="C1669" s="516"/>
      <c r="D1669" s="520" t="s">
        <v>11655</v>
      </c>
      <c r="E1669" s="521"/>
      <c r="F1669" s="514"/>
      <c r="G1669" s="515" t="s">
        <v>11525</v>
      </c>
      <c r="H1669" s="514"/>
      <c r="I1669" s="522"/>
      <c r="J1669" s="522"/>
    </row>
    <row r="1670" spans="1:10" ht="13.8" thickBot="1">
      <c r="A1670" s="517"/>
      <c r="B1670" s="518" t="s">
        <v>11654</v>
      </c>
      <c r="C1670" s="516"/>
      <c r="D1670" s="514" t="s">
        <v>11533</v>
      </c>
      <c r="E1670" s="515">
        <v>9</v>
      </c>
      <c r="F1670" s="514"/>
      <c r="G1670" s="515" t="s">
        <v>11525</v>
      </c>
      <c r="H1670" s="514"/>
      <c r="I1670" s="522"/>
      <c r="J1670" s="522"/>
    </row>
    <row r="1671" spans="1:10" ht="13.8" thickBot="1">
      <c r="A1671" s="517"/>
      <c r="B1671" s="518" t="s">
        <v>11653</v>
      </c>
      <c r="C1671" s="516"/>
      <c r="D1671" s="520" t="s">
        <v>11652</v>
      </c>
      <c r="E1671" s="521"/>
      <c r="F1671" s="514"/>
      <c r="G1671" s="515" t="s">
        <v>11525</v>
      </c>
      <c r="H1671" s="514"/>
      <c r="I1671" s="528"/>
      <c r="J1671" s="528"/>
    </row>
    <row r="1672" spans="1:10" ht="13.8" thickBot="1">
      <c r="A1672" s="517"/>
      <c r="B1672" s="518" t="s">
        <v>11651</v>
      </c>
      <c r="C1672" s="516"/>
      <c r="D1672" s="514" t="s">
        <v>11650</v>
      </c>
      <c r="E1672" s="515">
        <v>6</v>
      </c>
      <c r="F1672" s="514"/>
      <c r="G1672" s="515" t="s">
        <v>11525</v>
      </c>
      <c r="H1672" s="514"/>
      <c r="I1672" s="522"/>
      <c r="J1672" s="522">
        <v>1</v>
      </c>
    </row>
    <row r="1673" spans="1:10" ht="13.8" thickBot="1">
      <c r="A1673" s="517"/>
      <c r="B1673" s="518" t="s">
        <v>11649</v>
      </c>
      <c r="C1673" s="516"/>
      <c r="D1673" s="514" t="s">
        <v>11533</v>
      </c>
      <c r="E1673" s="515">
        <v>8</v>
      </c>
      <c r="F1673" s="514"/>
      <c r="G1673" s="515" t="s">
        <v>11525</v>
      </c>
      <c r="H1673" s="514"/>
      <c r="I1673" s="522"/>
      <c r="J1673" s="522"/>
    </row>
    <row r="1674" spans="1:10" ht="13.8" thickBot="1">
      <c r="A1674" s="517"/>
      <c r="B1674" s="518" t="s">
        <v>11648</v>
      </c>
      <c r="C1674" s="516"/>
      <c r="D1674" s="514" t="s">
        <v>11612</v>
      </c>
      <c r="E1674" s="515">
        <v>7</v>
      </c>
      <c r="F1674" s="514"/>
      <c r="G1674" s="515" t="s">
        <v>11525</v>
      </c>
      <c r="H1674" s="514"/>
      <c r="I1674" s="515"/>
      <c r="J1674" s="515"/>
    </row>
    <row r="1675" spans="1:10" ht="13.8" thickBot="1">
      <c r="A1675" s="517"/>
      <c r="B1675" s="518" t="s">
        <v>11647</v>
      </c>
      <c r="C1675" s="516"/>
      <c r="D1675" s="514" t="s">
        <v>11612</v>
      </c>
      <c r="E1675" s="515">
        <v>6</v>
      </c>
      <c r="F1675" s="514"/>
      <c r="G1675" s="515" t="s">
        <v>11525</v>
      </c>
      <c r="H1675" s="514"/>
      <c r="I1675" s="515"/>
      <c r="J1675" s="515"/>
    </row>
    <row r="1676" spans="1:10" ht="13.8" thickBot="1">
      <c r="A1676" s="517"/>
      <c r="B1676" s="518" t="s">
        <v>11646</v>
      </c>
      <c r="C1676" s="516"/>
      <c r="D1676" s="514" t="s">
        <v>11612</v>
      </c>
      <c r="E1676" s="515">
        <v>5</v>
      </c>
      <c r="F1676" s="514"/>
      <c r="G1676" s="515" t="s">
        <v>11525</v>
      </c>
      <c r="H1676" s="514"/>
      <c r="I1676" s="515"/>
      <c r="J1676" s="515"/>
    </row>
    <row r="1677" spans="1:10" ht="13.8" thickBot="1">
      <c r="A1677" s="517"/>
      <c r="B1677" s="518" t="s">
        <v>11645</v>
      </c>
      <c r="C1677" s="516"/>
      <c r="D1677" s="514" t="s">
        <v>11612</v>
      </c>
      <c r="E1677" s="515">
        <v>7.5</v>
      </c>
      <c r="F1677" s="514"/>
      <c r="G1677" s="515" t="s">
        <v>11525</v>
      </c>
      <c r="H1677" s="514"/>
      <c r="I1677" s="515"/>
      <c r="J1677" s="515"/>
    </row>
    <row r="1678" spans="1:10" ht="13.8" thickBot="1">
      <c r="A1678" s="517"/>
      <c r="B1678" s="518" t="s">
        <v>11644</v>
      </c>
      <c r="C1678" s="516"/>
      <c r="D1678" s="514" t="s">
        <v>11612</v>
      </c>
      <c r="E1678" s="515">
        <v>5.5</v>
      </c>
      <c r="F1678" s="514"/>
      <c r="G1678" s="515" t="s">
        <v>11525</v>
      </c>
      <c r="H1678" s="514"/>
      <c r="I1678" s="515"/>
      <c r="J1678" s="515"/>
    </row>
    <row r="1679" spans="1:10" ht="13.8" thickBot="1">
      <c r="A1679" s="517"/>
      <c r="B1679" s="518" t="s">
        <v>11643</v>
      </c>
      <c r="C1679" s="516"/>
      <c r="D1679" s="514" t="s">
        <v>11612</v>
      </c>
      <c r="E1679" s="515">
        <v>4</v>
      </c>
      <c r="F1679" s="514"/>
      <c r="G1679" s="515" t="s">
        <v>11525</v>
      </c>
      <c r="H1679" s="514"/>
      <c r="I1679" s="515"/>
      <c r="J1679" s="515"/>
    </row>
    <row r="1680" spans="1:10" ht="13.8" thickBot="1">
      <c r="A1680" s="517"/>
      <c r="B1680" s="518" t="s">
        <v>11642</v>
      </c>
      <c r="C1680" s="516"/>
      <c r="D1680" s="514" t="s">
        <v>11612</v>
      </c>
      <c r="E1680" s="515">
        <v>7</v>
      </c>
      <c r="F1680" s="514"/>
      <c r="G1680" s="515" t="s">
        <v>11525</v>
      </c>
      <c r="H1680" s="514"/>
      <c r="I1680" s="515"/>
      <c r="J1680" s="515"/>
    </row>
    <row r="1681" spans="1:10" ht="13.8" thickBot="1">
      <c r="A1681" s="517"/>
      <c r="B1681" s="518" t="s">
        <v>11641</v>
      </c>
      <c r="C1681" s="516"/>
      <c r="D1681" s="514" t="s">
        <v>11612</v>
      </c>
      <c r="E1681" s="515">
        <v>6</v>
      </c>
      <c r="F1681" s="514"/>
      <c r="G1681" s="515" t="s">
        <v>11525</v>
      </c>
      <c r="H1681" s="514"/>
      <c r="I1681" s="515"/>
      <c r="J1681" s="515"/>
    </row>
    <row r="1682" spans="1:10" ht="13.8" thickBot="1">
      <c r="A1682" s="517"/>
      <c r="B1682" s="518" t="s">
        <v>11640</v>
      </c>
      <c r="C1682" s="516"/>
      <c r="D1682" s="514" t="s">
        <v>11612</v>
      </c>
      <c r="E1682" s="515">
        <v>7</v>
      </c>
      <c r="F1682" s="514"/>
      <c r="G1682" s="515" t="s">
        <v>11525</v>
      </c>
      <c r="H1682" s="514"/>
      <c r="I1682" s="515"/>
      <c r="J1682" s="515"/>
    </row>
    <row r="1683" spans="1:10" ht="13.8" thickBot="1">
      <c r="A1683" s="517"/>
      <c r="B1683" s="518" t="s">
        <v>11639</v>
      </c>
      <c r="C1683" s="516"/>
      <c r="D1683" s="514" t="s">
        <v>11612</v>
      </c>
      <c r="E1683" s="515">
        <v>6</v>
      </c>
      <c r="F1683" s="514"/>
      <c r="G1683" s="515" t="s">
        <v>11525</v>
      </c>
      <c r="H1683" s="514"/>
      <c r="I1683" s="515"/>
      <c r="J1683" s="515"/>
    </row>
    <row r="1684" spans="1:10" ht="13.8" thickBot="1">
      <c r="A1684" s="517"/>
      <c r="B1684" s="518" t="s">
        <v>11638</v>
      </c>
      <c r="C1684" s="516"/>
      <c r="D1684" s="514" t="s">
        <v>11612</v>
      </c>
      <c r="E1684" s="515">
        <v>5</v>
      </c>
      <c r="F1684" s="514"/>
      <c r="G1684" s="515" t="s">
        <v>11525</v>
      </c>
      <c r="H1684" s="514"/>
      <c r="I1684" s="515"/>
      <c r="J1684" s="515"/>
    </row>
    <row r="1685" spans="1:10" ht="13.8" thickBot="1">
      <c r="A1685" s="517"/>
      <c r="B1685" s="518" t="s">
        <v>11637</v>
      </c>
      <c r="C1685" s="516"/>
      <c r="D1685" s="514" t="s">
        <v>11612</v>
      </c>
      <c r="E1685" s="515">
        <v>5</v>
      </c>
      <c r="F1685" s="514"/>
      <c r="G1685" s="515" t="s">
        <v>11525</v>
      </c>
      <c r="H1685" s="514"/>
      <c r="I1685" s="515"/>
      <c r="J1685" s="515"/>
    </row>
    <row r="1686" spans="1:10" ht="13.8" thickBot="1">
      <c r="A1686" s="517"/>
      <c r="B1686" s="518" t="s">
        <v>11636</v>
      </c>
      <c r="C1686" s="516"/>
      <c r="D1686" s="514" t="s">
        <v>11612</v>
      </c>
      <c r="E1686" s="515">
        <v>6.25</v>
      </c>
      <c r="F1686" s="514"/>
      <c r="G1686" s="515" t="s">
        <v>11525</v>
      </c>
      <c r="H1686" s="514"/>
      <c r="I1686" s="515"/>
      <c r="J1686" s="515"/>
    </row>
    <row r="1687" spans="1:10" ht="13.8" thickBot="1">
      <c r="A1687" s="517"/>
      <c r="B1687" s="518" t="s">
        <v>11635</v>
      </c>
      <c r="C1687" s="516"/>
      <c r="D1687" s="514" t="s">
        <v>11533</v>
      </c>
      <c r="E1687" s="515">
        <v>8</v>
      </c>
      <c r="F1687" s="514"/>
      <c r="G1687" s="515" t="s">
        <v>11525</v>
      </c>
      <c r="H1687" s="514"/>
      <c r="I1687" s="515"/>
      <c r="J1687" s="515"/>
    </row>
    <row r="1688" spans="1:10" ht="13.8" thickBot="1">
      <c r="A1688" s="517"/>
      <c r="B1688" s="518" t="s">
        <v>11634</v>
      </c>
      <c r="C1688" s="516"/>
      <c r="D1688" s="514" t="s">
        <v>11612</v>
      </c>
      <c r="E1688" s="515">
        <v>6</v>
      </c>
      <c r="F1688" s="514"/>
      <c r="G1688" s="515" t="s">
        <v>11525</v>
      </c>
      <c r="H1688" s="514"/>
      <c r="I1688" s="515"/>
      <c r="J1688" s="515"/>
    </row>
    <row r="1689" spans="1:10" ht="13.8" thickBot="1">
      <c r="A1689" s="517"/>
      <c r="B1689" s="518" t="s">
        <v>11633</v>
      </c>
      <c r="C1689" s="516"/>
      <c r="D1689" s="514" t="s">
        <v>11612</v>
      </c>
      <c r="E1689" s="515">
        <v>6</v>
      </c>
      <c r="F1689" s="514"/>
      <c r="G1689" s="515" t="s">
        <v>11525</v>
      </c>
      <c r="H1689" s="514"/>
      <c r="I1689" s="515"/>
      <c r="J1689" s="515"/>
    </row>
    <row r="1690" spans="1:10" ht="13.8" thickBot="1">
      <c r="A1690" s="517"/>
      <c r="B1690" s="518" t="s">
        <v>11632</v>
      </c>
      <c r="C1690" s="516"/>
      <c r="D1690" s="514" t="s">
        <v>11612</v>
      </c>
      <c r="E1690" s="515">
        <v>5.5</v>
      </c>
      <c r="F1690" s="514"/>
      <c r="G1690" s="515" t="s">
        <v>11525</v>
      </c>
      <c r="H1690" s="514"/>
      <c r="I1690" s="515"/>
      <c r="J1690" s="515"/>
    </row>
    <row r="1691" spans="1:10" ht="13.8" thickBot="1">
      <c r="A1691" s="517"/>
      <c r="B1691" s="518" t="s">
        <v>11631</v>
      </c>
      <c r="C1691" s="516"/>
      <c r="D1691" s="514" t="s">
        <v>11533</v>
      </c>
      <c r="E1691" s="515">
        <v>7.5</v>
      </c>
      <c r="F1691" s="514"/>
      <c r="G1691" s="515" t="s">
        <v>11525</v>
      </c>
      <c r="H1691" s="514"/>
      <c r="I1691" s="515"/>
      <c r="J1691" s="515"/>
    </row>
    <row r="1692" spans="1:10" ht="13.8" thickBot="1">
      <c r="A1692" s="517"/>
      <c r="B1692" s="518" t="s">
        <v>11630</v>
      </c>
      <c r="C1692" s="516"/>
      <c r="D1692" s="514" t="s">
        <v>11533</v>
      </c>
      <c r="E1692" s="515">
        <v>8</v>
      </c>
      <c r="F1692" s="514"/>
      <c r="G1692" s="515" t="s">
        <v>11525</v>
      </c>
      <c r="H1692" s="514"/>
      <c r="I1692" s="515"/>
      <c r="J1692" s="515"/>
    </row>
    <row r="1693" spans="1:10" ht="13.8" thickBot="1">
      <c r="A1693" s="517"/>
      <c r="B1693" s="518" t="s">
        <v>11629</v>
      </c>
      <c r="C1693" s="516"/>
      <c r="D1693" s="514" t="s">
        <v>11612</v>
      </c>
      <c r="E1693" s="515">
        <v>5</v>
      </c>
      <c r="F1693" s="514"/>
      <c r="G1693" s="515" t="s">
        <v>11525</v>
      </c>
      <c r="H1693" s="514"/>
      <c r="I1693" s="515"/>
      <c r="J1693" s="515"/>
    </row>
    <row r="1694" spans="1:10" ht="13.8" thickBot="1">
      <c r="A1694" s="517"/>
      <c r="B1694" s="518" t="s">
        <v>11628</v>
      </c>
      <c r="C1694" s="516"/>
      <c r="D1694" s="514" t="s">
        <v>11533</v>
      </c>
      <c r="E1694" s="515">
        <v>8</v>
      </c>
      <c r="F1694" s="514"/>
      <c r="G1694" s="515" t="s">
        <v>11525</v>
      </c>
      <c r="H1694" s="514"/>
      <c r="I1694" s="515"/>
      <c r="J1694" s="515"/>
    </row>
    <row r="1695" spans="1:10" ht="13.8" thickBot="1">
      <c r="A1695" s="517"/>
      <c r="B1695" s="518" t="s">
        <v>11627</v>
      </c>
      <c r="C1695" s="516"/>
      <c r="D1695" s="514" t="s">
        <v>11612</v>
      </c>
      <c r="E1695" s="515">
        <v>5.5</v>
      </c>
      <c r="F1695" s="514"/>
      <c r="G1695" s="515" t="s">
        <v>11525</v>
      </c>
      <c r="H1695" s="514"/>
      <c r="I1695" s="515"/>
      <c r="J1695" s="515"/>
    </row>
    <row r="1696" spans="1:10" ht="13.8" thickBot="1">
      <c r="A1696" s="517"/>
      <c r="B1696" s="518" t="s">
        <v>11626</v>
      </c>
      <c r="C1696" s="516"/>
      <c r="D1696" s="514" t="s">
        <v>11612</v>
      </c>
      <c r="E1696" s="515">
        <v>6</v>
      </c>
      <c r="F1696" s="514"/>
      <c r="G1696" s="515" t="s">
        <v>11525</v>
      </c>
      <c r="H1696" s="514"/>
      <c r="I1696" s="515"/>
      <c r="J1696" s="515"/>
    </row>
    <row r="1697" spans="1:10" ht="13.8" thickBot="1">
      <c r="A1697" s="517"/>
      <c r="B1697" s="518" t="s">
        <v>11625</v>
      </c>
      <c r="C1697" s="516"/>
      <c r="D1697" s="514" t="s">
        <v>11612</v>
      </c>
      <c r="E1697" s="515">
        <v>7</v>
      </c>
      <c r="F1697" s="514"/>
      <c r="G1697" s="515" t="s">
        <v>11525</v>
      </c>
      <c r="H1697" s="514"/>
      <c r="I1697" s="515"/>
      <c r="J1697" s="515"/>
    </row>
    <row r="1698" spans="1:10" ht="13.8" thickBot="1">
      <c r="A1698" s="517"/>
      <c r="B1698" s="518" t="s">
        <v>11624</v>
      </c>
      <c r="C1698" s="516"/>
      <c r="D1698" s="514" t="s">
        <v>11612</v>
      </c>
      <c r="E1698" s="515">
        <v>7.5</v>
      </c>
      <c r="F1698" s="514"/>
      <c r="G1698" s="515" t="s">
        <v>11525</v>
      </c>
      <c r="H1698" s="514"/>
      <c r="I1698" s="515"/>
      <c r="J1698" s="515"/>
    </row>
    <row r="1699" spans="1:10" ht="13.8" thickBot="1">
      <c r="A1699" s="517"/>
      <c r="B1699" s="518" t="s">
        <v>11623</v>
      </c>
      <c r="C1699" s="516"/>
      <c r="D1699" s="514" t="s">
        <v>11612</v>
      </c>
      <c r="E1699" s="515">
        <v>6</v>
      </c>
      <c r="F1699" s="514"/>
      <c r="G1699" s="515" t="s">
        <v>11525</v>
      </c>
      <c r="H1699" s="514"/>
      <c r="I1699" s="515"/>
      <c r="J1699" s="515"/>
    </row>
    <row r="1700" spans="1:10" ht="13.8" thickBot="1">
      <c r="A1700" s="517"/>
      <c r="B1700" s="518" t="s">
        <v>11622</v>
      </c>
      <c r="C1700" s="516"/>
      <c r="D1700" s="514" t="s">
        <v>11612</v>
      </c>
      <c r="E1700" s="515">
        <v>6</v>
      </c>
      <c r="F1700" s="514"/>
      <c r="G1700" s="515" t="s">
        <v>11525</v>
      </c>
      <c r="H1700" s="514"/>
      <c r="I1700" s="515"/>
      <c r="J1700" s="515"/>
    </row>
    <row r="1701" spans="1:10" ht="13.8" thickBot="1">
      <c r="A1701" s="517"/>
      <c r="B1701" s="518" t="s">
        <v>11621</v>
      </c>
      <c r="C1701" s="516"/>
      <c r="D1701" s="514" t="s">
        <v>11612</v>
      </c>
      <c r="E1701" s="515">
        <v>7</v>
      </c>
      <c r="F1701" s="514"/>
      <c r="G1701" s="515" t="s">
        <v>11525</v>
      </c>
      <c r="H1701" s="514"/>
      <c r="I1701" s="515"/>
      <c r="J1701" s="515"/>
    </row>
    <row r="1702" spans="1:10" ht="13.8" thickBot="1">
      <c r="A1702" s="517"/>
      <c r="B1702" s="518" t="s">
        <v>11620</v>
      </c>
      <c r="C1702" s="516"/>
      <c r="D1702" s="514" t="s">
        <v>11612</v>
      </c>
      <c r="E1702" s="515">
        <v>6</v>
      </c>
      <c r="F1702" s="514"/>
      <c r="G1702" s="515" t="s">
        <v>11525</v>
      </c>
      <c r="H1702" s="514"/>
      <c r="I1702" s="515"/>
      <c r="J1702" s="515"/>
    </row>
    <row r="1703" spans="1:10" ht="13.8" thickBot="1">
      <c r="A1703" s="517"/>
      <c r="B1703" s="518" t="s">
        <v>11619</v>
      </c>
      <c r="C1703" s="516"/>
      <c r="D1703" s="514" t="s">
        <v>11612</v>
      </c>
      <c r="E1703" s="515">
        <v>6.25</v>
      </c>
      <c r="F1703" s="514"/>
      <c r="G1703" s="515" t="s">
        <v>11525</v>
      </c>
      <c r="H1703" s="514"/>
      <c r="I1703" s="515"/>
      <c r="J1703" s="515"/>
    </row>
    <row r="1704" spans="1:10" ht="13.8" thickBot="1">
      <c r="A1704" s="517"/>
      <c r="B1704" s="518" t="s">
        <v>11618</v>
      </c>
      <c r="C1704" s="516"/>
      <c r="D1704" s="514" t="s">
        <v>11612</v>
      </c>
      <c r="E1704" s="515">
        <v>6.25</v>
      </c>
      <c r="F1704" s="514"/>
      <c r="G1704" s="515" t="s">
        <v>11525</v>
      </c>
      <c r="H1704" s="514"/>
      <c r="I1704" s="515"/>
      <c r="J1704" s="515"/>
    </row>
    <row r="1705" spans="1:10" ht="13.8" thickBot="1">
      <c r="A1705" s="517"/>
      <c r="B1705" s="518" t="s">
        <v>11617</v>
      </c>
      <c r="C1705" s="516"/>
      <c r="D1705" s="514" t="s">
        <v>11612</v>
      </c>
      <c r="E1705" s="515">
        <v>7.5</v>
      </c>
      <c r="F1705" s="514"/>
      <c r="G1705" s="515" t="s">
        <v>11525</v>
      </c>
      <c r="H1705" s="514"/>
      <c r="I1705" s="515"/>
      <c r="J1705" s="515"/>
    </row>
    <row r="1706" spans="1:10" ht="13.8" thickBot="1">
      <c r="A1706" s="517"/>
      <c r="B1706" s="518" t="s">
        <v>11616</v>
      </c>
      <c r="C1706" s="516"/>
      <c r="D1706" s="514" t="s">
        <v>11612</v>
      </c>
      <c r="E1706" s="515">
        <v>6.25</v>
      </c>
      <c r="F1706" s="514"/>
      <c r="G1706" s="515" t="s">
        <v>11525</v>
      </c>
      <c r="H1706" s="514"/>
      <c r="I1706" s="515"/>
      <c r="J1706" s="515"/>
    </row>
    <row r="1707" spans="1:10" ht="13.8" thickBot="1">
      <c r="A1707" s="517"/>
      <c r="B1707" s="518" t="s">
        <v>11615</v>
      </c>
      <c r="C1707" s="516"/>
      <c r="D1707" s="514" t="s">
        <v>11612</v>
      </c>
      <c r="E1707" s="515">
        <v>6.25</v>
      </c>
      <c r="F1707" s="514"/>
      <c r="G1707" s="515" t="s">
        <v>11525</v>
      </c>
      <c r="H1707" s="514"/>
      <c r="I1707" s="515"/>
      <c r="J1707" s="515"/>
    </row>
    <row r="1708" spans="1:10" ht="13.8" thickBot="1">
      <c r="A1708" s="517"/>
      <c r="B1708" s="518" t="s">
        <v>11614</v>
      </c>
      <c r="C1708" s="516"/>
      <c r="D1708" s="514" t="s">
        <v>11612</v>
      </c>
      <c r="E1708" s="515">
        <v>6</v>
      </c>
      <c r="F1708" s="514"/>
      <c r="G1708" s="515" t="s">
        <v>11525</v>
      </c>
      <c r="H1708" s="514"/>
      <c r="I1708" s="515"/>
      <c r="J1708" s="515"/>
    </row>
    <row r="1709" spans="1:10" ht="13.8" thickBot="1">
      <c r="A1709" s="517"/>
      <c r="B1709" s="518" t="s">
        <v>11613</v>
      </c>
      <c r="C1709" s="516"/>
      <c r="D1709" s="514" t="s">
        <v>11612</v>
      </c>
      <c r="E1709" s="515">
        <v>6.25</v>
      </c>
      <c r="F1709" s="514"/>
      <c r="G1709" s="515" t="s">
        <v>11525</v>
      </c>
      <c r="H1709" s="514"/>
      <c r="I1709" s="515"/>
      <c r="J1709" s="515"/>
    </row>
    <row r="1710" spans="1:10" ht="13.8" thickBot="1">
      <c r="A1710" s="517"/>
      <c r="B1710" s="518" t="s">
        <v>11611</v>
      </c>
      <c r="C1710" s="516"/>
      <c r="D1710" s="514" t="s">
        <v>11533</v>
      </c>
      <c r="E1710" s="515">
        <v>2</v>
      </c>
      <c r="F1710" s="518" t="s">
        <v>11609</v>
      </c>
      <c r="G1710" s="515" t="s">
        <v>11525</v>
      </c>
      <c r="H1710" s="514"/>
      <c r="I1710" s="515"/>
      <c r="J1710" s="515"/>
    </row>
    <row r="1711" spans="1:10" ht="13.8" thickBot="1">
      <c r="A1711" s="517"/>
      <c r="B1711" s="518" t="s">
        <v>11610</v>
      </c>
      <c r="C1711" s="516"/>
      <c r="D1711" s="514" t="s">
        <v>11533</v>
      </c>
      <c r="E1711" s="515">
        <v>5</v>
      </c>
      <c r="F1711" s="518" t="s">
        <v>11609</v>
      </c>
      <c r="G1711" s="515" t="s">
        <v>11525</v>
      </c>
      <c r="H1711" s="514"/>
      <c r="I1711" s="515"/>
      <c r="J1711" s="515"/>
    </row>
    <row r="1712" spans="1:10" ht="13.8" thickBot="1">
      <c r="A1712" s="517"/>
      <c r="B1712" s="518" t="s">
        <v>11608</v>
      </c>
      <c r="C1712" s="516"/>
      <c r="D1712" s="514" t="s">
        <v>11533</v>
      </c>
      <c r="E1712" s="515">
        <v>5.5</v>
      </c>
      <c r="F1712" s="514"/>
      <c r="G1712" s="515" t="s">
        <v>11525</v>
      </c>
      <c r="H1712" s="514"/>
      <c r="I1712" s="515"/>
      <c r="J1712" s="515"/>
    </row>
    <row r="1713" spans="1:10" ht="13.8" thickBot="1">
      <c r="A1713" s="517"/>
      <c r="B1713" s="518" t="s">
        <v>11607</v>
      </c>
      <c r="C1713" s="516"/>
      <c r="D1713" s="514" t="s">
        <v>11533</v>
      </c>
      <c r="E1713" s="515"/>
      <c r="F1713" s="514"/>
      <c r="G1713" s="515" t="s">
        <v>11525</v>
      </c>
      <c r="H1713" s="514"/>
      <c r="I1713" s="515"/>
      <c r="J1713" s="515">
        <v>1</v>
      </c>
    </row>
    <row r="1714" spans="1:10" ht="13.8" thickBot="1">
      <c r="A1714" s="517"/>
      <c r="B1714" s="518" t="s">
        <v>11606</v>
      </c>
      <c r="C1714" s="516"/>
      <c r="D1714" s="514" t="s">
        <v>11533</v>
      </c>
      <c r="E1714" s="515"/>
      <c r="F1714" s="514"/>
      <c r="G1714" s="515" t="s">
        <v>11525</v>
      </c>
      <c r="H1714" s="514"/>
      <c r="I1714" s="515"/>
      <c r="J1714" s="515"/>
    </row>
    <row r="1715" spans="1:10" ht="13.8" thickBot="1">
      <c r="A1715" s="517"/>
      <c r="B1715" s="518" t="s">
        <v>11605</v>
      </c>
      <c r="C1715" s="516"/>
      <c r="D1715" s="514" t="s">
        <v>11533</v>
      </c>
      <c r="E1715" s="515"/>
      <c r="F1715" s="514"/>
      <c r="G1715" s="515" t="s">
        <v>11525</v>
      </c>
      <c r="H1715" s="514"/>
      <c r="I1715" s="515"/>
      <c r="J1715" s="515"/>
    </row>
    <row r="1716" spans="1:10" ht="13.8" thickBot="1">
      <c r="A1716" s="517"/>
      <c r="B1716" s="518" t="s">
        <v>11604</v>
      </c>
      <c r="C1716" s="516"/>
      <c r="D1716" s="514" t="s">
        <v>11533</v>
      </c>
      <c r="E1716" s="515"/>
      <c r="F1716" s="514"/>
      <c r="G1716" s="515" t="s">
        <v>11525</v>
      </c>
      <c r="H1716" s="514"/>
      <c r="I1716" s="515"/>
      <c r="J1716" s="515"/>
    </row>
    <row r="1717" spans="1:10" ht="13.8" thickBot="1">
      <c r="A1717" s="517"/>
      <c r="B1717" s="518" t="s">
        <v>11603</v>
      </c>
      <c r="C1717" s="516"/>
      <c r="D1717" s="514" t="s">
        <v>11533</v>
      </c>
      <c r="E1717" s="515"/>
      <c r="F1717" s="514"/>
      <c r="G1717" s="515" t="s">
        <v>11525</v>
      </c>
      <c r="H1717" s="514"/>
      <c r="I1717" s="515"/>
      <c r="J1717" s="515"/>
    </row>
    <row r="1718" spans="1:10" ht="13.8" thickBot="1">
      <c r="A1718" s="517"/>
      <c r="B1718" s="518" t="s">
        <v>11602</v>
      </c>
      <c r="C1718" s="516"/>
      <c r="D1718" s="514" t="s">
        <v>11533</v>
      </c>
      <c r="E1718" s="515">
        <v>5</v>
      </c>
      <c r="F1718" s="518" t="s">
        <v>1854</v>
      </c>
      <c r="G1718" s="515" t="s">
        <v>11525</v>
      </c>
      <c r="H1718" s="514"/>
      <c r="I1718" s="515"/>
      <c r="J1718" s="515">
        <v>1</v>
      </c>
    </row>
    <row r="1719" spans="1:10" ht="13.8" thickBot="1">
      <c r="A1719" s="517"/>
      <c r="B1719" s="518" t="s">
        <v>11601</v>
      </c>
      <c r="C1719" s="516"/>
      <c r="D1719" s="514" t="s">
        <v>11600</v>
      </c>
      <c r="E1719" s="515">
        <v>8</v>
      </c>
      <c r="F1719" s="514"/>
      <c r="G1719" s="515" t="s">
        <v>11525</v>
      </c>
      <c r="H1719" s="514"/>
      <c r="I1719" s="515"/>
      <c r="J1719" s="515"/>
    </row>
    <row r="1720" spans="1:10" ht="13.8" thickBot="1">
      <c r="A1720" s="517"/>
      <c r="B1720" s="518" t="s">
        <v>11599</v>
      </c>
      <c r="C1720" s="516"/>
      <c r="D1720" s="514" t="s">
        <v>11533</v>
      </c>
      <c r="E1720" s="515"/>
      <c r="F1720" s="514"/>
      <c r="G1720" s="515" t="s">
        <v>11525</v>
      </c>
      <c r="H1720" s="514"/>
      <c r="I1720" s="515"/>
      <c r="J1720" s="515"/>
    </row>
    <row r="1721" spans="1:10" ht="13.8" thickBot="1">
      <c r="A1721" s="517"/>
      <c r="B1721" s="518" t="s">
        <v>11598</v>
      </c>
      <c r="C1721" s="516"/>
      <c r="D1721" s="514" t="s">
        <v>11533</v>
      </c>
      <c r="E1721" s="515"/>
      <c r="F1721" s="514"/>
      <c r="G1721" s="515" t="s">
        <v>11525</v>
      </c>
      <c r="H1721" s="514"/>
      <c r="I1721" s="515"/>
      <c r="J1721" s="515"/>
    </row>
    <row r="1722" spans="1:10" ht="13.8" thickBot="1">
      <c r="A1722" s="517"/>
      <c r="B1722" s="518" t="s">
        <v>11597</v>
      </c>
      <c r="C1722" s="516"/>
      <c r="D1722" s="514" t="s">
        <v>11533</v>
      </c>
      <c r="E1722" s="515"/>
      <c r="F1722" s="514"/>
      <c r="G1722" s="515" t="s">
        <v>11525</v>
      </c>
      <c r="H1722" s="514"/>
      <c r="I1722" s="515"/>
      <c r="J1722" s="515"/>
    </row>
    <row r="1723" spans="1:10" ht="13.8" thickBot="1">
      <c r="A1723" s="517"/>
      <c r="B1723" s="518" t="s">
        <v>11596</v>
      </c>
      <c r="C1723" s="516"/>
      <c r="D1723" s="514" t="s">
        <v>11533</v>
      </c>
      <c r="E1723" s="515"/>
      <c r="F1723" s="514"/>
      <c r="G1723" s="515" t="s">
        <v>11525</v>
      </c>
      <c r="H1723" s="514"/>
      <c r="I1723" s="515"/>
      <c r="J1723" s="515"/>
    </row>
    <row r="1724" spans="1:10" ht="13.8" thickBot="1">
      <c r="A1724" s="517"/>
      <c r="B1724" s="518" t="s">
        <v>11595</v>
      </c>
      <c r="C1724" s="516"/>
      <c r="D1724" s="514" t="s">
        <v>11533</v>
      </c>
      <c r="E1724" s="515"/>
      <c r="F1724" s="514"/>
      <c r="G1724" s="515" t="s">
        <v>11525</v>
      </c>
      <c r="H1724" s="514"/>
      <c r="I1724" s="515"/>
      <c r="J1724" s="515"/>
    </row>
    <row r="1725" spans="1:10" ht="13.8" thickBot="1">
      <c r="A1725" s="517"/>
      <c r="B1725" s="518" t="s">
        <v>11594</v>
      </c>
      <c r="C1725" s="516"/>
      <c r="D1725" s="514" t="s">
        <v>11533</v>
      </c>
      <c r="E1725" s="515"/>
      <c r="F1725" s="514"/>
      <c r="G1725" s="515" t="s">
        <v>11525</v>
      </c>
      <c r="H1725" s="514"/>
      <c r="I1725" s="515"/>
      <c r="J1725" s="515"/>
    </row>
    <row r="1726" spans="1:10" ht="13.8" thickBot="1">
      <c r="A1726" s="517"/>
      <c r="B1726" s="518" t="s">
        <v>11593</v>
      </c>
      <c r="C1726" s="516"/>
      <c r="D1726" s="514" t="s">
        <v>11533</v>
      </c>
      <c r="E1726" s="515"/>
      <c r="F1726" s="514"/>
      <c r="G1726" s="515" t="s">
        <v>11525</v>
      </c>
      <c r="H1726" s="514"/>
      <c r="I1726" s="515"/>
      <c r="J1726" s="515"/>
    </row>
    <row r="1727" spans="1:10" ht="13.8" thickBot="1">
      <c r="A1727" s="517"/>
      <c r="B1727" s="518" t="s">
        <v>11592</v>
      </c>
      <c r="C1727" s="516"/>
      <c r="D1727" s="514" t="s">
        <v>11533</v>
      </c>
      <c r="E1727" s="515"/>
      <c r="F1727" s="514"/>
      <c r="G1727" s="515" t="s">
        <v>11525</v>
      </c>
      <c r="H1727" s="514"/>
      <c r="I1727" s="515"/>
      <c r="J1727" s="515"/>
    </row>
    <row r="1728" spans="1:10" ht="13.8" thickBot="1">
      <c r="A1728" s="517"/>
      <c r="B1728" s="518" t="s">
        <v>11591</v>
      </c>
      <c r="C1728" s="516"/>
      <c r="D1728" s="514" t="s">
        <v>11533</v>
      </c>
      <c r="E1728" s="515"/>
      <c r="F1728" s="514"/>
      <c r="G1728" s="515" t="s">
        <v>11525</v>
      </c>
      <c r="H1728" s="514"/>
      <c r="I1728" s="515"/>
      <c r="J1728" s="515"/>
    </row>
    <row r="1729" spans="1:10" ht="13.8" thickBot="1">
      <c r="A1729" s="517"/>
      <c r="B1729" s="518" t="s">
        <v>11590</v>
      </c>
      <c r="C1729" s="516"/>
      <c r="D1729" s="514" t="s">
        <v>11533</v>
      </c>
      <c r="E1729" s="515"/>
      <c r="F1729" s="514"/>
      <c r="G1729" s="515" t="s">
        <v>11525</v>
      </c>
      <c r="H1729" s="514"/>
      <c r="I1729" s="515"/>
      <c r="J1729" s="515"/>
    </row>
    <row r="1730" spans="1:10" ht="13.8" thickBot="1">
      <c r="A1730" s="517"/>
      <c r="B1730" s="518" t="s">
        <v>11589</v>
      </c>
      <c r="C1730" s="516"/>
      <c r="D1730" s="514" t="s">
        <v>11533</v>
      </c>
      <c r="E1730" s="515"/>
      <c r="F1730" s="514"/>
      <c r="G1730" s="515" t="s">
        <v>11525</v>
      </c>
      <c r="H1730" s="514"/>
      <c r="I1730" s="515"/>
      <c r="J1730" s="515"/>
    </row>
    <row r="1731" spans="1:10" ht="13.8" thickBot="1">
      <c r="A1731" s="517"/>
      <c r="B1731" s="518" t="s">
        <v>11588</v>
      </c>
      <c r="C1731" s="516"/>
      <c r="D1731" s="514" t="s">
        <v>11533</v>
      </c>
      <c r="E1731" s="515"/>
      <c r="F1731" s="514"/>
      <c r="G1731" s="515" t="s">
        <v>11525</v>
      </c>
      <c r="H1731" s="514"/>
      <c r="I1731" s="515"/>
      <c r="J1731" s="515"/>
    </row>
    <row r="1732" spans="1:10" ht="13.8" thickBot="1">
      <c r="A1732" s="517"/>
      <c r="B1732" s="518" t="s">
        <v>11587</v>
      </c>
      <c r="C1732" s="516"/>
      <c r="D1732" s="514" t="s">
        <v>11533</v>
      </c>
      <c r="E1732" s="515"/>
      <c r="F1732" s="514"/>
      <c r="G1732" s="515" t="s">
        <v>11525</v>
      </c>
      <c r="H1732" s="514"/>
      <c r="I1732" s="515"/>
      <c r="J1732" s="515"/>
    </row>
    <row r="1733" spans="1:10" ht="13.8" thickBot="1">
      <c r="A1733" s="517"/>
      <c r="B1733" s="518" t="s">
        <v>11586</v>
      </c>
      <c r="C1733" s="516"/>
      <c r="D1733" s="514" t="s">
        <v>11533</v>
      </c>
      <c r="E1733" s="515"/>
      <c r="F1733" s="514"/>
      <c r="G1733" s="515" t="s">
        <v>11525</v>
      </c>
      <c r="H1733" s="514"/>
      <c r="I1733" s="515"/>
      <c r="J1733" s="515"/>
    </row>
    <row r="1734" spans="1:10" ht="13.8" thickBot="1">
      <c r="A1734" s="517"/>
      <c r="B1734" s="518" t="s">
        <v>11585</v>
      </c>
      <c r="C1734" s="516"/>
      <c r="D1734" s="514" t="s">
        <v>11533</v>
      </c>
      <c r="E1734" s="515"/>
      <c r="F1734" s="514"/>
      <c r="G1734" s="515" t="s">
        <v>11525</v>
      </c>
      <c r="H1734" s="514"/>
      <c r="I1734" s="515"/>
      <c r="J1734" s="515"/>
    </row>
    <row r="1735" spans="1:10" ht="13.8" thickBot="1">
      <c r="A1735" s="517"/>
      <c r="B1735" s="518" t="s">
        <v>11584</v>
      </c>
      <c r="C1735" s="516"/>
      <c r="D1735" s="514" t="s">
        <v>11533</v>
      </c>
      <c r="E1735" s="515"/>
      <c r="F1735" s="514"/>
      <c r="G1735" s="515" t="s">
        <v>11525</v>
      </c>
      <c r="H1735" s="514"/>
      <c r="I1735" s="515"/>
      <c r="J1735" s="515"/>
    </row>
    <row r="1736" spans="1:10" ht="13.8" thickBot="1">
      <c r="A1736" s="517"/>
      <c r="B1736" s="518" t="s">
        <v>11583</v>
      </c>
      <c r="C1736" s="516"/>
      <c r="D1736" s="514" t="s">
        <v>11533</v>
      </c>
      <c r="E1736" s="515"/>
      <c r="F1736" s="514"/>
      <c r="G1736" s="515" t="s">
        <v>11525</v>
      </c>
      <c r="H1736" s="514"/>
      <c r="I1736" s="515"/>
      <c r="J1736" s="515"/>
    </row>
    <row r="1737" spans="1:10" ht="13.8" thickBot="1">
      <c r="A1737" s="517"/>
      <c r="B1737" s="518" t="s">
        <v>11582</v>
      </c>
      <c r="C1737" s="516"/>
      <c r="D1737" s="514" t="s">
        <v>11533</v>
      </c>
      <c r="E1737" s="515"/>
      <c r="F1737" s="514"/>
      <c r="G1737" s="515" t="s">
        <v>11525</v>
      </c>
      <c r="H1737" s="514"/>
      <c r="I1737" s="515"/>
      <c r="J1737" s="515"/>
    </row>
    <row r="1738" spans="1:10" ht="13.8" thickBot="1">
      <c r="A1738" s="517"/>
      <c r="B1738" s="518" t="s">
        <v>11581</v>
      </c>
      <c r="C1738" s="516"/>
      <c r="D1738" s="514" t="s">
        <v>11533</v>
      </c>
      <c r="E1738" s="515"/>
      <c r="F1738" s="514"/>
      <c r="G1738" s="515" t="s">
        <v>11525</v>
      </c>
      <c r="H1738" s="514"/>
      <c r="I1738" s="515"/>
      <c r="J1738" s="515"/>
    </row>
    <row r="1739" spans="1:10" ht="13.8" thickBot="1">
      <c r="A1739" s="517"/>
      <c r="B1739" s="518" t="s">
        <v>11580</v>
      </c>
      <c r="C1739" s="516"/>
      <c r="D1739" s="514" t="s">
        <v>11533</v>
      </c>
      <c r="E1739" s="515"/>
      <c r="F1739" s="514"/>
      <c r="G1739" s="515" t="s">
        <v>11525</v>
      </c>
      <c r="H1739" s="514"/>
      <c r="I1739" s="515"/>
      <c r="J1739" s="515"/>
    </row>
    <row r="1740" spans="1:10" ht="13.8" thickBot="1">
      <c r="A1740" s="517"/>
      <c r="B1740" s="518" t="s">
        <v>11579</v>
      </c>
      <c r="C1740" s="516"/>
      <c r="D1740" s="514" t="s">
        <v>11533</v>
      </c>
      <c r="E1740" s="515"/>
      <c r="F1740" s="514"/>
      <c r="G1740" s="515" t="s">
        <v>11525</v>
      </c>
      <c r="H1740" s="514"/>
      <c r="I1740" s="515"/>
      <c r="J1740" s="515"/>
    </row>
    <row r="1741" spans="1:10" ht="13.8" thickBot="1">
      <c r="A1741" s="517"/>
      <c r="B1741" s="518" t="s">
        <v>11578</v>
      </c>
      <c r="C1741" s="516"/>
      <c r="D1741" s="514" t="s">
        <v>11577</v>
      </c>
      <c r="E1741" s="515">
        <v>7</v>
      </c>
      <c r="F1741" s="518" t="s">
        <v>1854</v>
      </c>
      <c r="G1741" s="515" t="s">
        <v>11525</v>
      </c>
      <c r="H1741" s="514"/>
      <c r="I1741" s="515">
        <v>1</v>
      </c>
      <c r="J1741" s="515">
        <v>1</v>
      </c>
    </row>
    <row r="1742" spans="1:10" ht="13.8" thickBot="1">
      <c r="A1742" s="517"/>
      <c r="B1742" s="518" t="s">
        <v>11576</v>
      </c>
      <c r="C1742" s="516"/>
      <c r="D1742" s="514" t="s">
        <v>11533</v>
      </c>
      <c r="E1742" s="515">
        <v>5.5</v>
      </c>
      <c r="F1742" s="518" t="s">
        <v>1854</v>
      </c>
      <c r="G1742" s="515" t="s">
        <v>11525</v>
      </c>
      <c r="H1742" s="514"/>
      <c r="I1742" s="515"/>
      <c r="J1742" s="515">
        <v>2</v>
      </c>
    </row>
    <row r="1743" spans="1:10" ht="13.8" thickBot="1">
      <c r="A1743" s="517"/>
      <c r="B1743" s="518" t="s">
        <v>11575</v>
      </c>
      <c r="C1743" s="516"/>
      <c r="D1743" s="514" t="s">
        <v>11533</v>
      </c>
      <c r="E1743" s="515"/>
      <c r="F1743" s="518" t="s">
        <v>1854</v>
      </c>
      <c r="G1743" s="515" t="s">
        <v>11525</v>
      </c>
      <c r="H1743" s="514"/>
      <c r="I1743" s="515"/>
      <c r="J1743" s="515"/>
    </row>
    <row r="1744" spans="1:10" ht="13.8" thickBot="1">
      <c r="A1744" s="517"/>
      <c r="B1744" s="518" t="s">
        <v>11574</v>
      </c>
      <c r="C1744" s="516"/>
      <c r="D1744" s="514" t="s">
        <v>11533</v>
      </c>
      <c r="E1744" s="515">
        <v>3</v>
      </c>
      <c r="F1744" s="518" t="s">
        <v>1854</v>
      </c>
      <c r="G1744" s="515" t="s">
        <v>11525</v>
      </c>
      <c r="H1744" s="514"/>
      <c r="I1744" s="515"/>
      <c r="J1744" s="515"/>
    </row>
    <row r="1745" spans="1:10" ht="13.8" thickBot="1">
      <c r="A1745" s="517"/>
      <c r="B1745" s="518" t="s">
        <v>11573</v>
      </c>
      <c r="C1745" s="516"/>
      <c r="D1745" s="514" t="s">
        <v>11533</v>
      </c>
      <c r="E1745" s="515">
        <v>4</v>
      </c>
      <c r="F1745" s="518" t="s">
        <v>1854</v>
      </c>
      <c r="G1745" s="515" t="s">
        <v>11525</v>
      </c>
      <c r="H1745" s="514"/>
      <c r="I1745" s="515"/>
      <c r="J1745" s="515"/>
    </row>
    <row r="1746" spans="1:10" ht="13.8" thickBot="1">
      <c r="A1746" s="517"/>
      <c r="B1746" s="518" t="s">
        <v>11572</v>
      </c>
      <c r="C1746" s="516"/>
      <c r="D1746" s="514" t="s">
        <v>11533</v>
      </c>
      <c r="E1746" s="515">
        <v>5</v>
      </c>
      <c r="F1746" s="518" t="s">
        <v>1854</v>
      </c>
      <c r="G1746" s="515" t="s">
        <v>11525</v>
      </c>
      <c r="H1746" s="514"/>
      <c r="I1746" s="515"/>
      <c r="J1746" s="515"/>
    </row>
    <row r="1747" spans="1:10" ht="13.8" thickBot="1">
      <c r="A1747" s="517"/>
      <c r="B1747" s="518" t="s">
        <v>11571</v>
      </c>
      <c r="C1747" s="516"/>
      <c r="D1747" s="514" t="s">
        <v>11570</v>
      </c>
      <c r="E1747" s="515"/>
      <c r="F1747" s="518" t="s">
        <v>1854</v>
      </c>
      <c r="G1747" s="515" t="s">
        <v>11525</v>
      </c>
      <c r="H1747" s="514"/>
      <c r="I1747" s="515"/>
      <c r="J1747" s="515"/>
    </row>
    <row r="1748" spans="1:10" ht="13.8" thickBot="1">
      <c r="A1748" s="517"/>
      <c r="B1748" s="518" t="s">
        <v>11569</v>
      </c>
      <c r="C1748" s="516"/>
      <c r="D1748" s="514" t="s">
        <v>11568</v>
      </c>
      <c r="E1748" s="515">
        <v>6.5</v>
      </c>
      <c r="F1748" s="514"/>
      <c r="G1748" s="515" t="s">
        <v>11525</v>
      </c>
      <c r="H1748" s="514"/>
      <c r="I1748" s="515"/>
      <c r="J1748" s="515"/>
    </row>
    <row r="1749" spans="1:10" ht="13.8" thickBot="1">
      <c r="A1749" s="517"/>
      <c r="B1749" s="518" t="s">
        <v>11567</v>
      </c>
      <c r="C1749" s="516"/>
      <c r="D1749" s="514" t="s">
        <v>11566</v>
      </c>
      <c r="E1749" s="515">
        <v>6.25</v>
      </c>
      <c r="F1749" s="514"/>
      <c r="G1749" s="515" t="s">
        <v>11525</v>
      </c>
      <c r="H1749" s="514"/>
      <c r="I1749" s="515"/>
      <c r="J1749" s="515">
        <v>1</v>
      </c>
    </row>
    <row r="1750" spans="1:10" ht="13.8" thickBot="1">
      <c r="A1750" s="517"/>
      <c r="B1750" s="518" t="s">
        <v>11565</v>
      </c>
      <c r="C1750" s="516"/>
      <c r="D1750" s="514" t="s">
        <v>11533</v>
      </c>
      <c r="E1750" s="515">
        <v>6</v>
      </c>
      <c r="F1750" s="514"/>
      <c r="G1750" s="515" t="s">
        <v>11525</v>
      </c>
      <c r="H1750" s="514"/>
      <c r="I1750" s="515"/>
      <c r="J1750" s="515"/>
    </row>
    <row r="1751" spans="1:10" ht="13.8" thickBot="1">
      <c r="A1751" s="517"/>
      <c r="B1751" s="518" t="s">
        <v>11564</v>
      </c>
      <c r="C1751" s="516"/>
      <c r="D1751" s="514" t="s">
        <v>11533</v>
      </c>
      <c r="E1751" s="515">
        <v>6.75</v>
      </c>
      <c r="F1751" s="514"/>
      <c r="G1751" s="515" t="s">
        <v>11525</v>
      </c>
      <c r="H1751" s="514"/>
      <c r="I1751" s="515"/>
      <c r="J1751" s="515"/>
    </row>
    <row r="1752" spans="1:10" ht="13.8" thickBot="1">
      <c r="A1752" s="517"/>
      <c r="B1752" s="518" t="s">
        <v>11563</v>
      </c>
      <c r="C1752" s="516"/>
      <c r="D1752" s="514" t="s">
        <v>11533</v>
      </c>
      <c r="E1752" s="515">
        <v>5.5</v>
      </c>
      <c r="F1752" s="518" t="s">
        <v>1854</v>
      </c>
      <c r="G1752" s="515" t="s">
        <v>11525</v>
      </c>
      <c r="H1752" s="514"/>
      <c r="I1752" s="515"/>
      <c r="J1752" s="515"/>
    </row>
    <row r="1753" spans="1:10" ht="13.8" thickBot="1">
      <c r="A1753" s="517"/>
      <c r="B1753" s="518" t="s">
        <v>11562</v>
      </c>
      <c r="C1753" s="516"/>
      <c r="D1753" s="514" t="s">
        <v>11533</v>
      </c>
      <c r="E1753" s="515"/>
      <c r="F1753" s="514"/>
      <c r="G1753" s="515" t="s">
        <v>11525</v>
      </c>
      <c r="H1753" s="514"/>
      <c r="I1753" s="515"/>
      <c r="J1753" s="515"/>
    </row>
    <row r="1754" spans="1:10" ht="13.8" thickBot="1">
      <c r="A1754" s="517"/>
      <c r="B1754" s="518" t="s">
        <v>11561</v>
      </c>
      <c r="C1754" s="516"/>
      <c r="D1754" s="514" t="s">
        <v>11560</v>
      </c>
      <c r="E1754" s="515">
        <v>7.5</v>
      </c>
      <c r="F1754" s="518" t="s">
        <v>1854</v>
      </c>
      <c r="G1754" s="515" t="s">
        <v>11525</v>
      </c>
      <c r="H1754" s="514"/>
      <c r="I1754" s="515"/>
      <c r="J1754" s="515"/>
    </row>
    <row r="1755" spans="1:10" ht="13.8" thickBot="1">
      <c r="A1755" s="517"/>
      <c r="B1755" s="518" t="s">
        <v>11559</v>
      </c>
      <c r="C1755" s="516"/>
      <c r="D1755" s="514" t="s">
        <v>11533</v>
      </c>
      <c r="E1755" s="515"/>
      <c r="F1755" s="514"/>
      <c r="G1755" s="515" t="s">
        <v>11525</v>
      </c>
      <c r="H1755" s="514"/>
      <c r="I1755" s="515"/>
      <c r="J1755" s="515"/>
    </row>
    <row r="1756" spans="1:10" ht="13.8" thickBot="1">
      <c r="A1756" s="517"/>
      <c r="B1756" s="518" t="s">
        <v>11558</v>
      </c>
      <c r="C1756" s="516"/>
      <c r="D1756" s="514" t="s">
        <v>11533</v>
      </c>
      <c r="E1756" s="515"/>
      <c r="F1756" s="514"/>
      <c r="G1756" s="515" t="s">
        <v>11525</v>
      </c>
      <c r="H1756" s="514"/>
      <c r="I1756" s="515"/>
      <c r="J1756" s="515"/>
    </row>
    <row r="1757" spans="1:10" ht="13.8" thickBot="1">
      <c r="A1757" s="517"/>
      <c r="B1757" s="518" t="s">
        <v>11557</v>
      </c>
      <c r="C1757" s="516"/>
      <c r="D1757" s="514" t="s">
        <v>11533</v>
      </c>
      <c r="E1757" s="515"/>
      <c r="F1757" s="514"/>
      <c r="G1757" s="515" t="s">
        <v>11525</v>
      </c>
      <c r="H1757" s="514"/>
      <c r="I1757" s="515"/>
      <c r="J1757" s="515"/>
    </row>
    <row r="1758" spans="1:10" ht="13.8" thickBot="1">
      <c r="A1758" s="517"/>
      <c r="B1758" s="518" t="s">
        <v>11556</v>
      </c>
      <c r="C1758" s="516"/>
      <c r="D1758" s="514" t="s">
        <v>11533</v>
      </c>
      <c r="E1758" s="515"/>
      <c r="F1758" s="514"/>
      <c r="G1758" s="515" t="s">
        <v>11525</v>
      </c>
      <c r="H1758" s="514"/>
      <c r="I1758" s="515"/>
      <c r="J1758" s="515"/>
    </row>
    <row r="1759" spans="1:10" ht="13.8" thickBot="1">
      <c r="A1759" s="517"/>
      <c r="B1759" s="518" t="s">
        <v>11555</v>
      </c>
      <c r="C1759" s="516"/>
      <c r="D1759" s="514" t="s">
        <v>11533</v>
      </c>
      <c r="E1759" s="515"/>
      <c r="F1759" s="514"/>
      <c r="G1759" s="515" t="s">
        <v>11525</v>
      </c>
      <c r="H1759" s="514"/>
      <c r="I1759" s="515"/>
      <c r="J1759" s="515"/>
    </row>
    <row r="1760" spans="1:10" ht="13.8" thickBot="1">
      <c r="A1760" s="517"/>
      <c r="B1760" s="518" t="s">
        <v>11554</v>
      </c>
      <c r="C1760" s="516"/>
      <c r="D1760" s="514" t="s">
        <v>11533</v>
      </c>
      <c r="E1760" s="515"/>
      <c r="F1760" s="514"/>
      <c r="G1760" s="515" t="s">
        <v>11525</v>
      </c>
      <c r="H1760" s="514"/>
      <c r="I1760" s="515"/>
      <c r="J1760" s="515"/>
    </row>
    <row r="1761" spans="1:10" ht="13.8" thickBot="1">
      <c r="A1761" s="517"/>
      <c r="B1761" s="518" t="s">
        <v>11553</v>
      </c>
      <c r="C1761" s="516"/>
      <c r="D1761" s="514" t="s">
        <v>11533</v>
      </c>
      <c r="E1761" s="515"/>
      <c r="F1761" s="514"/>
      <c r="G1761" s="515" t="s">
        <v>11525</v>
      </c>
      <c r="H1761" s="514"/>
      <c r="I1761" s="515"/>
      <c r="J1761" s="515"/>
    </row>
    <row r="1762" spans="1:10" ht="13.8" thickBot="1">
      <c r="A1762" s="517"/>
      <c r="B1762" s="518" t="s">
        <v>11552</v>
      </c>
      <c r="C1762" s="516"/>
      <c r="D1762" s="514" t="s">
        <v>11533</v>
      </c>
      <c r="E1762" s="515"/>
      <c r="F1762" s="514"/>
      <c r="G1762" s="515" t="s">
        <v>11525</v>
      </c>
      <c r="H1762" s="514"/>
      <c r="I1762" s="515"/>
      <c r="J1762" s="515"/>
    </row>
    <row r="1763" spans="1:10" ht="13.8" thickBot="1">
      <c r="A1763" s="517"/>
      <c r="B1763" s="518" t="s">
        <v>11551</v>
      </c>
      <c r="C1763" s="516"/>
      <c r="D1763" s="514" t="s">
        <v>11533</v>
      </c>
      <c r="E1763" s="515"/>
      <c r="F1763" s="514"/>
      <c r="G1763" s="515" t="s">
        <v>11525</v>
      </c>
      <c r="H1763" s="514"/>
      <c r="I1763" s="515"/>
      <c r="J1763" s="515"/>
    </row>
    <row r="1764" spans="1:10" ht="13.8" thickBot="1">
      <c r="A1764" s="517"/>
      <c r="B1764" s="518" t="s">
        <v>11550</v>
      </c>
      <c r="C1764" s="516"/>
      <c r="D1764" s="514" t="s">
        <v>11533</v>
      </c>
      <c r="E1764" s="515"/>
      <c r="F1764" s="514"/>
      <c r="G1764" s="515" t="s">
        <v>11525</v>
      </c>
      <c r="H1764" s="514"/>
      <c r="I1764" s="515"/>
      <c r="J1764" s="515"/>
    </row>
    <row r="1765" spans="1:10" ht="13.8" thickBot="1">
      <c r="A1765" s="517"/>
      <c r="B1765" s="518" t="s">
        <v>11549</v>
      </c>
      <c r="C1765" s="516"/>
      <c r="D1765" s="514" t="s">
        <v>11533</v>
      </c>
      <c r="E1765" s="515"/>
      <c r="F1765" s="514"/>
      <c r="G1765" s="515" t="s">
        <v>11525</v>
      </c>
      <c r="H1765" s="514"/>
      <c r="I1765" s="515"/>
      <c r="J1765" s="515"/>
    </row>
    <row r="1766" spans="1:10" ht="13.8" thickBot="1">
      <c r="A1766" s="517"/>
      <c r="B1766" s="518" t="s">
        <v>11548</v>
      </c>
      <c r="C1766" s="516"/>
      <c r="D1766" s="514" t="s">
        <v>11533</v>
      </c>
      <c r="E1766" s="515"/>
      <c r="F1766" s="514"/>
      <c r="G1766" s="515" t="s">
        <v>11525</v>
      </c>
      <c r="H1766" s="514"/>
      <c r="I1766" s="515"/>
      <c r="J1766" s="515"/>
    </row>
    <row r="1767" spans="1:10" ht="13.8" thickBot="1">
      <c r="A1767" s="517"/>
      <c r="B1767" s="518" t="s">
        <v>11547</v>
      </c>
      <c r="C1767" s="516"/>
      <c r="D1767" s="514" t="s">
        <v>11533</v>
      </c>
      <c r="E1767" s="515"/>
      <c r="F1767" s="514"/>
      <c r="G1767" s="515" t="s">
        <v>11525</v>
      </c>
      <c r="H1767" s="514"/>
      <c r="I1767" s="515"/>
      <c r="J1767" s="515"/>
    </row>
    <row r="1768" spans="1:10" ht="13.8" thickBot="1">
      <c r="A1768" s="517"/>
      <c r="B1768" s="518" t="s">
        <v>11546</v>
      </c>
      <c r="C1768" s="516"/>
      <c r="D1768" s="514" t="s">
        <v>11533</v>
      </c>
      <c r="E1768" s="515"/>
      <c r="F1768" s="514"/>
      <c r="G1768" s="515" t="s">
        <v>11525</v>
      </c>
      <c r="H1768" s="514"/>
      <c r="I1768" s="515"/>
      <c r="J1768" s="515"/>
    </row>
    <row r="1769" spans="1:10" ht="13.8" thickBot="1">
      <c r="A1769" s="517"/>
      <c r="B1769" s="518" t="s">
        <v>11545</v>
      </c>
      <c r="C1769" s="516"/>
      <c r="D1769" s="514" t="s">
        <v>11533</v>
      </c>
      <c r="E1769" s="515"/>
      <c r="F1769" s="514"/>
      <c r="G1769" s="515" t="s">
        <v>11525</v>
      </c>
      <c r="H1769" s="514"/>
      <c r="I1769" s="515"/>
      <c r="J1769" s="515"/>
    </row>
    <row r="1770" spans="1:10" ht="13.8" thickBot="1">
      <c r="A1770" s="517"/>
      <c r="B1770" s="518" t="s">
        <v>11544</v>
      </c>
      <c r="C1770" s="516"/>
      <c r="D1770" s="514" t="s">
        <v>11533</v>
      </c>
      <c r="E1770" s="515"/>
      <c r="F1770" s="514"/>
      <c r="G1770" s="515" t="s">
        <v>11525</v>
      </c>
      <c r="H1770" s="514"/>
      <c r="I1770" s="515"/>
      <c r="J1770" s="515">
        <v>1</v>
      </c>
    </row>
    <row r="1771" spans="1:10" ht="13.8" thickBot="1">
      <c r="A1771" s="517"/>
      <c r="B1771" s="518" t="s">
        <v>11543</v>
      </c>
      <c r="C1771" s="516"/>
      <c r="D1771" s="514" t="s">
        <v>11533</v>
      </c>
      <c r="E1771" s="515"/>
      <c r="F1771" s="514"/>
      <c r="G1771" s="515" t="s">
        <v>11525</v>
      </c>
      <c r="H1771" s="514"/>
      <c r="I1771" s="515"/>
      <c r="J1771" s="515"/>
    </row>
    <row r="1772" spans="1:10" ht="13.8" thickBot="1">
      <c r="A1772" s="517"/>
      <c r="B1772" s="518" t="s">
        <v>11542</v>
      </c>
      <c r="C1772" s="516"/>
      <c r="D1772" s="514" t="s">
        <v>11533</v>
      </c>
      <c r="E1772" s="515"/>
      <c r="F1772" s="514"/>
      <c r="G1772" s="515" t="s">
        <v>11525</v>
      </c>
      <c r="H1772" s="514"/>
      <c r="I1772" s="515"/>
      <c r="J1772" s="515"/>
    </row>
    <row r="1773" spans="1:10" ht="13.8" thickBot="1">
      <c r="A1773" s="517"/>
      <c r="B1773" s="518" t="s">
        <v>11541</v>
      </c>
      <c r="C1773" s="516"/>
      <c r="D1773" s="514" t="s">
        <v>11533</v>
      </c>
      <c r="E1773" s="515"/>
      <c r="F1773" s="514"/>
      <c r="G1773" s="515" t="s">
        <v>11525</v>
      </c>
      <c r="H1773" s="514"/>
      <c r="I1773" s="515"/>
      <c r="J1773" s="515">
        <v>1</v>
      </c>
    </row>
    <row r="1774" spans="1:10" ht="13.8" thickBot="1">
      <c r="A1774" s="517"/>
      <c r="B1774" s="518" t="s">
        <v>11540</v>
      </c>
      <c r="C1774" s="516"/>
      <c r="D1774" s="514" t="s">
        <v>11533</v>
      </c>
      <c r="E1774" s="515"/>
      <c r="F1774" s="514"/>
      <c r="G1774" s="515" t="s">
        <v>11525</v>
      </c>
      <c r="H1774" s="514"/>
      <c r="I1774" s="515"/>
      <c r="J1774" s="515"/>
    </row>
    <row r="1775" spans="1:10" ht="13.8" thickBot="1">
      <c r="A1775" s="517"/>
      <c r="B1775" s="518" t="s">
        <v>11539</v>
      </c>
      <c r="C1775" s="516"/>
      <c r="D1775" s="514" t="s">
        <v>11533</v>
      </c>
      <c r="E1775" s="515"/>
      <c r="F1775" s="514"/>
      <c r="G1775" s="515" t="s">
        <v>11525</v>
      </c>
      <c r="H1775" s="514"/>
      <c r="I1775" s="515"/>
      <c r="J1775" s="515"/>
    </row>
    <row r="1776" spans="1:10" ht="13.8" thickBot="1">
      <c r="A1776" s="517"/>
      <c r="B1776" s="518" t="s">
        <v>11538</v>
      </c>
      <c r="C1776" s="516"/>
      <c r="D1776" s="514" t="s">
        <v>11533</v>
      </c>
      <c r="E1776" s="515"/>
      <c r="F1776" s="514"/>
      <c r="G1776" s="515" t="s">
        <v>11525</v>
      </c>
      <c r="H1776" s="514"/>
      <c r="I1776" s="515"/>
      <c r="J1776" s="515"/>
    </row>
    <row r="1777" spans="1:10" ht="13.8" thickBot="1">
      <c r="A1777" s="517"/>
      <c r="B1777" s="518" t="s">
        <v>11537</v>
      </c>
      <c r="C1777" s="516"/>
      <c r="D1777" s="514" t="s">
        <v>11533</v>
      </c>
      <c r="E1777" s="515"/>
      <c r="F1777" s="514"/>
      <c r="G1777" s="515" t="s">
        <v>11525</v>
      </c>
      <c r="H1777" s="514"/>
      <c r="I1777" s="515"/>
      <c r="J1777" s="515"/>
    </row>
    <row r="1778" spans="1:10" ht="13.8" thickBot="1">
      <c r="A1778" s="517"/>
      <c r="B1778" s="518" t="s">
        <v>11536</v>
      </c>
      <c r="C1778" s="516"/>
      <c r="D1778" s="514" t="s">
        <v>11533</v>
      </c>
      <c r="E1778" s="515"/>
      <c r="F1778" s="514"/>
      <c r="G1778" s="515" t="s">
        <v>11525</v>
      </c>
      <c r="H1778" s="514"/>
      <c r="I1778" s="515"/>
      <c r="J1778" s="515"/>
    </row>
    <row r="1779" spans="1:10" ht="13.8" thickBot="1">
      <c r="A1779" s="517"/>
      <c r="B1779" s="518" t="s">
        <v>11535</v>
      </c>
      <c r="C1779" s="516"/>
      <c r="D1779" s="514" t="s">
        <v>11533</v>
      </c>
      <c r="E1779" s="515"/>
      <c r="F1779" s="514"/>
      <c r="G1779" s="515" t="s">
        <v>11525</v>
      </c>
      <c r="H1779" s="514"/>
      <c r="I1779" s="515"/>
      <c r="J1779" s="515"/>
    </row>
    <row r="1780" spans="1:10" ht="13.8" thickBot="1">
      <c r="A1780" s="517"/>
      <c r="B1780" s="518" t="s">
        <v>11534</v>
      </c>
      <c r="C1780" s="516"/>
      <c r="D1780" s="514" t="s">
        <v>11533</v>
      </c>
      <c r="E1780" s="515"/>
      <c r="F1780" s="514"/>
      <c r="G1780" s="515" t="s">
        <v>11525</v>
      </c>
      <c r="H1780" s="514"/>
      <c r="I1780" s="515"/>
      <c r="J1780" s="515"/>
    </row>
    <row r="1781" spans="1:10" ht="13.8" thickBot="1">
      <c r="A1781" s="517"/>
      <c r="B1781" s="518" t="s">
        <v>11532</v>
      </c>
      <c r="C1781" s="516"/>
      <c r="D1781" s="514" t="s">
        <v>11531</v>
      </c>
      <c r="E1781" s="515">
        <v>8.5</v>
      </c>
      <c r="F1781" s="514"/>
      <c r="G1781" s="515" t="s">
        <v>11525</v>
      </c>
      <c r="H1781" s="514"/>
      <c r="I1781" s="515"/>
      <c r="J1781" s="515"/>
    </row>
    <row r="1782" spans="1:10" ht="13.8" thickBot="1">
      <c r="A1782" s="517"/>
      <c r="B1782" s="518" t="s">
        <v>11530</v>
      </c>
      <c r="C1782" s="516"/>
      <c r="D1782" s="514" t="s">
        <v>11529</v>
      </c>
      <c r="E1782" s="515">
        <v>6.5</v>
      </c>
      <c r="F1782" s="514"/>
      <c r="G1782" s="515" t="s">
        <v>11525</v>
      </c>
      <c r="H1782" s="514"/>
      <c r="I1782" s="515"/>
      <c r="J1782" s="515"/>
    </row>
    <row r="1783" spans="1:10" ht="13.8" thickBot="1">
      <c r="A1783" s="517"/>
      <c r="B1783" s="518" t="s">
        <v>11528</v>
      </c>
      <c r="C1783" s="516"/>
      <c r="D1783" s="514" t="s">
        <v>11526</v>
      </c>
      <c r="E1783" s="515">
        <v>5.5</v>
      </c>
      <c r="F1783" s="514"/>
      <c r="G1783" s="515" t="s">
        <v>11525</v>
      </c>
      <c r="H1783" s="514"/>
      <c r="I1783" s="515"/>
      <c r="J1783" s="515">
        <v>1</v>
      </c>
    </row>
    <row r="1784" spans="1:10" ht="13.8" thickBot="1">
      <c r="A1784" s="517"/>
      <c r="B1784" s="518" t="s">
        <v>11527</v>
      </c>
      <c r="C1784" s="516"/>
      <c r="D1784" s="514" t="s">
        <v>11526</v>
      </c>
      <c r="E1784" s="515">
        <v>5.5</v>
      </c>
      <c r="F1784" s="514"/>
      <c r="G1784" s="515" t="s">
        <v>11525</v>
      </c>
      <c r="H1784" s="514"/>
      <c r="I1784" s="515"/>
      <c r="J1784" s="515">
        <v>1</v>
      </c>
    </row>
  </sheetData>
  <hyperlinks>
    <hyperlink ref="B4" r:id="rId1" display="https://www.google.com/url?q=https://contest.yandex.ru/ioi/contest/572/enter/&amp;sa=D&amp;ust=1605639798664000&amp;usg=AFQjCNFQWnwgAj3fwGix7cYe9Cqcghl12Q" xr:uid="{274B42FB-C191-40E7-8D4D-C23EEB65F31D}"/>
    <hyperlink ref="F4" r:id="rId2" display="https://www.google.com/url?q=https://github.com/mostafa-saad/MyCompetitiveProgramming/blob/master/Olympiad/IOI/IOI-12-editorials.txt&amp;sa=D&amp;ust=1605639798665000&amp;usg=AFQjCNHCYNZz787xTBe5lBvLpzYmKIQ8gw" xr:uid="{DB811245-3E9D-4E95-AD98-8D69217B4C18}"/>
    <hyperlink ref="B5" r:id="rId3" display="https://www.google.com/url?q=https://oj.uz/problem/view/IOI10_maze&amp;sa=D&amp;ust=1605639798665000&amp;usg=AFQjCNEL6VvrjaR0BO-jn55lklVCjyvMCA" xr:uid="{3BEA43AA-3FDF-423F-ACAC-58C4CDA1D702}"/>
    <hyperlink ref="F5" r:id="rId4" display="https://www.google.com/url?q=https://github.com/mostafa-saad/MyCompetitiveProgramming/blob/master/Olympiad/IOI/official/2010&amp;sa=D&amp;ust=1605639798666000&amp;usg=AFQjCNEMH6XkfFXc9vRVJa_hTpjWjVUQGg" xr:uid="{9C11548E-2F6C-4006-82B2-D65C281FA929}"/>
    <hyperlink ref="B6" r:id="rId5" display="https://www.google.com/url?q=https://oj.uz/problem/view/CEOI15_nuclearia&amp;sa=D&amp;ust=1605639798666000&amp;usg=AFQjCNGSbVbtRQSiuSHLw4UqIuXJVz7rEA" xr:uid="{65FC734C-8BE2-44D0-866E-7A3FBCF467C7}"/>
    <hyperlink ref="F6" r:id="rId6" display="https://www.google.com/url?q=https://github.com/mostafa-saad/MyCompetitiveProgramming/tree/master/Olympiad/CEOI/official/2015/day2&amp;sa=D&amp;ust=1605639798666000&amp;usg=AFQjCNHgpnu3DwiwskHreGwvJ25XGg_pYQ" xr:uid="{E7411A3B-5E07-483B-BAE0-6CE217E4B780}"/>
    <hyperlink ref="B7" r:id="rId7" display="https://www.google.com/url?q=https://csacademy.com/contest/balkan-oi-2017-day-1/&amp;sa=D&amp;ust=1605639798667000&amp;usg=AFQjCNEpb2B69lECBpMflmfF0P4EzUpZ7Q" xr:uid="{68FD21EF-FF46-43A8-9EA3-ED8FE32525D5}"/>
    <hyperlink ref="B8" r:id="rId8" display="https://www.google.com/url?q=https://dmoj.ca/problem/apio12p3&amp;sa=D&amp;ust=1605639798667000&amp;usg=AFQjCNGf9GiEVs1TMUsc66APUFq8MHPyJw" xr:uid="{4929B78E-8AAC-45EB-A684-D3DE02F43A82}"/>
    <hyperlink ref="F8" r:id="rId9" display="https://www.google.com/url?q=https://github.com/tmwilliamlin168/CompetitiveProgramming/blob/master/APIO/12-Kunai.cpp&amp;sa=D&amp;ust=1605639798667000&amp;usg=AFQjCNHQy_LfvZ3GD3tNPd_zVrOGg1YrNg" xr:uid="{14EA05D7-7FBA-4EEB-873B-A557500502DD}"/>
    <hyperlink ref="B9" r:id="rId10" display="https://www.google.com/url?q=https://www.acmicpc.net/problem/11556&amp;sa=D&amp;ust=1605639798668000&amp;usg=AFQjCNFQKKxcG-SiKZNZE1XVV1FHbfCSYg" xr:uid="{0396F83F-92FA-4591-AC6B-A8470B6CF7B2}"/>
    <hyperlink ref="F9" r:id="rId11" display="https://www.google.com/url?q=https://github.com/mostafa-saad/MyCompetitiveProgramming/tree/master/Olympiad/Balkan/official/2015&amp;sa=D&amp;ust=1605639798668000&amp;usg=AFQjCNG-a3Wf9CZxp3h8aFpYPJ2s4xWyzQ" xr:uid="{3C256F4C-A82C-4A09-B244-3441F516EC8D}"/>
    <hyperlink ref="B10" r:id="rId12" display="https://www.google.com/url?q=https://oj.uz/problem/view/IOI14_rail&amp;sa=D&amp;ust=1605639798668000&amp;usg=AFQjCNFgt3ai8PPMt7O4AQD3-s2KyqRBuQ" xr:uid="{EB969962-748B-458C-903F-70ABDDF4426F}"/>
    <hyperlink ref="F10" r:id="rId13" display="https://www.google.com/url?q=https://github.com/mostafa-saad/MyCompetitiveProgramming/blob/master/Olympiad/IOI/IOI-14-rail.txt&amp;sa=D&amp;ust=1605639798669000&amp;usg=AFQjCNEWvU0DKjVzclOHJ0SbCDsjdzbiag" xr:uid="{7EE2846E-E9D0-4189-8B47-46EE1C347CEF}"/>
    <hyperlink ref="B11" r:id="rId14" display="https://www.google.com/url?q=https://oj.uz/problem/view/IOI11_parrots&amp;sa=D&amp;ust=1605639798669000&amp;usg=AFQjCNHMeDvrE06GPuWeJkwUJluIdzrCMg" xr:uid="{CB2C7780-A9E1-4F44-8EF9-08747176DC28}"/>
    <hyperlink ref="F11" r:id="rId15" display="https://www.google.com/url?q=http://www.ioi2011.or.th/hsc/tasks/EN/parrots.pdf&amp;sa=D&amp;ust=1605639798669000&amp;usg=AFQjCNF4TRQzEVfSUPKd3Ei3XAIOfh_GfQ" xr:uid="{5DB61701-BA7B-4D3E-8B0A-74A425CF3487}"/>
    <hyperlink ref="B12" r:id="rId16" display="https://www.google.com/url?q=https://dmoj.ca/problem/apio12p2&amp;sa=D&amp;ust=1605639798670000&amp;usg=AFQjCNHcaOH3LbTmvuRg_eg78rI39l-qJg" xr:uid="{20DCEE42-9C66-4C92-BF34-E6FD35930221}"/>
    <hyperlink ref="B13" r:id="rId17" display="https://www.google.com/url?q=https://oj.uz/problem/view/IOI19_line&amp;sa=D&amp;ust=1605639798670000&amp;usg=AFQjCNFE4Xl8e9bmZHHsh2jOvM1jawx_kw" xr:uid="{653E7142-D44E-446E-AE3C-0DA46899F198}"/>
    <hyperlink ref="F13" r:id="rId18" display="https://www.google.com/url?q=https://github.com/mostafa-saad/MyCompetitiveProgramming/blob/master/Olympiad/IOI/IOI-19-line.txt&amp;sa=D&amp;ust=1605639798671000&amp;usg=AFQjCNFYBN7u8CfQIKOEY-x01itlgl7_Iw" xr:uid="{DBC62FEA-50B4-484F-B0A4-5C4B147DCEC5}"/>
    <hyperlink ref="B14" r:id="rId19" display="https://www.google.com/url?q=https://oj.uz/problem/view/JOI19_minerals&amp;sa=D&amp;ust=1605639798671000&amp;usg=AFQjCNEQnW91g_0dWjYPoOuGkExo6eCBkw" xr:uid="{69FCDC20-7816-4E2D-95C9-93A8E64F0B17}"/>
    <hyperlink ref="B15" r:id="rId20" display="https://www.google.com/url?q=https://contest.yandex.ru/ioi/contest/558/enter/&amp;sa=D&amp;ust=1605639798671000&amp;usg=AFQjCNHX-Nn1j_2o-8hFf7OB-Fh5BEFAhA" xr:uid="{A44D453D-0542-4EA9-AD74-A7B3B8AC7BDA}"/>
    <hyperlink ref="F15" r:id="rId21" display="https://www.google.com/url?q=https://github.com/mostafa-saad/MyCompetitiveProgramming/blob/master/Olympiad/IOI/official/2003&amp;sa=D&amp;ust=1605639798672000&amp;usg=AFQjCNHPDhGAH_bnLtL3yE0fx1abUqeYrA" xr:uid="{C7C68D72-7872-496E-95C7-4D9A5EC12EF1}"/>
    <hyperlink ref="B16" r:id="rId22" display="https://www.google.com/url?q=https://oj.uz/problem/view/COI14_gta&amp;sa=D&amp;ust=1605639798672000&amp;usg=AFQjCNGgdTBj2iDOm360pZNfxA5aZaq-0Q" xr:uid="{CAA50663-0F25-4ECF-9842-7D20F404BCF5}"/>
    <hyperlink ref="F16" r:id="rId23" display="https://www.google.com/url?q=https://github.com/mostafa-saad/MyCompetitiveProgramming/blob/master/Olympiad/COI/COI-14-gta.txt&amp;sa=D&amp;ust=1605639798672000&amp;usg=AFQjCNEzJ-yQWxdHmQjXqUndIlE-sLNMaQ" xr:uid="{8B71DCCC-A0C1-4786-BF26-2970A661D7CD}"/>
    <hyperlink ref="B17" r:id="rId24" display="https://www.google.com/url?q=https://oj.uz/problem/view/IOI16_messy&amp;sa=D&amp;ust=1605639798673000&amp;usg=AFQjCNFW6XzwNLxUulh91q-CWm3B4OY0YA" xr:uid="{616FA1C0-F3B0-410A-B7EE-8458B7245F50}"/>
    <hyperlink ref="F17" r:id="rId25" display="https://www.google.com/url?q=https://github.com/mostafa-saad/MyCompetitiveProgramming/blob/master/Olympiad/IOI/IOI-16-messy.txt&amp;sa=D&amp;ust=1605639798673000&amp;usg=AFQjCNEzOd5wycR_Wxtw9yWMbsssuQ9MCg" xr:uid="{217036C6-D6AB-48B2-8718-7D588542FC0E}"/>
    <hyperlink ref="B18" r:id="rId26" display="https://www.google.com/url?q=https://oj.uz/problems/source/315&amp;sa=D&amp;ust=1605639798673000&amp;usg=AFQjCNE_gvMu62CDAsfqJ6A5i8NgyX29uA" xr:uid="{A624A699-2592-4E52-AB7E-8DD497EE8F5C}"/>
    <hyperlink ref="F18" r:id="rId27" display="https://www.google.com/url?q=https://github.com/mostafa-saad/MyCompetitiveProgramming/blob/master/Olympiad/JOI/JOISC-18-airline.txt&amp;sa=D&amp;ust=1605639798674000&amp;usg=AFQjCNGH8c3yAMSYcDF6tc_5Cc_AfpblGg" xr:uid="{B6BA6E3F-6681-49C2-9529-C5E87E3CC236}"/>
    <hyperlink ref="B19" r:id="rId28" display="https://www.google.com/url?q=https://oj.uz/problem/view/IOI15_towns&amp;sa=D&amp;ust=1605639798674000&amp;usg=AFQjCNG7U5ihWBFvX-rqThCYZOCdl_QqcA" xr:uid="{24BA2FA8-097A-4150-80BC-0A5B14D8981B}"/>
    <hyperlink ref="F19" r:id="rId29" display="https://www.google.com/url?q=https://github.com/mostafa-saad/MyCompetitiveProgramming/blob/master/Olympiad/IOI/IOI-15-towns.txt&amp;sa=D&amp;ust=1605639798674000&amp;usg=AFQjCNFtLDybaMuY2Gf5AKikePL2yJ07QQ" xr:uid="{ACF607E3-9C1F-472A-A1F3-70FF7BF077C4}"/>
    <hyperlink ref="B20" r:id="rId30" display="https://www.google.com/url?q=https://oj.uz/problem/view/balkan11_cmp&amp;sa=D&amp;ust=1605639798675000&amp;usg=AFQjCNEBawP_b7Eudr3aLBsqhBNP1PpFfQ" xr:uid="{0F0D7262-1E7F-4A10-A539-AA32FEAF8CC8}"/>
    <hyperlink ref="F20" r:id="rId31" display="https://www.google.com/url?q=https://github.com/mostafa-saad/MyCompetitiveProgramming/blob/master/Olympiad/Balkan/official/2011/cmp-sol.pdf&amp;sa=D&amp;ust=1605639798675000&amp;usg=AFQjCNHsYKcfV5mTb504LmJLdv3X_srk8Q" xr:uid="{79150C8D-6976-41C4-A18B-1AC6DD28AE9F}"/>
    <hyperlink ref="B21" r:id="rId32" display="https://www.google.com/url?q=https://szkopul.edu.pl/problemset/problem/qQGtOc61vnHgCrs01ORC7iD1/site/&amp;sa=D&amp;ust=1605639798675000&amp;usg=AFQjCNEHU99tBId3I8tUAhoZyDHQVwmCWg" xr:uid="{322ED8DB-0127-4057-B144-96C0AF7C33B5}"/>
    <hyperlink ref="F21" r:id="rId33" display="https://www.google.com/url?q=https://github.com/mostafa-saad/MyCompetitiveProgramming/blob/master/Olympiad/POI/official/find_editorial_sols_guidelines.txt&amp;sa=D&amp;ust=1605639798676000&amp;usg=AFQjCNG8mcipp21k4Ev0AjcmaEpEkiHQ_g" xr:uid="{7F77DCD7-2D99-4375-8CFF-8DCDE0DD051E}"/>
    <hyperlink ref="B22" r:id="rId34" display="https://www.google.com/url?q=https://oj.uz/problems/source/120&amp;sa=D&amp;ust=1605639798676000&amp;usg=AFQjCNHhnaJse3_It491lR3ll25_MKXdDw" xr:uid="{090BF9E1-2F7D-4487-8124-BCB4A2E6AA43}"/>
    <hyperlink ref="B23" r:id="rId35" display="https://www.google.com/url?q=https://oj.uz/problem/view/IZhO18_nicegift&amp;sa=D&amp;ust=1605639798677000&amp;usg=AFQjCNElqssmbvLqBCen6BPja2NXIgpDpw" xr:uid="{4FD2C224-95F6-4831-806D-4014FCF5E565}"/>
    <hyperlink ref="B24" r:id="rId36" display="https://www.google.com/url?q=https://szkopul.edu.pl/problemset/problem/YbQn6MpKAzvIhTNUXtp_ypXQ/site/&amp;sa=D&amp;ust=1605639798677000&amp;usg=AFQjCNFRY1MQin59OExqljP_eG26tqaK3g" xr:uid="{C004EF0B-6978-4AFE-B854-3C46908340BC}"/>
    <hyperlink ref="F24" r:id="rId37" display="https://www.google.com/url?q=https://github.com/mostafa-saad/MyCompetitiveProgramming/blob/master/Olympiad/POI/official/find_editorial_sols_guidelines.txt&amp;sa=D&amp;ust=1605639798677000&amp;usg=AFQjCNGV_T7L68OZr4JJnpIR9mTS34tilQ" xr:uid="{C0A706EC-5529-4C97-99C5-2D6A2A72E5DC}"/>
    <hyperlink ref="B25" r:id="rId38" display="https://www.google.com/url?q=https://contest.yandex.ru/ioi/contest/566/enter/&amp;sa=D&amp;ust=1605639798678000&amp;usg=AFQjCNFAQcI2jdEq-8HX47n1-xdu8gzieA" xr:uid="{2A62E548-00BB-4F73-9811-CB2A353CF32F}"/>
    <hyperlink ref="F25" r:id="rId39" display="https://www.google.com/url?q=https://www.oi.edu.pl/old/ioi/downloads/ioi2005-tasks-and-solutions-a5.pdf&amp;sa=D&amp;ust=1605639798678000&amp;usg=AFQjCNELYkxeITOAsPo4WR9HmbbR2OmScQ" xr:uid="{764E3743-B9C7-4915-8CE2-1241D9F94E4A}"/>
    <hyperlink ref="B26" r:id="rId40" display="https://www.google.com/url?q=https://csacademy.com/contest/round-80/task/anagram-sort&amp;sa=D&amp;ust=1605639798678000&amp;usg=AFQjCNF7HeWRX-h9aSshx_GbFUheP_ZuUQ" xr:uid="{A293C221-1F67-4722-A315-7617442CEFF4}"/>
    <hyperlink ref="B27" r:id="rId41" display="https://www.google.com/url?q=https://contest.yandex.ru/ioi/contest/562/problems/F/&amp;sa=D&amp;ust=1605639798679000&amp;usg=AFQjCNHV1uSncT0Gzyt4WGtDlKpxofN2ug" xr:uid="{05C41016-FA75-46EF-94BE-44F01EA56141}"/>
    <hyperlink ref="F27" r:id="rId42" display="https://www.google.com/url?q=https://github.com/mostafa-saad/MyCompetitiveProgramming/blob/master/Olympiad/IOI/official/2006/ioi06_blackbox_sol.pdf&amp;sa=D&amp;ust=1605639798679000&amp;usg=AFQjCNHXBfJSCP7upHvfZmeDdqpyWSBHjA" xr:uid="{E572C364-342F-4C5F-BFF2-9150A7142BA6}"/>
    <hyperlink ref="B28" r:id="rId43" display="https://www.google.com/url?q=https://oj.uz/problem/view/COCI17_retro&amp;sa=D&amp;ust=1605639798679000&amp;usg=AFQjCNHXRtbKfKEpvMG3dVOFxEaqLfYRag" xr:uid="{E4617C2C-278A-410A-AE6B-3B3B90732003}"/>
    <hyperlink ref="B29" r:id="rId44" display="https://www.google.com/url?q=https://oj.uz/problem/view/COCI18_kotrljanje&amp;sa=D&amp;ust=1605639798680000&amp;usg=AFQjCNEUvGJ_4l3OAnKazh7FBGntFlNdUw" xr:uid="{5FA8E31B-8348-43B9-ACBC-F7940A31D991}"/>
    <hyperlink ref="B30" r:id="rId45" display="https://www.google.com/url?q=https://csacademy.com/contest/ioi-2016-training-round-3/task/telegraph/&amp;sa=D&amp;ust=1605639798680000&amp;usg=AFQjCNElgUeI7vy33745xxndFCdetRLn1w" xr:uid="{B664A413-10BF-49EB-9EB2-0F22DE272935}"/>
    <hyperlink ref="B31" r:id="rId46" display="https://www.google.com/url?q=https://szkopul.edu.pl/problemset/problem/dq_rM2gOy4-8jYIsE7xgo-9l/site/&amp;sa=D&amp;ust=1605639798681000&amp;usg=AFQjCNFxko2tRw8u703XEmkDydLfap45mA" xr:uid="{35D8B4DA-3187-4CA9-8F1C-E832F289B379}"/>
    <hyperlink ref="F31" r:id="rId47" display="https://www.google.com/url?q=https://github.com/mostafa-saad/MyCompetitiveProgramming/blob/master/Olympiad/POI/POI-04-Tournament.txt&amp;sa=D&amp;ust=1605639798681000&amp;usg=AFQjCNGgEIwWz4EO60bfMsr8Gd_ZL5aV6A" xr:uid="{942559E0-B551-4037-A6DF-19F286D40B98}"/>
    <hyperlink ref="B32" r:id="rId48" display="https://www.google.com/url?q=https://oj.uz/problems/source/184&amp;sa=D&amp;ust=1605639798681000&amp;usg=AFQjCNEOmmMelG9zhopRl20zIIx9I1QsTQ" xr:uid="{D0C2E812-1EF5-4CDF-83B1-6B68E80F7FB7}"/>
    <hyperlink ref="F32" r:id="rId49" display="https://www.google.com/url?q=https://github.com/mostafa-saad/MyCompetitiveProgramming/blob/master/Olympiad/APIO/APIO-16-gap.txt&amp;sa=D&amp;ust=1605639798682000&amp;usg=AFQjCNHc2ox9OErSIKIIYHSw1jROKuExmg" xr:uid="{560B5B45-E5E2-422D-B3BA-A0D9377D8FA2}"/>
    <hyperlink ref="B33" r:id="rId50" display="https://www.google.com/url?q=https://oj.uz/problem/view/IZhO19_xoractive&amp;sa=D&amp;ust=1605639798682000&amp;usg=AFQjCNH-5b7ZKkxY1nvbw-i3H8Zl_dxuzQ" xr:uid="{45EF0976-28AA-40F3-B61C-F7B602360937}"/>
    <hyperlink ref="F33" r:id="rId51" display="https://www.google.com/url?q=https://github.com/stefdasca/CompetitiveProgramming/blob/master/IZhO/IZhO%252019-xoractive.cpp&amp;sa=D&amp;ust=1605639798682000&amp;usg=AFQjCNE0viRfwfOE3oqP1TXyZjZHSM5QJQ" xr:uid="{A0B393E2-E9A3-4CB8-A5CE-69520F44FEA8}"/>
    <hyperlink ref="B34" r:id="rId52" display="https://www.google.com/url?q=https://oj.uz/problem/view/IOI12_supper&amp;sa=D&amp;ust=1605639798683000&amp;usg=AFQjCNHL5bJcd33RS3FNojLjX_7eU0lgAQ" xr:uid="{46E4148A-A7A4-41B8-B0A5-DAE263C81AC8}"/>
    <hyperlink ref="F34" r:id="rId53" display="https://www.google.com/url?q=https://github.com/mostafa-saad/MyCompetitiveProgramming/blob/master/Olympiad/IOI/IOI-12-editorials.txt&amp;sa=D&amp;ust=1605639798683000&amp;usg=AFQjCNEXACLD7XIsTUfcPIK-6AQU3XSxMQ" xr:uid="{D17F915F-AB63-45C7-811E-EC9C00B131C8}"/>
    <hyperlink ref="B35" r:id="rId54" display="https://www.google.com/url?q=https://oj.uz/problem/view/info1cup18_hidden&amp;sa=D&amp;ust=1605639798683000&amp;usg=AFQjCNFDZ1Kg4VMPiDb2ID6FaKsI7XIIeQ" xr:uid="{E71CE4A7-8509-48D4-BBCF-A07C8E95985A}"/>
    <hyperlink ref="F35" r:id="rId55" display="https://www.google.com/url?q=https://github.com/mostafa-saad/MyCompetitiveProgramming/blob/master/Olympiad/Info1Cup/Info1Cup_18-Hidden.txt&amp;sa=D&amp;ust=1605639798684000&amp;usg=AFQjCNFJupWjR0xGCYp0FNqKGlQHHwX9ww" xr:uid="{0F9BD5BE-D336-47F3-9C05-4737745D9031}"/>
    <hyperlink ref="B36" r:id="rId56" display="https://www.google.com/url?q=https://szkopul.edu.pl/problemset/problem/ttMOxHYN1BPMG8oXYiIzIXB9/site/&amp;sa=D&amp;ust=1605639798684000&amp;usg=AFQjCNEEttdZE790DhyiEw0gta-hi8cfLg" xr:uid="{1198D0CB-CF79-4DA0-87AB-F8B3169E781D}"/>
    <hyperlink ref="F36" r:id="rId57" display="https://www.google.com/url?q=https://github.com/mostafa-saad/MyCompetitiveProgramming/blob/master/Olympiad/POI/official/find_editorial_sols_guidelines.txt&amp;sa=D&amp;ust=1605639798684000&amp;usg=AFQjCNFd-t0P4IOPvL6jVa2Bo4SccezEjg" xr:uid="{D06C1B57-9491-4ECF-A40F-E0DB121CE361}"/>
    <hyperlink ref="B37" r:id="rId58" display="https://www.google.com/url?q=https://oj.uz/problem/view/IOI19_vision&amp;sa=D&amp;ust=1605639798685000&amp;usg=AFQjCNFspKqSxZsa4aFRacrZnsj7bSOitg" xr:uid="{F10F6C99-9582-4E27-9C64-DA6125D71BC1}"/>
    <hyperlink ref="F37" r:id="rId59" display="https://www.google.com/url?q=https://github.com/mostafa-saad/MyCompetitiveProgramming/blob/master/Olympiad/IOI/IOI-19-vision.txt&amp;sa=D&amp;ust=1605639798685000&amp;usg=AFQjCNE_6RYGfgrBGxZuXFyvP4dBKIogsg" xr:uid="{A2A7D064-62A6-47CC-A734-75D014512751}"/>
    <hyperlink ref="B38" r:id="rId60" display="https://www.google.com/url?q=https://szkopul.edu.pl/problemset/problem/Grfouq9u3g_TYktFXO2sNjCU/site/&amp;sa=D&amp;ust=1605639798687000&amp;usg=AFQjCNFFRU138a36Ls1o-03LheA3IyvUSA" xr:uid="{B3BF659B-219F-4A55-99FF-3399AEB1D6C1}"/>
    <hyperlink ref="F38" r:id="rId61" display="https://www.google.com/url?q=https://github.com/mostafa-saad/MyCompetitiveProgramming/blob/master/Olympiad/POI/POI-15-Three.txt&amp;sa=D&amp;ust=1605639798688000&amp;usg=AFQjCNEtkVijQU6tR8yDK6beLFRZ23x72w" xr:uid="{BD958F0F-8721-435B-9359-FCAC2FF1A00B}"/>
    <hyperlink ref="B39" r:id="rId62" display="https://www.google.com/url?q=https://contest.yandex.ru/ioi/contest/560/enter/&amp;sa=D&amp;ust=1605639798688000&amp;usg=AFQjCNG-xcSCX7qu6T6LUZWGUifEqIjdyA" xr:uid="{27F89185-B1F2-49A9-B134-B178FF9879C8}"/>
    <hyperlink ref="F39" r:id="rId63" display="https://www.google.com/url?q=https://github.com/mostafa-saad/MyCompetitiveProgramming/blob/master/Olympiad/IOI/IOI-04-empodia.txt&amp;sa=D&amp;ust=1605639798688000&amp;usg=AFQjCNHc7p_vfHnIckE80druMPPLQRELAg" xr:uid="{D093A6C1-93F8-42CE-8D11-850160C83B8F}"/>
    <hyperlink ref="B40" r:id="rId64" display="https://www.google.com/url?q=http://poj.org/problem?id%3D1148&amp;sa=D&amp;ust=1605639798689000&amp;usg=AFQjCNFsyOtiI0SXqdOLzb-SulphJ9d08g" xr:uid="{BCF1A29A-018B-42FB-9518-C90B4E56F56B}"/>
    <hyperlink ref="F40" r:id="rId65" display="https://www.google.com/url?q=https://github.com/mostafa-saad/MyCompetitiveProgramming/blob/master/Olympiad/IOI/IOI-02-Utopia.txt&amp;sa=D&amp;ust=1605639798690000&amp;usg=AFQjCNEJOk7hO5N492Zs3uN9S0gynLNuQA" xr:uid="{9AF7D42B-77BE-420C-8C2C-DCF006432600}"/>
    <hyperlink ref="B41" r:id="rId66" display="https://www.google.com/url?q=https://training.ia-toki.org/problemsets/53/problems/255/&amp;sa=D&amp;ust=1605639798690000&amp;usg=AFQjCNGj9qaC-Z4XqQT5IZtLRXz5ZxX20w" xr:uid="{54FBCF39-307A-46BF-A4E1-FE317B3CD70C}"/>
    <hyperlink ref="F41" r:id="rId67" display="https://www.google.com/url?q=https://github.com/mostafa-saad/MyCompetitiveProgramming/blob/master/Olympiad/OSN/OSN_16-1B.txt&amp;sa=D&amp;ust=1605639798691000&amp;usg=AFQjCNFrBMlGzJFnExsZdMnugGbmepmWMw" xr:uid="{A3542866-BF5A-456D-81B3-86786BF2B749}"/>
    <hyperlink ref="B42" r:id="rId68" display="https://www.google.com/url?q=https://codeforces.com/group/R2SERIff4f/contest/213171&amp;sa=D&amp;ust=1605639798691000&amp;usg=AFQjCNGLMbRgtK2Vf8glsjm26J4eCZg2Mg" xr:uid="{C4683A15-E00E-4732-85A8-3FAC86077714}"/>
    <hyperlink ref="F42" r:id="rId69" display="https://www.google.com/url?q=https://github.com/mostafa-saad/MyCompetitiveProgramming/tree/master/Olympiad/MCO/official&amp;sa=D&amp;ust=1605639798691000&amp;usg=AFQjCNGHqZccTYgxSnemxSb4WmliNTwlUg" xr:uid="{D42AB088-CF82-43C1-8075-20BC3E6F1269}"/>
    <hyperlink ref="B43" r:id="rId70" display="https://www.google.com/url?q=https://dunjudge.me/analysis/problems/728/&amp;sa=D&amp;ust=1605639798692000&amp;usg=AFQjCNEVLzJXd-UPX5KXFbpcJlRLkeV5qw" xr:uid="{34311773-DECE-49C0-B1B4-9F2771E4034A}"/>
    <hyperlink ref="F43" r:id="rId71" display="https://www.google.com/url?q=https://github.com/mostafa-saad/MyCompetitiveProgramming/blob/master/Olympiad/IOI/IOI-00-median.txt&amp;sa=D&amp;ust=1605639798692000&amp;usg=AFQjCNHohNOnGWOFd7SO8nj60H-oESXB0w" xr:uid="{CB647B08-EA97-46A5-B50A-9FA86F514578}"/>
    <hyperlink ref="B44" r:id="rId72" display="https://www.google.com/url?q=https://szkopul.edu.pl/problemset/problem/w_-1ZgA1RSQ0IpPqx_1BXb6M/site/&amp;sa=D&amp;ust=1605639798693000&amp;usg=AFQjCNEPI9YpWIBOK7b-osJG2KaSJnDROw" xr:uid="{E409A812-6E27-4BA8-983D-31C94481D607}"/>
    <hyperlink ref="F44" r:id="rId73" display="https://www.google.com/url?q=https://github.com/mostafa-saad/MyCompetitiveProgramming/blob/master/Olympiad/POI/POI-05-Points.txt&amp;sa=D&amp;ust=1605639798693000&amp;usg=AFQjCNHBwedlIl0rcNiexTjfA4KRkxXfag" xr:uid="{80BA87EB-F693-4838-9026-95F9B47E9049}"/>
    <hyperlink ref="B45" r:id="rId74" display="https://www.google.com/url?q=https://oj.uz/problem/view/COCI19_simfonija&amp;sa=D&amp;ust=1605639798704000&amp;usg=AFQjCNHCpt_HUzzT8RZY4_RYe4zDKhKszg" xr:uid="{FB3963B3-DF4E-4A5D-9108-F2284A8C94CA}"/>
    <hyperlink ref="F45" r:id="rId75" display="https://www.google.com/url?q=https://github.com/Szawinis/CompetitiveProgramming/blob/master/Olympiad/COCI/COCI19-simfonija.cpp&amp;sa=D&amp;ust=1605639798704000&amp;usg=AFQjCNH3u1E1dRontjswo7jiaRMBRx-UKA" xr:uid="{7AF8D62E-E9FD-45CE-81CC-B51ADE83F9D0}"/>
    <hyperlink ref="B46" r:id="rId76" display="https://www.google.com/url?q=https://oj.uz/problem/view/IOI17_prize&amp;sa=D&amp;ust=1605639798705000&amp;usg=AFQjCNFsKEWY-sCRE1SULRGlOAD_OVonjA" xr:uid="{326EE1CD-EEC2-4FE1-A46D-2D579FF3288F}"/>
    <hyperlink ref="F46" r:id="rId77" display="https://www.google.com/url?q=https://github.com/timpostuvan/CompetitiveProgramming/blob/master/Olympiad/IOI/Prize2017.cpp&amp;sa=D&amp;ust=1605639798705000&amp;usg=AFQjCNHJGFTBdHveqHWDn9TXRq4OZjVmhQ" xr:uid="{A0D58B2A-2FBB-4D38-B395-2C552E3DD192}"/>
    <hyperlink ref="B47" r:id="rId78" display="https://www.google.com/url?q=https://oj.uz/problem/view/IOI10_languages&amp;sa=D&amp;ust=1605639798705000&amp;usg=AFQjCNGbymm6iALLDdN74PJtBjvxBK_WmA" xr:uid="{75FF7045-3849-4A7E-8F1A-25618E3DBDB6}"/>
    <hyperlink ref="F47" r:id="rId79" display="https://www.google.com/url?q=https://github.com/mostafa-saad/MyCompetitiveProgramming/blob/master/Olympiad/IOI/official/2010&amp;sa=D&amp;ust=1605639798706000&amp;usg=AFQjCNHyXZ1LxigvhuJh3l87iI4EWcbl_w" xr:uid="{9D2C2DA6-B437-4543-8C2F-F71C2A556266}"/>
    <hyperlink ref="B48" r:id="rId80" display="https://www.google.com/url?q=https://open.kattis.com/problem-sources/Baltic%2520Olympiad%2520in%2520Informatics%25202017%252C%2520Day%25202&amp;sa=D&amp;ust=1605639798706000&amp;usg=AFQjCNEh9N-j9DGVo-6v2wr_qiFPWJnbxg" xr:uid="{A9305BAB-89BD-47C8-848A-7EE0D592C583}"/>
    <hyperlink ref="F48" r:id="rId81" display="https://www.google.com/url?q=https://codeforces.com/blog/entry/51740?%23comment-356940&amp;sa=D&amp;ust=1605639798706000&amp;usg=AFQjCNHnvfuq7CNmTDi3MKTzW6kDZoMDLA" xr:uid="{94E0DA39-CDA0-4B63-894B-2ADE12203B35}"/>
    <hyperlink ref="B49" r:id="rId82" display="https://www.google.com/url?q=https://oj.uz/problem/view/JOI19_remittance&amp;sa=D&amp;ust=1605639798707000&amp;usg=AFQjCNH0yo6DHWCQfBMS_vr49Ee0Yx5hNQ" xr:uid="{5D6BAAAC-BD38-4948-A6F5-B68FD80A7DD7}"/>
    <hyperlink ref="F49" r:id="rId83" display="https://www.google.com/url?q=https://github.com/mostafa-saad/MyCompetitiveProgramming/blob/master/Olympiad/JOI/JOIOC-19-Remittance.txt&amp;sa=D&amp;ust=1605639798707000&amp;usg=AFQjCNHhk3_JuYr0Oejzz7fBDc1bV5-DEA" xr:uid="{712A1638-95D8-45A4-B16A-64D0D3CEA0B0}"/>
    <hyperlink ref="B50" r:id="rId84" display="https://www.google.com/url?q=https://dmoj.ca/contest/cco18d1&amp;sa=D&amp;ust=1605639798707000&amp;usg=AFQjCNF7ORIWa1XXV1GdLqk5Lp4l2nkJng" xr:uid="{0F3C9D85-FFD7-4999-8B2D-E660A7FAB4BD}"/>
    <hyperlink ref="F50" r:id="rId85" display="https://www.google.com/url?q=https://github.com/timpostuvan/CompetitiveProgramming/blob/master/Olympiad/CCO/WrongAnswer2018.cpp&amp;sa=D&amp;ust=1605639798707000&amp;usg=AFQjCNFfO1SBYtMjd6zm9njJYht6uRvPBA" xr:uid="{BBE8CA68-900E-4A93-B783-7D1EEE7FCA20}"/>
    <hyperlink ref="B51" r:id="rId86" display="https://www.google.com/url?q=https://boi18-day2-open.kattis.com/problems&amp;sa=D&amp;ust=1605639798708000&amp;usg=AFQjCNEc2HnDtDBvcfRZ8Uny-IFuxTCALw" xr:uid="{8E7B0ECA-8FB5-4C6F-85E6-B3F29E425DAB}"/>
    <hyperlink ref="F51" r:id="rId87" display="https://www.google.com/url?q=https://github.com/mostafa-saad/MyCompetitiveProgramming/tree/master/Olympiad/Baltic/official/boi2018_solutions&amp;sa=D&amp;ust=1605639798708000&amp;usg=AFQjCNEYG0wC7tl0Segtni98XbXLEw6FFQ" xr:uid="{155CE84B-31DA-401C-BEF8-39CA93F967B3}"/>
    <hyperlink ref="B52" r:id="rId88" display="https://www.google.com/url?q=https://codeforces.com/group/swEqtABRxe/contest/243438/problem/D&amp;sa=D&amp;ust=1605639798708000&amp;usg=AFQjCNGEn309p3wWaK06_dNeSVGph5WFYQ" xr:uid="{3CBF021A-02DE-4341-A9EE-357F9AE0E846}"/>
    <hyperlink ref="B53" r:id="rId89" display="https://www.google.com/url?q=https://oj.uz/problem/view/COI14_css&amp;sa=D&amp;ust=1605639798709000&amp;usg=AFQjCNE8nAIWTk3S0FDmPGM4JOpP7vrQEw" xr:uid="{80E0AF78-7291-4C60-9FE2-1D4B59DC7680}"/>
    <hyperlink ref="B54" r:id="rId90" display="https://www.google.com/url?q=https://oj.uz/problem/view/COI18_pick&amp;sa=D&amp;ust=1605639798710000&amp;usg=AFQjCNFcu5yHKyeM7-_6-8gQUwQRvZ2kZA" xr:uid="{5D276A10-5106-418D-9F91-77163C3D2B00}"/>
    <hyperlink ref="B55" r:id="rId91" display="https://www.google.com/url?q=https://oj.uz/problem/view/IZhO19_lyuboyn&amp;sa=D&amp;ust=1605639798711000&amp;usg=AFQjCNFJsobk_ZBY9Ivb1YNGyScepJtYhA" xr:uid="{C4F565B3-32B8-499B-B6DF-2A45A4C6A11C}"/>
    <hyperlink ref="B56" r:id="rId92" display="https://www.google.com/url?q=https://csacademy.com/contest/archive/task/borland&amp;sa=D&amp;ust=1605639798712000&amp;usg=AFQjCNF5jhwnV7D-tcbmnaW3gcX35A2doA" xr:uid="{61AD6E26-7F9D-4926-A121-F2327432857A}"/>
    <hyperlink ref="F56" r:id="rId93" display="https://www.google.com/url?q=https://github.com/MetalBall887/Competitive-Programming/blob/master/CSAcademy/ROJS%252017-borland.cpp&amp;sa=D&amp;ust=1605639798712000&amp;usg=AFQjCNEqp267RzhhISur8jCsej_KjYiNfw" xr:uid="{060CA3A7-1955-4C8C-BE14-1E46F85D1348}"/>
    <hyperlink ref="B57" r:id="rId94" display="https://www.google.com/url?q=http://usaco.org/index.php?page%3Dviewproblem2%26cpid%3D533&amp;sa=D&amp;ust=1605639798712000&amp;usg=AFQjCNEoj3Z46mH5XyQTX1WO-1SnCapi9A" xr:uid="{BD1B65EE-072B-4361-98D2-CD73256002FD}"/>
    <hyperlink ref="B58" r:id="rId95" display="https://www.google.com/url?q=https://szkopul.edu.pl/problemset/problem/5TfG0f1dOXc2sUTq9NMM9zSD/site/&amp;sa=D&amp;ust=1605639798713000&amp;usg=AFQjCNFPDHLcAgAwnl7RocDbQ0vloYuZFQ" xr:uid="{FBDC7D03-2BB0-4C85-8E41-4B4A024729DF}"/>
    <hyperlink ref="F58" r:id="rId96" display="https://www.google.com/url?q=https://github.com/mostafa-saad/MyCompetitiveProgramming/blob/master/Olympiad/CEOI/CEOI-10-Tower.txt&amp;sa=D&amp;ust=1605639798713000&amp;usg=AFQjCNEAeDmkApPNEV-AN9P3Lfwx_noToA" xr:uid="{EAF5F7AC-12F2-44DF-8430-39F77132E457}"/>
    <hyperlink ref="B59" r:id="rId97" display="https://www.google.com/url?q=https://tioj.ck.tp.edu.tw/problems/1742&amp;sa=D&amp;ust=1605639798713000&amp;usg=AFQjCNG1ocvUvTBFvwHEYzdm8wZnVr0e8w" xr:uid="{54A02C25-7EA1-4EBD-AEDE-466CF16A7C25}"/>
    <hyperlink ref="F59" r:id="rId98" display="https://www.google.com/url?q=https://github.com/mostafa-saad/MyCompetitiveProgramming/blob/master/Olympiad/APIO/APIO-09-Oil.txt&amp;sa=D&amp;ust=1605639798714000&amp;usg=AFQjCNFGguXJUhzB0F2cfo_0QLwSAx4lQw" xr:uid="{341AB00F-5014-4A48-B841-EE945CF05FAB}"/>
    <hyperlink ref="B60" r:id="rId99" display="https://www.google.com/url?q=https://oj.uz/problem/view/BOI19_olympiads&amp;sa=D&amp;ust=1605639798714000&amp;usg=AFQjCNH03i2yigUShX5avl-9pqLc7qXjeg" xr:uid="{8C54EBA5-5762-4DED-B410-997D66EE090A}"/>
    <hyperlink ref="F60" r:id="rId100" display="https://www.google.com/url?q=https://github.com/mostafa-saad/MyCompetitiveProgramming/blob/master/Olympiad/Baltic/Baltic-19-olympiads.txt&amp;sa=D&amp;ust=1605639798714000&amp;usg=AFQjCNGUYHZ3aKX_x61fjnWVm9qKa-WC_g" xr:uid="{A9EF9F05-B9E2-4948-95E1-5CE09AE0A660}"/>
    <hyperlink ref="B61" r:id="rId101" display="https://www.google.com/url?q=https://cses.fi/186/list/&amp;sa=D&amp;ust=1605639798714000&amp;usg=AFQjCNGm5lGleBb_ivQoxEH2CQ3c05_xMA" xr:uid="{DFAD10CD-E69D-450A-BCE1-30C79CC998A8}"/>
    <hyperlink ref="F61" r:id="rId102" display="https://www.google.com/url?q=https://github.com/mostafa-saad/MyCompetitiveProgramming/blob/master/Olympiad/CEOI/CEOI-06-Meandian.txt&amp;sa=D&amp;ust=1605639798715000&amp;usg=AFQjCNH7PoKwnJXlvoHZbh39Hsl-7H-TQw" xr:uid="{23C34573-13C8-4DB2-9997-D1052B2E37D8}"/>
    <hyperlink ref="B62" r:id="rId103" display="https://www.google.com/url?q=https://joisc2013-day4.contest.atcoder.jp/tasks/joisc2013_messenger&amp;sa=D&amp;ust=1605639798715000&amp;usg=AFQjCNHHDd4kS5essUcca0iAONUOI87uEQ" xr:uid="{AAC4B1B8-DB8E-4D7D-89B8-EC145558E58D}"/>
    <hyperlink ref="B63" r:id="rId104" display="https://www.google.com/url?q=https://oj.uz/problem/view/BOI19_nautilus&amp;sa=D&amp;ust=1605639798716000&amp;usg=AFQjCNGQhQPaUX8j4N8tVqrfcI5BAATdHw" xr:uid="{319EEA69-4015-467E-8FCE-DF4E2B43AAC9}"/>
    <hyperlink ref="F63" r:id="rId105" display="https://www.google.com/url?q=https://github.com/mostafa-saad/MyCompetitiveProgramming/blob/master/Olympiad/Baltic/Baltic-19-nautilus.txt&amp;sa=D&amp;ust=1605639798716000&amp;usg=AFQjCNGIKmTHTyLWY-hY_-fsn4mgSZ2LIw" xr:uid="{79022DEE-06DF-45D1-95C1-EE6A6E40324C}"/>
    <hyperlink ref="B64" r:id="rId106" display="https://www.google.com/url?q=http://usaco.org/index.php?page%3Dviewproblem2%26cpid%3D947&amp;sa=D&amp;ust=1605639798716000&amp;usg=AFQjCNG_fQoe-U9IkRouv7xKBZzjX3WlTg" xr:uid="{CB40ECF4-DDBA-493C-AEFB-3D59FD4FD319}"/>
    <hyperlink ref="B65" r:id="rId107" display="https://www.google.com/url?q=https://szkopul.edu.pl/problemset/problem/4yTtNIf4H61mJrquuAIhoSh_/site/&amp;sa=D&amp;ust=1605639798717000&amp;usg=AFQjCNGFdu3BaiP9w16LvGN8evhZvusIxA" xr:uid="{948C2882-CCCB-4D69-A432-FBFE774F3C52}"/>
    <hyperlink ref="F65" r:id="rId108" display="https://www.google.com/url?q=https://github.com/mostafa-saad/MyCompetitiveProgramming/blob/master/Olympiad/POI/POI-06-Invasion.txt&amp;sa=D&amp;ust=1605639798717000&amp;usg=AFQjCNEWSTw3yVoklitOSUGuOZAy7rUT5g" xr:uid="{9454DA00-9E95-45DF-A57D-3031F0C36B00}"/>
    <hyperlink ref="B66" r:id="rId109" display="https://www.google.com/url?q=https://cses.fi/189/list/&amp;sa=D&amp;ust=1605639798717000&amp;usg=AFQjCNEicWRkwYUV34B2VQamksX7yTwquw" xr:uid="{6745E645-9AF6-455A-83FC-BC8A07B62D46}"/>
    <hyperlink ref="F66" r:id="rId110" display="https://www.google.com/url?q=https://github.com/mostafa-saad/MyCompetitiveProgramming/blob/master/Olympiad/CEOI/CEOI-08-Dominance.txt&amp;sa=D&amp;ust=1605639798718000&amp;usg=AFQjCNG-TjXZKX12jnG_F4UibscLL22yxQ" xr:uid="{2B1B530F-1902-4836-A667-EF1A229F3176}"/>
    <hyperlink ref="B67" r:id="rId111" display="https://www.google.com/url?q=https://training.ia-toki.org/problemsets/2/problems/6/&amp;sa=D&amp;ust=1605639798718000&amp;usg=AFQjCNEkwS4gD0Plv_nuSo2kuQ_C5R2KUA" xr:uid="{665046FA-7551-41E0-8BA4-66B1286A5832}"/>
    <hyperlink ref="F67" r:id="rId112" display="https://www.google.com/url?q=https://github.com/mostafa-saad/MyCompetitiveProgramming/blob/master/Olympiad/OSN/OSN_15-1C.txt&amp;sa=D&amp;ust=1605639798718000&amp;usg=AFQjCNHBrAL2_3RfOSVSC_eYXdH7gMDycg" xr:uid="{D202A965-5889-4FF6-923C-DD232693F4AE}"/>
    <hyperlink ref="B68" r:id="rId113" display="https://www.google.com/url?q=http://usaco.org/index.php?page%3Dviewproblem2%26cpid%3D744&amp;sa=D&amp;ust=1605639798718000&amp;usg=AFQjCNFkQmopsRnk9Y0DknhmPjEY4OgM3g" xr:uid="{DDD88202-7A61-4850-9598-738D18A9F2D1}"/>
    <hyperlink ref="B69" r:id="rId114" display="https://www.google.com/url?q=http://usaco.org/index.php?page%3Dviewproblem2%26cpid%3D533&amp;sa=D&amp;ust=1605639798719000&amp;usg=AFQjCNEJn9lswXwj0CfgNq4lJjpMpFtQsg" xr:uid="{0E96C139-54FC-4ADC-AE1B-416E9EA364DC}"/>
    <hyperlink ref="F69" r:id="rId115" display="https://www.google.com/url?q=https://github.com/updown2/OI-Practice/blob/master/USACO/2014-2015/February/Gold/Censoring.cpp&amp;sa=D&amp;ust=1605639798719000&amp;usg=AFQjCNFc7mAkSKJhpB_cSE_UHxdMjX5xcg" xr:uid="{EB57C39F-A43F-484C-9502-E031E006899D}"/>
    <hyperlink ref="B70" r:id="rId116" display="https://www.google.com/url?q=https://www.infoarena.ro/problema/identice&amp;sa=D&amp;ust=1605639798720000&amp;usg=AFQjCNEyoj2VFnfVail-xKaqihkJexLMmw" xr:uid="{CD7BB24C-A15B-4DCC-9621-C856696A50A7}"/>
    <hyperlink ref="F70" r:id="rId117" display="https://www.google.com/url?q=https://github.com/stefdasca/CompetitiveProgramming/blob/master/Infoarena/identice&amp;sa=D&amp;ust=1605639798720000&amp;usg=AFQjCNHcXsaQXtyaV-sml6_-AGFwpmoQQQ" xr:uid="{21187985-D238-4FFE-A87C-F000618CE984}"/>
    <hyperlink ref="B71" r:id="rId118" display="https://www.google.com/url?q=https://contest.yandex.ru/ioi/contest/558/enter/&amp;sa=D&amp;ust=1605639798720000&amp;usg=AFQjCNGqGvzTxj_JKJRQNHVjsr2mUiFhtg" xr:uid="{B68BBB9B-D132-4BBB-A92C-78265CED2D21}"/>
    <hyperlink ref="F71" r:id="rId119" display="https://www.google.com/url?q=https://github.com/mostafa-saad/MyCompetitiveProgramming/blob/master/Olympiad/IOI/IOI-03-guess.txt&amp;sa=D&amp;ust=1605639798720000&amp;usg=AFQjCNH4-ihX_Erw1je5cMjRrI3SuGBcAg" xr:uid="{CD4E8D25-AAD8-4295-9CEC-FC0BF5D7FA17}"/>
    <hyperlink ref="B72" r:id="rId120" display="https://www.google.com/url?q=http://www.usaco.org/index.php?page%3Dviewproblem2%26cpid%3D1021&amp;sa=D&amp;ust=1605639798721000&amp;usg=AFQjCNHkekxtdiKJqn5UwjufnsENWEhPqA" xr:uid="{A384DB30-2B58-46AB-8539-EB37722CDAE0}"/>
    <hyperlink ref="B73" r:id="rId121" display="https://www.google.com/url?q=https://dunjudge.me/analysis/problems/698/&amp;sa=D&amp;ust=1605639798721000&amp;usg=AFQjCNH-OoMgpi6-fx0uTrs1w1W53QSuNA" xr:uid="{6FDC104B-6F1F-4F3D-93A8-0DE90B90E12D}"/>
    <hyperlink ref="B74" r:id="rId122" display="https://www.google.com/url?q=https://www.acmicpc.net/problem/2270&amp;sa=D&amp;ust=1605639798723000&amp;usg=AFQjCNEuQlPu5E3Q4VUiXXBrO81KRsIhOQ" xr:uid="{82C68AE4-35C2-463D-B387-1277CDB9B3AA}"/>
    <hyperlink ref="F74" r:id="rId123" display="https://www.google.com/url?q=https://github.com/mostafa-saad/MyCompetitiveProgramming/blob/master/Olympiad/CEOI/CEOI-03-Hanoi.txt&amp;sa=D&amp;ust=1605639798723000&amp;usg=AFQjCNGSfNK2r8FYz9PgYulIOFMtV1tWZA" xr:uid="{9D524418-1D23-467C-BF0C-420014D84C22}"/>
    <hyperlink ref="B75" r:id="rId124" display="https://www.google.com/url?q=https://oj.uz/problem/view/IOI18_combo&amp;sa=D&amp;ust=1605639798724000&amp;usg=AFQjCNENHvobef1glcEdIuu_bhk4l_jO8A" xr:uid="{527CD33E-BDD4-4760-A562-B94D58138544}"/>
    <hyperlink ref="F75" r:id="rId125" display="https://www.google.com/url?q=https://github.com/mostafa-saad/MyCompetitiveProgramming/blob/master/Olympiad/IOI/IOI-18-Combo.txt&amp;sa=D&amp;ust=1605639798724000&amp;usg=AFQjCNGEp0QOYHF8gAdW4t0K0vqNs1XzJg" xr:uid="{B7940517-EAD1-41B5-817D-C901757AC58D}"/>
    <hyperlink ref="B76" r:id="rId126" display="https://www.google.com/url?q=https://oj.uz/problems/source/351&amp;sa=D&amp;ust=1605639798724000&amp;usg=AFQjCNHHOkY-UJzKB8ridp2QPzf_uDlncQ" xr:uid="{BD0B0BF7-F08A-450E-9BB6-724E8E8057DC}"/>
    <hyperlink ref="F76" r:id="rId127" display="https://www.google.com/url?q=https://github.com/mostafa-saad/MyCompetitiveProgramming/blob/master/Olympiad/JOI/JOIOC-18-Xylophone.txt&amp;sa=D&amp;ust=1605639798724000&amp;usg=AFQjCNFPVSKoFIi9-YYAptZXh19WARVKfg" xr:uid="{574BFE05-66AD-4F44-9CC0-1ADC5207FB2E}"/>
    <hyperlink ref="B77" r:id="rId128" display="https://www.google.com/url?q=https://www.infoarena.ro/problema/interact&amp;sa=D&amp;ust=1605639798725000&amp;usg=AFQjCNHCMR_sm26AmdrSi1QMacTdE7jkoQ" xr:uid="{3EE55F8C-1A17-4B5A-83A5-1A4453B13598}"/>
    <hyperlink ref="F77" r:id="rId129" display="https://www.google.com/url?q=https://github.com/mostafa-saad/MyCompetitiveProgramming/blob/master/Olympiad/infoarena/infoarena-interact.txt&amp;sa=D&amp;ust=1605639798725000&amp;usg=AFQjCNHGImHpNt1LlAh6fXu7_liimF9-kA" xr:uid="{DC6E230D-DDD0-462E-83E9-637CE8E225B0}"/>
    <hyperlink ref="B78" r:id="rId130" display="https://www.google.com/url?q=https://www.ioi-jp.org/camp/2018/2018-sp-tasks/index.html&amp;sa=D&amp;ust=1605639798725000&amp;usg=AFQjCNEsP6iMlazK96wvSRMvZ7S69K79vQ" xr:uid="{404D3916-FD38-4574-BECE-5453B5FB292F}"/>
    <hyperlink ref="F78" r:id="rId131" display="https://www.google.com/url?q=https://github.com/mostafa-saad/MyCompetitiveProgramming/blob/master/Olympiad/JOI/JOISC-18-library.txt&amp;sa=D&amp;ust=1605639798726000&amp;usg=AFQjCNGEJEXKyUgt9tU1OblQ-AmGrkY3jw" xr:uid="{4F710086-B80F-4DC6-B24A-1DE4456F8673}"/>
    <hyperlink ref="B79" r:id="rId132" display="https://www.google.com/url?q=https://szkopul.edu.pl/problemset/problem/3buviDQZWLE83AxVhvJJurgU/site/&amp;sa=D&amp;ust=1605639798726000&amp;usg=AFQjCNEyYdG3-kctON_G0Qgjz1nWteHF3w" xr:uid="{A370A9E0-745E-4377-BBA3-2CD079B6F04D}"/>
    <hyperlink ref="F79" r:id="rId133" display="https://www.google.com/url?q=https://github.com/mostafa-saad/MyCompetitiveProgramming/blob/master/Olympiad/POI/official/find_editorial_sols_guidelines.txt&amp;sa=D&amp;ust=1605639798726000&amp;usg=AFQjCNEr1MoOZs0CSQVW1FbWynj6I4hhbg" xr:uid="{0637593D-A109-4360-9C66-DD2B14E51202}"/>
    <hyperlink ref="B80" r:id="rId134" display="https://www.google.com/url?q=https://oj.uz/problem/view/COCI19_parametriziran&amp;sa=D&amp;ust=1605639798727000&amp;usg=AFQjCNEsCbwIhYjEOZ-O_FE5sngIMTXuFQ" xr:uid="{6D2D1257-A4A4-47A5-B07C-B0F28292C6AC}"/>
    <hyperlink ref="F80" r:id="rId135" display="https://www.google.com/url?q=https://github.com/Szawinis/CompetitiveProgramming/blob/master/Olympiad/COCI/COCI19-parametriziran.cpp&amp;sa=D&amp;ust=1605639798727000&amp;usg=AFQjCNGDapRKDSnPAyR8Zmb8kvrdD6KC7g" xr:uid="{632F0A93-96B7-4DB8-BDEB-706A0B36F993}"/>
    <hyperlink ref="B81" r:id="rId136" display="https://www.google.com/url?q=http://usaco.org/index.php?page%3Dviewproblem2%26cpid%3D720&amp;sa=D&amp;ust=1605639798727000&amp;usg=AFQjCNEJNu-I5CY9r2omxT6nrmNSCRBeEw" xr:uid="{4CA48813-A9AB-43F7-A5FE-25760BFE0CF4}"/>
    <hyperlink ref="B82" r:id="rId137" display="https://www.google.com/url?q=https://oj.uz/problem/view/IOI19_transfer&amp;sa=D&amp;ust=1605639798728000&amp;usg=AFQjCNGfdOTZwd2zHZdrbCp8nWdST7YxtQ" xr:uid="{AFBEDE24-84D5-4ED7-910C-B1F516F7CFCD}"/>
    <hyperlink ref="F82" r:id="rId138" display="https://www.google.com/url?q=https://github.com/tmwilliamlin168/CompetitiveProgramming/blob/master/IOI/19P-Transfer.cpp&amp;sa=D&amp;ust=1605639798728000&amp;usg=AFQjCNFC7QGrKvebZR2SU4A15W2Xw0QakQ" xr:uid="{87E866A2-0189-4666-944E-F75A54281A7B}"/>
    <hyperlink ref="B83" r:id="rId139" display="https://www.google.com/url?q=https://szkopul.edu.pl/problemset/problem/Syg2bcb2gzeOcCBXcL4ap80b/site/&amp;sa=D&amp;ust=1605639798728000&amp;usg=AFQjCNEnIWMzMXGx65vTidKp1zXcHAnlBg" xr:uid="{3ECB5632-FCED-4569-B179-4A30F6D1C106}"/>
    <hyperlink ref="F83" r:id="rId140" display="https://www.google.com/url?q=https://github.com/mostafa-saad/MyCompetitiveProgramming/blob/master/Olympiad/POI/POI-05-Bus.txt&amp;sa=D&amp;ust=1605639798728000&amp;usg=AFQjCNEqu64JWkspRPzQZy6iukqF8rajLg" xr:uid="{702BAC70-A5B9-4234-877D-0BD176AA83A6}"/>
    <hyperlink ref="B84" r:id="rId141" display="https://www.google.com/url?q=https://joisc2013-day3.contest.atcoder.jp/tasks/joisc2013_mountain&amp;sa=D&amp;ust=1605639798729000&amp;usg=AFQjCNEEeoT59N8qA1IBQCPGrGzUMnzv7w" xr:uid="{6910FF0C-89C4-4743-B4AB-B69AF71EF58F}"/>
    <hyperlink ref="B85" r:id="rId142" display="https://www.google.com/url?q=https://oj.uz/problem/view/IOI16_tetris&amp;sa=D&amp;ust=1605639798729000&amp;usg=AFQjCNHNObllkVN7M1Lsdur3Sy7ugAaVbA" xr:uid="{DCB4C2AD-974D-46B9-A5D5-48B5422A914C}"/>
    <hyperlink ref="F85" r:id="rId143" display="https://www.google.com/url?q=https://github.com/mostafa-saad/MyCompetitiveProgramming/blob/master/Olympiad/IOI/IOI-16-tetris.txt&amp;sa=D&amp;ust=1605639798764000&amp;usg=AFQjCNENXZYvif8OHxyo-XJplJygVCtm2g" xr:uid="{22FA0728-E671-4D2D-ABD5-A7B0ABE18623}"/>
    <hyperlink ref="B86" r:id="rId144" display="https://www.google.com/url?q=https://dunjudge.me/analysis/problems/1226/&amp;sa=D&amp;ust=1605639798765000&amp;usg=AFQjCNELDIPRYi4wJMn-AYvkRCYJrBj8uQ" xr:uid="{AECBA92B-9DD9-4187-B89C-EA0C46523666}"/>
    <hyperlink ref="F86" r:id="rId145" display="https://www.google.com/url?q=https://github.com/mostafa-saad/MyCompetitiveProgramming/blob/master/Olympiad/NOI/official&amp;sa=D&amp;ust=1605639798765000&amp;usg=AFQjCNEz_JA03-yYOfsYL3dgjbG8Kb3fHA" xr:uid="{F6C7191C-D314-4D40-9910-CFC995BE39CB}"/>
    <hyperlink ref="B87" r:id="rId146" display="https://www.google.com/url?q=https://contest.yandex.ru/ioi/contest/570/problems/C/&amp;sa=D&amp;ust=1605639798765000&amp;usg=AFQjCNGd7tjV6Gf1GYIVvTAFPLY0E7QUWw" xr:uid="{CA821D2C-A775-4775-B898-D474ED3F7341}"/>
    <hyperlink ref="F87" r:id="rId147" display="https://www.google.com/url?q=https://github.com/mostafa-saad/MyCompetitiveProgramming/blob/master/Olympiad/IOI/IOI-10-quality.txt&amp;sa=D&amp;ust=1605639798766000&amp;usg=AFQjCNF7LiychLk9DBAccKqNnrimIj0Rbw" xr:uid="{3E3E8653-2244-4F0F-9084-805A1E0D7CA5}"/>
    <hyperlink ref="B88" r:id="rId148" display="https://www.google.com/url?q=http://usaco.org/index.php?page%3Dviewproblem2%26cpid%3D100&amp;sa=D&amp;ust=1605639798766000&amp;usg=AFQjCNHcvBSReZ79ryaLtVIBRBYlMr7CEA" xr:uid="{3B32CED9-EAD6-442F-ADA5-5719CDD545B5}"/>
    <hyperlink ref="B89" r:id="rId149" display="https://www.google.com/url?q=https://dmoj.ca/problem/coci13c1p2&amp;sa=D&amp;ust=1605639798766000&amp;usg=AFQjCNGA9Y-tSGlt343ch8DsUHH8eIsMWw" xr:uid="{EC3972E2-157C-4FF1-B79E-2055574E9C39}"/>
    <hyperlink ref="F89" r:id="rId150" display="https://www.google.com/url?q=https://github.com/mostafa-saad/MyCompetitiveProgramming/blob/master/Olympiad/COCI/official/2014/contest1_solutions&amp;sa=D&amp;ust=1605639798767000&amp;usg=AFQjCNG2EjKXfI_ikOjgLZOhPrvwtA3Dow" xr:uid="{8A2887ED-B4D0-44B7-9884-FC214CD07A80}"/>
    <hyperlink ref="B90" r:id="rId151" display="https://www.google.com/url?q=https://cses.fi/191/list/&amp;sa=D&amp;ust=1605639798767000&amp;usg=AFQjCNHm6Gh39ArbiwI8Aomeq_A1P7Pkjw" xr:uid="{71E5AD6F-E4C6-41D8-B7AA-1D5BE3854D9E}"/>
    <hyperlink ref="F90" r:id="rId152" display="https://www.google.com/url?q=https://github.com/mostafa-saad/MyCompetitiveProgramming/blob/master/Olympiad/CEOI/CEOI-05-keys.txt&amp;sa=D&amp;ust=1605639798767000&amp;usg=AFQjCNEqUdsiXHVgJDbBkaVVV0lY411HJw" xr:uid="{D8FEAC9F-7B95-4B85-9886-70BCAAD92C2C}"/>
    <hyperlink ref="B91" r:id="rId153" display="https://www.google.com/url?q=https://www.infoarena.ro/problema/bitcost&amp;sa=D&amp;ust=1605639798773000&amp;usg=AFQjCNFPlQHmVgTF8QER9ot0CYgBbG9LMw" xr:uid="{FC6001AD-40EF-498D-BBF5-922584F5B0C0}"/>
    <hyperlink ref="F91" r:id="rId154" display="https://www.google.com/url?q=https://github.com/stefdasca/CompetitiveProgramming/blob/master/Infoarena/bitcost.cpp&amp;sa=D&amp;ust=1605639798773000&amp;usg=AFQjCNFWzC_vQlQdt4SbaTicQYtyddz6pg" xr:uid="{5324C4FC-79E5-415E-AD2F-4B3E02C58AB7}"/>
    <hyperlink ref="B92" r:id="rId155" display="https://www.google.com/url?q=https://oj.uz/problem/view/NOI13_gw&amp;sa=D&amp;ust=1605639798774000&amp;usg=AFQjCNFMNUl-Wb0EaHJ2C2aD52SEPztbIw" xr:uid="{ABF09D45-8311-4E75-8EDC-BBC69B3D25D1}"/>
    <hyperlink ref="F92" r:id="rId156" display="https://www.google.com/url?q=https://github.com/sjhuang26/competitive-programming/blob/master/noi/NOI%252013-gw.cpp&amp;sa=D&amp;ust=1605639798774000&amp;usg=AFQjCNGkizMxy_T1olkzO4wlGJWzuDUGLQ" xr:uid="{2DDB8350-B815-41E4-A8BA-35B216BB091C}"/>
    <hyperlink ref="B93" r:id="rId157" display="https://www.google.com/url?q=https://dmoj.ca/problem/coci15c3p4&amp;sa=D&amp;ust=1605639798774000&amp;usg=AFQjCNE61-J7Rfj_5sot8oQrywj8npoZ0A" xr:uid="{CC863F13-BAEE-4640-A2F7-59B7E0A5F953}"/>
    <hyperlink ref="F93" r:id="rId158" display="https://www.google.com/url?q=https://github.com/mostafa-saad/MyCompetitiveProgramming/blob/master/Olympiad/COCI/official/2016/contest3_solutions&amp;sa=D&amp;ust=1605639798775000&amp;usg=AFQjCNH9df5sJvLvgY_oYq4lx41AFd6mnA" xr:uid="{B35C1D49-F059-4995-BE47-8BC37E4D2CED}"/>
    <hyperlink ref="B94" r:id="rId159" display="https://www.google.com/url?q=https://wcipeg.com/problem/coci091p4&amp;sa=D&amp;ust=1605639798775000&amp;usg=AFQjCNFxfXduYJ-2pYWGvgweVuw88faL4A" xr:uid="{284476B5-C8B7-461A-8034-7B5A09513A3A}"/>
    <hyperlink ref="F94" r:id="rId160" display="https://www.google.com/url?q=https://github.com/mostafa-saad/MyCompetitiveProgramming/blob/master/Olympiad/COCI/official/2010/contest1_solutions&amp;sa=D&amp;ust=1605639798775000&amp;usg=AFQjCNHnvJQOrubvxDv3rOabnioNFBnM1Q" xr:uid="{D0C01A46-4C15-4F00-8242-C22F1CA92E13}"/>
    <hyperlink ref="B95" r:id="rId161" display="https://www.google.com/url?q=https://dmoj.ca/problem/coci14c5p5&amp;sa=D&amp;ust=1605639798776000&amp;usg=AFQjCNFDW1twOj8mep_KbB_3s1g5UvhQzg" xr:uid="{15E3BDE0-1DDD-4E5F-B572-BFC639F4674F}"/>
    <hyperlink ref="F95" r:id="rId162" display="https://www.google.com/url?q=https://github.com/mostafa-saad/MyCompetitiveProgramming/blob/master/Olympiad/COCI/official/2015/contest5_solutions&amp;sa=D&amp;ust=1605639798776000&amp;usg=AFQjCNGZbIegMVlOE2Ih9t9H9h9N9EHOfA" xr:uid="{291013A9-638F-42BC-BC7A-99C33653E55A}"/>
    <hyperlink ref="B96" r:id="rId163" display="https://www.google.com/url?q=http://usaco.org/index.php?page%3Dviewproblem2%26cpid%3D923&amp;sa=D&amp;ust=1605639798776000&amp;usg=AFQjCNFiOgZhhesFTacid-J10qu8K71trw" xr:uid="{E5AFEB91-7CF7-41D2-8958-B44A39EF582D}"/>
    <hyperlink ref="B97" r:id="rId164" display="https://www.google.com/url?q=https://oj.uz/problem/view/IOI14_gondola&amp;sa=D&amp;ust=1605639798777000&amp;usg=AFQjCNGBToi7jdXtDN9ULNzYu3zjpgP6KA" xr:uid="{F0427F8A-C393-443A-AB7A-535F00229290}"/>
    <hyperlink ref="F97" r:id="rId165" display="https://www.google.com/url?q=http://blog.brucemerry.org.za/2014/07/&amp;sa=D&amp;ust=1605639798777000&amp;usg=AFQjCNFj4lVq-Stb2TNLgpgZXVj6jDEQTw" xr:uid="{D29DCCE1-3DAB-4C0A-AF2B-C9B3E92EB030}"/>
    <hyperlink ref="B98" r:id="rId166" display="https://www.google.com/url?q=https://oj.uz/problems/source/56&amp;sa=D&amp;ust=1605639798777000&amp;usg=AFQjCNEQPwgNR3lg2u8NnKYhx1IzwqduYw" xr:uid="{0DC7D9A3-F0B7-404F-99BF-2D7CBAAE4414}"/>
    <hyperlink ref="F98" r:id="rId167" display="https://www.google.com/url?q=https://github.com/Yehezkiel01/CompetitiveProgramming/blob/master/JOIOC/JOIOC-14-secret.cpp&amp;sa=D&amp;ust=1605639798777000&amp;usg=AFQjCNHC5Y_mTuhbZl2MsNBWQP38N6ifeA" xr:uid="{4FAF6067-CA49-4DC0-A8C2-69B41BA5B6EE}"/>
    <hyperlink ref="B99" r:id="rId168" display="https://www.google.com/url?q=https://szkopul.edu.pl/problemset/problem/iiSZmNzhLW2p6YVBDu0gIf4G/site/&amp;sa=D&amp;ust=1605639798778000&amp;usg=AFQjCNFUx5syJDHSZtL3CJ4zToZnTDqZHA" xr:uid="{911E551B-6C60-415F-9DA1-F0D79AD43B1B}"/>
    <hyperlink ref="F99" r:id="rId169" display="https://www.google.com/url?q=https://github.com/peon-pasado/CompetitiveProgramming/blob/master/szkoput/POI-10-Beads.cpp&amp;sa=D&amp;ust=1605639798778000&amp;usg=AFQjCNGLMrvJV6h1a7HBcWwenRN5zhCcuA" xr:uid="{7E3A70E9-5EAA-4E42-9584-DCBB09C09C62}"/>
    <hyperlink ref="B100" r:id="rId170" display="https://www.google.com/url?q=https://www.hackerrank.com/contests/ioi-2014-practice-contest-1/challenges&amp;sa=D&amp;ust=1605639798779000&amp;usg=AFQjCNEJCJRyzZuIIDlNsvfdvwyAPIWSjQ" xr:uid="{AAD305B7-0B1F-4C61-A30D-78CF72B3F798}"/>
    <hyperlink ref="F100" r:id="rId171" display="https://www.google.com/url?q=https://github.com/mostafa-saad/MyCompetitiveProgramming/blob/master/Olympiad/IOI/IOIPractice-14-color-grid-ioi14.txt&amp;sa=D&amp;ust=1605639798779000&amp;usg=AFQjCNF8M4mz3FayeAjvPTNfqTmaA5gD5w" xr:uid="{1000522C-D63F-4735-8B6C-3AFD3BF68752}"/>
    <hyperlink ref="B101" r:id="rId172" display="https://www.google.com/url?q=https://dmoj.ca/problem/dmpg15s5&amp;sa=D&amp;ust=1605639798779000&amp;usg=AFQjCNHKY0Mjra7f5g_wG8-ZRPWkRtpMEg" xr:uid="{111DFF68-ED8B-4E26-A623-09CAA3E25105}"/>
    <hyperlink ref="B102" r:id="rId173" display="https://www.google.com/url?q=https://www.hackerrank.com/contests/ioi-2014-practice-contest-1/challenges&amp;sa=D&amp;ust=1605639798780000&amp;usg=AFQjCNF131vqd8jsnI7Wxa7uZZrMsqndnA" xr:uid="{88A6BA45-05A8-4B4D-ABA0-F27E0EE8F85B}"/>
    <hyperlink ref="F102" r:id="rId174" display="https://www.google.com/url?q=https://github.com/Yehezkiel01/CompetitiveProgramming/blob/master/IOIPractice/IOIPractice-14-christopher-candy-ioi14.cpp&amp;sa=D&amp;ust=1605639798780000&amp;usg=AFQjCNFM84y1fuqCt6c9TpChN0YreduUmg" xr:uid="{0B9563DD-74E6-4F27-91A6-4D3DFA945492}"/>
    <hyperlink ref="B103" r:id="rId175" display="https://www.google.com/url?q=https://www.infoarena.ro/problema/covor&amp;sa=D&amp;ust=1605639798780000&amp;usg=AFQjCNHbS9rAN1dSzko5usIhgZJVrAA_kg" xr:uid="{7F7EA9D5-F917-470F-8B94-333C354E0817}"/>
    <hyperlink ref="F103" r:id="rId176" display="https://www.google.com/url?q=https://github.com/stefdasca/CompetitiveProgramming/blob/master/Infoarena/covor&amp;sa=D&amp;ust=1605639798780000&amp;usg=AFQjCNEVLI9ChPF55yxfsB09Ms0HfHXNAw" xr:uid="{43D295F0-93B4-43CA-8C58-7465988C3DE6}"/>
    <hyperlink ref="B104" r:id="rId177" display="https://www.google.com/url?q=https://www.infoarena.ro/problema/greutati&amp;sa=D&amp;ust=1605639798781000&amp;usg=AFQjCNGSDB3gPClYkBMH10nQpLOc3F9byg" xr:uid="{F024E10E-B8F4-4CC1-A3FC-705354CB34B4}"/>
    <hyperlink ref="F104" r:id="rId178" display="https://www.google.com/url?q=https://github.com/stefdasca/CompetitiveProgramming/blob/master/Infoarena/greutati.cpp&amp;sa=D&amp;ust=1605639798781000&amp;usg=AFQjCNHq89xrAe51FhCgRG6W2--TQjXf_w" xr:uid="{FD17DE2A-F3C2-4B1D-8DA4-29FC1070FAAD}"/>
    <hyperlink ref="B105" r:id="rId179" display="https://www.google.com/url?q=https://cses.fi/115/list/&amp;sa=D&amp;ust=1605639798781000&amp;usg=AFQjCNFD2rKXTee4Gq1kWBv4D092Fu3eBg" xr:uid="{667803B4-75A6-475B-A79F-F00C1F65393C}"/>
    <hyperlink ref="F105" r:id="rId180" display="https://www.google.com/url?q=https://github.com/mostafa-saad/MyCompetitiveProgramming/blob/master/Olympiad/Baltic/official/boi2005_solutions&amp;sa=D&amp;ust=1605639798781000&amp;usg=AFQjCNGOtDN_DQdYtEF4jcrBrfHZp_-89g" xr:uid="{89AB489F-957E-4E13-8971-C8B50F02F1EE}"/>
    <hyperlink ref="B106" r:id="rId181" display="https://www.google.com/url?q=https://szkopul.edu.pl/problemset/problem/k9UKIj11V6iPRc3LaiYQYHyi/site/&amp;sa=D&amp;ust=1605639798782000&amp;usg=AFQjCNG83JCKdZCzELXvY2iluTU_de_IFg" xr:uid="{27AAC418-C8CD-4E08-BEE4-52098BDCEDC8}"/>
    <hyperlink ref="F106" r:id="rId182" display="https://www.google.com/url?q=https://github.com/mostafa-saad/MyCompetitiveProgramming/blob/master/Olympiad/POI/official/find_editorial_sols_guidelines.txt&amp;sa=D&amp;ust=1605639798782000&amp;usg=AFQjCNGgQjrZ4VnyjzN8pq2v7eSDzrwV7g" xr:uid="{CFE859F8-C703-47A0-A9D1-5A0D8850A3C7}"/>
    <hyperlink ref="B107" r:id="rId183" display="https://www.google.com/url?q=https://dmoj.ca/problem/coci06c5p5&amp;sa=D&amp;ust=1605639798782000&amp;usg=AFQjCNFzPRMBjCMucMnW4iIRZeT6BQavIw" xr:uid="{30A263BF-DFC2-4582-AE27-C784441250FE}"/>
    <hyperlink ref="F107" r:id="rId184" display="https://www.google.com/url?q=https://github.com/mostafa-saad/MyCompetitiveProgramming/tree/master/Olympiad/COCI/official/2007/contest5_solutions&amp;sa=D&amp;ust=1605639798782000&amp;usg=AFQjCNH2m9B5MDA6KCVl4yiYlM97t1hs0g" xr:uid="{DE2B7A2C-9B40-4360-A492-B33EC0502CBC}"/>
    <hyperlink ref="B108" r:id="rId185" display="https://www.google.com/url?q=https://dmoj.ca/problem/coci07c4p4&amp;sa=D&amp;ust=1605639798783000&amp;usg=AFQjCNHLNeMMtyfPwAEoNUQznnpI7izI2g" xr:uid="{313AD270-FD3A-4BC1-9F48-5A2F08EE9B96}"/>
    <hyperlink ref="F108" r:id="rId186" display="https://www.google.com/url?q=https://github.com/mostafa-saad/MyCompetitiveProgramming/tree/master/Olympiad/COCI/official/2008/contest4_solutions&amp;sa=D&amp;ust=1605639798784000&amp;usg=AFQjCNEw5rZqaHprR-hPgUYrP-JBD8O-YQ" xr:uid="{D8B735C7-1514-4DEF-A627-72A6EF5A1A13}"/>
    <hyperlink ref="B109" r:id="rId187" display="https://www.google.com/url?q=https://oj.uz/problem/view/COCI18_kocka&amp;sa=D&amp;ust=1605639798785000&amp;usg=AFQjCNElZgrOeSrtRmbu3yMtuY-I4mSA5w" xr:uid="{3AB8BD2F-58B5-4B39-9792-9564A86F1855}"/>
    <hyperlink ref="F109" r:id="rId188" display="https://www.google.com/url?q=https://github.com/ZeyadKhattab/Competitive-Programming/blob/master/Problems/COCI%252019-kocka.java&amp;sa=D&amp;ust=1605639798785000&amp;usg=AFQjCNFDej8NgXKSnOD4sJGjhGYPrLBdTg" xr:uid="{0D62ED56-8C92-418F-BDC8-D1F3C9090130}"/>
    <hyperlink ref="B110" r:id="rId189" display="https://www.google.com/url?q=https://dmoj.ca/problem/ccc16s5&amp;sa=D&amp;ust=1605639798785000&amp;usg=AFQjCNGuu1oC_N5H9D8d7gnlD_j-moc3ZQ" xr:uid="{F9619919-B033-4689-B0E1-FB422ACF99FB}"/>
    <hyperlink ref="B111" r:id="rId190" display="https://www.google.com/url?q=http://usaco.org/index.php?page%3Dviewproblem2%26cpid%3D946&amp;sa=D&amp;ust=1605639798786000&amp;usg=AFQjCNHJbOp8ny8fyZjSPla3ULTyGHkq2w" xr:uid="{89A88958-74E9-427C-9D2E-7DC803E60FA9}"/>
    <hyperlink ref="B112" r:id="rId191" display="https://www.google.com/url?q=https://szkopul.edu.pl/problemset/problem/S-cyTRH8ScRh-XfLPAsXCQ0e/site/&amp;sa=D&amp;ust=1605639798786000&amp;usg=AFQjCNFeXD3BysELgvYpQbk0vuY3MsrAJQ" xr:uid="{02953370-C24C-4A71-A34F-E6591C69E10E}"/>
    <hyperlink ref="F112" r:id="rId192" display="https://www.google.com/url?q=https://github.com/mostafa-saad/MyCompetitiveProgramming/blob/master/Olympiad/POI/official/find_editorial_sols_guidelines.txt&amp;sa=D&amp;ust=1605639798786000&amp;usg=AFQjCNFISueVS5SHkJcH8HMB94wO81JIKw" xr:uid="{C92D0ABF-30F5-4CA2-A33B-20E07F9707C2}"/>
    <hyperlink ref="B113" r:id="rId193" display="https://www.google.com/url?q=https://dunjudge.me/analysis/problems/963/&amp;sa=D&amp;ust=1605639798787000&amp;usg=AFQjCNExltq0pzjrR_6vuvetbd3orHaNKA" xr:uid="{B5A3656B-52C2-41A4-8D7E-799FDF16168B}"/>
    <hyperlink ref="F113" r:id="rId194" display="https://www.google.com/url?q=https://github.com/mostafa-saad/MyCompetitiveProgramming/tree/master/Olympiad/MCO/official&amp;sa=D&amp;ust=1605639798787000&amp;usg=AFQjCNFMPyOtGrdLm0OQOK4cWQat8wlS1w" xr:uid="{DAF9422F-2B80-4F0A-8FD5-02C437B622C5}"/>
    <hyperlink ref="B114" r:id="rId195" display="https://www.google.com/url?q=https://dunjudge.me/analysis/problems/553/&amp;sa=D&amp;ust=1605639798787000&amp;usg=AFQjCNEKLoaSCO5eetQOeKiVhZrRwWvB-w" xr:uid="{C3A75877-CC7A-4239-9DC5-1D8FFA9D8C59}"/>
    <hyperlink ref="F114" r:id="rId196" display="https://www.google.com/url?q=https://github.com/mostafa-saad/MyCompetitiveProgramming/tree/master/Olympiad/MCO/official/2014&amp;sa=D&amp;ust=1605639798787000&amp;usg=AFQjCNH2UOgeuN6_jyPSYLe7uvfZGc0XgQ" xr:uid="{009A4E05-B7BC-4719-83AC-F20B7166C5B9}"/>
    <hyperlink ref="B115" r:id="rId197" display="https://www.google.com/url?q=https://dunjudge.me/analysis/problems/701/&amp;sa=D&amp;ust=1605639798788000&amp;usg=AFQjCNFHShzY6CcdyQrEOu_5mJJUalchfg" xr:uid="{7D5170EC-FFD3-4A2C-904A-5FB79B7255A5}"/>
    <hyperlink ref="B116" r:id="rId198" display="https://www.google.com/url?q=https://dmoj.ca/problem/coci13c1p5&amp;sa=D&amp;ust=1605639798788000&amp;usg=AFQjCNFAsL9qFiUSmTKwp1Rzih_kLC5ygA" xr:uid="{24A20FAF-9E52-4CBB-9DAC-2247449012FF}"/>
    <hyperlink ref="F116" r:id="rId199" display="https://www.google.com/url?q=https://github.com/mostafa-saad/MyCompetitiveProgramming/blob/master/Olympiad/COCI/official/2014/contest1_solutions&amp;sa=D&amp;ust=1605639798789000&amp;usg=AFQjCNHROj_HFuZqKZ4cdW9UzI_D3WWETg" xr:uid="{A5127C00-6003-4232-BF1C-8825B52BDE6C}"/>
    <hyperlink ref="B117" r:id="rId200" display="https://www.google.com/url?q=https://www.infoarena.ro/problema/bile6&amp;sa=D&amp;ust=1605639798789000&amp;usg=AFQjCNEegSnP_075o6vrm1_QaWrCueswQA" xr:uid="{B0875256-5009-4424-AD74-EEB07144C03F}"/>
    <hyperlink ref="F117" r:id="rId201" display="https://www.google.com/url?q=https://github.com/stefdasca/CompetitiveProgramming/blob/master/Infoarena/bile6.cpp&amp;sa=D&amp;ust=1605639798790000&amp;usg=AFQjCNGC5fFdJnCXzwDFmCYr3oHZCltjBQ" xr:uid="{37F10CC7-73A3-4985-8D4C-4C878E546C65}"/>
    <hyperlink ref="B118" r:id="rId202" display="https://www.google.com/url?q=https://oj.uz/problem/view/COCI18_preokret&amp;sa=D&amp;ust=1605639798790000&amp;usg=AFQjCNGTE78NqAmcZfswJ3LGfT-TeqZY5Q" xr:uid="{BFAA5485-7332-48FF-A09F-FD7202E606BB}"/>
    <hyperlink ref="B119" r:id="rId203" display="https://www.google.com/url?q=https://oj.uz/problem/view/COCI17_igra&amp;sa=D&amp;ust=1605639798790000&amp;usg=AFQjCNFXj-MpV8WamPwoQTxBmwI_a7J1jA" xr:uid="{0AE52DBA-6D2C-4FCD-B0B3-0EEBA5D14ED6}"/>
    <hyperlink ref="F119" r:id="rId204" display="https://www.google.com/url?q=https://github.com/mostafa-saad/MyCompetitiveProgramming/blob/master/Olympiad/COCI/official/2017/contest7_solutions&amp;sa=D&amp;ust=1605639798791000&amp;usg=AFQjCNEc3_yYIa4Tp3FVx5sKszZXOEzBWA" xr:uid="{F923DBDF-755C-45BD-BD59-2224A443DA2A}"/>
    <hyperlink ref="B120" r:id="rId205" display="https://www.google.com/url?q=https://dunjudge.me/analysis/problems/1825/&amp;sa=D&amp;ust=1605639798791000&amp;usg=AFQjCNEHubpWHMlZA3yz4nkazd_TKWkGeg" xr:uid="{B9486506-FE1C-467B-8556-DE4747C2841D}"/>
    <hyperlink ref="B121" r:id="rId206" display="https://www.google.com/url?q=https://dmoj.ca/problem/coci14c4p4&amp;sa=D&amp;ust=1605639798791000&amp;usg=AFQjCNHTsyRvVHJFbL7pj-KR8ELPCpltcQ" xr:uid="{C99AE557-6753-4D87-A8DD-0C0406239D22}"/>
    <hyperlink ref="F121" r:id="rId207" display="https://www.google.com/url?q=https://github.com/mostafa-saad/MyCompetitiveProgramming/blob/master/Olympiad/COCI/official/2015/contest4_solutions&amp;sa=D&amp;ust=1605639798792000&amp;usg=AFQjCNH1goflbJLotRTsiSRMRcPzGb59Fw" xr:uid="{D911670A-A94F-416C-A3A5-647F7D9D9831}"/>
    <hyperlink ref="B122" r:id="rId208" display="https://www.google.com/url?q=https://dunjudge.me/analysis/problems/273/&amp;sa=D&amp;ust=1605639798792000&amp;usg=AFQjCNGposMyyyEVSBf0R6UJBe3QaGJM8g" xr:uid="{A0A71E46-BA52-4FC3-AB91-E9C165ABA435}"/>
    <hyperlink ref="F122" r:id="rId209" display="https://www.google.com/url?q=https://github.com/mostafa-saad/MyCompetitiveProgramming/blob/master/Olympiad/NOI/official&amp;sa=D&amp;ust=1605639798792000&amp;usg=AFQjCNEjxs-ZeH5SF4f-0r5_wrGPuBcLgA" xr:uid="{BA4F703A-E98D-4501-BDCF-195202A68377}"/>
    <hyperlink ref="B123" r:id="rId210" display="https://www.google.com/url?q=https://ipsc.ksp.sk/2018/real/problems/h.html&amp;sa=D&amp;ust=1605639798793000&amp;usg=AFQjCNFDAX-stYZnZ808WQFqfHml-9e63g" xr:uid="{A0856913-E187-4F57-B16A-664CBC12A2C9}"/>
    <hyperlink ref="B124" r:id="rId211" display="https://www.google.com/url?q=https://ipsc.ksp.sk/2018/real/problems/j.html&amp;sa=D&amp;ust=1605639798793000&amp;usg=AFQjCNEE3KdGQzUiCc_JOtoV0g3VGEq87w" xr:uid="{B1CEEC26-BCD8-4F0B-AAA6-7455C18EB9C8}"/>
    <hyperlink ref="B125" r:id="rId212" display="https://www.google.com/url?q=https://contest.yandex.ru/ioi/contest/562/problems/A/&amp;sa=D&amp;ust=1605639798794000&amp;usg=AFQjCNGNoQlfk8tjQpPIUU5bSvpBjvbTcg" xr:uid="{0C54450A-505D-4A98-B051-C39FCAC2FFFA}"/>
    <hyperlink ref="F125" r:id="rId213" display="https://www.google.com/url?q=https://github.com/mostafa-saad/MyCompetitiveProgramming/blob/master/Olympiad/IOI/official/2006/ioi06_writing_sol.pdf&amp;sa=D&amp;ust=1605639798794000&amp;usg=AFQjCNFyd4VyolO4n_t4llNzDuAc3DoucQ" xr:uid="{EFCF3B86-6DEC-4AB8-836A-269A2EF73B3C}"/>
    <hyperlink ref="B126" r:id="rId214" display="https://www.google.com/url?q=https://dmoj.ca/problem/coci14c7p2&amp;sa=D&amp;ust=1605639798795000&amp;usg=AFQjCNFMbzt6dlyVfqTtPErCbr4xiszACQ" xr:uid="{8888A4DF-A36D-4FB6-AAA4-82FF702A0ACD}"/>
    <hyperlink ref="F126" r:id="rId215" display="https://www.google.com/url?q=https://github.com/mostafa-saad/MyCompetitiveProgramming/blob/master/Olympiad/COCI/official/2015/contest7_solutions&amp;sa=D&amp;ust=1605639798795000&amp;usg=AFQjCNGMSZFnni71SNI5ZoEZOxZiVxyDww" xr:uid="{D4E04CD6-BB03-4C8B-A031-22BDED82DA64}"/>
    <hyperlink ref="B127" r:id="rId216" display="https://www.google.com/url?q=https://szkopul.edu.pl/problemset/problem/Arkza0f7GKKb-m1YZJulnlMk/site/&amp;sa=D&amp;ust=1605639798796000&amp;usg=AFQjCNHc9uFZHJnoehnBjVNwfwTwlNtN6A" xr:uid="{6A452FFE-9B86-4CE4-BD48-72AB14D8862A}"/>
    <hyperlink ref="F127" r:id="rId217" display="https://www.google.com/url?q=https://github.com/mostafa-saad/MyCompetitiveProgramming/blob/master/Olympiad/POI/official/find_editorial_sols_guidelines.txt&amp;sa=D&amp;ust=1605639798797000&amp;usg=AFQjCNGCP7Ys446C4GIkUET_4-tsOi7Alg" xr:uid="{CE339718-6BA2-4B17-A2C7-CEAE43CA35F0}"/>
    <hyperlink ref="B128" r:id="rId218" display="https://www.google.com/url?q=https://oj.uz/problem/view/IOI17_cup&amp;sa=D&amp;ust=1605639798797000&amp;usg=AFQjCNHG9LWJvgjdLCaWzI8noJssH3trUw" xr:uid="{45AA779E-F6EE-48EB-B41F-AE925F485229}"/>
    <hyperlink ref="B129" r:id="rId219" display="https://www.google.com/url?q=https://www.infoarena.ro/problema/munte4&amp;sa=D&amp;ust=1605639798798000&amp;usg=AFQjCNGpuoBrvslhfmOQOYeCGqV0ff9bIw" xr:uid="{73431CFB-6581-475E-9469-9166F25F7655}"/>
    <hyperlink ref="F129" r:id="rId220" display="https://www.google.com/url?q=https://github.com/stefdasca/CompetitiveProgramming/blob/master/Infoarena/munte4.cpp&amp;sa=D&amp;ust=1605639798798000&amp;usg=AFQjCNH5H76WqL7sNt6N1asalt97d1V3hg" xr:uid="{98685E14-D42C-4113-B686-6FDE1F7FF45E}"/>
    <hyperlink ref="B130" r:id="rId221" display="https://www.google.com/url?q=https://dmoj.ca/problem/coci15c4p2&amp;sa=D&amp;ust=1605639798798000&amp;usg=AFQjCNFLryC8dMdDnCXUGBf75Xbi1R_qOQ" xr:uid="{23DEA295-623B-4DAE-99BB-D3C1E585EB08}"/>
    <hyperlink ref="B131" r:id="rId222" display="https://www.google.com/url?q=https://dunjudge.me/analysis/problems/1411/&amp;sa=D&amp;ust=1605639798799000&amp;usg=AFQjCNGM48uI3Qgrk9Vldaabz2rGNAzHPw" xr:uid="{B56F28F2-5D75-4160-BAE6-EE95F7F40ED8}"/>
    <hyperlink ref="F131" r:id="rId223" display="https://www.google.com/url?q=https://github.com/mostafa-saad/MyCompetitiveProgramming/blob/master/Olympiad/COCI/official/2014/contest4_solutions&amp;sa=D&amp;ust=1605639798799000&amp;usg=AFQjCNG7W2tbTgq8_EmetbfG8irtgdQ3HA" xr:uid="{ECCFCE7D-B15E-4F35-8460-FD302397F35A}"/>
    <hyperlink ref="B132" r:id="rId224" display="https://www.google.com/url?q=https://dmoj.ca/problem/coci07c1p5&amp;sa=D&amp;ust=1605639798800000&amp;usg=AFQjCNHdjmcNXlWnr4NSTMjRwJO4zKCFjg" xr:uid="{E9346413-0A56-499D-B26A-D5B8414EDB35}"/>
    <hyperlink ref="F132" r:id="rId225" display="https://www.google.com/url?q=https://github.com/mostafa-saad/MyCompetitiveProgramming/tree/master/Olympiad/COCI/official/2008/contest1_solutions&amp;sa=D&amp;ust=1605639798800000&amp;usg=AFQjCNETg5AjygjEj8aqFkmi1_wFPdgr8g" xr:uid="{E8D77D54-B922-46DF-A517-002314177E47}"/>
    <hyperlink ref="B133" r:id="rId226" display="https://www.google.com/url?q=https://oj.uz/problem/view/NOI18_collectmushrooms&amp;sa=D&amp;ust=1605639798800000&amp;usg=AFQjCNHuA6HgRY7YjuYjbbcJWQI1Kw_3Xg" xr:uid="{2B15B6D9-D556-46D7-AE1A-A08A6AAB5AED}"/>
    <hyperlink ref="F133" r:id="rId227" display="https://www.google.com/url?q=https://github.com/mostafa-saad/MyCompetitiveProgramming/blob/master/Olympiad/NOI/official&amp;sa=D&amp;ust=1605639798800000&amp;usg=AFQjCNFCV3nr0bNdNtO_AjA_YeQWWb4epg" xr:uid="{FD5C81F3-2623-48BD-BC1D-DDF587335CD7}"/>
    <hyperlink ref="B134" r:id="rId228" display="https://www.google.com/url?q=https://oj.uz/problem/view/COCI17_zigzag&amp;sa=D&amp;ust=1605639798801000&amp;usg=AFQjCNGyizhQo_YB6pM0Q-YSDhCNMc5AwQ" xr:uid="{4C867F6C-545C-4794-86FA-09FC574ED0E9}"/>
    <hyperlink ref="B135" r:id="rId229" display="https://www.google.com/url?q=https://oj.uz/problem/view/JOI20_ho_t1&amp;sa=D&amp;ust=1605639798801000&amp;usg=AFQjCNHBMMW8RFVwuNRGxhYq_0WTSW0DlA" xr:uid="{35F0DB26-9796-4CF1-A98C-F01B3282B12F}"/>
    <hyperlink ref="F135" r:id="rId230" display="https://www.google.com/url?q=https://github.com/dolphingarlic/CompetitiveProgramming/blob/master/JOI/JOI%252020-neckties.cpp&amp;sa=D&amp;ust=1605639798801000&amp;usg=AFQjCNFd50kuMmTMakLytqK6M0o640hJCw" xr:uid="{8F093EF4-442B-4CE0-9FB9-E1CA0E2BE166}"/>
    <hyperlink ref="B136" r:id="rId231" display="https://www.google.com/url?q=https://cses.fi/111/list/&amp;sa=D&amp;ust=1605639798802000&amp;usg=AFQjCNFfQG1XATXqQqHgIFizhV5rrHERfw" xr:uid="{59563048-A8DB-4F12-B7E0-851B2BB897F6}"/>
    <hyperlink ref="F136" r:id="rId232" display="https://www.google.com/url?q=https://github.com/mostafa-saad/MyCompetitiveProgramming/blob/master/Olympiad/Baltic/official/boi2007_solutions&amp;sa=D&amp;ust=1605639798802000&amp;usg=AFQjCNG_vK-oxU_1wu7NVnuyl4xdCWvDdQ" xr:uid="{40F108B8-3030-4A64-B87A-984625315D8D}"/>
    <hyperlink ref="B137" r:id="rId233" display="https://www.google.com/url?q=https://oj.uz/problem/view/COCI16_pohlepko&amp;sa=D&amp;ust=1605639798802000&amp;usg=AFQjCNGQY3tzFDuEEyRpGvlSk38ODh_ULw" xr:uid="{2AD5EAE4-9EB6-40EE-8B1B-A72C09E6F17B}"/>
    <hyperlink ref="F137" r:id="rId234" display="https://www.google.com/url?q=https://github.com/mostafa-saad/MyCompetitiveProgramming/blob/master/Olympiad/COCI/official/2017/contest3_solutions&amp;sa=D&amp;ust=1605639798803000&amp;usg=AFQjCNGOg1UlM19HPqFWvVRUsFKmm5Q3-Q" xr:uid="{EE80F168-05BE-46EF-AB39-B85F5AA2EE9C}"/>
    <hyperlink ref="B138" r:id="rId235" display="https://www.google.com/url?q=https://wcipeg.com/problem/coci067p3&amp;sa=D&amp;ust=1605639798803000&amp;usg=AFQjCNFD72Yvm416OUsfkQJQQU0uH8nqlQ" xr:uid="{5333508C-620C-431E-B27D-281770BF536D}"/>
    <hyperlink ref="F138" r:id="rId236" display="https://www.google.com/url?q=https://github.com/mostafa-saad/MyCompetitiveProgramming/tree/master/Olympiad/COCI/official/2007/regional_solutions&amp;sa=D&amp;ust=1605639798803000&amp;usg=AFQjCNF2fqKu2XWJPGXlv2mcbPbSdtpxhw" xr:uid="{B0C9ACED-AF67-47F8-B754-6DA3A9DF9DF8}"/>
    <hyperlink ref="B139" r:id="rId237" display="https://www.google.com/url?q=https://wcipeg.com/problem/coci067p2&amp;sa=D&amp;ust=1605639798804000&amp;usg=AFQjCNFMpIF9yjQHHp6FGm74oafftaCjAQ" xr:uid="{3B22F255-7A18-4938-B095-BB781882B6AF}"/>
    <hyperlink ref="F139" r:id="rId238" display="https://www.google.com/url?q=https://github.com/mostafa-saad/MyCompetitiveProgramming/tree/master/Olympiad/COCI/official/2007/regional_solutions&amp;sa=D&amp;ust=1605639798804000&amp;usg=AFQjCNHZMCF9_a_Jvdcn_TYPc5GKWGKpnw" xr:uid="{3651F312-638D-4860-8DD2-2643D0A9463E}"/>
    <hyperlink ref="B140" r:id="rId239" display="https://www.google.com/url?q=https://oj.uz/problem/view/COCI18_timovi&amp;sa=D&amp;ust=1605639798804000&amp;usg=AFQjCNGEZIajNGNQRlkfbB6zoOurTCxqOg" xr:uid="{B35AC248-44ED-4BB7-A04F-25CB9605E6FF}"/>
    <hyperlink ref="B141" r:id="rId240" display="https://www.google.com/url?q=https://cses.fi/231/task/B&amp;sa=D&amp;ust=1605639798805000&amp;usg=AFQjCNHodIiY4eM707ikOXFrxsbqFTCMWg" xr:uid="{E3614F85-10D3-4437-9D07-A2085580FA7F}"/>
    <hyperlink ref="B142" r:id="rId241" display="https://www.google.com/url?q=https://wcipeg.com/problem/coci096p3&amp;sa=D&amp;ust=1605639798805000&amp;usg=AFQjCNH_Rnl3EKK7JnlGCMmQN1Ar55L3GQ" xr:uid="{C6F7DE00-31D3-4D3E-943F-8651314BB05F}"/>
    <hyperlink ref="F142" r:id="rId242" display="https://www.google.com/url?q=https://github.com/mostafa-saad/MyCompetitiveProgramming/blob/master/Olympiad/COCI/official/2010/contest6_solutions&amp;sa=D&amp;ust=1605639798805000&amp;usg=AFQjCNHQPKJs7KlOj083zd8XVDTbog35hw" xr:uid="{DFECAA5D-F393-4ADD-B4D3-BE5BA7A7C63E}"/>
    <hyperlink ref="B143" r:id="rId243" display="https://www.google.com/url?q=https://szkopul.edu.pl/problemset/problem/d5W4-JZbz1vSmQCLIJ91__9N/site/&amp;sa=D&amp;ust=1605639798806000&amp;usg=AFQjCNH-J3EAciUO55DAsTSFwAg5qDLJ_A" xr:uid="{99A14F00-C6F1-4B46-891F-087640ACE8E8}"/>
    <hyperlink ref="F143" r:id="rId244" display="https://www.google.com/url?q=https://github.com/mostafa-saad/MyCompetitiveProgramming/blob/master/Olympiad/POI/official/find_editorial_sols_guidelines.txt&amp;sa=D&amp;ust=1605639798806000&amp;usg=AFQjCNGOWWGTKCbo5DL6EtLYkNkpBdVY8A" xr:uid="{4CF05026-9419-4337-A0D7-0BDF5DDC2BB3}"/>
    <hyperlink ref="B144" r:id="rId245" display="https://www.google.com/url?q=https://szkopul.edu.pl/problemset/problem/NZhJzNZct1iBas2bPCvlvls5/site/&amp;sa=D&amp;ust=1605639798806000&amp;usg=AFQjCNF6hyHEx3iiZ7VDIIEpt_evHyjizQ" xr:uid="{9B4A324F-8E60-4BA9-B084-8C975221B1D9}"/>
    <hyperlink ref="F144" r:id="rId246" display="https://www.google.com/url?q=https://github.com/mostafa-saad/MyCompetitiveProgramming/blob/master/Olympiad/POI/official/find_editorial_sols_guidelines.txt&amp;sa=D&amp;ust=1605639798806000&amp;usg=AFQjCNGOWWGTKCbo5DL6EtLYkNkpBdVY8A" xr:uid="{2580CCFD-5667-4F65-9224-52221C543D90}"/>
    <hyperlink ref="B145" r:id="rId247" display="https://www.google.com/url?q=https://szkopul.edu.pl/problemset/problem/Z8dyWFvoZuAJMjzLhqu4IH2o/site/&amp;sa=D&amp;ust=1605639798807000&amp;usg=AFQjCNFEYPYDwGQQOke5LqO0_DiUq37J9Q" xr:uid="{4837FAB8-4F3A-4988-8FB1-0374E705BA17}"/>
    <hyperlink ref="F145" r:id="rId248" display="https://www.google.com/url?q=https://github.com/mostafa-saad/MyCompetitiveProgramming/blob/master/Olympiad/POI/official/find_editorial_sols_guidelines.txt&amp;sa=D&amp;ust=1605639798807000&amp;usg=AFQjCNEnDKfZZuXw0voDS2kfQPYDfI4bfg" xr:uid="{B6286B8B-24A5-4F0E-A586-59C154AA0E0D}"/>
    <hyperlink ref="B146" r:id="rId249" display="https://www.google.com/url?q=https://szkopul.edu.pl/problemset/problem/E4CCHJSbYzxeGWXMnBZHkPnm/site/&amp;sa=D&amp;ust=1605639798809000&amp;usg=AFQjCNFjvC8mnu6TqXY7-q0uRHs5PuQyvA" xr:uid="{5CE0287F-4850-410F-AA1F-67D158CE43B0}"/>
    <hyperlink ref="F146" r:id="rId250" display="https://www.google.com/url?q=https://github.com/mostafa-saad/MyCompetitiveProgramming/blob/master/Olympiad/POI/official/find_editorial_sols_guidelines.txt&amp;sa=D&amp;ust=1605639798810000&amp;usg=AFQjCNEKmGyNkxqVk7yjJAsAudpffdUs-Q" xr:uid="{F1778957-521B-423A-B6F4-50FD4BB767A9}"/>
    <hyperlink ref="B147" r:id="rId251" display="https://www.google.com/url?q=https://szkopul.edu.pl/problemset/problem/oTsXNiT3SD45VgVS2zqQWj7F/site/&amp;sa=D&amp;ust=1605639798810000&amp;usg=AFQjCNHc8e42TkCX4VjphaAMox-pS1vHqg" xr:uid="{B963C418-7C19-4DBD-9003-A9438E602E8B}"/>
    <hyperlink ref="F147" r:id="rId252" display="https://www.google.com/url?q=https://github.com/mostafa-saad/MyCompetitiveProgramming/blob/master/Olympiad/POI/official/find_editorial_sols_guidelines.txt&amp;sa=D&amp;ust=1605639798810000&amp;usg=AFQjCNEKmGyNkxqVk7yjJAsAudpffdUs-Q" xr:uid="{05A208A0-9058-4F1A-80DC-4D0C6DC5B452}"/>
    <hyperlink ref="B148" r:id="rId253" display="https://www.google.com/url?q=https://oj.uz/problem/view/COCI17_cezar&amp;sa=D&amp;ust=1605639798865000&amp;usg=AFQjCNGURDDKVWO-bI2AV3kHIX_EKEyFsw" xr:uid="{30C19584-A196-4024-AD19-F968C8B14092}"/>
    <hyperlink ref="B149" r:id="rId254" display="https://www.google.com/url?q=https://dunjudge.me/analysis/problems/1357/&amp;sa=D&amp;ust=1605639798865000&amp;usg=AFQjCNHB8pl2H8V1I3HmVnkAoM7ocjdw-w" xr:uid="{5BF5975B-94A8-44F3-AF09-C0A4F9F90158}"/>
    <hyperlink ref="F149" r:id="rId255" display="https://www.google.com/url?q=https://github.com/mostafa-saad/MyCompetitiveProgramming/blob/master/Olympiad/COCI/official/2013/contest3_solutions&amp;sa=D&amp;ust=1605639798865000&amp;usg=AFQjCNGdnvLbxs2xj5x9Nmb31E-uA68fKg" xr:uid="{FBC8E72D-D3C3-48AE-BCA9-58296CE64F41}"/>
    <hyperlink ref="B150" r:id="rId256" display="https://www.google.com/url?q=https://oj.uz/problem/view/COCI18_nadan&amp;sa=D&amp;ust=1605639798866000&amp;usg=AFQjCNFPQ0Mbb-oientM7m6YkMO792Ap7A" xr:uid="{2E498584-0BED-4610-9EDC-F4B60BFBD22C}"/>
    <hyperlink ref="B151" r:id="rId257" display="https://www.google.com/url?q=https://dmoj.ca/problem/coci08c3p3&amp;sa=D&amp;ust=1605639798866000&amp;usg=AFQjCNH0Dx0A_hWPFFa1PrD4CWgPzCGl4g" xr:uid="{F26C2D5F-F461-4F86-BABC-C85D552A2C03}"/>
    <hyperlink ref="F151" r:id="rId258" display="https://www.google.com/url?q=https://github.com/mostafa-saad/MyCompetitiveProgramming/blob/master/Olympiad/COCI/official/2009/contest3_solutions&amp;sa=D&amp;ust=1605639798866000&amp;usg=AFQjCNFMJBNmBQD2BhqpjPI2qoQjqb1QMA" xr:uid="{350CDDAA-733A-49A9-92EC-C8A54BEBAA1A}"/>
    <hyperlink ref="B152" r:id="rId259" display="https://www.google.com/url?q=https://dmoj.ca/problem/coci08c4p3&amp;sa=D&amp;ust=1605639798867000&amp;usg=AFQjCNEYu9UTfP7d9eH4hJE93ZwUiaPNMg" xr:uid="{5BA10F56-EEE9-4AC2-B97F-86928E90C5D8}"/>
    <hyperlink ref="F152" r:id="rId260" display="https://www.google.com/url?q=https://github.com/mostafa-saad/MyCompetitiveProgramming/blob/master/Olympiad/COCI/official/2009/contest4_solutions&amp;sa=D&amp;ust=1605639798867000&amp;usg=AFQjCNGieXUy__Tm4elhHrDACt2DVpC77w" xr:uid="{FA85A9CB-83F3-4864-9F7E-531AC3DBDD3E}"/>
    <hyperlink ref="B153" r:id="rId261" display="https://www.google.com/url?q=https://wcipeg.com/problem/coci096p1&amp;sa=D&amp;ust=1605639798867000&amp;usg=AFQjCNHVkqJrzNU2WDrp2xexSs0hiKBSbg" xr:uid="{62972222-2731-4AF3-BF8D-7610F8CE3B53}"/>
    <hyperlink ref="F153" r:id="rId262" display="https://www.google.com/url?q=https://github.com/mostafa-saad/MyCompetitiveProgramming/blob/master/Olympiad/COCI/official/2010/contest6_solutions&amp;sa=D&amp;ust=1605639798868000&amp;usg=AFQjCNFrwx-x0GANhSgiqgGD6_QaH7I0ZA" xr:uid="{5B0F29A7-8988-40DA-9784-01D467323F5C}"/>
    <hyperlink ref="B154" r:id="rId263" display="https://www.google.com/url?q=https://dunjudge.me/analysis/problems/1382/&amp;sa=D&amp;ust=1605639798868000&amp;usg=AFQjCNEzdYc5mwc21JznClEQ43hT52x1tg" xr:uid="{F02A728E-3893-42EE-8153-815801907970}"/>
    <hyperlink ref="F154" r:id="rId264" display="https://www.google.com/url?q=https://github.com/mostafa-saad/MyCompetitiveProgramming/blob/master/Olympiad/COCI/official/2013/contest6_solutions&amp;sa=D&amp;ust=1605639798868000&amp;usg=AFQjCNEsXQQhbsD_f1tJelJGYY1NhZt1kA" xr:uid="{0FC74C06-7DF2-47EF-8EBE-6A8957149C66}"/>
    <hyperlink ref="B155" r:id="rId265" display="https://www.google.com/url?q=https://dunjudge.me/analysis/problems/108/&amp;sa=D&amp;ust=1605639798869000&amp;usg=AFQjCNFm1sTXwyl7djL7HZYMIOk_YPhLEA" xr:uid="{63D12782-CC8D-4500-889A-4E1A645B93E9}"/>
    <hyperlink ref="F155" r:id="rId266" display="https://www.google.com/url?q=https://github.com/mostafa-saad/MyCompetitiveProgramming/blob/master/Olympiad/NOI/official&amp;sa=D&amp;ust=1605639798869000&amp;usg=AFQjCNGdWaFOLhEcTXckYNyTbjwTezHJYg" xr:uid="{3C4C7847-F844-45CE-B615-8770DE5956D1}"/>
    <hyperlink ref="B156" r:id="rId267" display="https://www.google.com/url?q=https://dmoj.ca/problem/coci07c3p3&amp;sa=D&amp;ust=1605639798869000&amp;usg=AFQjCNGYdj9SsEwS5HaD__Alc08aoHEoWQ" xr:uid="{B8903029-B467-463F-A616-C28FBA61960D}"/>
    <hyperlink ref="F156" r:id="rId268" display="https://www.google.com/url?q=https://github.com/mostafa-saad/MyCompetitiveProgramming/tree/master/Olympiad/COCI/official/2008/contest3_solutions&amp;sa=D&amp;ust=1605639798870000&amp;usg=AFQjCNGaa9PbpaSqgdoRDOqIzCH193dtGg" xr:uid="{6FC3DB32-B61E-4BB3-A183-2DCFACE11A87}"/>
    <hyperlink ref="B157" r:id="rId269" display="https://www.google.com/url?q=https://oj.uz/problem/view/COCI17_izbori&amp;sa=D&amp;ust=1605639798870000&amp;usg=AFQjCNEtwVEXGHtIeOGSARvb93gybO9Wzw" xr:uid="{835F7FA6-DA66-47C9-B177-E96B50D1AA39}"/>
    <hyperlink ref="B158" r:id="rId270" display="https://www.google.com/url?q=https://oj.uz/problem/view/COCI17_rasvjeta&amp;sa=D&amp;ust=1605639798870000&amp;usg=AFQjCNFci2o5j57Vnj0PX8JVytjlycH-qg" xr:uid="{6290BAE7-6231-4F46-8304-19C0A285DAFA}"/>
    <hyperlink ref="B159" r:id="rId271" display="https://www.google.com/url?q=https://dmoj.ca/problem/coci08c5p2&amp;sa=D&amp;ust=1605639798871000&amp;usg=AFQjCNH2-272n4zrcdmTRQel4gQcGtC_Lw" xr:uid="{3D1807A9-BB08-4502-BEAC-DDFB186A81AD}"/>
    <hyperlink ref="F159" r:id="rId272" display="https://www.google.com/url?q=https://github.com/mostafa-saad/MyCompetitiveProgramming/blob/master/Olympiad/COCI/official/2009/contest5_solutions&amp;sa=D&amp;ust=1605639798871000&amp;usg=AFQjCNEc8DZpagaP4bmH83Ioytt6Fz5qnQ" xr:uid="{8DB4FB73-B2DF-4DBC-ADD9-BA28BE9DEB25}"/>
    <hyperlink ref="B160" r:id="rId273" display="https://www.google.com/url?q=https://dmoj.ca/problem/coci08c5p3&amp;sa=D&amp;ust=1605639798871000&amp;usg=AFQjCNGa6ihfA3JapigeSrHi6DYwOc6fmg" xr:uid="{A2185DF5-89DF-4D87-AD1E-57CE3C4D7035}"/>
    <hyperlink ref="F160" r:id="rId274" display="https://www.google.com/url?q=https://github.com/mostafa-saad/MyCompetitiveProgramming/blob/master/Olympiad/COCI/official/2009/contest5_solutions&amp;sa=D&amp;ust=1605639798872000&amp;usg=AFQjCNGV9rfwiav9NqNE_d5CxLrXYOb0Cw" xr:uid="{23AF52F8-9976-4825-B629-BD6F7E614092}"/>
    <hyperlink ref="B161" r:id="rId275" display="https://www.google.com/url?q=https://dmoj.ca/problem/coci08c5p1&amp;sa=D&amp;ust=1605639798872000&amp;usg=AFQjCNEHYgoeJtMU16Z6ScWa8hHaMjFrcA" xr:uid="{4A6154F2-A064-4245-B9BC-69782A1B245B}"/>
    <hyperlink ref="F161" r:id="rId276" display="https://www.google.com/url?q=https://github.com/mostafa-saad/MyCompetitiveProgramming/blob/master/Olympiad/COCI/official/2009/contest5_solutions&amp;sa=D&amp;ust=1605639798872000&amp;usg=AFQjCNGV9rfwiav9NqNE_d5CxLrXYOb0Cw" xr:uid="{A6742F2E-2E57-45EC-B1B3-3314298F0B0B}"/>
    <hyperlink ref="B162" r:id="rId277" display="https://www.google.com/url?q=https://dmoj.ca/problem/coci08c6p2&amp;sa=D&amp;ust=1605639798873000&amp;usg=AFQjCNExjflmpgUJhQ4mfjmyF4t0sMAqOw" xr:uid="{7B237A97-7991-4142-8990-8B009F79A21A}"/>
    <hyperlink ref="F162" r:id="rId278" display="https://www.google.com/url?q=https://github.com/mostafa-saad/MyCompetitiveProgramming/blob/master/Olympiad/COCI/official/2009/contest6_solutions&amp;sa=D&amp;ust=1605639798873000&amp;usg=AFQjCNEmskEX9IlsAXlw05qOMn9rb4cRoQ" xr:uid="{42AC0A03-A1B2-4A02-892B-513D64F31399}"/>
    <hyperlink ref="B163" r:id="rId279" display="https://www.google.com/url?q=https://dmoj.ca/problem/coci08c6p3&amp;sa=D&amp;ust=1605639798874000&amp;usg=AFQjCNEXyMQT488g5hxaR0iHhUchuT4rhg" xr:uid="{7DE4E444-BD72-4234-8CF4-B174F2C15AE9}"/>
    <hyperlink ref="F163" r:id="rId280" display="https://www.google.com/url?q=https://github.com/mostafa-saad/MyCompetitiveProgramming/blob/master/Olympiad/COCI/official/2009/contest6_solutions&amp;sa=D&amp;ust=1605639798874000&amp;usg=AFQjCNH0dSw5wh5lYGKogggONLEDzPpWtQ" xr:uid="{D3D31D30-99C3-47AF-8B3D-C0A093F08203}"/>
    <hyperlink ref="B164" r:id="rId281" display="https://www.google.com/url?q=https://dmoj.ca/problem/coci06c1p2&amp;sa=D&amp;ust=1605639798875000&amp;usg=AFQjCNGsljx-hgqQwKP9xleDDeRMKTnhaQ" xr:uid="{C2BBB25A-7800-47E5-9436-F597A3518D77}"/>
    <hyperlink ref="F164" r:id="rId282" display="https://www.google.com/url?q=https://github.com/mostafa-saad/MyCompetitiveProgramming/tree/master/Olympiad/COCI/official/2007/contest1_solutions&amp;sa=D&amp;ust=1605639798876000&amp;usg=AFQjCNHpgAswOFmhMcaPcEelkz2XOAY6ww" xr:uid="{D4BACCA2-4FDD-4281-8BD3-0A141782FD27}"/>
    <hyperlink ref="B165" r:id="rId283" display="https://www.google.com/url?q=https://dmoj.ca/problem/coci06c2p2&amp;sa=D&amp;ust=1605639798876000&amp;usg=AFQjCNHIw_cYUGdJhIpEqFi6uQ38-80K3g" xr:uid="{22802703-364D-44BB-ACED-71F403C2DF85}"/>
    <hyperlink ref="F165" r:id="rId284" display="https://www.google.com/url?q=https://github.com/mostafa-saad/MyCompetitiveProgramming/tree/master/Olympiad/COCI/official/2007/contest2_solutions&amp;sa=D&amp;ust=1605639798876000&amp;usg=AFQjCNHwYG5m-GIFCsFuUgEUJh2TA1EmWQ" xr:uid="{937A59E0-1DBB-46FB-A270-9EC5C7D340FD}"/>
    <hyperlink ref="B166" r:id="rId285" display="https://www.google.com/url?q=https://dmoj.ca/problem/coci06c3p2&amp;sa=D&amp;ust=1605639798877000&amp;usg=AFQjCNE_mqwKV5H0-k2e2ht2Y56ZWsBc4w" xr:uid="{40A96865-688C-40AD-8782-F0066790DD7E}"/>
    <hyperlink ref="F166" r:id="rId286" display="https://www.google.com/url?q=https://github.com/mostafa-saad/MyCompetitiveProgramming/tree/master/Olympiad/COCI/official/2007/contest3_solutions&amp;sa=D&amp;ust=1605639798877000&amp;usg=AFQjCNGNmdQDPPe3J058efSziy0IpIyGvA" xr:uid="{492E3C77-B6EC-4FFB-9FB5-A797FC1FCB5B}"/>
    <hyperlink ref="B167" r:id="rId287" display="https://www.google.com/url?q=https://dmoj.ca/problem/coci06c4p3&amp;sa=D&amp;ust=1605639798877000&amp;usg=AFQjCNFgJ7TnHun9vND3FwLjFrIaGOlhjA" xr:uid="{53CC6A4C-455C-494F-815D-280775B51CF1}"/>
    <hyperlink ref="F167" r:id="rId288" display="https://www.google.com/url?q=https://github.com/mostafa-saad/MyCompetitiveProgramming/tree/master/Olympiad/COCI/official/2007/contest4_solutions&amp;sa=D&amp;ust=1605639798877000&amp;usg=AFQjCNHzT2xzchM3eIvtlMfhQ-zIQ4RGXQ" xr:uid="{696F044D-97B1-42AA-851A-A8BF7673EEEE}"/>
    <hyperlink ref="B168" r:id="rId289" display="https://www.google.com/url?q=https://dmoj.ca/problem/coci06c4p2&amp;sa=D&amp;ust=1605639798878000&amp;usg=AFQjCNEIhZW7K8TNtywZ5f00yEnSre8Pvw" xr:uid="{CE89D691-42CF-4F52-9291-FBA549A9E123}"/>
    <hyperlink ref="F168" r:id="rId290" display="https://www.google.com/url?q=https://github.com/mostafa-saad/MyCompetitiveProgramming/tree/master/Olympiad/COCI/official/2007/contest4_solutions&amp;sa=D&amp;ust=1605639798878000&amp;usg=AFQjCNEZ48nND17tYrZk5rFsvA9yrQ7V7A" xr:uid="{E0739D99-B498-4832-9335-498502AFD032}"/>
    <hyperlink ref="B169" r:id="rId291" display="https://www.google.com/url?q=https://dmoj.ca/problem/coci06c5p2&amp;sa=D&amp;ust=1605639798878000&amp;usg=AFQjCNGezmWkfn4mYIxd0pHlBZqwVQeL-w" xr:uid="{97C57E50-9401-4CA2-803C-994C0C739C11}"/>
    <hyperlink ref="F169" r:id="rId292" display="https://www.google.com/url?q=https://github.com/mostafa-saad/MyCompetitiveProgramming/tree/master/Olympiad/COCI/official/2007/contest5_solutions&amp;sa=D&amp;ust=1605639798880000&amp;usg=AFQjCNGlrXUT-KeDBUWEL46uXubIaU9CjA" xr:uid="{C522507B-11DD-4CC0-8D5E-F514CAB86B32}"/>
    <hyperlink ref="B170" r:id="rId293" display="https://www.google.com/url?q=https://dmoj.ca/problem/coci06c6p2&amp;sa=D&amp;ust=1605639798880000&amp;usg=AFQjCNHEjJ-7aYiPi9smEeG4-YvCAq93vA" xr:uid="{489BDD23-A4F1-4041-A9B0-30F4B8526BF4}"/>
    <hyperlink ref="F170" r:id="rId294" display="https://www.google.com/url?q=https://github.com/mostafa-saad/MyCompetitiveProgramming/tree/master/Olympiad/COCI/official/2007/contest6_solutions&amp;sa=D&amp;ust=1605639798880000&amp;usg=AFQjCNHkNm9RnNnZycSaSmnxgKISRcB8zQ" xr:uid="{F99433EB-8180-428E-9CAB-810D7BC8C633}"/>
    <hyperlink ref="B171" r:id="rId295" display="https://www.google.com/url?q=https://wcipeg.com/problem/coci071p2&amp;sa=D&amp;ust=1605639798881000&amp;usg=AFQjCNHB-ciL47cFPUfl_fSVyzLrvGmJ2g" xr:uid="{F9A6C6A8-572C-420B-AC09-F3640046F3B4}"/>
    <hyperlink ref="F171" r:id="rId296" display="https://www.google.com/url?q=https://github.com/mostafa-saad/MyCompetitiveProgramming/tree/master/Olympiad/COCI/official/2008/contest1_solutions&amp;sa=D&amp;ust=1605639798881000&amp;usg=AFQjCNHsa87vlcH14qGYvGxbvBILQrOaqA" xr:uid="{7A41FB38-8063-497A-8835-9CBED4ABD1F7}"/>
    <hyperlink ref="B172" r:id="rId297" display="https://www.google.com/url?q=https://dmoj.ca/problem/coci07c2p3&amp;sa=D&amp;ust=1605639798881000&amp;usg=AFQjCNHbeZQaDMLS3YkJPnonw7o9BsMQLQ" xr:uid="{61D8DE2C-744B-4E95-A4BE-6503F016A6CB}"/>
    <hyperlink ref="F172" r:id="rId298" display="https://www.google.com/url?q=https://github.com/mostafa-saad/MyCompetitiveProgramming/tree/master/Olympiad/COCI/official/2008/contest2_solutions&amp;sa=D&amp;ust=1605639798882000&amp;usg=AFQjCNGWLz1L7Vq5tOkqCmyqcSlicKygSw" xr:uid="{AA70C4D8-5F3B-475B-A199-1ACE1071CD44}"/>
    <hyperlink ref="B173" r:id="rId299" display="https://www.google.com/url?q=https://dmoj.ca/problem/coci07c4p1&amp;sa=D&amp;ust=1605639798882000&amp;usg=AFQjCNHNq4RjhG252jdfZXwxYK17SDBC_w" xr:uid="{05D90B50-15E7-4DD5-8B3E-3D21C2E8E04B}"/>
    <hyperlink ref="F173" r:id="rId300" display="https://www.google.com/url?q=https://github.com/mostafa-saad/MyCompetitiveProgramming/tree/master/Olympiad/COCI/official/2008/contest4_solutions&amp;sa=D&amp;ust=1605639798882000&amp;usg=AFQjCNELovrt0TNMC_E4RgXKT653OMDjWw" xr:uid="{D7335714-35CC-4E9C-B327-36117CE2C6FB}"/>
    <hyperlink ref="B174" r:id="rId301" display="https://www.google.com/url?q=https://dmoj.ca/problem/coci07c4p2&amp;sa=D&amp;ust=1605639798883000&amp;usg=AFQjCNFPmaY3huvOnrPGc9vJF2rhDQE9rw" xr:uid="{B189CA50-3AF7-4E3B-8F11-29D63FF82AB7}"/>
    <hyperlink ref="F174" r:id="rId302" display="https://www.google.com/url?q=https://github.com/mostafa-saad/MyCompetitiveProgramming/tree/master/Olympiad/COCI/official/2008/contest4_solutions&amp;sa=D&amp;ust=1605639798883000&amp;usg=AFQjCNH8QBIhxWQLdy7bVeRmtV_lm-4Ahg" xr:uid="{59C28573-4D48-4B5B-A361-DE555E533177}"/>
    <hyperlink ref="B175" r:id="rId303" display="https://www.google.com/url?q=https://dmoj.ca/problem/coci07c6p1&amp;sa=D&amp;ust=1605639798884000&amp;usg=AFQjCNH3Dno7vVh7pOtCKG6HoIoIAYe2Wg" xr:uid="{D7877F9B-0BA2-497D-B323-346E954749DC}"/>
    <hyperlink ref="F175" r:id="rId304" display="https://www.google.com/url?q=https://github.com/mostafa-saad/MyCompetitiveProgramming/tree/master/Olympiad/COCI/official/2008/contest6_solutions&amp;sa=D&amp;ust=1605639798884000&amp;usg=AFQjCNGqePKJf7bcHidHd7upmNQ0_2mGcg" xr:uid="{D382E46E-AE3A-4298-A845-144D9F276B7A}"/>
    <hyperlink ref="B176" r:id="rId305" display="https://www.google.com/url?q=https://dmoj.ca/problem/coci07c6p2&amp;sa=D&amp;ust=1605639798884000&amp;usg=AFQjCNHNOyAsSL8bJ4ZoV2mxVVTV5joIcw" xr:uid="{B0EDC170-0F86-462E-9B44-2EED4AC1E304}"/>
    <hyperlink ref="F176" r:id="rId306" display="https://www.google.com/url?q=https://github.com/mostafa-saad/MyCompetitiveProgramming/tree/master/Olympiad/COCI/official/2008/contest6_solutions&amp;sa=D&amp;ust=1605639798885000&amp;usg=AFQjCNGHr6E7Ig5iVeXc0Kj-UzV018ZiNQ" xr:uid="{925FC136-72B3-4FEA-9108-8E62E01FAB9B}"/>
    <hyperlink ref="B177" r:id="rId307" display="https://www.google.com/url?q=https://dmoj.ca/problem/crci07p1&amp;sa=D&amp;ust=1605639798885000&amp;usg=AFQjCNHAwmRJKxRewHJD8MvQ26F2UPjtPw" xr:uid="{222A37CA-BD70-4E5B-820A-020D650E0C19}"/>
    <hyperlink ref="F177" r:id="rId308" display="https://www.google.com/url?q=https://github.com/mostafa-saad/MyCompetitiveProgramming/tree/master/Olympiad/COCI/official/2008/regional_solutions&amp;sa=D&amp;ust=1605639798885000&amp;usg=AFQjCNHWbEKUZ28R9vAyNZhU-dTlEomwEg" xr:uid="{BBF6AD26-5F9A-4191-9DFA-3A48F2DBEA0A}"/>
    <hyperlink ref="B178" r:id="rId309" display="https://www.google.com/url?q=https://codeforces.com/group/R2SERIff4f/contest/213171&amp;sa=D&amp;ust=1605639798886000&amp;usg=AFQjCNEOODHtvth9NOYlIcoS9U_bvC-r8g" xr:uid="{5E192E6F-4AE8-44D3-A1DF-33F9832B4D4D}"/>
    <hyperlink ref="F178" r:id="rId310" display="https://www.google.com/url?q=https://github.com/mostafa-saad/MyCompetitiveProgramming/tree/master/Olympiad/MCO/official&amp;sa=D&amp;ust=1605639798886000&amp;usg=AFQjCNFC4hg2l7WEIoMv3jMbBBPi1Sosng" xr:uid="{77C440EC-8E91-4DB3-ADA1-113B57A43804}"/>
    <hyperlink ref="B179" r:id="rId311" display="https://www.google.com/url?q=https://dunjudge.me/analysis/problems/722/&amp;sa=D&amp;ust=1605639798886000&amp;usg=AFQjCNGxqmw08H3rRzFoUqbLOyc3V5d5lQ" xr:uid="{65F2C6A2-3270-4503-AE99-1CEB8DC026F4}"/>
    <hyperlink ref="F179" r:id="rId312" display="https://www.google.com/url?q=https://github.com/mostafa-saad/MyCompetitiveProgramming/tree/master/Olympiad/MCO/official/2015&amp;sa=D&amp;ust=1605639798886000&amp;usg=AFQjCNHxCbRZNFy7T5rGSF5BkTfvx-bCgw" xr:uid="{73395F6C-2B16-4680-BA1C-091A62F3C8D8}"/>
    <hyperlink ref="B180" r:id="rId313" display="https://www.google.com/url?q=https://wcipeg.com/problem/coci092p3&amp;sa=D&amp;ust=1605639798887000&amp;usg=AFQjCNGrfEnAA1kaUUv74vmtrDXHZx80zw" xr:uid="{BD75BE94-4BD1-4582-A22C-A3D3895C46CE}"/>
    <hyperlink ref="B181" r:id="rId314" display="https://www.google.com/url?q=https://oj.uz/problem/view/COCI18_olivander&amp;sa=D&amp;ust=1605639798887000&amp;usg=AFQjCNFhjc0_2ZshBpd2bIE_QzfieTSmkg" xr:uid="{74E0F82E-4221-464D-A23C-5863190A6153}"/>
    <hyperlink ref="B182" r:id="rId315" display="https://www.google.com/url?q=https://oj.uz/problem/view/IOI16_reverse&amp;sa=D&amp;ust=1605639798889000&amp;usg=AFQjCNFeND1VOF3NOoPE9p_yxL_RKnGMMQ" xr:uid="{692A42CE-0F8D-48CC-8DD5-C0787B88CCE3}"/>
    <hyperlink ref="B183" r:id="rId316" display="https://www.google.com/url?q=https://dunjudge.me/analysis/problems/1401/&amp;sa=D&amp;ust=1605639798889000&amp;usg=AFQjCNGD6b6XgCAf6dB4NCD0V5Np0es3BA" xr:uid="{45AB6CEA-C9D5-4A49-BFDF-A91235813CBB}"/>
    <hyperlink ref="F183" r:id="rId317" display="https://www.google.com/url?q=https://github.com/mostafa-saad/MyCompetitiveProgramming/blob/master/Olympiad/COCI/official/2014/contest2_solutions&amp;sa=D&amp;ust=1605639798889000&amp;usg=AFQjCNHnTIq6TEZl2zi7CxknyZblxvTxEw" xr:uid="{3D994FE0-844C-4786-B3D5-D9EC75B85D28}"/>
    <hyperlink ref="B184" r:id="rId318" display="https://www.google.com/url?q=https://dunjudge.me/analysis/problems/237/&amp;sa=D&amp;ust=1605639798890000&amp;usg=AFQjCNHFoJqENiqdMWSgQk-iIMHy76yj4A" xr:uid="{C9B8D05E-3EB7-4FF1-BDDF-D7D223AFF06E}"/>
    <hyperlink ref="F184" r:id="rId319" display="https://www.google.com/url?q=https://github.com/mostafa-saad/MyCompetitiveProgramming/blob/master/Olympiad/NOI/official&amp;sa=D&amp;ust=1605639798890000&amp;usg=AFQjCNFp_yoqqhbDV-K9kBa4p3I7vs0TKQ" xr:uid="{B67B6AA0-C881-45DC-8E69-DF5C48628154}"/>
    <hyperlink ref="B185" r:id="rId320" display="https://www.google.com/url?q=https://dunjudge.me/analysis/problems/215/&amp;sa=D&amp;ust=1605639798891000&amp;usg=AFQjCNFsfwsMtb-F6sItIJf2QM0Xis6UNg" xr:uid="{4B1058CE-FF6C-41A6-A44D-30AD8D71EB9E}"/>
    <hyperlink ref="F185" r:id="rId321" display="https://www.google.com/url?q=https://github.com/mostafa-saad/MyCompetitiveProgramming/blob/master/Olympiad/NOI/official/2011.pptx&amp;sa=D&amp;ust=1605639798891000&amp;usg=AFQjCNEDRtzyLhHXLhYtL_iAJjc9AmcdOA" xr:uid="{6C6A1425-BFF6-4B56-988A-D89B7507EA1A}"/>
    <hyperlink ref="B186" r:id="rId322" display="https://www.google.com/url?q=https://dunjudge.me/analysis/problems/721/&amp;sa=D&amp;ust=1605639798891000&amp;usg=AFQjCNGWC_g4k6lS7jk42Opql17AAFmz5w" xr:uid="{A36BA5CB-7BB1-4985-91E1-CAEAF99B6AB3}"/>
    <hyperlink ref="F186" r:id="rId323" display="https://www.google.com/url?q=https://github.com/mostafa-saad/MyCompetitiveProgramming/tree/master/Olympiad/MCO/official/2015&amp;sa=D&amp;ust=1605639798891000&amp;usg=AFQjCNGXVp9aZ5pNVshFX9ASIl3LeNQEjQ" xr:uid="{51080558-AB4C-4659-AFA5-5C1892CE5904}"/>
    <hyperlink ref="B187" r:id="rId324" display="https://www.google.com/url?q=https://dmoj.ca/problem/coci14c3p2&amp;sa=D&amp;ust=1605639798892000&amp;usg=AFQjCNH5P4waG_KHobi6zF04YIyq8Qncog" xr:uid="{C9AE9375-9F5A-4C17-A2E9-91CEFC4CE987}"/>
    <hyperlink ref="B188" r:id="rId325" display="https://www.google.com/url?q=https://dmoj.ca/problem/coci14c1p2&amp;sa=D&amp;ust=1605639798892000&amp;usg=AFQjCNGVNY6A5cjoSoUSA0-3LC1tIYafCA" xr:uid="{793823FA-379C-4797-B128-3B08107760C3}"/>
    <hyperlink ref="B189" r:id="rId326" display="https://www.google.com/url?q=https://oj.uz/problem/view/COCI14_prosjek&amp;sa=D&amp;ust=1605639798893000&amp;usg=AFQjCNGKpdUqdZn-pM3tKb7-i4R5fi_94w" xr:uid="{A5AAD424-A31A-4651-ADF2-6111199FB510}"/>
    <hyperlink ref="B190" r:id="rId327" display="https://www.google.com/url?q=https://oj.uz/problem/view/COCI15_esej&amp;sa=D&amp;ust=1605639798895000&amp;usg=AFQjCNGPLgiDZuxj0q5wgsJhgTO-4dVrQA" xr:uid="{A91E528E-05F3-4300-9854-46783DE23A3A}"/>
    <hyperlink ref="B191" r:id="rId328" display="https://www.google.com/url?q=https://oj.uz/problem/view/COCI17_aron&amp;sa=D&amp;ust=1605639798895000&amp;usg=AFQjCNEOZkfLUw8W26NB3VPYzWL5QV4_vg" xr:uid="{E2756612-F2ED-4B47-BB4F-1E42CB4B3221}"/>
    <hyperlink ref="B192" r:id="rId329" display="https://www.google.com/url?q=https://oj.uz/problem/view/COCI17_bridz&amp;sa=D&amp;ust=1605639798896000&amp;usg=AFQjCNFfXc9npJiStNCCn-VjZ6uNL-OjxQ" xr:uid="{531182EA-9CFE-4529-AAEC-6CE68E930DAC}"/>
    <hyperlink ref="B193" r:id="rId330" display="https://www.google.com/url?q=https://oj.uz/problem/view/COCI17_kosnja&amp;sa=D&amp;ust=1605639798896000&amp;usg=AFQjCNGkwW6Hg5FwfOaJeMDUo8ociFqQ3Q" xr:uid="{51E6633A-F0EC-4F18-B019-73F103409950}"/>
    <hyperlink ref="B194" r:id="rId331" display="https://www.google.com/url?q=https://oj.uz/problem/view/COCI17_tuna&amp;sa=D&amp;ust=1605639798897000&amp;usg=AFQjCNH4K5NEWZXG1CyhIWQG-axMEqDQrg" xr:uid="{CCD28A84-1F4B-4B3F-90C2-3FA94D6C0E0F}"/>
    <hyperlink ref="B195" r:id="rId332" display="https://www.google.com/url?q=https://oj.uz/problem/view/COCI18_spirale&amp;sa=D&amp;ust=1605639798897000&amp;usg=AFQjCNEz2rmajyEgWGXbylwiBuXg2YOC1g" xr:uid="{9C7A1522-0712-4B54-AFF7-2ACC2998A386}"/>
    <hyperlink ref="B196" r:id="rId333" display="https://www.google.com/url?q=https://oj.uz/problem/view/IZhO11_triangle&amp;sa=D&amp;ust=1605639798898000&amp;usg=AFQjCNFMPwtwkxocYpV0UvDy6mv-xng9zw" xr:uid="{C8026566-1BE5-4F7D-8B91-E5B0F536B87B}"/>
    <hyperlink ref="B197" r:id="rId334" display="https://www.google.com/url?q=https://dmoj.ca/problem/coci08c3p1&amp;sa=D&amp;ust=1605639798898000&amp;usg=AFQjCNHROrqmNAUAw5iTKdr4VJkYEItQFA" xr:uid="{D11B49B8-FB4C-42E3-84F9-AEA83A1F72C2}"/>
    <hyperlink ref="F197" r:id="rId335" display="https://www.google.com/url?q=https://github.com/mostafa-saad/MyCompetitiveProgramming/blob/master/Olympiad/COCI/official/2009/contest3_solutions&amp;sa=D&amp;ust=1605639798898000&amp;usg=AFQjCNFbY_CBqiFRtvIX-h-hcYC8xlE6Mw" xr:uid="{280CD8D5-4026-486F-A258-950F96E783CD}"/>
    <hyperlink ref="B198" r:id="rId336" display="https://www.google.com/url?q=https://wcipeg.com/problem/coci087p2&amp;sa=D&amp;ust=1605639798899000&amp;usg=AFQjCNFoXT7lrg1VCll1VgcahncXMzO1CA" xr:uid="{F4FD594E-2795-4F65-8064-1CD051D4C382}"/>
    <hyperlink ref="F198" r:id="rId337" display="https://www.google.com/url?q=https://github.com/mostafa-saad/MyCompetitiveProgramming/blob/master/Olympiad/COCI/official/2009/regional_solutions&amp;sa=D&amp;ust=1605639798899000&amp;usg=AFQjCNEHy5NFvnZvLJwnhvMeKad3iYVq_g" xr:uid="{441CE673-ADAD-4B91-AB59-C8231DBF128F}"/>
    <hyperlink ref="B199" r:id="rId338" display="https://www.google.com/url?q=https://wcipeg.com/problem/coci087p1&amp;sa=D&amp;ust=1605639798900000&amp;usg=AFQjCNFlMPLERxgevTMubE1Dw9zedWhVAg" xr:uid="{D2CE5E5B-1E80-475C-A261-3D69DFFB527A}"/>
    <hyperlink ref="F199" r:id="rId339" display="https://www.google.com/url?q=https://github.com/mostafa-saad/MyCompetitiveProgramming/blob/master/Olympiad/COCI/official/2009/regional_solutions&amp;sa=D&amp;ust=1605639798900000&amp;usg=AFQjCNGlHlqwWOJAGBMt4FFvDpAq1bH7Yw" xr:uid="{DD54ADFF-1980-4383-B028-DA60B3CD652E}"/>
    <hyperlink ref="B200" r:id="rId340" display="https://www.google.com/url?q=https://dunjudge.me/analysis/problems/1358/&amp;sa=D&amp;ust=1605639798900000&amp;usg=AFQjCNEDgE3tZB64ksxZkptJ0k9F2h4pJw" xr:uid="{321505D1-9F2E-4C68-91A8-54500A90677D}"/>
    <hyperlink ref="F200" r:id="rId341" display="https://www.google.com/url?q=https://github.com/mostafa-saad/MyCompetitiveProgramming/blob/master/Olympiad/COCI/official/2013/contest1_solutions&amp;sa=D&amp;ust=1605639798901000&amp;usg=AFQjCNFKUOhmqnLYHhM9w_HQprg0DKFsow" xr:uid="{4C34BFCA-7E6D-46CF-BC0B-9B051E413EAB}"/>
    <hyperlink ref="B201" r:id="rId342" display="https://www.google.com/url?q=https://dmoj.ca/problem/coci14c6p1&amp;sa=D&amp;ust=1605639798901000&amp;usg=AFQjCNHiePFSsJsrL0cetAFSsPkxDZkEww" xr:uid="{ADDD532F-ED40-49D7-9A48-CF3A796A6DFC}"/>
    <hyperlink ref="F201" r:id="rId343" display="https://www.google.com/url?q=https://github.com/mostafa-saad/MyCompetitiveProgramming/blob/master/Olympiad/COCI/official/2015/contest6_solutions&amp;sa=D&amp;ust=1605639798901000&amp;usg=AFQjCNHq2p4upCnXyHEpXxO-UvStglJIXA" xr:uid="{6BFFFD19-22E4-4663-9A62-9434070FE3A0}"/>
    <hyperlink ref="B202" r:id="rId344" display="https://www.google.com/url?q=https://dmoj.ca/problem/coci14c7p1&amp;sa=D&amp;ust=1605639798903000&amp;usg=AFQjCNF4rjrPm9mCfKOsxazebL0hKMz-1w" xr:uid="{03FB7CCF-D773-43AF-99CF-5B21499A91CB}"/>
    <hyperlink ref="F202" r:id="rId345" display="https://www.google.com/url?q=https://github.com/mostafa-saad/MyCompetitiveProgramming/blob/master/Olympiad/COCI/official/2015/contest7_solutions&amp;sa=D&amp;ust=1605639798903000&amp;usg=AFQjCNE1rKc7OTGLiWA2R56JnO7J1O-mkw" xr:uid="{0C7F1AC1-EA06-49ED-9E4A-718ED6CAD737}"/>
    <hyperlink ref="B203" r:id="rId346" display="https://www.google.com/url?q=https://oj.uz/problem/view/COCI16_go&amp;sa=D&amp;ust=1605639798904000&amp;usg=AFQjCNHBVLWyNlWqB3KKjtRxxX-XlV12Sg" xr:uid="{E506E68A-5BFA-495C-A139-61ED02CD5352}"/>
    <hyperlink ref="F203" r:id="rId347" display="https://www.google.com/url?q=https://github.com/mostafa-saad/MyCompetitiveProgramming/blob/master/Olympiad/COCI/official/2017/contest2_solutions&amp;sa=D&amp;ust=1605639798904000&amp;usg=AFQjCNGMEjqnv20krVr6ugMeUE8ZLiAQRg" xr:uid="{CACFD70E-09B3-4CB4-A5A0-711B19E79841}"/>
    <hyperlink ref="B204" r:id="rId348" display="https://www.google.com/url?q=https://oj.uz/problem/view/COCI16_imena&amp;sa=D&amp;ust=1605639798904000&amp;usg=AFQjCNErM1uLMPP4xtyYzh-m6A1uneK-pA" xr:uid="{E62EBAC6-520A-44E0-905D-805F1BAA5E8C}"/>
    <hyperlink ref="F204" r:id="rId349" display="https://www.google.com/url?q=https://github.com/mostafa-saad/MyCompetitiveProgramming/blob/master/Olympiad/COCI/official/2017/contest3_solutions&amp;sa=D&amp;ust=1605639798905000&amp;usg=AFQjCNH23cfQCBCOZvUBYq1wZvXK4XGF7Q" xr:uid="{2B05EE24-7883-4C38-B689-AE793A8ABA28}"/>
    <hyperlink ref="B205" r:id="rId350" display="https://www.google.com/url?q=https://oj.uz/problem/view/COCI17_kartomat&amp;sa=D&amp;ust=1605639798905000&amp;usg=AFQjCNHVdG_6IOKPYf9EFbekoaQ3sbAlZQ" xr:uid="{9828A325-8A7D-4C1D-9626-F261546908E9}"/>
    <hyperlink ref="F205" r:id="rId351" display="https://www.google.com/url?q=https://github.com/mostafa-saad/MyCompetitiveProgramming/blob/master/Olympiad/COCI/official/2017/contest4_solutions&amp;sa=D&amp;ust=1605639798905000&amp;usg=AFQjCNE1m6OpsXeAhLEQ7VrVAkDBA2sCGQ" xr:uid="{E59EC4EA-A485-48E4-AFB3-206C83AB56C3}"/>
    <hyperlink ref="B206" r:id="rId352" display="https://www.google.com/url?q=https://oj.uz/problem/view/COCI17_pareto&amp;sa=D&amp;ust=1605639798906000&amp;usg=AFQjCNHPU1xCpH64lOx6gAA0dK3dmOMNvQ" xr:uid="{DB3C849B-4ED0-42C2-B102-152A9E39C45B}"/>
    <hyperlink ref="F206" r:id="rId353" display="https://www.google.com/url?q=https://github.com/mostafa-saad/MyCompetitiveProgramming/blob/master/Olympiad/COCI/official/2017/contest5_solutions&amp;sa=D&amp;ust=1605639798906000&amp;usg=AFQjCNHIpEIGFjSyKZXAb8DqY0yZuWmP_A" xr:uid="{902BE3C5-8C16-49A9-817F-AF59AB49AC4B}"/>
    <hyperlink ref="B207" r:id="rId354" display="https://www.google.com/url?q=https://oj.uz/problem/view/COCI17_telefoni&amp;sa=D&amp;ust=1605639798906000&amp;usg=AFQjCNGa9xdKkkDPvfN3uc3wSIsgmsNo4Q" xr:uid="{9B24856D-D4DA-4C3D-B872-3EB58756898A}"/>
    <hyperlink ref="F207" r:id="rId355" display="https://www.google.com/url?q=https://github.com/mostafa-saad/MyCompetitiveProgramming/blob/master/Olympiad/COCI/official/2017/contest6_solutions&amp;sa=D&amp;ust=1605639798907000&amp;usg=AFQjCNHo4VCtZYA81wf4kwp9tMnOZzadIw" xr:uid="{3D80A3FC-8E18-4B54-9120-359A1316C66E}"/>
    <hyperlink ref="B208" r:id="rId356" display="https://www.google.com/url?q=https://dunjudge.me/analysis/problems/144/&amp;sa=D&amp;ust=1605639798907000&amp;usg=AFQjCNFb7Tvqw7ayKTClhRzgodmg1lyP1Q" xr:uid="{302B69A6-867D-4BD6-AB39-E1908840E192}"/>
    <hyperlink ref="F208" r:id="rId357" display="https://www.google.com/url?q=https://github.com/mostafa-saad/MyCompetitiveProgramming/blob/master/Olympiad/NOI/official&amp;sa=D&amp;ust=1605639798907000&amp;usg=AFQjCNFfhHNNGHu4rv8DKEuoIxm-XGc1oQ" xr:uid="{D10271EF-7801-4E6A-8D33-C0FCD8860FF9}"/>
    <hyperlink ref="B209" r:id="rId358" display="https://www.google.com/url?q=https://dunjudge.me/analysis/problems/238/&amp;sa=D&amp;ust=1605639798908000&amp;usg=AFQjCNE_U8oqFyOvn-kKzPHdjb5N4JLQxQ" xr:uid="{0D93B5F3-5D42-44B5-8C0E-5DC86410F2EC}"/>
    <hyperlink ref="F209" r:id="rId359" display="https://www.google.com/url?q=https://github.com/mostafa-saad/MyCompetitiveProgramming/blob/master/Olympiad/NOI/official/2011.pptx&amp;sa=D&amp;ust=1605639798908000&amp;usg=AFQjCNG3ZJUP3W52w4zyKa0ukb0DFCLMqQ" xr:uid="{13D6FF63-34D9-4DA2-ADC9-6C113B7E553D}"/>
    <hyperlink ref="B210" r:id="rId360" display="https://www.google.com/url?q=https://dmoj.ca/problem/coci06c1p1&amp;sa=D&amp;ust=1605639798908000&amp;usg=AFQjCNHIAVaw4XJgOZNDmkofO6ez6IzMwg" xr:uid="{74064F94-5D58-4BEC-8EAD-702E681CF21C}"/>
    <hyperlink ref="F210" r:id="rId361" display="https://www.google.com/url?q=https://github.com/mostafa-saad/MyCompetitiveProgramming/tree/master/Olympiad/COCI/official/2007/contest1_solutions&amp;sa=D&amp;ust=1605639798908000&amp;usg=AFQjCNH7444JWKiiWtlhWblpbeQP6Hm-5A" xr:uid="{2510517B-7CE4-48F2-B2BA-21E0245B741C}"/>
    <hyperlink ref="B211" r:id="rId362" display="https://www.google.com/url?q=https://dmoj.ca/problem/coci06c2p1&amp;sa=D&amp;ust=1605639798909000&amp;usg=AFQjCNEGrW8e1zTdx-N3_2mR50FROoI9eA" xr:uid="{1165D6AD-4CE1-4379-8D32-6B76F96144F0}"/>
    <hyperlink ref="F211" r:id="rId363" display="https://www.google.com/url?q=https://github.com/mostafa-saad/MyCompetitiveProgramming/tree/master/Olympiad/COCI/official/2007/contest2_solutions&amp;sa=D&amp;ust=1605639798909000&amp;usg=AFQjCNF6pIi3Vb19x3tvq_OgVWRklnfxvg" xr:uid="{FF93C7C3-D931-4294-97C8-49630B1BCB20}"/>
    <hyperlink ref="B212" r:id="rId364" display="https://www.google.com/url?q=https://dmoj.ca/problem/coci07c2p1&amp;sa=D&amp;ust=1605639798910000&amp;usg=AFQjCNFceKLLrpXw6fRmyaslGqD-NZyuCw" xr:uid="{989DA521-AC42-403C-B28B-B16411E7DA8B}"/>
    <hyperlink ref="F212" r:id="rId365" display="https://www.google.com/url?q=https://github.com/mostafa-saad/MyCompetitiveProgramming/tree/master/Olympiad/COCI/official/2008/contest2_solutions&amp;sa=D&amp;ust=1605639798910000&amp;usg=AFQjCNHzBts9qDj2zhq7M8YucphhgfdIHQ" xr:uid="{1999B128-C699-4FDF-BB0D-AA696F11A4E0}"/>
    <hyperlink ref="B213" r:id="rId366" display="https://www.google.com/url?q=https://dmoj.ca/problem/coci07c5p1&amp;sa=D&amp;ust=1605639798910000&amp;usg=AFQjCNEdWl4EsD26JL9P9BP65cwqDG_fFw" xr:uid="{7F405B20-006E-44DC-B35D-343A9DEA6C61}"/>
    <hyperlink ref="F213" r:id="rId367" display="https://www.google.com/url?q=https://github.com/mostafa-saad/MyCompetitiveProgramming/tree/master/Olympiad/COCI/official/2008/contest5_solutions&amp;sa=D&amp;ust=1605639798910000&amp;usg=AFQjCNFe7MW8QiFN0889trir4NOQ6C6Bcw" xr:uid="{DDABEDA0-1527-4B06-8279-9F5A50C29CF1}"/>
    <hyperlink ref="B214" r:id="rId368" display="https://www.google.com/url?q=https://dmoj.ca/problem/coci14c4p1&amp;sa=D&amp;ust=1605639798911000&amp;usg=AFQjCNEHr4TpDrKJpQYjXC_Yc2acu4NsIQ" xr:uid="{834096C9-C73C-4C84-9946-E7A57DB6470D}"/>
    <hyperlink ref="B215" r:id="rId369" display="https://www.google.com/url?q=https://oj.uz/problem/view/COCI14_mobitel&amp;sa=D&amp;ust=1605639798911000&amp;usg=AFQjCNHEYrV56mknHlF-2sG4CCAMmhe2lQ" xr:uid="{0CAEC453-615D-4DA5-8757-411ADF113454}"/>
    <hyperlink ref="B216" r:id="rId370" display="https://www.google.com/url?q=https://dmoj.ca/problem/coci14c1p3&amp;sa=D&amp;ust=1605639798912000&amp;usg=AFQjCNH6Z9ivA8CzeSEkk8rEcaHvpHdUHQ" xr:uid="{671BD693-F212-407A-BE0C-B6F7D12541C5}"/>
    <hyperlink ref="B217" r:id="rId371" display="https://www.google.com/url?q=https://dmoj.ca/problem/coci14c3p1&amp;sa=D&amp;ust=1605639798913000&amp;usg=AFQjCNEDydGpWcTTM5Rn4RcTHN9MmD4QqA" xr:uid="{2E9AAC6C-F5AF-4D9B-9DAD-C4F58D1CB7E0}"/>
    <hyperlink ref="B218" r:id="rId372" display="https://www.google.com/url?q=https://dmoj.ca/problem/coci14c5p3&amp;sa=D&amp;ust=1605639798913000&amp;usg=AFQjCNGHYQ7elZFiVp-NCCM3iKVAQE-q4A" xr:uid="{FDCEE7A4-50C2-414D-BAAB-8AFB7E4E6D1C}"/>
    <hyperlink ref="B219" r:id="rId373" display="https://www.google.com/url?q=https://oj.uz/problem/view/COCI15_akcija&amp;sa=D&amp;ust=1605639798914000&amp;usg=AFQjCNE6uzxzm8dCSVGXf8hmENzPUa7gBQ" xr:uid="{749083D0-F9C5-4D88-ACA8-CB2CF9CADAC2}"/>
    <hyperlink ref="B220" r:id="rId374" display="https://www.google.com/url?q=https://dmoj.ca/problem/coci15c4p3&amp;sa=D&amp;ust=1605639798914000&amp;usg=AFQjCNHygKQvU4W9ibktnhmeFT7-gJd-tg" xr:uid="{AE932E89-7EBD-4237-A50B-8D0B2EF3501C}"/>
    <hyperlink ref="B221" r:id="rId375" display="https://www.google.com/url?q=https://oj.uz/problem/view/COCI15_geppetto&amp;sa=D&amp;ust=1605639798974000&amp;usg=AFQjCNGuMKtgXL9khlposhcGliTKcRNwFw" xr:uid="{A9921854-21CC-4237-886E-AF16B1D29186}"/>
    <hyperlink ref="B222" r:id="rId376" display="https://www.google.com/url?q=https://oj.uz/problem/view/COCI15_marko&amp;sa=D&amp;ust=1605639798974000&amp;usg=AFQjCNG3btCqJS9eJQVa_LiBlDeDP0e3dg" xr:uid="{AA1118D5-ED83-486F-BE16-ED0554DC33B5}"/>
    <hyperlink ref="B223" r:id="rId377" display="https://www.google.com/url?q=https://oj.uz/problem/view/COCI15_pot&amp;sa=D&amp;ust=1605639798975000&amp;usg=AFQjCNEi3iOCpAX_UqSXj63f0mrI98_34A" xr:uid="{8951981D-B1AF-4332-BB98-A91CF64AEA42}"/>
    <hyperlink ref="B224" r:id="rId378" display="https://www.google.com/url?q=https://oj.uz/problem/view/COCI17_hindeks&amp;sa=D&amp;ust=1605639798975000&amp;usg=AFQjCNHDHMaYO44BlMMFpMeRY4roWEbAFg" xr:uid="{AD13C1AC-D83F-43D3-A27D-650B54A00CB5}"/>
    <hyperlink ref="B225" r:id="rId379" display="https://www.google.com/url?q=https://dunjudge.me/analysis/problems/39/&amp;sa=D&amp;ust=1605639798976000&amp;usg=AFQjCNHPeEkE5wR88I6vumTZpoGHRpDVAQ" xr:uid="{2096A5CD-F55F-4079-8EC2-CA3BF081B374}"/>
    <hyperlink ref="B226" r:id="rId380" display="https://www.google.com/url?q=https://dunjudge.me/analysis/problems/738/&amp;sa=D&amp;ust=1605639798976000&amp;usg=AFQjCNGoNhTcwpj7F_Segmx3velSIAg09A" xr:uid="{689B6C61-1347-4BB3-8041-C5E1A74C8D24}"/>
    <hyperlink ref="F226" r:id="rId381" display="https://www.google.com/url?q=https://github.com/mostafa-saad/MyCompetitiveProgramming/blob/master/Olympiad/IOI/official/2002&amp;sa=D&amp;ust=1605639798977000&amp;usg=AFQjCNFqwZq8yC6tmtnttH-Gsxmv2CzSpw" xr:uid="{BD7CF2FF-0551-4FB8-844F-39C613AACF1E}"/>
    <hyperlink ref="B227" r:id="rId382" display="https://www.google.com/url?q=https://oj.uz/problem/view/POI11_prz&amp;sa=D&amp;ust=1605639798977000&amp;usg=AFQjCNGpjBWkaq9XYU8Qj-O6c3gjL089rQ" xr:uid="{1BA7E03E-10F1-4458-B0F1-03A43382266B}"/>
    <hyperlink ref="F227" r:id="rId383" display="https://www.google.com/url?q=https://github.com/mostafa-saad/MyCompetitiveProgramming/blob/master/Olympiad/POI/official/find_editorial_sols_guidelines.txt&amp;sa=D&amp;ust=1605639798977000&amp;usg=AFQjCNE_2VEEIOSSIO4sGF4mHVNx0n-ybQ" xr:uid="{EE604B6C-AC94-45D8-AF26-5D956AC956CC}"/>
    <hyperlink ref="B228" r:id="rId384" display="https://www.google.com/url?q=https://oj.uz/problem/view/POI13_ins&amp;sa=D&amp;ust=1605639798978000&amp;usg=AFQjCNGeIfyOFKh5cmY5KBG2FEwwPOMDBQ" xr:uid="{4A433979-9D35-4F9C-86CF-B2FD5424C9E6}"/>
    <hyperlink ref="F228" r:id="rId385" display="https://www.google.com/url?q=https://github.com/mostafa-saad/MyCompetitiveProgramming/blob/master/Olympiad/POI/official/find_editorial_sols_guidelines.txt&amp;sa=D&amp;ust=1605639798978000&amp;usg=AFQjCNG3a07YD13wcaVX1ylHdVET7CaDdQ" xr:uid="{EDC4F422-201E-40D3-81AE-027C28A45643}"/>
    <hyperlink ref="B229" r:id="rId386" display="https://www.google.com/url?q=https://dunjudge.me/analysis/problems/1478/&amp;sa=D&amp;ust=1605639798978000&amp;usg=AFQjCNEtV-nqob7RkfzQ54lwH_6igTXY0Q" xr:uid="{B1B13DF9-79F8-4AFE-AF18-07984FCC6F47}"/>
    <hyperlink ref="B230" r:id="rId387" display="https://www.google.com/url?q=https://dunjudge.me/analysis/problems/677/&amp;sa=D&amp;ust=1605639798979000&amp;usg=AFQjCNH3t-wUjny2xEua-7fZdAwILRVUQg" xr:uid="{77003240-D97E-481A-B8EC-E45AA3C4C3FD}"/>
    <hyperlink ref="B231" r:id="rId388" display="https://www.google.com/url?q=https://dunjudge.me/analysis/problems/1475/&amp;sa=D&amp;ust=1605639798979000&amp;usg=AFQjCNG04-gHTS_y06b7xrN_tqxHhMVi0Q" xr:uid="{A50A206C-E445-47D0-BE91-34A0EBAA9B78}"/>
    <hyperlink ref="B232" r:id="rId389" display="https://www.google.com/url?q=https://dunjudge.me/analysis/problems/1474/&amp;sa=D&amp;ust=1605639798979000&amp;usg=AFQjCNGowR9XvuyAByHNBJwHa9V-MA1-GQ" xr:uid="{0D85C797-F726-4C78-B79D-476CA47C3C1B}"/>
    <hyperlink ref="B233" r:id="rId390" display="https://www.google.com/url?q=https://wcipeg.com/problem/ioi0023&amp;sa=D&amp;ust=1605639798980000&amp;usg=AFQjCNFiizH-f3cR5fJfFEXJgztuMnqRxw" xr:uid="{B1BDA099-F141-4F43-A508-60E7E8BBAEB2}"/>
    <hyperlink ref="F233" r:id="rId391" display="https://www.google.com/url?q=https://github.com/mostafa-saad/MyCompetitiveProgramming/blob/master/Olympiad/IOI/IOI-00-Blocks.txt&amp;sa=D&amp;ust=1605639798980000&amp;usg=AFQjCNE3PwY0N1zc_rawZwrj5hpoSegxAw" xr:uid="{C2ABC8DA-E906-4F15-A07A-2826FCC87F19}"/>
    <hyperlink ref="B234" r:id="rId392" display="https://www.google.com/url?q=https://szkopul.edu.pl/problemset/problem/0EGjXu64CRLc5S2-EQOZ0eR1/site/&amp;sa=D&amp;ust=1605639798981000&amp;usg=AFQjCNG-S4v3HuFOeRqXx2oBqgRiralp2g" xr:uid="{0A6EBE3F-2AC1-4F21-924A-BFDFAE6E0102}"/>
    <hyperlink ref="F234" r:id="rId393" display="https://www.google.com/url?q=https://github.com/mostafa-saad/MyCompetitiveProgramming/blob/master/Olympiad/POI/official/find_editorial_sols_guidelines.txt&amp;sa=D&amp;ust=1605639798981000&amp;usg=AFQjCNESTuSBB7HTykDCqKMnx4JQqpO8IQ" xr:uid="{B4647717-057E-4299-8CBA-DB927414E177}"/>
    <hyperlink ref="B235" r:id="rId394" display="https://www.google.com/url?q=https://dunjudge.me/analysis/problems/734/&amp;sa=D&amp;ust=1605639798981000&amp;usg=AFQjCNHKDPrko-U_0-LJ7dDbkaMilKL-Bg" xr:uid="{971350A4-ACC5-40E7-8167-064533570B29}"/>
    <hyperlink ref="F235" r:id="rId395" display="https://www.google.com/url?q=https://github.com/mostafa-saad/MyCompetitiveProgramming/blob/master/Olympiad/IOI/IOI-01-depot.txt&amp;sa=D&amp;ust=1605639798982000&amp;usg=AFQjCNEiBUg2nxPfL_iK3DGCHmhfVJo2uw" xr:uid="{1F3223CD-DAC9-4B92-AC2B-6D591FECF98F}"/>
    <hyperlink ref="B236" r:id="rId396" display="https://www.google.com/url?q=http://usaco.org/index.php?page%3Dviewproblem2%26cpid%3D211&amp;sa=D&amp;ust=1605639798982000&amp;usg=AFQjCNFb7GsJ7F9kYsvRA4JtcnnzSAbryw" xr:uid="{170B592C-5FAA-41D4-B467-947CEC93A053}"/>
    <hyperlink ref="F236" r:id="rId397" display="https://www.google.com/url?q=https://github.com/updown2/OI-Practice/blob/master/USACO/2012-2013/December/Gold/Gangs.cpp&amp;sa=D&amp;ust=1605639798982000&amp;usg=AFQjCNGq23QNdrr7BrRHvUpABwNYa7dzgg" xr:uid="{10EE9D2C-0C0C-494D-AF64-0E568AC329CB}"/>
    <hyperlink ref="B237" r:id="rId398" display="https://www.google.com/url?q=https://cses.fi/185/list/&amp;sa=D&amp;ust=1605639798983000&amp;usg=AFQjCNHtM6yjoWs6s2Z9x3-lq5B61u6u2A" xr:uid="{DA75E09E-13C5-4CE6-ADDE-0B1E20F57D21}"/>
    <hyperlink ref="F237" r:id="rId399" display="https://www.google.com/url?q=https://github.com/mostafa-saad/MyCompetitiveProgramming/blob/master/Olympiad/CEOI/CEOI-06-Queue.txt&amp;sa=D&amp;ust=1605639798983000&amp;usg=AFQjCNGw6C3fJZX-f-fOpKDOauoOP565mw" xr:uid="{10FB0195-D970-4FE9-8319-339DAE45F3CB}"/>
    <hyperlink ref="B238" r:id="rId400" display="https://www.google.com/url?q=https://contest.yandex.ru/snss2018/contest/8760/problems/B&amp;sa=D&amp;ust=1605639798983000&amp;usg=AFQjCNG2iOnrGAd1463yvUStMnyDICkWAQ" xr:uid="{7C8B85CB-5D98-49BD-96E9-005B62348665}"/>
    <hyperlink ref="B239" r:id="rId401" display="https://www.google.com/url?q=https://dmoj.ca/problem/coci14c4p5&amp;sa=D&amp;ust=1605639798984000&amp;usg=AFQjCNHGeuc478EAxQEjhOq-NZUSFe5F2A" xr:uid="{C55CCBE0-F771-486B-9AA6-9D27CD8A9183}"/>
    <hyperlink ref="F239" r:id="rId402" display="https://www.google.com/url?q=https://github.com/mostafa-saad/MyCompetitiveProgramming/blob/master/Olympiad/COCI/COCI-14-Sabor.txt&amp;sa=D&amp;ust=1605639798984000&amp;usg=AFQjCNEc0f1lgN4C7EamHVoLkIG9g7hNUQ" xr:uid="{CDA61174-7253-44B9-9F70-DAF41E0F27DC}"/>
    <hyperlink ref="B240" r:id="rId403" display="https://www.google.com/url?q=https://www.infoarena.ro/problema/cartite&amp;sa=D&amp;ust=1605639798985000&amp;usg=AFQjCNGK4sG4wSUW1eI5v2wJtXGaKP3JGA" xr:uid="{A441F486-D4F7-4D2C-9775-B74F4DAA3F0E}"/>
    <hyperlink ref="F240" r:id="rId404" display="https://www.google.com/url?q=https://github.com/stefdasca/CompetitiveProgramming/blob/master/Infoarena/cartite.cpp&amp;sa=D&amp;ust=1605639798985000&amp;usg=AFQjCNG6BKzg2CU_Z2TvdBR5YGPV80wEKw" xr:uid="{C53CA271-0FD2-43D9-9DE8-D84F765134A6}"/>
    <hyperlink ref="B241" r:id="rId405" display="https://www.google.com/url?q=https://dmoj.ca/problem/coci08c5p6&amp;sa=D&amp;ust=1605639798987000&amp;usg=AFQjCNERc06RshC87kUO7Zq5LTo8LR2YJQ" xr:uid="{91FAC786-9D8B-4555-8229-D0A803E2A9D0}"/>
    <hyperlink ref="F241" r:id="rId406" display="https://www.google.com/url?q=https://github.com/mostafa-saad/MyCompetitiveProgramming/blob/master/Olympiad/COCI/official/2009/contest5_solutions&amp;sa=D&amp;ust=1605639798988000&amp;usg=AFQjCNG6P02kXiB2sBpyUtKbLgi3PmJeGw" xr:uid="{11C679B4-3782-4F1A-9D35-6114DA8F8770}"/>
    <hyperlink ref="B242" r:id="rId407" display="https://www.google.com/url?q=https://dmoj.ca/problem/coci07c4p3&amp;sa=D&amp;ust=1605639798988000&amp;usg=AFQjCNG5O7FH57sxlQRImtZ34Tuz6Pf56w" xr:uid="{24118F40-4952-4C05-9EE7-C33476AA1532}"/>
    <hyperlink ref="F242" r:id="rId408" display="https://www.google.com/url?q=https://github.com/mostafa-saad/MyCompetitiveProgramming/tree/master/Olympiad/COCI/official/2008/contest4_solutions&amp;sa=D&amp;ust=1605639798988000&amp;usg=AFQjCNFSKps1K2WH_5MkDil5CZVPwIQOGQ" xr:uid="{5CA91C45-8379-418D-B37A-7DFE2B75424F}"/>
    <hyperlink ref="B244" r:id="rId409" display="https://www.google.com/url?q=https://oj.uz/problem/view/JOI19_ho_t1&amp;sa=D&amp;ust=1605639798989000&amp;usg=AFQjCNH-aBUCU-sojN0eT6lie8tESIvfEA" xr:uid="{781E5519-1E25-4346-BB08-23785BA870F7}"/>
    <hyperlink ref="B245" r:id="rId410" display="https://www.google.com/url?q=https://www.infoarena.ro/problema/marceland&amp;sa=D&amp;ust=1605639798990000&amp;usg=AFQjCNFuyQ-goXjtSdIL_HoRanXmct_Ddg" xr:uid="{323FD6EC-EDB7-41DE-879D-36A9371EC4C0}"/>
    <hyperlink ref="F245" r:id="rId411" display="https://www.google.com/url?q=https://github.com/stefdasca/CompetitiveProgramming/blob/master/Infoarena/marceland.cpp&amp;sa=D&amp;ust=1605639798990000&amp;usg=AFQjCNHwT3sWgjBfGICeFQkbqhLylWq_0g" xr:uid="{1D7F3E47-D12B-41B2-95A5-1BDBD5D222E0}"/>
    <hyperlink ref="B246" r:id="rId412" display="https://www.google.com/url?q=https://dmoj.ca/problem/coci14c6p2&amp;sa=D&amp;ust=1605639798990000&amp;usg=AFQjCNF52RJcwbnKsQe3YuztE9IWjeOdkw" xr:uid="{8A9507CC-620A-4808-B9C9-BDFB05B4DE3B}"/>
    <hyperlink ref="F246" r:id="rId413" display="https://www.google.com/url?q=https://github.com/mostafa-saad/MyCompetitiveProgramming/blob/master/Olympiad/COCI/official/2015/contest6_solutions&amp;sa=D&amp;ust=1605639798991000&amp;usg=AFQjCNEXKXvW20D-V_zuGjzSd5UVGMJQkA" xr:uid="{427569B1-2692-45DF-9BEE-7BD05CDBB260}"/>
    <hyperlink ref="B247" r:id="rId414" display="https://www.google.com/url?q=https://oj.uz/problem/view/IOI16_laugh&amp;sa=D&amp;ust=1605639798991000&amp;usg=AFQjCNH5qojwC_G9-5uWKFDP2LEmAjFT-Q" xr:uid="{C92FB3EF-D61D-4FBA-8E6E-24FE1BA9E3B1}"/>
    <hyperlink ref="F247" r:id="rId415" display="https://www.google.com/url?q=https://github.com/mostafa-saad/MyCompetitiveProgramming/blob/master/Olympiad/IOI/official/2016&amp;sa=D&amp;ust=1605639798991000&amp;usg=AFQjCNHBaWve7fQG98KOJMBZukibIk_jsw" xr:uid="{DE887CCD-6EC3-47FC-A1EA-433A78CFF6EB}"/>
    <hyperlink ref="B248" r:id="rId416" display="https://www.google.com/url?q=https://cses.fi/100/list/&amp;sa=D&amp;ust=1605639798992000&amp;usg=AFQjCNFyb2P8N20jlIX6u58fpRj1j6HUWQ" xr:uid="{87FFEBD2-802C-470E-9D3A-0CF6B80E5DAB}"/>
    <hyperlink ref="F248" r:id="rId417" display="https://www.google.com/url?q=https://github.com/mostafa-saad/MyCompetitiveProgramming/blob/master/Olympiad/Baltic/official/boi2011_solutions&amp;sa=D&amp;ust=1605639798992000&amp;usg=AFQjCNGuVR2GO-GBTYSZeSquN8D_lzdnlw" xr:uid="{0967ABD7-68C1-47FB-A2B3-4A17632E38E7}"/>
    <hyperlink ref="F249" r:id="rId418" display="https://www.google.com/url?q=https://github.com/dolphingarlic/CompetitiveProgramming/blob/master/COI/COCI%252020-emacs.cpp&amp;sa=D&amp;ust=1605639798992000&amp;usg=AFQjCNGdxj2adhpVFZBDbR8CT22L_h9ByA" xr:uid="{2E3C059B-AE89-4F24-9FEE-C58BECC03802}"/>
    <hyperlink ref="B250" r:id="rId419" display="https://www.google.com/url?q=https://dmoj.ca/problem/nccc6s2&amp;sa=D&amp;ust=1605639798993000&amp;usg=AFQjCNF3HPHagwVs83XG_9b2cCW-JxGdWw" xr:uid="{2491A7ED-C01C-4D69-B0F7-01A4C3C87318}"/>
    <hyperlink ref="B251" r:id="rId420" display="https://www.google.com/url?q=https://cses.fi/231/task/A&amp;sa=D&amp;ust=1605639798993000&amp;usg=AFQjCNE7h31Of-khXCHGK5bYWUFg6p9uWg" xr:uid="{747DE6E4-33DF-492C-B581-F2865F48CC64}"/>
    <hyperlink ref="B252" r:id="rId421" display="https://www.google.com/url?q=https://contest.yandex.ru/ioi/contest/568/enter/&amp;sa=D&amp;ust=1605639798994000&amp;usg=AFQjCNHL5rkUeYhcxGRfMp0tKCUgS-IB5g" xr:uid="{396BA764-75B9-4C5B-810D-4AC0333D71C5}"/>
    <hyperlink ref="F252" r:id="rId422" display="https://www.google.com/url?q=https://github.com/updown2/OI-Practice/blob/master/JOI/2018/Stove.cpp&amp;sa=D&amp;ust=1605639798994000&amp;usg=AFQjCNGl7d6YCcmmmxyBRVGutd2CmKkqnA" xr:uid="{7581EDCF-181F-45FC-A177-C6A7F720AD70}"/>
    <hyperlink ref="B253" r:id="rId423" display="https://www.google.com/url?q=https://oj.uz/problem/view/COCI17_baza&amp;sa=D&amp;ust=1605639798994000&amp;usg=AFQjCNEOq-EmSUkGnoO0pQ_2RbfJVuQkFw" xr:uid="{1966DA4A-0D09-490D-95B5-F77D02DE5F50}"/>
    <hyperlink ref="B254" r:id="rId424" display="https://www.google.com/url?q=https://dmoj.ca/problem/coci14c5p1&amp;sa=D&amp;ust=1605639798995000&amp;usg=AFQjCNHf6LkrTIniTGR5fPbUM3nkG1_l8w" xr:uid="{9B1C7C31-C7FE-4F63-AF4B-AAE29BF69599}"/>
    <hyperlink ref="B255" r:id="rId425" display="https://www.google.com/url?q=https://oj.uz/problem/view/COCI15_karte&amp;sa=D&amp;ust=1605639798995000&amp;usg=AFQjCNHVanqAnz_Vj-JMVkCqIz8TMjc-yQ" xr:uid="{27E01253-AE79-430E-A0E9-3D252FCB108A}"/>
    <hyperlink ref="B256" r:id="rId426" display="https://www.google.com/url?q=https://cses.fi/204/list/&amp;sa=D&amp;ust=1605639798996000&amp;usg=AFQjCNH4aag0nnT5SNLrnMs0VGiRs3FCzg" xr:uid="{E69D0B80-8102-4FDD-AEA6-3B12962600CC}"/>
    <hyperlink ref="F256" r:id="rId427" display="https://www.google.com/url?q=https://github.com/mostafa-saad/MyCompetitiveProgramming/tree/master/Olympiad/Baltic/official/boi2018_solutions&amp;sa=D&amp;ust=1605639798996000&amp;usg=AFQjCNGwReciWlO0sVTpu9k95xlJD2KxIA" xr:uid="{E29B2EFC-4B87-44FB-85C2-901BA57D43BC}"/>
    <hyperlink ref="B257" r:id="rId428" display="https://www.google.com/url?q=https://dunjudge.me/analysis/problems/421/&amp;sa=D&amp;ust=1605639798996000&amp;usg=AFQjCNEyqM7zNzBYB7W_Q7diJ9htU2LA9A" xr:uid="{F72E6F5E-EB07-427E-8FD2-3A659C6E5698}"/>
    <hyperlink ref="B258" r:id="rId429" display="https://www.google.com/url?q=https://wcipeg.com/problem/coci074p6&amp;sa=D&amp;ust=1605639798997000&amp;usg=AFQjCNEdQYCJ04jG0vOSOKzj4Deak84-vQ" xr:uid="{BD148BCE-BEAF-49D1-8CA9-1E99EAF31CFA}"/>
    <hyperlink ref="F258" r:id="rId430" display="https://www.google.com/url?q=https://github.com/mostafa-saad/MyCompetitiveProgramming/blob/master/Olympiad/COCI/COCI-07-Kocke.txt&amp;sa=D&amp;ust=1605639798997000&amp;usg=AFQjCNEUFKuglPvEzu-vCSUTydsoYZmMpQ" xr:uid="{29E3677F-3326-4B0D-9FD1-80EA22B19013}"/>
    <hyperlink ref="B259" r:id="rId431" display="https://www.google.com/url?q=https://oj.uz/problem/view/COI19_segway&amp;sa=D&amp;ust=1605639798998000&amp;usg=AFQjCNG6UDNHNa6D2mgl2_Hc1ajnRmbuHA" xr:uid="{E2E3D285-777F-496F-AAC6-9B6554AB1504}"/>
    <hyperlink ref="F259" r:id="rId432" display="https://www.google.com/url?q=https://github.com/mostafa-saad/MyCompetitiveProgramming/blob/master/Olympiad/COI/COI-19-segway.txt&amp;sa=D&amp;ust=1605639798998000&amp;usg=AFQjCNGWIKh5yN38O8gX54-OrTmCy1A93w" xr:uid="{FB37F77D-3C64-412E-A8CD-56502AC5EAA2}"/>
    <hyperlink ref="B260" r:id="rId433" display="https://www.google.com/url?q=https://oj.uz/problems/source/326&amp;sa=D&amp;ust=1605639798998000&amp;usg=AFQjCNEXiC9ew4QCAgnV8ZM4nh2M2xTJ3A" xr:uid="{81589B3E-C7E1-4EA3-9CE5-7307A31128F5}"/>
    <hyperlink ref="F260" r:id="rId434" display="https://www.google.com/url?q=https://github.com/mostafa-saad/MyCompetitiveProgramming/blob/master/Olympiad/APIO/APIO-18-newhome.txt&amp;sa=D&amp;ust=1605639798999000&amp;usg=AFQjCNHVZjAM8jffs_ql7uhzOibpea-2Ew" xr:uid="{E60D08AB-9C65-4ADB-88F8-2EF41D2252E4}"/>
    <hyperlink ref="B261" r:id="rId435" display="https://www.google.com/url?q=https://dunjudge.me/analysis/problems/559/&amp;sa=D&amp;ust=1605639799000000&amp;usg=AFQjCNE7phARRniBgWPlntvhnk5bcLC6Qg" xr:uid="{3B17584F-7D27-4E0B-BC9D-24BAEE771FDC}"/>
    <hyperlink ref="F261" r:id="rId436" display="https://www.google.com/url?q=https://github.com/mostafa-saad/MyCompetitiveProgramming/blob/master/Olympiad/APIO/APIO-09-Convention.txt&amp;sa=D&amp;ust=1605639799001000&amp;usg=AFQjCNG_HonzJdxyG1cvuxHKDJwl1JJ9Pg" xr:uid="{2E483EE6-B89D-4186-B00E-EF2761DB24C9}"/>
    <hyperlink ref="B262" r:id="rId437" display="https://www.google.com/url?q=https://dmoj.ca/problem/mcco17p3&amp;sa=D&amp;ust=1605639799001000&amp;usg=AFQjCNG7rfX_aN_l_YAQZLbedwiHWOegZg" xr:uid="{0E050A81-2AE5-4534-9499-257472EBA429}"/>
    <hyperlink ref="F262" r:id="rId438" display="https://www.google.com/url?q=https://github.com/mostafa-saad/MyCompetitiveProgramming/blob/master/Olympiad/CCO/CCOMock-17-Connection.txt&amp;sa=D&amp;ust=1605639799001000&amp;usg=AFQjCNGSOIOC7EOunlf5jnCXkUJXm3JoHg" xr:uid="{720E6CDF-C80F-44E6-9920-D01499FC63C7}"/>
    <hyperlink ref="B263" r:id="rId439" display="https://www.google.com/url?q=https://oj.uz/problem/view/JOI19_timeleap&amp;sa=D&amp;ust=1605639799002000&amp;usg=AFQjCNHYYjMNL_YDkeGdDrVNofDGM2YlnQ" xr:uid="{8D271417-BA4C-4AFC-90FD-3F06F14AD463}"/>
    <hyperlink ref="B264" r:id="rId440" display="https://www.google.com/url?q=https://oj.uz/problem/view/BOI15_edi&amp;sa=D&amp;ust=1605639799002000&amp;usg=AFQjCNGz6lN-5o78Id5Z3UwkbWiAS4Jctw" xr:uid="{242DCC55-25E0-43EA-B1F6-F43AF3B3D728}"/>
    <hyperlink ref="F264" r:id="rId441" display="https://www.google.com/url?q=https://github.com/mostafa-saad/MyCompetitiveProgramming/blob/master/Olympiad/Baltic/Baltic-15-edi.txt&amp;sa=D&amp;ust=1605639799002000&amp;usg=AFQjCNEFujbHJKd_akEv4l0jWIcIajcj1w" xr:uid="{1C44C1E2-B76A-4A3B-9E57-82D36BE4A430}"/>
    <hyperlink ref="B265" r:id="rId442" display="https://www.google.com/url?q=https://oj.uz/problem/view/COI15_ogledala&amp;sa=D&amp;ust=1605639799003000&amp;usg=AFQjCNGDVv2oHO8XuyBTYwpEKTxpxv0egQ" xr:uid="{37057C44-1722-4128-B23E-0A90DB2EE0C9}"/>
    <hyperlink ref="F265" r:id="rId443" display="https://www.google.com/url?q=https://github.com/mostafa-saad/MyCompetitiveProgramming/tree/master/Olympiad/COI/official/2015&amp;sa=D&amp;ust=1605639799003000&amp;usg=AFQjCNHgZeW972xLnIp_wDX6CPkf6mwcgQ" xr:uid="{0801BD83-C2AF-486C-B09A-8BAC2A310EEC}"/>
    <hyperlink ref="B266" r:id="rId444" display="https://www.google.com/url?q=https://oj.uz/problems/source/60&amp;sa=D&amp;ust=1605639799004000&amp;usg=AFQjCNHq4pzkqDavi_RAdmYdUOteBWmJvQ" xr:uid="{2E6A894F-1D4F-4101-AE5A-C7DABDF4562E}"/>
    <hyperlink ref="F266" r:id="rId445" display="https://www.google.com/url?q=https://github.com/tmwilliamlin168/CompetitiveProgramming/blob/master/CEOI/13-Adriatic.cpp&amp;sa=D&amp;ust=1605639799005000&amp;usg=AFQjCNH2GSe86W0zOpNNkYbaHuggsXsr0g" xr:uid="{C61C2105-FED9-434D-8495-862CAFF0FB30}"/>
    <hyperlink ref="B267" r:id="rId446" display="https://www.google.com/url?q=https://oj.uz/problem/view/IOI19_rect&amp;sa=D&amp;ust=1605639799005000&amp;usg=AFQjCNGakz8QDXKsqTuUCdN_JXBms3FXXw" xr:uid="{7D152A88-77D7-476A-8699-BBFF630038F4}"/>
    <hyperlink ref="F267" r:id="rId447" display="https://www.google.com/url?q=https://github.com/mostafa-saad/MyCompetitiveProgramming/blob/master/Olympiad/IOI/IOI-19-rect.txt&amp;sa=D&amp;ust=1605639799005000&amp;usg=AFQjCNFbdndgpJMvmip2bcSOOERGCFQ3KQ" xr:uid="{EDC251BD-C585-4BD7-82F0-1CB35675FCB8}"/>
    <hyperlink ref="B268" r:id="rId448" display="https://www.google.com/url?q=https://www.infoarena.ro/problema/ssdj&amp;sa=D&amp;ust=1605639799006000&amp;usg=AFQjCNGsNOlBbZjVLSkX8x1CNgFh_OD8nA" xr:uid="{08C33404-0132-446B-89DF-8963A2501F52}"/>
    <hyperlink ref="F268" r:id="rId449" display="https://www.google.com/url?q=https://github.com/mostafa-saad/MyCompetitiveProgramming/blob/master/Olympiad/infoarena/infoarena-ssdj.txt&amp;sa=D&amp;ust=1605639799006000&amp;usg=AFQjCNFgeoVd2NEBDXjE8D3S3yjkb7ZT0w" xr:uid="{576D2754-0617-4A71-BE36-84D21617A979}"/>
    <hyperlink ref="B269" r:id="rId450" display="https://www.google.com/url?q=https://oj.uz/problem/view/APIO15_bridge&amp;sa=D&amp;ust=1605639799006000&amp;usg=AFQjCNFhRR6-3qOLHAUbwzLuVfdkQcU-xQ" xr:uid="{74A4B98A-376E-402D-9E7B-F7E1617C2853}"/>
    <hyperlink ref="F269" r:id="rId451" display="https://www.google.com/url?q=https://github.com/mostafa-saad/MyCompetitiveProgramming/blob/master/Olympiad/APIO/APIO-15-bridge.txt&amp;sa=D&amp;ust=1605639799007000&amp;usg=AFQjCNFhXu3a504Ahqdnmo__hmeX5miBIQ" xr:uid="{3C214119-CC2A-4872-8A53-D18590F28360}"/>
    <hyperlink ref="B270" r:id="rId452" display="https://www.google.com/url?q=https://oj.uz/problem/view/CEOI11_tea&amp;sa=D&amp;ust=1605639799007000&amp;usg=AFQjCNFWJZdjZgtjI2ePl4hzoflBqAdq7w" xr:uid="{4B7D60E0-DE8C-4310-83E9-375D43A0294A}"/>
    <hyperlink ref="F270" r:id="rId453" display="https://www.google.com/url?q=https://github.com/mostafa-saad/MyCompetitiveProgramming/blob/master/Olympiad/CEOI/CEOI-11-Teams.txt&amp;sa=D&amp;ust=1605639799007000&amp;usg=AFQjCNFZaWW9ntfo9WsRQI-2Uxpkzy9n5Q" xr:uid="{42220990-8691-47D2-8FBB-FEC8FAB59E95}"/>
    <hyperlink ref="B271" r:id="rId454" display="https://www.google.com/url?q=http://usaco.org/index.php?page%3Dviewproblem2%26cpid%3D837&amp;sa=D&amp;ust=1605639799008000&amp;usg=AFQjCNH8t0jIkkIms4n1Rdgs9R1S_WQEGg" xr:uid="{0809CE58-B85E-4CA8-814E-8BF0FF7D0038}"/>
    <hyperlink ref="F271" r:id="rId455" display="https://www.google.com/url?q=https://github.com/dolphingarlic/CompetitiveProgramming/blob/master/USACO/USACO%252018-out_of_sorts_gold.cpp&amp;sa=D&amp;ust=1605639799008000&amp;usg=AFQjCNFK35uJH3GWCFHiblxrDYIZk9TdMA" xr:uid="{729F5542-AD44-40C6-9B1C-14CE432FD15F}"/>
    <hyperlink ref="B272" r:id="rId456" display="https://www.google.com/url?q=http://usaco.org/index.php?page%3Dviewproblem2%26cpid%3D194&amp;sa=D&amp;ust=1605639799008000&amp;usg=AFQjCNEMU7U15W77Dj0yQHvroBP5RbSeYw" xr:uid="{1BDF32D0-0D52-43F4-B92E-398921F840A8}"/>
    <hyperlink ref="B273" r:id="rId457" display="https://www.google.com/url?q=https://oj.uz/problem/view/IOI15_horses&amp;sa=D&amp;ust=1605639799009000&amp;usg=AFQjCNGoeLDKZoDJZC7ZN2A0fHftRAneiw" xr:uid="{521C55AD-BC7A-4A9E-A2D4-8AC28BA93A53}"/>
    <hyperlink ref="F273" r:id="rId458" display="https://www.google.com/url?q=https://github.com/mostafa-saad/MyCompetitiveProgramming/blob/master/Olympiad/IOI/official/2015&amp;sa=D&amp;ust=1605639799009000&amp;usg=AFQjCNGph6I4qAa2rLmTBA05N6N1qHhRGw" xr:uid="{37CBD505-CACE-4D46-B61A-8FD8519384F7}"/>
    <hyperlink ref="B274" r:id="rId459" display="https://www.google.com/url?q=https://oj.uz/problems/source/59&amp;sa=D&amp;ust=1605639799010000&amp;usg=AFQjCNHalbQ_0fh1thdAW-wTlg7WuAQLow" xr:uid="{D46A17E3-CD10-43C7-B4D4-5CE233B87185}"/>
    <hyperlink ref="F274" r:id="rId460" display="https://www.google.com/url?q=https://github.com/tmwilliamlin168/CompetitiveProgramming/blob/master/CEOI/13-Tram.cpp&amp;sa=D&amp;ust=1605639799010000&amp;usg=AFQjCNEsxfj3QtAXfLswkL95b525th2oOw" xr:uid="{6963C1C1-B366-40CF-ABFD-6F197926D49D}"/>
    <hyperlink ref="B275" r:id="rId461" display="https://www.google.com/url?q=https://www.infoarena.ro/problema/cover&amp;sa=D&amp;ust=1605639799010000&amp;usg=AFQjCNFVTDbN8HX3LUMXTu60fUhqhEoteQ" xr:uid="{40E2CA86-603E-4ADC-84D6-F15BE1E81059}"/>
    <hyperlink ref="F275" r:id="rId462" display="https://www.google.com/url?q=https://github.com/stefdasca/CompetitiveProgramming/blob/master/Infoarena/cover.cpp&amp;sa=D&amp;ust=1605639799010000&amp;usg=AFQjCNEcy1UY4Mt8lXJjQEUAObkRrdd28Q" xr:uid="{11F54AD9-D3DD-444E-8653-8F121C06D5BE}"/>
    <hyperlink ref="B276" r:id="rId463" display="https://www.google.com/url?q=http://usaco.org/index.php?page%3Dviewproblem2%26cpid%3D722&amp;sa=D&amp;ust=1605639799011000&amp;usg=AFQjCNFHUL_i52IJfTQ2Ya7DcognRcL6MQ" xr:uid="{9AFE25B1-1A07-4FAE-BA43-35EF8D7EE017}"/>
    <hyperlink ref="B277" r:id="rId464" display="https://www.google.com/url?q=https://oj.uz/problem/view/COI14_kosta&amp;sa=D&amp;ust=1605639799011000&amp;usg=AFQjCNGBDikyfbiwwp8ShlAkdTvnCg6jGw" xr:uid="{B93719D9-8AFC-42D1-BD19-E1906F5C41BE}"/>
    <hyperlink ref="F277" r:id="rId465" display="https://www.google.com/url?q=https://github.com/mostafa-saad/MyCompetitiveProgramming/tree/master/Olympiad/COI/official/2014&amp;sa=D&amp;ust=1605639799012000&amp;usg=AFQjCNFTqdTMIjLLtJSq_T8jSh0Vp8PPew" xr:uid="{F46C737B-73B0-4A43-B3B8-FD7E7D4AA329}"/>
    <hyperlink ref="B278" r:id="rId466" display="https://www.google.com/url?q=https://csacademy.com/contest/ceoi-2018-day-1/task/lottery/&amp;sa=D&amp;ust=1605639799013000&amp;usg=AFQjCNE_XPg6bHQf9BlVG9ltPDeSOFmbbA" xr:uid="{1D953A80-9847-472F-85DC-C0BE62EED951}"/>
    <hyperlink ref="F278" r:id="rId467" display="https://www.google.com/url?q=https://github.com/mostafa-saad/MyCompetitiveProgramming/blob/master/Olympiad/CEOI/CEOI-18-Lottery.txt&amp;sa=D&amp;ust=1605639799014000&amp;usg=AFQjCNGf88XfP2mtYCd90hftrjcO-eaPhA" xr:uid="{F708BD0B-4760-4C29-AE8A-B5C6606F7E18}"/>
    <hyperlink ref="B279" r:id="rId468" display="https://www.google.com/url?q=https://oj.uz/problem/view/COCI18_strah&amp;sa=D&amp;ust=1605639799014000&amp;usg=AFQjCNFGpUchg1g8m2xoRvhh0kbmbk44cw" xr:uid="{C11821FF-C633-472A-A72E-92C67B5BF25F}"/>
    <hyperlink ref="F279" r:id="rId469" display="https://www.google.com/url?q=https://github.com/Szawinis/CompetitiveProgramming/blob/master/Olympiad/COCI/COCI18-strah.cpp&amp;sa=D&amp;ust=1605639799014000&amp;usg=AFQjCNFarAWBHafXEFQN0SDyAh6yGdQk6w" xr:uid="{63F64711-F7A7-41C0-8C4F-64962D32D0FD}"/>
    <hyperlink ref="B280" r:id="rId470" display="https://www.google.com/url?q=https://dunjudge.me/analysis/problems/704/&amp;sa=D&amp;ust=1605639799015000&amp;usg=AFQjCNGXwRBMqZ-nF1pomJuiIwCr9MmINg" xr:uid="{169DC929-481B-4822-B3E0-AFCA8418149E}"/>
    <hyperlink ref="F280" r:id="rId471" display="https://www.google.com/url?q=https://github.com/mostafa-saad/MyCompetitiveProgramming/blob/master/Olympiad/NOI/official&amp;sa=D&amp;ust=1605639799015000&amp;usg=AFQjCNGiqEqiBc8lmohBSEQf4oOhuytyzg" xr:uid="{6868AFE5-536D-4045-8CE3-8C0C6CB595F4}"/>
    <hyperlink ref="B281" r:id="rId472" display="https://www.google.com/url?q=https://oj.uz/problem/view/IOI13_robots&amp;sa=D&amp;ust=1605639799015000&amp;usg=AFQjCNGxFKH75g4I1zxBJrIgKI2eh2RAlg" xr:uid="{68B39009-AE67-4E81-8BCB-1B3450BD197C}"/>
    <hyperlink ref="F281" r:id="rId473" display="https://www.google.com/url?q=https://github.com/mostafa-saad/MyCompetitiveProgramming/blob/master/Olympiad/IOI/IOI-13-robots.txt&amp;sa=D&amp;ust=1605639799015000&amp;usg=AFQjCNErU9qHAvB8BoGM236T5V7pLgiLlA" xr:uid="{ABCFEE4D-9365-47D8-9EE2-3E71B912CC34}"/>
    <hyperlink ref="B282" r:id="rId474" display="https://www.google.com/url?q=https://contest.yandex.ru/ioi/contest/562/problems/B/&amp;sa=D&amp;ust=1605639799016000&amp;usg=AFQjCNGi7LGbF2DETaZyvkxv1lapX-MFGw" xr:uid="{BF80D869-8672-4803-ADFA-322704B9123C}"/>
    <hyperlink ref="F282" r:id="rId475" display="https://www.google.com/url?q=https://github.com/mostafa-saad/MyCompetitiveProgramming/blob/master/Olympiad/IOI/IOI-06-pyramid.txt&amp;sa=D&amp;ust=1605639799016000&amp;usg=AFQjCNGEjkwHOyuHWJ9Vn_JXpoie4Z6oFA" xr:uid="{4768BCD2-19E1-4F3F-9EBE-6D2EE49028F8}"/>
    <hyperlink ref="B283" r:id="rId476" display="https://www.google.com/url?q=https://cses.fi/180/list/&amp;sa=D&amp;ust=1605639799016000&amp;usg=AFQjCNHDmbyXLyOsBq9BZjivEMOINma5rg" xr:uid="{0A3FFFEE-CCCC-4D02-BA89-A633FAF3E19D}"/>
    <hyperlink ref="F283" r:id="rId477" display="https://www.google.com/url?q=https://github.com/MetalBall887/Competitive-Programming/blob/master/Olympiad/CEOI/CEOI%252009-Logs.cpp&amp;sa=D&amp;ust=1605639799017000&amp;usg=AFQjCNEzHgy1epJv4h-11vIVJenrtuMTFA" xr:uid="{CDF64517-5A55-4413-8CA4-9A2015F3892E}"/>
    <hyperlink ref="B284" r:id="rId478" display="https://www.google.com/url?q=https://infoarena.ro/problema/eq&amp;sa=D&amp;ust=1605639799017000&amp;usg=AFQjCNE-CjJr6waDMtlfrd86KP5zvr_tuA" xr:uid="{131CF232-9FF0-47FC-BB61-720B868BDB84}"/>
    <hyperlink ref="F284" r:id="rId479" display="https://www.google.com/url?q=https://github.com/mostafa-saad/MyCompetitiveProgramming/blob/master/Olympiad/infoarena/infoarena-eq.txt&amp;sa=D&amp;ust=1605639799017000&amp;usg=AFQjCNGBVwwxVEq5Ymwu8eOc5mENhzxMMQ" xr:uid="{10E185F2-8D4C-4D7A-841B-2A8F203BB1C2}"/>
    <hyperlink ref="B285" r:id="rId480" display="https://www.google.com/url?q=http://usaco.org/index.php?page%3Dviewproblem2%26cpid%3D770&amp;sa=D&amp;ust=1605639799018000&amp;usg=AFQjCNH7w0nPuQDIJ0qLjCbQ-b9Uf_Oy1w" xr:uid="{5554AD38-4BB0-42F3-A19F-B6FBCD683B65}"/>
    <hyperlink ref="B286" r:id="rId481" display="https://www.google.com/url?q=https://wcipeg.com/problem/coci093p5&amp;sa=D&amp;ust=1605639799018000&amp;usg=AFQjCNGn1NFxVWrAVmyf1unghkPB5Q1J_A" xr:uid="{90B3A9CF-7CC4-4588-A4F0-D20B3FD15345}"/>
    <hyperlink ref="F286" r:id="rId482" display="https://www.google.com/url?q=https://github.com/mostafa-saad/MyCompetitiveProgramming/blob/master/Olympiad/COCI/official/2010/contest3_solutions&amp;sa=D&amp;ust=1605639799018000&amp;usg=AFQjCNErvZhjdBg4ATH5vbyFJ75GA2Ht_Q" xr:uid="{B5B05B79-9675-4B69-ABD2-CEA53C18B736}"/>
    <hyperlink ref="B287" r:id="rId483" display="https://www.google.com/url?q=https://www.infoarena.ro/problema/struti&amp;sa=D&amp;ust=1605639799019000&amp;usg=AFQjCNHLSLJfQuEB1CC5BC37NwCpfCI_mA" xr:uid="{A8C44423-C50C-49F2-9931-63D0B68406BA}"/>
    <hyperlink ref="F287" r:id="rId484" display="https://www.google.com/url?q=https://github.com/stefdasca/CompetitiveProgramming/blob/master/Infoarena/struti.cpp&amp;sa=D&amp;ust=1605639799019000&amp;usg=AFQjCNEV1_GQFp9sYnejFcQlBEYMpHmXrQ" xr:uid="{211C98CC-0097-41CD-90CA-7043D4AF790E}"/>
    <hyperlink ref="B288" r:id="rId485" display="https://www.google.com/url?q=https://training.ia-toki.org/problemsets/87/problems/445/&amp;sa=D&amp;ust=1605639799065000&amp;usg=AFQjCNHQk5fKXbQ5wEMskAcWfngTV8g1AQ" xr:uid="{BD7FAD69-6624-449F-B1F7-EB1241D1846B}"/>
    <hyperlink ref="F288" r:id="rId486" display="https://www.google.com/url?q=https://github.com/win11905/submission/blob/master/TOKI/17/radius/radius.cpp&amp;sa=D&amp;ust=1605639799065000&amp;usg=AFQjCNGJjN2vtN_UUcQgB_2mhpuFE-UaRQ" xr:uid="{6621FACF-E6DF-4530-98D9-1220EFE4A200}"/>
    <hyperlink ref="B289" r:id="rId487" display="https://www.google.com/url?q=https://dmoj.ca/problem/coci07c4p5&amp;sa=D&amp;ust=1605639799065000&amp;usg=AFQjCNGs9ex4ttd9hI_pXOfQkvYkMh0WKA" xr:uid="{E3D142FB-91FF-49C5-9E48-CF796ABD6FD5}"/>
    <hyperlink ref="F289" r:id="rId488" display="https://www.google.com/url?q=https://github.com/mostafa-saad/MyCompetitiveProgramming/tree/master/Olympiad/COCI/official/2008/contest4_solutions&amp;sa=D&amp;ust=1605639799081000&amp;usg=AFQjCNF7P6Z9FdPqmY4kO8LIeAzsigDKUg" xr:uid="{1C9058DC-6DBE-4378-9A9B-FB272177A082}"/>
    <hyperlink ref="B290" r:id="rId489" display="https://www.google.com/url?q=https://www.infoarena.ro/problema/regat&amp;sa=D&amp;ust=1605639799081000&amp;usg=AFQjCNGTe8tDHfc9F-p80NUdIHzIzDF0HA" xr:uid="{DF83D4A7-1077-4AE3-B0AE-81CA842FF6BB}"/>
    <hyperlink ref="F290" r:id="rId490" display="https://www.google.com/url?q=https://github.com/mostafa-saad/MyCompetitiveProgramming/blob/master/Olympiad/infoarena/infoarena_regat.txt&amp;sa=D&amp;ust=1605639799081000&amp;usg=AFQjCNFrUKIhcCKVM1O_A4bBN7ntZTin-Q" xr:uid="{B172A173-5DF3-49B2-BFF0-F3B0396FD601}"/>
    <hyperlink ref="B291" r:id="rId491" display="https://www.google.com/url?q=https://csacademy.com/contest/balkan-oi-2017-day-2/&amp;sa=D&amp;ust=1605639799082000&amp;usg=AFQjCNFQVi820MZ2e3R2R-o-gbBng3R8lw" xr:uid="{7E63D53F-8364-4035-8B81-A1A9D93E8C55}"/>
    <hyperlink ref="F291" r:id="rId492" display="https://www.google.com/url?q=https://github.com/mostafa-saad/MyCompetitiveProgramming/blob/master/Olympiad/Balkan/Balkan-17-Monsters.txt&amp;sa=D&amp;ust=1605639799082000&amp;usg=AFQjCNEeJ5GqvfoahhACCV3NdMdlR1RGvg" xr:uid="{AFE95432-165B-424C-8167-B2266B85AC3E}"/>
    <hyperlink ref="B292" r:id="rId493" display="https://www.google.com/url?q=https://csacademy.com/contest/junior-challenge-2017-day-2/task/ultimateorbs&amp;sa=D&amp;ust=1605639799082000&amp;usg=AFQjCNGoUl8Pc0cU2eO4h8-mEHc2gsgREw" xr:uid="{3748B473-C77C-4D75-8ED0-AF863E90E726}"/>
    <hyperlink ref="F292" r:id="rId494" display="https://www.google.com/url?q=https://github.com/mostafa-saad/MyCompetitiveProgramming/blob/master/Olympiad/ROS/ROJS-17-ultimateorbs.txt&amp;sa=D&amp;ust=1605639799083000&amp;usg=AFQjCNEUae_mac8rzOftL-tyCoa4X4E9Tw" xr:uid="{2613857E-A458-409D-810D-96ADFEB7B193}"/>
    <hyperlink ref="B293" r:id="rId495" display="https://www.google.com/url?q=https://dmoj.ca/problem/coi06p1&amp;sa=D&amp;ust=1605639799083000&amp;usg=AFQjCNEDu7u8NHMFc1z7LKJCtpXl6-Wvyg" xr:uid="{376B978B-8D36-4E14-AA53-DC9F494220F5}"/>
    <hyperlink ref="F293" r:id="rId496" display="https://www.google.com/url?q=https://github.com/mostafa-saad/MyCompetitiveProgramming/blob/master/Olympiad/COI/COI-06-Patrik.txt&amp;sa=D&amp;ust=1605639799084000&amp;usg=AFQjCNH3tpo0kNIEle16hhZR47pbSyGYIQ" xr:uid="{CE95325F-7F25-45EB-8870-234B2F3DBF91}"/>
    <hyperlink ref="B294" r:id="rId497" display="https://www.google.com/url?q=https://www.infoarena.ro/problema/permsort&amp;sa=D&amp;ust=1605639799084000&amp;usg=AFQjCNGE2ufAgqT4zuhpLRfZjCEV9PgRjA" xr:uid="{2249BEB8-FFEF-4331-9316-CF863489CD42}"/>
    <hyperlink ref="F294" r:id="rId498" display="https://www.google.com/url?q=https://github.com/mostafa-saad/MyCompetitiveProgramming/blob/master/Olympiad/infoarena/infoarena-permsort.txt&amp;sa=D&amp;ust=1605639799084000&amp;usg=AFQjCNFjI3eJqvUC1cH92_e9ea3T2rfUug" xr:uid="{CFF99EF1-DC9B-40C3-B00F-6C897F5985FC}"/>
    <hyperlink ref="B295" r:id="rId499" display="https://www.google.com/url?q=https://oj.uz/problem/view/JOI19_examination&amp;sa=D&amp;ust=1605639799086000&amp;usg=AFQjCNGXw9VaGQNqP0Vp2lAVHaA1kQ4S5g" xr:uid="{753E928F-90ED-4819-B35E-A421A31A3A75}"/>
    <hyperlink ref="F295" r:id="rId500" display="https://www.google.com/url?q=https://github.com/Szawinis/CompetitiveProgramming/blob/master/Olympiad/JOI/JOISC19-examination.cpp&amp;sa=D&amp;ust=1605639799087000&amp;usg=AFQjCNFXvCilYRINPcW4-MMJYxHqFu67Sg" xr:uid="{0079013B-3087-4750-9CFE-C06E3F408B08}"/>
    <hyperlink ref="B296" r:id="rId501" display="https://www.google.com/url?q=https://csacademy.com/contest/ejoi-2017-day-1/task/magic/&amp;sa=D&amp;ust=1605639799087000&amp;usg=AFQjCNFjb9RQNDHifVu0nbjYeuePxV2smQ" xr:uid="{15692C06-29A4-45FD-8722-FCB8BE59721D}"/>
    <hyperlink ref="F296" r:id="rId502" display="https://www.google.com/url?q=https://github.com/Rockbet/Problems/blob/master/EJOI/2017/Day%25201/Magic.cpp&amp;sa=D&amp;ust=1605639799087000&amp;usg=AFQjCNH70zJOOYFm9-ZoCKphc4jV4xns8g" xr:uid="{6EBCA44C-5B18-49DE-AB77-0A8D4B74B820}"/>
    <hyperlink ref="B297" r:id="rId503" display="https://www.google.com/url?q=http://usaco.org/index.php?page%3Dviewproblem2%26cpid%3D495&amp;sa=D&amp;ust=1605639799088000&amp;usg=AFQjCNF8KoQ6B8L65adIpSFrv6dGD9HxKA" xr:uid="{8C6A5612-9A33-4835-A2FA-2616F2CE3239}"/>
    <hyperlink ref="F297" r:id="rId504" display="https://www.google.com/url?q=https://github.com/SpeedOfMagic/CompetitiveProgramming/blob/master/USACO/USACO%252014dec-marathon.cpp&amp;sa=D&amp;ust=1605639799088000&amp;usg=AFQjCNG5IHcymjk0LqTiFz46_WcnMhsDwQ" xr:uid="{7F7236D0-E8D6-4A3D-99A9-2A9CEFB5C9B4}"/>
    <hyperlink ref="B298" r:id="rId505" display="https://www.google.com/url?q=https://github.com/stefdasca/CompetitiveProgramming/blob/master/Info1Cup/National%2520Round/Simple%2520(Ro)%2520(1).pdf&amp;sa=D&amp;ust=1605639799088000&amp;usg=AFQjCNEz1roCl0C3OUsZrTFy9HL6XH9Wmg" xr:uid="{68C8745D-7DB6-493B-83F3-48601FE34860}"/>
    <hyperlink ref="F298" r:id="rId506" display="https://www.google.com/url?q=https://github.com/stefdasca/CompetitiveProgramming/blob/master/Info1Cup/National%2520Round/simple.cpp&amp;sa=D&amp;ust=1605639799089000&amp;usg=AFQjCNFxC2FIgABbVjv5b6qOXlmZ4luw9A" xr:uid="{F97B8A2D-37C9-4AEC-85DD-86CF8422E98A}"/>
    <hyperlink ref="B299" r:id="rId507" display="https://www.google.com/url?q=https://www.infoarena.ro/problema/omizi&amp;sa=D&amp;ust=1605639799089000&amp;usg=AFQjCNEcXw09eD5YmGi1pdHInfF0Egzb9A" xr:uid="{EC23FEC6-D435-479B-B89D-0AE669EDABE0}"/>
    <hyperlink ref="F299" r:id="rId508" display="https://www.google.com/url?q=https://github.com/stefdasca/CompetitiveProgramming/blob/master/Infoarena/omizi.cpp&amp;sa=D&amp;ust=1605639799089000&amp;usg=AFQjCNGt9aEurqRERvzf2pZa-xphcI6Zsw" xr:uid="{FFC08796-71CB-4B4B-AF5E-EB07B0325FAB}"/>
    <hyperlink ref="B300" r:id="rId509" display="https://www.google.com/url?q=https://dmoj.ca/problem/dmopc15c1p6&amp;sa=D&amp;ust=1605639799090000&amp;usg=AFQjCNG7GZymiP3kRpM9vvr8C-J-lL9LlA" xr:uid="{E9FB867A-7901-48A3-B4CC-3C3893B8F4DA}"/>
    <hyperlink ref="B301" r:id="rId510" display="https://www.google.com/url?q=https://www.infoarena.ro/problema/troll&amp;sa=D&amp;ust=1605639799090000&amp;usg=AFQjCNE0UI1PoXFfFt19s4mRf3OsBABUPw" xr:uid="{97984045-2B2C-4F34-A699-D50CB0E0B82D}"/>
    <hyperlink ref="F301" r:id="rId511" display="https://www.google.com/url?q=https://github.com/stefdasca/CompetitiveProgramming/blob/master/Infoarena/troll.cpp&amp;sa=D&amp;ust=1605639799091000&amp;usg=AFQjCNE43Lbub7wCeyUN6_fxkHN1jIwVTQ" xr:uid="{A47F8E69-C639-490F-9774-8BC634316C1E}"/>
    <hyperlink ref="B302" r:id="rId512" display="https://www.google.com/url?q=https://dunjudge.me/analysis/problems/959/&amp;sa=D&amp;ust=1605639799091000&amp;usg=AFQjCNGuWlJOBS65l_PVDB4hG33IPxDrDA" xr:uid="{335626FD-DB46-43A7-A26B-2C32BD4101D3}"/>
    <hyperlink ref="F302" r:id="rId513" display="https://www.google.com/url?q=https://github.com/mostafa-saad/MyCompetitiveProgramming/tree/master/Olympiad/MCO/official&amp;sa=D&amp;ust=1605639799091000&amp;usg=AFQjCNFqe_MysSH2NJXZ2tsFRz2OAhU4Xw" xr:uid="{F0A3B15F-820E-4FCC-A950-376A1AC089AB}"/>
    <hyperlink ref="B303" r:id="rId514" display="https://www.google.com/url?q=https://oj.uz/problem/view/POI11_tem&amp;sa=D&amp;ust=1605639799092000&amp;usg=AFQjCNHDXw4Uqz_uXgpBbrBVkDC2Y0amQw" xr:uid="{F0B42836-BBA7-4FE9-80DC-8D5FAF7C9A48}"/>
    <hyperlink ref="F303" r:id="rId515" display="https://www.google.com/url?q=https://github.com/nikolapesic2802/Programming-Practice/blob/master/Temperature/main.cpp&amp;sa=D&amp;ust=1605639799092000&amp;usg=AFQjCNGu20SdGV02rLvxrn8cVa8ofkjptQ" xr:uid="{8803F3B6-527E-4FA6-8415-1D7347976BC6}"/>
    <hyperlink ref="B304" r:id="rId516" display="https://www.google.com/url?q=https://dunjudge.me/analysis/problems/272/&amp;sa=D&amp;ust=1605639799093000&amp;usg=AFQjCNFuVHxWP9XH1jBGB8Hoxb6T6ViSOw" xr:uid="{607352E3-AD07-4BEF-8793-1E9AFDBE9AE4}"/>
    <hyperlink ref="F304" r:id="rId517" display="https://www.google.com/url?q=https://github.com/mostafa-saad/MyCompetitiveProgramming/blob/master/Olympiad/NOI/official&amp;sa=D&amp;ust=1605639799093000&amp;usg=AFQjCNGGkD20jw5czg9afxM831gt8E0pHQ" xr:uid="{D9C4BA5F-EADA-455F-A363-D6561D98EC51}"/>
    <hyperlink ref="B305" r:id="rId518" display="https://www.google.com/url?q=https://dunjudge.me/analysis/problems/115/&amp;sa=D&amp;ust=1605639799093000&amp;usg=AFQjCNFkaLp2fWGXZ0EdnXZfe4LR5Z1_GQ" xr:uid="{F9B82E11-361D-4BB1-B001-734D990525A1}"/>
    <hyperlink ref="F305" r:id="rId519" display="https://www.google.com/url?q=https://github.com/mostafa-saad/MyCompetitiveProgramming/blob/master/Olympiad/NOI/official&amp;sa=D&amp;ust=1605639799094000&amp;usg=AFQjCNEMAzYZe7f_u9kxjOH5sfXZynB_5A" xr:uid="{964382A9-4349-4435-BF69-116D897571C0}"/>
    <hyperlink ref="B306" r:id="rId520" display="https://www.google.com/url?q=https://www.infoarena.ro/problema/heavymetal&amp;sa=D&amp;ust=1605639799094000&amp;usg=AFQjCNGSGt82yHQ3aRjmT_wCqtda6Hq8ag" xr:uid="{34E71344-EAF4-400B-9083-B64935655A85}"/>
    <hyperlink ref="F306" r:id="rId521" display="https://www.google.com/url?q=https://github.com/stefdasca/CompetitiveProgramming/blob/master/Infoarena/heavymetal.cpp&amp;sa=D&amp;ust=1605639799094000&amp;usg=AFQjCNEMZ-9-mIqa2g65qcnzYTV0DSNpVA" xr:uid="{F321731D-B790-4A12-819F-966B0CA6E6C4}"/>
    <hyperlink ref="B307" r:id="rId522" display="https://www.google.com/url?q=https://dunjudge.me/analysis/problems/694/&amp;sa=D&amp;ust=1605639799095000&amp;usg=AFQjCNGJlrmvXLg8uXL8jRtOrIPwWePnxQ" xr:uid="{DFC91A06-3C5F-4343-8221-0FDFD0C66FB5}"/>
    <hyperlink ref="B308" r:id="rId523" display="https://www.google.com/url?q=https://oj.uz/problem/view/COCI17_programiranje&amp;sa=D&amp;ust=1605639799095000&amp;usg=AFQjCNGxb_AD8OMXkx-McQiMtrLR3drWvQ" xr:uid="{0DDCFBC9-DEC9-4E57-87C0-CD96438D3199}"/>
    <hyperlink ref="B309" r:id="rId524" display="https://www.google.com/url?q=https://dunjudge.me/analysis/problems/1375/&amp;sa=D&amp;ust=1605639799096000&amp;usg=AFQjCNE09GvYLGQKE785F4Lh-IA7yvSHvw" xr:uid="{22CCB1B5-996B-43CA-BD59-0AE1DEA23A6C}"/>
    <hyperlink ref="F309" r:id="rId525" display="https://www.google.com/url?q=https://github.com/mostafa-saad/MyCompetitiveProgramming/blob/master/Olympiad/COCI/official/2013/contest4_solutions&amp;sa=D&amp;ust=1605639799096000&amp;usg=AFQjCNFBMBQM83CAyRD0xmgtNpyLqmPKRw" xr:uid="{E3736DC2-E4BB-4042-B558-B02527755304}"/>
    <hyperlink ref="B310" r:id="rId526" display="https://www.google.com/url?q=https://oj.uz/problem/view/COCI14_utrka&amp;sa=D&amp;ust=1605639799097000&amp;usg=AFQjCNGgJJ_gWf43k2P8qS0oF1aOmW3vtA" xr:uid="{7DE685C2-C50C-49C5-9EC5-DD81C84C5C01}"/>
    <hyperlink ref="B311" r:id="rId527" display="https://www.google.com/url?q=https://dmoj.ca/problem/coci06c2p3&amp;sa=D&amp;ust=1605639799097000&amp;usg=AFQjCNFflxOTVjA49NS0KO6ERWEXAtWRGg" xr:uid="{66C6CC05-93D6-4A84-9661-A49C84110CF4}"/>
    <hyperlink ref="F311" r:id="rId528" display="https://www.google.com/url?q=https://github.com/mostafa-saad/MyCompetitiveProgramming/tree/master/Olympiad/COCI/official/2007/contest2_solutions&amp;sa=D&amp;ust=1605639799098000&amp;usg=AFQjCNEplHKbjkz6rOCv6tUd4oEPT81x-w" xr:uid="{01F2E09E-9577-4E2B-8D23-E4EC286B23D9}"/>
    <hyperlink ref="B312" r:id="rId529" display="https://www.google.com/url?q=https://dunjudge.me/analysis/problems/420/&amp;sa=D&amp;ust=1605639799098000&amp;usg=AFQjCNET3r9CFQ-H0yrBR7BXmAg7aInMzA" xr:uid="{B8561363-B038-40FA-ACA9-17C9AB19770E}"/>
    <hyperlink ref="B313" r:id="rId530" display="https://www.google.com/url?q=https://dunjudge.me/analysis/problems/418/&amp;sa=D&amp;ust=1605639799100000&amp;usg=AFQjCNHKa0BbFAU0k3QTdYZEIpI3VoYCFA" xr:uid="{D6C46AA7-3848-4FDD-9A3A-35290E38F9BB}"/>
    <hyperlink ref="B314" r:id="rId531" display="https://www.google.com/url?q=https://dunjudge.me/analysis/problems/682/&amp;sa=D&amp;ust=1605639799100000&amp;usg=AFQjCNGrdLlTB5ofAylKcLi1idpQJEhgog" xr:uid="{7D186938-4A6B-49C1-A0F7-D4045F8EE464}"/>
    <hyperlink ref="B315" r:id="rId532" display="https://www.google.com/url?q=https://dunjudge.me/analysis/problems/931/&amp;sa=D&amp;ust=1605639799101000&amp;usg=AFQjCNHS-1YFnUTKxeUa8pn6w-0Jot-x5Q" xr:uid="{575537FC-2D8F-42F7-B2EA-F41DEDB5B068}"/>
    <hyperlink ref="B316" r:id="rId533" display="https://www.google.com/url?q=https://dunjudge.me/analysis/problems/951/&amp;sa=D&amp;ust=1605639799101000&amp;usg=AFQjCNHHncqGHwknVfi93JnNKy5crnjJzA" xr:uid="{18EFB822-F227-4686-8F5A-21176D5DBF2C}"/>
    <hyperlink ref="B317" r:id="rId534" display="https://www.google.com/url?q=https://oj.uz/problem/view/BOI17_friends&amp;sa=D&amp;ust=1605639799102000&amp;usg=AFQjCNFb4TQaMeTEy1We2qlT5DUKngxXzA" xr:uid="{A70E6AF9-E4B7-4944-9287-D57D1C1FDC0F}"/>
    <hyperlink ref="F317" r:id="rId535" display="https://www.google.com/url?q=https://codeforces.com/blog/entry/51740?%23comment-356943&amp;sa=D&amp;ust=1605639799102000&amp;usg=AFQjCNF35md9rruhfwBKWH1GH5VwkDszjQ" xr:uid="{F0475123-6030-4542-881B-11128D45A1EF}"/>
    <hyperlink ref="B318" r:id="rId536" display="https://www.google.com/url?q=https://oj.uz/problem/view/BOI14_sequence&amp;sa=D&amp;ust=1605639799102000&amp;usg=AFQjCNFNdOz7yeZIkwcpDMKBZSiagHuXGQ" xr:uid="{52ECACFA-5FB1-419F-827A-C069EAF4A2BA}"/>
    <hyperlink ref="F318" r:id="rId537" display="https://www.google.com/url?q=https://github.com/mostafa-saad/MyCompetitiveProgramming/blob/master/Olympiad/Baltic/Baltic-14-sequence.txt&amp;sa=D&amp;ust=1605639799103000&amp;usg=AFQjCNFxIPrnpB-SHdBzTxOpIX6eNAUK2g" xr:uid="{1706095F-6B75-4262-B3B8-761D04C8C7E0}"/>
    <hyperlink ref="B319" r:id="rId538" display="https://www.google.com/url?q=https://oj.uz/problem/view/IOI15_scales&amp;sa=D&amp;ust=1605639799103000&amp;usg=AFQjCNHoRSjCV46WmMPZ6CAneIm9dWWNiA" xr:uid="{D73ADBB3-6F5B-4681-A71D-ADE798369A27}"/>
    <hyperlink ref="F319" r:id="rId539" display="https://www.google.com/url?q=https://github.com/mostafa-saad/MyCompetitiveProgramming/blob/master/Olympiad/IOI/official/2015&amp;sa=D&amp;ust=1605639799103000&amp;usg=AFQjCNG3Eh0Y3mCBmYnVt5GFyFCvRzsJiw" xr:uid="{C1712363-D4C2-4356-A3C7-3CD6802175A8}"/>
    <hyperlink ref="B320" r:id="rId540" display="https://www.google.com/url?q=https://codeforces.com/group/swEqtABRxe/contest/227527/problem/A&amp;sa=D&amp;ust=1605639799104000&amp;usg=AFQjCNHaUcAsL_8aon2fIDTuhXKEP4wi1g" xr:uid="{C0CBDA87-41B3-42E5-AC8F-D8E7E5334FD6}"/>
    <hyperlink ref="F320" r:id="rId541" display="https://www.google.com/url?q=https://ideone.com/gbGHt9&amp;sa=D&amp;ust=1605639799104000&amp;usg=AFQjCNEzc5GYZ9xyeWtUa0xm-bd9yEv6oA" xr:uid="{DAD3E9F7-2287-469A-B574-BAB03C0342E5}"/>
    <hyperlink ref="B321" r:id="rId542" display="https://www.google.com/url?q=https://oj.uz/problem/view/JOI17_park&amp;sa=D&amp;ust=1605639799104000&amp;usg=AFQjCNEL4S5XHE7H5j3lTeehxPUysvtkdg" xr:uid="{E5CEE0F7-1540-4C6A-9F85-18BC14BCDF2F}"/>
    <hyperlink ref="F321" r:id="rId543" display="https://www.google.com/url?q=https://github.com/mostafa-saad/MyCompetitiveProgramming/blob/master/Olympiad/JOI/JOISC-17-park.txt&amp;sa=D&amp;ust=1605639799105000&amp;usg=AFQjCNE71Z5_6QmfrDXAo-uH7_NnjmZLtQ" xr:uid="{2C3EB566-3221-4908-A0B9-FFFD024C470B}"/>
    <hyperlink ref="B322" r:id="rId544" display="https://www.google.com/url?q=https://oj.uz/problems/source/314&amp;sa=D&amp;ust=1605639799105000&amp;usg=AFQjCNFEobmKxbwptf_gfTEgEg7d1zBllA" xr:uid="{C558B3E3-7B60-4698-950E-7B41BA12C5E0}"/>
    <hyperlink ref="F322" r:id="rId545" display="https://www.google.com/url?q=https://codeforces.com/blog/entry/58433&amp;sa=D&amp;ust=1605639799105000&amp;usg=AFQjCNFnKKcWO2oF3WX6W-knHw57MPz30w" xr:uid="{5FD73397-2FFE-4182-8836-EA3E6C6BDBD3}"/>
    <hyperlink ref="B323" r:id="rId546" display="https://www.google.com/url?q=https://oj.uz/problem/view/APIO17_koala&amp;sa=D&amp;ust=1605639799105000&amp;usg=AFQjCNECEdTQfdnWxtQnBGb4TuCESrJerA" xr:uid="{7D6E0BC9-30E8-472F-8985-45B5A9222167}"/>
    <hyperlink ref="F323" r:id="rId547" display="https://www.google.com/url?q=https://github.com/mostafa-saad/MyCompetitiveProgramming/blob/master/Olympiad/APIO/official/2017&amp;sa=D&amp;ust=1605639799106000&amp;usg=AFQjCNHHy8IlijbT-rcSI243Vz4tDQsfIw" xr:uid="{772FB75D-7670-4DEE-859A-E183AA89E511}"/>
    <hyperlink ref="B324" r:id="rId548" display="https://www.google.com/url?q=https://oj.uz/problem/view/IOI10_hottercolder&amp;sa=D&amp;ust=1605639799106000&amp;usg=AFQjCNGjwINGzEFGV-2rSZT0hhQw2oC0DA" xr:uid="{0697C7D2-81A6-40ED-8CBB-14B5B4BAFCEA}"/>
    <hyperlink ref="F324" r:id="rId549" display="https://www.google.com/url?q=https://github.com/mostafa-saad/MyCompetitiveProgramming/blob/master/Olympiad/IOI/official/2010&amp;sa=D&amp;ust=1605639799106000&amp;usg=AFQjCNGqsaNXrVCjPepXjAb7jbOaZNJdbw" xr:uid="{43A436A5-ABD7-4614-B733-BCE906DE19F9}"/>
    <hyperlink ref="B325" r:id="rId550" display="https://www.google.com/url?q=https://oj.uz/problem/view/CEOI16_icc&amp;sa=D&amp;ust=1605639799107000&amp;usg=AFQjCNEjKdTSoreCSGVbWQvAt57BH-OP_w" xr:uid="{6BBD58D4-A8E4-4706-94A7-4AF7F695542D}"/>
    <hyperlink ref="F325" r:id="rId551" display="https://www.google.com/url?q=https://github.com/mostafa-saad/MyCompetitiveProgramming/blob/master/Olympiad/CEOI/CEOI-16-icc.txt&amp;sa=D&amp;ust=1605639799107000&amp;usg=AFQjCNHXWoa7kV1U2j4a1KbbVUQ7Mr_mWQ" xr:uid="{E8950FC4-BA28-4771-B638-1E75BAC12E4F}"/>
    <hyperlink ref="B326" r:id="rId552" display="https://www.google.com/url?q=https://oj.uz/problem/view/JOI17_arranging_tickets&amp;sa=D&amp;ust=1605639799107000&amp;usg=AFQjCNEcxGpp4ZSnCtyFxo8vOUWiUb0S3Q" xr:uid="{023B8457-AE44-448D-BC49-F2E7AE82E56E}"/>
    <hyperlink ref="F326" r:id="rId553" display="https://www.google.com/url?q=https://github.com/mostafa-saad/MyCompetitiveProgramming/blob/master/Olympiad/JOI/JOISC-17-arranging_tickets.txt&amp;sa=D&amp;ust=1605639799107000&amp;usg=AFQjCNHD8-1kBRJpb9nCJJMjo0DM75d22Q" xr:uid="{8CB754AE-D27B-4294-867D-44ADCC3F769C}"/>
    <hyperlink ref="B327" r:id="rId554" display="https://www.google.com/url?q=http://infoarena.ro/problema/engineer&amp;sa=D&amp;ust=1605639799108000&amp;usg=AFQjCNEfMhaX6PNGwSweyE7U9jmrRmYCrg" xr:uid="{7D9C8BB1-42DC-4540-B1C1-3F618CDDADEF}"/>
    <hyperlink ref="F327" r:id="rId555" display="https://www.google.com/url?q=https://github.com/stefdasca/CompetitiveProgramming/blob/master/Infoarena/engineer.cpp&amp;sa=D&amp;ust=1605639799108000&amp;usg=AFQjCNGphXX8I9h4oVxSqY-p4mIZcjXdxw" xr:uid="{2F897FE1-C887-498D-8F48-C41C0402F015}"/>
    <hyperlink ref="B328" r:id="rId556" display="https://www.google.com/url?q=https://oj.uz/problem/view/IOI15_sorting&amp;sa=D&amp;ust=1605639799108000&amp;usg=AFQjCNGrz4N6J8Dc9OKWsNKG5Hphj3E2pw" xr:uid="{8BBD534D-FF5F-43DC-85BF-9CC21E32E8D1}"/>
    <hyperlink ref="F328" r:id="rId557" display="https://www.google.com/url?q=https://github.com/mostafa-saad/MyCompetitiveProgramming/blob/master/Olympiad/IOI/IOI-15-sorting.txt&amp;sa=D&amp;ust=1605639799109000&amp;usg=AFQjCNFGw8S8Z8toclw9J3-8PQ_q9oYiIw" xr:uid="{1C7766D2-5CE5-47D7-9957-B2AA2970C045}"/>
    <hyperlink ref="B329" r:id="rId558" display="https://www.google.com/url?q=http://www.usaco.org/index.php?page%3Dviewproblem2%26cpid%3D1020&amp;sa=D&amp;ust=1605639799109000&amp;usg=AFQjCNHSBcH7G4mkC2doUktKUSxJKWiB2A" xr:uid="{0F093AE0-BE15-4121-BE13-E09A0922EF9F}"/>
    <hyperlink ref="B330" r:id="rId559" display="https://www.google.com/url?q=http://usaco.org/index.php?page%3Dviewproblem2%26cpid%3D674&amp;sa=D&amp;ust=1605639799110000&amp;usg=AFQjCNFcOyOO2G8EE32xaRxFs-qKzZfo5Q" xr:uid="{834DA33C-CFE7-4996-9D1D-2A47DFE908AB}"/>
    <hyperlink ref="B331" r:id="rId560" display="https://www.google.com/url?q=https://cses.fi/190/list/&amp;sa=D&amp;ust=1605639799110000&amp;usg=AFQjCNEPd6EsNkK6IvlU-bYYHy8T2blUpg" xr:uid="{B2F7B18B-6BA0-4760-A301-E420938ACDFC}"/>
    <hyperlink ref="F331" r:id="rId561" display="https://www.google.com/url?q=https://github.com/mostafa-saad/MyCompetitiveProgramming/blob/master/Olympiad/CEOI/CEOI-08-Snake.txt&amp;sa=D&amp;ust=1605639799112000&amp;usg=AFQjCNEh8seAXwiYgywKzVM1GrWZyVbreg" xr:uid="{3A47DD1D-FA64-46D2-865D-278D5BA707AF}"/>
    <hyperlink ref="B332" r:id="rId562" display="https://www.google.com/url?q=https://oj.uz/problems/source/55&amp;sa=D&amp;ust=1605639799112000&amp;usg=AFQjCNEmTtjV2WmEbk3XjBqLLhzMpMtKyQ" xr:uid="{30309071-043F-4D05-AED3-E9518D5031EC}"/>
    <hyperlink ref="B333" r:id="rId563" display="https://www.google.com/url?q=https://www.infoarena.ro/problema/password2&amp;sa=D&amp;ust=1605639799113000&amp;usg=AFQjCNEU18rhGgRmvdrjgnxqSC7cUgOBmg" xr:uid="{5BCABBFF-4738-42BA-B2AC-42D4E705635B}"/>
    <hyperlink ref="F333" r:id="rId564" display="https://www.google.com/url?q=https://github.com/mostafa-saad/MyCompetitiveProgramming/blob/master/Olympiad/infoarena/infoarena-password2.txt&amp;sa=D&amp;ust=1605639799113000&amp;usg=AFQjCNFS8y0pPaxPKynCsY6YzA6C7TCiUg" xr:uid="{B43C6364-F1DF-4997-9C7C-D2FDB1664A94}"/>
    <hyperlink ref="B334" r:id="rId565" display="https://www.google.com/url?q=https://oj.uz/problem/view/COI16_torrent&amp;sa=D&amp;ust=1605639799114000&amp;usg=AFQjCNH5fe8YDdhtwo6if4V3GyiWXYYxEg" xr:uid="{0188C4BE-DE56-45CA-A468-239C20765A47}"/>
    <hyperlink ref="F334" r:id="rId566" display="https://www.google.com/url?q=https://github.com/mostafa-saad/MyCompetitiveProgramming/blob/master/Olympiad/COI/COI-16-torrent.txt&amp;sa=D&amp;ust=1605639799114000&amp;usg=AFQjCNHH0II0bURxbx63oSJGUUcfX49R3g" xr:uid="{D18741A8-C7C8-4FD9-8D1A-6E08D9C8923C}"/>
    <hyperlink ref="B335" r:id="rId567" display="https://www.google.com/url?q=https://training.ia-toki.org/problemsets/113/problems/629/&amp;sa=D&amp;ust=1605639799115000&amp;usg=AFQjCNHcZe1DyoMqs4ux1jZiMTZbFZloZQ" xr:uid="{1B589235-D629-4031-B2D2-992D5AAA2A82}"/>
    <hyperlink ref="F335" r:id="rId568" display="https://www.google.com/url?q=https://github.com/mostafa-saad/MyCompetitiveProgramming/blob/master/Olympiad/TOKI/TOKIOpen-18-GroupChat.txt&amp;sa=D&amp;ust=1605639799115000&amp;usg=AFQjCNExe80umfkmODG4M2Le0qnSpTXr6w" xr:uid="{8C86DFEE-B91B-40B1-A3FB-B263C7769E3F}"/>
    <hyperlink ref="B336" r:id="rId569" display="https://www.google.com/url?q=https://contest.yandex.ru/ioi/contest/566/enter/&amp;sa=D&amp;ust=1605639799115000&amp;usg=AFQjCNHdWDLCgPssW4bgVjHCiCXzYqi1TA" xr:uid="{7E9C8FA9-E604-4F84-B711-D0768CD16DEE}"/>
    <hyperlink ref="F336" r:id="rId570" display="https://www.google.com/url?q=https://github.com/mostafa-saad/MyCompetitiveProgramming/blob/master/Olympiad/IOI/IOI-05-birthday.txt&amp;sa=D&amp;ust=1605639799116000&amp;usg=AFQjCNEqTI0kxDAYLPEFzGlYW3qAYGvJBA" xr:uid="{8C1C431A-38F8-4BAD-8FE5-F218BFC1F07D}"/>
    <hyperlink ref="B337" r:id="rId571" display="https://www.google.com/url?q=https://csacademy.com/contest/ioi-2016-training-round-1/task/farey_sequence&amp;sa=D&amp;ust=1605639799116000&amp;usg=AFQjCNG-0DFTK8VC-zGTxN_i5MEeWLJIMw" xr:uid="{31EEF6F0-4F11-4520-9887-5E5AF2C59883}"/>
    <hyperlink ref="B338" r:id="rId572" display="https://www.google.com/url?q=https://oj.uz/problem/view/IOI11_ricehub&amp;sa=D&amp;ust=1605639799117000&amp;usg=AFQjCNFocZynlGN0qDPaqPrk1R7kYrvM9Q" xr:uid="{6CAF9A0F-C101-4A17-94ED-ECAA01361F50}"/>
    <hyperlink ref="F338" r:id="rId573" display="https://www.google.com/url?q=https://github.com/mostafa-saad/MyCompetitiveProgramming/blob/master/Olympiad/IOI/official/2011&amp;sa=D&amp;ust=1605639799117000&amp;usg=AFQjCNE4SMVfaLc438bwJLUVTVD75OkD9g" xr:uid="{8D78729B-3966-4D06-BFAE-20B0B30B6C86}"/>
    <hyperlink ref="B339" r:id="rId574" display="https://www.google.com/url?q=http://www.spoj.com/problems/MINSUB/&amp;sa=D&amp;ust=1605639799117000&amp;usg=AFQjCNFlkhEL7SQ2Gs326nXeb8QFzaBfSA" xr:uid="{177E7F03-23E5-495C-94EC-7721F2F81337}"/>
    <hyperlink ref="F339" r:id="rId575" display="https://www.google.com/url?q=https://github.com/tmwilliamlin168/CompetitiveProgramming/blob/master/IZHO/13-Burrow.cpp&amp;sa=D&amp;ust=1605639799118000&amp;usg=AFQjCNHBW7MUr6Wu99F6m-1tofn6WvQr0g" xr:uid="{915E2522-97F6-4AF7-9A8F-B9DDFC3E4A86}"/>
    <hyperlink ref="B340" r:id="rId576" display="https://www.google.com/url?q=https://tioj.ck.tp.edu.tw/problems/1739&amp;sa=D&amp;ust=1605639799118000&amp;usg=AFQjCNEmaNF_oE91h8f1Tfmffxl_YF_zfQ" xr:uid="{57AA9E76-884F-41B6-B854-D1CF091E8762}"/>
    <hyperlink ref="F340" r:id="rId577" display="https://www.google.com/url?q=https://github.com/mostafa-saad/MyCompetitiveProgramming/blob/master/Olympiad/APIO/APIO-08-Beads.txt&amp;sa=D&amp;ust=1605639799118000&amp;usg=AFQjCNHJ2_Jt5jEvo7UPt8Wbu1Dn88sbfQ" xr:uid="{E4FF5F63-6111-4015-9096-C81123CE35D4}"/>
    <hyperlink ref="B341" r:id="rId578" display="https://www.google.com/url?q=https://www.infoarena.ro/problema/minim2&amp;sa=D&amp;ust=1605639799119000&amp;usg=AFQjCNFwNKkm4qhnli5UtzKmVMW8wwU7GQ" xr:uid="{44061251-CEC6-4E82-82DB-35EBC5824A5B}"/>
    <hyperlink ref="F341" r:id="rId579" display="https://www.google.com/url?q=https://github.com/stefdasca/CompetitiveProgramming/blob/master/Infoarena/minim2.cpp&amp;sa=D&amp;ust=1605639799119000&amp;usg=AFQjCNHVmGxXpziDJbtkmNz-xV08YNxjBQ" xr:uid="{C04B0B5D-B33C-42EA-B117-E9B1147E2F81}"/>
    <hyperlink ref="B342" r:id="rId580" display="https://www.google.com/url?q=https://oj.uz/problem/view/JOI17_joioi&amp;sa=D&amp;ust=1605639799119000&amp;usg=AFQjCNEkeXQN5P6A7Ohzpdup6mV1pMkMqA" xr:uid="{9661C550-6793-4C4F-8225-C250C4813C04}"/>
    <hyperlink ref="F342" r:id="rId581" display="https://www.google.com/url?q=https://github.com/stefdasca/CompetitiveProgramming/blob/master/JOI/JOI%252017-joioi.cpp&amp;sa=D&amp;ust=1605639799120000&amp;usg=AFQjCNHH_Anuc0RaKVKkO-lfPj4YapaUXg" xr:uid="{EDBEA8C2-DDFF-4CA3-A48B-A4FA545EFC80}"/>
    <hyperlink ref="B343" r:id="rId582" display="https://www.google.com/url?q=https://szkopul.edu.pl/problemset/problem/07Q0fFk7fU2TmGr6wpPeDCZj/site/&amp;sa=D&amp;ust=1605639799120000&amp;usg=AFQjCNEcTYqfyE0jaOUBH1gvUFe_iFxD3Q" xr:uid="{958E6A5F-C6DF-4ABA-8DA0-401125417E92}"/>
    <hyperlink ref="F343" r:id="rId583" display="https://www.google.com/url?q=https://github.com/mostafa-saad/MyCompetitiveProgramming/blob/master/Olympiad/POI/POI-15-Trous.txt&amp;sa=D&amp;ust=1605639799120000&amp;usg=AFQjCNHf8Svl2cXDEOPR0xWvHKu_ew81jg" xr:uid="{FD6E3931-319A-4AB4-81BA-E520FCA0C81D}"/>
    <hyperlink ref="B344" r:id="rId584" display="https://www.google.com/url?q=https://oj.uz/problem/view/IOI16_dna&amp;sa=D&amp;ust=1605639799121000&amp;usg=AFQjCNH_MTeWyLuAZPgyy1txMp_mZ6ezYw" xr:uid="{339D1922-ED3E-4B6E-8C33-6C340360F94A}"/>
    <hyperlink ref="F344" r:id="rId585" display="https://www.google.com/url?q=https://codeforces.com/blog/entry/46525?%23comment-310021&amp;sa=D&amp;ust=1605639799121000&amp;usg=AFQjCNEvK-wlQ3s6EwGeem467EFCc9UZVA" xr:uid="{8C57F47C-0FB1-4F23-B78A-902DF335A0D0}"/>
    <hyperlink ref="B345" r:id="rId586" display="https://www.google.com/url?q=https://cses.fi/114/list/&amp;sa=D&amp;ust=1605639799121000&amp;usg=AFQjCNFPeVD0LbSVW9ZCAkVm6GUL7jSenw" xr:uid="{A238B331-2126-41B5-85C1-B01B400D2D1F}"/>
    <hyperlink ref="F345" r:id="rId587" display="https://www.google.com/url?q=https://github.com/mostafa-saad/MyCompetitiveProgramming/blob/master/Olympiad/Baltic/Baltic-08-Grid.txt&amp;sa=D&amp;ust=1605639799122000&amp;usg=AFQjCNGGPBl9tLVvLLyelA5s7vVdj58BCg" xr:uid="{1F545CEC-30AD-4A4F-9F8F-A0DB354C3311}"/>
    <hyperlink ref="B346" r:id="rId588" display="https://www.google.com/url?q=https://szkopul.edu.pl/problemset/problem/Cs38m8lWFnOfDskXf43HR3lN/site/&amp;sa=D&amp;ust=1605639799122000&amp;usg=AFQjCNG5S-mPiIobOt42Vrwh28mTvMwgog" xr:uid="{BC42D5FB-C77A-485A-A236-F5F11EDA4D6D}"/>
    <hyperlink ref="F346" r:id="rId589" display="https://www.google.com/url?q=https://github.com/mostafa-saad/MyCompetitiveProgramming/blob/master/Olympiad/POI/POI-14-Couriers.txt&amp;sa=D&amp;ust=1605639799122000&amp;usg=AFQjCNHZ18H61BBXjNb0acY68qk4K8FN6A" xr:uid="{69943D7F-8E35-4444-BC56-42BD778FE1C2}"/>
    <hyperlink ref="B347" r:id="rId590" display="https://www.google.com/url?q=https://www.hackerrank.com/contests/ioi-2014-practice-contest-2/challenges&amp;sa=D&amp;ust=1605639799123000&amp;usg=AFQjCNEpvSaQXVemQnp3FJXi33O1-uhI6A" xr:uid="{72B278AE-DD46-40CE-8259-D82E7309E4C6}"/>
    <hyperlink ref="F347" r:id="rId591" display="https://www.google.com/url?q=https://github.com/Yehezkiel01/CompetitiveProgramming/blob/master/IOIPractice/IOIPractice-14-questions-i-ask-myself-ioi14.cpp&amp;sa=D&amp;ust=1605639799123000&amp;usg=AFQjCNH0RCw15BrD5nx_CYbpjGE5tM756Q" xr:uid="{75A5B521-5D9B-40E5-BEC2-AE5EF22FEBF7}"/>
    <hyperlink ref="B348" r:id="rId592" display="https://www.google.com/url?q=https://csacademy.com/contest/ceoi-2017-day-1/tasks/&amp;sa=D&amp;ust=1605639799123000&amp;usg=AFQjCNETQhK5ahjypDuwv6Dnncu8oJeLyg" xr:uid="{64E8DAE0-613E-41E6-BB04-9BD40BD32408}"/>
    <hyperlink ref="F348" r:id="rId593" display="https://www.google.com/url?q=https://github.com/mostafa-saad/MyCompetitiveProgramming/tree/master/Olympiad/JOI/CEOI/official/2017&amp;sa=D&amp;ust=1605639799125000&amp;usg=AFQjCNHkvDYiQWn9sgWck3tERvDxdiRDuQ" xr:uid="{FCD62280-E930-4556-99F9-58E047BEE3B9}"/>
    <hyperlink ref="B349" r:id="rId594" display="https://www.google.com/url?q=https://joi2013ho.contest.atcoder.jp/tasks/joi2013ho4&amp;sa=D&amp;ust=1605639799126000&amp;usg=AFQjCNEK7Vv2Q78dWy7bTZ4juWJ1KPFyDQ" xr:uid="{0F496937-13E1-4FA1-900A-08F20237D6F5}"/>
    <hyperlink ref="B350" r:id="rId595" display="https://www.google.com/url?q=https://joi2014ho.contest.atcoder.jp/tasks/joi2014ho3&amp;sa=D&amp;ust=1605639799126000&amp;usg=AFQjCNEo7ayqpJjzx-fngU0Hb4sPrlq26w" xr:uid="{9303E955-AA2D-4637-B763-DED00922C01B}"/>
    <hyperlink ref="B351" r:id="rId596" display="https://www.google.com/url?q=https://dmoj.ca/problem/coci08c2p4&amp;sa=D&amp;ust=1605639799127000&amp;usg=AFQjCNH_X4lbsV4MlnZBDGSB5RQHEW116A" xr:uid="{9116ECE8-5EF7-4C05-97E7-AA56A2F5D74D}"/>
    <hyperlink ref="F351" r:id="rId597" display="https://www.google.com/url?q=https://github.com/mostafa-saad/MyCompetitiveProgramming/blob/master/Olympiad/COCI/official/2009/contest2_solutions&amp;sa=D&amp;ust=1605639799127000&amp;usg=AFQjCNH3wSZHT9ESJCbokxCQhgFQs74UaQ" xr:uid="{F71B519B-C29F-4493-B667-0D1C325168F8}"/>
    <hyperlink ref="B352" r:id="rId598" display="https://www.google.com/url?q=https://oj.uz/problem/view/IOI13_cave&amp;sa=D&amp;ust=1605639799127000&amp;usg=AFQjCNGHThfU5KIu4pfCA1lT6gQChJUi1w" xr:uid="{AFECD8C4-DC5B-41D5-B40C-C394772EAC76}"/>
    <hyperlink ref="F352" r:id="rId599" display="https://www.google.com/url?q=https://github.com/mostafa-saad/MyCompetitiveProgramming/blob/master/Olympiad/IOI/IOI-13-cave.txt&amp;sa=D&amp;ust=1605639799128000&amp;usg=AFQjCNFxMoOTLhhyCU7iSA9xWu0-4MssKg" xr:uid="{365D1078-14E7-48C3-92EF-80325B65EB93}"/>
    <hyperlink ref="B353" r:id="rId600" display="https://www.google.com/url?q=https://oj.uz/problems/source/120&amp;sa=D&amp;ust=1605639799128000&amp;usg=AFQjCNHIpd22eA3r-WDZK_Ym561028wAQg" xr:uid="{77B67881-C8F7-4A78-AD06-3999C38EF1FC}"/>
    <hyperlink ref="F353" r:id="rId601" display="https://www.google.com/url?q=https://github.com/mostafa-saad/MyCompetitiveProgramming/blob/master/Olympiad/CEOI/CEOI-14-carnival.txt&amp;sa=D&amp;ust=1605639799128000&amp;usg=AFQjCNFEtltQix7zvirnbUclyZ2WNByT-A" xr:uid="{FB7C3566-9C49-46B1-86DD-63DD1B156278}"/>
    <hyperlink ref="B354" r:id="rId602" display="https://www.google.com/url?q=https://wcipeg.com/problem/coi07p1&amp;sa=D&amp;ust=1605639799128000&amp;usg=AFQjCNGU_FyN-wnEEoftcV_kn4rRMntQxA" xr:uid="{6119B539-62BB-4E0D-B442-17B556CFDC57}"/>
    <hyperlink ref="F354" r:id="rId603" display="https://www.google.com/url?q=https://github.com/mostafa-saad/MyCompetitiveProgramming/tree/master/Olympiad/COCI/official/2008/olympiad_solutions&amp;sa=D&amp;ust=1605639799129000&amp;usg=AFQjCNGDBehXXeeF1V6uQILVYE4LX9wb-w" xr:uid="{ADBDA5E9-C471-4976-843D-F97830A104A5}"/>
    <hyperlink ref="B355" r:id="rId604" display="https://www.google.com/url?q=https://oj.uz/problem/view/IOI07_aliens&amp;sa=D&amp;ust=1605639799129000&amp;usg=AFQjCNGLBK4bRpGRQzJsuG-xhYjZ4ESG3Q" xr:uid="{3D14F3E3-A657-4255-9AC0-DBF2EF045E7A}"/>
    <hyperlink ref="F355" r:id="rId605" display="https://www.google.com/url?q=https://github.com/mostafa-saad/MyCompetitiveProgramming/blob/master/Olympiad/IOI/official/2007&amp;sa=D&amp;ust=1605639799129000&amp;usg=AFQjCNH3Q2YkjXPhmY1UZSugFtZ-0kSHCA" xr:uid="{E7605F35-8F57-420F-BC60-4AA87E7C0155}"/>
    <hyperlink ref="B356" r:id="rId606" display="https://www.google.com/url?q=https://training.ia-toki.org/problemsets/3/problems/9/&amp;sa=D&amp;ust=1605639799165000&amp;usg=AFQjCNGQCQktiMexfU66sx6VxM1d0URgug" xr:uid="{579A508D-A672-4263-A3D8-2C13B249E822}"/>
    <hyperlink ref="F356" r:id="rId607" display="https://www.google.com/url?q=https://github.com/win11905/submission/blob/master/OCN/15/2C.cpp&amp;sa=D&amp;ust=1605639799165000&amp;usg=AFQjCNF-PfUA5A2ibJyLFiluBLb_W6DQHg" xr:uid="{8B6446AE-0B0A-4997-9247-5CE06DA0CC6F}"/>
    <hyperlink ref="B357" r:id="rId608" display="https://www.google.com/url?q=https://codeforces.com/group/swEqtABRxe/contest/243438/problem/A&amp;sa=D&amp;ust=1605639799165000&amp;usg=AFQjCNGaab-dZwM8rVu7Qwfs7i3l58Sxrg" xr:uid="{A0E0AE9A-CDE3-4D22-B52A-D8443C14A87C}"/>
    <hyperlink ref="F357" r:id="rId609" display="https://www.google.com/url?q=https://github.com/ahmedibrahim404/CompetitiveProgramming/blob/master/EOI/IOI_Quals%2719/D2_A/main.cpp&amp;sa=D&amp;ust=1605639799166000&amp;usg=AFQjCNFsk0E7YUxibAEPtga6--7gikS-AA" xr:uid="{A2FF1EF6-F79F-4D62-9B89-A9102375CC38}"/>
    <hyperlink ref="B358" r:id="rId610" display="https://www.google.com/url?q=https://codeforces.com/group/swEqtABRxe/contest/243437/problem/A&amp;sa=D&amp;ust=1605639799166000&amp;usg=AFQjCNFKczDC6-8-P599sVpbnrvNpPfQGg" xr:uid="{B2876181-DB25-4175-9622-999CFC8AF883}"/>
    <hyperlink ref="B359" r:id="rId611" display="https://www.google.com/url?q=https://dunjudge.me/analysis/problems/146/&amp;sa=D&amp;ust=1605639799167000&amp;usg=AFQjCNE7G1c_7-SodKP7_xdGCO-EBYVz5w" xr:uid="{4DE4C941-491D-494C-BE57-12F389B90102}"/>
    <hyperlink ref="F359" r:id="rId612" display="https://www.google.com/url?q=https://github.com/mostafa-saad/MyCompetitiveProgramming/blob/master/Olympiad/NOI/NOI-07-hole.txt&amp;sa=D&amp;ust=1605639799167000&amp;usg=AFQjCNGK9QrbEBiMvpotLC-Q64pfr4rkRg" xr:uid="{34E94B44-E42E-4726-8362-6D364D25D6D8}"/>
    <hyperlink ref="B360" r:id="rId613" display="https://www.google.com/url?q=https://szkopul.edu.pl/problemset/problem/p5XIDH2wrPz6KrUOJCv2RjGq/site/&amp;sa=D&amp;ust=1605639799167000&amp;usg=AFQjCNGODOnqEmLTD6MkGaG9TOEAucUZmQ" xr:uid="{A400A93D-0352-464D-B679-0517E1CFBEDE}"/>
    <hyperlink ref="F360" r:id="rId614" display="https://www.google.com/url?q=https://github.com/sofhiasouza/CompetitiveProgramming/blob/master/POI/cash.cpp&amp;sa=D&amp;ust=1605639799167000&amp;usg=AFQjCNHJJEAu_RKwpMUG6fei2w2ydVgYgQ" xr:uid="{C665D102-3487-49B7-BE14-7C517963DA5E}"/>
    <hyperlink ref="B361" r:id="rId615" display="https://www.google.com/url?q=https://oj.uz/problem/view/IOI19_cycle&amp;sa=D&amp;ust=1605639799168000&amp;usg=AFQjCNGdzx1dybzwjhkwv8E2d1ypkZK53A" xr:uid="{F0E184EB-FC7F-4780-9469-F80755D64A54}"/>
    <hyperlink ref="F361" r:id="rId616" display="https://www.google.com/url?q=https://github.com/nikolapesic2802/Programming-Practice/blob/master/Cycle/main.cpp&amp;sa=D&amp;ust=1605639799168000&amp;usg=AFQjCNELcQq6U-0-znTjxfNDZThkSm2DTw" xr:uid="{4D57CBAF-5F31-45ED-B0DE-3A98E4A6FD02}"/>
    <hyperlink ref="B362" r:id="rId617" display="https://www.google.com/url?q=https://oj.uz/problem/view/IOI09_mecho&amp;sa=D&amp;ust=1605639799169000&amp;usg=AFQjCNHjJsUSN8U3bSJlcRe_MSelxY6j9A" xr:uid="{A1497370-D9AE-4359-A5D2-DFF99E990E4D}"/>
    <hyperlink ref="F362" r:id="rId618" display="https://www.google.com/url?q=https://github.com/tmwilliamlin168/CompetitiveProgramming/blob/master/IOI/09-Mecho.cpp&amp;sa=D&amp;ust=1605639799169000&amp;usg=AFQjCNGGr0sM28GQHXT3qjjMZ59lfffzHA" xr:uid="{BEFD3C68-C812-4E7C-915D-F62AC001D17F}"/>
    <hyperlink ref="B363" r:id="rId619" display="https://www.google.com/url?q=https://oj.uz/problem/view/COCI18_cipele&amp;sa=D&amp;ust=1605639799169000&amp;usg=AFQjCNFU9xBSHSuAm5oCxjL4Z526G98K5w" xr:uid="{0E29BE0E-63F0-4D22-8B7C-79EB18089444}"/>
    <hyperlink ref="B364" r:id="rId620" display="https://www.google.com/url?q=https://cses.fi/101/list/&amp;sa=D&amp;ust=1605639799170000&amp;usg=AFQjCNGdpcTWF0Gh86XguYUyzrf_HeiUXQ" xr:uid="{48AC3861-6C94-4A5F-B8DF-EE6CB9F00825}"/>
    <hyperlink ref="F364" r:id="rId621" display="https://www.google.com/url?q=https://github.com/mostafa-saad/MyCompetitiveProgramming/blob/master/Olympiad/Baltic/official/boi2011_solutions&amp;sa=D&amp;ust=1605639799170000&amp;usg=AFQjCNGX8M81MLpFabvw3XwP7CDf8hN9LA" xr:uid="{D85B3406-82D4-4D0E-AAEF-1CEF2894A237}"/>
    <hyperlink ref="B365" r:id="rId622" display="https://www.google.com/url?q=https://dunjudge.me/analysis/problems/1360/&amp;sa=D&amp;ust=1605639799171000&amp;usg=AFQjCNFwqgLQ1KuPhC87zyyRx1Meme67Cg" xr:uid="{D1A63B61-DFA7-4C01-A3FF-3B7D43BEF078}"/>
    <hyperlink ref="F365" r:id="rId623" display="https://www.google.com/url?q=https://github.com/mostafa-saad/MyCompetitiveProgramming/blob/master/Olympiad/COCI/official/2013/contest1_solutions&amp;sa=D&amp;ust=1605639799171000&amp;usg=AFQjCNEAxS93R-7fnut8xDUs_vDvs8B9_g" xr:uid="{EC5CD5C2-1DAE-44A0-8975-65B7323A2935}"/>
    <hyperlink ref="B366" r:id="rId624" display="https://www.google.com/url?q=https://dmoj.ca/contest/cco18d2&amp;sa=D&amp;ust=1605639799171000&amp;usg=AFQjCNGmpZwZw2gq-ZHlPt7vSVfP5sk-Bw" xr:uid="{23C0352C-D460-45FF-9F18-DEBE0E9E0AE5}"/>
    <hyperlink ref="F366" r:id="rId625" display="https://www.google.com/url?q=https://github.com/mostafa-saad/MyCompetitiveProgramming/blob/master/Olympiad/CCO/CCO-18-GradientDescent.txt&amp;sa=D&amp;ust=1605639799175000&amp;usg=AFQjCNH2oXue85Q6SzTr8YuhxqFDAGL4Yw" xr:uid="{7F8535CA-1B92-45AE-B2C6-289FC334D3EE}"/>
    <hyperlink ref="B367" r:id="rId626" display="https://www.google.com/url?q=https://oj.uz/problem/view/CEOI15_bobek&amp;sa=D&amp;ust=1605639799175000&amp;usg=AFQjCNGHUT3yfsaxMh1XFE3gHGXJPps2Zg" xr:uid="{0590D6C8-A90B-44E4-8C08-E075E26FE4EE}"/>
    <hyperlink ref="F367" r:id="rId627" display="https://www.google.com/url?q=https://github.com/SpeedOfMagic/CompetitiveProgramming/blob/master/CEOI/15-bobek.cpp&amp;sa=D&amp;ust=1605639799176000&amp;usg=AFQjCNEQYyyG-MZzJkztURDoQzEJ6rr86Q" xr:uid="{636E201C-7B80-4E52-A0EC-DEA0BA3FD838}"/>
    <hyperlink ref="B368" r:id="rId628" display="https://www.google.com/url?q=https://oj.uz/problem/view/COCI17_san&amp;sa=D&amp;ust=1605639799176000&amp;usg=AFQjCNEwpV_7DcVNHbjFd62gVY4z9xcMUw" xr:uid="{6C8152B0-A56D-4A0E-8465-D0C5EDEDB07D}"/>
    <hyperlink ref="F368" r:id="rId629" display="https://www.google.com/url?q=https://github.com/mostafa-saad/MyCompetitiveProgramming/blob/master/Olympiad/COCI/official/2018/contest2_solutions&amp;sa=D&amp;ust=1605639799177000&amp;usg=AFQjCNGK1hhsCEoD71TOUMUg2WbMBqf9JA" xr:uid="{803AC545-7DA7-4E55-B233-8D59EB3161A9}"/>
    <hyperlink ref="B369" r:id="rId630" display="https://www.google.com/url?q=https://oj.uz/problem/view/CEOI18_fib&amp;sa=D&amp;ust=1605639799177000&amp;usg=AFQjCNH7PljkdszzWx49dmLJzszMsPT6qQ" xr:uid="{ADCF5793-6AB0-43B7-BD99-C5029D9248DA}"/>
    <hyperlink ref="F369" r:id="rId631" display="https://www.google.com/url?q=https://github.com/mostafa-saad/MyCompetitiveProgramming/tree/master/Olympiad/CEOI/official/2018/day2&amp;sa=D&amp;ust=1605639799177000&amp;usg=AFQjCNFbo-BunlHjbYU-HmyAkPoldFzmdg" xr:uid="{6AFD6D4D-75E8-493B-994F-544438E884D4}"/>
    <hyperlink ref="B370" r:id="rId632" display="https://www.google.com/url?q=https://oj.uz/problem/view/IOI18_meetings&amp;sa=D&amp;ust=1605639799178000&amp;usg=AFQjCNGenxqGQq83k4DaYnXhHdspAR8KgA" xr:uid="{C062DCCC-BB55-4F4B-9985-7822A5BDE09C}"/>
    <hyperlink ref="F370" r:id="rId633" display="https://www.google.com/url?q=https://github.com/mostafa-saad/MyCompetitiveProgramming/blob/master/Olympiad/IOI/IOI-18-meetings.txt&amp;sa=D&amp;ust=1605639799178000&amp;usg=AFQjCNH-TapBRuoPSVnL28u7BdS7oQ5VtQ" xr:uid="{D362409B-4F22-44AE-8031-467614C1B646}"/>
    <hyperlink ref="B371" r:id="rId634" display="https://www.google.com/url?q=https://codeforces.com/contest/1192/problem/B&amp;sa=D&amp;ust=1605639799178000&amp;usg=AFQjCNEGBtjLC99PzYmfViQxp0LBN0wiGw" xr:uid="{C612D1AD-1A35-41AE-990D-C8EA88D85A71}"/>
    <hyperlink ref="F371" r:id="rId635" display="https://www.google.com/url?q=https://codeforces.com/blog/entry/68676&amp;sa=D&amp;ust=1605639799179000&amp;usg=AFQjCNFRDFa2e0tJUxRqP3MtSdDTEQXTGQ" xr:uid="{83196BB1-2FB4-48D3-B6C0-4644291E1699}"/>
    <hyperlink ref="B372" r:id="rId636" display="https://www.google.com/url?q=https://contest.yandex.ru/ioi/contest/568/enter/&amp;sa=D&amp;ust=1605639799179000&amp;usg=AFQjCNGr7VGyLJX_zyjPqYWwpTNZV_VIHQ" xr:uid="{22BE6804-1A08-43FA-960E-EA67FC8E2B95}"/>
    <hyperlink ref="F372" r:id="rId637" display="https://www.google.com/url?q=https://github.com/mostafa-saad/MyCompetitiveProgramming/blob/master/Olympiad/IOI/official/2009&amp;sa=D&amp;ust=1605639799179000&amp;usg=AFQjCNH3G1QJLFAA7uXnn3NG0Vn0Bj71lg" xr:uid="{722889D5-F815-4F05-9DD8-4D0B21CFE075}"/>
    <hyperlink ref="B373" r:id="rId638" display="https://www.google.com/url?q=https://oj.uz/problem/view/IOI14_holiday&amp;sa=D&amp;ust=1605639799638000&amp;usg=AFQjCNHIRv6FUanMLKmaGJQuLBAGundRxA" xr:uid="{8660F637-89BB-48CE-9CBB-C675B8246D39}"/>
    <hyperlink ref="F373" r:id="rId639" display="https://www.google.com/url?q=https://github.com/mostafa-saad/MyCompetitiveProgramming/blob/master/Olympiad/IOI/IOI-14-holiday.txt&amp;sa=D&amp;ust=1605639799638000&amp;usg=AFQjCNGGEv5AxcPNUy7NrrjbMf5pCT-aPw" xr:uid="{28B674E1-5064-44C6-8409-A9F737122862}"/>
    <hyperlink ref="B374" r:id="rId640" display="https://www.google.com/url?q=https://oj.uz/problem/view/JOI17_railway_trip&amp;sa=D&amp;ust=1605639799639000&amp;usg=AFQjCNEWYARQOw2TTZmJUipyT1FEpRbwWg" xr:uid="{868B7876-C5BD-4F05-9B2C-73261B339B68}"/>
    <hyperlink ref="F374" r:id="rId641" display="https://www.google.com/url?q=https://github.com/mostafa-saad/MyCompetitiveProgramming/blob/master/Olympiad/JOI/JOISC-17-railway_trip.txt&amp;sa=D&amp;ust=1605639799639000&amp;usg=AFQjCNFmD4Cf1iwaodGGNWHHAaOyf99p_w" xr:uid="{ABBC9633-75A9-432C-857A-BD45C5441707}"/>
    <hyperlink ref="B375" r:id="rId642" display="https://www.google.com/url?q=https://oj.uz/problem/view/JOI19_antennas&amp;sa=D&amp;ust=1605639799640000&amp;usg=AFQjCNFksZ1ugQPa5B4WCVrx920FItiCrQ" xr:uid="{1AC70A71-2421-4F54-8E0B-FBDAAEADD464}"/>
    <hyperlink ref="F375" r:id="rId643" display="https://www.google.com/url?q=https://github.com/nikolapesic2802/Programming-Practice/blob/master/Two%2520Antennas/main.cpp&amp;sa=D&amp;ust=1605639799640000&amp;usg=AFQjCNGFWZt-aF0mFn3jNoEu4S4Iizct5Q" xr:uid="{43E157F5-DA20-4CA4-BF6E-81A76395312B}"/>
    <hyperlink ref="B376" r:id="rId644" display="https://www.google.com/url?q=https://oj.uz/problem/view/JOI19_jumps&amp;sa=D&amp;ust=1605639799641000&amp;usg=AFQjCNESwWkxaL0eal-QUGUj47ahgUy1vw" xr:uid="{1581C9BC-CC51-45D1-BED8-11BE05BB48B3}"/>
    <hyperlink ref="F376" r:id="rId645" display="https://www.google.com/url?q=https://github.com/tmwilliamlin168/CompetitiveProgramming/blob/master/JOI/19O-Jumps.cpp&amp;sa=D&amp;ust=1605639799641000&amp;usg=AFQjCNEgQmeujxmF4LhJwQS-cpngWojiEQ" xr:uid="{7ED7E76E-5C6B-4BEC-A9F4-A3534166BAD7}"/>
    <hyperlink ref="B377" r:id="rId646" display="https://www.google.com/url?q=https://www.hackerrank.com/contests/boi-2016/challenges&amp;sa=D&amp;ust=1605639799642000&amp;usg=AFQjCNGMO_vQw_iQafR5ZjEdt9FxvaA-wQ" xr:uid="{69E72CD8-05EB-4D46-BCE4-DC47F14F1392}"/>
    <hyperlink ref="F377" r:id="rId647" display="https://www.google.com/url?q=https://github.com/mostafa-saad/MyCompetitiveProgramming/tree/master/Olympiad/Balkan/official/2016&amp;sa=D&amp;ust=1605639799642000&amp;usg=AFQjCNGIhi6PzPa5n31hQbboBAeuBZcuHw" xr:uid="{9AF1D838-BC00-4D35-BFB2-081D600191EB}"/>
    <hyperlink ref="B378" r:id="rId648" display="https://www.google.com/url?q=https://oj.uz/problem/view/IOI08_fish&amp;sa=D&amp;ust=1605639799643000&amp;usg=AFQjCNHVw7W8Z9lgfPdIjhLb4euadRSv5g" xr:uid="{AD391ED5-D5EB-4236-B5F2-2464DA719945}"/>
    <hyperlink ref="F378" r:id="rId649" display="https://www.google.com/url?q=https://github.com/mostafa-saad/MyCompetitiveProgramming/blob/master/Olympiad/IOI/official/2008&amp;sa=D&amp;ust=1605639799643000&amp;usg=AFQjCNHeZFVqRKR6GWeglzKSno_hHLcMHQ" xr:uid="{312EE819-5300-4103-9956-EA501EF978DE}"/>
    <hyperlink ref="B379" r:id="rId650" display="https://www.google.com/url?q=https://www.hackerrank.com/contests/ioi-2014-practice-contest-2/challenges&amp;sa=D&amp;ust=1605639799643000&amp;usg=AFQjCNHLnpBUaOhkiRx0ugxgsMA2A7NaHg" xr:uid="{C39D5FCC-CC08-438F-9CC6-A5E19EC27AF8}"/>
    <hyperlink ref="B380" r:id="rId651" display="https://www.google.com/url?q=https://oj.uz/problem/view/IOI08_pyramid_base&amp;sa=D&amp;ust=1605639799644000&amp;usg=AFQjCNHjMMsriAm_-9oChxKcx_P7dZ1Vxg" xr:uid="{BE8AB383-CB76-43DE-BC0A-6E20CA17E4BD}"/>
    <hyperlink ref="F380" r:id="rId652" display="https://www.google.com/url?q=https://github.com/mostafa-saad/MyCompetitiveProgramming/blob/master/Olympiad/IOI/IOI-08-pyramid_base.txt&amp;sa=D&amp;ust=1605639799644000&amp;usg=AFQjCNHUprbGNe7fZqChkgcq0C_wTIiC1Q" xr:uid="{AC4B4D44-EF40-48BE-BBEC-B2C6BB28D847}"/>
    <hyperlink ref="B381" r:id="rId653" display="https://www.google.com/url?q=https://oj.uz/problem/view/IOI18_seats&amp;sa=D&amp;ust=1605639799645000&amp;usg=AFQjCNFcq1HiPE0lWIOREm7CKd9QeJGs1A" xr:uid="{EC1BC505-8CB1-4B57-A4CC-72C468EE9AD8}"/>
    <hyperlink ref="F381" r:id="rId654" display="https://www.google.com/url?q=https://github.com/nikolapesic2802/Programming-Practice/blob/master/Seats/IOI%25202018%2520Seats.txt&amp;sa=D&amp;ust=1605639799645000&amp;usg=AFQjCNFm7_H0VwDY5GEQljN7cxEqQUFUKQ" xr:uid="{04486FCA-DE7F-4157-990F-E6AA61B8F4BC}"/>
    <hyperlink ref="B382" r:id="rId655" display="https://www.google.com/url?q=https://oj.uz/problem/view/COI18_svjetlost&amp;sa=D&amp;ust=1605639799646000&amp;usg=AFQjCNGd_UisS_R5iGK15yHwAO74HWUWsQ" xr:uid="{AF5B7F20-B80F-4C5C-903B-49573865A850}"/>
    <hyperlink ref="B383" r:id="rId656" display="https://www.google.com/url?q=https://oj.uz/problem/view/IOI13_wombats&amp;sa=D&amp;ust=1605639799646000&amp;usg=AFQjCNGmzoOUQupZpZ6XUSR76Lz7tjE8Qw" xr:uid="{BE520958-8BA7-42B2-8B19-C1DAC0F0E5D6}"/>
    <hyperlink ref="F383" r:id="rId657" display="https://www.google.com/url?q=https://github.com/mostafa-saad/MyCompetitiveProgramming/blob/master/Olympiad/IOI/IOI-13-wombats.txt&amp;sa=D&amp;ust=1605639799657000&amp;usg=AFQjCNGZVmaWlfwUZaZtBm_noWMNwTT_Ww" xr:uid="{2D74D5C3-0600-4C47-94E5-22D35B77E11E}"/>
    <hyperlink ref="B384" r:id="rId658" display="https://www.google.com/url?q=https://oj.uz/problem/view/APIO17_rainbow&amp;sa=D&amp;ust=1605639799657000&amp;usg=AFQjCNEXZ8hFSz21SlHd7qeOYyYOjft5Vg" xr:uid="{FF492289-70BF-4CD3-84BD-CCB82FC9B7E8}"/>
    <hyperlink ref="F384" r:id="rId659" display="https://www.google.com/url?q=https://github.com/mostafa-saad/MyCompetitiveProgramming/blob/master/Olympiad/APIO/APIO-17-rainbow.txt&amp;sa=D&amp;ust=1605639799657000&amp;usg=AFQjCNEKpqwxn4HgqTbfU8RPAti9w8FdiQ" xr:uid="{585BD97F-192A-479B-9AAF-60873C2B378F}"/>
    <hyperlink ref="B385" r:id="rId660" display="https://www.google.com/url?q=https://oj.uz/problem/view/IOI13_game&amp;sa=D&amp;ust=1605639799658000&amp;usg=AFQjCNEF9J3rW-Rzf3ZcjpskKPsDo26TQw" xr:uid="{0902BDD6-2091-46FE-845C-467E9F910329}"/>
    <hyperlink ref="F385" r:id="rId661" display="https://www.google.com/url?q=http://blog.brucemerry.org.za/2013/07/&amp;sa=D&amp;ust=1605639799658000&amp;usg=AFQjCNEeLWuOKL3xQ3N9cLQ_lxFEfvRQEg" xr:uid="{EA1AAB7C-DF6F-4E04-B532-0E07CC4FAB0A}"/>
    <hyperlink ref="B386" r:id="rId662" display="https://www.google.com/url?q=https://oj.uz/problems/source/316&amp;sa=D&amp;ust=1605639799659000&amp;usg=AFQjCNGmeu-eEtpl3zNYcuySlW2rg0yrHw" xr:uid="{07758BAD-793A-49ED-8AB0-A9FB5ACB8098}"/>
    <hyperlink ref="F386" r:id="rId663" display="https://www.google.com/url?q=https://github.com/mostafa-saad/MyCompetitiveProgramming/blob/master/Olympiad/JOI/JOISC-18-wildboar.txt&amp;sa=D&amp;ust=1605639799659000&amp;usg=AFQjCNF8z8uAcO51THVqDvFJq1MyzsG-tg" xr:uid="{A9EC3FAA-B961-4922-B1A3-665A6EEEFFE7}"/>
    <hyperlink ref="B387" r:id="rId664" display="https://www.google.com/url?q=https://www.acmicpc.net/problem/11783&amp;sa=D&amp;ust=1605639799659000&amp;usg=AFQjCNGHkq1mu8hO3eVg7cyo-0H3e7HRGg" xr:uid="{22532A5A-2CB0-41C5-B4D6-F62668671F91}"/>
    <hyperlink ref="F387" r:id="rId665" display="https://www.google.com/url?q=https://github.com/mostafa-saad/MyCompetitiveProgramming/tree/master/Olympiad/Balkan/official/2015&amp;sa=D&amp;ust=1605639799659000&amp;usg=AFQjCNGVlM9Z8lFoWSEHjLkmvkbcnIcRUw" xr:uid="{F7CFEC49-181D-42C1-98A3-436BC055BCA2}"/>
    <hyperlink ref="B388" r:id="rId666" display="https://www.google.com/url?q=https://www.infoarena.ro/problema/kinder&amp;sa=D&amp;ust=1605639799660000&amp;usg=AFQjCNEW8tkQDSlBGavXuv4xkanZ1ywcow" xr:uid="{85A0991A-8C83-42C4-9563-4531D3AA6CB9}"/>
    <hyperlink ref="F388" r:id="rId667" display="https://www.google.com/url?q=https://github.com/stefdasca/CompetitiveProgramming/blob/master/Infoarena/kinder.cpp&amp;sa=D&amp;ust=1605639799660000&amp;usg=AFQjCNFwGp_B5WLrQVF4s-KbyIhwEfFUdA" xr:uid="{183BAF8F-5898-4436-A8C3-E6E873004411}"/>
    <hyperlink ref="B389" r:id="rId668" display="https://www.google.com/url?q=https://oj.uz/problem/view/IZhO12_apple&amp;sa=D&amp;ust=1605639799660000&amp;usg=AFQjCNFMfGKpjuGHrGg4004BnYtewkV3LA" xr:uid="{ECA40966-44A1-4764-9A8B-4D953DCC764B}"/>
    <hyperlink ref="B390" r:id="rId669" display="https://www.google.com/url?q=http://www.usaco.org/index.php?page%3Dviewproblem2%26cpid%3D1022&amp;sa=D&amp;ust=1605639799661000&amp;usg=AFQjCNEPGoRYZ52ZIZtCv3b0LiCkZnWz_g" xr:uid="{209115E8-DF5B-4847-9E4B-8B4069B431A1}"/>
    <hyperlink ref="B391" r:id="rId670" display="https://www.google.com/url?q=https://www.acmicpc.net/problem/5251&amp;sa=D&amp;ust=1605639799661000&amp;usg=AFQjCNEscpQD39iGZXuYng5QhMjmvcfIhA" xr:uid="{4CBFD489-B810-41EA-A9E8-1A18B4BCDD9C}"/>
    <hyperlink ref="F391" r:id="rId671" display="https://www.google.com/url?q=https://github.com/mostafa-saad/MyCompetitiveProgramming/tree/master/Olympiad/Balkan/official/2012&amp;sa=D&amp;ust=1605639799661000&amp;usg=AFQjCNHhqe4dBItskbh2f-iG1lF3fxpE9w" xr:uid="{29669640-009E-471F-988A-987570AE7517}"/>
    <hyperlink ref="B392" r:id="rId672" display="https://www.google.com/url?q=https://oj.uz/problem/view/BOI18_election&amp;sa=D&amp;ust=1605639799662000&amp;usg=AFQjCNEEZ0GvHSxzZfau8ok1tHCrWzSoYQ" xr:uid="{6777473A-395C-4AA2-99BE-6373C78A9280}"/>
    <hyperlink ref="F392" r:id="rId673" display="https://www.google.com/url?q=https://github.com/mostafa-saad/MyCompetitiveProgramming/blob/master/Olympiad/Balkan/Balkan-18-election.txt&amp;sa=D&amp;ust=1605639799662000&amp;usg=AFQjCNHnnGivYOMONw_inZwPU9altH1Teg" xr:uid="{07F5DF73-5A5C-473A-A286-ADC5FCF26B8F}"/>
    <hyperlink ref="B393" r:id="rId674" display="https://www.google.com/url?q=https://oj.uz/problem/view/IOI18_doll&amp;sa=D&amp;ust=1605639799662000&amp;usg=AFQjCNEMn12Jn_2AyHsYySW7k4I3SqhT-Q" xr:uid="{43AD6827-0AB7-427A-8C5F-537CAD686D46}"/>
    <hyperlink ref="F393" r:id="rId675" display="https://www.google.com/url?q=https://github.com/mostafa-saad/MyCompetitiveProgramming/blob/master/Olympiad/IOI/IOI-18-Doll.txt&amp;sa=D&amp;ust=1605639799662000&amp;usg=AFQjCNF17E0pkPGocHqs_OCnllDrdfcgZg" xr:uid="{1E7DB802-AE1B-4569-996E-DC0E533CC565}"/>
    <hyperlink ref="B394" r:id="rId676" display="https://www.google.com/url?q=https://szkopul.edu.pl/problemset/problem/OQjANSOOD_-c38gh8p6g3Gxp/site/&amp;sa=D&amp;ust=1605639799663000&amp;usg=AFQjCNE6wxLY6IDMVxnOu4QKpBr7lxFMvw" xr:uid="{7888AA27-56C7-47E4-A1C2-FF168600AB82}"/>
    <hyperlink ref="F394" r:id="rId677" display="https://www.google.com/url?q=https://github.com/mostafa-saad/MyCompetitiveProgramming/blob/master/Olympiad/POI/POI-06-Tetris_3D.txt&amp;sa=D&amp;ust=1605639799663000&amp;usg=AFQjCNFN9ntcHGY4YfNxyKMsDRWRMTvThw" xr:uid="{47B1840D-102A-4604-8FCA-476F51422A9B}"/>
    <hyperlink ref="B395" r:id="rId678" display="https://www.google.com/url?q=https://oj.uz/problem/view/JOI17_port_facility&amp;sa=D&amp;ust=1605639799663000&amp;usg=AFQjCNFsDCDfxlRgYZR9h8CnkRdWJeHfvw" xr:uid="{74326163-08E9-433B-9116-D2572692D13D}"/>
    <hyperlink ref="F395" r:id="rId679" display="https://www.google.com/url?q=https://github.com/mostafa-saad/MyCompetitiveProgramming/blob/master/Olympiad/JOI/JOISC-17-PortFacility.txt&amp;sa=D&amp;ust=1605639799664000&amp;usg=AFQjCNEOrL3kBjBJls6M0Sfi7GGBLrMQ3w" xr:uid="{35DF0FF8-2894-4D10-99D7-FA224FFC0B94}"/>
    <hyperlink ref="B396" r:id="rId680" display="https://www.google.com/url?q=https://dunjudge.me/analysis/problems/803/&amp;sa=D&amp;ust=1605639799664000&amp;usg=AFQjCNG9BRDVHenMOx7iaUJ7lMpAFuFM1Q" xr:uid="{DF777CA4-8BFE-4110-8503-0CF086B2792B}"/>
    <hyperlink ref="F396" r:id="rId681" display="https://www.google.com/url?q=https://github.com/mostafa-saad/MyCompetitiveProgramming/blob/master/Olympiad/COCI/COCI-14-norma.txt&amp;sa=D&amp;ust=1605639799664000&amp;usg=AFQjCNF5ywJUcAH-gOVfmuaQWJSD2fCK9A" xr:uid="{E97BB96C-3D63-4915-B4A5-327C18E2E1F2}"/>
    <hyperlink ref="B397" r:id="rId682" display="https://www.google.com/url?q=https://www.acmicpc.net/problem/5252&amp;sa=D&amp;ust=1605639799665000&amp;usg=AFQjCNFySLWiyXYpGUFGDuaG4nvCj9skdA" xr:uid="{A892AA5B-0CD9-46E2-AADF-11BACD5B568C}"/>
    <hyperlink ref="F397" r:id="rId683" display="https://www.google.com/url?q=https://github.com/mostafa-saad/MyCompetitiveProgramming/blob/master/Olympiad/Balkan/Balkan-12-BestTeams.txt&amp;sa=D&amp;ust=1605639799666000&amp;usg=AFQjCNGV9xhC09WfYOFD4gS7tjCfN0GyuA" xr:uid="{FA736391-237A-46FE-B5A7-37C4D38EFBDC}"/>
    <hyperlink ref="B398" r:id="rId684" display="https://www.google.com/url?q=https://wcipeg.com/problem/coci091p6&amp;sa=D&amp;ust=1605639799666000&amp;usg=AFQjCNHJGA2E2FPnjqLftuOxjoVpqRdaBQ" xr:uid="{8B4A2FE8-BD75-47FA-8975-3C634C6EB2BC}"/>
    <hyperlink ref="F398" r:id="rId685" display="https://www.google.com/url?q=https://github.com/mostafa-saad/MyCompetitiveProgramming/blob/master/Olympiad/COCI/COCI-09-Aladin.txt&amp;sa=D&amp;ust=1605639799667000&amp;usg=AFQjCNFyet8whWs-FOsir6VQdFVR4BbbFQ" xr:uid="{700896E9-8284-481B-94CE-0846035B2F0B}"/>
    <hyperlink ref="B399" r:id="rId686" display="https://www.google.com/url?q=https://oj.uz/problem/view/IOI15_teams&amp;sa=D&amp;ust=1605639799667000&amp;usg=AFQjCNFo7zNrsOXmDz0x4bOFJ0_IWm8dUg" xr:uid="{21E2AE91-509D-47D0-8B6E-8F63390B7D36}"/>
    <hyperlink ref="F399" r:id="rId687" display="https://www.google.com/url?q=https://github.com/mostafa-saad/MyCompetitiveProgramming/blob/master/Olympiad/IOI/official/2015&amp;sa=D&amp;ust=1605639799667000&amp;usg=AFQjCNED7bFEEOglCj0qaK26YxnE8039Tg" xr:uid="{3780D2AF-1198-4216-AB6A-CBD102DC3BEF}"/>
    <hyperlink ref="B400" r:id="rId688" display="https://www.google.com/url?q=https://oj.uz/problem/view/IOI14_wall&amp;sa=D&amp;ust=1605639799668000&amp;usg=AFQjCNFCop6K1BPsBteLBrAP0dLRamaIzA" xr:uid="{B859ED26-66E3-4010-A47E-FD8965F8E77B}"/>
    <hyperlink ref="F400" r:id="rId689" display="https://www.google.com/url?q=http://blog.brucemerry.org.za/2014/07/&amp;sa=D&amp;ust=1605639799668000&amp;usg=AFQjCNGYaJYUNb7MKJolWSb_v-hVkjz4XA" xr:uid="{77BFD2C3-206C-4A49-B173-EB4354C865F6}"/>
    <hyperlink ref="B401" r:id="rId690" display="https://www.google.com/url?q=https://oj.uz/problem/view/COI19_tenis&amp;sa=D&amp;ust=1605639799671000&amp;usg=AFQjCNFo8JqyvQbWRe4d9VCq5I9M3FLwNA" xr:uid="{DEF3F320-76A8-426B-BE2E-86523F577D74}"/>
    <hyperlink ref="F401" r:id="rId691" display="https://www.google.com/url?q=https://github.com/mostafa-saad/MyCompetitiveProgramming/blob/master/Olympiad/COI/COI-19-tenis.txt&amp;sa=D&amp;ust=1605639799671000&amp;usg=AFQjCNFq-_HB8C1mIGQnPalF3g4cWJ_cfg" xr:uid="{F816628E-7264-4DE0-8954-FDDA2BCAADEB}"/>
    <hyperlink ref="B402" r:id="rId692" display="https://www.google.com/url?q=https://oj.uz/problem/view/IOI07_sails&amp;sa=D&amp;ust=1605639799671000&amp;usg=AFQjCNGXsfL5kHq1likeeItMfcncOCtzKA" xr:uid="{12E562C5-7ABF-4176-BC76-AA299326BBE3}"/>
    <hyperlink ref="F402" r:id="rId693" display="https://www.google.com/url?q=https://github.com/mostafa-saad/MyCompetitiveProgramming/blob/master/Olympiad/IOI/IOI-07-sails.txt&amp;sa=D&amp;ust=1605639799671000&amp;usg=AFQjCNFh25GEMyw7aCyzKUyZQ35IKNs20Q" xr:uid="{A5185894-BF34-4B63-BF58-7B99CAD7E5B2}"/>
    <hyperlink ref="B403" r:id="rId694" display="https://www.google.com/url?q=https://oj.uz/problems/source/56&amp;sa=D&amp;ust=1605639799672000&amp;usg=AFQjCNFeX8qNCVmhZp347cHmz5IabqVsUg" xr:uid="{41652E97-AD73-4ABD-BB2C-9980247A572D}"/>
    <hyperlink ref="F403" r:id="rId695" display="https://www.google.com/url?q=https://github.com/SpeedOfMagic/CompetitiveProgramming/blob/master/JOIOC/14-pinball.cpp&amp;sa=D&amp;ust=1605639799672000&amp;usg=AFQjCNEbKMJ8FIUThdUXeIcdvfFGdSPRmQ" xr:uid="{6FD703B3-E619-4C61-BB8B-A0B75FCCF6C6}"/>
    <hyperlink ref="B404" r:id="rId696" display="https://www.google.com/url?q=https://szkopul.edu.pl/problemset/problem/EwpbJWZPly_zZ5i4ytg_8fDE/site/&amp;sa=D&amp;ust=1605639799672000&amp;usg=AFQjCNEpaXXA2xgIL8E_RKMMuaLFeL_kDQ" xr:uid="{41EAD293-BBAE-44F1-9B0B-60348B8A4EBF}"/>
    <hyperlink ref="F404" r:id="rId697" display="https://www.google.com/url?q=https://github.com/mostafa-saad/MyCompetitiveProgramming/blob/master/Olympiad/POI/POI-09-Ice_Skates.txt&amp;sa=D&amp;ust=1605639799673000&amp;usg=AFQjCNGZHmYQx0QSbYQqgLOFnK_iM6d39Q" xr:uid="{2567D1E0-23B1-43CD-A3BB-8BE60F586010}"/>
    <hyperlink ref="B405" r:id="rId698" display="https://www.google.com/url?q=https://dmoj.ca/problem/coci15c3p5&amp;sa=D&amp;ust=1605639799673000&amp;usg=AFQjCNGkn10EqwHm2B6zXK5LB-9OuSzSjw" xr:uid="{A903151E-5ABE-45D2-BE61-0C77A55C5936}"/>
    <hyperlink ref="F405" r:id="rId699" display="https://www.google.com/url?q=https://github.com/mostafa-saad/MyCompetitiveProgramming/blob/master/Olympiad/COCI/COCI-15-Nekameleoni.txt&amp;sa=D&amp;ust=1605639799673000&amp;usg=AFQjCNESXlycI7dSJCodRZiprxsvM_HnvA" xr:uid="{F69762B0-F0B4-4765-94A3-3255AECC6053}"/>
    <hyperlink ref="B406" r:id="rId700" display="https://www.google.com/url?q=https://codeforces.com/gym/102257/&amp;sa=D&amp;ust=1605639799673000&amp;usg=AFQjCNG1g4yuLzGa9sDiFgkLHck-7zcKxw" xr:uid="{DE140057-1046-4CDE-B3C5-49BBD5A7C292}"/>
    <hyperlink ref="F406" r:id="rId701" display="https://www.google.com/url?q=https://github.com/Evilandrew228/CompetitiveProgramming/blob/master/APIO%252019-street_lamps&amp;sa=D&amp;ust=1605639799674000&amp;usg=AFQjCNFd-VtsRWU6cTA6Y-7cAbkvI6kj3w" xr:uid="{31583654-E145-4CC7-B794-7988B3FACE76}"/>
    <hyperlink ref="B407" r:id="rId702" display="https://www.google.com/url?q=https://oj.uz/problem/view/COCI15_relativnost&amp;sa=D&amp;ust=1605639799674000&amp;usg=AFQjCNGvSvCqantjwT776LVtvNjTxyEp3g" xr:uid="{45643D22-5D45-4944-B511-EE831E11408C}"/>
    <hyperlink ref="F407" r:id="rId703" display="https://www.google.com/url?q=https://github.com/mostafa-saad/MyCompetitiveProgramming/blob/master/Olympiad/COCI/COCI-15-relativnost.txt&amp;sa=D&amp;ust=1605639799674000&amp;usg=AFQjCNGri_DD0DwpNOtRgDtLik4JQ2DyRA" xr:uid="{6FF0450E-2C24-48DE-98D9-8DA1D91B53AA}"/>
    <hyperlink ref="B408" r:id="rId704" display="https://www.google.com/url?q=https://oj.uz/problem/view/COCI17_garaza&amp;sa=D&amp;ust=1605639799675000&amp;usg=AFQjCNE-_hV0x1DX9ne7lFaLGVz5m920uA" xr:uid="{363C3844-FD1A-4787-9167-F5669E36ADC4}"/>
    <hyperlink ref="F408" r:id="rId705" display="https://www.google.com/url?q=https://github.com/mostafa-saad/MyCompetitiveProgramming/blob/master/Olympiad/COCI/official/2018/contest2_solutions&amp;sa=D&amp;ust=1605639799675000&amp;usg=AFQjCNE3k5TniqYYdBcs8arDATDn855MbQ" xr:uid="{21283A1A-3D52-4CFD-A48B-BFB1291E5493}"/>
    <hyperlink ref="B409" r:id="rId706" display="https://www.google.com/url?q=https://oj.uz/problem/view/balkan11_trapezoid&amp;sa=D&amp;ust=1605639799675000&amp;usg=AFQjCNFepapl5xxvVftxd4ss9v1Z2kKK4w" xr:uid="{712C9803-DD67-4B9E-8BCE-21C0E763F31D}"/>
    <hyperlink ref="F409" r:id="rId707" display="https://www.google.com/url?q=https://github.com/mostafa-saad/MyCompetitiveProgramming/blob/master/Olympiad/Balkan/Balkan-11-Trapezoid.txt&amp;sa=D&amp;ust=1605639799675000&amp;usg=AFQjCNFNxVA2Qc8ZZcqfsHQNnk4llZ7eOw" xr:uid="{4FD36997-16CE-4F11-88A1-DECD34D8592E}"/>
    <hyperlink ref="B410" r:id="rId708" display="https://www.google.com/url?q=https://oj.uz/problem/view/COI14_krave&amp;sa=D&amp;ust=1605639799676000&amp;usg=AFQjCNGpfYS7knES_OKa7Tmc7jLFYMQ1BA" xr:uid="{E93B9D9C-5878-428B-97EF-41C9A6FE5E3C}"/>
    <hyperlink ref="F410" r:id="rId709" display="https://www.google.com/url?q=https://github.com/mostafa-saad/MyCompetitiveProgramming/blob/master/Olympiad/COI/COI-14-krave.txt&amp;sa=D&amp;ust=1605639799676000&amp;usg=AFQjCNEHnm51JxzAQEX67Z4XnxOKJYBhxQ" xr:uid="{82BF0C31-0291-494D-B615-189CD6958851}"/>
    <hyperlink ref="B411" r:id="rId710" display="https://www.google.com/url?q=https://oj.uz/problems/source/121&amp;sa=D&amp;ust=1605639799677000&amp;usg=AFQjCNHRQ729GLIf8UL4Tsf7C1nXikYrrg" xr:uid="{89F7EA45-A776-4DDD-9FB1-28131FE6FC4F}"/>
    <hyperlink ref="F411" r:id="rId711" display="https://www.google.com/url?q=https://github.com/stefdasca/CompetitiveProgramming/blob/master/CEOI/CEOI%252014-cake.cpp&amp;sa=D&amp;ust=1605639799677000&amp;usg=AFQjCNGjTPScb-_GOHH4tSxu2gD49nWt9Q" xr:uid="{DAF1D4A8-F28D-478C-A361-6FFAC9D0FAEE}"/>
    <hyperlink ref="B412" r:id="rId712" display="https://www.google.com/url?q=https://open.kattis.com/problem-sources/Baltic%2520Olympiad%2520in%2520Informatics%25202017%252C%2520Day%25201&amp;sa=D&amp;ust=1605639799678000&amp;usg=AFQjCNHEHIX2SKj572w1o-ByxvwPDECk3w" xr:uid="{904BF0C3-E46B-4051-A4B4-88C20225AD0E}"/>
    <hyperlink ref="F412" r:id="rId713" display="https://www.google.com/url?q=https://github.com/Szawinis/CompetitiveProgramming/blob/master/Olympiad/Baltic/Baltic17-toll.cpp&amp;sa=D&amp;ust=1605639799678000&amp;usg=AFQjCNHCvdeHvngm72n0vC9raup2NR-xYQ" xr:uid="{AB907A0B-EFEF-43F9-85BF-8B4742478D2C}"/>
    <hyperlink ref="B413" r:id="rId714" display="https://www.google.com/url?q=https://oj.uz/problem/view/COCI17_plahte&amp;sa=D&amp;ust=1605639799678000&amp;usg=AFQjCNH3Cyj2LruXsQI4CiWIo9phzKyFhw" xr:uid="{A9E0DD9C-6DDC-4E78-AE0F-AC3CA1DDDF4E}"/>
    <hyperlink ref="F413" r:id="rId715" display="https://www.google.com/url?q=https://github.com/mostafa-saad/MyCompetitiveProgramming/blob/master/Olympiad/COCI/official/2018/contest1_solutions&amp;sa=D&amp;ust=1605639799679000&amp;usg=AFQjCNGyx7hVGUjwetuJ0LAAR9NgyZj9zg" xr:uid="{C2374E00-E908-44EE-A794-B7D93CF14477}"/>
    <hyperlink ref="B414" r:id="rId716" display="https://www.google.com/url?q=https://szkopul.edu.pl/problemset/problem/k-RYEjhwNTo_XdaCidXQUGMU/site/&amp;sa=D&amp;ust=1605639799679000&amp;usg=AFQjCNG2ofwejHmzUTttg7-N5Jql9DU2qQ" xr:uid="{2BF09513-B939-43C2-9D96-B2A41FF4ED10}"/>
    <hyperlink ref="F414" r:id="rId717" display="https://www.google.com/url?q=https://github.com/mostafa-saad/MyCompetitiveProgramming/blob/master/Olympiad/POI/official/find_editorial_sols_guidelines.txt&amp;sa=D&amp;ust=1605639799688000&amp;usg=AFQjCNEzxwhWCqUmKP4D6s75rihjUz531A" xr:uid="{76B9FCAD-99A8-48BF-AEAA-DB0776293371}"/>
    <hyperlink ref="B415" r:id="rId718" display="https://www.google.com/url?q=https://cses.fi/179/list/&amp;sa=D&amp;ust=1605639799689000&amp;usg=AFQjCNEeJ9TysAbidPsM-oNjd6G1iIT0qQ" xr:uid="{8284BC3C-A901-42A2-A522-56A928A647C7}"/>
    <hyperlink ref="F415" r:id="rId719" display="https://www.google.com/url?q=https://github.com/mostafa-saad/MyCompetitiveProgramming/tree/master/Olympiad/CEOI/official/2009&amp;sa=D&amp;ust=1605639799689000&amp;usg=AFQjCNHPqRJ0rEq3WKX4KcgMe_UcXCQIZw" xr:uid="{2E107334-153B-4E07-9F46-F9BAFF78B185}"/>
    <hyperlink ref="B416" r:id="rId720" display="https://www.google.com/url?q=https://oj.uz/problem/view/COI15_dostava&amp;sa=D&amp;ust=1605639799690000&amp;usg=AFQjCNGXqIYP_Uq67I9WVGmXbJ0NSfMhEQ" xr:uid="{91488E55-CC80-4944-A89E-2752CF1281CB}"/>
    <hyperlink ref="F416" r:id="rId721" display="https://www.google.com/url?q=https://github.com/mostafa-saad/MyCompetitiveProgramming/tree/master/Olympiad/COI/official/2015&amp;sa=D&amp;ust=1605639799690000&amp;usg=AFQjCNGLrLlzsbnjyOqvNulpnnzttpjZpA" xr:uid="{4831231C-14B7-45B3-B01B-758886AD6E04}"/>
    <hyperlink ref="B417" r:id="rId722" display="https://www.google.com/url?q=https://www.infoarena.ro/problema/arb&amp;sa=D&amp;ust=1605639799694000&amp;usg=AFQjCNHwdaqVbzRd9PVkuvKTYFFKkr4GNQ" xr:uid="{A915D192-CFE5-4B06-856F-C5B737CACD9A}"/>
    <hyperlink ref="B418" r:id="rId723" display="https://www.google.com/url?q=https://oj.uz/problem/view/JOI18_bubblesort2&amp;sa=D&amp;ust=1605639799695000&amp;usg=AFQjCNFXU_lwLtLeqO2SCb9GQFIeuqaenA" xr:uid="{08460C4D-4956-430F-8A11-0B8ACF0D438A}"/>
    <hyperlink ref="F418" r:id="rId724" display="https://www.google.com/url?q=https://github.com/mostafa-saad/MyCompetitiveProgramming/blob/master/Olympiad/JOI/JOIOC-18-bubblesort2.txt&amp;sa=D&amp;ust=1605639799697000&amp;usg=AFQjCNEt3lmYa1JwRFE_GrM-qaO5K9J5DQ" xr:uid="{0634F9F3-9461-4F85-B3B9-1EC8005F95C9}"/>
    <hyperlink ref="B419" r:id="rId725" display="https://www.google.com/url?q=https://contest.yandex.ru/ioi/contest/566/enter/&amp;sa=D&amp;ust=1605639799697000&amp;usg=AFQjCNHQtdD36jr0VImxGP9RFZYRZINuLg" xr:uid="{540C3E65-A3FB-4288-8156-D8E3941AE6BF}"/>
    <hyperlink ref="F419" r:id="rId726" display="https://www.google.com/url?q=https://github.com/mostafa-saad/MyCompetitiveProgramming/blob/master/Olympiad/IOI/IOI-05-mountains.txt&amp;sa=D&amp;ust=1605639799697000&amp;usg=AFQjCNG6gcbP6bGej0fldTmomDLnToFESg" xr:uid="{34F07E7D-35CD-4B1D-8E26-C0954C14324B}"/>
    <hyperlink ref="B420" r:id="rId727" display="https://www.google.com/url?q=https://www.infoarena.ro/problema/fibo4&amp;sa=D&amp;ust=1605639799698000&amp;usg=AFQjCNH1fYn5a8PfczXL0Ye-HrhjOFtRjg" xr:uid="{ABB13C2C-C24C-446C-818A-5F9A92E82331}"/>
    <hyperlink ref="F420" r:id="rId728" display="https://www.google.com/url?q=https://github.com/mostafa-saad/MyCompetitiveProgramming/blob/master/Olympiad/infoarena/infoarena_fibo4.txt&amp;sa=D&amp;ust=1605639799698000&amp;usg=AFQjCNGGPWSqsLL4lKH5das3pue_tJgqkA" xr:uid="{790B4963-9695-4DEC-8A36-5EE3B028E913}"/>
    <hyperlink ref="B421" r:id="rId729" display="https://www.google.com/url?q=https://csacademy.com/contest/ceoi-2018-day-1/task/global-warming/&amp;sa=D&amp;ust=1605639799698000&amp;usg=AFQjCNEmDKhkHGab2t8BRIfnGWqm-95Vhg" xr:uid="{9630BE0C-80F9-4922-9A12-1670043B3B4C}"/>
    <hyperlink ref="F421" r:id="rId730" display="https://www.google.com/url?q=https://github.com/mostafa-saad/MyCompetitiveProgramming/blob/master/Olympiad/CEOI/CEOI-18-Global.txt&amp;sa=D&amp;ust=1605639799699000&amp;usg=AFQjCNHTjsBsDItagTfW-HisljPPCQBDxg" xr:uid="{5C9CDC12-2FF7-4DA3-9049-939DC68BD4D2}"/>
    <hyperlink ref="B422" r:id="rId731" display="https://www.google.com/url?q=https://csacademy.com/contest/junior-challenge-2017-day-2/task/cntgigelmat&amp;sa=D&amp;ust=1605639799700000&amp;usg=AFQjCNED7Aibeir0NV7_xCieAt07OcrFkA" xr:uid="{DF120577-6DAC-4260-9E01-85894AD9ACB2}"/>
    <hyperlink ref="F422" r:id="rId732" display="https://www.google.com/url?q=https://github.com/MetalBall887/Competitive-Programming/blob/master/CSAcademy/ROJS%252017-cntgigelmat.cpp&amp;sa=D&amp;ust=1605639799700000&amp;usg=AFQjCNGxWX2Mh9tnF2vvebLJ4hg2wvHxdg" xr:uid="{1019DC1F-DC89-40CD-9233-1177E35EC6DA}"/>
    <hyperlink ref="B423" r:id="rId733" display="https://www.google.com/url?q=https://dmoj.ca/problem/coci06c4p6&amp;sa=D&amp;ust=1605639799701000&amp;usg=AFQjCNH4aXTtPzReGWwYBBNgqo9Nb4_vyw" xr:uid="{F81F24A2-721D-4B40-8228-0D27AA277A73}"/>
    <hyperlink ref="F423" r:id="rId734" display="https://www.google.com/url?q=https://github.com/mostafa-saad/MyCompetitiveProgramming/blob/master/Olympiad/COCI/COCI-06-Ispiti.txt&amp;sa=D&amp;ust=1605639799701000&amp;usg=AFQjCNHvKDhUJzWZfHFzeMQqH0UXzKX76Q" xr:uid="{5F6D5C09-7B06-4A00-A12C-227ADFE12D64}"/>
    <hyperlink ref="B424" r:id="rId735" display="https://www.google.com/url?q=https://www.infoarena.ro/problema/minuni&amp;sa=D&amp;ust=1605639799702000&amp;usg=AFQjCNFCZxzEf2oslFzVC1dUwo7Zd12m8g" xr:uid="{840B0C0D-AC4D-44A0-88D2-EE05FAC3C894}"/>
    <hyperlink ref="F424" r:id="rId736" display="https://www.google.com/url?q=https://github.com/stefdasca/CompetitiveProgramming/blob/master/Infoarena/minuni.cpp&amp;sa=D&amp;ust=1605639799702000&amp;usg=AFQjCNFUIQjFMOgftKpCDnqhyBMeFc6Q_g" xr:uid="{411DF785-08D0-4A0E-98FF-B84C6F02CC28}"/>
    <hyperlink ref="B425" r:id="rId737" display="https://www.google.com/url?q=http://www.usaco.org/index.php?page%3Dviewproblem2%26cpid%3D973&amp;sa=D&amp;ust=1605639799702000&amp;usg=AFQjCNF3NlgY3cdJ3tU2poU3rX3ptQL6nw" xr:uid="{2AE5D6B7-E429-471F-8937-CDBB558D5C4C}"/>
    <hyperlink ref="B426" r:id="rId738" display="https://www.google.com/url?q=https://oj.uz/problem/view/BOI11_grow&amp;sa=D&amp;ust=1605639799703000&amp;usg=AFQjCNEu176VvhUKkFxjQaQQj-yc8I2sig" xr:uid="{65CA3626-21A9-4FDA-B0D7-73E82C7C701D}"/>
    <hyperlink ref="B427" r:id="rId739" display="https://www.google.com/url?q=https://oj.uz/problem/view/POI13_kon&amp;sa=D&amp;ust=1605639799704000&amp;usg=AFQjCNGjttwdKKiUZsQeSukWlJDOqWgcKA" xr:uid="{21951E95-A8A2-411A-ACC3-3CEAB7218A6A}"/>
    <hyperlink ref="F427" r:id="rId740" display="https://www.google.com/url?q=https://github.com/mostafa-saad/MyCompetitiveProgramming/blob/master/Olympiad/POI/POI-13-kon.txt&amp;sa=D&amp;ust=1605639799704000&amp;usg=AFQjCNHAHmmQ6YCzAF1-sVRQmV4nkVRDaA" xr:uid="{9A913030-C3E7-4E31-B1C7-D7E6A66E4DDF}"/>
    <hyperlink ref="B428" r:id="rId741" display="https://www.google.com/url?q=https://szkopul.edu.pl/problemset/problem/BnzEADCfeJFjjev1Y9iHQANg/site/&amp;sa=D&amp;ust=1605639799704000&amp;usg=AFQjCNGePXUWKo0ZSlRSC4dSwJDqgJiYWg" xr:uid="{E6C8F6CD-DEC4-4862-B765-9C464D5082CB}"/>
    <hyperlink ref="B429" r:id="rId742" display="https://www.google.com/url?q=https://oj.uz/problem/view/IZhO14_divide&amp;sa=D&amp;ust=1605639799705000&amp;usg=AFQjCNHDlaADXtaLD8YQLCTY5wHDmmEtXw" xr:uid="{7E94D893-8506-4628-A218-27B81096A2AB}"/>
    <hyperlink ref="F429" r:id="rId743" display="https://www.google.com/url?q=https://github.com/Coder-Boy1/Others/blob/master/IZHO%252014-divide&amp;sa=D&amp;ust=1605639799705000&amp;usg=AFQjCNE1qKS-wpL_Fo2p4ijNN0z9qqkbbA" xr:uid="{D3FAE60F-096F-48C6-91A5-5B6706965F97}"/>
    <hyperlink ref="B430" r:id="rId744" display="https://www.google.com/url?q=https://dunjudge.me/analysis/problems/1230/&amp;sa=D&amp;ust=1605639799706000&amp;usg=AFQjCNFs0hOJf-t5L4qVHFpEdBC_-kBe0Q" xr:uid="{B892E863-4DB3-49EA-B4E0-8937EEEA81C8}"/>
    <hyperlink ref="F430" r:id="rId745" display="https://www.google.com/url?q=https://github.com/mostafa-saad/MyCompetitiveProgramming/blob/master/Olympiad/NOI/NOI-17-very_best_pokemon.txt&amp;sa=D&amp;ust=1605639799706000&amp;usg=AFQjCNE6PEdW3xBD_FqQa9b-eQKRqh5P_w" xr:uid="{D7A82E39-4FB5-4759-B408-5DFCB11D1D06}"/>
    <hyperlink ref="B431" r:id="rId746" display="https://www.google.com/url?q=https://www.infoarena.ro/problema/sir3&amp;sa=D&amp;ust=1605639799706000&amp;usg=AFQjCNHLRlM5LNUbjG9lrHEFUgtqdIy4yw" xr:uid="{8449DD7B-BF27-47D1-987B-7E5A7E81D1C8}"/>
    <hyperlink ref="F431" r:id="rId747" display="https://www.google.com/url?q=https://github.com/stefdasca/CompetitiveProgramming/blob/master/Infoarena/sir3.cpp&amp;sa=D&amp;ust=1605639799706000&amp;usg=AFQjCNGrRXfHty8pONApNXv5RpDnodACuQ" xr:uid="{FAAB03E5-1531-406F-BF9A-1B6C495EE628}"/>
    <hyperlink ref="B432" r:id="rId748" display="https://www.google.com/url?q=http://usaco.org/index.php?page%3Dviewproblem2%26cpid%3D900&amp;sa=D&amp;ust=1605639799707000&amp;usg=AFQjCNHD-r7QRB0YTvQ1YEp59LibWm_TPw" xr:uid="{CB545D6A-E2F7-4C1F-B5FE-E5E6802AA674}"/>
    <hyperlink ref="B433" r:id="rId749" display="https://www.google.com/url?q=https://oj.uz/problem/view/COCI17_poklon&amp;sa=D&amp;ust=1605639799707000&amp;usg=AFQjCNHLo55nM03tzmxzPTBYKe5swfgy3w" xr:uid="{4C2172C8-F1B5-46A6-86BB-91CB4447CA01}"/>
    <hyperlink ref="F433" r:id="rId750" display="https://www.google.com/url?q=https://github.com/mostafa-saad/MyCompetitiveProgramming/blob/master/Olympiad/COCI/official/2017/contest5_solutions&amp;sa=D&amp;ust=1605639799707000&amp;usg=AFQjCNGUVO-v8qDOjN5LDuJ3un5BttHOQQ" xr:uid="{1C9E1E09-48C9-4F08-A2E9-777A78DCF1A1}"/>
    <hyperlink ref="B434" r:id="rId751" display="https://www.google.com/url?q=https://joisc2013-day1.contest.atcoder.jp/tasks/joisc2013_collecting&amp;sa=D&amp;ust=1605639799708000&amp;usg=AFQjCNEVmEKxovdmTRZck4XttyaBdQuD1A" xr:uid="{33DE34A9-E70A-483E-A01C-57109596F30E}"/>
    <hyperlink ref="B435" r:id="rId752" display="https://www.google.com/url?q=https://oj.uz/problem/view/JOI17_foehn_phenomena&amp;sa=D&amp;ust=1605639799711000&amp;usg=AFQjCNHBc1hCrl3RsM7f9cth4n948Y6Ynw" xr:uid="{B2C4A984-F716-474C-A947-DD0BFF59C1E9}"/>
    <hyperlink ref="F435" r:id="rId753" display="https://www.google.com/url?q=https://github.com/nikolapesic2802/Programming-Practice/blob/master/Foehn%2520Phenomena/main.cpp&amp;sa=D&amp;ust=1605639799711000&amp;usg=AFQjCNGglfw3hOhOCBUwPp4dEPDk61ipOw" xr:uid="{A66D0AD4-FC1B-4E58-ABE2-93EE6A2500AE}"/>
    <hyperlink ref="B436" r:id="rId754" display="https://www.google.com/url?q=https://oj.uz/problem/view/COCI17_deda&amp;sa=D&amp;ust=1605639799711000&amp;usg=AFQjCNGU1wQo2W8Gv4tNhmCd-pF7V1DG9Q" xr:uid="{21D1CF37-7C14-4296-AF02-18C82F8F48A4}"/>
    <hyperlink ref="F436" r:id="rId755" display="https://www.google.com/url?q=https://github.com/mostafa-saad/MyCompetitiveProgramming/blob/master/Olympiad/COCI/COCI-17-deda.txt&amp;sa=D&amp;ust=1605639799711000&amp;usg=AFQjCNEkKgOhUf1ACLlfn5xnl0VTjxoqog" xr:uid="{0FC003A8-81E8-4308-9FF4-FB71A030E54C}"/>
    <hyperlink ref="B437" r:id="rId756" display="https://www.google.com/url?q=https://oj.uz/problem/view/JOI15_sterilizing&amp;sa=D&amp;ust=1605639799712000&amp;usg=AFQjCNGXaEI6Y_nEPAIDmNlHYgtrIzhr8A" xr:uid="{EFC469C1-9741-4133-87C8-6A7F82619EE1}"/>
    <hyperlink ref="F437" r:id="rId757" display="https://www.google.com/url?q=https://github.com/SpeedOfMagic/CompetitiveProgramming/blob/master/JOIOC/15-sterilizing.cpp&amp;sa=D&amp;ust=1605639799712000&amp;usg=AFQjCNEYPfzykbGKtX4bIqZnoUvjoicSqw" xr:uid="{64B5B6F5-4221-41CD-A047-8F3E0956FAE2}"/>
    <hyperlink ref="B438" r:id="rId758" display="https://www.google.com/url?q=https://szkopul.edu.pl/problemset/problem/lR_LabSUC2n7EMmDHpw-wk_b/site/&amp;sa=D&amp;ust=1605639799712000&amp;usg=AFQjCNEie9rb5kWrBerJfsQ8Icxo5rU1eA" xr:uid="{5F813DC2-3731-4653-9D28-C110F4942AFC}"/>
    <hyperlink ref="F438" r:id="rId759" display="https://www.google.com/url?q=https://github.com/Shash-Wat/competitive-programming/blob/master/POI/poi_strike.cpp&amp;sa=D&amp;ust=1605639799713000&amp;usg=AFQjCNEfEptXKlYon_STPnBS90Rayu2c5Q" xr:uid="{74BF5B7F-053B-4CB3-92E5-E64A465F7888}"/>
    <hyperlink ref="B439" r:id="rId760" display="https://www.google.com/url?q=https://dmoj.ca/problem/coci07c3p6&amp;sa=D&amp;ust=1605639799713000&amp;usg=AFQjCNHmVsa9xS5wKBoqAfV8I7lXV5Liug" xr:uid="{A56E22E2-CAF7-47F9-864E-54172C257426}"/>
    <hyperlink ref="F439" r:id="rId761" display="https://www.google.com/url?q=https://github.com/mostafa-saad/MyCompetitiveProgramming/blob/master/Olympiad/COCI/COCI-07-Redoks.txt&amp;sa=D&amp;ust=1605639799713000&amp;usg=AFQjCNE81LUztOIeH6jXbXUTZq1gXtKkdQ" xr:uid="{8610DB54-A849-4032-930A-67E0D34F2416}"/>
    <hyperlink ref="B440" r:id="rId762" display="https://www.google.com/url?q=https://codeforces.com/group/swEqtABRxe/contest/243435/problem/A&amp;sa=D&amp;ust=1605639799714000&amp;usg=AFQjCNEMjNca2P5pMtxRu3J5D-vWDRHCzg" xr:uid="{0678C40C-93BD-441B-BED5-A50E19D1FCD2}"/>
    <hyperlink ref="B441" r:id="rId763" display="https://www.google.com/url?q=https://wcipeg.com/problem/coci087p6&amp;sa=D&amp;ust=1605639799714000&amp;usg=AFQjCNGI8SFIbXnRAHxKQ8kq4frhEGPyHg" xr:uid="{2880EB46-D293-41BA-B497-C21626FFCA34}"/>
    <hyperlink ref="F441" r:id="rId764" display="https://www.google.com/url?q=https://github.com/mostafa-saad/MyCompetitiveProgramming/blob/master/Olympiad/COI/COI-08-Cvjetici.txt&amp;sa=D&amp;ust=1605639799714000&amp;usg=AFQjCNHri6MwNZ9_y8RAL8q98y_BExE4fg" xr:uid="{6834C584-0F58-443A-BFA6-C22B8C0930D5}"/>
    <hyperlink ref="B442" r:id="rId765" display="https://www.google.com/url?q=https://csacademy.com/contest/junior-challenge-2017-day-1/task/remove-update&amp;sa=D&amp;ust=1605639799715000&amp;usg=AFQjCNEHgX8QFIS3eNPbXg87R4WrxHShAA" xr:uid="{F82D6429-617D-4C50-A1AB-D95DB04C25B8}"/>
    <hyperlink ref="F442" r:id="rId766" display="https://www.google.com/url?q=https://github.com/nikolapesic2802/Programming-Practice/blob/master/Remove%2520Update/main.cpp&amp;sa=D&amp;ust=1605639799715000&amp;usg=AFQjCNGvr7vm7mx26vot-aIVtVsjvNKE2g" xr:uid="{BA264C60-7B46-4A51-A048-222C769727A5}"/>
    <hyperlink ref="B443" r:id="rId767" display="https://www.google.com/url?q=https://dmoj.ca/problem/cco13p2&amp;sa=D&amp;ust=1605639799715000&amp;usg=AFQjCNEXMcqp_IxEsxq4c9hO6-JlAmNGgQ" xr:uid="{E712406D-4529-40B1-92EB-48FFEC63A918}"/>
    <hyperlink ref="B444" r:id="rId768" display="https://www.google.com/url?q=https://dmoj.ca/problem/dmopc18c4p4&amp;sa=D&amp;ust=1605639799716000&amp;usg=AFQjCNF_306I2a5oaMXyCei-26WvQafYTQ" xr:uid="{B1A4515A-C6EB-4EDC-8AA3-146AE1C3A1FE}"/>
    <hyperlink ref="B445" r:id="rId769" display="https://www.google.com/url?q=http://usaco.org/index.php?page%3Dviewproblem2%26cpid%3D578&amp;sa=D&amp;ust=1605639799716000&amp;usg=AFQjCNGZKkCXdgNlc0J-EoSRTiUkvlgUoA" xr:uid="{C9C68E09-F819-4FF0-8088-D26924D05716}"/>
    <hyperlink ref="B446" r:id="rId770" display="https://www.google.com/url?q=https://www.e-olymp.com/en/problems/7482&amp;sa=D&amp;ust=1605639799716000&amp;usg=AFQjCNEqkXDqXA0GFj7Sr_T8hnMUjaN5UQ" xr:uid="{415E3F44-B26F-43CF-986C-929EDE253967}"/>
    <hyperlink ref="F446" r:id="rId771" display="https://www.google.com/url?q=https://github.com/tmwilliamlin168/CompetitiveProgramming/blob/master/IZHO/13-Trading.cpp&amp;sa=D&amp;ust=1605639799717000&amp;usg=AFQjCNHscWEqLku40IxA2xZSnFfYCAA3wg" xr:uid="{A16608FF-B7E6-4000-AE78-D3919025FA7C}"/>
    <hyperlink ref="B447" r:id="rId772" display="https://www.google.com/url?q=https://csacademy.com/contest/round-80/task/sortall/&amp;sa=D&amp;ust=1605639799717000&amp;usg=AFQjCNHjQO-4dokcWKYhdqwLBF0UuiYI5A" xr:uid="{0A4530EB-5F7B-4B36-A8B7-B5FAE98E8AEB}"/>
    <hyperlink ref="B448" r:id="rId773" display="https://www.google.com/url?q=https://oj.uz/problems/source/6&amp;sa=D&amp;ust=1605639799717000&amp;usg=AFQjCNE93ylpmmhVjRReMbJZoBr_hQSWBw" xr:uid="{142EB7CC-D7DF-44F7-8116-447D7CFB5031}"/>
    <hyperlink ref="F448" r:id="rId774" display="https://www.google.com/url?q=https://github.com/mostafa-saad/MyCompetitiveProgramming/blob/master/Olympiad/JOI/JOIOC-13-synchronization.txt&amp;sa=D&amp;ust=1605639799718000&amp;usg=AFQjCNGYjD7C-WAFUQlkSZS7XJNHtetWaQ" xr:uid="{2E8D059B-C036-410E-B8C3-B65C259AEEF0}"/>
    <hyperlink ref="B449" r:id="rId775" display="https://www.google.com/url?q=http://usaco.org/index.php?page%3Dviewproblem2%26cpid%3D865&amp;sa=D&amp;ust=1605639799718000&amp;usg=AFQjCNEtBqcUsE-95lUo7nj8etJvMUmwfA" xr:uid="{D2EB5B5E-7104-42D1-98D7-B3B343876724}"/>
    <hyperlink ref="F449" r:id="rId776" display="https://www.google.com/url?q=https://github.com/tmwilliamlin168/CompetitiveProgramming/blob/master/USACO/Contests/1819_1P/Itout.cpp&amp;sa=D&amp;ust=1605639799718000&amp;usg=AFQjCNGg1V2WkHuGQBT4WG122Wwyv2SP9g" xr:uid="{8E29DA11-6C63-48D5-8EAF-7EB54C46B555}"/>
    <hyperlink ref="B450" r:id="rId777" display="https://www.google.com/url?q=https://oj.uz/problem/view/COCI16_zoltan&amp;sa=D&amp;ust=1605639799719000&amp;usg=AFQjCNE0JJIovyNLPEKyZgutcmCM7rnlFw" xr:uid="{A64A76AD-CE46-43AD-8FFC-603E6C45B8C5}"/>
    <hyperlink ref="F450" r:id="rId778" display="https://www.google.com/url?q=https://github.com/mostafa-saad/MyCompetitiveProgramming/blob/master/Olympiad/COCI/COCI-16-zoltan.txt&amp;sa=D&amp;ust=1605639799719000&amp;usg=AFQjCNHyVUssBweqVYyi6S-GNWjOOzW83A" xr:uid="{82207AF8-B2D1-4F93-AB5D-6BDDAF41C50B}"/>
    <hyperlink ref="B451" r:id="rId779" display="https://www.google.com/url?q=https://oj.uz/problem/view/COCI18_suncanje&amp;sa=D&amp;ust=1605639799719000&amp;usg=AFQjCNGVIvDs44Wta5BW4ONQdE0StXLiOg" xr:uid="{BF1DDDEB-7D12-4D2F-B9C6-8794408FA0C2}"/>
    <hyperlink ref="F451" r:id="rId780" display="https://www.google.com/url?q=https://github.com/Szawinis/CompetitiveProgramming/blob/master/Olympiad/COCI/COCI18-suncanje.cpp&amp;sa=D&amp;ust=1605639799719000&amp;usg=AFQjCNHETpbnCtcFs5pbPhNHXjqphIlSBg" xr:uid="{BC9D016F-DE06-4838-925D-7AD10EF2A2DE}"/>
    <hyperlink ref="B452" r:id="rId781" display="https://www.google.com/url?q=https://oj.uz/problem/view/JOI19_cake3&amp;sa=D&amp;ust=1605639799720000&amp;usg=AFQjCNFtWyeFAKeuwqmHk25siZRgFN_cQg" xr:uid="{519C5652-CA82-4B3B-872D-AD6D4C16E263}"/>
    <hyperlink ref="B453" r:id="rId782" display="https://www.google.com/url?q=https://joi2013ho.contest.atcoder.jp/tasks/joi2013ho5&amp;sa=D&amp;ust=1605639799720000&amp;usg=AFQjCNGzI2p3Xxind2rKjt73qEIgYCvdUg" xr:uid="{183DD5C6-657F-441C-AFF5-20E9B2DBF03E}"/>
    <hyperlink ref="F453" r:id="rId783" display="https://www.google.com/url?q=https://github.com/mostafa-saad/MyCompetitiveProgramming/blob/master/Olympiad/JOI/JOI-13-BubbleSort.txt&amp;sa=D&amp;ust=1605639799767000&amp;usg=AFQjCNH7S1H2mi1k6RG9UStf5utatS3lkQ" xr:uid="{20915E42-B302-46EF-B3D9-5309F5C9B314}"/>
    <hyperlink ref="B454" r:id="rId784" display="https://www.google.com/url?q=http://usaco.org/index.php?page%3Dviewproblem2%26cpid%3D840&amp;sa=D&amp;ust=1605639799767000&amp;usg=AFQjCNEcaXt5MjYuTyx7uaXboD_OBl3gAQ" xr:uid="{AC0C69F6-91CE-4525-997F-62B53D820737}"/>
    <hyperlink ref="B455" r:id="rId785" display="https://www.google.com/url?q=https://oj.uz/problem/view/COI15_ruka&amp;sa=D&amp;ust=1605639799768000&amp;usg=AFQjCNFT5BD3N6LeFdJqqy3MvdLcI87vqw" xr:uid="{D65EFF20-1DBA-4EEC-89DB-910E1B310CCA}"/>
    <hyperlink ref="F455" r:id="rId786" display="https://www.google.com/url?q=https://github.com/mostafa-saad/MyCompetitiveProgramming/blob/master/Olympiad/COI/COI-15-ruka.txt&amp;sa=D&amp;ust=1605639799775000&amp;usg=AFQjCNFrucpyfBQZQHj5etyBT2LExGTWkg" xr:uid="{9F17EA59-D04B-4E02-AA51-9FAD49131213}"/>
    <hyperlink ref="B456" r:id="rId787" display="https://www.google.com/url?q=https://oj.uz/problem/view/IOI07_pairs&amp;sa=D&amp;ust=1605639799776000&amp;usg=AFQjCNHzH9g5BUipErZ_lx_t9IOGoOzSHg" xr:uid="{4164548B-C874-4E69-9C16-816E800E4629}"/>
    <hyperlink ref="F456" r:id="rId788" display="https://www.google.com/url?q=https://github.com/mostafa-saad/MyCompetitiveProgramming/blob/master/Olympiad/IOI/official/2007&amp;sa=D&amp;ust=1605639799776000&amp;usg=AFQjCNGZjkIfav62-Ct_TchSZM0RDdOGPQ" xr:uid="{C7078F6C-A22F-4C40-95BD-2909EC80EBA9}"/>
    <hyperlink ref="B457" r:id="rId789" display="https://www.google.com/url?q=https://oj.uz/problem/view/JOI20_ho_t5&amp;sa=D&amp;ust=1605639799777000&amp;usg=AFQjCNFAZtWkJBbvj6duSimut9eQg8Nt-g" xr:uid="{94B715A7-829B-443F-9BAF-022FF021EAE6}"/>
    <hyperlink ref="F457" r:id="rId790" display="https://www.google.com/url?q=https://github.com/mostafa-saad/MyCompetitiveProgramming/tree/master/Olympiad/JOI/official/JOI/2020&amp;sa=D&amp;ust=1605639799777000&amp;usg=AFQjCNFO6sdjba6jerzAWUxkUNReyEUNjg" xr:uid="{C405FA10-21EF-4CA0-AC01-7675B055EE06}"/>
    <hyperlink ref="B458" r:id="rId791" display="https://www.google.com/url?q=https://joi2016ho.contest.atcoder.jp/tasks/joi2016ho_e&amp;sa=D&amp;ust=1605639799777000&amp;usg=AFQjCNHDVMk3fPwles39npBtnVdjwBCCdQ" xr:uid="{A73510ED-7950-4943-9BD3-43D2FEEBD591}"/>
    <hyperlink ref="B459" r:id="rId792" display="https://www.google.com/url?q=http://usaco.org/index.php?page%3Dviewproblem2%26cpid%3D532&amp;sa=D&amp;ust=1605639799778000&amp;usg=AFQjCNESNhHQv0GA7lGmgpdaQ4VXVMZgMA" xr:uid="{A0A31870-7E6E-4E68-B106-C6C7AFA4C3E5}"/>
    <hyperlink ref="B460" r:id="rId793" display="https://www.google.com/url?q=http://usaco.org/index.php?page%3Dviewproblem2%26cpid%3D624&amp;sa=D&amp;ust=1605639799778000&amp;usg=AFQjCNFMIZYajyiTRkCOXuEvSz06Pi86_Q" xr:uid="{17E49D03-5C39-4800-A970-EB6A6A54934A}"/>
    <hyperlink ref="B461" r:id="rId794" display="https://www.google.com/url?q=https://oj.uz/problem/view/COCI15_vudu&amp;sa=D&amp;ust=1605639799780000&amp;usg=AFQjCNGZ7z8WuAnDK8O7gJhpnem6qDmWYA" xr:uid="{6F2BFE34-92FA-4629-8505-386FAB27F09E}"/>
    <hyperlink ref="F461" r:id="rId795" display="https://www.google.com/url?q=https://github.com/mostafa-saad/MyCompetitiveProgramming/blob/master/Olympiad/JOI/COCI/COCI-15-vudu.txt&amp;sa=D&amp;ust=1605639799780000&amp;usg=AFQjCNGO4OsYc80XqTc2KK1_HY7LlrbXZQ" xr:uid="{F9A797DE-FE04-4408-9401-D745FDA703F9}"/>
    <hyperlink ref="B462" r:id="rId796" display="https://www.google.com/url?q=http://usaco.org/index.php?page%3Dviewproblem2%26cpid%3D722&amp;sa=D&amp;ust=1605639799780000&amp;usg=AFQjCNGvzcTX5k1AL53DfrUFpC7r9b5URQ" xr:uid="{5D698061-5833-4F1A-ACED-CAA8ABEED21F}"/>
    <hyperlink ref="F462" r:id="rId797" display="https://www.google.com/url?q=https://github.com/MohamedAhmed04/Competitive-programming/blob/master/USACO/17-February-Platinum-WhyDidTheCowCrossTheRoadIII.cpp&amp;sa=D&amp;ust=1605639799780000&amp;usg=AFQjCNG05UV-tWI9QKs5FBZY4GJae5IGNg" xr:uid="{EBF509D0-98AB-4FA6-9ECB-22E10A517079}"/>
    <hyperlink ref="B463" r:id="rId798" display="https://www.google.com/url?q=http://usaco.org/index.php?page%3Dviewproblem2%26cpid%3D696&amp;sa=D&amp;ust=1605639799781000&amp;usg=AFQjCNEUbt-4vW5WKOkPhZ7b84ksrhIDTw" xr:uid="{1FDC8D5F-0D55-4C4F-AC43-A1360B4BA9B7}"/>
    <hyperlink ref="B464" r:id="rId799" display="https://www.google.com/url?q=http://usaco.org/index.php?page%3Dviewproblem2%26cpid%3D91&amp;sa=D&amp;ust=1605639799781000&amp;usg=AFQjCNFThIdqbzntP4QxaPiEKsPLNlhveA" xr:uid="{EDB69BB3-7E82-4A51-9829-71C6B2C788B8}"/>
    <hyperlink ref="B465" r:id="rId800" display="https://www.google.com/url?q=https://dmoj.ca/problem/coci07c2p4&amp;sa=D&amp;ust=1605639799782000&amp;usg=AFQjCNEQCZ9hGrcqEx82HSrdfv7JwkL8fA" xr:uid="{4932A23B-2095-4D37-8FFC-89BA830BD879}"/>
    <hyperlink ref="F465" r:id="rId801" display="https://www.google.com/url?q=https://github.com/mostafa-saad/MyCompetitiveProgramming/tree/master/Olympiad/COCI/official/2008/contest2_solutions&amp;sa=D&amp;ust=1605639799782000&amp;usg=AFQjCNErEorD6JCnX_AeHI4VqbEaG8rGUw" xr:uid="{F480829F-D677-4A9E-BFB5-9A451E075D5B}"/>
    <hyperlink ref="B466" r:id="rId802" display="https://www.google.com/url?q=https://cses.fi/231/task/C&amp;sa=D&amp;ust=1605639799782000&amp;usg=AFQjCNF04eZRgODw_4yOcITE76hNQA0mlQ" xr:uid="{BDAEF4CC-E94E-491E-9E6F-5FDB4AE7C8E9}"/>
    <hyperlink ref="B467" r:id="rId803" display="https://www.google.com/url?q=https://oj.uz/problem/view/COCI17_krov&amp;sa=D&amp;ust=1605639799783000&amp;usg=AFQjCNEtfXPo_SZCzA9fd3_Ucauqe734Dg" xr:uid="{590332CF-B393-4DDB-813E-4CB8996FE01F}"/>
    <hyperlink ref="B468" r:id="rId804" display="https://www.google.com/url?q=https://wcipeg.com/problem/coci063p4&amp;sa=D&amp;ust=1605639799785000&amp;usg=AFQjCNFOfpgyC4vDvcYWP93CedGuZ__e2w" xr:uid="{1B97B6CE-B76E-4CD4-927F-5EA035834CB3}"/>
    <hyperlink ref="F468" r:id="rId805" display="https://www.google.com/url?q=https://github.com/mostafa-saad/MyCompetitiveProgramming/blob/master/Olympiad/CEOI/COCI-06-Tenkici&amp;sa=D&amp;ust=1605639799785000&amp;usg=AFQjCNE64ULIC0tK09gtKfMD56SKqV1FIA" xr:uid="{7722B97B-748F-481C-BC83-80BA675324FB}"/>
    <hyperlink ref="B469" r:id="rId806" display="https://www.google.com/url?q=https://oj.uz/problem/view/IZhO17_game&amp;sa=D&amp;ust=1605639799785000&amp;usg=AFQjCNHsWlZ4u5svJVTvKk2dsk1j6_xyig" xr:uid="{843F15B3-6509-4244-B7F3-1EF0981DF668}"/>
    <hyperlink ref="B470" r:id="rId807" display="https://www.google.com/url?q=http://usaco.org/index.php?page%3Dviewproblem2%26cpid%3D102&amp;sa=D&amp;ust=1605639799786000&amp;usg=AFQjCNEeiCYy3vI58C8YziiN1jXafwIK4g" xr:uid="{DB597A3C-CD10-44BE-B2C6-8DF0778D1264}"/>
    <hyperlink ref="B471" r:id="rId808" display="https://www.google.com/url?q=https://oj.uz/problem/view/IZhO19_sortbooks&amp;sa=D&amp;ust=1605639799786000&amp;usg=AFQjCNF0-FNi9AvQN3_QslrAw7l0zpraNA" xr:uid="{6C84A067-C657-4A5D-9A9D-69FBC287046C}"/>
    <hyperlink ref="B472" r:id="rId809" display="https://www.google.com/url?q=https://www.infoarena.ro/problema/nrsec&amp;sa=D&amp;ust=1605639799787000&amp;usg=AFQjCNFivVP2F5qvsvjaD21g9w9bZi9HEg" xr:uid="{3BAAAF07-5401-47BD-9135-33AD02ED26EF}"/>
    <hyperlink ref="F472" r:id="rId810" display="https://www.google.com/url?q=https://github.com/stefdasca/CompetitiveProgramming/blob/master/Infoarena/nrsec.cpp&amp;sa=D&amp;ust=1605639799787000&amp;usg=AFQjCNEFmMsKydyoiQFFeV0IqGl02OnNkg" xr:uid="{2D07E954-F38F-41DB-AA8A-72A339C2A9B6}"/>
    <hyperlink ref="B473" r:id="rId811" display="https://www.google.com/url?q=https://dmoj.ca/problem/ioi01p1&amp;sa=D&amp;ust=1605639799787000&amp;usg=AFQjCNGnDDGAQjbx475MsjOsjlX-Lx9ryA" xr:uid="{87EEC69F-59A5-4E28-AFB0-DF4A426FF1A9}"/>
    <hyperlink ref="F473" r:id="rId812" display="https://www.google.com/url?q=https://github.com/mostafa-saad/MyCompetitiveProgramming/blob/master/Olympiad/IOI/official/2001&amp;sa=D&amp;ust=1605639799789000&amp;usg=AFQjCNFyd9nxSB4EVWRdKMrx6-S_Q4DwHA" xr:uid="{59535E83-867C-4E42-9318-2C3C67E99954}"/>
    <hyperlink ref="B474" r:id="rId813" display="https://www.google.com/url?q=https://szkopul.edu.pl/problemset/problem/-MwFkVBU5fdldohfNl-xSjHa/site/&amp;sa=D&amp;ust=1605639799789000&amp;usg=AFQjCNHvbwTudUafOuKBKL6DftZwFsM1RQ" xr:uid="{94A7156D-DDF9-4669-8306-7F80EDCBA8F9}"/>
    <hyperlink ref="F474" r:id="rId814" display="https://www.google.com/url?q=https://github.com/mostafa-saad/MyCompetitiveProgramming/blob/master/Olympiad/POI/official/find_editorial_sols_guidelines.txt&amp;sa=D&amp;ust=1605639799790000&amp;usg=AFQjCNEiUEzF4Dr1zsp785wFiJjACeDIOw" xr:uid="{FA170CAC-8B42-4A42-9829-E15D0DC6D94C}"/>
    <hyperlink ref="B475" r:id="rId815" display="https://www.google.com/url?q=https://oj.uz/problem/view/COI17_trapezi&amp;sa=D&amp;ust=1605639799790000&amp;usg=AFQjCNHaQALOLdMVQI-EpnrVYxk8It5GWQ" xr:uid="{33F68277-C7C7-446A-8EFC-69D8732F47C9}"/>
    <hyperlink ref="F475" r:id="rId816" display="https://www.google.com/url?q=https://codeforces.com/blog/entry/51198&amp;sa=D&amp;ust=1605639799790000&amp;usg=AFQjCNHOz7z3mUcu77uIHy8VXnxtjNDYqA" xr:uid="{F0E1A98B-6CFE-4457-9660-A29C52A9B13D}"/>
    <hyperlink ref="B476" r:id="rId817" display="https://www.google.com/url?q=https://oj.uz/problem/view/APIO16_fireworks&amp;sa=D&amp;ust=1605639799791000&amp;usg=AFQjCNGSPrvyZgEYuuE_fbi2D9aCf-ldcw" xr:uid="{A4ABF8CE-9D7E-4E00-BFC2-B7008C992D99}"/>
    <hyperlink ref="F476" r:id="rId818" display="https://www.google.com/url?q=https://github.com/mostafa-saad/MyCompetitiveProgramming/blob/master/Olympiad/APIO/APIO-16-fireworks.txt&amp;sa=D&amp;ust=1605639799792000&amp;usg=AFQjCNGHQoBGPXKMLKMyGudoLiH68RIYJQ" xr:uid="{028D0C65-1B36-491D-96CA-34761B601307}"/>
    <hyperlink ref="B477" r:id="rId819" display="https://www.google.com/url?q=https://oj.uz/problem/view/BOI13_vim&amp;sa=D&amp;ust=1605639799792000&amp;usg=AFQjCNG0DoYq_WqQYkeWM3t73D-L_gO0Fg" xr:uid="{114E13B8-8953-438F-90F2-70E0F55E3CEA}"/>
    <hyperlink ref="F477" r:id="rId820" display="https://www.google.com/url?q=https://github.com/mostafa-saad/MyCompetitiveProgramming/blob/master/Olympiad/Baltic/Baltic-13-vim.txt&amp;sa=D&amp;ust=1605639799792000&amp;usg=AFQjCNGdOUlrV54EPJhOKDR0OcoiOth2yA" xr:uid="{30A072B7-CC35-40C9-869D-AAF407B2555D}"/>
    <hyperlink ref="B478" r:id="rId821" display="https://www.google.com/url?q=https://cses.fi/111/list/&amp;sa=D&amp;ust=1605639799793000&amp;usg=AFQjCNGW16OsiNAipS2uUFGAs8RGXp8Gdw" xr:uid="{A2E2ACD8-6B08-4428-AB9C-147FFF044426}"/>
    <hyperlink ref="F478" r:id="rId822" display="https://www.google.com/url?q=https://github.com/mostafa-saad/MyCompetitiveProgramming/blob/master/Olympiad/Baltic/official/boi2007_solutions&amp;sa=D&amp;ust=1605639799793000&amp;usg=AFQjCNHS5oKgb43hB_-oCR2gDvtCjhDNRw" xr:uid="{A30A279B-B25F-4F00-A906-056E5C4B14CC}"/>
    <hyperlink ref="B479" r:id="rId823" display="https://www.google.com/url?q=https://oj.uz/problem/view/JOI19_dishes&amp;sa=D&amp;ust=1605639799794000&amp;usg=AFQjCNEW4yrN8JznPDi6jTaYysLg-q9gKg" xr:uid="{8DA527A8-8DE2-4240-ADA4-52E170F5DF25}"/>
    <hyperlink ref="B480" r:id="rId824" display="https://www.google.com/url?q=https://szkopul.edu.pl/problemset/problem/kYVp05sX8lzHWNwn93xjcYwH/site/&amp;sa=D&amp;ust=1605639799794000&amp;usg=AFQjCNErh-RSMHpUOnOeKxzAfhoeFzd5ag" xr:uid="{60345B21-C997-4B28-B1EF-121480979319}"/>
    <hyperlink ref="F480" r:id="rId825" display="https://www.google.com/url?q=https://github.com/mostafa-saad/MyCompetitiveProgramming/blob/master/Olympiad/POI/official/find_editorial_sols_guidelines.txt&amp;sa=D&amp;ust=1605639799794000&amp;usg=AFQjCNFqR4pDhXiaBqN21TS41vGvg8RG8g" xr:uid="{21E40FCF-FA27-4C48-87BE-63534971AB39}"/>
    <hyperlink ref="B481" r:id="rId826" display="https://www.google.com/url?q=https://cses.fi/108/list/&amp;sa=D&amp;ust=1605639799795000&amp;usg=AFQjCNFARIhtxdtC3hVkumowa26ZaW6B9w" xr:uid="{3630113F-E977-4059-8B53-942CF9EF4CAE}"/>
    <hyperlink ref="F481" r:id="rId827" display="https://www.google.com/url?q=https://github.com/mostafa-saad/MyCompetitiveProgramming/blob/master/Olympiad/Baltic/Baltic-09-Monument.txt&amp;sa=D&amp;ust=1605639799795000&amp;usg=AFQjCNG7-5C99D3yK2ZHZCKe-8DsK5dipQ" xr:uid="{B783A665-617F-43A9-BF7F-8BDAE491A5B9}"/>
    <hyperlink ref="B482" r:id="rId828" display="https://www.google.com/url?q=https://wcipeg.com/problem/coi09p3&amp;sa=D&amp;ust=1605639799796000&amp;usg=AFQjCNGuipTIFwt7hief4V-Yn2kPx6WNgw" xr:uid="{B908791C-F257-436C-8CEB-C96197FCC861}"/>
    <hyperlink ref="F482" r:id="rId829" display="https://www.google.com/url?q=https://github.com/mostafa-saad/MyCompetitiveProgramming/blob/master/Olympiad/COI/COI-09-Loza.txt&amp;sa=D&amp;ust=1605639799796000&amp;usg=AFQjCNHs4F-MWWPCGZzmYPuVSYqpaY4kkg" xr:uid="{BBC5EF18-4A9E-43D5-B474-046CAE6353DD}"/>
    <hyperlink ref="B483" r:id="rId830" display="https://www.google.com/url?q=https://dmoj.ca/problem/coci08c1p6&amp;sa=D&amp;ust=1605639799796000&amp;usg=AFQjCNENmceA3ySbyD5XFxoqIHrnIZI6EA" xr:uid="{A5A15285-74CB-44FB-B968-56E5F63A7638}"/>
    <hyperlink ref="F483" r:id="rId831" display="https://www.google.com/url?q=https://github.com/mostafa-saad/MyCompetitiveProgramming/blob/master/Olympiad/COCI/COCI-08-Krtica.txt&amp;sa=D&amp;ust=1605639799797000&amp;usg=AFQjCNH3tl3SCJq5QkE9bYnQhE0o5ng2fQ" xr:uid="{76861532-6978-4820-AD62-2DDC7317171E}"/>
    <hyperlink ref="B484" r:id="rId832" display="https://www.google.com/url?q=https://oj.uz/problem/view/BOI19_necklace4&amp;sa=D&amp;ust=1605639799797000&amp;usg=AFQjCNHZHzzlo-qS__Q1ywmDj55DSJoCKg" xr:uid="{6F1EFEAC-C6B5-4B56-838F-BE664581AE01}"/>
    <hyperlink ref="F484" r:id="rId833" display="https://www.google.com/url?q=https://github.com/mostafa-saad/MyCompetitiveProgramming/tree/master/Olympiad/Baltic/official/boi2019_solutions&amp;sa=D&amp;ust=1605639799797000&amp;usg=AFQjCNEm8hYU0Ll6pRvi78Hu4ujM3UoPHQ" xr:uid="{715336A2-84AD-4CD1-9254-BCAE487923B4}"/>
    <hyperlink ref="B485" r:id="rId834" display="https://www.google.com/url?q=https://csacademy.com/contest/balkan-oi-2017-day-2/&amp;sa=D&amp;ust=1605639799798000&amp;usg=AFQjCNFE6WQz-KLMQeEu1FIu-XZpiRqVIw" xr:uid="{BBFE4665-31FA-4211-9BA8-13284CC4E19B}"/>
    <hyperlink ref="F485" r:id="rId835" display="https://www.google.com/url?q=https://github.com/mostafa-saad/MyCompetitiveProgramming/blob/master/Olympiad/Balkan/Balkan-17-Cats.txt&amp;sa=D&amp;ust=1605639799798000&amp;usg=AFQjCNEHrhareq09TiYgt4d_Zwi5r0aODw" xr:uid="{EC2B5694-855F-4592-BAD3-3DE81615A39F}"/>
    <hyperlink ref="B486" r:id="rId836" display="https://www.google.com/url?q=https://oj.uz/problem/view/IOI17_wiring&amp;sa=D&amp;ust=1605639799799000&amp;usg=AFQjCNF9GN0LCyLENJhvl73779B4I96SiQ" xr:uid="{F93F094E-7757-4D3F-A7C6-67D7D8B4D8F1}"/>
    <hyperlink ref="F486" r:id="rId837" display="https://www.google.com/url?q=https://github.com/mostafa-saad/MyCompetitiveProgramming/blob/master/Olympiad/IOI/IOI-17-wiring.txt&amp;sa=D&amp;ust=1605639799799000&amp;usg=AFQjCNF5QCMZ8iPl3vLIXd744jfLGPFFdA" xr:uid="{F467DC5B-14B0-4552-9C48-E39A328F2008}"/>
    <hyperlink ref="B487" r:id="rId838" display="https://www.google.com/url?q=https://csacademy.com/contest/junior-challenge-2017-day-1/task/chromatic-number/&amp;sa=D&amp;ust=1605639799799000&amp;usg=AFQjCNFTSGPNTFlhck0crSOv3T6ahjRhOg" xr:uid="{8F365DA9-9F45-4CAA-B806-D396E05DD408}"/>
    <hyperlink ref="B488" r:id="rId839" display="https://www.google.com/url?q=https://cses.fi/180/list/&amp;sa=D&amp;ust=1605639799800000&amp;usg=AFQjCNEyD0vvwU9fmvpVqBao4STwxstwXg" xr:uid="{D62A1AC5-09DB-4C37-B758-B4065670C2D2}"/>
    <hyperlink ref="F488" r:id="rId840" display="https://www.google.com/url?q=https://github.com/mostafa-saad/MyCompetitiveProgramming/blob/master/Olympiad/CEOI/CEOI-09-Sorting.txt&amp;sa=D&amp;ust=1605639799800000&amp;usg=AFQjCNFCWVV7OLxLaOzandiyeS3BQhi8vA" xr:uid="{1B460141-E323-438B-9770-18C76A12EBAA}"/>
    <hyperlink ref="B489" r:id="rId841" display="https://www.google.com/url?q=http://oj.uz/problem/view/LMIO19_bulves&amp;sa=D&amp;ust=1605639799800000&amp;usg=AFQjCNHDX_SjiaMkLQk4UQt2jpcD-rA9aQ" xr:uid="{96CFABB4-0B5B-4C44-BB68-D7251FFA37C3}"/>
    <hyperlink ref="F489" r:id="rId842" display="https://www.google.com/url?q=https://github.com/dolphingarlic/CompetitiveProgramming/blob/master/LMIO/LMIO%252019-bulves.cpp&amp;sa=D&amp;ust=1605639799801000&amp;usg=AFQjCNFEOCYjz95u85o4wokqFBr1zUwgDA" xr:uid="{57E86324-C91F-49F0-8F34-8CD831EDDC68}"/>
    <hyperlink ref="B490" r:id="rId843" display="https://www.google.com/url?q=https://oj.uz/problem/view/BOI18_homecoming&amp;sa=D&amp;ust=1605639799801000&amp;usg=AFQjCNF8ceUDcmGg2N6s8goIwX7ISOM5hQ" xr:uid="{866FDBCC-EF88-48AE-8EF4-3B3BAC5F6B36}"/>
    <hyperlink ref="B491" r:id="rId844" display="https://www.google.com/url?q=https://cses.fi/185/list/&amp;sa=D&amp;ust=1605639799802000&amp;usg=AFQjCNEskFpATqa0kbdkEl6HbmsAjrpqGQ" xr:uid="{7C89B2A5-A96F-4249-BFEB-177CD631D14F}"/>
    <hyperlink ref="F491" r:id="rId845" display="https://www.google.com/url?q=https://github.com/mostafa-saad/MyCompetitiveProgramming/blob/master/Olympiad/CEOI/CEOI-06-Walk.txt&amp;sa=D&amp;ust=1605639799810000&amp;usg=AFQjCNEjiOVmCB-CkLn7XKyGi_uJDDjMlw" xr:uid="{F60827B3-A293-413A-B7C8-3137ABCC6962}"/>
    <hyperlink ref="B492" r:id="rId846" display="https://www.google.com/url?q=https://www.infoarena.ro/problema/cladiri&amp;sa=D&amp;ust=1605639799811000&amp;usg=AFQjCNEaPYMqZUsjQLVTYHNOgrW74YN3Aw" xr:uid="{0DAA4A34-DA17-4CD5-8126-8A063ECA6F47}"/>
    <hyperlink ref="F492" r:id="rId847" display="https://www.google.com/url?q=https://github.com/stefdasca/CompetitiveProgramming/blob/master/Infoarena/cladiri.cpp&amp;sa=D&amp;ust=1605639799811000&amp;usg=AFQjCNG984Audjq9S7BdFFnYe-nxDRxc_g" xr:uid="{B9F3C686-C64B-4C7E-B599-ADCF72171CCF}"/>
    <hyperlink ref="B493" r:id="rId848" display="https://www.google.com/url?q=https://www.infoarena.ro/problema/zuma&amp;sa=D&amp;ust=1605639799811000&amp;usg=AFQjCNHvH-i2fiNewYL5LUTV2hXBwvwSbg" xr:uid="{535A450D-6503-459C-8D2A-E875AA4B2FB1}"/>
    <hyperlink ref="F493" r:id="rId849" display="https://www.google.com/url?q=https://github.com/stefdasca/CompetitiveProgramming/blob/master/Infoarena/zuma.cpp&amp;sa=D&amp;ust=1605639799812000&amp;usg=AFQjCNHNODoFBdqL_72j_hbZj7KsVw9siw" xr:uid="{33CA02E9-15EE-40FF-9A84-ABAB60F7DC86}"/>
    <hyperlink ref="B494" r:id="rId850" display="https://www.google.com/url?q=https://dunjudge.me/analysis/problems/543/&amp;sa=D&amp;ust=1605639799864000&amp;usg=AFQjCNE6f_HrnJAjYFkGjFQB4v9YszR92w" xr:uid="{7CDDFA0F-B9FC-4A88-AF52-A78BF578B257}"/>
    <hyperlink ref="F494" r:id="rId851" display="https://www.google.com/url?q=https://github.com/mostafa-saad/MyCompetitiveProgramming/blob/master/Olympiad/COI/COI-10-kamion.txt&amp;sa=D&amp;ust=1605639799865000&amp;usg=AFQjCNHGscp5AxTWxhf7ZQjbSAes_ynN-Q" xr:uid="{67DC996B-58D4-4C4E-9A13-A3662884BA04}"/>
    <hyperlink ref="B495" r:id="rId852" display="https://www.google.com/url?q=https://oj.uz/problem/view/BOI15_tug&amp;sa=D&amp;ust=1605639799869000&amp;usg=AFQjCNEj1DLUnsxDXEDXH9oEX3dWq8Q_TA" xr:uid="{26077461-C760-415A-9948-1091732BD379}"/>
    <hyperlink ref="F495" r:id="rId853" display="https://www.google.com/url?q=https://github.com/mostafa-saad/MyCompetitiveProgramming/blob/master/Olympiad/Baltic/Baltic-15-tug.txt&amp;sa=D&amp;ust=1605639799869000&amp;usg=AFQjCNHrZYh00BFGI0DuBTowD94-W_Jl0g" xr:uid="{0455CA5A-05B4-4282-B009-AEC982086233}"/>
    <hyperlink ref="B496" r:id="rId854" display="https://www.google.com/url?q=https://wcipeg.com/problem/coi08p1&amp;sa=D&amp;ust=1605639799870000&amp;usg=AFQjCNE-nl2wB_9rxRy2dqvV4cROm9BXLQ" xr:uid="{D515DA4F-F889-40C7-AA09-484A999323D6}"/>
    <hyperlink ref="F496" r:id="rId855" display="https://www.google.com/url?q=https://github.com/mostafa-saad/MyCompetitiveProgramming/blob/master/Olympiad/COI/COI-08-Izbori.txt&amp;sa=D&amp;ust=1605639799870000&amp;usg=AFQjCNHOmt70cnXLgjZdqTm6smqxcDasow" xr:uid="{7735D291-27FD-450F-9C14-74E4AC6CBCA3}"/>
    <hyperlink ref="B497" r:id="rId856" display="https://www.google.com/url?q=https://oj.uz/problem/view/IZhO19_segments&amp;sa=D&amp;ust=1605639799870000&amp;usg=AFQjCNHTkkz-z2MSdrlNR6A-khjI2t2gHQ" xr:uid="{48E6396D-A69F-4093-A10C-CBDBA8F23767}"/>
    <hyperlink ref="F497" r:id="rId857" display="https://www.google.com/url?q=https://github.com/stefdasca/CompetitiveProgramming/blob/master/IZhO/IZhO%252019-segments.cpp&amp;sa=D&amp;ust=1605639799871000&amp;usg=AFQjCNHNW92X3c0JcSH1fK7nLdRzy21hYg" xr:uid="{2D1D32B0-9895-47EB-9281-C6348CD260ED}"/>
    <hyperlink ref="B498" r:id="rId858" display="https://www.google.com/url?q=https://www.infoarena.ro/problema/fft2d&amp;sa=D&amp;ust=1605639799871000&amp;usg=AFQjCNFgk_UkIjbtkweuyh-4ucVXZ7qzQA" xr:uid="{A624067C-D121-4EF3-AA77-538D2F745AD3}"/>
    <hyperlink ref="F498" r:id="rId859" display="https://www.google.com/url?q=https://github.com/mostafa-saad/MyCompetitiveProgramming/blob/master/Olympiad/infoarena/infoarena_fft2d.txt&amp;sa=D&amp;ust=1605639799871000&amp;usg=AFQjCNEHHLHZSSgUsCw75-Qy0BgLvUDcpA" xr:uid="{1AFC3398-773B-45F9-8965-35669C8003AB}"/>
    <hyperlink ref="B499" r:id="rId860" display="https://www.google.com/url?q=https://www.infoarena.ro/problema/turnuri&amp;sa=D&amp;ust=1605639799872000&amp;usg=AFQjCNElgIAvPjDiH7Z2amMD44FdwQrCyQ" xr:uid="{C9C6F88D-00C5-4B0F-874F-C3B1627A38F2}"/>
    <hyperlink ref="F499" r:id="rId861" display="https://www.google.com/url?q=https://github.com/mostafa-saad/MyCompetitiveProgramming/blob/master/Olympiad/infoarena/infoarena_turnuri.txt&amp;sa=D&amp;ust=1605639799872000&amp;usg=AFQjCNEoxzoGmk6NEnMkmo4ZDRnNqNdX9Q" xr:uid="{AF79D27A-BA09-4257-BFE1-6A5FBE65CE04}"/>
    <hyperlink ref="B500" r:id="rId862" display="https://www.google.com/url?q=https://oj.uz/problem/view/JOI17_abduction2&amp;sa=D&amp;ust=1605639799872000&amp;usg=AFQjCNHbi7gj7WofQd2uVq0_lTqeH-RJxQ" xr:uid="{7307245C-28F0-4447-8B81-71749496ECB7}"/>
    <hyperlink ref="F500" r:id="rId863" display="https://www.google.com/url?q=https://github.com/mostafa-saad/MyCompetitiveProgramming/blob/master/Olympiad/JOI/JOISC-17-abduction2.txt&amp;sa=D&amp;ust=1605639799873000&amp;usg=AFQjCNEHu72N7rJKmsAlxLfKjC4HdprQeQ" xr:uid="{E6535968-8F28-4CBD-9389-91D90FB05FF2}"/>
    <hyperlink ref="B501" r:id="rId864" display="https://www.google.com/url?q=https://www.infoarena.ro/problema/matcnt&amp;sa=D&amp;ust=1605639799873000&amp;usg=AFQjCNHckaDTwp6g2aRjqzue5SplWBaWMA" xr:uid="{3344DDDB-E027-44C0-9BB7-FBEACA8C4440}"/>
    <hyperlink ref="F501" r:id="rId865" display="https://www.google.com/url?q=https://github.com/mostafa-saad/MyCompetitiveProgramming/blob/master/Olympiad/infoarena/infoarena_matcnt.txt&amp;sa=D&amp;ust=1605639799873000&amp;usg=AFQjCNH0RY9CL8TJ5Niw352xq2p0e1s0ig" xr:uid="{16C89C91-6676-4348-A7A3-9CCB649E3007}"/>
    <hyperlink ref="B502" r:id="rId866" display="https://www.google.com/url?q=https://oj.uz/problems/source/313&amp;sa=D&amp;ust=1605639799874000&amp;usg=AFQjCNFHZ1JeWPUGfAKW4hWKRld44qO5CQ" xr:uid="{F73E88E2-A0DA-4C14-AF85-1B56FAD56898}"/>
    <hyperlink ref="F502" r:id="rId867" display="https://www.google.com/url?q=https://codeforces.com/blog/entry/58433&amp;sa=D&amp;ust=1605639799874000&amp;usg=AFQjCNGUlP25gObEgzuSlQAlODSBnprAVg" xr:uid="{19AF2E63-9FA2-48AD-A8C5-E040F557DFEB}"/>
    <hyperlink ref="B503" r:id="rId868" display="https://www.google.com/url?q=https://szkopul.edu.pl/problemset/problem/5UgslCU-C5vsermqgJGm_C5A/site/&amp;sa=D&amp;ust=1605639799874000&amp;usg=AFQjCNGWRhbacutsw2ZVJuATTJBzljFPbw" xr:uid="{BC3BAD03-6054-4C97-9E2B-7FAA80BAEFEA}"/>
    <hyperlink ref="F503" r:id="rId869" display="https://www.google.com/url?q=https://github.com/mostafa-saad/MyCompetitiveProgramming/blob/master/Olympiad/POI/POI-07-Quaternary.txt&amp;sa=D&amp;ust=1605639799875000&amp;usg=AFQjCNEBEffS0M9z8klEkuqc5iVCNrD3rQ" xr:uid="{DE33A695-D92F-438E-9D42-899CDC418F6D}"/>
    <hyperlink ref="B504" r:id="rId870" display="https://www.google.com/url?q=https://dmoj.ca/problem/cco12p6&amp;sa=D&amp;ust=1605639799875000&amp;usg=AFQjCNFWQFgyJL0XSHo7_wtcdTKTnHDz7g" xr:uid="{6642BB2D-16B8-4063-9FC9-4C46D9661261}"/>
    <hyperlink ref="B505" r:id="rId871" display="https://www.google.com/url?q=https://oj.uz/problem/view/JOI18_security_gate&amp;sa=D&amp;ust=1605639799875000&amp;usg=AFQjCNGIOk1EIwdxdeYVoREkI3y6zoVn3Q" xr:uid="{496BB67F-4E23-48F1-8600-33CBAB57F2B2}"/>
    <hyperlink ref="B506" r:id="rId872" display="https://www.google.com/url?q=https://codeforces.com/contest/1193&amp;sa=D&amp;ust=1605639799876000&amp;usg=AFQjCNGf1QNgjHV5q7XoaRMdbrXj0HJ17w" xr:uid="{B0C586F7-E640-46D2-B52F-A57BE5F8BBE9}"/>
    <hyperlink ref="F506" r:id="rId873" display="https://www.google.com/url?q=https://github.com/mostafa-saad/MyCompetitiveProgramming/blob/master/Olympiad/CEOI/CEOI-19-MagicTree.txt&amp;sa=D&amp;ust=1605639799876000&amp;usg=AFQjCNGAltRU9XkN8E5zH0xi-ibpb7qTpA" xr:uid="{11DD2058-0287-4493-BB10-86238DEE8363}"/>
    <hyperlink ref="B507" r:id="rId874" display="https://www.google.com/url?q=https://szkopul.edu.pl/problemset/problem/RLQLNV4gL3Y22K9B2GgEMQIj/site/&amp;sa=D&amp;ust=1605639799877000&amp;usg=AFQjCNFrCfnqZtlmdWCv57sUHh07tvljGw" xr:uid="{57159912-44A5-40FF-A079-DA5CFB7F8ACA}"/>
    <hyperlink ref="F507" r:id="rId875" display="https://www.google.com/url?q=https://github.com/mostafa-saad/MyCompetitiveProgramming/blob/master/Olympiad/POI/POI-06-Aesthetics.txt&amp;sa=D&amp;ust=1605639799877000&amp;usg=AFQjCNE1jOh1Dphs81QjEXWAKgUUU0vUSQ" xr:uid="{D1AF7E65-62EF-4385-AB48-7C2FA9C5B787}"/>
    <hyperlink ref="B508" r:id="rId876" display="https://www.google.com/url?q=https://csacademy.com/contest/ioi-2016-training-round-4/task/k-consecutive/&amp;sa=D&amp;ust=1605639799878000&amp;usg=AFQjCNFzN234bdnQKhLwV_-78juHmsXhoQ" xr:uid="{3AA18949-B1C7-488D-9A4A-F2A10BC5B20C}"/>
    <hyperlink ref="F508" r:id="rId877" display="https://www.google.com/url?q=https://github.com/mostafa-saad/MyCompetitiveProgramming/blob/master/Olympiad/IOI/IOIPractice-16-k-consecutive.txt&amp;sa=D&amp;ust=1605639799880000&amp;usg=AFQjCNGMmZZf3tVPkPtxajepTuSK7YaGtQ" xr:uid="{CC13E989-59CF-4FE2-9208-2BF0EF3D4F43}"/>
    <hyperlink ref="B509" r:id="rId878" display="https://www.google.com/url?q=https://infoarena.ro/problema/xreverse&amp;sa=D&amp;ust=1605639799880000&amp;usg=AFQjCNEWGylAra5l6j1CpZ5Ei3ANf7P1Qg" xr:uid="{D5C7006B-DFE5-458F-A6AE-342F19283A8F}"/>
    <hyperlink ref="F509" r:id="rId879" display="https://www.google.com/url?q=https://github.com/mostafa-saad/MyCompetitiveProgramming/blob/master/Olympiad/infoarena/infoarena_xreverse.txt&amp;sa=D&amp;ust=1605639799880000&amp;usg=AFQjCNHCyBVWSXwYnXPee5qpQyrQV6X_bA" xr:uid="{8DAA509E-E8C1-4EDF-892A-669AA7138281}"/>
    <hyperlink ref="B510" r:id="rId880" display="https://www.google.com/url?q=https://szkopul.edu.pl/problemset/problem/lGqKS9urITMjTXhpdaHqyoEL/site/&amp;sa=D&amp;ust=1605639799881000&amp;usg=AFQjCNFe_HqmOtdCe6GC_jW3ipe1Rx_bQw" xr:uid="{8C10915F-B658-4A10-BDEE-72B7751E527E}"/>
    <hyperlink ref="F510" r:id="rId881" display="https://www.google.com/url?q=https://github.com/mostafa-saad/MyCompetitiveProgramming/blob/master/Olympiad/POI/POI-04-Maximal.txt&amp;sa=D&amp;ust=1605639799881000&amp;usg=AFQjCNHLGAgH8G32Sl62LDMsGAhfP32wjQ" xr:uid="{17D845EE-ABD7-49DA-81A3-430BE038620F}"/>
    <hyperlink ref="B511" r:id="rId882" display="https://www.google.com/url?q=https://cses.fi/106/list/&amp;sa=D&amp;ust=1605639799882000&amp;usg=AFQjCNF8wPe4lWkcNv-1aTePibRN1QOIzw" xr:uid="{2DB5DC30-F64A-4908-A607-F9E67E0D9160}"/>
    <hyperlink ref="F511" r:id="rId883" display="https://www.google.com/url?q=https://github.com/mostafa-saad/MyCompetitiveProgramming/blob/master/Olympiad/Baltic/Baltic-10-Candies.txt&amp;sa=D&amp;ust=1605639799882000&amp;usg=AFQjCNGxI_xNHAQ8Nh9TVHh8PbYLJL7S_g" xr:uid="{9A0A4A19-FAF4-43DD-849A-0098D4B930B1}"/>
    <hyperlink ref="B512" r:id="rId884" display="https://www.google.com/url?q=https://oj.uz/problem/view/BOI16_swap&amp;sa=D&amp;ust=1605639799883000&amp;usg=AFQjCNGvL6g6CA924j7d7gxow-E4MsD9jA" xr:uid="{331961D1-D49E-4D82-A40F-20A9EDF4F7D2}"/>
    <hyperlink ref="F512" r:id="rId885" display="https://www.google.com/url?q=https://github.com/mostafa-saad/MyCompetitiveProgramming/blob/master/Olympiad/Baltic/Baltic-16-swap.txt&amp;sa=D&amp;ust=1605639799883000&amp;usg=AFQjCNFYcDnq4DHVPTQ2TkdlQkDOc7ImHQ" xr:uid="{8C27BA35-E7FD-485D-8C37-80CE2D8628B9}"/>
    <hyperlink ref="B513" r:id="rId886" display="https://www.google.com/url?q=https://cses.fi/179/list/&amp;sa=D&amp;ust=1605639799884000&amp;usg=AFQjCNEZu0YnexH2UKVkJ9Rv5EyJV_r8tA" xr:uid="{3F48144D-DFCB-4884-BBA3-69ACA8767119}"/>
    <hyperlink ref="F513" r:id="rId887" display="https://www.google.com/url?q=https://github.com/mostafa-saad/MyCompetitiveProgramming/blob/master/Olympiad/CEOI/CEOI-09-Photo.txt&amp;sa=D&amp;ust=1605639799886000&amp;usg=AFQjCNGja4btYvRWctqYS8r2wy4ize-enQ" xr:uid="{1D1662A9-3BCE-416A-B646-EC74652C4B1B}"/>
    <hyperlink ref="B514" r:id="rId888" display="https://www.google.com/url?q=https://dmoj.ca/problem/coci08c6p5&amp;sa=D&amp;ust=1605639799887000&amp;usg=AFQjCNHNXSGztTijKzqwWDdMfKjnD-XbGA" xr:uid="{EF9932B5-5324-4885-80E8-C416D14F8F8B}"/>
    <hyperlink ref="F514" r:id="rId889" display="https://www.google.com/url?q=https://github.com/mostafa-saad/MyCompetitiveProgramming/blob/master/Olympiad/COCI/COCI-08-Dostava.txt&amp;sa=D&amp;ust=1605639799887000&amp;usg=AFQjCNH-BvlMBDUqLUqmBE_mDetNicyTEA" xr:uid="{FF5B5608-20E5-4D41-A4BD-F37BDBC3E8E2}"/>
    <hyperlink ref="B515" r:id="rId890" display="https://www.google.com/url?q=https://szkopul.edu.pl/problemset/problem/Mk-9GNDtSal6h_8T4n9Ezq9M/site/&amp;sa=D&amp;ust=1605639799887000&amp;usg=AFQjCNG--RQ_gBqxxOk9nsViWWBKq9GqKw" xr:uid="{B8B63D89-B4D6-4458-8EB0-707334BEFA03}"/>
    <hyperlink ref="F515" r:id="rId891" display="https://www.google.com/url?q=https://github.com/mostafa-saad/MyCompetitiveProgramming/blob/master/Olympiad/POI/POI-16-Messenger.txt&amp;sa=D&amp;ust=1605639799888000&amp;usg=AFQjCNHr75Y__jmL958eDxc4Wuae38bRtg" xr:uid="{E241C0EF-C8E8-44AD-9F5F-1DFB1667BADF}"/>
    <hyperlink ref="B516" r:id="rId892" display="https://www.google.com/url?q=https://szkopul.edu.pl/problemset/problem/3bBT-3VuSu78UsxTQSwaJzVo/site/&amp;sa=D&amp;ust=1605639799888000&amp;usg=AFQjCNHX910kh1tNNnrUKW38jN4ivb1Rhg" xr:uid="{5CCD5CC0-FD88-4024-8063-C1092D35AF7B}"/>
    <hyperlink ref="F516" r:id="rId893" display="https://www.google.com/url?q=https://github.com/mostafa-saad/MyCompetitiveProgramming/blob/master/Olympiad/POI/POI-13-Polarization.txt&amp;sa=D&amp;ust=1605639799888000&amp;usg=AFQjCNEV_xaR3G8Ciph3G8yHBpQhY9q-QA" xr:uid="{C5D04D4B-D4BE-4B46-A764-7D6D3C5D91CC}"/>
    <hyperlink ref="B517" r:id="rId894" display="https://www.google.com/url?q=http://usaco.org/index.php?page%3Dviewproblem2%26cpid%3D972%23&amp;sa=D&amp;ust=1605639799889000&amp;usg=AFQjCNHfbN5p6j62DLJsIDLtLtGeJrqmLQ" xr:uid="{793E557A-5990-4EE8-A529-07CCAF123F48}"/>
    <hyperlink ref="B518" r:id="rId895" display="https://www.google.com/url?q=https://cses.fi/98/list/&amp;sa=D&amp;ust=1605639799889000&amp;usg=AFQjCNHKyC9QF06cxavbLAN7-btAYd9S3A" xr:uid="{DD2B3964-F0E1-4532-B1E0-B515A10DC50C}"/>
    <hyperlink ref="F518" r:id="rId896" display="https://www.google.com/url?q=https://github.com/mostafa-saad/MyCompetitiveProgramming/blob/master/Olympiad/Baltic/Baltic-12-Brackets.txt&amp;sa=D&amp;ust=1605639799890000&amp;usg=AFQjCNH4_WyHQnMII63SyS9mNFtupHSsCw" xr:uid="{A4F9E247-C692-482A-B7BE-0A9479155736}"/>
    <hyperlink ref="B519" r:id="rId897" display="https://www.google.com/url?q=http://usaco.org/index.php?page%3Dviewproblem2%26cpid%3D902&amp;sa=D&amp;ust=1605639799890000&amp;usg=AFQjCNFF4YOGMcDyAGXnq2l47zHZOiMDAA" xr:uid="{E3431E1D-C724-4C15-B7F2-035513652AA3}"/>
    <hyperlink ref="B520" r:id="rId898" display="https://www.google.com/url?q=https://www.infoarena.ro/problema/culmi&amp;sa=D&amp;ust=1605639799890000&amp;usg=AFQjCNE5kjETLMT8qDkTE4FStxB_FPjUcA" xr:uid="{ED0D2966-81D6-46E7-B018-0617E6E6AA2C}"/>
    <hyperlink ref="F520" r:id="rId899" display="https://www.google.com/url?q=https://github.com/stefdasca/CompetitiveProgramming/blob/master/Infoarena/culmi.cpp&amp;sa=D&amp;ust=1605639799891000&amp;usg=AFQjCNGO2SBIsrahkdfhxriIQkFCINYsnw" xr:uid="{5E36F75F-C37B-48B7-B181-7BCABF23892D}"/>
    <hyperlink ref="B521" r:id="rId900" display="https://www.google.com/url?q=https://oj.uz/problem/view/BOI18_parentrises&amp;sa=D&amp;ust=1605639799891000&amp;usg=AFQjCNFg4KqtM8PNn9kYYO_hm1Y_7gPFXg" xr:uid="{F2CA80AF-815B-4BB0-B688-85607BEDB762}"/>
    <hyperlink ref="F521" r:id="rId901" display="https://www.google.com/url?q=https://github.com/mostafa-saad/MyCompetitiveProgramming/blob/master/Olympiad/Balkan/official/2018/&amp;sa=D&amp;ust=1605639799891000&amp;usg=AFQjCNF10u-RLD0VXYY54H3EFkgs9Q5Nzg" xr:uid="{ABCEB67C-7630-4AC2-A21C-A117F3F19B9E}"/>
    <hyperlink ref="B522" r:id="rId902" display="https://www.google.com/url?q=https://oj.uz/problems/source/197&amp;sa=D&amp;ust=1605639799892000&amp;usg=AFQjCNGiL1gxWqEg3-Kug88qZtijLTxMnQ" xr:uid="{832DF2D9-1229-4AEA-BAFB-576754C32212}"/>
    <hyperlink ref="F522" r:id="rId903" display="https://www.google.com/url?q=https://github.com/mostafa-saad/MyCompetitiveProgramming/blob/master/Olympiad/CEOI/CEOI-16-popeala.txt&amp;sa=D&amp;ust=1605639799892000&amp;usg=AFQjCNFsEd2PKLuEu8wds0lAARF5NFviCA" xr:uid="{9231DB5B-65E2-4ECF-A18D-3310AA19D7E0}"/>
    <hyperlink ref="B523" r:id="rId904" display="https://www.google.com/url?q=https://www.infoarena.ro/problema/ksecv&amp;sa=D&amp;ust=1605639799893000&amp;usg=AFQjCNFL82c88EMbrST_LF8I6fU8ybf1rw" xr:uid="{58EC91F3-76C8-4A9B-8A3F-C2FB37BFD45E}"/>
    <hyperlink ref="F523" r:id="rId905" display="https://www.google.com/url?q=https://github.com/stefdasca/CompetitiveProgramming/blob/master/Infoarena/ksecv.cpp&amp;sa=D&amp;ust=1605639799893000&amp;usg=AFQjCNE-JQRPSpvm11WzR6y8x7IIgGivCA" xr:uid="{E49BCD2C-5DBD-43F2-AF21-EC560196E7C6}"/>
    <hyperlink ref="B524" r:id="rId906" display="https://www.google.com/url?q=https://dunjudge.me/analysis/problems/28/&amp;sa=D&amp;ust=1605639799893000&amp;usg=AFQjCNHdZgzLUPiYFum4aZvpL-e16H5CGw" xr:uid="{2DFD9D1A-03C9-4082-AD4F-8FA94810372E}"/>
    <hyperlink ref="F524" r:id="rId907" display="https://www.google.com/url?q=https://github.com/mostafa-saad/MyCompetitiveProgramming/blob/master/Olympiad/NOI/NOI-11-tour.txt&amp;sa=D&amp;ust=1605639799893000&amp;usg=AFQjCNHTXxHatFAbyCzlEjNTLWFzk6R5lA" xr:uid="{2F048D20-9751-416E-83CF-E53A8979E02D}"/>
    <hyperlink ref="B525" r:id="rId908" display="https://www.google.com/url?q=https://oj.uz/problem/view/COCI18_vrtic&amp;sa=D&amp;ust=1605639799894000&amp;usg=AFQjCNHqosEiME5D2V9qwvkjkyj7xm0B5w" xr:uid="{61EC0AD5-6E12-4734-AF59-0D475240BD16}"/>
    <hyperlink ref="B526" r:id="rId909" display="https://www.google.com/url?q=https://www.infoarena.ro/problema/aiacubiti&amp;sa=D&amp;ust=1605639799895000&amp;usg=AFQjCNHoINoLugdJMVMmHcV3A2wtMc3X4Q" xr:uid="{0E630DED-1C01-4DC9-A05B-D596284AFA96}"/>
    <hyperlink ref="F526" r:id="rId910" display="https://www.google.com/url?q=https://github.com/mostafa-saad/MyCompetitiveProgramming/blob/master/Olympiad/infoarena/infoarena-aiacubiti.txt&amp;sa=D&amp;ust=1605639799896000&amp;usg=AFQjCNF1s3Mo5wc0KJLaVPUAN7vFM09ksg" xr:uid="{FA57CAB1-81D2-4FF7-BD3A-DED35529EAD3}"/>
    <hyperlink ref="B527" r:id="rId911" display="https://www.google.com/url?q=https://www.infoarena.ro/problema/desc&amp;sa=D&amp;ust=1605639799896000&amp;usg=AFQjCNE6eNrPhup_GHuft7RlvngtpSBGDg" xr:uid="{4FFF02A3-3D3C-4203-A1EA-F16776113A39}"/>
    <hyperlink ref="F527" r:id="rId912" display="https://www.google.com/url?q=https://github.com/mostafa-saad/MyCompetitiveProgramming/blob/master/Olympiad/infoarena/Infoarena_Desc.txt&amp;sa=D&amp;ust=1605639799896000&amp;usg=AFQjCNGaPElnD85drCzD5o2iTLOCYVrZKA" xr:uid="{60FFE93B-9151-47CB-B7F6-0BAA9286E1EF}"/>
    <hyperlink ref="B528" r:id="rId913" display="https://www.google.com/url?q=https://oj.uz/problems/source/307&amp;sa=D&amp;ust=1605639799897000&amp;usg=AFQjCNEVzedZTR4fYPLHnjxvkx7ao9TNPA" xr:uid="{2D186C90-9D3A-49B2-BB9B-6C41E4478A75}"/>
    <hyperlink ref="F528" r:id="rId914" display="https://www.google.com/url?q=https://github.com/mostafa-saad/MyCompetitiveProgramming/blob/master/Olympiad/JOI/JOI-18-Dangomaker.txt&amp;sa=D&amp;ust=1605639799897000&amp;usg=AFQjCNHktOLyKI5LvNG5Td2d9Wu5ObRhbg" xr:uid="{A64D7ADC-CCA5-465A-BAB4-19ED7ED2B815}"/>
    <hyperlink ref="B529" r:id="rId915" display="https://www.google.com/url?q=https://dmoj.ca/problem/coci07c6p6&amp;sa=D&amp;ust=1605639799897000&amp;usg=AFQjCNH89bP1pVYI68SIIYR2nBmzBD9qoQ" xr:uid="{E8B03665-1144-4AAF-B3FE-3B387F6F5BD6}"/>
    <hyperlink ref="F529" r:id="rId916" display="https://www.google.com/url?q=https://github.com/mostafa-saad/MyCompetitiveProgramming/blob/master/Olympiad/COCI/COCI-07-Cestarine.txt&amp;sa=D&amp;ust=1605639799898000&amp;usg=AFQjCNE2sdAnoS4cO_-CGxin3xUr_PzZgQ" xr:uid="{0A4590B7-3315-4F38-921D-F5486F860954}"/>
    <hyperlink ref="B530" r:id="rId917" display="https://www.google.com/url?q=https://szkopul.edu.pl/problemset/problem/klvaggzD-q4Acz_WLtkn0JXJ/site/&amp;sa=D&amp;ust=1605639799898000&amp;usg=AFQjCNFcey8FBzyx2owYUZMWu8YVurP4pQ" xr:uid="{86F40AB9-9436-4C00-A7C0-19417E7C6CE1}"/>
    <hyperlink ref="F530" r:id="rId918" display="https://www.google.com/url?q=https://github.com/mostafa-saad/MyCompetitiveProgramming/blob/master/Olympiad/POI/POI-05-Banknote.txt&amp;sa=D&amp;ust=1605639799899000&amp;usg=AFQjCNFXVhPEykU3VO2Js6lbaSaZQhbZkw" xr:uid="{1132C666-B232-49E7-B3E1-9B19C1D116B0}"/>
    <hyperlink ref="B531" r:id="rId919" display="https://www.google.com/url?q=https://oj.uz/problem/view/IZhO14_blocks&amp;sa=D&amp;ust=1605639799899000&amp;usg=AFQjCNH48WwuUwt3lQQLCzefuNgTi0Hshg" xr:uid="{A29CF160-2A16-48EA-AA6E-F318FFCDF4EF}"/>
    <hyperlink ref="F531" r:id="rId920" display="https://www.google.com/url?q=https://github.com/mostafa-saad/MyCompetitiveProgramming/blob/master/Olympiad/IZhO/IZhO-14-blocks.txt&amp;sa=D&amp;ust=1605639799899000&amp;usg=AFQjCNHo4B_l_moY81JjCRanQ_iM_Vs0VQ" xr:uid="{35706AA9-CC8D-4DBD-AE15-B6F1CFDD82B6}"/>
    <hyperlink ref="B532" r:id="rId921" display="https://www.google.com/url?q=https://www.acmicpc.net/problem/7081&amp;sa=D&amp;ust=1605639799900000&amp;usg=AFQjCNEpvvKc2bBQVPJo1CEiW8Q3BS5P1w" xr:uid="{DC995A41-159D-4B2C-8CAB-FDC99B102EE2}"/>
    <hyperlink ref="F532" r:id="rId922" display="https://www.google.com/url?q=https://github.com/mostafa-saad/MyCompetitiveProgramming/blob/master/Olympiad/Balkan/Balkan-09-Reading.txt&amp;sa=D&amp;ust=1605639799900000&amp;usg=AFQjCNHu5qO8vnbWZZSeu9VgI8KK6W5-5w" xr:uid="{530FB754-97ED-40C0-ABB7-2F95481CF904}"/>
    <hyperlink ref="B533" r:id="rId923" display="https://www.google.com/url?q=https://training.olinfo.it/contests/oii2018/tasks/cena/description&amp;sa=D&amp;ust=1605639799900000&amp;usg=AFQjCNFD09JKipM0aEcsmFQ6gF-9OrUd3g" xr:uid="{6811D2BC-483A-4AE8-A3AD-70C25541174E}"/>
    <hyperlink ref="F533" r:id="rId924" display="https://www.google.com/url?q=https://github.com/mostafa-saad/MyCompetitiveProgramming/blob/master/Olympiad/OII/OII-18-cena.txt&amp;sa=D&amp;ust=1605639799901000&amp;usg=AFQjCNG73r6oMliUI_J9TcOzze1N9OoQwQ" xr:uid="{AA283197-9F82-492A-9B4F-F9B9A5A7B1D6}"/>
    <hyperlink ref="B534" r:id="rId925" display="https://www.google.com/url?q=https://cses.fi/99/list/&amp;sa=D&amp;ust=1605639799901000&amp;usg=AFQjCNEN2vRRQ9eIgvsuFqn9OL_tTLASGQ" xr:uid="{0EB7719A-B35C-4363-A8D5-A9408888746E}"/>
    <hyperlink ref="F534" r:id="rId926" display="https://www.google.com/url?q=https://github.com/mostafa-saad/MyCompetitiveProgramming/blob/master/Olympiad/Baltic/Baltic-12-Melody.txt&amp;sa=D&amp;ust=1605639799901000&amp;usg=AFQjCNEZBZWxMISZ69AQKZMAfQV09thxpg" xr:uid="{3995CBBD-90F3-49A1-A755-A14212E587BF}"/>
    <hyperlink ref="B535" r:id="rId927" display="https://www.google.com/url?q=https://oj.uz/problem/view/BOI13_brunhilda&amp;sa=D&amp;ust=1605639799902000&amp;usg=AFQjCNH_dxYoOLXFVWZ4IMQlas46AgS31w" xr:uid="{89A882D5-D6F5-47F1-8706-23590E30E992}"/>
    <hyperlink ref="F535" r:id="rId928" display="https://www.google.com/url?q=https://github.com/mostafa-saad/MyCompetitiveProgramming/blob/master/Olympiad/Baltic/Baltic-13-brunhilda.txt&amp;sa=D&amp;ust=1605639799902000&amp;usg=AFQjCNFk1C4GlDTHTdiiKjFNrXf9mUIcQA" xr:uid="{B075A0BC-610D-4830-AA50-94D6BEBB2B1F}"/>
    <hyperlink ref="B536" r:id="rId929" display="https://www.google.com/url?q=http://usaco.org/index.php?page%3Dviewproblem2%26cpid%3D792&amp;sa=D&amp;ust=1605639799903000&amp;usg=AFQjCNEF0U9rWT_UUhs2TSP7BTolP-MzBw" xr:uid="{D588B369-8F17-454A-830B-5F5A7134E4EB}"/>
    <hyperlink ref="F536" r:id="rId930" display="https://www.google.com/url?q=https://github.com/thecodingwizard/competitive-programming/blob/master/USACO/2018jan/plat/lifeguards%2520(legit%2520solution).cpp&amp;sa=D&amp;ust=1605639799903000&amp;usg=AFQjCNE1qZsUwci50BuAvC8Is1Pnsx_xtA" xr:uid="{6A6E64AD-54BE-4D4D-B9B6-8A49AD84CB98}"/>
    <hyperlink ref="B537" r:id="rId931" display="https://www.google.com/url?q=https://codeforces.com/contest/1192/problem/C&amp;sa=D&amp;ust=1605639799903000&amp;usg=AFQjCNGRjrt3z5kslMQYY-xAdH9M01fZsQ" xr:uid="{020934E9-D70D-401A-B5E8-4DE80D6404B5}"/>
    <hyperlink ref="F537" r:id="rId932" display="https://www.google.com/url?q=https://codeforces.com/blog/entry/68676&amp;sa=D&amp;ust=1605639799903000&amp;usg=AFQjCNFVb2QSsSZ_bTm3dyoO770G1djAjw" xr:uid="{2FDF5B3E-EEFA-49C6-8ACD-8C6A3E9961F3}"/>
    <hyperlink ref="B538" r:id="rId933" display="https://www.google.com/url?q=https://www.infoarena.ro/problema/sormin&amp;sa=D&amp;ust=1605639799904000&amp;usg=AFQjCNG6qSN7yoQV_YrtRtNwrNQLT2_3FA" xr:uid="{EBA828F5-570E-43ED-871F-C7C25AC538B4}"/>
    <hyperlink ref="F538" r:id="rId934" display="https://www.google.com/url?q=https://github.com/mostafa-saad/MyCompetitiveProgramming/blob/master/Olympiad/infoarena/infoarena_sormin.txt&amp;sa=D&amp;ust=1605639799904000&amp;usg=AFQjCNHGAmEc8K-bnqGoA8QUhfcN27Qx7w" xr:uid="{BE6B9649-FDAD-4991-BBD0-8C3B49F7C388}"/>
    <hyperlink ref="B539" r:id="rId935" display="https://www.google.com/url?q=https://szkopul.edu.pl/problemset/problem/YjtAwdQrSiGcE_RLiEJpGiYE/site/&amp;sa=D&amp;ust=1605639799904000&amp;usg=AFQjCNFfYPrHhXrtjdiidgakgQihw5br6A" xr:uid="{EDB78AF0-4EB1-4128-A179-BD5EACF4C0CC}"/>
    <hyperlink ref="F539" r:id="rId936" display="https://www.google.com/url?q=https://github.com/mostafa-saad/MyCompetitiveProgramming/blob/master/Olympiad/POI/POI-10-Sheep.txt&amp;sa=D&amp;ust=1605639799905000&amp;usg=AFQjCNFvYMOv-UVqSRENBq3y2SrhMqEmjg" xr:uid="{1E493D4C-0F4E-4D50-9815-DECD20EA5AC3}"/>
    <hyperlink ref="B540" r:id="rId937" display="https://www.google.com/url?q=https://csacademy.com/contest/ioi-2016-training-round-1/task/polygon_partition&amp;sa=D&amp;ust=1605639799905000&amp;usg=AFQjCNF3n3ZCdEz6F4eDLuW8vktr6gYvMw" xr:uid="{2FCA3C54-061C-4B49-A010-BCDAE2F1FF71}"/>
    <hyperlink ref="F540" r:id="rId938" display="https://www.google.com/url?q=https://github.com/thecodingwizard/competitive-programming/blob/master/IOI/IOIPractice%252016-polygon.cpp&amp;sa=D&amp;ust=1605639799905000&amp;usg=AFQjCNFMX05aMr7SOBhMqW7_uTD39E5o6A" xr:uid="{78C975D1-CEF8-47A1-A32C-4ABBD3621143}"/>
    <hyperlink ref="B541" r:id="rId939" display="https://www.google.com/url?q=https://oj.uz/problem/view/COI19_ljetopica&amp;sa=D&amp;ust=1605639799906000&amp;usg=AFQjCNFn4eZ6XSdpFIVrlr2vI-_Np3yHew" xr:uid="{6E6DB9AE-D5D7-4F23-89A3-6A01FE573FCA}"/>
    <hyperlink ref="F541" r:id="rId940" display="https://www.google.com/url?q=https://github.com/mostafa-saad/MyCompetitiveProgramming/blob/master/Olympiad/COI/COI-19-ljetopica.txt&amp;sa=D&amp;ust=1605639799906000&amp;usg=AFQjCNFKJPG_H70E4Asp5_JrmMryZ8LliQ" xr:uid="{2B75B912-15AA-401E-8964-5216089EE2B2}"/>
    <hyperlink ref="B542" r:id="rId941" display="https://www.google.com/url?q=https://cses.fi/105/list/&amp;sa=D&amp;ust=1605639799906000&amp;usg=AFQjCNGuZX2qCCTsOpJmQE2893L-EnhHlw" xr:uid="{DD530C71-5AC2-4335-B904-9407D5ABB228}"/>
    <hyperlink ref="F542" r:id="rId942" display="https://www.google.com/url?q=https://github.com/mostafa-saad/MyCompetitiveProgramming/blob/master/Olympiad/Baltic/official/boi2010_solutions&amp;sa=D&amp;ust=1605639799908000&amp;usg=AFQjCNEWpHIDdgg2ugKJXnCYg4WaZ4M7YA" xr:uid="{6E6BD258-8149-4490-9715-121EDF6AD5DA}"/>
    <hyperlink ref="B543" r:id="rId943" display="https://www.google.com/url?q=https://szkopul.edu.pl/problemset/problem/VeQ6A1Xb8DUSlbUb8eQncsFX/site/&amp;sa=D&amp;ust=1605639799908000&amp;usg=AFQjCNGqlFDQcQkQV6EKJfvGhHT7M4saxg" xr:uid="{EA4F0445-40BA-443B-BB07-CC8D5941669B}"/>
    <hyperlink ref="F543" r:id="rId944" display="https://www.google.com/url?q=https://github.com/mostafa-saad/MyCompetitiveProgramming/blob/master/Olympiad/POI/POI-15-Squares.txt&amp;sa=D&amp;ust=1605639799909000&amp;usg=AFQjCNHnWz_LG4rmxSS05TT5ho7_DFqPgg" xr:uid="{A8CA49DC-106B-4EC7-B7A4-F90B2938FEEE}"/>
    <hyperlink ref="B544" r:id="rId945" display="https://www.google.com/url?q=https://contest.yandex.ru/ioi/contest/562/problems/D/&amp;sa=D&amp;ust=1605639799909000&amp;usg=AFQjCNGsjaytixxFMGG6Z2KEEceHo16PPA" xr:uid="{D4DAFE63-9395-4C8A-822B-9A7AF5BEF5D1}"/>
    <hyperlink ref="F544" r:id="rId946" display="https://www.google.com/url?q=https://github.com/mostafa-saad/MyCompetitiveProgramming/blob/master/Olympiad/IOI/official/2006/ioi06_mexico_sol.pdf&amp;sa=D&amp;ust=1605639799909000&amp;usg=AFQjCNGzmNNsNJOnyrjQjKivzig9zvyY_Q" xr:uid="{0B0EBA69-2D28-4873-AAC1-E6C78F4BAA63}"/>
    <hyperlink ref="B545" r:id="rId947" display="https://www.google.com/url?q=https://www.infoarena.ro/problema/aiacupalindroame&amp;sa=D&amp;ust=1605639799910000&amp;usg=AFQjCNFBN0SzjEXxrjUeN8moTbe8ntfJ0w" xr:uid="{7D5BFD48-D827-47F8-B2F6-9BD225274CBC}"/>
    <hyperlink ref="F545" r:id="rId948" display="https://www.google.com/url?q=https://github.com/stefdasca/CompetitiveProgramming/blob/master/Infoarena/aiacupalindroame.cpp&amp;sa=D&amp;ust=1605639799910000&amp;usg=AFQjCNEFYyWCt-JzFxMeiYYGcplivTkzSw" xr:uid="{52E4A1C8-C827-4232-A33C-2B20DA161B27}"/>
    <hyperlink ref="B546" r:id="rId949" display="https://www.google.com/url?q=https://dunjudge.me/analysis/problems/753/&amp;sa=D&amp;ust=1605639799911000&amp;usg=AFQjCNG99_UF4nN9e1V-36FPcdH0-0SMdg" xr:uid="{A7B8B82D-9C1B-4C72-AF05-04AB61044B75}"/>
    <hyperlink ref="F546" r:id="rId950" display="https://www.google.com/url?q=https://github.com/mostafa-saad/MyCompetitiveProgramming/blob/master/Olympiad/IOI/official/2001&amp;sa=D&amp;ust=1605639799911000&amp;usg=AFQjCNFHKJSw1Y2VU9CwCWoN7MyTu0JK4g" xr:uid="{46508232-4A10-4C57-84F8-AF78B51C89C0}"/>
    <hyperlink ref="B547" r:id="rId951" display="https://www.google.com/url?q=https://dmoj.ca/problem/ioi02p4&amp;sa=D&amp;ust=1605639799911000&amp;usg=AFQjCNE3ld7LWE5ygAFumiYaeVJ5-ZQLmQ" xr:uid="{3F7B9DDC-4CFF-40CA-AD49-A6FCBA60BCE0}"/>
    <hyperlink ref="F547" r:id="rId952" display="https://www.google.com/url?q=https://github.com/mostafa-saad/MyCompetitiveProgramming/blob/master/Olympiad/IOI/IOI-02-Batch.txt&amp;sa=D&amp;ust=1605639799911000&amp;usg=AFQjCNED3RGFhjSrdZKLNRgPgRUkkH_4ww" xr:uid="{E2623529-D5AD-47BF-8952-DB4F8C20E706}"/>
    <hyperlink ref="B548" r:id="rId953" display="https://www.google.com/url?q=https://dmoj.ca/problem/utso15p3&amp;sa=D&amp;ust=1605639799912000&amp;usg=AFQjCNFHh10NgGF_Q3NX7lTQT3sBush2uQ" xr:uid="{5AEB14EA-54C9-4426-B1E8-5E8FDF79BCC4}"/>
    <hyperlink ref="B549" r:id="rId954" display="https://www.google.com/url?q=https://www.infoarena.ro/problema/pitici3&amp;sa=D&amp;ust=1605639799912000&amp;usg=AFQjCNH4cWLDZjC4VMZvO9PyZYVV45kYbg" xr:uid="{F0C0B855-3E81-42C4-9192-4D5D5AA1B5BB}"/>
    <hyperlink ref="F549" r:id="rId955" display="https://www.google.com/url?q=https://github.com/mostafa-saad/MyCompetitiveProgramming/blob/master/Olympiad/infoarena/infoarena-pitici3.txt&amp;sa=D&amp;ust=1605639799913000&amp;usg=AFQjCNHFSwq_M3ucHDTAEvb3GKEc6ymYIg" xr:uid="{5E18C715-AAFF-4C3C-A02E-D07B8B2E7C43}"/>
    <hyperlink ref="B550" r:id="rId956" display="https://www.google.com/url?q=https://cses.fi/116/list/&amp;sa=D&amp;ust=1605639799913000&amp;usg=AFQjCNH-qeB6vlKLLYKmkRxthyTgs7YqtQ" xr:uid="{8ABCD5F3-0C80-4967-B229-E78C2D25A31C}"/>
    <hyperlink ref="F550" r:id="rId957" display="https://www.google.com/url?q=https://github.com/mostafa-saad/MyCompetitiveProgramming/blob/master/Olympiad/Baltic/Baltic-05-Bus_Trip.txt&amp;sa=D&amp;ust=1605639799913000&amp;usg=AFQjCNFYEmat13SGdum2E0KQxmfvPVxc_Q" xr:uid="{A13A091D-48EF-4B0B-9FE1-73C900703F85}"/>
    <hyperlink ref="B551" r:id="rId958" display="https://www.google.com/url?q=https://www.infoarena.ro/problema/lcdr&amp;sa=D&amp;ust=1605639799914000&amp;usg=AFQjCNGlfhnj-sk2tvLc9eX2MKmQLPMXKQ" xr:uid="{4904A080-4F6C-41DA-8F23-18146412DEDA}"/>
    <hyperlink ref="F551" r:id="rId959" display="https://www.google.com/url?q=https://github.com/mostafa-saad/MyCompetitiveProgramming/blob/master/Olympiad/infoarena/infoarena_lcdr.txt&amp;sa=D&amp;ust=1605639799914000&amp;usg=AFQjCNHStNnJlgY7amdmCvAsXIj0PtGoRA" xr:uid="{D9E21C67-13C9-4D20-AD7A-6630344811BE}"/>
    <hyperlink ref="B552" r:id="rId960" display="https://www.google.com/url?q=http://www.usaco.org/index.php?page%3Dviewproblem2%26cpid%3D994&amp;sa=D&amp;ust=1605639799914000&amp;usg=AFQjCNFvbUaUQFId07kTrFZdHHBM1qyOGQ" xr:uid="{CEDEC7EF-1257-489D-A607-43461F71562E}"/>
    <hyperlink ref="F553" r:id="rId961" display="https://www.google.com/url?q=https://github.com/win11905/submission/blob/master/COI/19/ljepotica.cpp&amp;sa=D&amp;ust=1605639799915000&amp;usg=AFQjCNEwB4ZBQCPsBlGKbf3tEaEp5kmAHA" xr:uid="{1EB25027-9FEE-4BC3-8C7A-60ACDBAB8F97}"/>
    <hyperlink ref="B554" r:id="rId962" display="https://www.google.com/url?q=https://oj.uz/problem/view/IOI15_boxes&amp;sa=D&amp;ust=1605639799964000&amp;usg=AFQjCNEouaVAx5CUecz-5LEUjM0dW29fXw" xr:uid="{D8A311D2-5AA7-4167-BC02-D57ED8908B3C}"/>
    <hyperlink ref="F554" r:id="rId963" display="https://www.google.com/url?q=https://github.com/mostafa-saad/MyCompetitiveProgramming/blob/master/Olympiad/IOI/IOI-15-boxes.txt&amp;sa=D&amp;ust=1605639799965000&amp;usg=AFQjCNH0mYxWmqBWmS_HZlcXSAxXqdghrQ" xr:uid="{4B33C1D0-CDB7-4E32-9096-B46F88636D69}"/>
    <hyperlink ref="B555" r:id="rId964" display="https://www.google.com/url?q=https://oj.uz/problem/view/COCI14_bob&amp;sa=D&amp;ust=1605639799965000&amp;usg=AFQjCNG2HLtCIfTAPYWyc5mwjuoYI3Yw3w" xr:uid="{280429BA-1532-4CD0-97AE-6BFFAC8D7CC7}"/>
    <hyperlink ref="F555" r:id="rId965" display="https://www.google.com/url?q=https://github.com/mostafa-saad/MyCompetitiveProgramming/blob/master/Olympiad/COCI/COCI-14-bob.txt&amp;sa=D&amp;ust=1605639799965000&amp;usg=AFQjCNFpvX93L3-4-EbIkj0ENFA5ehd-mg" xr:uid="{1A28EC70-70A1-4494-82DA-5395BAAE3DA4}"/>
    <hyperlink ref="B556" r:id="rId966" display="https://www.google.com/url?q=https://www.infoarena.ro/problema/retea3&amp;sa=D&amp;ust=1605639799966000&amp;usg=AFQjCNG62qvr56ZTCPFutrmBQvT9rgis1A" xr:uid="{69BB5D66-DAF3-4927-A88A-489348DE837D}"/>
    <hyperlink ref="F556" r:id="rId967" display="https://www.google.com/url?q=https://github.com/mostafa-saad/MyCompetitiveProgramming/blob/master/Olympiad/infoarena/infoarena-retea3.txt&amp;sa=D&amp;ust=1605639799966000&amp;usg=AFQjCNH2v5pbxXVqyOxmaMHSezmRhnEJ-Q" xr:uid="{BE59AAA2-0C06-4ED1-A1C2-F75F36DD4594}"/>
    <hyperlink ref="B557" r:id="rId968" display="https://www.google.com/url?q=https://oj.uz/problem/view/COCI15_savez&amp;sa=D&amp;ust=1605639799967000&amp;usg=AFQjCNFuh1NKRJqA5Ame9Nn81mRuPFEktw" xr:uid="{34C9B158-5201-4694-ADEC-959763D99BAB}"/>
    <hyperlink ref="F557" r:id="rId969" display="https://www.google.com/url?q=https://github.com/mostafa-saad/MyCompetitiveProgramming/blob/master/Olympiad/COCI/COCI-15-savez.txt&amp;sa=D&amp;ust=1605639799967000&amp;usg=AFQjCNG2XAga6HEVWiXmmpXEGgyP_IYGdw" xr:uid="{A372242C-F881-4A7A-8078-E75A074607A5}"/>
    <hyperlink ref="B558" r:id="rId970" display="https://www.google.com/url?q=https://wcipeg.com/problem/coci094p5&amp;sa=D&amp;ust=1605639799967000&amp;usg=AFQjCNGXmLTX5Fm4VmrK6jOdUy1oyOTMrw" xr:uid="{56F9F608-EAE9-4C52-8CDB-D3ADD6950573}"/>
    <hyperlink ref="F558" r:id="rId971" display="https://www.google.com/url?q=https://github.com/mostafa-saad/MyCompetitiveProgramming/blob/master/Olympiad/CEOI/COCI-09-Kaboom&amp;sa=D&amp;ust=1605639799967000&amp;usg=AFQjCNFYiUeBS-2Xyib9NmiH-yomW9ko0g" xr:uid="{A657A28D-7B2E-494F-9F3D-7C275766F124}"/>
    <hyperlink ref="B559" r:id="rId972" display="https://www.google.com/url?q=https://cses.fi/186/list/&amp;sa=D&amp;ust=1605639799968000&amp;usg=AFQjCNF6ZOSIwCPsDrgWrOKvfmqN_GdQ7g" xr:uid="{1E1BCCC7-3332-4E54-9474-D91CA1088C9D}"/>
    <hyperlink ref="F559" r:id="rId973" display="https://www.google.com/url?q=https://github.com/mostafa-saad/MyCompetitiveProgramming/tree/master/Olympiad/CEOI/official/2006&amp;sa=D&amp;ust=1605639799968000&amp;usg=AFQjCNHRzvfTjgyVZISyT-iWlUoeOTUClA" xr:uid="{4D98E7CB-D4AE-49ED-87AA-0F322F350D8F}"/>
    <hyperlink ref="B560" r:id="rId974" display="https://www.google.com/url?q=https://contest.yandex.ru/ioi/contest/568/enter/&amp;sa=D&amp;ust=1605639799970000&amp;usg=AFQjCNGTa-lfkSsmhgzA6zS8SBLNNYX5Kg" xr:uid="{3BBB1D83-556D-4007-9E91-B39AAC1742C9}"/>
    <hyperlink ref="F560" r:id="rId975" display="https://www.google.com/url?q=https://github.com/mostafa-saad/MyCompetitiveProgramming/blob/master/Olympiad/IOI/official/2009&amp;sa=D&amp;ust=1605639799970000&amp;usg=AFQjCNEXxB0JwWCEFfEvMV2oDiTlKjKnYw" xr:uid="{BD3FB5C0-E86F-4A76-BD1B-D00DD37D2178}"/>
    <hyperlink ref="B561" r:id="rId976" display="https://www.google.com/url?q=https://oj.uz/problem/view/IZhO17_bootfall&amp;sa=D&amp;ust=1605639799971000&amp;usg=AFQjCNH3u60zDOjYgptSnXb1vB_MB1J6Ew" xr:uid="{4835FBEC-642C-48E6-8EE1-34CEFFF07B21}"/>
    <hyperlink ref="F561" r:id="rId977" display="https://www.google.com/url?q=https://github.com/stefdasca/CompetitiveProgramming/blob/master/IZhO/IZhO%252017-bootfall.cpp&amp;sa=D&amp;ust=1605639799971000&amp;usg=AFQjCNHFjAgUFs8eJA3jXSCyrlOEE7AYKQ" xr:uid="{D6393B6A-F448-4679-B709-D9D092D56F5B}"/>
    <hyperlink ref="B562" r:id="rId978" display="https://www.google.com/url?q=https://cses.fi/191/list/&amp;sa=D&amp;ust=1605639799971000&amp;usg=AFQjCNH0P9oD4UrTHApAGQ9pAudTUxjV7g" xr:uid="{43FD176D-C957-404D-95F6-52721A583FBE}"/>
    <hyperlink ref="F562" r:id="rId979" display="https://www.google.com/url?q=https://github.com/mostafa-saad/MyCompetitiveProgramming/tree/master/Olympiad/CEOI/official/2005&amp;sa=D&amp;ust=1605639799971000&amp;usg=AFQjCNGBgV4rV_cbD4yPuhj-q5JQlQ4TxQ" xr:uid="{CD4C9590-6235-4763-8631-E9D3EDED1A4E}"/>
    <hyperlink ref="B563" r:id="rId980" display="https://www.google.com/url?q=https://www.infoarena.ro/problema/pitici&amp;sa=D&amp;ust=1605639799972000&amp;usg=AFQjCNEIZjXEdF06tiTaM0kxSqAu97jzbQ" xr:uid="{38DC407D-2A3F-421F-AF93-72D48FF09039}"/>
    <hyperlink ref="B564" r:id="rId981" display="https://www.google.com/url?q=https://oj.uz/problem/view/JOI19_lamps&amp;sa=D&amp;ust=1605639799972000&amp;usg=AFQjCNG4jyNHV0m7uAvtnn1j6UE8yPnMGA" xr:uid="{FDF3A1BB-EDFB-43BE-8831-2D3890B6F122}"/>
    <hyperlink ref="B565" r:id="rId982" display="https://www.google.com/url?q=https://www.infoarena.ro/problema/v2d&amp;sa=D&amp;ust=1605639799973000&amp;usg=AFQjCNGvqGHTJy3Sap1pd_rD2Q46Y9sP6A" xr:uid="{DF576FD2-404B-4BC7-9607-630605A28BB6}"/>
    <hyperlink ref="F565" r:id="rId983" display="https://www.google.com/url?q=https://github.com/stefdasca/CompetitiveProgramming/blob/master/Infoarena/v2d.cpp&amp;sa=D&amp;ust=1605639799973000&amp;usg=AFQjCNE2Cg8P4aEdOzwIF50cCQps3Z3Pwg" xr:uid="{478FF4DA-ABE5-4260-B2A7-FB39B277B8CB}"/>
    <hyperlink ref="B566" r:id="rId984" display="https://www.google.com/url?q=https://oj.uz/problem/view/IOI16_paint&amp;sa=D&amp;ust=1605639799973000&amp;usg=AFQjCNErd5e5U9klziPCWXGPZH02QbksZA" xr:uid="{48677105-1377-44FA-86C3-B187CB8A240D}"/>
    <hyperlink ref="F566" r:id="rId985" display="https://www.google.com/url?q=https://github.com/mostafa-saad/MyCompetitiveProgramming/blob/master/Olympiad/IOI/IOI-16-paint.txt&amp;sa=D&amp;ust=1605639799973000&amp;usg=AFQjCNEzF09-0tcBpqvd8Fh2j7Hvn1ruQQ" xr:uid="{0B2181AD-5564-4CDD-A708-E51572BBF419}"/>
    <hyperlink ref="B567" r:id="rId986" display="https://www.google.com/url?q=http://usaco.org/index.php?page%3Dviewproblem2%26cpid%3D698&amp;sa=D&amp;ust=1605639799974000&amp;usg=AFQjCNGgyDpvdWTKSnHVjEepOSAH-Ty2xA" xr:uid="{78FF6D1B-5B93-41DD-8EC0-4E12BE02E26D}"/>
    <hyperlink ref="B568" r:id="rId987" display="https://www.google.com/url?q=https://oj.uz/problem/view/COCI17_kas&amp;sa=D&amp;ust=1605639799974000&amp;usg=AFQjCNHniLP7UGQJUbtiYvLI4g7paxdujQ" xr:uid="{DAAADE31-804F-4F30-BA82-0D704747B718}"/>
    <hyperlink ref="F568" r:id="rId988" display="https://www.google.com/url?q=https://github.com/mostafa-saad/MyCompetitiveProgramming/blob/master/Olympiad/COCI/COCI-17-kas.txt&amp;sa=D&amp;ust=1605639799978000&amp;usg=AFQjCNGB_NuK65AelCFI_sJPccavlK25yA" xr:uid="{EBE9C323-CB23-4796-BC52-E2EFA340010C}"/>
    <hyperlink ref="B569" r:id="rId989" display="https://www.google.com/url?q=https://cses.fi/problemset/task/1112/&amp;sa=D&amp;ust=1605639799978000&amp;usg=AFQjCNGr2NmG1inAR3YIpy8nVNW-wN59ZA" xr:uid="{D94F5558-FE2A-46F9-87C5-1F59D6C4D1D8}"/>
    <hyperlink ref="F569" r:id="rId990" display="https://www.google.com/url?q=https://github.com/nya-nya-meow/CompetitiveProgramming/blob/master/CSES/CSES%25201112%2520-%2520Substrings.cpp&amp;sa=D&amp;ust=1605639799979000&amp;usg=AFQjCNExHSsVBEito6IcPOmag9GHf02U5Q" xr:uid="{0E515E63-5C5E-4BCE-9D35-9137448E1852}"/>
    <hyperlink ref="B570" r:id="rId991" display="https://www.google.com/url?q=https://dmoj.ca/problem/coci08c4p4&amp;sa=D&amp;ust=1605639799979000&amp;usg=AFQjCNE20DVj4Wz77bf3IrE5DHFxlC3xHA" xr:uid="{BE213012-455F-4715-A522-4C6735D14A93}"/>
    <hyperlink ref="F570" r:id="rId992" display="https://www.google.com/url?q=https://github.com/mostafa-saad/MyCompetitiveProgramming/blob/master/Olympiad/COCI/COCI-08-Slikar.txt&amp;sa=D&amp;ust=1605639799979000&amp;usg=AFQjCNHsKcwmKOaF84bqDndkoEJk0pfE-w" xr:uid="{03A8D500-07A6-4C78-BC2E-C99FE95EA6A1}"/>
    <hyperlink ref="B571" r:id="rId993" display="https://www.google.com/url?q=https://www.hackerrank.com/contests/ioi-2014-practice-contest-1/challenges&amp;sa=D&amp;ust=1605639799980000&amp;usg=AFQjCNHG42EpAHBdTAOir65Pbnj3KjPGZw" xr:uid="{CAF9A4E8-41DE-41BB-B38A-D223C332EDFD}"/>
    <hyperlink ref="F571" r:id="rId994" display="https://www.google.com/url?q=https://github.com/mostafa-saad/MyCompetitiveProgramming/blob/master/Olympiad/IOI/IOIPractice-14-skwishinese-ioi14.txt&amp;sa=D&amp;ust=1605639799980000&amp;usg=AFQjCNFnrHsLNot8I2cHaQkWWOls8hVDag" xr:uid="{0C1288B7-091C-45F6-ADFF-4EAA34017791}"/>
    <hyperlink ref="B572" r:id="rId995" display="https://www.google.com/url?q=https://www.infoarena.ro/problema/scara2&amp;sa=D&amp;ust=1605639799980000&amp;usg=AFQjCNG05mcL4qTPnuzhHk-JehifNp5tsg" xr:uid="{1E6AC0EF-9B07-4C12-92B3-B2B8069CD467}"/>
    <hyperlink ref="F572" r:id="rId996" display="https://www.google.com/url?q=https://github.com/stefdasca/CompetitiveProgramming/blob/master/Infoarena/scara2.cpp&amp;sa=D&amp;ust=1605639799981000&amp;usg=AFQjCNGp3UeXoFc3OJTxVYLmAIuRXR8XyQ" xr:uid="{5B826FD1-83F9-4627-9295-9332E66B194B}"/>
    <hyperlink ref="B573" r:id="rId997" display="https://www.google.com/url?q=http://usaco.org/index.php?page%3Dviewproblem2%26cpid%3D721&amp;sa=D&amp;ust=1605639799981000&amp;usg=AFQjCNF2q0vp4nIHSUdWaBpayDmVOlOugg" xr:uid="{E270E078-FD89-46BC-90C3-6FFE21745CC7}"/>
    <hyperlink ref="B574" r:id="rId998" display="https://www.google.com/url?q=https://www.infoarena.ro/problema/secvbest&amp;sa=D&amp;ust=1605639799981000&amp;usg=AFQjCNEDiQohN5IYS6TF8sYEta5cPVM8LA" xr:uid="{AC9759DB-3D85-44AE-8FC1-BFA506A05454}"/>
    <hyperlink ref="F574" r:id="rId999" display="https://www.google.com/url?q=https://github.com/stefdasca/CompetitiveProgramming/blob/master/Infoarena/secvbest.cpp&amp;sa=D&amp;ust=1605639799981000&amp;usg=AFQjCNG7bptfHtU_Km_gNnQr1L2y0-Ci8w" xr:uid="{6401BB99-7766-4FB8-AA99-E2A4CCD2849E}"/>
    <hyperlink ref="B575" r:id="rId1000" display="https://www.google.com/url?q=https://dunjudge.me/analysis/problems/26/&amp;sa=D&amp;ust=1605639799982000&amp;usg=AFQjCNHxh3WPYJlsNUTjBDOsiu-Z6kbeBQ" xr:uid="{69864D87-D5D7-4F4C-84EE-B2398D0766A7}"/>
    <hyperlink ref="F575" r:id="rId1001" display="https://www.google.com/url?q=https://github.com/mostafa-saad/MyCompetitiveProgramming/blob/master/Olympiad/NOI/official/2011.pptx&amp;sa=D&amp;ust=1605639799982000&amp;usg=AFQjCNGhginJZXDS9JQ5LOXrGiRZxoKkuA" xr:uid="{E336CC0F-647F-4DE3-A630-C9372C92D6A6}"/>
    <hyperlink ref="B576" r:id="rId1002" display="https://www.google.com/url?q=https://oj.uz/problem/view/BOI19_kitchen&amp;sa=D&amp;ust=1605639799982000&amp;usg=AFQjCNFpbQUaqj13GkGnBUMnlt4UiQGDjw" xr:uid="{F21C5173-5771-4C0F-87DF-8F173CA472B8}"/>
    <hyperlink ref="F576" r:id="rId1003" display="https://www.google.com/url?q=https://github.com/mostafa-saad/MyCompetitiveProgramming/tree/master/Olympiad/Baltic/official/boi2019_solutions&amp;sa=D&amp;ust=1605639799982000&amp;usg=AFQjCNHyW-usaFOUUyHpXIhEOowDQur9JA" xr:uid="{5179203F-30AC-4A2D-9EBE-9412B21C5CA3}"/>
    <hyperlink ref="B577" r:id="rId1004" display="https://www.google.com/url?q=https://oj.uz/problem/view/COCI17_vode&amp;sa=D&amp;ust=1605639799983000&amp;usg=AFQjCNGXjAjXTgu3BRREj2S03SKNf1R1Zg" xr:uid="{982B23D1-5E3C-4280-9EA5-057B3A792996}"/>
    <hyperlink ref="F577" r:id="rId1005" display="https://www.google.com/url?q=https://github.com/Rockbet/Problems/blob/master/COCI/COCI%25202017-2018/Vode.cpp&amp;sa=D&amp;ust=1605639799983000&amp;usg=AFQjCNE445YnErODhfNzw0Yx95lkaxNvTQ" xr:uid="{9E2DD6BB-5B4F-4E0A-BBE4-728DEF85C381}"/>
    <hyperlink ref="B578" r:id="rId1006" display="https://www.google.com/url?q=http://usaco.org/index.php?page%3Dviewproblem2%26cpid%3D648&amp;sa=D&amp;ust=1605639799985000&amp;usg=AFQjCNGEBKRvhqY1sO18VPB0zv6n8KCjdA" xr:uid="{9EA6E911-2186-47BC-9BEF-63C822F8B7DA}"/>
    <hyperlink ref="B579" r:id="rId1007" display="https://www.google.com/url?q=https://szkopul.edu.pl/problemset/problem/_cVmDXXn2TjF0dF1rW6eazA0/site/&amp;sa=D&amp;ust=1605639799985000&amp;usg=AFQjCNFXWlUz66BlmGBs6bmaTMfYomHRAA" xr:uid="{02F13BD7-8486-4F2D-89C6-221DB697B53B}"/>
    <hyperlink ref="F579" r:id="rId1008" display="https://www.google.com/url?q=https://github.com/mostafa-saad/MyCompetitiveProgramming/blob/master/Olympiad/POI/POI-05-Banknote.txt&amp;sa=D&amp;ust=1605639799985000&amp;usg=AFQjCNG344axubvJD6Vdo8hWqNivexX-Ug" xr:uid="{79CA1548-BD92-4B59-8E0D-3576CBE9C1EB}"/>
    <hyperlink ref="B580" r:id="rId1009" display="https://www.google.com/url?q=https://szkopul.edu.pl/problemset/problem/i3cF1qQtiXwmwOc_5qRB0ufC/site/&amp;sa=D&amp;ust=1605639799986000&amp;usg=AFQjCNGX96_ToDdn4rX0JdnTx_iy3hIuLw" xr:uid="{76873014-DC56-4351-AB03-2C9EA1858182}"/>
    <hyperlink ref="F580" r:id="rId1010" display="https://www.google.com/url?q=https://www.dropbox.com/s/smryqdsty3vu5br/Bytecomputer.cpp?dl%3D0&amp;sa=D&amp;ust=1605639799986000&amp;usg=AFQjCNFjeV0WJ-U-cF4hx84APVRjcdckbQ" xr:uid="{5D18B5D4-2EC9-4454-8286-ACA6074D3048}"/>
    <hyperlink ref="B581" r:id="rId1011" display="https://www.google.com/url?q=https://www.infoarena.ro/problema/amenzi&amp;sa=D&amp;ust=1605639799986000&amp;usg=AFQjCNHb1Sj2mabvy68ERpgWG-_uZGye5Q" xr:uid="{E6AEBB09-225F-4455-85AD-94D51056F541}"/>
    <hyperlink ref="F581" r:id="rId1012" display="https://www.google.com/url?q=https://github.com/stefdasca/CompetitiveProgramming/blob/master/Infoarena/amenzi.cpp&amp;sa=D&amp;ust=1605639799986000&amp;usg=AFQjCNF4dXqUGzd-xLwRcbvGjYEpOiIrFQ" xr:uid="{8FD9D7B1-DD32-47A4-AE3D-5ED1542551EA}"/>
    <hyperlink ref="B582" r:id="rId1013" display="https://www.google.com/url?q=https://www.infoarena.ro/problema/peri&amp;sa=D&amp;ust=1605639799987000&amp;usg=AFQjCNGq3mDTiansSvfwhDO8TU6kgUFqgA" xr:uid="{2F552C6A-D1AE-4A72-A57B-325DB7DDBB89}"/>
    <hyperlink ref="F582" r:id="rId1014" display="https://www.google.com/url?q=https://github.com/stefdasca/CompetitiveProgramming/blob/master/Infoarena/peri.cpp&amp;sa=D&amp;ust=1605639799987000&amp;usg=AFQjCNGmOc2OrfUF7JICo-KZMInzZVgA9Q" xr:uid="{8F74574E-A6E7-4D4D-9418-90236298FC00}"/>
    <hyperlink ref="B583" r:id="rId1015" display="https://www.google.com/url?q=https://oj.uz/problem/view/COCI17_automobil&amp;sa=D&amp;ust=1605639799987000&amp;usg=AFQjCNHvbPi7MvxvrbgPG8cKGaJBB-Ib6A" xr:uid="{19FC97E8-498C-4E38-8D29-FA1C82B03465}"/>
    <hyperlink ref="F583" r:id="rId1016" display="https://www.google.com/url?q=https://ideone.com/Ejf10T&amp;sa=D&amp;ust=1605639799987000&amp;usg=AFQjCNF9k7UEY3BBEXfUjxdkeT25UM8V_w" xr:uid="{B869BEAF-248F-4A0D-BB53-C69840BF07D0}"/>
    <hyperlink ref="B584" r:id="rId1017" display="https://www.google.com/url?q=https://cses.fi/109/list/&amp;sa=D&amp;ust=1605639799988000&amp;usg=AFQjCNG6k2zc4B-ejAQ-SNb-UqkNKY4PDw" xr:uid="{7A186215-28E5-49AD-83FC-6B03E993BC16}"/>
    <hyperlink ref="F584" r:id="rId1018" display="https://www.google.com/url?q=https://github.com/mostafa-saad/MyCompetitiveProgramming/blob/master/Olympiad/Baltic/Baltic-06-Countries.txt&amp;sa=D&amp;ust=1605639799988000&amp;usg=AFQjCNEzAn1N1PgykQqytXLti9q2llDwzA" xr:uid="{E26A5CBB-0220-4F7E-A792-6C9AE4F23A8E}"/>
    <hyperlink ref="B585" r:id="rId1019" display="https://www.google.com/url?q=https://joi2015ho.contest.atcoder.jp/tasks/joi2015ho_b&amp;sa=D&amp;ust=1605639799988000&amp;usg=AFQjCNHwMkE4Ie3S0cMCLr2xy9DK_YAoxg" xr:uid="{CCA44789-C0B4-44A5-9178-3F4916491301}"/>
    <hyperlink ref="F585" r:id="rId1020" display="https://www.google.com/url?q=https://github.com/nikolapesic2802/Programming-Practice/blob/master/Cake%2520Division2/main.cpp&amp;sa=D&amp;ust=1605639799988000&amp;usg=AFQjCNHRNzor9ppXVt-RvtganjZpQcIVsw" xr:uid="{09AE2754-05FE-499E-894F-DD110AB7329C}"/>
    <hyperlink ref="B586" r:id="rId1021" display="https://www.google.com/url?q=https://cses.fi/101/list/&amp;sa=D&amp;ust=1605639799989000&amp;usg=AFQjCNGhC9KVWJfxQ_hFKPjIxAFB2JJqcQ" xr:uid="{718D5CC0-734C-4BE2-BE40-16195897AEEB}"/>
    <hyperlink ref="F586" r:id="rId1022" display="https://www.google.com/url?q=https://github.com/mostafa-saad/MyCompetitiveProgramming/blob/master/Olympiad/Baltic/Baltic-11-Meetings.txt&amp;sa=D&amp;ust=1605639799989000&amp;usg=AFQjCNENuGcutGgL5wsJLvvNsB6SojAfhg" xr:uid="{EEC09E06-45F9-4605-824A-545DB755AC3B}"/>
    <hyperlink ref="B587" r:id="rId1023" display="https://www.google.com/url?q=https://oj.uz/problem/view/BOI13_ballmachine&amp;sa=D&amp;ust=1605639799989000&amp;usg=AFQjCNHa762afRWc8TbcaijdzGwsjj81cA" xr:uid="{CBFE4DD7-FB42-4E69-830F-265E62BA28AE}"/>
    <hyperlink ref="F587" r:id="rId1024" display="https://www.google.com/url?q=https://github.com/SpeedOfMagic/CompetitiveProgramming/blob/master/Baltic/13-ballmachine.cpp&amp;sa=D&amp;ust=1605639799990000&amp;usg=AFQjCNGat1QunH6z80wGvTW0iVUQwukzYw" xr:uid="{D48A9357-7A85-484A-9952-B36CE0E4C9E9}"/>
    <hyperlink ref="B588" r:id="rId1025" display="https://www.google.com/url?q=https://www.acmicpc.net/problem/1752&amp;sa=D&amp;ust=1605639799990000&amp;usg=AFQjCNGduqH9E4pvaEDzAbds8N7J9taPOA" xr:uid="{F2CBE2FB-6DDF-4DE4-AE3D-6BCD7911C3A7}"/>
    <hyperlink ref="F588" r:id="rId1026" display="https://www.google.com/url?q=https://github.com/mostafa-saad/MyCompetitiveProgramming/blob/master/Olympiad/IOI/IOI-02-Frog.txt&amp;sa=D&amp;ust=1605639799990000&amp;usg=AFQjCNHK9RPOZvyaEldHBx-tHmQVVpJpEQ" xr:uid="{7EF18E29-1E17-4CC5-8DCC-0A633BB73AA0}"/>
    <hyperlink ref="B589" r:id="rId1027" display="https://www.google.com/url?q=http://usaco.org/index.php?page%3Dviewproblem2%26cpid%3D285&amp;sa=D&amp;ust=1605639799990000&amp;usg=AFQjCNFzdD0HjiQCY4zLzB0RP7ZH1Mekvg" xr:uid="{BE70C1C8-2275-4235-A658-B4F7D2170D42}"/>
    <hyperlink ref="B590" r:id="rId1028" display="https://www.google.com/url?q=https://oj.uz/problem/view/COI15_kovanice&amp;sa=D&amp;ust=1605639799991000&amp;usg=AFQjCNEGfLWkTZ9ZCp4R0ha3rce24qoJtg" xr:uid="{2F4AED2D-5CC8-466D-AACF-39EBF85E4389}"/>
    <hyperlink ref="F590" r:id="rId1029" display="https://www.google.com/url?q=https://github.com/tmwilliamlin168/CompetitiveProgramming/blob/master/COI/15-Koviance.cpp&amp;sa=D&amp;ust=1605639799991000&amp;usg=AFQjCNFJEwWjR9mBtEGGNQltgAmBnojo1w" xr:uid="{878E37B9-3361-4F14-87BF-379AD7B0E785}"/>
    <hyperlink ref="B591" r:id="rId1030" display="https://www.google.com/url?q=https://boi18-practice-open.kattis.com/problems&amp;sa=D&amp;ust=1605639799991000&amp;usg=AFQjCNHA0mMuG1-0HQDFTkyqdyjrgMtM7Q" xr:uid="{27B0BE29-E6DD-47E6-BF76-D25C0AA94072}"/>
    <hyperlink ref="F591" r:id="rId1031" display="https://www.google.com/url?q=https://github.com/updown2/OI-Practice/blob/master/BOI/2018/Citations%2520(Practice%2520Session).txt&amp;sa=D&amp;ust=1605639799992000&amp;usg=AFQjCNGT5m6SoIyp9sbUUzxPW6M3qz5ssw" xr:uid="{46151059-9C75-4C5A-A1E2-F6AABDCEFD30}"/>
    <hyperlink ref="B592" r:id="rId1032" display="https://www.google.com/url?q=https://www.infoarena.ro/problema/asmin&amp;sa=D&amp;ust=1605639799992000&amp;usg=AFQjCNFAtPugoobWna-PwdY_JIpTmyZBzA" xr:uid="{15190CD7-E94D-4C9A-B1CD-C3BA13FCAA0C}"/>
    <hyperlink ref="F592" r:id="rId1033" display="https://www.google.com/url?q=https://github.com/stefdasca/CompetitiveProgramming/blob/master/Infoarena/asmin.cpp&amp;sa=D&amp;ust=1605639799992000&amp;usg=AFQjCNGLPEAbRm5q7OIzxW0TGC61p1PuGg" xr:uid="{C3337C3A-AE63-4076-BC67-359DB644C1E1}"/>
    <hyperlink ref="B593" r:id="rId1034" display="https://www.google.com/url?q=https://www.infoarena.ro/problema/nkbiti&amp;sa=D&amp;ust=1605639799992000&amp;usg=AFQjCNFdyiETguUGAlt68aaZYQi8p6nFKg" xr:uid="{5F253AAF-7DFE-4A9D-BEFC-D3724A96AEA1}"/>
    <hyperlink ref="F593" r:id="rId1035" display="https://www.google.com/url?q=https://github.com/stefdasca/CompetitiveProgramming/blob/master/Infoarena/nkbiti.cpp&amp;sa=D&amp;ust=1605639799993000&amp;usg=AFQjCNGJvquBtmnf0IDWQPpzmroTvZ6SUw" xr:uid="{AC8CFFCF-069E-4CAF-B9AA-C7A77F55631F}"/>
    <hyperlink ref="B594" r:id="rId1036" display="https://www.google.com/url?q=https://www.infoarena.ro/problema/profit&amp;sa=D&amp;ust=1605639799993000&amp;usg=AFQjCNHnBhm78ri9-Z-mDkRQ0usQUYpn6Q" xr:uid="{438E16C9-5DA6-4E5A-924C-1EE53969B254}"/>
    <hyperlink ref="F594" r:id="rId1037" display="https://www.google.com/url?q=https://github.com/stefdasca/CompetitiveProgramming/blob/master/Infoarena/profit.cpp&amp;sa=D&amp;ust=1605639799993000&amp;usg=AFQjCNGWOlkdgg2PqM3Z72Y_PGoHZpUi0A" xr:uid="{7B8F6505-CD6C-49E7-BF6A-A810E37F93EE}"/>
    <hyperlink ref="B595" r:id="rId1038" display="https://www.google.com/url?q=https://www.infoarena.ro/problema/zip&amp;sa=D&amp;ust=1605639799996000&amp;usg=AFQjCNHp183YYW_GoxOZmCFScHd0v0_DqA" xr:uid="{1C2A90B8-2E97-4682-882A-7C20E6F8EB94}"/>
    <hyperlink ref="F595" r:id="rId1039" display="https://www.google.com/url?q=https://github.com/stefdasca/CompetitiveProgramming/blob/master/Infoarena/zip.cpp&amp;sa=D&amp;ust=1605639799996000&amp;usg=AFQjCNHYHMlOZxr4UyBhTwAghRfku_IDUg" xr:uid="{00281270-DD62-4FD0-8706-FA306AC75799}"/>
    <hyperlink ref="B596" r:id="rId1040" display="https://www.google.com/url?q=https://www.infoarena.ro/problema/zmeu&amp;sa=D&amp;ust=1605639799997000&amp;usg=AFQjCNG8wyWjApM822XaPnn2_fIDpAWKsw" xr:uid="{737F098F-3D03-495D-89CE-A9A4C65A861A}"/>
    <hyperlink ref="F596" r:id="rId1041" display="https://www.google.com/url?q=https://github.com/stefdasca/CompetitiveProgramming/blob/master/Infoarena/zmeu.cpp&amp;sa=D&amp;ust=1605639799997000&amp;usg=AFQjCNF41isPy64k808PyXTjCLdmJxNv5A" xr:uid="{ED654663-0230-49D7-8FB3-13294C5B8F4D}"/>
    <hyperlink ref="B597" r:id="rId1042" display="https://www.google.com/url?q=https://csacademy.com/contest/ioi-2016-training-round-5/task/lights-out/&amp;sa=D&amp;ust=1605639799997000&amp;usg=AFQjCNFaAFZoPPjufcbGL5eN6GLkrRxLsA" xr:uid="{0AA7E495-459C-4E60-BCEF-21E6596BB5F4}"/>
    <hyperlink ref="B598" r:id="rId1043" display="https://www.google.com/url?q=https://joisc2013-day2.contest.atcoder.jp/tasks/joisc2013_mascots&amp;sa=D&amp;ust=1605639799998000&amp;usg=AFQjCNGt21HjRL2uWjeYumxAxfXFios1zw" xr:uid="{69E186F5-9DC1-4558-9764-659A557EE81D}"/>
    <hyperlink ref="B599" r:id="rId1044" display="https://www.google.com/url?q=https://wcipeg.com/problem/coci097p5&amp;sa=D&amp;ust=1605639799998000&amp;usg=AFQjCNHAH7qGGZ16-uJub1HDG86RG0aTNA" xr:uid="{3E3F35DC-9A28-4EDF-853E-D4A30F508438}"/>
    <hyperlink ref="F599" r:id="rId1045" display="https://www.google.com/url?q=https://github.com/mostafa-saad/MyCompetitiveProgramming/blob/master/Olympiad/COCI/official/2010/contest7_solutions&amp;sa=D&amp;ust=1605639799999000&amp;usg=AFQjCNHNgcFLFeHTKDRL9BD7nSjAZ4ExHw" xr:uid="{65520C0C-ACF7-44AC-AD5A-27AF0BC94AA8}"/>
    <hyperlink ref="B600" r:id="rId1046" display="https://www.google.com/url?q=https://contest.yandex.ru/ioi/contest/560/enter/&amp;sa=D&amp;ust=1605639799999000&amp;usg=AFQjCNHSwhEj8fPyKlT2ciF1ogEDHvCguA" xr:uid="{7FE60FE3-EF3B-4FE6-A551-5CE17DBC2631}"/>
    <hyperlink ref="F600" r:id="rId1047" display="https://www.google.com/url?q=https://github.com/mostafa-saad/MyCompetitiveProgramming/blob/master/Olympiad/IOI/official/2004&amp;sa=D&amp;ust=1605639800000000&amp;usg=AFQjCNEMgaDZj_L7MgurdP9Uh2FwmvCjyA" xr:uid="{B5EE730F-CCA3-4040-9D95-4F9C3C240A71}"/>
    <hyperlink ref="B601" r:id="rId1048" display="https://www.google.com/url?q=https://contest.yandex.ru/ioi/contest/560/enter/&amp;sa=D&amp;ust=1605639800000000&amp;usg=AFQjCNGWFCDBV4ElwgXe9dTAH3Gvc886fQ" xr:uid="{65FEE767-19CD-4226-B325-38D1D91D99DE}"/>
    <hyperlink ref="F601" r:id="rId1049" display="https://www.google.com/url?q=https://github.com/mostafa-saad/MyCompetitiveProgramming/blob/master/Olympiad/IOI/official/2004&amp;sa=D&amp;ust=1605639800000000&amp;usg=AFQjCNEMgaDZj_L7MgurdP9Uh2FwmvCjyA" xr:uid="{B54E4951-D692-4A3F-96C6-450F771ECA62}"/>
    <hyperlink ref="B602" r:id="rId1050" display="https://www.google.com/url?q=https://dmoj.ca/problem/coci07c5p5&amp;sa=D&amp;ust=1605639800001000&amp;usg=AFQjCNFeEo1vwZz3m9ZtDFbD2Is6xVWDhA" xr:uid="{6DCAEC8B-C3ED-4336-9140-9BC5A7A1915F}"/>
    <hyperlink ref="F602" r:id="rId1051" display="https://www.google.com/url?q=https://github.com/mostafa-saad/MyCompetitiveProgramming/blob/master/Olympiad/COCI/COCI-07-Barica.txt&amp;sa=D&amp;ust=1605639800001000&amp;usg=AFQjCNHKdR1TTNBotaqc5eoQoCJz2EE0_Q" xr:uid="{4716D2FA-8C5E-492F-AA57-7B689A23D310}"/>
    <hyperlink ref="B603" r:id="rId1052" display="https://www.google.com/url?q=https://codeforces.com/group/swEqtABRxe/contest/243438/problem/C&amp;sa=D&amp;ust=1605639800002000&amp;usg=AFQjCNFuQPfyJiLl5iPtDQYmeR3XsjQHjg" xr:uid="{3D47A5EE-5E6E-4B97-80E1-6DCF9624C92D}"/>
    <hyperlink ref="B604" r:id="rId1053" display="https://www.google.com/url?q=https://dunjudge.me/analysis/problems/1385/&amp;sa=D&amp;ust=1605639800002000&amp;usg=AFQjCNHVVTQcvd7ZL-KnqEL1ON2nn1lSSg" xr:uid="{99F1AF14-CCCE-4682-9851-85727445BA66}"/>
    <hyperlink ref="F604" r:id="rId1054" display="https://www.google.com/url?q=https://github.com/mostafa-saad/MyCompetitiveProgramming/blob/master/Olympiad/COCI/official/2013/contest6_solutions&amp;sa=D&amp;ust=1605639800002000&amp;usg=AFQjCNENdLqmVeS7vb72CdwbLynsLJ4VwQ" xr:uid="{30BE17E0-E346-49ED-B106-7694A9FD4276}"/>
    <hyperlink ref="B605" r:id="rId1055" display="https://www.google.com/url?q=https://dunjudge.me/analysis/problems/699/&amp;sa=D&amp;ust=1605639800003000&amp;usg=AFQjCNGYJC4XrrRA6MO8vJR13S6oh1Jz4g" xr:uid="{89F150C3-B9E7-492A-B688-D6DB4C7C300F}"/>
    <hyperlink ref="B606" r:id="rId1056" display="https://www.google.com/url?q=https://cses.fi/105/list/&amp;sa=D&amp;ust=1605639800003000&amp;usg=AFQjCNEG5Xf1Mdjr5i7V9Ha52Tj0LPp7Aw" xr:uid="{A448CA94-0768-4E5E-953A-CC6F3305FB90}"/>
    <hyperlink ref="F606" r:id="rId1057" display="https://www.google.com/url?q=https://github.com/mostafa-saad/MyCompetitiveProgramming/blob/master/Olympiad/Baltic/Baltic-10-PCB.txt&amp;sa=D&amp;ust=1605639800004000&amp;usg=AFQjCNGyHXvsCGv96LAqf_HtxynTowX-Kg" xr:uid="{14C0D4AD-F979-42AA-A2E4-658F3BD4E1CD}"/>
    <hyperlink ref="B607" r:id="rId1058" display="https://www.google.com/url?q=https://dunjudge.me/analysis/problems/1417/&amp;sa=D&amp;ust=1605639800004000&amp;usg=AFQjCNFquvJld93-c-To32Mds3Ljq8-TcQ" xr:uid="{0C89FA4D-D3E1-4918-AF2B-690B7685E484}"/>
    <hyperlink ref="F607" r:id="rId1059" display="https://www.google.com/url?q=https://github.com/mostafa-saad/MyCompetitiveProgramming/blob/master/Olympiad/COCI/official/2014/contest5_solutions&amp;sa=D&amp;ust=1605639800004000&amp;usg=AFQjCNGl0Izx9PKf5gn16qvQ0aYDv7106w" xr:uid="{549B5B84-2DAA-4110-ACEC-2EB92404D347}"/>
    <hyperlink ref="B608" r:id="rId1060" display="https://www.google.com/url?q=https://wcipeg.com/problem/coci077p4&amp;sa=D&amp;ust=1605639800005000&amp;usg=AFQjCNEubkEOViNmAjyDSQ5ynvLmo4Ca-g" xr:uid="{FECEFA80-F44A-4E0C-90EF-14BD0B8B7549}"/>
    <hyperlink ref="F608" r:id="rId1061" display="https://www.google.com/url?q=https://github.com/mostafa-saad/MyCompetitiveProgramming/blob/master/Olympiad/COCI/COCI-07-Jednakost.txt&amp;sa=D&amp;ust=1605639800005000&amp;usg=AFQjCNFsIKttwCrOsdnyfdDELRVKqM2Lpw" xr:uid="{D4BFE6D5-A6C5-4504-9CF0-E36A17D29E0E}"/>
    <hyperlink ref="B609" r:id="rId1062" display="https://www.google.com/url?q=https://dmoj.ca/problem/coci07c1p4&amp;sa=D&amp;ust=1605639800006000&amp;usg=AFQjCNErvjFJrgAPZ1lHl_xcGdt-jCIMjA" xr:uid="{D621E603-59CD-458A-ACF8-D2ABD3416F6F}"/>
    <hyperlink ref="F609" r:id="rId1063" display="https://www.google.com/url?q=https://github.com/mostafa-saad/MyCompetitiveProgramming/tree/master/Olympiad/COCI/official/2008/contest1_solutions&amp;sa=D&amp;ust=1605639800006000&amp;usg=AFQjCNEp-lM4e8kukHftRrdT9SOQqz1Hcg" xr:uid="{A0B08F7B-1ED8-4932-9962-342EED7915B5}"/>
    <hyperlink ref="B610" r:id="rId1064" display="https://www.google.com/url?q=http://usaco.org/index.php?page%3Dviewproblem2%26cpid%3D673&amp;sa=D&amp;ust=1605639800006000&amp;usg=AFQjCNGHrf-P33K-5kby0y6KeXcCMwU1Bw" xr:uid="{38E1E480-72A8-47A8-B7F1-4EC1191B3819}"/>
    <hyperlink ref="B611" r:id="rId1065" display="https://www.google.com/url?q=https://oj.uz/problem/view/COCI18_go&amp;sa=D&amp;ust=1605639800007000&amp;usg=AFQjCNGOuqgtNc6v5MSfIUfQGxmKfql96g" xr:uid="{F5B133FD-5422-46C0-8D46-B09C177D94CC}"/>
    <hyperlink ref="F611" r:id="rId1066" display="https://www.google.com/url?q=https://ideone.com/xq3cEb&amp;sa=D&amp;ust=1605639800007000&amp;usg=AFQjCNHO3Kt-pG9bV7KO1UKrLhL2cLdFLw" xr:uid="{A20973BB-45DA-4953-8EFA-EDC1C6F87EC9}"/>
    <hyperlink ref="B612" r:id="rId1067" display="https://www.google.com/url?q=https://dmoj.ca/problem/ccc16s4&amp;sa=D&amp;ust=1605639800008000&amp;usg=AFQjCNEvoqsLJXkWAPXTAJzT-_yBY1Ydrg" xr:uid="{FC82D283-73ED-4955-A821-A81B96354F95}"/>
    <hyperlink ref="B613" r:id="rId1068" display="https://www.google.com/url?q=https://dmoj.ca/problem/ccc18s4&amp;sa=D&amp;ust=1605639800008000&amp;usg=AFQjCNFEHVzIKkdXOy2pQvu15zDhhqMU6g" xr:uid="{1261EDD0-82E0-4885-B5CD-46020FDB2081}"/>
    <hyperlink ref="B614" r:id="rId1069" display="https://www.google.com/url?q=https://oj.uz/problems/source/307&amp;sa=D&amp;ust=1605639800011000&amp;usg=AFQjCNEqjZK-HLje8acjek9IsdaCMYWhGg" xr:uid="{7823685F-8C6E-4EBC-AD53-0ED5D97996B4}"/>
    <hyperlink ref="F614" r:id="rId1070" display="https://www.google.com/url?q=https://github.com/updown2/OI-Practice/blob/master/JOI/2018/Art.cpp&amp;sa=D&amp;ust=1605639800011000&amp;usg=AFQjCNEFx7XvZzjJ5Eynzb9j1ILwQ1sDKw" xr:uid="{4ADF9BE2-8DF8-4930-B9BD-E7113CFCF7BA}"/>
    <hyperlink ref="B615" r:id="rId1071" display="https://www.google.com/url?q=https://boi18-day2-open.kattis.com/problems&amp;sa=D&amp;ust=1605639800012000&amp;usg=AFQjCNFpA9cAdFH3l4ZzPALBCOBkRqFAhQ" xr:uid="{C3F4F01C-C5C8-4968-8946-5767A0D0A553}"/>
    <hyperlink ref="F615" r:id="rId1072" display="https://www.google.com/url?q=https://github.com/mostafa-saad/MyCompetitiveProgramming/blob/master/Olympiad/Baltic/Baltic-18-Paths.txt&amp;sa=D&amp;ust=1605639800012000&amp;usg=AFQjCNFvCqur46VuWwDgGzpGuMF1nEJrkQ" xr:uid="{A44D5106-7EF8-4364-B4DC-58CBF9F5D127}"/>
    <hyperlink ref="B616" r:id="rId1073" display="https://www.google.com/url?q=https://oj.uz/problems/source/6&amp;sa=D&amp;ust=1605639800012000&amp;usg=AFQjCNGpzdXmUbhs2JRLu2JuksnYBKLvIA" xr:uid="{AF57DB7E-1C3B-458E-9745-EBECC8E9D51D}"/>
    <hyperlink ref="F616" r:id="rId1074" display="https://www.google.com/url?q=https://github.com/mostafa-saad/MyCompetitiveProgramming/blob/master/Olympiad/JOI/JOIOC-13-Watching.txt&amp;sa=D&amp;ust=1605639800013000&amp;usg=AFQjCNEO01vnISp1Z-3mLC5of4kdndhU1g" xr:uid="{39D7555A-6FB7-43EA-8EC0-6561A3F709E8}"/>
    <hyperlink ref="B617" r:id="rId1075" display="https://www.google.com/url?q=http://usaco.org/index.php?page%3Dviewproblem2%26cpid%3D494&amp;sa=D&amp;ust=1605639800013000&amp;usg=AFQjCNHbKCGHDjzsWLLZA5KNxhX605Sr0g" xr:uid="{B7868CA0-0CEC-460D-805D-EA1581FED713}"/>
    <hyperlink ref="F617" r:id="rId1076" display="https://www.google.com/url?q=https://github.com/goar5670/CompetitiveProgramming/blob/master/USACO%252014dec-guard.cpp&amp;sa=D&amp;ust=1605639800013000&amp;usg=AFQjCNEPT4RoX_wj-VpO0W4jXh_KZThvZg" xr:uid="{233FF877-EFD4-4C47-AF56-868D5791E05F}"/>
    <hyperlink ref="B618" r:id="rId1077" display="https://www.google.com/url?q=https://contest.yandex.ru/ioi/contest/570/enter/&amp;sa=D&amp;ust=1605639800014000&amp;usg=AFQjCNEvyWiBAluqVf5mIMunGiMFWIOSTg" xr:uid="{7CB2A930-1424-4776-88A3-BBBF9C07AE9D}"/>
    <hyperlink ref="F618" r:id="rId1078" display="https://www.google.com/url?q=https://github.com/mostafa-saad/MyCompetitiveProgramming/blob/master/Olympiad/IOI/IOI-10-traffic.txt&amp;sa=D&amp;ust=1605639800014000&amp;usg=AFQjCNHOZIkTFM20c0AO67ILK-xbniWlaA" xr:uid="{C8C66BB6-BEC8-45F9-A437-9D9176205415}"/>
    <hyperlink ref="B619" r:id="rId1079" display="https://www.google.com/url?q=https://oj.uz/problem/view/JOI20_ho_t3&amp;sa=D&amp;ust=1605639800014000&amp;usg=AFQjCNEPxyx1c2R7ZJps2hGGU6M9qUofjQ" xr:uid="{A05D1263-49B0-40DA-BC20-A8AEEC00C2D8}"/>
    <hyperlink ref="F619" r:id="rId1080" display="https://www.google.com/url?q=https://github.com/mostafa-saad/MyCompetitiveProgramming/blob/master/Olympiad/JOI/JOI-20-CollectingStamps3.txt&amp;sa=D&amp;ust=1605639800015000&amp;usg=AFQjCNE7xdozgV_GO7knvvigTFMc8DDa6A" xr:uid="{639DCB42-E930-416D-B9DB-73ABA54154E9}"/>
    <hyperlink ref="B620" r:id="rId1081" display="https://www.google.com/url?q=https://dmoj.ca/problem/coci06c2p5&amp;sa=D&amp;ust=1605639800015000&amp;usg=AFQjCNFdAwOco3I8KTS2y8GHBNJcERKgjA" xr:uid="{3C7BA5ED-6EB7-41AA-831F-B83E6C663C48}"/>
    <hyperlink ref="F620" r:id="rId1082" display="https://www.google.com/url?q=https://github.com/mostafa-saad/MyCompetitiveProgramming/tree/master/Olympiad/COCI/official/2007/contest2_solutions&amp;sa=D&amp;ust=1605639800015000&amp;usg=AFQjCNHiGpsm1KAjh7RgPq0vrgxBSkW3sg" xr:uid="{CDAB42B2-7491-470E-8B0D-A6BF88937F97}"/>
    <hyperlink ref="B621" r:id="rId1083" display="https://www.google.com/url?q=https://dunjudge.me/analysis/problems/13/&amp;sa=D&amp;ust=1605639800015000&amp;usg=AFQjCNHw3V62cl37a3xQzXkT0HjDoU2T2Q" xr:uid="{AC61AD3C-13C7-4555-B3F4-FE9A5E56FC4F}"/>
    <hyperlink ref="B622" r:id="rId1084" display="https://www.google.com/url?q=https://www.infoarena.ro/problema/panza&amp;sa=D&amp;ust=1605639800016000&amp;usg=AFQjCNFbnw8FA9H25P0OsrGN-2gziCj0Pg" xr:uid="{F73F618A-048D-4F0B-A302-4C697CCCABEF}"/>
    <hyperlink ref="F622" r:id="rId1085" display="https://www.google.com/url?q=https://github.com/stefdasca/CompetitiveProgramming/blob/master/Infoarena/panza.cpp&amp;sa=D&amp;ust=1605639800016000&amp;usg=AFQjCNHDORKFZXeN4WcRv6YntnesLXXGUA" xr:uid="{B844ADFC-A05B-48AF-B1B7-453E0F17FA90}"/>
    <hyperlink ref="B623" r:id="rId1086" display="https://www.google.com/url?q=https://cses.fi/114/list/&amp;sa=D&amp;ust=1605639800017000&amp;usg=AFQjCNFauJpfRGy_CCV8JYKzpfE6qUEZaw" xr:uid="{18572AF1-7FC1-48AC-815F-22FD8A5E3E20}"/>
    <hyperlink ref="F623" r:id="rId1087" display="https://www.google.com/url?q=https://github.com/mostafa-saad/MyCompetitiveProgramming/blob/master/Olympiad/Baltic/official/boi2008_solutions&amp;sa=D&amp;ust=1605639800017000&amp;usg=AFQjCNH02ziGqgpQlcm1L-2YvH5eJqMEBQ" xr:uid="{C78943F1-2B88-4A1A-9D8E-653AD0207FC0}"/>
    <hyperlink ref="B624" r:id="rId1088" display="https://www.google.com/url?q=https://dmoj.ca/problem/coci08c2p5&amp;sa=D&amp;ust=1605639800017000&amp;usg=AFQjCNEyMq8UefukFSzPcM_FFPVyA5-Oow" xr:uid="{890B9329-B67B-4F9D-951A-E4F688E1D37E}"/>
    <hyperlink ref="F624" r:id="rId1089" display="https://www.google.com/url?q=https://github.com/mostafa-saad/MyCompetitiveProgramming/blob/master/Olympiad/COCI/official/2009/contest2_solutions&amp;sa=D&amp;ust=1605639800017000&amp;usg=AFQjCNEiZQyVAdJmRLlUh7E7-iQFbIEIIw" xr:uid="{5BCF153C-B913-4481-9D21-D51DCC8216B1}"/>
    <hyperlink ref="B625" r:id="rId1090" display="https://www.google.com/url?q=https://dunjudge.me/analysis/problems/134/&amp;sa=D&amp;ust=1605639800065000&amp;usg=AFQjCNGu2yC39-h4i4TiGsFSNNHd7A6JcQ" xr:uid="{4A65E4A8-719B-48C0-A52B-57D30D201EA9}"/>
    <hyperlink ref="F625" r:id="rId1091" display="https://www.google.com/url?q=https://github.com/mostafa-saad/MyCompetitiveProgramming/blob/master/Olympiad/NOI/official&amp;sa=D&amp;ust=1605639800065000&amp;usg=AFQjCNHaGBrhlorld1xjgAojZSCajd3U8g" xr:uid="{C47B2A16-BF12-4A7A-A5C1-ADB97F2142C6}"/>
    <hyperlink ref="B626" r:id="rId1092" display="https://www.google.com/url?q=https://dunjudge.me/analysis/problems/67/&amp;sa=D&amp;ust=1605639800065000&amp;usg=AFQjCNG-b3ov0lKMyJDVe2X47NSF7BF49Q" xr:uid="{E9660023-5DEC-4B75-894D-6F04D6ADAC19}"/>
    <hyperlink ref="F626" r:id="rId1093" display="https://www.google.com/url?q=https://github.com/mostafa-saad/MyCompetitiveProgramming/blob/master/Olympiad/NOI/official&amp;sa=D&amp;ust=1605639800066000&amp;usg=AFQjCNHdEytyZYhLG_0yK593nI77DolgpQ" xr:uid="{CE91A805-C3BA-422D-93CF-173AAB5B07D9}"/>
    <hyperlink ref="B627" r:id="rId1094" display="https://www.google.com/url?q=https://dunjudge.me/analysis/problems/703/&amp;sa=D&amp;ust=1605639800066000&amp;usg=AFQjCNHNwdx-P22cxlSZuW9jdxpo218jjg" xr:uid="{00913272-857F-472D-BF4B-C3A71870480A}"/>
    <hyperlink ref="F627" r:id="rId1095" display="https://www.google.com/url?q=https://github.com/mostafa-saad/MyCompetitiveProgramming/blob/master/Olympiad/NOI/official&amp;sa=D&amp;ust=1605639800066000&amp;usg=AFQjCNHdEytyZYhLG_0yK593nI77DolgpQ" xr:uid="{2D0AD661-E561-41B3-86C6-0C8C0D8CF68E}"/>
    <hyperlink ref="B628" r:id="rId1096" display="https://www.google.com/url?q=https://dmoj.ca/problem/ccoprep16q1&amp;sa=D&amp;ust=1605639800067000&amp;usg=AFQjCNHZ2-vW-lUeYIDgLpRR56q1F2FXcA" xr:uid="{77D6927B-76C9-4A83-9419-6C7ECF3A7BA6}"/>
    <hyperlink ref="B629" r:id="rId1097" display="https://www.google.com/url?q=https://oj.uz/problem/view/info1cup18_maxcomp&amp;sa=D&amp;ust=1605639800067000&amp;usg=AFQjCNExYWE3-w1_E9aq1_TusEmRU1QPww" xr:uid="{84A99BC5-FFB9-4CD7-9C07-2F0F67FE2AA8}"/>
    <hyperlink ref="B630" r:id="rId1098" display="https://www.google.com/url?q=http://usaco.org/index.php?page%3Dviewproblem2%26cpid%3D945&amp;sa=D&amp;ust=1605639800068000&amp;usg=AFQjCNFDdI41OH0_Ta2VT3F0LYEIA0jIdg" xr:uid="{65F7F4F9-0008-4B1F-9D21-AA4863746D8C}"/>
    <hyperlink ref="B631" r:id="rId1099" display="https://www.google.com/url?q=https://cses.fi/110/list/&amp;sa=D&amp;ust=1605639800068000&amp;usg=AFQjCNFWDa0bHBJ_fr5T5L3F4woSD3wDPw" xr:uid="{25E23189-A8A4-4FEA-B81F-881475334340}"/>
    <hyperlink ref="F631" r:id="rId1100" display="https://www.google.com/url?q=https://github.com/mostafa-saad/MyCompetitiveProgramming/blob/master/Olympiad/Baltic/official/boi2006_solutions&amp;sa=D&amp;ust=1605639800069000&amp;usg=AFQjCNH2zRKRuSa1CGjsqJfg9UixSDHsSw" xr:uid="{D82831AC-C465-4ABC-BA88-B9F001C66CD2}"/>
    <hyperlink ref="B632" r:id="rId1101" display="https://www.google.com/url?q=https://dunjudge.me/analysis/problems/958/&amp;sa=D&amp;ust=1605639800071000&amp;usg=AFQjCNH-92Z3wncjRVgijT8j6MZOb6koPw" xr:uid="{5620C76B-E751-4D7C-960F-B077EFA3ABBB}"/>
    <hyperlink ref="F632" r:id="rId1102" display="https://www.google.com/url?q=https://github.com/mostafa-saad/MyCompetitiveProgramming/blob/master/Olympiad/NOI/official&amp;sa=D&amp;ust=1605639800071000&amp;usg=AFQjCNF4tpXc4C7n2HbD0A6MvD5KJHu7WQ" xr:uid="{28300654-311C-4E3D-B327-B154D2409EC8}"/>
    <hyperlink ref="B633" r:id="rId1103" display="https://www.google.com/url?q=https://szkopul.edu.pl/problemset/problem/uABxo7lIMMVDn0-HB1wCE02w/site/&amp;sa=D&amp;ust=1605639800072000&amp;usg=AFQjCNEq6uuWdTwG6ahrDJXGjTlq9w-mow" xr:uid="{5940114B-74AD-4CA3-9362-4886CE64E08A}"/>
    <hyperlink ref="F633" r:id="rId1104" display="https://www.google.com/url?q=https://github.com/mostafa-saad/MyCompetitiveProgramming/blob/master/Olympiad/POI/official/find_editorial_sols_guidelines.txt&amp;sa=D&amp;ust=1605639800072000&amp;usg=AFQjCNHHYAJ2kB5puif6JcT4HrJ6C719Jw" xr:uid="{283C3A96-D733-4999-A2DC-773CEA3DB61D}"/>
    <hyperlink ref="B634" r:id="rId1105" display="https://www.google.com/url?q=https://szkopul.edu.pl/problemset/problem/xmyBMI5AsEiW30_RyePNSXiG/site/&amp;sa=D&amp;ust=1605639800073000&amp;usg=AFQjCNHodmo3PbtaxaSfxpJYI1uNxk0Zdg" xr:uid="{453CA0D9-E12D-4540-B217-0DC8D4675723}"/>
    <hyperlink ref="F634" r:id="rId1106" display="https://www.google.com/url?q=https://github.com/mostafa-saad/MyCompetitiveProgramming/blob/master/Olympiad/POI/official/find_editorial_sols_guidelines.txt&amp;sa=D&amp;ust=1605639800073000&amp;usg=AFQjCNFY7-Y9pT6Y_D_27Bs25x6Tr3EuKA" xr:uid="{52587C4C-34B0-4447-8893-638E3C5C0EB8}"/>
    <hyperlink ref="B635" r:id="rId1107" display="https://www.google.com/url?q=https://oj.uz/problem/view/POI13_luk&amp;sa=D&amp;ust=1605639800073000&amp;usg=AFQjCNFx5Cs5t4o12AFk0YB7M0JIOROaEg" xr:uid="{638086B5-75C2-47DF-8C15-BACDBBFF2FEE}"/>
    <hyperlink ref="F635" r:id="rId1108" display="https://www.google.com/url?q=https://github.com/mostafa-saad/MyCompetitiveProgramming/blob/master/Olympiad/POI/official/find_editorial_sols_guidelines.txt&amp;sa=D&amp;ust=1605639800074000&amp;usg=AFQjCNFDDlz5l3dORWhIrlki59ViYGKPlQ" xr:uid="{A790F19C-ABCF-4B61-9B86-F8809DF886B0}"/>
    <hyperlink ref="B636" r:id="rId1109" display="https://www.google.com/url?q=https://oj.uz/problem/view/POI13_mor&amp;sa=D&amp;ust=1605639800074000&amp;usg=AFQjCNEs4Eb8vpwOVeLWNYOCL26_n4hPFQ" xr:uid="{29CEB0BD-90D8-4FE5-B615-DE82FF017511}"/>
    <hyperlink ref="F636" r:id="rId1110" display="https://www.google.com/url?q=https://github.com/mostafa-saad/MyCompetitiveProgramming/blob/master/Olympiad/POI/official/find_editorial_sols_guidelines.txt&amp;sa=D&amp;ust=1605639800074000&amp;usg=AFQjCNFDDlz5l3dORWhIrlki59ViYGKPlQ" xr:uid="{39CD169A-D094-4C87-9F70-AA39AEF443FC}"/>
    <hyperlink ref="B637" r:id="rId1111" display="https://www.google.com/url?q=https://joi2014ho.contest.atcoder.jp/tasks/joi2014ho2&amp;sa=D&amp;ust=1605639800075000&amp;usg=AFQjCNGpR7ZKthfOftQymmZwOqzAfcWFzA" xr:uid="{01F786B8-8344-4426-8556-BB8F1C388D7B}"/>
    <hyperlink ref="B638" r:id="rId1112" display="https://www.google.com/url?q=https://dunjudge.me/analysis/problems/700/&amp;sa=D&amp;ust=1605639800075000&amp;usg=AFQjCNFg-eV2GEx05E6EowCVbwvdcr_G5Q" xr:uid="{F9EAF921-5852-4C88-BF68-CC7333B4E528}"/>
    <hyperlink ref="B639" r:id="rId1113" display="https://www.google.com/url?q=https://dunjudge.me/analysis/problems/270/&amp;sa=D&amp;ust=1605639800076000&amp;usg=AFQjCNG7kkstyULLdxeLmBD8pZyYnBT7vA" xr:uid="{FB1535FA-3302-47EA-90E8-42ED812F8EA4}"/>
    <hyperlink ref="F639" r:id="rId1114" display="https://www.google.com/url?q=https://github.com/mostafa-saad/MyCompetitiveProgramming/blob/master/Olympiad/NOI/official&amp;sa=D&amp;ust=1605639800076000&amp;usg=AFQjCNGsXsa_F84TyAM8JQ3zeBit5TN4-g" xr:uid="{9329E7BA-C9C5-4C53-9B1E-7F319FE8F2A1}"/>
    <hyperlink ref="B640" r:id="rId1115" display="https://www.google.com/url?q=https://dmoj.ca/problem/coci06c4p4&amp;sa=D&amp;ust=1605639800076000&amp;usg=AFQjCNHaihBOEvnRxBeFhOK4R4StIGAVxA" xr:uid="{99E334B1-F002-4C02-A312-D452555C18F3}"/>
    <hyperlink ref="F640" r:id="rId1116" display="https://www.google.com/url?q=https://github.com/mostafa-saad/MyCompetitiveProgramming/tree/master/Olympiad/COCI/official/2007/contest4_solutions&amp;sa=D&amp;ust=1605639800076000&amp;usg=AFQjCNGC3TKj3VU7h0vpUPZ9uncaxTNT1A" xr:uid="{3A3B6DAB-7945-4AF4-85CF-3589A7F40065}"/>
    <hyperlink ref="B641" r:id="rId1117" display="https://www.google.com/url?q=https://contest.yandex.ru/snss2018/contest/8703/problems/A&amp;sa=D&amp;ust=1605639800077000&amp;usg=AFQjCNE0_QhTwBjTrXHeR8h107DRJmpKJg" xr:uid="{74ED8818-FE2F-47A0-8895-D6B56F2D63C8}"/>
    <hyperlink ref="F641" r:id="rId1118" display="https://www.google.com/url?q=https://github.com/SpeedOfMagic/CompetitiveProgramming/blob/master/SNSS/18-R5-A.cpp&amp;sa=D&amp;ust=1605639800077000&amp;usg=AFQjCNGPeXAdNT1rbyGmLhLsEhotgegAjw" xr:uid="{C9A06671-0C71-4AA9-B495-2614B0CEB80E}"/>
    <hyperlink ref="B642" r:id="rId1119" display="https://www.google.com/url?q=https://cses.fi/116/list/&amp;sa=D&amp;ust=1605639800077000&amp;usg=AFQjCNGN8NelU3VTno8goK0eyxVH435QcA" xr:uid="{503A6BBD-CC30-4C14-AAD3-FA27A6275D0C}"/>
    <hyperlink ref="F642" r:id="rId1120" display="https://www.google.com/url?q=https://github.com/mostafa-saad/MyCompetitiveProgramming/blob/master/Olympiad/Baltic/official/boi2005_solutions&amp;sa=D&amp;ust=1605639800078000&amp;usg=AFQjCNHATzjdxl5O_84VTDquHqCvo55Png" xr:uid="{E62BFDA5-BEC4-4024-AC67-FC339E3163F9}"/>
    <hyperlink ref="B643" r:id="rId1121" display="https://www.google.com/url?q=https://joi2016ho.contest.atcoder.jp/tasks/joi2016ho_a&amp;sa=D&amp;ust=1605639800078000&amp;usg=AFQjCNEjT_r25n9kx-dRSzsakbsXavsxMw" xr:uid="{A15C3AC3-78E0-4698-8166-781498977520}"/>
    <hyperlink ref="F643" r:id="rId1122" display="https://www.google.com/url?q=https://github.com/nikolapesic2802/Programming-Practice/blob/master/Oranges/main.cpp&amp;sa=D&amp;ust=1605639800079000&amp;usg=AFQjCNEGjNV8nu401e05RaQnbU3k6O6UWg" xr:uid="{F7CC756F-1B01-4D4B-A0D0-46372CE45B13}"/>
    <hyperlink ref="B644" r:id="rId1123" display="https://www.google.com/url?q=https://www.infoarena.ro/problema/tablou&amp;sa=D&amp;ust=1605639800079000&amp;usg=AFQjCNE1nTuDRyueL2LohIH_EwHd0lZRlQ" xr:uid="{7F7AB2A9-62F8-4488-9F37-4A54888C96D8}"/>
    <hyperlink ref="F644" r:id="rId1124" display="https://www.google.com/url?q=https://github.com/stefdasca/CompetitiveProgramming/blob/master/Infoarena/tablou.cpp&amp;sa=D&amp;ust=1605639800080000&amp;usg=AFQjCNGV5bXDVsRQcpzphd4CBEAZtTp5nQ" xr:uid="{A77AF3F0-C038-43EB-8577-667E815DFF3A}"/>
    <hyperlink ref="B645" r:id="rId1125" display="https://www.google.com/url?q=http://usaco.org/index.php?page%3Dviewproblem2%26cpid%3D193&amp;sa=D&amp;ust=1605639800080000&amp;usg=AFQjCNHmMIgT1jJcoGVruB32_artQYRMvw" xr:uid="{63FEC508-5E69-443C-BBB1-E0AE91A285EC}"/>
    <hyperlink ref="B646" r:id="rId1126" display="https://www.google.com/url?q=https://dunjudge.me/analysis/problems/695/&amp;sa=D&amp;ust=1605639800081000&amp;usg=AFQjCNG9MtDYw2WfYYszjKWsYsJzEm10MA" xr:uid="{B95D7038-6B7A-464E-9E41-E266C9D9F7B6}"/>
    <hyperlink ref="B647" r:id="rId1127" display="https://www.google.com/url?q=https://oj.uz/problem/view/COCI14_studentsko&amp;sa=D&amp;ust=1605639800081000&amp;usg=AFQjCNEmDZM9aM0WACtmHSRGIxDpgaoXpQ" xr:uid="{ACBDA44B-5327-46EF-AF72-4ED0B8F22B58}"/>
    <hyperlink ref="F647" r:id="rId1128" display="https://www.google.com/url?q=https://github.com/mostafa-saad/MyCompetitiveProgramming/blob/master/Olympiad/COCI/COCI-14-studentsko.txt&amp;sa=D&amp;ust=1605639800082000&amp;usg=AFQjCNHIsOS-utZShJBWrrLJNxgUq1Lbng" xr:uid="{EA245378-6466-474B-A777-6FE99323A91E}"/>
    <hyperlink ref="B648" r:id="rId1129" display="https://www.google.com/url?q=https://www.acmicpc.net/problem/7086&amp;sa=D&amp;ust=1605639800082000&amp;usg=AFQjCNFXgYoxi-RO1Y0Mpjd4qWo0qiwm8g" xr:uid="{7112B2A2-3E97-4E67-A3A9-3AD6DFCED1C1}"/>
    <hyperlink ref="F648" r:id="rId1130" display="https://www.google.com/url?q=https://github.com/koosaga/olympiad/blob/master/Balkan/balkan05_race.cpp&amp;sa=D&amp;ust=1605639800082000&amp;usg=AFQjCNGOuL5qxxgFeD2Y2hF482x4QIb0vw" xr:uid="{3D3AF5A3-EF5D-400A-AA1F-39521D22F34D}"/>
    <hyperlink ref="B649" r:id="rId1131" display="https://www.google.com/url?q=https://oj.uz/problem/view/IOI07_miners&amp;sa=D&amp;ust=1605639800083000&amp;usg=AFQjCNFazhTZsJQ-5osWljg_4ai14egpAA" xr:uid="{A2B3BD32-2D4F-4936-8994-3992D035342D}"/>
    <hyperlink ref="F649" r:id="rId1132" display="https://www.google.com/url?q=https://github.com/mostafa-saad/MyCompetitiveProgramming/blob/master/Olympiad/IOI/official/2007&amp;sa=D&amp;ust=1605639800083000&amp;usg=AFQjCNH3yxGNJObSQWW-xtOT2QKuV6Zj1w" xr:uid="{D104FA6F-ABEF-49E3-8858-1D7FEA527DAB}"/>
    <hyperlink ref="B650" r:id="rId1133" display="https://www.google.com/url?q=https://oj.uz/problem/view/COCI19_slicice&amp;sa=D&amp;ust=1605639800085000&amp;usg=AFQjCNH2awVkJV4ZLAEU7P2cDPFi1_j2iw" xr:uid="{55E5B1D2-F23B-45E5-9AD5-F3B56F40341E}"/>
    <hyperlink ref="F650" r:id="rId1134" display="https://www.google.com/url?q=https://github.com/CPSolutionsSzawinis/CompetitiveProgramming/blob/master/Olympiad/COCI/COCI19-slicice.cpp&amp;sa=D&amp;ust=1605639800085000&amp;usg=AFQjCNG6WUg-1J9Xmy9UTwDmODeXn--CpQ" xr:uid="{0F332834-D3C0-4A72-B2AD-EE4CE5166BCA}"/>
    <hyperlink ref="B651" r:id="rId1135" display="https://www.google.com/url?q=https://oj.uz/problem/view/COCI18_mate&amp;sa=D&amp;ust=1605639800086000&amp;usg=AFQjCNEFW-AGC3mrTiPxZjqLfcR5Y0xRnw" xr:uid="{97CE8AC3-1767-4B1C-9031-A2424E41796D}"/>
    <hyperlink ref="B652" r:id="rId1136" display="https://www.google.com/url?q=https://codeforces.com/group/swEqtABRxe/contest/243431/problem/B&amp;sa=D&amp;ust=1605639800086000&amp;usg=AFQjCNGnSSwnrRqA1YB7EEAYo0AQVYS4ag" xr:uid="{5BB97ADC-2D3F-4DBE-9F2B-0CBAE862FE75}"/>
    <hyperlink ref="B653" r:id="rId1137" display="https://www.google.com/url?q=https://dunjudge.me/analysis/problems/73/&amp;sa=D&amp;ust=1605639800087000&amp;usg=AFQjCNGnwEeDj2qduKXCkY-kCys3-65U3A" xr:uid="{164435E6-CF6B-483D-A404-E887BAD41EA5}"/>
    <hyperlink ref="F653" r:id="rId1138" display="https://www.google.com/url?q=https://github.com/mostafa-saad/MyCompetitiveProgramming/blob/master/Olympiad/NOI/official&amp;sa=D&amp;ust=1605639800087000&amp;usg=AFQjCNErzq8tEzQqc4UJ0HpUgXDUJShd6g" xr:uid="{94F5D203-1980-4CF1-86FD-1C0C6B914E11}"/>
    <hyperlink ref="B654" r:id="rId1139" display="https://www.google.com/url?q=https://oj.uz/problem/view/NOI18_journey&amp;sa=D&amp;ust=1605639800087000&amp;usg=AFQjCNF4YuvgGkA5lnhnS5XL_R0jCCMC8w" xr:uid="{21B19461-B877-42F2-9150-BDF92F2A1671}"/>
    <hyperlink ref="F654" r:id="rId1140" display="https://www.google.com/url?q=https://github.com/mostafa-saad/MyCompetitiveProgramming/blob/master/Olympiad/NOI/official&amp;sa=D&amp;ust=1605639800088000&amp;usg=AFQjCNGp1fC13JrighwOJR_3ElWOKjVQPg" xr:uid="{22B91149-1E82-4198-AD7B-8C411BB6969A}"/>
    <hyperlink ref="B655" r:id="rId1141" display="https://www.google.com/url?q=https://dmoj.ca/contest/cco18d1&amp;sa=D&amp;ust=1605639800088000&amp;usg=AFQjCNGc5m5eJzTWDvTHzXWD2Ko0CYG5Xg" xr:uid="{AAEE4F39-4768-43C3-8991-38E7D65F3A89}"/>
    <hyperlink ref="F655" r:id="rId1142" display="https://www.google.com/url?q=https://github.com/timpostuvan/CompetitiveProgramming/blob/master/Olympiad/CCO/GeeseVsHawks2018.cpp&amp;sa=D&amp;ust=1605639800088000&amp;usg=AFQjCNF8OGFxx96gNX_5We2Ju9-9KWxiYw" xr:uid="{4C2B1507-7B89-4BE1-B6E4-30335E383C54}"/>
    <hyperlink ref="B656" r:id="rId1143" display="https://www.google.com/url?q=https://oj.uz/problem/view/NOI12_walking&amp;sa=D&amp;ust=1605639800089000&amp;usg=AFQjCNEnOsvQ8Zbxg2Ie7OU2VL9bEKKN_Q" xr:uid="{4E175CC7-B371-4301-BEE3-FB874362539F}"/>
    <hyperlink ref="F656" r:id="rId1144" display="https://www.google.com/url?q=https://www.comp.nus.edu.sg/~noi/2012/2012_soln.pdf&amp;sa=D&amp;ust=1605639800089000&amp;usg=AFQjCNGlkSS5bI4rYYmFXKI2AB368FDlyA" xr:uid="{B2BE2DBC-40B5-437C-9ACD-EA5D73FADA34}"/>
    <hyperlink ref="B657" r:id="rId1145" display="https://www.google.com/url?q=https://joi2013ho.contest.atcoder.jp/tasks/joi2013ho2&amp;sa=D&amp;ust=1605639800090000&amp;usg=AFQjCNETa5g3BeM9RfmsXRYQatuY30RHxA" xr:uid="{CA2DEEF0-303F-4490-8064-159C80C6DE19}"/>
    <hyperlink ref="B658" r:id="rId1146" display="https://www.google.com/url?q=https://www.infoarena.ro/problema/cerc3&amp;sa=D&amp;ust=1605639800091000&amp;usg=AFQjCNGqq3ZCDpfkdrMR0G7FeBvLLdCkfQ" xr:uid="{5038EC43-EB7D-42AA-9F03-83034C883076}"/>
    <hyperlink ref="F658" r:id="rId1147" display="https://www.google.com/url?q=https://github.com/stefdasca/CompetitiveProgramming/blob/master/Infoarena/cerc3.cpp&amp;sa=D&amp;ust=1605639800091000&amp;usg=AFQjCNH9Dp2Un7fZqvtUfFJNOXPLM6xMHw" xr:uid="{4D1E0F57-AFB8-4E08-BBE8-A20F1A75C242}"/>
    <hyperlink ref="B659" r:id="rId1148" display="https://www.google.com/url?q=https://dmoj.ca/problem/coci14c1p5&amp;sa=D&amp;ust=1605639800091000&amp;usg=AFQjCNGtJDCvDKs0hsZKG08PrbY2xh-5SQ" xr:uid="{1F026574-00D2-4319-A3E5-42DBD85324C3}"/>
    <hyperlink ref="F659" r:id="rId1149" display="https://www.google.com/url?q=https://github.com/mostafa-saad/MyCompetitiveProgramming/blob/master/Olympiad/COCI/official/2015/contest1_solutions&amp;sa=D&amp;ust=1605639800092000&amp;usg=AFQjCNEfMFrLc7N447gTwPnntCPzxN8f3g" xr:uid="{B5FB08BE-2149-42E6-B8D7-026CFDCB3066}"/>
    <hyperlink ref="B660" r:id="rId1150" display="https://www.google.com/url?q=https://github.com/stefdasca/CompetitiveProgramming/blob/master/Info1Cup/National%2520Round/Mean%2520(RO).pdf&amp;sa=D&amp;ust=1605639800092000&amp;usg=AFQjCNFC0syk6iWvf8nug9NWoXXaRA9mYg" xr:uid="{99858C0E-6165-403D-B224-8ADEC76E045D}"/>
    <hyperlink ref="F660" r:id="rId1151" display="https://www.google.com/url?q=https://github.com/stefdasca/CompetitiveProgramming/blob/master/Info1Cup/National%2520Round/mean.cpp&amp;sa=D&amp;ust=1605639800092000&amp;usg=AFQjCNHN1pcvcV1BN_iWaxneGbpJauWefg" xr:uid="{D5191BE8-31A0-4C67-B2B2-F8045224F67D}"/>
    <hyperlink ref="B661" r:id="rId1152" display="https://www.google.com/url?q=https://dunjudge.me/analysis/problems/1221/&amp;sa=D&amp;ust=1605639800093000&amp;usg=AFQjCNH0IhfRnxfvq7GOMt8tHCHPqvf4gw" xr:uid="{9A266652-14ED-4232-850A-B8435BBE3050}"/>
    <hyperlink ref="F661" r:id="rId1153" display="https://www.google.com/url?q=https://github.com/mostafa-saad/MyCompetitiveProgramming/blob/master/Olympiad/COCI/official/2015/contest7_solutions&amp;sa=D&amp;ust=1605639800093000&amp;usg=AFQjCNELmD4HOOAgtlqMaKRH1_4bzuCBfg" xr:uid="{848AABA1-5BB9-496C-AC76-2360F73C29EA}"/>
    <hyperlink ref="B662" r:id="rId1154" display="https://www.google.com/url?q=http://poj.org/problem?id%3D1159&amp;sa=D&amp;ust=1605639800093000&amp;usg=AFQjCNHYYZZHNIju17Gd6FgkxuvC4q_9BQ" xr:uid="{07176FE2-5C94-48EC-A8A0-8B7A810244A9}"/>
    <hyperlink ref="F662" r:id="rId1155" display="https://www.google.com/url?q=https://github.com/mostafa-saad/MyCompetitiveProgramming/blob/master/Olympiad/IOI/official/2000&amp;sa=D&amp;ust=1605639800093000&amp;usg=AFQjCNEH1y8N7SFXAIdZYwFLAIhxmp3hHg" xr:uid="{2ED4E1EF-993F-443E-9EBE-9FBFF27EF4CE}"/>
    <hyperlink ref="B663" r:id="rId1156" display="https://www.google.com/url?q=https://dunjudge.me/analysis/problems/1496/&amp;sa=D&amp;ust=1605639800094000&amp;usg=AFQjCNFzmdJc3N4aON4KC-uNwbqfhek9ag" xr:uid="{7D9661E2-1BFF-416A-90FF-7DDE27EF2A90}"/>
    <hyperlink ref="B664" r:id="rId1157" display="https://www.google.com/url?q=https://dunjudge.me/analysis/problems/1480/&amp;sa=D&amp;ust=1605639800094000&amp;usg=AFQjCNHbd4KPUMvks4kRp3GoKjjnyrg3Fw" xr:uid="{3DEDB2BB-0206-44AB-A9BD-D58BA3FF149C}"/>
    <hyperlink ref="B665" r:id="rId1158" display="https://www.google.com/url?q=https://dunjudge.me/analysis/problems/419/&amp;sa=D&amp;ust=1605639800095000&amp;usg=AFQjCNGDFTRIWUcqPmaR-GK2D7yexARZYQ" xr:uid="{79A08011-8B5A-4DE9-B52D-8A46A87640E2}"/>
    <hyperlink ref="B666" r:id="rId1159" display="https://www.google.com/url?q=https://dunjudge.me/analysis/problems/414/&amp;sa=D&amp;ust=1605639800096000&amp;usg=AFQjCNHwPh3X6PMc7aVoGcB7LlRTaACpug" xr:uid="{6718D68F-F101-4FA6-87B7-5AA082393D09}"/>
    <hyperlink ref="B667" r:id="rId1160" display="https://www.google.com/url?q=https://dunjudge.me/analysis/problems/681/&amp;sa=D&amp;ust=1605639800096000&amp;usg=AFQjCNGlWpWKn_DEozf7KHnsKkBkHVkfYQ" xr:uid="{B59A2221-496A-4267-9DEF-D7A03582A92C}"/>
    <hyperlink ref="B668" r:id="rId1161" display="https://www.google.com/url?q=https://dunjudge.me/analysis/problems/675/&amp;sa=D&amp;ust=1605639800097000&amp;usg=AFQjCNGJHoGZzL7VxAH_EyldXJ_2dVDc5A" xr:uid="{B150A979-D93C-4AC6-B97F-E9C7B1C25FEB}"/>
    <hyperlink ref="B669" r:id="rId1162" display="https://www.google.com/url?q=https://dunjudge.me/analysis/problems/934/&amp;sa=D&amp;ust=1605639800097000&amp;usg=AFQjCNFRTfana-QtR5pR1VWcJS_P2VSSBg" xr:uid="{2EED0BCE-7D01-413E-A223-1120E1F8D51A}"/>
    <hyperlink ref="B670" r:id="rId1163" display="https://www.google.com/url?q=https://dunjudge.me/analysis/problems/1471/&amp;sa=D&amp;ust=1605639800097000&amp;usg=AFQjCNFePTL6NZtfwfCoBoRGGSZg8c0SIg" xr:uid="{B16F5F25-F1BA-4C4A-9518-7AED75888062}"/>
    <hyperlink ref="B671" r:id="rId1164" display="https://www.google.com/url?q=https://dunjudge.me/analysis/problems/1461/&amp;sa=D&amp;ust=1605639800106000&amp;usg=AFQjCNGx_c_KTgPuKd2L9n1qwJdLAcSVpg" xr:uid="{CDDD5BA3-E71D-4E24-B819-7786D58EC270}"/>
    <hyperlink ref="B672" r:id="rId1165" display="https://www.google.com/url?q=https://dunjudge.me/analysis/problems/1473/&amp;sa=D&amp;ust=1605639800106000&amp;usg=AFQjCNFyz-_uCZ2rxrRskN1YFlYDdl4DAQ" xr:uid="{4C0126CE-C01B-4097-BBC1-4303DAC7105E}"/>
    <hyperlink ref="B673" r:id="rId1166" display="https://www.google.com/url?q=https://oj.uz/problem/view/APIO16_boat&amp;sa=D&amp;ust=1605639800107000&amp;usg=AFQjCNH2PlRT-Dxut8qTk6FiZKtIC_A_VQ" xr:uid="{9BCBA33E-5415-4727-B37C-37E8DFE6DB92}"/>
    <hyperlink ref="F673" r:id="rId1167" display="https://www.google.com/url?q=https://github.com/mostafa-saad/MyCompetitiveProgramming/blob/master/Olympiad/APIO/APIO-16-boat.txt&amp;sa=D&amp;ust=1605639800107000&amp;usg=AFQjCNEcDa_ghkLk6PioC3XbE_hLJk9Tig" xr:uid="{72076481-83D0-47F4-91C9-2E95F46EB6B9}"/>
    <hyperlink ref="B674" r:id="rId1168" display="https://www.google.com/url?q=https://szkopul.edu.pl/problemset/problem/XNaC6RSk8o9MIJkuaL6O4t0u/site/&amp;sa=D&amp;ust=1605639800107000&amp;usg=AFQjCNGoQWZr5xjVMREuOUH-JB_5i8Hqmw" xr:uid="{00896FF3-8B52-4443-98D5-6A3625AEED31}"/>
    <hyperlink ref="F674" r:id="rId1169" display="https://www.google.com/url?q=https://github.com/mostafa-saad/MyCompetitiveProgramming/blob/master/Olympiad/POI/POI-08-Escape.txt&amp;sa=D&amp;ust=1605639800107000&amp;usg=AFQjCNE3lexCx99GB-oLlADIf4KI9pE0dA" xr:uid="{53A99466-0829-4511-9A70-D630C702380E}"/>
    <hyperlink ref="B675" r:id="rId1170" display="https://www.google.com/url?q=https://dmoj.ca/problem/coci14c4p6&amp;sa=D&amp;ust=1605639800108000&amp;usg=AFQjCNEfvTjZay3e2IFTDcubHNCg-vEeWg" xr:uid="{5C1B489D-B422-4E04-9466-139364087CB4}"/>
    <hyperlink ref="F675" r:id="rId1171" display="https://www.google.com/url?q=https://github.com/mostafa-saad/MyCompetitiveProgramming/blob/master/Olympiad/COCI/COCI-14-Stanovi.txt&amp;sa=D&amp;ust=1605639800108000&amp;usg=AFQjCNHXENKsBq9A23RbkjbbuvUEWgAz4A" xr:uid="{9FDFADC4-CC5F-465B-B0B6-488AE29D5A98}"/>
    <hyperlink ref="B676" r:id="rId1172" display="https://www.google.com/url?q=https://dmoj.ca/problem/coci14c6p5&amp;sa=D&amp;ust=1605639800109000&amp;usg=AFQjCNFH6sUln-T6_TNqmY54jOZ2-U1B4Q" xr:uid="{6A02DB10-FB29-40B7-97E9-9FA5D203D9ED}"/>
    <hyperlink ref="F676" r:id="rId1173" display="https://www.google.com/url?q=https://github.com/mostafa-saad/MyCompetitiveProgramming/blob/master/Olympiad/COCI/official/2015/contest6_solutions&amp;sa=D&amp;ust=1605639800109000&amp;usg=AFQjCNFdm10uepegSTk5zJTj30QFVCX-7A" xr:uid="{58B0838B-D349-4A17-B6CB-EF01AE323905}"/>
    <hyperlink ref="B677" r:id="rId1174" display="https://www.google.com/url?q=https://oj.uz/problem/view/APIO13_robots&amp;sa=D&amp;ust=1605639800109000&amp;usg=AFQjCNHk8Dpr_9Ajde_WmLhClZs8job-Wg" xr:uid="{4A700C83-3BCE-4D29-A71A-CA8627C4D536}"/>
    <hyperlink ref="F677" r:id="rId1175" display="https://www.google.com/url?q=https://github.com/mostafa-saad/MyCompetitiveProgramming/blob/master/Olympiad/APIO/APIO-13-Robots.txt&amp;sa=D&amp;ust=1605639800110000&amp;usg=AFQjCNEQirbmRhtJmf-7ZEnHwAfObcegaA" xr:uid="{11A004B5-96B6-44D4-8FC3-7B5CDCE9ABD0}"/>
    <hyperlink ref="B678" r:id="rId1176" display="https://www.google.com/url?q=https://szkopul.edu.pl/problemset/problem/Orc2Z7ti1xLaUUQDT1a6RGR5/site/&amp;sa=D&amp;ust=1605639800110000&amp;usg=AFQjCNHeD7Zu-w7navieKGU-WjNGp3s9ow" xr:uid="{167B70FB-6004-43BE-A466-0C5641A769A9}"/>
    <hyperlink ref="F678" r:id="rId1177" display="https://www.google.com/url?q=https://github.com/mostafa-saad/MyCompetitiveProgramming/blob/master/Olympiad/POI/POI-16-Stutter.txt&amp;sa=D&amp;ust=1605639800110000&amp;usg=AFQjCNGurSzSxHXuoWdnqHYACoEjd4N5PA" xr:uid="{12FA0E19-08B1-4553-83DB-5276DA4256DC}"/>
    <hyperlink ref="B679" r:id="rId1178" display="https://www.google.com/url?q=https://csacademy.com/contest/ceoi-2018-day-1/task/cloud-computing/&amp;sa=D&amp;ust=1605639800111000&amp;usg=AFQjCNE-kKur7CM1INoDtsVexbZJ_Gf9wQ" xr:uid="{8A18ACEE-E04F-4F27-A9B0-4DD558315AD3}"/>
    <hyperlink ref="F679" r:id="rId1179" display="https://www.google.com/url?q=https://github.com/mostafa-saad/MyCompetitiveProgramming/blob/master/Olympiad/CEOI/CEOI-18-Cloud.txt&amp;sa=D&amp;ust=1605639800111000&amp;usg=AFQjCNGgNoa54fmCUNtJ4eGTuYtnkxcqXw" xr:uid="{46A57C9F-6EAF-4D35-98BA-BD7884623C1F}"/>
    <hyperlink ref="B680" r:id="rId1180" display="https://www.google.com/url?q=https://szkopul.edu.pl/problemset/problem/xFjhysZvLsUxEXMI-nHXao74/site/&amp;sa=D&amp;ust=1605639800111000&amp;usg=AFQjCNGv-xoVPyr2CLK3DdgCRgfFAQjlIQ" xr:uid="{1DD2A412-18A8-478A-B429-EDE252036A06}"/>
    <hyperlink ref="F680" r:id="rId1181" display="https://www.google.com/url?q=https://github.com/mostafa-saad/MyCompetitiveProgramming/blob/master/Olympiad/POI/POI-06-Teddies.txt&amp;sa=D&amp;ust=1605639800112000&amp;usg=AFQjCNGInqVM_k8YiMuYy6wukh3x78i0jA" xr:uid="{B5BC05B4-62C7-4928-B21C-BDDC5BDE245B}"/>
    <hyperlink ref="B681" r:id="rId1182" display="https://www.google.com/url?q=https://codeforces.com/contest/1193&amp;sa=D&amp;ust=1605639800112000&amp;usg=AFQjCNEs4es1POC50VuYvl8VxIWuWOhtAg" xr:uid="{FC2D1CEC-8F22-4B4F-B046-5DDF60BB031B}"/>
    <hyperlink ref="F681" r:id="rId1183" display="https://www.google.com/url?q=https://codeforces.com/blog/entry/68748&amp;sa=D&amp;ust=1605639800112000&amp;usg=AFQjCNEC2nWo-nlF19AB-v_dGie7bwbBDQ" xr:uid="{036E0A85-530C-4568-9FA9-80AD50EB66FA}"/>
    <hyperlink ref="B682" r:id="rId1184" display="https://www.google.com/url?q=https://csacademy.com/contest/ejoi-2017-day-1/task/six/&amp;sa=D&amp;ust=1605639800113000&amp;usg=AFQjCNEB6sn9KdbezD2Wctjexm0HZDLRYw" xr:uid="{D262C65D-CD0F-432A-B8A7-DF3E7F743B15}"/>
    <hyperlink ref="B683" r:id="rId1185" display="https://www.google.com/url?q=https://oj.uz/problem/view/JOI18_snake_escaping&amp;sa=D&amp;ust=1605639800113000&amp;usg=AFQjCNG5B7HQHxXIt_rTL3j5FDFGLLzOsg" xr:uid="{476392D6-AE22-4846-8568-90F623781744}"/>
    <hyperlink ref="F683" r:id="rId1186" display="https://www.google.com/url?q=https://github.com/mostafa-saad/MyCompetitiveProgramming/blob/master/Olympiad/JOI/JOI-18-snakeescaping.txt&amp;sa=D&amp;ust=1605639800114000&amp;usg=AFQjCNFU0Vi4hgd1cPg-uz7p9PaDMRSYpA" xr:uid="{93FF7536-48E8-476F-BDE1-6B091B218950}"/>
    <hyperlink ref="B684" r:id="rId1187" display="https://www.google.com/url?q=https://cses.fi/186/list/&amp;sa=D&amp;ust=1605639800114000&amp;usg=AFQjCNH76kzoVd2GNARrgQXbXWhlPeaWPA" xr:uid="{EB5EAC37-95A1-408C-AE3F-7AE6A9D48866}"/>
    <hyperlink ref="F684" r:id="rId1188" display="https://www.google.com/url?q=https://github.com/mostafa-saad/MyCompetitiveProgramming/blob/master/Olympiad/CEOI/CEOI-06-Connect.txt&amp;sa=D&amp;ust=1605639800114000&amp;usg=AFQjCNE5WvbxTsnN9JpfEQHe6nU8-39gqg" xr:uid="{34BC6D56-1132-490A-9DFA-E20C191DF0DA}"/>
    <hyperlink ref="B685" r:id="rId1189" display="https://www.google.com/url?q=https://oj.uz/problem/view/COCI16_burza&amp;sa=D&amp;ust=1605639800115000&amp;usg=AFQjCNHe7SCBgei20_1Jz-se_4GpLjU-vg" xr:uid="{65990D04-0C3C-4EB0-9280-5FDAA3E79EEA}"/>
    <hyperlink ref="F685" r:id="rId1190" display="https://www.google.com/url?q=https://github.com/mostafa-saad/MyCompetitiveProgramming/blob/master/Olympiad/COCI/COCI-16-burza.txt&amp;sa=D&amp;ust=1605639800115000&amp;usg=AFQjCNHtJ-Vqa9xQcOm0erbffWRF30IxHg" xr:uid="{2EEB1B7F-FB8B-4592-A780-958274A890AD}"/>
    <hyperlink ref="B686" r:id="rId1191" display="https://www.google.com/url?q=https://oj.uz/problem/view/IZhO17_subsequence&amp;sa=D&amp;ust=1605639800115000&amp;usg=AFQjCNFd-9OjhYPtBKR_aexBth54KfKOPA" xr:uid="{0345DD49-9A29-4277-86EC-0F2907D4CC3B}"/>
    <hyperlink ref="F686" r:id="rId1192" display="https://www.google.com/url?q=https://github.com/mostafa-saad/MyCompetitiveProgramming/blob/master/Olympiad/IZhO/IZhO-17-subsequence.txt&amp;sa=D&amp;ust=1605639800115000&amp;usg=AFQjCNGP8feesNSLcavCEPvXtZWVt7lqEg" xr:uid="{E8634970-E1C1-46DF-8630-C43DA7CA5BB2}"/>
    <hyperlink ref="B687" r:id="rId1193" display="https://www.google.com/url?q=https://www.spoj.com/problems/ZOO/&amp;sa=D&amp;ust=1605639800116000&amp;usg=AFQjCNFUAZxpxAMy18Tovn4NKxh0UPgiwg" xr:uid="{FBF00257-DB3F-4BB2-85E8-91DD728B8932}"/>
    <hyperlink ref="F687" r:id="rId1194" display="https://www.google.com/url?q=https://github.com/mostafa-saad/MyCompetitiveProgramming/blob/master/Olympiad/APIO/APIO-07-Zoo.txt&amp;sa=D&amp;ust=1605639800116000&amp;usg=AFQjCNEgA-9dqQIqPwwv_AVV6QNdkoKpuA" xr:uid="{4E1E52CA-9D07-4F50-849E-1EB71AAA1C8B}"/>
    <hyperlink ref="B688" r:id="rId1195" display="https://www.google.com/url?q=https://szkopul.edu.pl/problemset/problem/Hj7Ko64-xPs_FrzJ4WucMde9/site/&amp;sa=D&amp;ust=1605639800118000&amp;usg=AFQjCNGoZUJkeMTK2MJuSJrURRcBsgPbcg" xr:uid="{D779EA98-7F22-4A63-A690-F1388101F3B3}"/>
    <hyperlink ref="F688" r:id="rId1196" display="https://www.google.com/url?q=https://github.com/mostafa-saad/MyCompetitiveProgramming/blob/master/Olympiad/POI/POI-15-Gluttons.txt&amp;sa=D&amp;ust=1605639800118000&amp;usg=AFQjCNEzaNCFd0GgQ3YB-Gabw70PbZc0sQ" xr:uid="{D666B813-E994-4870-9B9E-29022A7E1DE4}"/>
    <hyperlink ref="B689" r:id="rId1197" display="https://www.google.com/url?q=https://oj.uz/problem/view/COCI16_vjestica&amp;sa=D&amp;ust=1605639800118000&amp;usg=AFQjCNFlgR94o03yDimziWAqVdj0KpkhkQ" xr:uid="{E9F90435-217D-4326-AD13-C7C3423CBAF7}"/>
    <hyperlink ref="F689" r:id="rId1198" display="https://www.google.com/url?q=https://github.com/mostafa-saad/MyCompetitiveProgramming/blob/master/Olympiad/COCI/COCI-16-vjestica.txt&amp;sa=D&amp;ust=1605639800119000&amp;usg=AFQjCNEan5TVgN5FtgUjY8y9RZ9LvgIDMw" xr:uid="{A3B61DFA-EF56-4F21-BF0B-5AAB7C5645AD}"/>
    <hyperlink ref="B690" r:id="rId1199" display="https://www.google.com/url?q=http://usaco.org/index.php?page%3Dviewproblem2%26cpid%3D92&amp;sa=D&amp;ust=1605639800165000&amp;usg=AFQjCNGu6ynoe6aqLvvjGk1dhBB5MQ62uA" xr:uid="{F3689C1B-C4C7-4179-A650-306C9BDB3477}"/>
    <hyperlink ref="B691" r:id="rId1200" display="https://www.google.com/url?q=https://oj.uz/problem/view/IZhO14_bank&amp;sa=D&amp;ust=1605639800166000&amp;usg=AFQjCNEy0zfiLakyYkr8-OYHnfSo9hd1eQ" xr:uid="{C67A5061-8752-4162-9DDB-D42E1A349A63}"/>
    <hyperlink ref="B692" r:id="rId1201" display="https://www.google.com/url?q=https://szkopul.edu.pl/problemset/problem/uE3dNVOWuXj4SSOrCrNoFSgF/site/&amp;sa=D&amp;ust=1605639800166000&amp;usg=AFQjCNHZiX_HfZLp9BqV_q8z-QQ7_wbVMw" xr:uid="{BA2FBBF7-B9BF-419D-9451-D5D57437725F}"/>
    <hyperlink ref="F692" r:id="rId1202" display="https://www.google.com/url?q=https://github.com/mostafa-saad/MyCompetitiveProgramming/blob/master/Olympiad/POI/POI-04-Passage.txt&amp;sa=D&amp;ust=1605639800167000&amp;usg=AFQjCNHum-o2d0vxh1Wf1GWRZQW9rKXaKg" xr:uid="{E4C13FBC-CB02-4C9A-BA69-858D61A4AF77}"/>
    <hyperlink ref="B693" r:id="rId1203" display="https://www.google.com/url?q=https://csacademy.com/contest/archive/task/circuits/&amp;sa=D&amp;ust=1605639800167000&amp;usg=AFQjCNFlsa6oGAvJx99nP9NbLWnukQ8u3g" xr:uid="{77807852-5385-467C-B7FF-06881EC6328C}"/>
    <hyperlink ref="F693" r:id="rId1204" display="https://www.google.com/url?q=https://gist.github.com/luciocf/a551e013ef15b77288ff4786276d2dee&amp;sa=D&amp;ust=1605639800167000&amp;usg=AFQjCNFO7MBUPWKSOW4mYA4zN6NSvE1neg" xr:uid="{E8941760-08E0-4975-A05C-249611C41D0C}"/>
    <hyperlink ref="B694" r:id="rId1205" display="https://www.google.com/url?q=https://dmoj.ca/problem/coci08c5p4&amp;sa=D&amp;ust=1605639800168000&amp;usg=AFQjCNEODMTwkLYM_Jx4BEo5SF6n0jK-ag" xr:uid="{3451069B-09CA-4AA9-80AF-C0D7BCEFCAA3}"/>
    <hyperlink ref="F694" r:id="rId1206" display="https://www.google.com/url?q=https://github.com/mostafa-saad/MyCompetitiveProgramming/blob/master/Olympiad/COCI/COCI-08-Lubenica.txt&amp;sa=D&amp;ust=1605639800168000&amp;usg=AFQjCNHxxc0xMBKzQRh9cQ94QvRXSgnzUg" xr:uid="{1A7AB3AE-484A-4C6A-B663-CEC59DB7FB2B}"/>
    <hyperlink ref="B695" r:id="rId1207" display="https://www.google.com/url?q=https://oj.uz/problem/view/IZhO12_beauty&amp;sa=D&amp;ust=1605639800168000&amp;usg=AFQjCNGrSzd4u0AEL8oo2d3jLRj7DELg8A" xr:uid="{35FA26C1-2459-4D21-B2FB-A47EAED3B7CD}"/>
    <hyperlink ref="F695" r:id="rId1208" display="https://www.google.com/url?q=https://github.com/ShabdanBatyrkulov/codee/blob/master/IZhO%252012-beauty.cpp&amp;sa=D&amp;ust=1605639800169000&amp;usg=AFQjCNF0b2eKmFWHeVl_D4OGcTH1dzNMaA" xr:uid="{B05F0E8B-3A96-4C3C-B7EC-5565F5AF0967}"/>
    <hyperlink ref="B696" r:id="rId1209" display="https://www.google.com/url?q=https://dmoj.ca/problem/coci06c1p5&amp;sa=D&amp;ust=1605639800169000&amp;usg=AFQjCNE4dasscSE5ayQ9aUsKooMuQkLjaw" xr:uid="{B2BE2C73-AA94-45CC-B8A4-09942DAE7493}"/>
    <hyperlink ref="F696" r:id="rId1210" display="https://www.google.com/url?q=https://github.com/mostafa-saad/MyCompetitiveProgramming/tree/master/Olympiad/COCI/official/2007/contest1_solutions&amp;sa=D&amp;ust=1605639800169000&amp;usg=AFQjCNE6CTzkHmGHg_upVbSGqwCr_ifusg" xr:uid="{958D537D-4B23-49DF-A7CA-20AB0D74BA27}"/>
    <hyperlink ref="B697" r:id="rId1211" display="https://www.google.com/url?q=https://oj.uz/problem/view/COCI16_kronican&amp;sa=D&amp;ust=1605639800170000&amp;usg=AFQjCNHY21s0NoTApPskAmY_CSfb0ZIn3Q" xr:uid="{F11E4749-A81A-448E-B9D1-89861CCE351F}"/>
    <hyperlink ref="F697" r:id="rId1212" display="https://www.google.com/url?q=https://github.com/mostafa-saad/MyCompetitiveProgramming/blob/master/Olympiad/COCI/official/2017/contest3_solutions&amp;sa=D&amp;ust=1605639800170000&amp;usg=AFQjCNH4ggq5nq_GI1e3Y7E2T2WPY9vUtw" xr:uid="{507C0D28-DD39-46AF-9A41-6D4E3FECE978}"/>
    <hyperlink ref="B698" r:id="rId1213" display="https://www.google.com/url?q=https://csacademy.com/contest/junior-challenge-2017-day-2/task/combinatorix&amp;sa=D&amp;ust=1605639800170000&amp;usg=AFQjCNFfWPWOeIfVBLkP-2HrQcf2Hia0mQ" xr:uid="{A52DF3BE-CB3C-4702-8221-D764B39691A7}"/>
    <hyperlink ref="B699" r:id="rId1214" display="https://www.google.com/url?q=http://www.usaco.org/index.php?page%3Dviewproblem2%26cpid%3D974&amp;sa=D&amp;ust=1605639800171000&amp;usg=AFQjCNH_wq7Q-V9wHG5w50hYRIdGx3AfXw" xr:uid="{E3E713CE-12EA-480F-A885-D77100EBA559}"/>
    <hyperlink ref="B700" r:id="rId1215" display="https://www.google.com/url?q=https://szkopul.edu.pl/problemset/problem/X6IwPa2H9FSd3Ly6bYp5t8Vu/site/&amp;sa=D&amp;ust=1605639800171000&amp;usg=AFQjCNHurhIJ7sgPSeDaNewOoiY2L0cKyQ" xr:uid="{D5C1E60E-931F-4257-8528-ED27D984FE38}"/>
    <hyperlink ref="F700" r:id="rId1216" display="https://www.google.com/url?q=https://github.com/mostafa-saad/MyCompetitiveProgramming/blob/master/Olympiad/POI/POI-16-Nim.txt&amp;sa=D&amp;ust=1605639800172000&amp;usg=AFQjCNGVLquqJz_Twk053MDayOJ5u-ndVw" xr:uid="{FE674BC8-37E8-4995-9209-E2BE351773EF}"/>
    <hyperlink ref="B701" r:id="rId1217" display="https://www.google.com/url?q=https://dmoj.ca/problem/coci08c4p6&amp;sa=D&amp;ust=1605639800172000&amp;usg=AFQjCNEk84qOl11G8petx8-AlX9Tp5eHOw" xr:uid="{DF14FB0E-FE8C-4D52-93ED-52ECA1137407}"/>
    <hyperlink ref="F701" r:id="rId1218" display="https://www.google.com/url?q=https://github.com/mostafa-saad/MyCompetitiveProgramming/blob/master/Olympiad/COCI/COCI-08-Periodni.txt&amp;sa=D&amp;ust=1605639800172000&amp;usg=AFQjCNGkavBs9wjdLvU3SYDEkTYYuAdsFA" xr:uid="{77915414-9611-4F93-9AAB-D143B9D5A287}"/>
    <hyperlink ref="B702" r:id="rId1219" display="https://www.google.com/url?q=https://oj.uz/problems/source/245&amp;sa=D&amp;ust=1605639800173000&amp;usg=AFQjCNEJ91xXxbrZEVVed2eFE9e1xbLfjQ" xr:uid="{13A9355D-78BF-4A0C-AE05-41AED2A4288A}"/>
    <hyperlink ref="F702" r:id="rId1220" display="https://www.google.com/url?q=https://github.com/mostafa-saad/MyCompetitiveProgramming/blob/master/Olympiad/CEOI/CEOI-15-teams.txt&amp;sa=D&amp;ust=1605639800173000&amp;usg=AFQjCNFOuozhLn_-jYdbndy8Iv6qFknXKA" xr:uid="{3A606B79-7CB9-4E0B-B068-958231769ADA}"/>
    <hyperlink ref="B703" r:id="rId1221" display="https://www.google.com/url?q=https://oj.uz/problem/view/JOI19_ho_t3&amp;sa=D&amp;ust=1605639800173000&amp;usg=AFQjCNEGc-EFBhz14utvOZAhS7ZmaeZ-7g" xr:uid="{E9D28FB1-FC76-4079-822F-7EF4134E7B99}"/>
    <hyperlink ref="F703" r:id="rId1222" display="https://www.google.com/url?q=https://github.com/mostafa-saad/MyCompetitiveProgramming/blob/master/Olympiad/JOI/JOI-19-GrowingVegetable.txt&amp;sa=D&amp;ust=1605639800174000&amp;usg=AFQjCNEROMeK8V8B71-IS2Q0lKzCp5fRCA" xr:uid="{BF41702D-A479-470A-BF69-0D5C6754F1CE}"/>
    <hyperlink ref="B704" r:id="rId1223" display="https://www.google.com/url?q=https://oj.uz/problems/source/59&amp;sa=D&amp;ust=1605639800174000&amp;usg=AFQjCNFAIwdQvp26rTUkYStRlPdye7XpbA" xr:uid="{758BFDFE-F982-4ACE-B308-A635AE21A2EA}"/>
    <hyperlink ref="F704" r:id="rId1224" display="https://www.google.com/url?q=https://github.com/mostafa-saad/MyCompetitiveProgramming/blob/master/Olympiad/CEOI/CEOI-13-treasure2.txt&amp;sa=D&amp;ust=1605639800174000&amp;usg=AFQjCNESqgOqRxYK4bum_C5-R-lXAsUJTg" xr:uid="{A35AE6F9-0E23-46DA-9E1E-C5DAA6638AC2}"/>
    <hyperlink ref="B705" r:id="rId1225" display="https://www.google.com/url?q=https://dunjudge.me/analysis/problems/542/&amp;sa=D&amp;ust=1605639800175000&amp;usg=AFQjCNHaVE8vhRY1OP4Xh3QbWBBr7EhXZQ" xr:uid="{2008F6E4-C0D5-4E27-A8F6-1EFC424F5102}"/>
    <hyperlink ref="F705" r:id="rId1226" display="https://www.google.com/url?q=https://github.com/mostafa-saad/MyCompetitiveProgramming/blob/master/Olympiad/APIO/APIO-08-DNA.txt&amp;sa=D&amp;ust=1605639800176000&amp;usg=AFQjCNGAJchBfhiVDmUp3RUqaSN9KkxCWg" xr:uid="{C3074FB4-9226-4B74-9C44-8671661B29DB}"/>
    <hyperlink ref="B706" r:id="rId1227" display="https://www.google.com/url?q=https://codeforces.com/group/swEqtABRxe/contest/227530/problem/B&amp;sa=D&amp;ust=1605639800177000&amp;usg=AFQjCNE34zy_8zy6KhzfQ_f4A5e8VzuYrQ" xr:uid="{62AC667A-D187-4A03-9DFA-137563064012}"/>
    <hyperlink ref="F706" r:id="rId1228" display="https://www.google.com/url?q=https://github.com/ahmedibrahim404/CompetitiveProgramming/blob/master/EOI/IOI_Quals%2718/18-R2-B/src/main.cpp&amp;sa=D&amp;ust=1605639800177000&amp;usg=AFQjCNEHxKYS38dnGnyajCshi7E3TUq1_w" xr:uid="{DF905E39-1CFE-482E-95D7-CABDEE227D55}"/>
    <hyperlink ref="B707" r:id="rId1229" display="https://www.google.com/url?q=https://dmoj.ca/problem/coci06c6p5&amp;sa=D&amp;ust=1605639800177000&amp;usg=AFQjCNFqSuVN8GJou37zX9Y0IUe5Ykg3wQ" xr:uid="{50FC8BFA-1793-4A26-8180-6C08F10C45C9}"/>
    <hyperlink ref="F707" r:id="rId1230" display="https://www.google.com/url?q=https://github.com/mostafa-saad/MyCompetitiveProgramming/tree/master/Olympiad/COCI/official/2007/contest6_solutions&amp;sa=D&amp;ust=1605639800178000&amp;usg=AFQjCNE-AlTyAnxVC0CZPZXLYBaRK3b6Sw" xr:uid="{C984C780-5149-4E28-A696-44EEE013986A}"/>
    <hyperlink ref="B708" r:id="rId1231" display="https://www.google.com/url?q=https://oj.uz/problem/view/COCI18_maja&amp;sa=D&amp;ust=1605639800178000&amp;usg=AFQjCNFMkfGdXfYVu01q-VkPrDlqx6ylGQ" xr:uid="{DA21CCBF-2694-4EA7-B5D0-B0831B921CE4}"/>
    <hyperlink ref="F708" r:id="rId1232" display="https://www.google.com/url?q=https://github.com/sofhiasouza/CompetitiveProgramming/blob/master/COCI/2018-2019/Contest%2520%25232/maja.cpp&amp;sa=D&amp;ust=1605639800178000&amp;usg=AFQjCNEwJgwS7uRlZeOQi-_0Snfgl2vXfA" xr:uid="{F8A0BC0D-72E6-4B46-9628-770646168A54}"/>
    <hyperlink ref="B709" r:id="rId1233" display="https://www.google.com/url?q=https://szkopul.edu.pl/problemset/problem/XZhW8DteK37aYwrB_JoHxd2E/site/&amp;sa=D&amp;ust=1605639800179000&amp;usg=AFQjCNEooQ1y0PwCqQScJhL4y2WNI-TANA" xr:uid="{013DCA07-3B42-4B9E-8368-E6BFCA9E6157}"/>
    <hyperlink ref="F709" r:id="rId1234" display="https://www.google.com/url?q=https://github.com/mostafa-saad/MyCompetitiveProgramming/blob/master/Olympiad/CEOI/CEOI-11-Similarity.txt&amp;sa=D&amp;ust=1605639800179000&amp;usg=AFQjCNGCuF2rT3Ehuve5PQnR7HjIS8Tzig" xr:uid="{95392526-9C04-4E66-9E47-04A715B87978}"/>
    <hyperlink ref="B710" r:id="rId1235" display="https://www.google.com/url?q=https://cses.fi/113/list/&amp;sa=D&amp;ust=1605639800179000&amp;usg=AFQjCNG3FW33i2zAiUuSti1yaS9iqT-R9Q" xr:uid="{680A6F9F-BBAA-48E9-A73F-EFBE6438289D}"/>
    <hyperlink ref="F710" r:id="rId1236" display="https://www.google.com/url?q=https://github.com/mostafa-saad/MyCompetitiveProgramming/blob/master/Olympiad/Baltic/Baltic-08-Game.txt&amp;sa=D&amp;ust=1605639800180000&amp;usg=AFQjCNHyV4Z87nPsESbiHge5piJB4QCXuw" xr:uid="{337174ED-726B-4521-8476-BE9E8FA04D4F}"/>
    <hyperlink ref="B711" r:id="rId1237" display="https://www.google.com/url?q=https://infoarena.ro/problema/sms&amp;sa=D&amp;ust=1605639800180000&amp;usg=AFQjCNG9274F3N38OhhpYjaxne7eCP61zQ" xr:uid="{68764B68-72B7-47A1-98E3-B92B7C217B32}"/>
    <hyperlink ref="F711" r:id="rId1238" display="https://www.google.com/url?q=https://github.com/stefdasca/CompetitiveProgramming/blob/master/Infoarena/sms.cpp&amp;sa=D&amp;ust=1605639800180000&amp;usg=AFQjCNHN730FamvGXsgXnpfbVTRHyfjh4g" xr:uid="{E6DC3146-D04A-45D4-B31B-B144D8559CFB}"/>
    <hyperlink ref="B712" r:id="rId1239" display="https://www.google.com/url?q=https://oj.uz/problems/source/197&amp;sa=D&amp;ust=1605639800181000&amp;usg=AFQjCNEbAhRHtJQKLC05qprx_IVEDOfOrw" xr:uid="{F60E1ED6-16AF-4375-8A2A-6E9C20091633}"/>
    <hyperlink ref="F712" r:id="rId1240" display="https://www.google.com/url?q=https://github.com/mostafa-saad/MyCompetitiveProgramming/blob/master/Olympiad/CEOI/CEOI-16-match.txt&amp;sa=D&amp;ust=1605639800181000&amp;usg=AFQjCNF-zd6YZOiJjWGWSlexBLVvKypr0g" xr:uid="{6AEC62A9-5E25-450C-A5AA-498EF349CE6F}"/>
    <hyperlink ref="B713" r:id="rId1241" display="https://www.google.com/url?q=https://dunjudge.me/analysis/problems/1362/&amp;sa=D&amp;ust=1605639800181000&amp;usg=AFQjCNFlR90bbmPQs4QRNi5cRXeOvjh9hA" xr:uid="{F8FB1282-1694-4D08-AAE5-1AE85457C3DE}"/>
    <hyperlink ref="F713" r:id="rId1242" display="https://www.google.com/url?q=https://github.com/mostafa-saad/MyCompetitiveProgramming/blob/master/Olympiad/COCI/COCI-12-mars.txt&amp;sa=D&amp;ust=1605639800182000&amp;usg=AFQjCNHg29cDMPoiUxTnuTrQS9eYMR1LGw" xr:uid="{7B43E3BC-B6C8-43A4-82B2-F04D95B8D678}"/>
    <hyperlink ref="B714" r:id="rId1243" display="https://www.google.com/url?q=https://oj.uz/problem/view/CEOI12_race&amp;sa=D&amp;ust=1605639800182000&amp;usg=AFQjCNGBCOvNe3URGPFGayyLUG-JdsEpfg" xr:uid="{7CB68CD1-1B95-4140-862B-0418B5282D17}"/>
    <hyperlink ref="F714" r:id="rId1244" display="https://www.google.com/url?q=https://github.com/mostafa-saad/MyCompetitiveProgramming/blob/master/Olympiad/CEOI/CEOI-12-race.txt&amp;sa=D&amp;ust=1605639800182000&amp;usg=AFQjCNEfV-IZ84pYdjnwYr4qdcLWyFc46g" xr:uid="{1487775F-1119-4825-9A6F-93E2BF4A01A9}"/>
    <hyperlink ref="B715" r:id="rId1245" display="https://www.google.com/url?q=http://www.usaco.org/index.php?page%3Dviewproblem2%26cpid%3D972&amp;sa=D&amp;ust=1605639800183000&amp;usg=AFQjCNHpli7WjvoBpgdB5DzlW3dI-1c7Nw" xr:uid="{4BF5AA82-1892-493E-8AB5-4836EAA06268}"/>
    <hyperlink ref="F715" r:id="rId1246" display="https://www.google.com/url?q=https://github.com/thecodingwizard/competitive-programming/blob/master/USACO/2019dec/pieaters.cpp&amp;sa=D&amp;ust=1605639800183000&amp;usg=AFQjCNEnZBTdyrW9LtFwDFF4xIpg0VDuXQ" xr:uid="{667223DC-177D-4F35-BE24-35ABD7201D64}"/>
    <hyperlink ref="B716" r:id="rId1247" display="https://www.google.com/url?q=https://github.com/mostafa-saad/MyCompetitiveProgramming/blob/master/Olympiad/Baltic/Baltic-09-Beetles.txt&amp;sa=D&amp;ust=1605639800183000&amp;usg=AFQjCNFA9w03VicZvZKpoEX2Ge5RK5QCWw" xr:uid="{65DF6334-F05E-4159-BE96-ADF17D45EC5A}"/>
    <hyperlink ref="F716" r:id="rId1248" display="https://www.google.com/url?q=https://github.com/mostafa-saad/MyCompetitiveProgramming/blob/master/Olympiad/Baltic/Baltic-09-Beetles.txt&amp;sa=D&amp;ust=1605639800184000&amp;usg=AFQjCNH0mUfhY8lETPZ4g4E7nMgOLl7pNA" xr:uid="{960F4AD8-D586-41EA-B91B-D98B648109E9}"/>
    <hyperlink ref="B717" r:id="rId1249" display="https://www.google.com/url?q=https://oj.uz/problem/view/IOI17_mountains&amp;sa=D&amp;ust=1605639800184000&amp;usg=AFQjCNHeL8_COhBJdbSuEfrKVa0EdLREEg" xr:uid="{644A6E49-E75D-434C-9350-FE25632E3B14}"/>
    <hyperlink ref="F717" r:id="rId1250" display="https://www.google.com/url?q=https://github.com/ZeyadKhattab/Competitive-Programming/blob/master/Problems/IOI%252017-mountains.cpp&amp;sa=D&amp;ust=1605639800184000&amp;usg=AFQjCNFAk0LPHj0FybVJdnOmvUrj5qgXWA" xr:uid="{1D79A236-840A-42B8-99DA-7BF931ECA3A6}"/>
    <hyperlink ref="B718" r:id="rId1251" display="https://www.google.com/url?q=https://wcipeg.com/problem/coci095p4&amp;sa=D&amp;ust=1605639800185000&amp;usg=AFQjCNF516IDP4jtiwTsfms-cOfnJl-FAQ" xr:uid="{47F65ACB-D512-4372-8F1C-7B1CFE39D7DE}"/>
    <hyperlink ref="F718" r:id="rId1252" display="https://www.google.com/url?q=https://github.com/mostafa-saad/MyCompetitiveProgramming/blob/master/Olympiad/COCI/COCI-09-Zuma.txt&amp;sa=D&amp;ust=1605639800185000&amp;usg=AFQjCNHtwUcWdItBvKvyNvaNH4RW-hXDjg" xr:uid="{DF8D1581-099C-4282-8AA8-C709CABA5646}"/>
    <hyperlink ref="B719" r:id="rId1253" display="https://www.google.com/url?q=https://oj.uz/problem/view/COCI18_cover&amp;sa=D&amp;ust=1605639800185000&amp;usg=AFQjCNEX1WSaZSlcAzvY0I1STOmQxGRMIQ" xr:uid="{83460FC3-CFAD-46DA-8C36-149B41F2764D}"/>
    <hyperlink ref="F719" r:id="rId1254" display="https://www.google.com/url?q=https://github.com/luciocf/OI-Problems/blob/master/COCI/COCI%25202017-2018/cover.cpp&amp;sa=D&amp;ust=1605639800186000&amp;usg=AFQjCNE_PVN2GQhlHbQ_1Xtgehz1EkxqLg" xr:uid="{30F5E3A6-ED7A-4463-ABD5-25144DEB0654}"/>
    <hyperlink ref="B720" r:id="rId1255" display="https://www.google.com/url?q=http://poj.org/problem?id%3D1160&amp;sa=D&amp;ust=1605639800186000&amp;usg=AFQjCNEENZw5wjGCQ86LVorF95qKKogw-g" xr:uid="{CA840A01-8B4B-4935-B866-9CE4AD5B9E73}"/>
    <hyperlink ref="F720" r:id="rId1256" display="https://www.google.com/url?q=https://github.com/mostafa-saad/MyCompetitiveProgramming/blob/master/Olympiad/IOI/official/2000&amp;sa=D&amp;ust=1605639800186000&amp;usg=AFQjCNHnTz1L3qV55yWo7wtRP6vlU4GJLw" xr:uid="{6E7805BA-C36E-4814-9C2E-ED6131C75A34}"/>
    <hyperlink ref="B721" r:id="rId1257" display="https://www.google.com/url?q=https://oj.uz/problem/view/NOI18_safety&amp;sa=D&amp;ust=1605639800187000&amp;usg=AFQjCNFFVmgkCFCHza3f_IsaquOpPxAsVw" xr:uid="{461CC78B-BEA6-4D84-A50D-7A6001D4D9BC}"/>
    <hyperlink ref="F721" r:id="rId1258" display="https://www.google.com/url?q=https://github.com/mostafa-saad/MyCompetitiveProgramming/blob/master/Olympiad/NOI/official&amp;sa=D&amp;ust=1605639800187000&amp;usg=AFQjCNHDiaOgd1OqKgxEgS8lenN01tek_g" xr:uid="{EF5C19F1-8CDA-4A1D-8E9F-52515719A540}"/>
    <hyperlink ref="B722" r:id="rId1259" display="https://www.google.com/url?q=http://www.spoj.com/problems/BACKUP/&amp;sa=D&amp;ust=1605639800188000&amp;usg=AFQjCNGAQg2zA6pn52pQt5HA9vNxOr-KIA" xr:uid="{4FA9E41A-A162-4E23-928A-8E0DB05671E4}"/>
    <hyperlink ref="F722" r:id="rId1260" display="https://www.google.com/url?q=https://github.com/mostafa-saad/MyCompetitiveProgramming/blob/master/Olympiad/APIO/APIO-07-Backup.txt&amp;sa=D&amp;ust=1605639800189000&amp;usg=AFQjCNHz5yEhWCL4B9_3I5030aSB7nHEwg" xr:uid="{F60BD9D1-FB27-45F8-B9CF-AD659FE2DCE7}"/>
    <hyperlink ref="B723" r:id="rId1261" display="https://www.google.com/url?q=https://cses.fi/107/list/&amp;sa=D&amp;ust=1605639800189000&amp;usg=AFQjCNGCqCeFOENthmKbx-_muNd9OMAG1Q" xr:uid="{D03DDF31-5CAD-4C99-950C-4A6A6186D622}"/>
    <hyperlink ref="F723" r:id="rId1262" display="https://www.google.com/url?q=https://github.com/Szawinis/CompetitiveProgramming/blob/master/Olympiad/Baltic/Baltic09-candy.cpp&amp;sa=D&amp;ust=1605639800189000&amp;usg=AFQjCNEiOspoA5jk_IiB5pI4w78X10ks7A" xr:uid="{091EAE12-39D7-4C3C-B084-983ED3FA5E45}"/>
    <hyperlink ref="B724" r:id="rId1263" display="https://www.google.com/url?q=https://oj.uz/problem/view/IOI19_job&amp;sa=D&amp;ust=1605639800190000&amp;usg=AFQjCNEzv9RNkF6psfIRE8sKu1uzkauy_Q" xr:uid="{03B0AF3B-51AE-4495-9711-F731B120F51F}"/>
    <hyperlink ref="F724" r:id="rId1264" display="https://www.google.com/url?q=https://github.com/mostafa-saad/MyCompetitiveProgramming/blob/master/Olympiad/IOI/IOIPractice-19-Job.txt&amp;sa=D&amp;ust=1605639800190000&amp;usg=AFQjCNEuhSvWw8VIeqSE7bHzKxpvkpk8Ew" xr:uid="{5868890B-3E13-4BC3-B0D2-9ECA8AA08855}"/>
    <hyperlink ref="B725" r:id="rId1265" display="https://www.google.com/url?q=https://szkopul.edu.pl/problemset/problem/ghEjb6qGVGsGk_KgYqdXZNna/site/&amp;sa=D&amp;ust=1605639800190000&amp;usg=AFQjCNFh_SmBSCNDXw5WnR1ud9TfaUt82Q" xr:uid="{9814228E-0FCE-463E-BA87-773FAC7D7CD5}"/>
    <hyperlink ref="B726" r:id="rId1266" display="https://www.google.com/url?q=https://www.infoarena.ro/problema/anagrame&amp;sa=D&amp;ust=1605639800191000&amp;usg=AFQjCNE5VPfnzdMk1Fr3Mk0ulHszYM7ytg" xr:uid="{F91EA068-F276-4D8F-AED6-61B5A471BF20}"/>
    <hyperlink ref="F726" r:id="rId1267" display="https://www.google.com/url?q=https://github.com/stefdasca/CompetitiveProgramming/blob/master/Infoarena/anagrame.cpp&amp;sa=D&amp;ust=1605639800191000&amp;usg=AFQjCNFgTq458jQRETV0du8otbYVLwZ9rw" xr:uid="{CDA8EEB3-141B-48F6-82BE-ACE5B893F185}"/>
    <hyperlink ref="B727" r:id="rId1268" display="https://www.google.com/url?q=https://oj.uz/problem/view/COCI16_kralj&amp;sa=D&amp;ust=1605639800191000&amp;usg=AFQjCNF6yzitXTGl5CP7f9DlLp71Y0eh2g" xr:uid="{8E2BEC08-A6CB-4193-93C1-512261D65310}"/>
    <hyperlink ref="F727" r:id="rId1269" display="https://www.google.com/url?q=https://github.com/mostafa-saad/MyCompetitiveProgramming/blob/master/Olympiad/COCI/COCI-16-kralj.txt&amp;sa=D&amp;ust=1605639800192000&amp;usg=AFQjCNEpN9rRrdstv093CBLUFnC4RF62qA" xr:uid="{F3001E0D-A024-4592-8DC5-4CE5877AC61A}"/>
    <hyperlink ref="B728" r:id="rId1270" display="https://www.google.com/url?q=https://szkopul.edu.pl/problemset/problem/6YiP6JA5U15hY94pLwuHoYPg/site/&amp;sa=D&amp;ust=1605639800192000&amp;usg=AFQjCNEuWiyoBKBrGqztYHECfl6In8JtGw" xr:uid="{A5263DBE-0FF4-461F-9C0B-22C9FFEF4261}"/>
    <hyperlink ref="F728" r:id="rId1271" display="https://www.google.com/url?q=https://github.com/mostafa-saad/MyCompetitiveProgramming/blob/master/Olympiad/POI/POI-06-Ploughing.txt&amp;sa=D&amp;ust=1605639800192000&amp;usg=AFQjCNGmZEb_2nnFZZkDlMPBZnaGrj1E9A" xr:uid="{23A20CE6-AA9A-498F-9009-44F0848AE5F9}"/>
    <hyperlink ref="B729" r:id="rId1272" display="https://www.google.com/url?q=https://csacademy.com/contest/romanian-ioi-2017-selection-1/task/rooms/&amp;sa=D&amp;ust=1605639800193000&amp;usg=AFQjCNHVU6o9c_M8bdRGqUON4y-DXFg8BQ" xr:uid="{AA8E69BB-95F8-40EC-9E69-246B2360144F}"/>
    <hyperlink ref="F729" r:id="rId1273" display="https://www.google.com/url?q=https://github.com/dolphingarlic/CompetitiveProgramming/blob/master/infoarena/ROUSelection%252017-rooms.cpp&amp;sa=D&amp;ust=1605639800193000&amp;usg=AFQjCNHgEKodxbVZZIhi3yQm_ApDhOf8Gg" xr:uid="{3A96B404-8D8E-448E-A6B6-455780A4290C}"/>
    <hyperlink ref="B730" r:id="rId1274" display="https://www.google.com/url?q=https://oj.uz/problem/view/BOI18_popa&amp;sa=D&amp;ust=1605639800193000&amp;usg=AFQjCNFADqT3L4Mex6B6t1LdDC-L_TgURA" xr:uid="{5F1CD3A7-84FD-4B80-AA3E-78EC2E3A2874}"/>
    <hyperlink ref="F730" r:id="rId1275" display="https://www.google.com/url?q=https://github.com/mostafa-saad/MyCompetitiveProgramming/blob/master/Olympiad/Balkan/Balkan-18-popa.txt&amp;sa=D&amp;ust=1605639800193000&amp;usg=AFQjCNHhQrCgAot_gha9UOG3IVTiN6lVIA" xr:uid="{1A998BB6-1410-4902-BFF4-113FD5A5242A}"/>
    <hyperlink ref="B731" r:id="rId1276" display="https://www.google.com/url?q=https://oj.uz/problem/view/CEOI12_highway&amp;sa=D&amp;ust=1605639800194000&amp;usg=AFQjCNGmtS_b8ujNcKT4dkIkDR3yqPq61g" xr:uid="{AE75D205-953D-41B2-8CFC-2E53DA083CEC}"/>
    <hyperlink ref="F731" r:id="rId1277" display="https://www.google.com/url?q=https://github.com/tmwilliamlin168/CompetitiveProgramming/blob/master/CEOI/12-Highway.cpp&amp;sa=D&amp;ust=1605639800194000&amp;usg=AFQjCNGcmTCXJKizrkdVL5yXT6twnbKknw" xr:uid="{CA19C42B-0C45-4508-A46F-4E929A0FC09F}"/>
    <hyperlink ref="B732" r:id="rId1278" display="https://www.google.com/url?q=https://cses.fi/109/list/&amp;sa=D&amp;ust=1605639800194000&amp;usg=AFQjCNFQpRrAwJQJXKgZowr3ktw92sNpEw" xr:uid="{F4B6E11C-07EC-4D6E-AE76-2E7876D25613}"/>
    <hyperlink ref="F732" r:id="rId1279" display="https://www.google.com/url?q=https://github.com/mostafa-saad/MyCompetitiveProgramming/blob/master/Olympiad/Baltic/Baltic-06-Bitwise.txt&amp;sa=D&amp;ust=1605639800195000&amp;usg=AFQjCNHiKwbU1VigXY5WJpmSu4LHxQHzAw" xr:uid="{665CD958-AFB6-479F-9365-5A213268B8D4}"/>
    <hyperlink ref="B733" r:id="rId1280" display="https://www.google.com/url?q=https://szkopul.edu.pl/problemset/problem/L_1w_HVIsvm4fBksvCo7fYJT/site/&amp;sa=D&amp;ust=1605639800195000&amp;usg=AFQjCNGBvmGYDVynSRCHhDxVydotXP3B4g" xr:uid="{8FA6D2F1-1A24-47A0-8311-E07790D8C39B}"/>
    <hyperlink ref="F733" r:id="rId1281" display="https://www.google.com/url?q=https://github.com/mostafa-saad/MyCompetitiveProgramming/blob/master/Olympiad/POI/POI-04-Gates.txt&amp;sa=D&amp;ust=1605639800195000&amp;usg=AFQjCNF7rnHX1pIUIA4bVTfdyuSknlGSLQ" xr:uid="{1AE39691-70DB-4575-8894-A1E36B81ADB4}"/>
    <hyperlink ref="B734" r:id="rId1282" display="https://www.google.com/url?q=https://szkopul.edu.pl/problemset/problem/98e_K-Vvcg5TnMG4-hXTNsFG/site/&amp;sa=D&amp;ust=1605639800196000&amp;usg=AFQjCNE4eKDFwASuocGZvQfbFpayXF7sUg" xr:uid="{DD9EB2AA-87A6-4222-86A0-0A744B66818C}"/>
    <hyperlink ref="F734" r:id="rId1283" display="https://www.google.com/url?q=https://github.com/mostafa-saad/MyCompetitiveProgramming/blob/master/Olympiad/POI/POI-05-Fibonacci.txt&amp;sa=D&amp;ust=1605639800196000&amp;usg=AFQjCNFKCqxXSMTOYmCHUJg0SYZIhZ3UQQ" xr:uid="{099FA178-F162-43B5-84D7-B60924E89575}"/>
    <hyperlink ref="B735" r:id="rId1284" display="https://www.google.com/url?q=https://csacademy.com/contest/ioi-2016-training-round-5/task/balanced-string/&amp;sa=D&amp;ust=1605639800196000&amp;usg=AFQjCNHHKsY50i3NIGeJM3Som27DXBw_PA" xr:uid="{2946F428-849C-4C4C-962B-634BF9937B3C}"/>
    <hyperlink ref="F735" r:id="rId1285" display="https://www.google.com/url?q=https://github.com/arvindr9/CompetitiveProgramming/blob/master/CSAcademy/IOI%2520Training%2520Rounds/IOIPractice%252016-balanced-string.cpp&amp;sa=D&amp;ust=1605639800196000&amp;usg=AFQjCNEXnLzOjTJYKpK493xye3d-NEWoVQ" xr:uid="{84EA8DEB-2161-40D0-953E-65A907AC0C03}"/>
    <hyperlink ref="B736" r:id="rId1286" display="https://www.google.com/url?q=https://dmoj.ca/problem/coci15c4p6&amp;sa=D&amp;ust=1605639800197000&amp;usg=AFQjCNGQNXco4_AlmfQIUgU5tfRgK3RR8w" xr:uid="{28C7AF33-2074-49CE-8931-ADE3D7DC87F0}"/>
    <hyperlink ref="F736" r:id="rId1287" display="https://www.google.com/url?q=https://github.com/mostafa-saad/MyCompetitiveProgramming/blob/master/Olympiad/COCI/COCI-15-Endor.txt&amp;sa=D&amp;ust=1605639800197000&amp;usg=AFQjCNFkzJ83M8fOy9J_9erHFg6llI0Olw" xr:uid="{378F7D71-DCDC-4928-8F94-B45C1381F1FD}"/>
    <hyperlink ref="B737" r:id="rId1288" display="https://www.google.com/url?q=https://oj.uz/problem/view/JOI19_ho_t4&amp;sa=D&amp;ust=1605639800197000&amp;usg=AFQjCNGTEE3Kd0ChCEof8kNOyVsGDRfFXw" xr:uid="{D5129D4D-32D8-4156-A62F-DC6B6CA4DFB1}"/>
    <hyperlink ref="F737" r:id="rId1289" display="https://www.google.com/url?q=https://github.com/mostafa-saad/MyCompetitiveProgramming/blob/master/Olympiad/JOI/JOI-19-Coin.txt&amp;sa=D&amp;ust=1605639800197000&amp;usg=AFQjCNHlmKTmmJ84mtOKd0fwXToNsPtjXQ" xr:uid="{D0D67025-2886-4010-9EE0-B932381CE31E}"/>
    <hyperlink ref="B738" r:id="rId1290" display="https://www.google.com/url?q=https://oj.uz/problem/view/APIO15_sculpture&amp;sa=D&amp;ust=1605639800198000&amp;usg=AFQjCNHSiLQkfURiEhJaHCsrOfhTXol5zQ" xr:uid="{53BA4564-D591-47B2-9A9E-9B3EA12E86EC}"/>
    <hyperlink ref="F738" r:id="rId1291" display="https://www.google.com/url?q=https://github.com/mostafa-saad/MyCompetitiveProgramming/blob/master/Olympiad/APIO/APIO-15-sculpture.txt&amp;sa=D&amp;ust=1605639800198000&amp;usg=AFQjCNFBvMaPDBSr_Kc0thruRL4erNRacA" xr:uid="{1387C5F6-29AF-4A05-BA49-2E35C28FED2B}"/>
    <hyperlink ref="B739" r:id="rId1292" display="https://www.google.com/url?q=https://oj.uz/problems/source/60&amp;sa=D&amp;ust=1605639800201000&amp;usg=AFQjCNGjPnD4sloF8jvcs7EHt6_BOvx_gw" xr:uid="{507FCFAD-DD04-4E08-8CA3-E6E07F210D99}"/>
    <hyperlink ref="F739" r:id="rId1293" display="https://www.google.com/url?q=https://github.com/mostafa-saad/MyCompetitiveProgramming/blob/master/Olympiad/CEOI/CEOI-13-board.txt&amp;sa=D&amp;ust=1605639800201000&amp;usg=AFQjCNGLpkL_uIwAURvwpwTAVIifb97-lQ" xr:uid="{12B68AAD-A540-4D5C-9976-A745D8AB1238}"/>
    <hyperlink ref="B740" r:id="rId1294" display="https://www.google.com/url?q=https://oj.uz/problem/view/IOI08_teleporters&amp;sa=D&amp;ust=1605639800202000&amp;usg=AFQjCNGq25S8M8ByR93vB-ZHbmumhJo95w" xr:uid="{92C268B5-A26E-4FB6-8A4B-F5D103E90356}"/>
    <hyperlink ref="F740" r:id="rId1295" display="https://www.google.com/url?q=https://github.com/mostafa-saad/MyCompetitiveProgramming/blob/master/Olympiad/IOI/official/2008&amp;sa=D&amp;ust=1605639800202000&amp;usg=AFQjCNFbU38lgW-NJAfH9Zu3nKvgMlzq2w" xr:uid="{CABCEAE0-FE05-49AE-8680-06C25B8C5E12}"/>
    <hyperlink ref="B741" r:id="rId1296" display="https://www.google.com/url?q=https://szkopul.edu.pl/problemset/problem/z8Vva6nazo2Cy3CF67kT6IWe/site/&amp;sa=D&amp;ust=1605639800202000&amp;usg=AFQjCNHEycW6fGN7zj4kU18lmrRy6Y1j6g" xr:uid="{5F3C0020-DCA9-40EB-8EF4-A17944AD9126}"/>
    <hyperlink ref="F741" r:id="rId1297" display="https://www.google.com/url?q=https://github.com/mostafa-saad/MyCompetitiveProgramming/blob/master/Olympiad/POI/POI-16-Necklace.txt&amp;sa=D&amp;ust=1605639800202000&amp;usg=AFQjCNEtbI7wxNp0Y2neLkv4B_Dw9bl8tA" xr:uid="{24F70C82-5793-41EC-AE79-17FA9EF25BB6}"/>
    <hyperlink ref="B742" r:id="rId1298" display="https://www.google.com/url?q=https://csacademy.com/contest/junior-challenge-2017-day-1/task/palindromic-tree/&amp;sa=D&amp;ust=1605639800203000&amp;usg=AFQjCNHPTS9_BbgD7I3vkGaQM3UR-1gJaA" xr:uid="{1012C7AA-7CE1-4305-A3FB-10E25EA3A891}"/>
    <hyperlink ref="B743" r:id="rId1299" display="https://www.google.com/url?q=https://cses.fi/107/list/&amp;sa=D&amp;ust=1605639800203000&amp;usg=AFQjCNEj0Vefe23V-_EiTEhDR25M8NMiCg" xr:uid="{247430E6-0629-4733-B020-B6EFA3DD9CC4}"/>
    <hyperlink ref="F743" r:id="rId1300" display="https://www.google.com/url?q=https://github.com/mostafa-saad/MyCompetitiveProgramming/blob/master/Olympiad/Baltic/Baltic-09-Subway.txt&amp;sa=D&amp;ust=1605639800204000&amp;usg=AFQjCNHhJuRzD2mXdz-zLgVxOlKmV_xhlw" xr:uid="{4F3EF58A-5ED8-4801-B485-8B986572C340}"/>
    <hyperlink ref="B744" r:id="rId1301" display="https://www.google.com/url?q=https://oj.uz/problem/view/JOI19_naan&amp;sa=D&amp;ust=1605639800204000&amp;usg=AFQjCNHyCQ_6jyV0Bi5CDNMCImOvOCRKjg" xr:uid="{239F9167-2892-4A1A-B971-C5C38CC1EDE3}"/>
    <hyperlink ref="F744" r:id="rId1302" display="https://www.google.com/url?q=https://github.com/mostafa-saad/MyCompetitiveProgramming/blob/master/Olympiad/JOI/JOISC-19-Naan.txt&amp;sa=D&amp;ust=1605639800204000&amp;usg=AFQjCNFhviFruIUs-Pbc_XbfFkoWqmXhaQ" xr:uid="{BB9DAA2E-FCC6-40B2-914E-806750BA4EDC}"/>
    <hyperlink ref="B745" r:id="rId1303" display="https://www.google.com/url?q=https://szkopul.edu.pl/problemset/problem/YPme8cPuC1zbS3oA0euLxywx/site/&amp;sa=D&amp;ust=1605639800204000&amp;usg=AFQjCNHUPfHSXQhifuypNo9KRxN4SRI6cw" xr:uid="{071173A2-561C-48D1-A3B8-33ABBEE67A36}"/>
    <hyperlink ref="F745" r:id="rId1304" display="https://www.google.com/url?q=https://github.com/dolphingarlic/CompetitiveProgramming/blob/master/POI/POI-11-Lollipop.txt&amp;sa=D&amp;ust=1605639800205000&amp;usg=AFQjCNGTPp3xxoPhiptEeQyJZ2Ekbdmuhg" xr:uid="{885B6AFC-29FF-4E2D-B345-158544C7428A}"/>
    <hyperlink ref="B746" r:id="rId1305" display="https://www.google.com/url?q=https://szkopul.edu.pl/problemset/problem/lo_jOsVfQ4ajCSHxFGZS27W-/site/?key%3Dstatement&amp;sa=D&amp;ust=1605639800205000&amp;usg=AFQjCNGB6344rnaGcl4-fMwRfHY57Y2u0g" xr:uid="{50AC0560-2542-46D0-A3E4-760B79461D96}"/>
    <hyperlink ref="F746" r:id="rId1306" display="https://www.google.com/url?q=https://github.com/mostafa-saad/MyCompetitiveProgramming/blob/master/Olympiad/POI/POI-12-Squarks.txt&amp;sa=D&amp;ust=1605639800205000&amp;usg=AFQjCNFdOII7mDIo35kDmr7aOTmXEhKINg" xr:uid="{B2449039-F76A-4288-8723-2D3E879F8E6A}"/>
    <hyperlink ref="B747" r:id="rId1307" display="https://www.google.com/url?q=https://szkopul.edu.pl/problemset/problem/xfpVU8vFP2RzZ0hrqWq9kTZM/site/&amp;sa=D&amp;ust=1605639800206000&amp;usg=AFQjCNEqJd9r2LIpWPGF3WX2hp4Vaf1UQg" xr:uid="{C9690E1C-F6BA-42EF-9EE5-DF936B1EBD81}"/>
    <hyperlink ref="F747" r:id="rId1308" display="https://www.google.com/url?q=https://github.com/mostafa-saad/MyCompetitiveProgramming/blob/master/Olympiad/POI/POI-14-Little_Bird.txt&amp;sa=D&amp;ust=1605639800206000&amp;usg=AFQjCNFvGXySYdj2RVHnRUawic3t8OUV4w" xr:uid="{F879BAB5-55FB-43D9-A2C4-4610EDCB3D88}"/>
    <hyperlink ref="B748" r:id="rId1309" display="https://www.google.com/url?q=https://cses.fi/192/list/&amp;sa=D&amp;ust=1605639800206000&amp;usg=AFQjCNHr72VQ5D_VobVHcqv_wN2W2ACL8g" xr:uid="{C15B02BB-0864-406F-9524-DB8536457C79}"/>
    <hyperlink ref="F748" r:id="rId1310" display="https://www.google.com/url?q=https://github.com/mostafa-saad/MyCompetitiveProgramming/blob/master/Olympiad/CEOI/CEOI-05-Ticket.txt&amp;sa=D&amp;ust=1605639800207000&amp;usg=AFQjCNFwczzl0mGvcti49TQ-NNsnSbAjIg" xr:uid="{67DAF5B4-7427-470F-A3B3-3E41C7D56E49}"/>
    <hyperlink ref="B749" r:id="rId1311" display="https://www.google.com/url?q=https://contest.yandex.ru/ioi/contest/568/enter/&amp;sa=D&amp;ust=1605639800207000&amp;usg=AFQjCNHTgYPn4Y6f1n0IhA13ej4kokluIQ" xr:uid="{47A3A998-4467-45E1-9FCE-003FCBBB90D0}"/>
    <hyperlink ref="F749" r:id="rId1312" display="https://www.google.com/url?q=https://github.com/mostafa-saad/MyCompetitiveProgramming/blob/master/Olympiad/IOI/official/2009&amp;sa=D&amp;ust=1605639800207000&amp;usg=AFQjCNHFEJ59Bx9uI0QQC8s6p86oKdAgsQ" xr:uid="{02FC6914-A05A-492B-A7AF-416CD5080D45}"/>
    <hyperlink ref="B750" r:id="rId1313" display="https://www.google.com/url?q=https://oj.uz/problem/view/JOI17_long_mansion&amp;sa=D&amp;ust=1605639800207000&amp;usg=AFQjCNF0PYkla7CoN6dT_Dwg1u22i05l7A" xr:uid="{986832BC-E402-4B4A-8C0C-10E2B448ECE5}"/>
    <hyperlink ref="F750" r:id="rId1314" display="https://www.google.com/url?q=https://github.com/nikolapesic2802/Programming-Practice/blob/master/Long%2520Mansion/main.cpp&amp;sa=D&amp;ust=1605639800208000&amp;usg=AFQjCNE9AfkVZlls9CsL9MtvOGy2mi5VxQ" xr:uid="{311A7421-BBCB-4E09-A819-1AFA8BDF260E}"/>
    <hyperlink ref="B751" r:id="rId1315" display="https://www.google.com/url?q=https://wcipeg.com/problem/coci092p6&amp;sa=D&amp;ust=1605639800208000&amp;usg=AFQjCNGHqigMowJYXl56T_ppQH0fasH9_w" xr:uid="{14727589-C6D4-4227-89B2-54969AFB78DB}"/>
    <hyperlink ref="F751" r:id="rId1316" display="https://www.google.com/url?q=https://github.com/mostafa-saad/MyCompetitiveProgramming/blob/master/Olympiad/COCI/official/2010/contest2_solutions&amp;sa=D&amp;ust=1605639800208000&amp;usg=AFQjCNGWhHL6Ozkx0WgEct_CsGNO1K92Qg" xr:uid="{F5094C15-42E1-44DA-BE06-CDE2294540B5}"/>
    <hyperlink ref="B752" r:id="rId1317" display="https://www.google.com/url?q=https://oj.uz/problem/view/IZhO13_school&amp;sa=D&amp;ust=1605639800209000&amp;usg=AFQjCNHj-f751SJtREghLG6OZ0842XKkMg" xr:uid="{0E946424-DD9A-4958-8D42-5E3A2D1B42FC}"/>
    <hyperlink ref="F752" r:id="rId1318" display="https://www.google.com/url?q=https://github.com/mostafa-saad/MyCompetitiveProgramming/blob/master/Olympiad/IZhO/IZhO-13-school.txt&amp;sa=D&amp;ust=1605639800209000&amp;usg=AFQjCNET_DymBAj3YFKVbwx9NIsFK_kAxA" xr:uid="{4AAF8030-8A1C-4E4D-A430-7DD3445E0F30}"/>
    <hyperlink ref="B753" r:id="rId1319" display="https://www.google.com/url?q=http://usaco.org/index.php?page%3Dviewproblem2%26cpid%3D697&amp;sa=D&amp;ust=1605639800209000&amp;usg=AFQjCNEW6uxjj-cgvc4JBL91dgtMK9rTUw" xr:uid="{F0166301-DD07-4BDE-95E1-21A5FA23B00F}"/>
    <hyperlink ref="F753" r:id="rId1320" display="https://www.google.com/url?q=https://github.com/zoooma13/Competitive-Programming/blob/master/tallbarn.cpp&amp;sa=D&amp;ust=1605639800210000&amp;usg=AFQjCNFqEjSRmXhqC9NnCLDlXipALYhIvg" xr:uid="{329E790B-602C-40AE-A9E1-1429886AB791}"/>
    <hyperlink ref="B754" r:id="rId1321" display="https://www.google.com/url?q=https://szkopul.edu.pl/problemset/problem/zWn2E-v-nn-bozeXQrykmCgD/site/&amp;sa=D&amp;ust=1605639800210000&amp;usg=AFQjCNGCcDFbbRlglTuBpLoltyQgzNJYKg" xr:uid="{1ED59414-C96F-4FF8-91BE-3F549583D2A8}"/>
    <hyperlink ref="F754" r:id="rId1322" display="https://www.google.com/url?q=https://github.com/mostafa-saad/MyCompetitiveProgramming/blob/master/Olympiad/POI/POI-07-Pipelines.txt&amp;sa=D&amp;ust=1605639800210000&amp;usg=AFQjCNFJDY_kyJm-LG7fffU5FvvKNY3zUg" xr:uid="{7D3A9729-942D-4E45-91F8-C1660C97E81D}"/>
    <hyperlink ref="B755" r:id="rId1323" display="https://www.google.com/url?q=https://szkopul.edu.pl/problemset/problem/U6ajLqOdhbPOfK02zqN8MmZf/site/&amp;sa=D&amp;ust=1605639800210000&amp;usg=AFQjCNFcazJhikZ2g_cNULPkU0DSVeIrCw" xr:uid="{A40345E9-BAEF-4CAB-9598-DB65215C937F}"/>
    <hyperlink ref="F755" r:id="rId1324" display="https://www.google.com/url?q=https://github.com/mostafa-saad/MyCompetitiveProgramming/blob/master/Olympiad/POI/POI-07-Tetris.txt&amp;sa=D&amp;ust=1605639800211000&amp;usg=AFQjCNF6NZhDUg_yeIjW3UYPPTl5_QnOrg" xr:uid="{8F7288FA-9E12-41D3-8B19-E31EDDBAFE58}"/>
    <hyperlink ref="B756" r:id="rId1325" display="https://www.google.com/url?q=https://wcipeg.com/problem/coci094p4&amp;sa=D&amp;ust=1605639800215000&amp;usg=AFQjCNGakjInyZWhJjy5B1jnwb19g4zZ7w" xr:uid="{5753035D-540B-49E0-9653-578F34F23093}"/>
    <hyperlink ref="F756" r:id="rId1326" display="https://www.google.com/url?q=https://github.com/mostafa-saad/MyCompetitiveProgramming/blob/master/Olympiad/COCI/COCI-09-Ograda.txt&amp;sa=D&amp;ust=1605639800216000&amp;usg=AFQjCNF5gtrrsv3Q-xBbcUFoWkxvXkaSig" xr:uid="{FCB7B21C-AD93-43AA-9D99-07EC77913138}"/>
    <hyperlink ref="B757" r:id="rId1327" display="https://www.google.com/url?q=https://infoarena.ro/problema/kdtree&amp;sa=D&amp;ust=1605639800216000&amp;usg=AFQjCNExA9OCKbeFVhe4ZJUMqcWqqP37tA" xr:uid="{DE9B4657-7455-4E70-902C-07CE63BCB7DD}"/>
    <hyperlink ref="F757" r:id="rId1328" display="https://www.google.com/url?q=https://github.com/stefdasca/CompetitiveProgramming/blob/master/Infoarena/kdtree.cpp&amp;sa=D&amp;ust=1605639800216000&amp;usg=AFQjCNElB31QzciEmwp4Bwdm-3PWtxD5Rg" xr:uid="{1BC1E73C-9A5C-40E1-ADE4-2B831A684EEA}"/>
    <hyperlink ref="B758" r:id="rId1329" display="https://www.google.com/url?q=https://dunjudge.me/analysis/problems/1229/&amp;sa=D&amp;ust=1605639800217000&amp;usg=AFQjCNHnsFpuVroxh3Ok-nKOUnje19xklQ" xr:uid="{D8975FF1-B5EE-4022-8F7C-A6B11455BAD6}"/>
    <hyperlink ref="F758" r:id="rId1330" display="https://www.google.com/url?q=https://github.com/mostafa-saad/MyCompetitiveProgramming/blob/master/Olympiad/NOI/NOI-17-rmq.txt&amp;sa=D&amp;ust=1605639800217000&amp;usg=AFQjCNE3eDiv2CP0nQk4zFYEuPcuvlo0XA" xr:uid="{931C5286-07EB-4E4E-8487-DC05F96A74DD}"/>
    <hyperlink ref="B759" r:id="rId1331" display="https://www.google.com/url?q=https://oj.uz/problem/view/BOI12_mobile&amp;sa=D&amp;ust=1605639800218000&amp;usg=AFQjCNH_n_kDeAdaYBfZWiNDcpWWloy_yQ" xr:uid="{955CC79B-9D08-43FE-9507-410954BF42EB}"/>
    <hyperlink ref="F759" r:id="rId1332" display="https://www.google.com/url?q=https://github.com/mostafa-saad/MyCompetitiveProgramming/blob/master/Olympiad/Baltic/Baltic-12-mobile.txt&amp;sa=D&amp;ust=1605639800218000&amp;usg=AFQjCNFOXFL-fOA7lujhhaKPUu5Vxl4wsQ" xr:uid="{08719F9E-7FB4-46EC-B309-BE239971FD71}"/>
    <hyperlink ref="B760" r:id="rId1333" display="https://www.google.com/url?q=https://szkopul.edu.pl/problemset/problem/VutzcR1iPvGuYRGZgvNksmV1/site/&amp;sa=D&amp;ust=1605639800218000&amp;usg=AFQjCNEsJ_XEV7ohAaIRXDWKFzsKZTg1bQ" xr:uid="{CC0A693E-0279-4DEF-8920-340955FFA468}"/>
    <hyperlink ref="F760" r:id="rId1334" display="https://www.google.com/url?q=https://github.com/mostafa-saad/MyCompetitiveProgramming/blob/master/Olympiad/POI/POI-07-Flood.txt&amp;sa=D&amp;ust=1605639800218000&amp;usg=AFQjCNFX1MqdM5ZfkNXo2oMw9ytq_mwpuA" xr:uid="{7C5F4591-3AC1-4658-849C-B97062F82CE3}"/>
    <hyperlink ref="B761" r:id="rId1335" display="https://www.google.com/url?q=https://oj.uz/problem/view/IOI19_packing&amp;sa=D&amp;ust=1605639800219000&amp;usg=AFQjCNEnr1kffOTRazKiOf8O19xxrVfztA" xr:uid="{90774F6C-7A0A-4FBD-BFA9-657E34A71568}"/>
    <hyperlink ref="F761" r:id="rId1336" display="https://www.google.com/url?q=https://github.com/tmwilliamlin168/CompetitiveProgramming/blob/master/IOI/19P-Packing.cpp&amp;sa=D&amp;ust=1605639800219000&amp;usg=AFQjCNE1rYU6OpuGcllsxYAJiKeis45FPQ" xr:uid="{30B109F7-B135-410D-85E9-2F7E4423F999}"/>
    <hyperlink ref="B762" r:id="rId1337" display="https://www.google.com/url?q=https://szkopul.edu.pl/problemset/problem/Fej8rGpqWzXEi_qjK2Cmfe4Y/site/&amp;sa=D&amp;ust=1605639800219000&amp;usg=AFQjCNFMJ0GmpNEIMhbZgD86VXwi31CrrA" xr:uid="{439005A5-13D2-44BE-B09F-75EE24F2E8C5}"/>
    <hyperlink ref="F762" r:id="rId1338" display="https://www.google.com/url?q=https://github.com/mostafa-saad/MyCompetitiveProgramming/blob/master/Olympiad/POI/POI-08-BBB.txt&amp;sa=D&amp;ust=1605639800220000&amp;usg=AFQjCNFVr62hbyLVG4_uENXP5dFFYRHqww" xr:uid="{4F85E23D-F732-4492-AA4C-E8377CCF9349}"/>
    <hyperlink ref="B763" r:id="rId1339" display="https://www.google.com/url?q=https://oj.uz/problem/view/BOI18_zalmoxis&amp;sa=D&amp;ust=1605639800220000&amp;usg=AFQjCNHMsVfP1cmXrMvop_SmfGRo2JvqSA" xr:uid="{B0A5935A-29FE-4CB1-8AEB-9F14A4F0D2B8}"/>
    <hyperlink ref="F763" r:id="rId1340" display="https://www.google.com/url?q=https://github.com/mostafa-saad/MyCompetitiveProgramming/blob/master/Olympiad/Balkan/Balkan-18-zalmoxis.txt&amp;sa=D&amp;ust=1605639800220000&amp;usg=AFQjCNFvftcvb4dgDbMEhcf1PaLKCsBuFA" xr:uid="{6467CD09-6FC2-4087-A8D1-C65A6A670169}"/>
    <hyperlink ref="B764" r:id="rId1341" display="https://www.google.com/url?q=https://oj.uz/problem/view/IOI19_shoes&amp;sa=D&amp;ust=1605639800221000&amp;usg=AFQjCNGvAUH34cQn65Cz07-e1uDEwu9gDw" xr:uid="{6D10E213-26DD-47CE-8682-FC9E564FEDBA}"/>
    <hyperlink ref="F764" r:id="rId1342" display="https://www.google.com/url?q=https://github.com/mostafa-saad/MyCompetitiveProgramming/tree/master/Olympiad/IOI/official/2019&amp;sa=D&amp;ust=1605639800221000&amp;usg=AFQjCNEmy4j660Rc_3t-AEaIDSsYy0wm7A" xr:uid="{9AC093A1-0721-4D2C-9B12-47537BEAECAD}"/>
    <hyperlink ref="B765" r:id="rId1343" display="https://www.google.com/url?q=https://szkopul.edu.pl/problemset/problem/dIejmvqlAbsoU1hkjNbd4KtF/site/?key%3Dstatement&amp;sa=D&amp;ust=1605639800221000&amp;usg=AFQjCNELTkpzP9dYH1jihESjkN60EedDfA" xr:uid="{A73D5EC5-40C3-49CB-9CFF-FE545E45C078}"/>
    <hyperlink ref="F765" r:id="rId1344" display="https://www.google.com/url?q=https://github.com/mostafa-saad/MyCompetitiveProgramming/blob/master/Olympiad/POI/POI-96-wie.txt&amp;sa=D&amp;ust=1605639800222000&amp;usg=AFQjCNEt1V4kam3necxoqrtbcmyMcdnSwg" xr:uid="{C6713D54-AC39-41C5-8B96-46860173FA61}"/>
    <hyperlink ref="B766" r:id="rId1345" display="https://www.google.com/url?q=https://oj.uz/problems/source/113&amp;sa=D&amp;ust=1605639800265000&amp;usg=AFQjCNGSk9f1LiZ6XbZGhZzzcTH0JMQyhA" xr:uid="{96CED687-75F5-4352-B7DA-F84248CA9698}"/>
    <hyperlink ref="F766" r:id="rId1346" display="https://www.google.com/url?q=https://github.com/mostafa-saad/MyCompetitiveProgramming/blob/master/Olympiad/Balkan/Balkan-11-Medians.txt&amp;sa=D&amp;ust=1605639800265000&amp;usg=AFQjCNGJzuaq9dIqaZkc3HwwHYyv2dJAfg" xr:uid="{4B137969-FAE8-41EC-B620-B8BB240E14DD}"/>
    <hyperlink ref="B767" r:id="rId1347" display="https://www.google.com/url?q=https://szkopul.edu.pl/problemset/problem/a9Oxizbg6JUS3CkEZr9BOd_H/site/?key%3Dstatement&amp;sa=D&amp;ust=1605639800266000&amp;usg=AFQjCNEQSxts650RVU-LKgYEttYXQGJGHQ" xr:uid="{714F60E1-D411-46DC-9015-EE66B74F15F3}"/>
    <hyperlink ref="F767" r:id="rId1348" display="https://www.google.com/url?q=https://github.com/mostafa-saad/MyCompetitiveProgramming/blob/master/Olympiad/CEOI/CEOI-11-Hotel.txt&amp;sa=D&amp;ust=1605639800266000&amp;usg=AFQjCNHx_XgT9GchkOdQ09e9zc0G8FOqEg" xr:uid="{DBA5C23C-D3A3-4B91-90BB-46EE3DFC72FE}"/>
    <hyperlink ref="B768" r:id="rId1349" display="https://www.google.com/url?q=https://oj.uz/problem/view/COI18_paprike&amp;sa=D&amp;ust=1605639800266000&amp;usg=AFQjCNGb_V9SInz0ro9Evv3ZD0ktgKdBgQ" xr:uid="{3D732B83-56C8-49F4-A7CC-D8E34CDDA27B}"/>
    <hyperlink ref="B769" r:id="rId1350" display="https://www.google.com/url?q=https://contest.yandex.ru/ioi/contest/560/enter/&amp;sa=D&amp;ust=1605639800267000&amp;usg=AFQjCNEJu2Y4RX7btMEQ-tYvs8BXxwpx5A" xr:uid="{5D650F04-0225-4CEB-9193-FB4E8217D870}"/>
    <hyperlink ref="F769" r:id="rId1351" display="https://www.google.com/url?q=https://github.com/mostafa-saad/MyCompetitiveProgramming/blob/master/Olympiad/IOI/IOI-04-farmer.txt&amp;sa=D&amp;ust=1605639800267000&amp;usg=AFQjCNEG8_LDj4DfhDZ_JiDx5_UmVZefaQ" xr:uid="{1764BC2E-ED85-4197-B5E2-AD8799CF2D97}"/>
    <hyperlink ref="B770" r:id="rId1352" display="https://www.google.com/url?q=https://szkopul.edu.pl/problemset/problem/bNkLWTHzQeDyEuAUiKCwuxnG/site/&amp;sa=D&amp;ust=1605639800268000&amp;usg=AFQjCNGohBg5n4XC2toA_B7XtgWJwU905w" xr:uid="{4CCCFE88-F7E9-4281-89DD-45E7E82AD0E3}"/>
    <hyperlink ref="F770" r:id="rId1353" display="https://www.google.com/url?q=https://github.com/mostafa-saad/MyCompetitiveProgramming/blob/master/Olympiad/CEOI/CEOI-04-Trips.txt&amp;sa=D&amp;ust=1605639800268000&amp;usg=AFQjCNFKgIZQdbr1XfoaHppweJuOGhnWfw" xr:uid="{D787E635-D534-4B4A-B1DA-EF87A30388B1}"/>
    <hyperlink ref="B771" r:id="rId1354" display="https://www.google.com/url?q=https://oj.uz/problem/view/POI13_usu&amp;sa=D&amp;ust=1605639800268000&amp;usg=AFQjCNFIBqIfB7Q8sQN_3G92nHTSYadjpw" xr:uid="{39A5853F-AAF0-420B-B1E8-00FF2878B5A1}"/>
    <hyperlink ref="F771" r:id="rId1355" display="https://www.google.com/url?q=https://github.com/mostafa-saad/MyCompetitiveProgramming/blob/master/Olympiad/POI/POI-13-Takeout.txt&amp;sa=D&amp;ust=1605639800269000&amp;usg=AFQjCNEG410xJs_kiglUtbigTqw6VTQ7Sw" xr:uid="{1124068F-371B-4D5F-AA05-D1613FDEA415}"/>
    <hyperlink ref="B772" r:id="rId1356" display="https://www.google.com/url?q=http://usaco.org/index.php?page%3Dviewproblem2%26cpid%3D577&amp;sa=D&amp;ust=1605639800269000&amp;usg=AFQjCNE6JLxdyK5r2exMqP06DxytSql62g" xr:uid="{80AE380B-E91B-437B-8EDA-258D215B7B6F}"/>
    <hyperlink ref="B773" r:id="rId1357" display="https://www.google.com/url?q=https://www.infoarena.ro/problema/aranjare&amp;sa=D&amp;ust=1605639800277000&amp;usg=AFQjCNGCNkkhiCfQZJOiasfXbh_vVX6S9A" xr:uid="{B3F3C5DB-E97F-4516-94A4-D2396FE4E4B1}"/>
    <hyperlink ref="F773" r:id="rId1358" display="https://www.google.com/url?q=https://github.com/stefdasca/CompetitiveProgramming/blob/master/Infoarena/aranjare.cpp&amp;sa=D&amp;ust=1605639800278000&amp;usg=AFQjCNEySP89A109h7Es9YEKTxOIPccKtQ" xr:uid="{44946925-37E8-47FC-B0CB-F6E5D418A2B4}"/>
    <hyperlink ref="B774" r:id="rId1359" display="https://www.google.com/url?q=https://oj.uz/problem/view/POI11_pat&amp;sa=D&amp;ust=1605639800278000&amp;usg=AFQjCNF__mcj4-5Mf_QJTEbw244sMcSdvw" xr:uid="{80255A57-D58E-4E4C-A5D2-7E7569255291}"/>
    <hyperlink ref="F774" r:id="rId1360" display="https://www.google.com/url?q=https://github.com/mostafa-saad/MyCompetitiveProgramming/blob/master/Olympiad/POI/POI-11-Sticks.txt&amp;sa=D&amp;ust=1605639800278000&amp;usg=AFQjCNHqy0T63PGtJDFEXU1TxZLNF8xL4Q" xr:uid="{37BC23D7-DBD0-40C6-AC88-21C925BB2C30}"/>
    <hyperlink ref="B775" r:id="rId1361" display="https://www.google.com/url?q=https://oj.uz/problem/view/JOI17_sparklers&amp;sa=D&amp;ust=1605639800279000&amp;usg=AFQjCNHNdMYtxMhoOpKoAK9oeZ_TVQcB4A" xr:uid="{0B4DABDE-2F97-4678-9470-017A31DC0C99}"/>
    <hyperlink ref="F775" r:id="rId1362" display="https://www.google.com/url?q=https://github.com/nikolapesic2802/Programming-Practice/blob/master/Sparklersd/main.cpp&amp;sa=D&amp;ust=1605639800279000&amp;usg=AFQjCNFWWC51sWUPctVaOsYo4lFCIHeR2Q" xr:uid="{4C1EDC00-2BF3-47F3-9942-FB400EEE30CC}"/>
    <hyperlink ref="B776" r:id="rId1363" display="https://www.google.com/url?q=https://dmoj.ca/problem/cco15p1&amp;sa=D&amp;ust=1605639800279000&amp;usg=AFQjCNFRsM4HxthO6U_L5jfLD3OkAO-qnQ" xr:uid="{00B40547-CE70-44FE-BB6B-4D4D5B13E149}"/>
    <hyperlink ref="B777" r:id="rId1364" display="https://www.google.com/url?q=https://oj.uz/problem/view/IZhO17_money&amp;sa=D&amp;ust=1605639800280000&amp;usg=AFQjCNHv5_-yep4lN8q6gCS3LUs9HQXRwg" xr:uid="{4BBD507C-DF58-489A-90A7-17028D5B3B3C}"/>
    <hyperlink ref="F777" r:id="rId1365" display="https://www.google.com/url?q=https://github.com/stefdasca/CompetitiveProgramming/blob/master/IZhO/IZhO%252017-money.cpp&amp;sa=D&amp;ust=1605639800280000&amp;usg=AFQjCNF0LER_wzX3HRO1oXrRKZ5msb4mkw" xr:uid="{7A67ABEC-0C25-48C6-903E-9092C6320B10}"/>
    <hyperlink ref="B778" r:id="rId1366" display="https://www.google.com/url?q=http://www.spoj.com/problems/MCAMP/&amp;sa=D&amp;ust=1605639800282000&amp;usg=AFQjCNGEWHx9bMe-P4t7zptbd4sVwisJSw" xr:uid="{1D6A36F7-2E5B-4762-968C-92FAEA080A3E}"/>
    <hyperlink ref="F778" r:id="rId1367" display="https://www.google.com/url?q=https://github.com/mostafa-saad/MyCompetitiveProgramming/blob/master/Olympiad/APIO/APIOPractice-14-mcamp.txt&amp;sa=D&amp;ust=1605639800282000&amp;usg=AFQjCNGg63eahrWZKgtyv0J1HkqXDLblRw" xr:uid="{E8E49223-A8C3-4DCA-8B51-9A35FD02AFCA}"/>
    <hyperlink ref="B779" r:id="rId1368" display="https://www.google.com/url?q=https://github.com/mostafa-saad/MyCompetitiveProgramming/blob/master/Olympiad/POI/POI-15-Seals-desc.txt&amp;sa=D&amp;ust=1605639800282000&amp;usg=AFQjCNHONovK0vmPK4sWkuBUzmQJgte_Qw" xr:uid="{2017200E-6E30-4A96-A077-48769A325B38}"/>
    <hyperlink ref="F779" r:id="rId1369" display="https://www.google.com/url?q=https://github.com/mostafa-saad/MyCompetitiveProgramming/blob/master/Olympiad/POI/POI-15-Seals.txt&amp;sa=D&amp;ust=1605639800283000&amp;usg=AFQjCNFybv9GwdQ_rsBOmIerizBH5eJxBw" xr:uid="{B145E172-C160-4EF5-81F3-A137128DAFD1}"/>
    <hyperlink ref="B780" r:id="rId1370" display="https://www.google.com/url?q=https://training.ia-toki.org/problemsets/87/problems/447/&amp;sa=D&amp;ust=1605639800283000&amp;usg=AFQjCNFNySiuNFap8VJ7yydN6iPNyrNIOQ" xr:uid="{E8A4D1B9-03FC-4F6C-A756-18ED7000FBA8}"/>
    <hyperlink ref="F780" r:id="rId1371" display="https://www.google.com/url?q=https://github.com/win11905/submission/tree/master/TOKI/17/magic&amp;sa=D&amp;ust=1605639800283000&amp;usg=AFQjCNFEq1CnsTNLb7v8pdJF8h3myJFkFg" xr:uid="{1DFE6CDB-55CD-4FE9-985E-D561C5E96C81}"/>
    <hyperlink ref="B781" r:id="rId1372" display="https://www.google.com/url?q=https://oj.uz/problem/view/COCI16_kvalitetni&amp;sa=D&amp;ust=1605639800284000&amp;usg=AFQjCNHlVBsJ4MSi0vfKpgTPLsvKb58H7A" xr:uid="{3182E610-FDB2-45C8-9B50-C482D2B8E4BC}"/>
    <hyperlink ref="F781" r:id="rId1373" display="https://www.google.com/url?q=https://github.com/mostafa-saad/MyCompetitiveProgramming/blob/master/Olympiad/COCI/official/2017/contest3_solutions&amp;sa=D&amp;ust=1605639800284000&amp;usg=AFQjCNGQ6OlicigFZJzMXgRrSbTAiojXiQ" xr:uid="{47634CDD-53C1-44B4-960D-164CC6F36991}"/>
    <hyperlink ref="B782" r:id="rId1374" display="https://www.google.com/url?q=https://oj.uz/problem/view/BOI15_net&amp;sa=D&amp;ust=1605639800284000&amp;usg=AFQjCNF49Tp-HkI7nRImyobGIJqfesCIbg" xr:uid="{B9294B06-7A3E-4217-B8F7-37553667C4F2}"/>
    <hyperlink ref="F782" r:id="rId1375" display="https://www.google.com/url?q=https://github.com/mostafa-saad/MyCompetitiveProgramming/blob/master/Olympiad/Baltic/Baltic-15-net.txt&amp;sa=D&amp;ust=1605639800285000&amp;usg=AFQjCNFt6mJwR5ttv-Umf8ZVQjfGt9XO6g" xr:uid="{EB264FBA-AF86-4D48-8920-35B5CFBE77E8}"/>
    <hyperlink ref="B783" r:id="rId1376" display="https://www.google.com/url?q=https://szkopul.edu.pl/problemset/problem/70gcrAV-ccXlJa6gMBpOqV1u/site/&amp;sa=D&amp;ust=1605639800285000&amp;usg=AFQjCNGomkf3dIQPrQb5ExxKivN2Qypppg" xr:uid="{4E2400C5-CF5D-4C49-A85E-607F2CB4B23C}"/>
    <hyperlink ref="F783" r:id="rId1377" display="https://www.google.com/url?q=https://github.com/mostafa-saad/MyCompetitiveProgramming/blob/master/Olympiad/POI/POI-12-WarehouseStore.txt&amp;sa=D&amp;ust=1605639800286000&amp;usg=AFQjCNH5dm8lB6d_VJx4EJfX5qFTuOBqsQ" xr:uid="{55D5B88C-CBE5-4BCF-823D-7173E515E5EA}"/>
    <hyperlink ref="B784" r:id="rId1378" display="https://www.google.com/url?q=https://tioj.ck.tp.edu.tw/problems/1740&amp;sa=D&amp;ust=1605639800286000&amp;usg=AFQjCNFaBIqlt0PVm_5VriChcO9Lm5FRTg" xr:uid="{892A6FC3-43BE-4E55-80E3-3CB74F812FA8}"/>
    <hyperlink ref="F784" r:id="rId1379" display="https://www.google.com/url?q=https://github.com/mostafa-saad/MyCompetitiveProgramming/blob/master/Olympiad/APIO/APIO-08-Roads.txt&amp;sa=D&amp;ust=1605639800286000&amp;usg=AFQjCNGRaLRHLXygkZ6AwXNZtHdcTXaiTg" xr:uid="{2637DF79-8E3C-473F-90DC-9A7FEC5633EC}"/>
    <hyperlink ref="B785" r:id="rId1380" display="https://www.google.com/url?q=https://www.infoarena.ro/problema/borcane&amp;sa=D&amp;ust=1605639800287000&amp;usg=AFQjCNEo2aY4qnkMq28WrzRrqYbmHXAJqA" xr:uid="{F29B215E-B975-4E94-AC4B-ED0DCDDD5877}"/>
    <hyperlink ref="F785" r:id="rId1381" display="https://www.google.com/url?q=https://github.com/stefdasca/CompetitiveProgramming/blob/master/Infoarena/borcane.cpp&amp;sa=D&amp;ust=1605639800287000&amp;usg=AFQjCNHo1rdnErqQy2Z4vjMOKUK3NCpN3A" xr:uid="{403C5E15-90DD-4DCF-9662-1C45ED90003E}"/>
    <hyperlink ref="B786" r:id="rId1382" display="https://www.google.com/url?q=https://dmoj.ca/problem/coci07c5p4&amp;sa=D&amp;ust=1605639800287000&amp;usg=AFQjCNH_gYUj_dzyIfIpy0eLvYXVvH2V8A" xr:uid="{5C010F34-608A-41D3-B92C-4174088C4B3F}"/>
    <hyperlink ref="F786" r:id="rId1383" display="https://www.google.com/url?q=https://github.com/mostafa-saad/MyCompetitiveProgramming/tree/master/Olympiad/COCI/official/2008/contest5_solutions&amp;sa=D&amp;ust=1605639800288000&amp;usg=AFQjCNG_kZeagN9EMC_yJRUSYKv_TyYcXg" xr:uid="{C4960EAF-A7EB-4951-8DE0-C7003BA3AA9E}"/>
    <hyperlink ref="B787" r:id="rId1384" display="https://www.google.com/url?q=https://infoarena.ro/problema/metrouri&amp;sa=D&amp;ust=1605639800288000&amp;usg=AFQjCNHNBWwP-_w3pb4OC9pMG4bkztO1zQ" xr:uid="{DB274083-220D-465C-B6EA-E13C69457906}"/>
    <hyperlink ref="F787" r:id="rId1385" display="https://www.google.com/url?q=https://github.com/stefdasca/CompetitiveProgramming/blob/master/Infoarena/metrouri.cpp&amp;sa=D&amp;ust=1605639800288000&amp;usg=AFQjCNEo3fnY6sXyQqU0wZp7iE4cdGRiBg" xr:uid="{AF0098C9-4D3D-4E42-85C1-362D8AD9D9AD}"/>
    <hyperlink ref="B788" r:id="rId1386" display="https://www.google.com/url?q=http://usaco.org/index.php?page%3Dviewproblem2%26cpid%3D496&amp;sa=D&amp;ust=1605639800289000&amp;usg=AFQjCNH7Pgt-5SwvdDh_qvSh9wAODe3MxA" xr:uid="{D133FC5D-462D-4486-BD6B-70BC9E073091}"/>
    <hyperlink ref="B789" r:id="rId1387" display="https://www.google.com/url?q=https://www.infoarena.ro/problema/cuplaje&amp;sa=D&amp;ust=1605639800289000&amp;usg=AFQjCNHmwIwEZizgmZN8mXb1di1rMmqRcA" xr:uid="{0E42C569-BD32-460A-885A-BE9360AD0539}"/>
    <hyperlink ref="B790" r:id="rId1388" display="https://www.google.com/url?q=https://csacademy.com/contest/ceoi-2017-day-2/&amp;sa=D&amp;ust=1605639800290000&amp;usg=AFQjCNEyOf5u0W3KT4_MhOccPw2EupIX3Q" xr:uid="{7196075A-A362-4420-88AB-05A170570D9C}"/>
    <hyperlink ref="B791" r:id="rId1389" display="https://www.google.com/url?q=https://csacademy.com/contest/ceoi-2017-day-1/tasks/&amp;sa=D&amp;ust=1605639800292000&amp;usg=AFQjCNFtcDcqnDn0YoGrOfFfyRvP7UTebw" xr:uid="{933C6110-8590-478F-91D3-2F1B41D882BE}"/>
    <hyperlink ref="F791" r:id="rId1390" display="https://www.google.com/url?q=https://github.com/tmwilliamlin168/CompetitiveProgramming/blob/master/CEOI/17-Sure.cpp&amp;sa=D&amp;ust=1605639800292000&amp;usg=AFQjCNGDxvgfFJ16F6ihL01j_qBFZcdWxQ" xr:uid="{92D65C9B-13BF-4796-8B13-05F971767A3B}"/>
    <hyperlink ref="B792" r:id="rId1391" display="https://www.google.com/url?q=http://www.spoj.com/problems/MOBILE2/&amp;sa=D&amp;ust=1605639800293000&amp;usg=AFQjCNF4hukRiwPEPURzfseK9bIMb3qChg" xr:uid="{02E89A03-01A7-42F2-B626-58C7360E39A8}"/>
    <hyperlink ref="F792" r:id="rId1392" display="https://www.google.com/url?q=https://github.com/cacophonix/SPOJ/blob/master/MOBILE2.cpp&amp;sa=D&amp;ust=1605639800293000&amp;usg=AFQjCNFIIm4m7JMKSOGZEfuQm4Ku18Ce4Q" xr:uid="{353B64E9-B4C0-4F86-8A01-E226066735E0}"/>
    <hyperlink ref="B793" r:id="rId1393" display="https://www.google.com/url?q=https://www.infoarena.ro/problema/asmin&amp;sa=D&amp;ust=1605639800293000&amp;usg=AFQjCNH-oJ6e_B_VhENHm1gjkL5a5su5cg" xr:uid="{3E6DBD69-85CF-4653-B21D-36DD0B4922E3}"/>
    <hyperlink ref="F793" r:id="rId1394" display="https://www.google.com/url?q=https://github.com/stefdasca/CompetitiveProgramming/blob/master/Infoarena/danger.cpp&amp;sa=D&amp;ust=1605639800293000&amp;usg=AFQjCNFPhA80Ap-81Jz6s5H26-P5yNhCYw" xr:uid="{A69FD2FC-7A6E-4E9B-BBCC-1F9A3D02D0CB}"/>
    <hyperlink ref="B794" r:id="rId1395" display="https://www.google.com/url?q=https://cses.fi/112/list/&amp;sa=D&amp;ust=1605639800294000&amp;usg=AFQjCNEhY6Gg6_bTJMV6GKhDhbxnOAVPlA" xr:uid="{18E0301D-A1CA-4948-A27E-2812E47BC85A}"/>
    <hyperlink ref="F794" r:id="rId1396" display="https://www.google.com/url?q=https://github.com/mostafa-saad/MyCompetitiveProgramming/blob/master/Olympiad/Baltic/Baltic-07-Sequence.txt&amp;sa=D&amp;ust=1605639800294000&amp;usg=AFQjCNEsAWN8cX94o_IPnG8T50UzPLL2XA" xr:uid="{1BD17563-F9DF-423F-97B7-4990448D6BE7}"/>
    <hyperlink ref="B795" r:id="rId1397" display="https://www.google.com/url?q=https://oj.uz/problem/view/COCI17_hokej&amp;sa=D&amp;ust=1605639800294000&amp;usg=AFQjCNGMM7d0-AKImmB3AjuiSxbTOfcNmg" xr:uid="{A72A33A9-868F-4843-85FC-A3D7D4704948}"/>
    <hyperlink ref="F795" r:id="rId1398" display="https://www.google.com/url?q=https://github.com/mostafa-saad/MyCompetitiveProgramming/blob/master/Olympiad/COCI/official/2018/contest1_solutions&amp;sa=D&amp;ust=1605639800295000&amp;usg=AFQjCNGaGQdVLJV3MhRUupYjTJnXKrMYTA" xr:uid="{6C09F0D5-C9AF-45FC-AB42-0DED80A42DDC}"/>
    <hyperlink ref="B796" r:id="rId1399" display="https://www.google.com/url?q=https://cses.fi/115/list/&amp;sa=D&amp;ust=1605639800295000&amp;usg=AFQjCNGK5rGQAE813D7ruHxnkJq-YbWNQQ" xr:uid="{BDD9138F-7DE1-4237-A73F-D2432A21FF4C}"/>
    <hyperlink ref="F796" r:id="rId1400" display="https://www.google.com/url?q=https://github.com/mostafa-saad/MyCompetitiveProgramming/blob/master/Olympiad/JOI/Baltic/Baltic-05-Magic.txt&amp;sa=D&amp;ust=1605639800295000&amp;usg=AFQjCNFh7hol6srQQi4hbzmFjR9Wj7wSzw" xr:uid="{C528C9A8-148F-49DC-A1C2-1411757A0111}"/>
    <hyperlink ref="B797" r:id="rId1401" display="https://www.google.com/url?q=https://szkopul.edu.pl/problemset/problem/TPo3Eb_q2NKymvHo6kNvd5yx/site/&amp;sa=D&amp;ust=1605639800296000&amp;usg=AFQjCNG1dVvt8vP-ExHUtGf6fzzw1ooFLA" xr:uid="{49E2B593-B8BB-4FA7-8404-AAE634F3D538}"/>
    <hyperlink ref="F797" r:id="rId1402" display="https://www.google.com/url?q=https://github.com/mostafa-saad/MyCompetitiveProgramming/blob/master/Olympiad/POI/official/find_editorial_sols_guidelines.txt&amp;sa=D&amp;ust=1605639800296000&amp;usg=AFQjCNFg5zvsZD7GZ24jdCarKM23A22CTQ" xr:uid="{71E075DC-9FB0-4555-93AD-C3513C8F2755}"/>
    <hyperlink ref="B798" r:id="rId1403" display="https://www.google.com/url?q=https://szkopul.edu.pl/problemset/problem/hepq5oWcHLsMo3oOy-dp3OZC/site/&amp;sa=D&amp;ust=1605639800296000&amp;usg=AFQjCNFT_feFSK14DsXyIOiNBszfaIxP3Q" xr:uid="{CDCFEE1A-F2CF-4D27-A7A8-3740A43998D6}"/>
    <hyperlink ref="F798" r:id="rId1404" display="https://www.google.com/url?q=https://github.com/peon-pasado/CompetitiveProgramming/blob/master/szkoput/POI-14-Bricks.cpp&amp;sa=D&amp;ust=1605639800297000&amp;usg=AFQjCNEC4ZTIqNgFFynaZSpWTl5LhXvo4g" xr:uid="{F1655B05-A02E-437B-BB5C-8DAE18353AC9}"/>
    <hyperlink ref="B799" r:id="rId1405" display="https://www.google.com/url?q=https://csacademy.com/contest/round-80/task/shampoo-exchange/&amp;sa=D&amp;ust=1605639800297000&amp;usg=AFQjCNG0kxdc1COXEJYl6XtJSlMCjUo6Kw" xr:uid="{19D31931-FCA1-4BCA-8E0E-4CC0D81ABFC4}"/>
    <hyperlink ref="B800" r:id="rId1406" display="https://www.google.com/url?q=https://csacademy.com/contest/junior-challenge-2017-day-2/task/set-subtraction&amp;sa=D&amp;ust=1605639800297000&amp;usg=AFQjCNG7pX2UG-3lClF54Ynk86IkYegk9g" xr:uid="{B9A402AD-197B-4BB7-B10F-4D60E60B0051}"/>
    <hyperlink ref="B801" r:id="rId1407" display="https://www.google.com/url?q=https://codeforces.com/group/swEqtABRxe/contest/243429/problem/B&amp;sa=D&amp;ust=1605639800298000&amp;usg=AFQjCNFnlMpVDHF3Lr-SH7AXotNPzb6e8A" xr:uid="{D48DF53E-CB87-4F47-A705-BF4733E0A616}"/>
    <hyperlink ref="B802" r:id="rId1408" display="https://www.google.com/url?q=https://www.infoarena.ro/problema/copii2&amp;sa=D&amp;ust=1605639800298000&amp;usg=AFQjCNFhPGpCVlPP4Vk3nKSPxmkwUa8QDg" xr:uid="{8D1167CB-B206-4E6B-82AA-68FBADC472EC}"/>
    <hyperlink ref="F802" r:id="rId1409" display="https://www.google.com/url?q=https://github.com/stefdasca/CompetitiveProgramming/blob/master/Infoarena/copii2.cpp&amp;sa=D&amp;ust=1605639800299000&amp;usg=AFQjCNEg6vfZqjC_C6FpzG-i5FqvwoW8LA" xr:uid="{C00CD953-3F83-4231-B6BE-E8556C339AD1}"/>
    <hyperlink ref="B803" r:id="rId1410" display="https://www.google.com/url?q=https://www.infoarena.ro/problema/sir42&amp;sa=D&amp;ust=1605639800299000&amp;usg=AFQjCNGdsX7_sXFpnrKiRF5Ktw2cWwqwoQ" xr:uid="{158A2150-5BFE-431B-9340-F3BDE9E01E4A}"/>
    <hyperlink ref="F803" r:id="rId1411" display="https://www.google.com/url?q=https://github.com/stefdasca/CompetitiveProgramming/blob/master/Infoarena/sir42.cpp&amp;sa=D&amp;ust=1605639800299000&amp;usg=AFQjCNHkZopOsEnLkEcANQXGIyQUMe47pQ" xr:uid="{B698B898-6680-4B67-A87F-75B2E511B8BA}"/>
    <hyperlink ref="B804" r:id="rId1412" display="https://www.google.com/url?q=https://oj.uz/problem/view/COCI18_karte&amp;sa=D&amp;ust=1605639800300000&amp;usg=AFQjCNFdDPGBFz8w_LPB8Vk888X6j5LZwQ" xr:uid="{4B1DAA6C-DBF3-4E5A-BAD8-65B07B1628C6}"/>
    <hyperlink ref="F804" r:id="rId1413" display="https://www.google.com/url?q=https://github.com/mostafa-saad/MyCompetitiveProgramming/blob/master/Olympiad/COCI/COCI-18-karte.txt&amp;sa=D&amp;ust=1605639800300000&amp;usg=AFQjCNH-rMqtIMKwEjGN10A3bjpxnrtlWQ" xr:uid="{E388B68F-CF0D-49AD-8815-4D53B03B1D97}"/>
    <hyperlink ref="B805" r:id="rId1414" display="https://www.google.com/url?q=https://oj.uz/problem/view/CEOI12_jobs&amp;sa=D&amp;ust=1605639800300000&amp;usg=AFQjCNF9clr-GLJgcjq2Cdtor6pqo0b_kg" xr:uid="{384038DA-BA56-4635-AF3B-FDEE47F96539}"/>
    <hyperlink ref="F805" r:id="rId1415" display="https://www.google.com/url?q=https://github.com/SpeedOfMagic/CompetitiveProgramming/blob/master/CEOI/CEOI%252012-Jobs.cpp&amp;sa=D&amp;ust=1605639800301000&amp;usg=AFQjCNEMLVLqE_-XYzhw6rAwkI0bhtEwOg" xr:uid="{6B54245C-9B51-4B4F-A8C1-8AC85956F4A8}"/>
    <hyperlink ref="B806" r:id="rId1416" display="https://www.google.com/url?q=https://oj.uz/problem/view/COCI17_lozinke&amp;sa=D&amp;ust=1605639800301000&amp;usg=AFQjCNGx7OX3hWE6bT1s-Zdk71M-KKFhjQ" xr:uid="{180C598E-7204-40AD-A393-F194E868DD51}"/>
    <hyperlink ref="F806" r:id="rId1417" display="https://www.google.com/url?q=https://oj.uz/submission/85415&amp;sa=D&amp;ust=1605639800301000&amp;usg=AFQjCNFlrntWv-5Bk06ITzY5PyjwXYlU3A" xr:uid="{166AA516-1E69-48B1-B1C1-02DAD5D807F6}"/>
    <hyperlink ref="B807" r:id="rId1418" display="https://www.google.com/url?q=https://www.infoarena.ro/problema/jsched&amp;sa=D&amp;ust=1605639800302000&amp;usg=AFQjCNEVfiATlYjtxDkrToUaVvpi4mrT1A" xr:uid="{F47D4967-F0D8-45C4-9BB0-37FE2CEA8F28}"/>
    <hyperlink ref="F807" r:id="rId1419" display="https://www.google.com/url?q=https://github.com/stefdasca/CompetitiveProgramming/blob/master/Infoarena/jsched.cpp&amp;sa=D&amp;ust=1605639800303000&amp;usg=AFQjCNFmxCFH5wTFLzG_qE4aIX03qm6_8Q" xr:uid="{12C4F554-464C-4A93-A048-F4FC8BB15F89}"/>
    <hyperlink ref="B808" r:id="rId1420" display="https://www.google.com/url?q=https://www.infoarena.ro/problema/kcover&amp;sa=D&amp;ust=1605639800303000&amp;usg=AFQjCNG4NkWT8rIestGMrkL_8tWCjirYDw" xr:uid="{813DF787-1FC1-4BA5-8259-652EF794B6AA}"/>
    <hyperlink ref="F808" r:id="rId1421" display="https://www.google.com/url?q=https://github.com/stefdasca/CompetitiveProgramming/blob/master/Infoarena/kcover.cpp&amp;sa=D&amp;ust=1605639800303000&amp;usg=AFQjCNE2qRL7GV0jA4-iRQWWr-7ZxCgZUQ" xr:uid="{BFE791A9-5AA0-4E55-8C3E-9D0FFBA90849}"/>
    <hyperlink ref="B809" r:id="rId1422" display="https://www.google.com/url?q=https://dmoj.ca/problem/coci13c1p4&amp;sa=D&amp;ust=1605639800306000&amp;usg=AFQjCNGM4YEN-5A4gjm8XiQNLeDewSgOZQ" xr:uid="{E577F8B4-5E5A-49C7-97C8-694804228741}"/>
    <hyperlink ref="F809" r:id="rId1423" display="https://www.google.com/url?q=https://github.com/mostafa-saad/MyCompetitiveProgramming/blob/master/Olympiad/COCI/official/2014/contest1_solutions&amp;sa=D&amp;ust=1605639800306000&amp;usg=AFQjCNHetsVuYhEy8Z-S37k-OwN5FTNNAQ" xr:uid="{43CFC866-5206-4088-BEE1-00C0F74A2680}"/>
    <hyperlink ref="B810" r:id="rId1424" display="https://www.google.com/url?q=https://szkopul.edu.pl/problemset/problem/r6tMTfvQFPAEfQioYMCQndQe/site/&amp;sa=D&amp;ust=1605639800306000&amp;usg=AFQjCNGh50j8SG_y8C5YSbPI1iFk0HcC3A" xr:uid="{AD133BCA-517E-4093-B903-65DB5D40DE68}"/>
    <hyperlink ref="F810" r:id="rId1425" display="https://www.google.com/url?q=https://github.com/mostafa-saad/MyCompetitiveProgramming/blob/master/Olympiad/POI/official/find_editorial_sols_guidelines.txt&amp;sa=D&amp;ust=1605639800306000&amp;usg=AFQjCNH_ZEF11r_BYVEijjQX_wuG6aeWGA" xr:uid="{AE6FC909-0733-4728-855B-99EC3E6C48F5}"/>
    <hyperlink ref="B811" r:id="rId1426" display="https://www.google.com/url?q=https://dunjudge.me/analysis/problems/693/&amp;sa=D&amp;ust=1605639800307000&amp;usg=AFQjCNE3YbdFUtw-FjPfxRxs9eNvnByO5g" xr:uid="{A13C88A5-82B2-4F06-B22D-7A669FE16DA7}"/>
    <hyperlink ref="B812" r:id="rId1427" display="https://www.google.com/url?q=https://oj.uz/problem/view/NOI18_lightningrod&amp;sa=D&amp;ust=1605639800307000&amp;usg=AFQjCNFY0Bo6EG1BGvFo6S-PQar7sTZgQw" xr:uid="{D4EA1D88-B64B-4B45-AE83-BEF240C99292}"/>
    <hyperlink ref="F812" r:id="rId1428" display="https://www.google.com/url?q=https://github.com/mostafa-saad/MyCompetitiveProgramming/blob/master/Olympiad/NOI/official&amp;sa=D&amp;ust=1605639800308000&amp;usg=AFQjCNERCg8aKG1FjNoVxco3aF0o32hz1A" xr:uid="{67E722BD-09DB-4CFF-A13B-B26BD10F2396}"/>
    <hyperlink ref="B813" r:id="rId1429" display="https://www.google.com/url?q=https://oj.uz/problem/view/COCI15_baloni&amp;sa=D&amp;ust=1605639800308000&amp;usg=AFQjCNFkql204Ul7xx6MkJQ3rcOvyr5oOA" xr:uid="{07FD02F4-B431-4804-9C2B-60040FBB334C}"/>
    <hyperlink ref="F813" r:id="rId1430" display="https://www.google.com/url?q=https://github.com/zoooma13/Competitive-Programming/blob/master/baloni2.cpp&amp;sa=D&amp;ust=1605639800308000&amp;usg=AFQjCNFsFMsSsRPtkdFHii9rqq3JXc2TwQ" xr:uid="{69D7B5DA-7BE4-470D-98A6-98AE3B2B6122}"/>
    <hyperlink ref="B814" r:id="rId1431" display="https://www.google.com/url?q=https://codeforces.com/group/swEqtABRxe/contest/227524/problem/B&amp;sa=D&amp;ust=1605639800309000&amp;usg=AFQjCNFmECq7lnnaILfRVWgRwdBbX4CCkQ" xr:uid="{F7314EDF-522E-45C1-9A75-1F53F0823546}"/>
    <hyperlink ref="B815" r:id="rId1432" display="https://www.google.com/url?q=https://oj.uz/problems/source/307&amp;sa=D&amp;ust=1605639800309000&amp;usg=AFQjCNHNOdMIkbcHevx6oyGd1dQFJDv9Kw" xr:uid="{81BEBC76-6A77-4FB9-9940-584D65EAADBA}"/>
    <hyperlink ref="F815" r:id="rId1433" display="https://www.google.com/url?q=https://github.com/tmwilliamlin168/CompetitiveProgramming/tree/master/JOI&amp;sa=D&amp;ust=1605639800309000&amp;usg=AFQjCNFARWItWSX5wksKvV0fFpIZpyG7pQ" xr:uid="{8EF95CE4-66C8-4FC1-A04B-707F395B48E9}"/>
    <hyperlink ref="B816" r:id="rId1434" display="https://www.google.com/url?q=https://www.infoarena.ro/problema/calorifer&amp;sa=D&amp;ust=1605639800310000&amp;usg=AFQjCNFxNw_A4M9uiBFKRfOai5C61b7niw" xr:uid="{1C4947E3-D610-44A2-863E-88962BAB74BE}"/>
    <hyperlink ref="F816" r:id="rId1435" display="https://www.google.com/url?q=https://github.com/stefdasca/CompetitiveProgramming/blob/master/Infoarena/calorifer.cpp&amp;sa=D&amp;ust=1605639800310000&amp;usg=AFQjCNF65MRVOJ7PDaEeC72r4yIBde62PA" xr:uid="{F7BEEB30-FAFB-42E7-A032-716E73015A01}"/>
    <hyperlink ref="B817" r:id="rId1436" display="https://www.google.com/url?q=https://dunjudge.me/analysis/problems/18/&amp;sa=D&amp;ust=1605639800310000&amp;usg=AFQjCNFES7uV-7RnTn210Zm0mfJ4R7fO-A" xr:uid="{C4F02834-4F16-466A-AB87-4852C6BAC9E2}"/>
    <hyperlink ref="F817" r:id="rId1437" display="https://www.google.com/url?q=https://github.com/mostafa-saad/MyCompetitiveProgramming/blob/master/Olympiad/NOI/official/2011.pptx&amp;sa=D&amp;ust=1605639800311000&amp;usg=AFQjCNH5L5CRGZ6hp3zKhH5LEJdcIn5fGw" xr:uid="{B7AE2182-5212-4B36-AFA4-FF60FDFE6880}"/>
    <hyperlink ref="B818" r:id="rId1438" display="https://www.google.com/url?q=https://boi18-practice-open.kattis.com/problems&amp;sa=D&amp;ust=1605639800311000&amp;usg=AFQjCNHKSbchqgGhkvJbYXbtKXiDffV5zA" xr:uid="{37AA3055-91AF-4484-A5C0-DFD716369402}"/>
    <hyperlink ref="B820" r:id="rId1439" display="https://www.google.com/url?q=https://dunjudge.me/analysis/problems/1365/&amp;sa=D&amp;ust=1605639800312000&amp;usg=AFQjCNEtnqh7dyFUd9yI-LRAvfiBN4dBEQ" xr:uid="{83844791-78F2-48FD-B879-29653F9703C1}"/>
    <hyperlink ref="F820" r:id="rId1440" display="https://www.google.com/url?q=https://github.com/mostafa-saad/MyCompetitiveProgramming/blob/master/Olympiad/COCI/official/2013/contest2_solutions&amp;sa=D&amp;ust=1605639800312000&amp;usg=AFQjCNEk_lNnMjii3h0MoAzi64Mjkq8M9w" xr:uid="{3195EDEC-AC5B-4C73-9D31-35627071898F}"/>
    <hyperlink ref="B821" r:id="rId1441" display="https://www.google.com/url?q=https://dunjudge.me/analysis/problems/954/&amp;sa=D&amp;ust=1605639800312000&amp;usg=AFQjCNHz1tpUoX2C_zYXJAqC6FUd9gN4Tw" xr:uid="{58169702-DC1A-4D50-A022-6FD32BB4ED30}"/>
    <hyperlink ref="F821" r:id="rId1442" display="https://www.google.com/url?q=https://github.com/mostafa-saad/MyCompetitiveProgramming/blob/master/Olympiad/NOI/official&amp;sa=D&amp;ust=1605639800313000&amp;usg=AFQjCNExT5vCpNXiqx1ggeyzS41doUsKWg" xr:uid="{CC7EC676-237A-420A-9989-489770DDD97C}"/>
    <hyperlink ref="B822" r:id="rId1443" display="https://www.google.com/url?q=https://oj.uz/problem/view/COCI18_prosjek&amp;sa=D&amp;ust=1605639800313000&amp;usg=AFQjCNHcc1HhiJFBQWDJHU_cGF-6VTnKhg" xr:uid="{84CCC4AF-2E9A-4CB1-BB68-F05C6E5393AF}"/>
    <hyperlink ref="B823" r:id="rId1444" display="https://www.google.com/url?q=https://dunjudge.me/analysis/problems/214/&amp;sa=D&amp;ust=1605639800313000&amp;usg=AFQjCNGBKdqQSxKb2-oTjhuh0etvETovsQ" xr:uid="{2F620060-B92C-4CB1-9C94-094B85CF4CD7}"/>
    <hyperlink ref="B824" r:id="rId1445" display="https://www.google.com/url?q=https://oj.uz/problem/view/POI11_imp&amp;sa=D&amp;ust=1605639800314000&amp;usg=AFQjCNGn6b8MfVGhdxIx0NoABqX8D4LPZw" xr:uid="{F1D55149-6A1F-4E3E-BCD1-314C52C69EC6}"/>
    <hyperlink ref="F824" r:id="rId1446" display="https://www.google.com/url?q=https://github.com/mostafa-saad/MyCompetitiveProgramming/blob/master/Olympiad/POI/official/find_editorial_sols_guidelines.txt&amp;sa=D&amp;ust=1605639800314000&amp;usg=AFQjCNF1gdwIIqSlmiSRP6X1UEvtkYIbBg" xr:uid="{D6638814-2E2D-4D8A-AD54-F9E6F643308E}"/>
    <hyperlink ref="B825" r:id="rId1447" display="https://www.google.com/url?q=https://cses.fi/205/list/&amp;sa=D&amp;ust=1605639800314000&amp;usg=AFQjCNGX3uB6gkAHZMbC3fnGPDe5zsD6WQ" xr:uid="{63A1D5F5-FE86-46B6-BF44-C2A5D5686D03}"/>
    <hyperlink ref="F825" r:id="rId1448" display="https://www.google.com/url?q=https://github.com/mostafa-saad/MyCompetitiveProgramming/tree/master/Olympiad/Baltic/official/boi2018_solutions&amp;sa=D&amp;ust=1605639800315000&amp;usg=AFQjCNGFpcvBgBLW-vHtza23cAkLa6aiww" xr:uid="{50CF73B8-EE72-4F92-9564-D0EDB735266B}"/>
    <hyperlink ref="B826" r:id="rId1449" display="https://www.google.com/url?q=https://dunjudge.me/analysis/problems/932/&amp;sa=D&amp;ust=1605639800315000&amp;usg=AFQjCNGWRFGrzty8Hd_YaCsF9f4REA31AQ" xr:uid="{66C339F3-8305-4D1D-866C-977796CB3EA5}"/>
    <hyperlink ref="B827" r:id="rId1450" display="https://www.google.com/url?q=https://oj.uz/problem/view/IOI17_train&amp;sa=D&amp;ust=1605639800315000&amp;usg=AFQjCNFIJukf5D1NHTRYigFGrdDF_HYnvA" xr:uid="{51721D84-0BDF-4C9D-9073-FBCFC52E1195}"/>
    <hyperlink ref="F827" r:id="rId1451" display="https://www.google.com/url?q=https://github.com/mostafa-saad/MyCompetitiveProgramming/blob/master/Olympiad/IOI/IOI-17-toytrain.txt&amp;sa=D&amp;ust=1605639800316000&amp;usg=AFQjCNFcqtVcaU-YTQJQ35nwpyBr0rn0LA" xr:uid="{2D38AEBF-58E8-4DDD-8D70-E50A66DDA909}"/>
    <hyperlink ref="B828" r:id="rId1452" display="https://www.google.com/url?q=https://szkopul.edu.pl/problemset/problem/M5CruI5eCu8elnNFHuiXBrvV/site/&amp;sa=D&amp;ust=1605639800318000&amp;usg=AFQjCNE4KpmdnUijri7f-b3QlBRazXpPpw" xr:uid="{73D9B580-E39A-4A0E-B320-294B185EC1EC}"/>
    <hyperlink ref="F828" r:id="rId1453" display="https://www.google.com/url?q=https://github.com/mostafa-saad/MyCompetitiveProgramming/blob/master/Olympiad/POI/POI-16-Not_Nim.txt&amp;sa=D&amp;ust=1605639800318000&amp;usg=AFQjCNH6HYn_rT3yAREM8h5Uv4ovi-7DGg" xr:uid="{A732F03D-623D-49DC-A888-3DE3F1ABCBA6}"/>
    <hyperlink ref="B829" r:id="rId1454" display="https://www.google.com/url?q=https://oj.uz/problems/source/121&amp;sa=D&amp;ust=1605639800318000&amp;usg=AFQjCNGT8TuuQ7d0ddiSUSp55PyvfY2bng" xr:uid="{4694313D-95D4-4010-8298-329E2C77897A}"/>
    <hyperlink ref="F829" r:id="rId1455" display="https://www.google.com/url?q=https://github.com/tmwilliamlin168/CompetitiveProgramming/blob/master/CEOI/14-007.cpp&amp;sa=D&amp;ust=1605639800319000&amp;usg=AFQjCNGNMspjBcpE4vmiadKp37A5_NUCPw" xr:uid="{DBBC172F-CEA9-4CFF-9F95-6E060EF729D7}"/>
    <hyperlink ref="B830" r:id="rId1456" display="https://www.google.com/url?q=https://oj.uz/problem/view/BOI15_hac&amp;sa=D&amp;ust=1605639800319000&amp;usg=AFQjCNHlP7vHPVcKho_4XoqbM6RLuLsNOw" xr:uid="{013F6F8E-B628-4DF3-A2EE-E89544C60384}"/>
    <hyperlink ref="F830" r:id="rId1457" display="https://www.google.com/url?q=https://github.com/mostafa-saad/MyCompetitiveProgramming/blob/master/Olympiad/Baltic/Baltic-15-hac.txt&amp;sa=D&amp;ust=1605639800364000&amp;usg=AFQjCNGtQrUGOHBneQ9UUlJs4N6l2NcQrw" xr:uid="{6097BE88-C2D1-4948-8FDF-2DFAF30D666C}"/>
    <hyperlink ref="B831" r:id="rId1458" display="https://www.google.com/url?q=https://cses.fi/189/list/&amp;sa=D&amp;ust=1605639800365000&amp;usg=AFQjCNErep8IEGHVIh7HsMIriLZSsieOVg" xr:uid="{EB7455C9-7753-4085-8DE3-D9F9937241F8}"/>
    <hyperlink ref="F831" r:id="rId1459" display="https://www.google.com/url?q=https://github.com/mostafa-saad/MyCompetitiveProgramming/blob/master/Olympiad/CEOI/CEOI-08-Knights.txt&amp;sa=D&amp;ust=1605639800365000&amp;usg=AFQjCNEdDB-jN2qREXk5M-YBpaOBdiPdpA" xr:uid="{A3D7DBA5-1321-4F28-8332-3AFB8CFBE99F}"/>
    <hyperlink ref="B832" r:id="rId1460" display="https://www.google.com/url?q=https://contest.yandex.ru/ioi/contest/566/enter/&amp;sa=D&amp;ust=1605639800366000&amp;usg=AFQjCNFTMuQuPZqX6lfBKNtXHGDDHR4LkQ" xr:uid="{FD1C50EA-7F71-4494-A231-7DC7D5911BB0}"/>
    <hyperlink ref="F832" r:id="rId1461" display="https://www.google.com/url?q=https://github.com/mostafa-saad/MyCompetitiveProgramming/blob/master/Olympiad/IOI/IOI-05-game.txt&amp;sa=D&amp;ust=1605639800366000&amp;usg=AFQjCNHudfoIs2Xdevzug6z3DvCD03thDg" xr:uid="{FE5E4C8E-FEBA-4E79-A4D3-F9EC80F42CA8}"/>
    <hyperlink ref="B833" r:id="rId1462" display="https://www.google.com/url?q=https://szkopul.edu.pl/problemset/problem/JIRgi7mvHIkqfldzgqILaMqr/site/&amp;sa=D&amp;ust=1605639800366000&amp;usg=AFQjCNFYCF4AiZGUZFQvrh6nP-Fb8sZ2iw" xr:uid="{804DFA6D-37C4-483C-8743-E4A03209A219}"/>
    <hyperlink ref="F833" r:id="rId1463" display="https://www.google.com/url?q=https://github.com/mostafa-saad/MyCompetitiveProgramming/blob/master/Olympiad/POI/POI-04-Game.txt&amp;sa=D&amp;ust=1605639800367000&amp;usg=AFQjCNHrwMeOSqOi6eRzV3IOgDfghigwUQ" xr:uid="{618424E1-1242-4E4A-A710-5235E5A8C06A}"/>
    <hyperlink ref="B834" r:id="rId1464" display="https://www.google.com/url?q=https://csacademy.com/contest/balkan-oi-2017-day-1/&amp;sa=D&amp;ust=1605639800367000&amp;usg=AFQjCNE8rAPUYT6g2uyxARwKikbuxNzwlw" xr:uid="{B63CDEF5-3CA6-4675-B570-ED115796737C}"/>
    <hyperlink ref="B835" r:id="rId1465" display="https://www.google.com/url?q=https://oj.uz/problem/view/BOI16_spiral&amp;sa=D&amp;ust=1605639800368000&amp;usg=AFQjCNFymLuBU3Jf-RFqNG6l8JGjti9rzw" xr:uid="{08DE6793-33A8-42BC-A7DB-2E17A1B542A2}"/>
    <hyperlink ref="F835" r:id="rId1466" display="https://www.google.com/url?q=https://github.com/mostafa-saad/MyCompetitiveProgramming/blob/master/Olympiad/Baltic/official/boi2016_solutions&amp;sa=D&amp;ust=1605639800368000&amp;usg=AFQjCNFe2Bi5EN_rRBmzfoXUdglNi9Y_2w" xr:uid="{46218EB8-AF21-4CD4-87F0-977DB564FA90}"/>
    <hyperlink ref="B836" r:id="rId1467" display="https://www.google.com/url?q=https://www.hackerrank.com/contests/ioi-2014-practice-contest-1/challenges&amp;sa=D&amp;ust=1605639800368000&amp;usg=AFQjCNGPTSzHrq1zc6lcahBqDagqGJk3PQ" xr:uid="{4AA48D9C-58AE-4CE5-AC94-39FF1784928A}"/>
    <hyperlink ref="B837" r:id="rId1468" display="https://www.google.com/url?q=https://cses.fi/105/list/&amp;sa=D&amp;ust=1605639800369000&amp;usg=AFQjCNGQHoCQD4AyDnVA9uoGMmghZZnYmw" xr:uid="{B3F6C016-2A93-4C39-BAC0-2D3E1725F6A7}"/>
    <hyperlink ref="F837" r:id="rId1469" display="https://www.google.com/url?q=https://github.com/mostafa-saad/MyCompetitiveProgramming/blob/master/Olympiad/Baltic/Baltic-10-Bears.txt&amp;sa=D&amp;ust=1605639800369000&amp;usg=AFQjCNEBrF1oPYDVjCfM-xIaQcsatA2wog" xr:uid="{FCA8C7C1-5230-4E06-936C-F3A1D29364BB}"/>
    <hyperlink ref="B838" r:id="rId1470" display="https://www.google.com/url?q=https://contest.yandex.ru/ioi/contest/562/problems/E/&amp;sa=D&amp;ust=1605639800369000&amp;usg=AFQjCNGhT1RH86V1XFX25IUd6lps-a7pcQ" xr:uid="{28874B32-6D36-4E7D-AECE-62E9B38191B0}"/>
    <hyperlink ref="F838" r:id="rId1471" display="https://www.google.com/url?q=https://github.com/mostafa-saad/MyCompetitiveProgramming/blob/master/Olympiad/IOI/IOI-06-points.txt&amp;sa=D&amp;ust=1605639800370000&amp;usg=AFQjCNFXS_joSI7IAp-1hYMf4ADHKMvdaw" xr:uid="{96CD890E-B7A1-4314-B961-14836EC802EC}"/>
    <hyperlink ref="B839" r:id="rId1472" display="https://www.google.com/url?q=https://oj.uz/problem/view/COCI15_drzava&amp;sa=D&amp;ust=1605639800370000&amp;usg=AFQjCNEXaQaH-pHAI8pjpJdTYD1bDfLXRw" xr:uid="{8C4926E4-11CD-4F2D-A7C9-E2A8950F8F26}"/>
    <hyperlink ref="F839" r:id="rId1473" display="https://www.google.com/url?q=https://github.com/mostafa-saad/MyCompetitiveProgramming/blob/master/Olympiad/COCI/official/2016/contest2_solutions&amp;sa=D&amp;ust=1605639800370000&amp;usg=AFQjCNG6iQgTLq1nkfzq_FkTMWt_BuKbYw" xr:uid="{D0D671B9-B0C4-47A5-A03D-4B6DD44FD5C1}"/>
    <hyperlink ref="B840" r:id="rId1474" display="https://www.google.com/url?q=https://oj.uz/problems/source/270&amp;sa=D&amp;ust=1605639800371000&amp;usg=AFQjCNHFlaBZP2Md1E4KswqFtEHQNZOS8Q" xr:uid="{2B16ADAD-B9EA-417C-AA9E-C9635E2D7C1F}"/>
    <hyperlink ref="F840" r:id="rId1475" display="https://www.google.com/url?q=https://github.com/mostafa-saad/MyCompetitiveProgramming/blob/master/Olympiad/JOI/JOIOC-17-bulldozer.txt&amp;sa=D&amp;ust=1605639800371000&amp;usg=AFQjCNFHrKxPD4XQKQtOEBAb4Luzb82ctQ" xr:uid="{B70EC1FF-A095-4A4C-AA62-5DF0E5BC561D}"/>
    <hyperlink ref="B841" r:id="rId1476" display="https://www.google.com/url?q=https://oj.uz/problem/view/balkan11_2circles&amp;sa=D&amp;ust=1605639800371000&amp;usg=AFQjCNEJMSHv7MdzghQKRecBxiIZOzD3cQ" xr:uid="{11489FE7-CCBF-43D6-8B72-4D0C8144F638}"/>
    <hyperlink ref="F841" r:id="rId1477" display="https://www.google.com/url?q=https://github.com/mostafa-saad/MyCompetitiveProgramming/blob/master/Olympiad/Balkan/Balkan-11-2circles.txt&amp;sa=D&amp;ust=1605639800371000&amp;usg=AFQjCNH3lk3_1_ZC4rZXWnPgHsTMN5IrCQ" xr:uid="{95856860-2B86-4EDC-8666-173311283258}"/>
    <hyperlink ref="B842" r:id="rId1478" display="https://www.google.com/url?q=https://szkopul.edu.pl/problemset/problem/qYS15kJB5WGKbGxqJCIEVM1I/site/&amp;sa=D&amp;ust=1605639800372000&amp;usg=AFQjCNHy8-EAKnmbhj_EKHMaSzDcHYMe_w" xr:uid="{05F39AA0-A7B8-4985-A729-06F12A330B25}"/>
    <hyperlink ref="F842" r:id="rId1479" display="https://www.google.com/url?q=https://github.com/mostafa-saad/MyCompetitiveProgramming/blob/master/Olympiad/CEOI/CEOI-04-Clouds.txt&amp;sa=D&amp;ust=1605639800372000&amp;usg=AFQjCNEf8KQzk8uIPmB7Iz-O2y3-jwBOzw" xr:uid="{A686FEEC-C11F-468F-823D-5111D99720E5}"/>
    <hyperlink ref="B843" r:id="rId1480" display="https://www.google.com/url?q=https://oj.uz/problem/view/COCI17_paralelogrami&amp;sa=D&amp;ust=1605639800372000&amp;usg=AFQjCNEEYk-LQeH1NUrxx7wPV-7vJ_eWiA" xr:uid="{350FFCDE-4E26-4FE4-9905-054413239038}"/>
    <hyperlink ref="F843" r:id="rId1481" display="https://www.google.com/url?q=https://github.com/mostafa-saad/MyCompetitiveProgramming/blob/master/Olympiad/COCI/official/2017/contest7_solutions&amp;sa=D&amp;ust=1605639800373000&amp;usg=AFQjCNEI6782Otzy_fNc71JyP3DpfklsSw" xr:uid="{C519C907-863F-4477-B69E-98F98ABDF0E7}"/>
    <hyperlink ref="B844" r:id="rId1482" display="https://www.google.com/url?q=https://oj.uz/problem/view/POI11_wyk&amp;sa=D&amp;ust=1605639800373000&amp;usg=AFQjCNE0lqeBP1FeCigyH373vspjzbvTnA" xr:uid="{9E715BAA-E0EC-43DB-9E47-47167A64A0D8}"/>
    <hyperlink ref="F844" r:id="rId1483" display="https://www.google.com/url?q=https://github.com/mostafa-saad/MyCompetitiveProgramming/blob/master/Olympiad/POI/official/find_editorial_sols_guidelines.txt&amp;sa=D&amp;ust=1605639800373000&amp;usg=AFQjCNHgob4rq0_hdUGzlOzsIBoQaRsWYA" xr:uid="{A9484C51-22F1-4684-A3BB-7ADACBCE177B}"/>
    <hyperlink ref="B845" r:id="rId1484" display="https://www.google.com/url?q=https://cses.fi/180/list/&amp;sa=D&amp;ust=1605639800375000&amp;usg=AFQjCNF6uI9v8RBq2wDNFgmGGUTnqisAbw" xr:uid="{B7A7630D-6F09-4A21-B25B-9FE29D55E232}"/>
    <hyperlink ref="F845" r:id="rId1485" display="https://www.google.com/url?q=https://github.com/mostafa-saad/MyCompetitiveProgramming/tree/master/Olympiad/CEOI/official/2009&amp;sa=D&amp;ust=1605639800375000&amp;usg=AFQjCNHIBbVfKCUrGMhT4VYmJ4bUU3xOHw" xr:uid="{37BACDFD-0F6B-45BD-A59D-CDA6CF71BC0F}"/>
    <hyperlink ref="B846" r:id="rId1486" display="https://www.google.com/url?q=https://szkopul.edu.pl/problemset/problem/ci05UTAWBFeYYWnidnK1zzQl/site/&amp;sa=D&amp;ust=1605639800376000&amp;usg=AFQjCNGcjP2PQGYq5sM-VknGH1CLLdx0pA" xr:uid="{FA5F1892-0432-4F92-BC5A-7645D2FF8220}"/>
    <hyperlink ref="F846" r:id="rId1487" display="https://www.google.com/url?q=https://github.com/mostafa-saad/MyCompetitiveProgramming/blob/master/Olympiad/POI/POI-08-Triangles.txt&amp;sa=D&amp;ust=1605639800376000&amp;usg=AFQjCNEd2MBAhNcfNA8tbOjQb9uyBj6eIw" xr:uid="{30EDC815-54E0-4B81-A615-50FECC8CFD3C}"/>
    <hyperlink ref="B847" r:id="rId1488" display="https://www.google.com/url?q=https://szkopul.edu.pl/problemset/problem/kxK8IowlpnNmHqkDDoK-hIeZ/site/&amp;sa=D&amp;ust=1605639800376000&amp;usg=AFQjCNEzzxNT9Xq8-pu5PSMvGoET1Kmi_A" xr:uid="{4F22B92B-B92D-41A1-801A-7CEB25FD039D}"/>
    <hyperlink ref="F847" r:id="rId1489" display="https://www.google.com/url?q=https://github.com/mostafa-saad/MyCompetitiveProgramming/blob/master/Olympiad/POI/official/find_editorial_sols_guidelines.txt&amp;sa=D&amp;ust=1605639800377000&amp;usg=AFQjCNEcKB5Q0bkphZ4aJIzAqgNA0NddJg" xr:uid="{34089490-687F-434C-8A00-587CC49836C2}"/>
    <hyperlink ref="B848" r:id="rId1490" display="https://www.google.com/url?q=https://szkopul.edu.pl/problemset/problem/hwbyoUkNFPXQLOPcw3x5huTR/site/&amp;sa=D&amp;ust=1605639800377000&amp;usg=AFQjCNH5XU2OGm_HdYcm4yskqveawgJPMQ" xr:uid="{BB5A1B0C-A6E2-4DB1-9196-1B576C41CA95}"/>
    <hyperlink ref="F848" r:id="rId1491" display="https://www.google.com/url?q=https://github.com/mostafa-saad/MyCompetitiveProgramming/blob/master/Olympiad/POI/official/find_editorial_sols_guidelines.txt&amp;sa=D&amp;ust=1605639800377000&amp;usg=AFQjCNEcKB5Q0bkphZ4aJIzAqgNA0NddJg" xr:uid="{2BC61753-A925-44B3-951A-210341F7DFB3}"/>
    <hyperlink ref="B849" r:id="rId1492" display="https://www.google.com/url?q=https://szkopul.edu.pl/problemset/problem/WXVRycanis3d1h5p63YZqYKs/site/&amp;sa=D&amp;ust=1605639800378000&amp;usg=AFQjCNE_XqG9VfDZfLYNvoxc9Jx3ANnwpw" xr:uid="{CA127654-6862-4C24-ABC4-0C4BA4256A20}"/>
    <hyperlink ref="F849" r:id="rId1493" display="https://www.google.com/url?q=https://github.com/mostafa-saad/MyCompetitiveProgramming/blob/master/Olympiad/POI/official/find_editorial_sols_guidelines.txt&amp;sa=D&amp;ust=1605639800378000&amp;usg=AFQjCNFaJzvNaJdRSen3wQOBBNBdz__-eA" xr:uid="{03F547A3-1DF0-474B-B92B-18F91E9E9186}"/>
    <hyperlink ref="B850" r:id="rId1494" display="https://www.google.com/url?q=https://cses.fi/192/list/&amp;sa=D&amp;ust=1605639800378000&amp;usg=AFQjCNEl8YPSkPdh7e47vwbcwEg0vbssdg" xr:uid="{A91D15D1-46FD-42D9-997B-A4FFDD7C2167}"/>
    <hyperlink ref="F850" r:id="rId1495" display="https://www.google.com/url?q=https://github.com/mostafa-saad/MyCompetitiveProgramming/blob/master/Olympiad/CEOI/CEOI-05-Fence.txt&amp;sa=D&amp;ust=1605639800378000&amp;usg=AFQjCNEn7ztnf7-quM2aJ2jxN-yq_3je3Q" xr:uid="{F5EBD6EE-DBE1-4FC5-8A25-D642B3B3EC68}"/>
    <hyperlink ref="B851" r:id="rId1496" display="https://www.google.com/url?q=https://dunjudge.me/analysis/problems/752/&amp;sa=D&amp;ust=1605639800379000&amp;usg=AFQjCNGx4BJrOZC5xrS_KsnqFeg3yGy8Sw" xr:uid="{504ADB37-73F6-45DF-901C-743723C81B85}"/>
    <hyperlink ref="F851" r:id="rId1497" display="https://www.google.com/url?q=https://github.com/mostafa-saad/MyCompetitiveProgramming/blob/master/Olympiad/COCI/official/2012/contest3_solutions&amp;sa=D&amp;ust=1605639800379000&amp;usg=AFQjCNGvoKdNtj1LO-T7ORHyHUMLKkBDdA" xr:uid="{8C9C7AAD-ADAC-4D27-A8DB-C6F026AE4610}"/>
    <hyperlink ref="B852" r:id="rId1498" display="https://www.google.com/url?q=http://usaco.org/index.php?page%3Dviewproblem2%26cpid%3D672&amp;sa=D&amp;ust=1605639800379000&amp;usg=AFQjCNH9bNUKNyKc8jydIvnJYspc_hGmnA" xr:uid="{3C57BFD8-49BE-43FC-8549-965CBC81E1F2}"/>
    <hyperlink ref="B853" r:id="rId1499" display="https://www.google.com/url?q=http://usaco.org/index.php?page%3Dviewproblem2%26cpid%3D514&amp;sa=D&amp;ust=1605639800380000&amp;usg=AFQjCNFbgZK1gzqaTNK126kpm9hyYYPSVA" xr:uid="{81D5221A-CF1D-4A32-B767-D1D19FF5AFFC}"/>
    <hyperlink ref="B854" r:id="rId1500" display="https://www.google.com/url?q=https://szkopul.edu.pl/problemset/problem/mjJWZowf-KgF_KX1Hi0bUDZN/site/&amp;sa=D&amp;ust=1605639800381000&amp;usg=AFQjCNFdw87U5m-VYFsWvo8eoxIbJR8nFw" xr:uid="{01E79898-7BFF-4EA4-99A0-8F6F371F7160}"/>
    <hyperlink ref="F854" r:id="rId1501" display="https://www.google.com/url?q=https://github.com/mostafa-saad/MyCompetitiveProgramming/blob/master/Olympiad/POI/official/find_editorial_sols_guidelines.txt&amp;sa=D&amp;ust=1605639800381000&amp;usg=AFQjCNFfCveQrQBawo9or38EoozyItioxg" xr:uid="{5DE7BF42-1D90-4D09-916E-34EA27223E01}"/>
    <hyperlink ref="B855" r:id="rId1502" display="https://www.google.com/url?q=https://po.kattis.com/problems/kattis/no&amp;sa=D&amp;ust=1605639800381000&amp;usg=AFQjCNFozrYB6E_m1LmQPZ4F5_wSyvctYQ" xr:uid="{6FE99591-3FBD-4293-BC24-C68A702BC285}"/>
    <hyperlink ref="F855" r:id="rId1503" display="https://www.google.com/url?q=https://github.com/guskal01/CompetitiveProgramming/blob/master/Kattis/PO-Kattis.cpp&amp;sa=D&amp;ust=1605639800382000&amp;usg=AFQjCNExkjyfGPPIVALFWn_kB_3cx-ChvA" xr:uid="{8F62ACDD-9CBF-44C0-A234-87FB341F9127}"/>
    <hyperlink ref="B856" r:id="rId1504" display="https://www.google.com/url?q=http://poj.org/problem?id%3D1912&amp;sa=D&amp;ust=1605639800382000&amp;usg=AFQjCNEy1oOgMa7P6wplXv3zjHB0SsiDfw" xr:uid="{BC5A2F8E-2ABB-46C6-B93B-4E8ADA7876F9}"/>
    <hyperlink ref="F856" r:id="rId1505" display="https://www.google.com/url?q=https://github.com/mostafa-saad/MyCompetitiveProgramming/tree/master/Olympiad/CEOI/official/2002&amp;sa=D&amp;ust=1605639800382000&amp;usg=AFQjCNFDIdixQEBSwkvv1uKo35IgFBl2RA" xr:uid="{8EE14B03-2597-432B-8518-2B2E59240C01}"/>
    <hyperlink ref="B857" r:id="rId1506" display="https://www.google.com/url?q=https://cses.fi/114/list/&amp;sa=D&amp;ust=1605639800383000&amp;usg=AFQjCNFGZD3yHE7tUjnGOM-S51je0YQcSw" xr:uid="{FAFFCCE4-DDB9-4886-9E6B-4C33174BBA92}"/>
    <hyperlink ref="F857" r:id="rId1507" display="https://www.google.com/url?q=https://github.com/mostafa-saad/MyCompetitiveProgramming/blob/master/Olympiad/Baltic/Baltic-08-Gloves.txt&amp;sa=D&amp;ust=1605639800383000&amp;usg=AFQjCNE0oWAThdoNj3mAOTIo59lv-XawCA" xr:uid="{C3E3F5F7-FEF0-4CD0-863D-3985A6469ABE}"/>
    <hyperlink ref="B858" r:id="rId1508" display="https://www.google.com/url?q=https://dmoj.ca/problem/coci07c2p6&amp;sa=D&amp;ust=1605639800383000&amp;usg=AFQjCNGzasPXjC8PB7eehiDfj4Y5zFJSow" xr:uid="{97599FD4-0618-41E6-BC18-164856A7E731}"/>
    <hyperlink ref="F858" r:id="rId1509" display="https://www.google.com/url?q=https://github.com/mostafa-saad/MyCompetitiveProgramming/blob/master/Olympiad/COCI/COCI-07-Pravokutni.txt&amp;sa=D&amp;ust=1605639800384000&amp;usg=AFQjCNFHROVCjlD0-o_SmUJrWHCueGU5OQ" xr:uid="{01201318-52FA-48A4-8F2A-D928550D838C}"/>
    <hyperlink ref="B859" r:id="rId1510" display="https://www.google.com/url?q=https://wcipeg.com/problem/coci096p4&amp;sa=D&amp;ust=1605639800384000&amp;usg=AFQjCNF0r9q9DPdkI0L2pwEN56monJmACg" xr:uid="{ABB1282B-2093-416C-BA31-A9484E020B28}"/>
    <hyperlink ref="F859" r:id="rId1511" display="https://www.google.com/url?q=https://github.com/mostafa-saad/MyCompetitiveProgramming/blob/master/Olympiad/COCI/COCI-09-Xor.txt&amp;sa=D&amp;ust=1605639800384000&amp;usg=AFQjCNGRSmPrnyUUn-67zPomRb0qcXQpUw" xr:uid="{336F296D-1979-41B7-AD90-6404D712B3EE}"/>
    <hyperlink ref="B860" r:id="rId1512" display="https://www.google.com/url?q=https://contest.yandex.ru/ioi/contest/560/enter/&amp;sa=D&amp;ust=1605639800385000&amp;usg=AFQjCNGK4SSIdWubfesU-LIpL7iMNFbaug" xr:uid="{EE629C2E-1253-4D53-97B0-682F65454575}"/>
    <hyperlink ref="F860" r:id="rId1513" display="https://www.google.com/url?q=https://github.com/mostafa-saad/MyCompetitiveProgramming/blob/master/Olympiad/IOI/IOI-04-artemis.txt&amp;sa=D&amp;ust=1605639800385000&amp;usg=AFQjCNH8Xt1-oRwh5IsT2QcSwE6xL825RQ" xr:uid="{9495F62C-5B2A-4189-92D0-7011DF6C8CEC}"/>
    <hyperlink ref="B861" r:id="rId1514" display="https://www.google.com/url?q=https://oj.uz/problems/source/120&amp;sa=D&amp;ust=1605639800385000&amp;usg=AFQjCNGBg48y19I-Y0wkTbTO-eg-fSKNUA" xr:uid="{A469CC26-FAE6-482D-A9C3-419C4252FB67}"/>
    <hyperlink ref="F861" r:id="rId1515" display="https://www.google.com/url?q=https://github.com/tmwilliamlin168/CompetitiveProgramming/blob/master/CEOI/14-Fangorn.cpp&amp;sa=D&amp;ust=1605639800386000&amp;usg=AFQjCNFb4-BE7-c9THNv2jrNAUbxUWIhXQ" xr:uid="{6539592A-D1B7-4DD1-B602-C915D1836506}"/>
    <hyperlink ref="B862" r:id="rId1516" display="https://www.google.com/url?q=https://www.infoarena.ro/problema/euclid1&amp;sa=D&amp;ust=1605639800387000&amp;usg=AFQjCNF6lKo8N4UZAcTgU8T_tYOeEUlP2g" xr:uid="{D3D6E888-A6A1-4F24-A994-E3DBD306D49D}"/>
    <hyperlink ref="F862" r:id="rId1517" display="https://www.google.com/url?q=https://github.com/stefdasca/CompetitiveProgramming/blob/master/Infoarena/cuiburi.cpp&amp;sa=D&amp;ust=1605639800387000&amp;usg=AFQjCNFF3enO-YT7L7vcSmV4PE05fShPtg" xr:uid="{E8202BFA-D296-48CE-8AC4-0A8BCB703FB7}"/>
    <hyperlink ref="B863" r:id="rId1518" display="https://www.google.com/url?q=https://dmoj.ca/problem/coci07c6p5&amp;sa=D&amp;ust=1605639800388000&amp;usg=AFQjCNHT3xWq51qy60dW_4nqze2urhcc1g" xr:uid="{2C927389-DE1D-4446-A512-8B309FEBADF8}"/>
    <hyperlink ref="F863" r:id="rId1519" display="https://www.google.com/url?q=https://github.com/mostafa-saad/MyCompetitiveProgramming/tree/master/Olympiad/COCI/official/2008/contest6_solutions&amp;sa=D&amp;ust=1605639800388000&amp;usg=AFQjCNF5aYLTwTV2V01cIXfAUjyhyGUfcg" xr:uid="{5B512705-09D1-486D-902F-0AD14743182B}"/>
    <hyperlink ref="B864" r:id="rId1520" display="https://www.google.com/url?q=https://cses.fi/108/list/&amp;sa=D&amp;ust=1605639800388000&amp;usg=AFQjCNHqv6JAWlI9MsWNf1dkSCGp6FbGlQ" xr:uid="{03F6164C-DA6F-4257-B147-AD612842ED35}"/>
    <hyperlink ref="F864" r:id="rId1521" display="https://www.google.com/url?q=https://github.com/mostafa-saad/MyCompetitiveProgramming/blob/master/Olympiad/Baltic/Baltic-09-Rectangle.txt&amp;sa=D&amp;ust=1605639800389000&amp;usg=AFQjCNFd-KCsUSedAv8de8qUgaF3CL0JFg" xr:uid="{D12E40B3-4974-4174-A596-501A587D4729}"/>
    <hyperlink ref="B865" r:id="rId1522" display="https://www.google.com/url?q=https://szkopul.edu.pl/problemset/problem/XcJ1RDGPzzspbYBm4xHCVpWM/site/&amp;sa=D&amp;ust=1605639800389000&amp;usg=AFQjCNFfPdwK_VMcJUVTGGSXSqqQpt5iEg" xr:uid="{6B119079-DEA8-4359-B2D6-36D06EE19381}"/>
    <hyperlink ref="F865" r:id="rId1523" display="https://www.google.com/url?q=https://github.com/mostafa-saad/MyCompetitiveProgramming/blob/master/Olympiad/POI/official/find_editorial_sols_guidelines.txt&amp;sa=D&amp;ust=1605639800389000&amp;usg=AFQjCNHjVqJGn6xOKQ7vrdtqgYkkdA_ZWw" xr:uid="{791DC1A0-31E5-45E1-9E31-8B1F8F19DE4F}"/>
    <hyperlink ref="B866" r:id="rId1524" display="https://www.google.com/url?q=https://contest.yandex.ru/ioi/contest/558/enter/&amp;sa=D&amp;ust=1605639800390000&amp;usg=AFQjCNEbgT84wVortTXKC4BDM1AhZZdFQQ" xr:uid="{83E3BB01-19AC-4D2E-8368-3522C4DA1E50}"/>
    <hyperlink ref="F866" r:id="rId1525" display="https://www.google.com/url?q=https://github.com/mostafa-saad/MyCompetitiveProgramming/blob/master/Olympiad/IOI/official/2003&amp;sa=D&amp;ust=1605639800390000&amp;usg=AFQjCNGZJLttxQStGbqugo8gtx-tpZ2Iwg" xr:uid="{EDCB2F8D-87C7-4CB2-BC3F-C8FD03DC21D9}"/>
    <hyperlink ref="B867" r:id="rId1526" display="https://www.google.com/url?q=https://dmoj.ca/problem/coci07c3p4&amp;sa=D&amp;ust=1605639800390000&amp;usg=AFQjCNGjamEy8MuiSUc4WNLqIcceqhs0rA" xr:uid="{5711BD2B-AA5F-4DCD-AE50-85189E310703}"/>
    <hyperlink ref="F867" r:id="rId1527" display="https://www.google.com/url?q=https://github.com/mostafa-saad/MyCompetitiveProgramming/tree/master/Olympiad/COCI/official/2008/contest3_solutions&amp;sa=D&amp;ust=1605639800391000&amp;usg=AFQjCNGNXYEdFwfmFNTqy7SX5vqAUxK1Rg" xr:uid="{59B9EFF2-2887-4585-8A58-ECE9B1D5242C}"/>
    <hyperlink ref="B868" r:id="rId1528" display="https://www.google.com/url?q=https://oj.uz/problem/view/COCI17_unija&amp;sa=D&amp;ust=1605639800391000&amp;usg=AFQjCNEDnH6vp4gz0Ns_wZADapjBaxe0iw" xr:uid="{7B914DDA-2474-4D95-AD2D-B57389A6F28C}"/>
    <hyperlink ref="F868" r:id="rId1529" display="https://www.google.com/url?q=https://github.com/mostafa-saad/MyCompetitiveProgramming/blob/master/Olympiad/COCI/official/2017/contest5_solutions&amp;sa=D&amp;ust=1605639800391000&amp;usg=AFQjCNHZ_txAuyMH-_F0zZBsV5ML9xRReg" xr:uid="{96CE45E2-7AEC-4E1C-957B-B261C7EC0A12}"/>
    <hyperlink ref="B869" r:id="rId1530" display="https://www.google.com/url?q=https://www.hackerrank.com/contests/ioi-2014-practice-contest-2/challenges&amp;sa=D&amp;ust=1605639800392000&amp;usg=AFQjCNFnrnJCgyPqb2KzW_PdNrosop7h6A" xr:uid="{EA5C52E5-3D15-4A0E-B7A5-C4BA771EAF4E}"/>
    <hyperlink ref="F869" r:id="rId1531" display="https://www.google.com/url?q=https://github.com/tmwilliamlin168/CompetitiveProgramming/blob/master/HackerRank/family-ioi14.cpp&amp;sa=D&amp;ust=1605639800392000&amp;usg=AFQjCNFk5rNbCgpwGoKUC0hTEicacdWe6A" xr:uid="{C22C0C99-26AB-428B-8814-A009F8895E36}"/>
    <hyperlink ref="B870" r:id="rId1532" display="https://www.google.com/url?q=https://szkopul.edu.pl/problemset/problem/TE77UNYEUxsFcrRxYRPc99na/site/&amp;sa=D&amp;ust=1605639800392000&amp;usg=AFQjCNEVn1Uv-Pa4VcPiv7fQwhjwm-N4Zw" xr:uid="{0F3F3883-189B-4EB6-ABDF-8B9D1E4B8220}"/>
    <hyperlink ref="F870" r:id="rId1533" display="https://www.google.com/url?q=https://github.com/mostafa-saad/MyCompetitiveProgramming/blob/master/Olympiad/POI/official/find_editorial_sols_guidelines.txt&amp;sa=D&amp;ust=1605639800393000&amp;usg=AFQjCNHidDbXZ6dRYYpuZQaYmPGDJq6rjQ" xr:uid="{B58FA1D8-105A-4982-A3C3-96EACB68997C}"/>
    <hyperlink ref="B871" r:id="rId1534" display="https://www.google.com/url?q=https://infoarena.ro/problema/nuke&amp;sa=D&amp;ust=1605639800393000&amp;usg=AFQjCNHLnkfQqZ_5OMLKcfPK8lPRPyhPCA" xr:uid="{25DD9401-00C2-45E3-A309-40166297EEF2}"/>
    <hyperlink ref="F871" r:id="rId1535" display="https://www.google.com/url?q=https://github.com/stefdasca/CompetitiveProgramming/blob/master/Infoarena/nuke.cpp&amp;sa=D&amp;ust=1605639800393000&amp;usg=AFQjCNHcZoq8eMt37Cr3xvACoSGbntvOfA" xr:uid="{2B5E8372-0886-4D98-9F58-56D446A5776B}"/>
    <hyperlink ref="B872" r:id="rId1536" display="https://www.google.com/url?q=https://szkopul.edu.pl/problemset/problem/XcxwG3EBHwd-6_fIF1NG3Wfg/site/?key%3Dstatement&amp;sa=D&amp;ust=1605639800394000&amp;usg=AFQjCNEL3d7nrMjoAUTQE_TIq5PJOeSClQ" xr:uid="{151533F6-49BB-42DC-A86E-48B4B920FBEF}"/>
    <hyperlink ref="B873" r:id="rId1537" display="https://www.google.com/url?q=https://oj.uz/problem/view/COCI17_doktor&amp;sa=D&amp;ust=1605639800394000&amp;usg=AFQjCNGZOK9WbGRVTCshyv3FEyiRPqvifQ" xr:uid="{3C57E36B-F21C-4CBA-ACAD-21BD79D0731F}"/>
    <hyperlink ref="F873" r:id="rId1538" display="https://www.google.com/url?q=https://github.com/mostafa-saad/MyCompetitiveProgramming/blob/master/Olympiad/COCI/official/2018/contest2_solutions&amp;sa=D&amp;ust=1605639800394000&amp;usg=AFQjCNH98MfryQnSU1aISPwXeU-M05SRyw" xr:uid="{FD74257F-8CBA-40B8-8A11-759FFA52DDD9}"/>
    <hyperlink ref="B874" r:id="rId1539" display="https://www.google.com/url?q=https://www.hackerrank.com/contests/ioi-2014-practice-contest-1/challenges&amp;sa=D&amp;ust=1605639800395000&amp;usg=AFQjCNFKHKUlyI0AqJLq528N1HSvwqhcIg" xr:uid="{269D5967-4051-43A8-ACC5-5C7C6BF8E02D}"/>
    <hyperlink ref="F874" r:id="rId1540" display="https://www.google.com/url?q=https://github.com/tmwilliamlin168/CompetitiveProgramming/blob/master/HackerRank/bounce-bounce-bounce-ioi14.cpp&amp;sa=D&amp;ust=1605639800395000&amp;usg=AFQjCNG46i5DIT0NLFE78NpODdL07OfUNw" xr:uid="{2C4B93EB-D235-4411-ACA6-3AA2D06C8E94}"/>
    <hyperlink ref="B875" r:id="rId1541" display="https://www.google.com/url?q=https://wcipeg.com/problem/coci067p4&amp;sa=D&amp;ust=1605639800395000&amp;usg=AFQjCNG4u3J7SMr4eIqJPE-HWzo6nOAQ6Q" xr:uid="{5A001CC8-4E13-44CD-9921-1A3F5A023427}"/>
    <hyperlink ref="F875" r:id="rId1542" display="https://www.google.com/url?q=https://github.com/mostafa-saad/MyCompetitiveProgramming/blob/master/Olympiad/COCI/COCI-06-Circle.txt&amp;sa=D&amp;ust=1605639800396000&amp;usg=AFQjCNFvqFXo17yAVmVR-EwMVPOtmVa0wQ" xr:uid="{3AB6B422-1E2A-4849-A66F-ED2B4A2A7698}"/>
    <hyperlink ref="B876" r:id="rId1543" display="https://www.google.com/url?q=https://open.kattis.com/problem-sources/Baltic%2520Olympiad%2520in%2520Informatics%25202017%252C%2520Warmup&amp;sa=D&amp;ust=1605639800396000&amp;usg=AFQjCNGhHqbtSBVUhzP46LKzCVu4iXhsVw" xr:uid="{2CD28E75-4F6D-43C1-9CF8-3FF23EBED904}"/>
    <hyperlink ref="F876" r:id="rId1544" display="https://www.google.com/url?q=https://github.com/mostafa-saad/MyCompetitiveProgramming/blob/master/Olympiad/Baltic/BalticWarmup-17-Toast.txt&amp;sa=D&amp;ust=1605639800396000&amp;usg=AFQjCNHSwje2i1rvV_IeLS8BKXjCCQB7Aw" xr:uid="{F4D86841-A3A7-4EE5-AC4B-26F7D304E573}"/>
    <hyperlink ref="B877" r:id="rId1545" display="https://www.google.com/url?q=https://dmoj.ca/problem/coci06c2p6&amp;sa=D&amp;ust=1605639800397000&amp;usg=AFQjCNHh8zJS3JrVsnuEtMM1eCD_dF8brg" xr:uid="{899B8D67-B6B0-4A15-B0EF-7DAB29A0ED82}"/>
    <hyperlink ref="F877" r:id="rId1546" display="https://www.google.com/url?q=https://github.com/mostafa-saad/MyCompetitiveProgramming/blob/master/Olympiad/COCI/COCI-06-Straza.txt&amp;sa=D&amp;ust=1605639800397000&amp;usg=AFQjCNGaA9LyhPGgxm9fgAfFa43AS-FETQ" xr:uid="{6E9BDE6D-0E15-49EA-9B24-73B6ACDFA1B0}"/>
    <hyperlink ref="B878" r:id="rId1547" display="https://www.google.com/url?q=https://oj.uz/problem/view/CEOI12_circuit&amp;sa=D&amp;ust=1605639800397000&amp;usg=AFQjCNH_grAygUtkZA4yCVXbGvBxCC0jGQ" xr:uid="{68FDEFA6-4D5B-41AE-993E-38F5EACA3929}"/>
    <hyperlink ref="F878" r:id="rId1548" display="https://www.google.com/url?q=https://github.com/mostafa-saad/MyCompetitiveProgramming/blob/master/Olympiad/CEOI/CEOI-12-circuit.txt&amp;sa=D&amp;ust=1605639800398000&amp;usg=AFQjCNH0t0dN6-XmZ4D1rp1pKL1S-gBUGQ" xr:uid="{4C09E420-78E1-4DA9-8F01-7FE5B9C02043}"/>
    <hyperlink ref="B879" r:id="rId1549" display="https://www.google.com/url?q=https://oj.uz/problem/view/BOI14_demarcation&amp;sa=D&amp;ust=1605639800399000&amp;usg=AFQjCNHmeAkkIejYe-tXX9XH_Hivx9_7zQ" xr:uid="{BDAD2F80-6CDA-4430-BEBB-D601ED033467}"/>
    <hyperlink ref="F879" r:id="rId1550" display="https://www.google.com/url?q=https://github.com/mostafa-saad/MyCompetitiveProgramming/blob/master/Olympiad/Baltic/official/boi2014_solutions&amp;sa=D&amp;ust=1605639800399000&amp;usg=AFQjCNE59bpEhYJ530Qq1b8zZjdPN6OT2w" xr:uid="{15E199D9-586A-426B-A6B1-CE86157E1ACB}"/>
    <hyperlink ref="B880" r:id="rId1551" display="https://www.google.com/url?q=https://cses.fi/101/list/&amp;sa=D&amp;ust=1605639800400000&amp;usg=AFQjCNF814x5a21sjd_GU9OqLZ7OsSCn6w" xr:uid="{2A17234E-33E0-4CE7-B4FE-BDB1A7D6B63E}"/>
    <hyperlink ref="F880" r:id="rId1552" display="https://www.google.com/url?q=https://github.com/mostafa-saad/MyCompetitiveProgramming/blob/master/Olympiad/Baltic/official/boi2011_solutions&amp;sa=D&amp;ust=1605639800400000&amp;usg=AFQjCNH8-jIOaLPvQYQlDBd6Lqtu9v6ZPQ" xr:uid="{11BBF158-FE4A-4E3C-B1E7-BB56F8A43CA6}"/>
    <hyperlink ref="B881" r:id="rId1553" display="https://www.google.com/url?q=https://oj.uz/problem/view/JOI18_fences&amp;sa=D&amp;ust=1605639800401000&amp;usg=AFQjCNELmlRJ5pWl56mWh3KpqSqKDO7inQ" xr:uid="{5C6A136D-0B3A-4200-9044-6979292F101F}"/>
    <hyperlink ref="F881" r:id="rId1554" display="https://www.google.com/url?q=https://github.com/tmwilliamlin168/CompetitiveProgramming/blob/master/JOI/18SC-Fences.cpp&amp;sa=D&amp;ust=1605639800401000&amp;usg=AFQjCNG1HKat679XiE59rMpVZ_P1enLh4w" xr:uid="{BCAC6218-EA04-4646-BA40-399592FE4055}"/>
    <hyperlink ref="B882" r:id="rId1555" display="https://www.google.com/url?q=https://cses.fi/116/list/&amp;sa=D&amp;ust=1605639800401000&amp;usg=AFQjCNG1GyABbHA7VAUuBxZsb5IXkeLahA" xr:uid="{4CA911CD-5E4E-4C56-8C56-E2DBB55DAAE5}"/>
    <hyperlink ref="F882" r:id="rId1556" display="https://www.google.com/url?q=https://github.com/mostafa-saad/MyCompetitiveProgramming/blob/master/Olympiad/Baltic/Baltic-05-Polygon.txt&amp;sa=D&amp;ust=1605639800402000&amp;usg=AFQjCNG8iT1RvrRtN3wx3QQsBQYOk3iTVQ" xr:uid="{3012F4F0-A583-4BE9-B7C1-445EEC49FD4F}"/>
    <hyperlink ref="B883" r:id="rId1557" display="https://www.google.com/url?q=https://oj.uz/problem/view/COCI16_meksikanac&amp;sa=D&amp;ust=1605639800402000&amp;usg=AFQjCNHn3iRiy2ECKls7Y2DB2LmVJo1n2g" xr:uid="{BF1B14E7-B687-47F9-85CB-026383DFC6AA}"/>
    <hyperlink ref="F883" r:id="rId1558" display="https://www.google.com/url?q=https://github.com/mostafa-saad/MyCompetitiveProgramming/blob/master/Olympiad/COCI/official/2017/contest3_solutions&amp;sa=D&amp;ust=1605639800402000&amp;usg=AFQjCNHqUJTwoGl46RRyoUbfpuhb5PXfyA" xr:uid="{88F15AE6-6648-4972-8BE7-4ADCD604E196}"/>
    <hyperlink ref="B884" r:id="rId1559" display="https://www.google.com/url?q=https://oj.uz/problem/view/COI16_relay&amp;sa=D&amp;ust=1605639800403000&amp;usg=AFQjCNEtyR7YaZCHFwk7OpJJZ7RZVEa5Kw" xr:uid="{5BC0B8D6-2266-46F8-9E52-EF806F34F0D5}"/>
    <hyperlink ref="F884" r:id="rId1560" display="https://www.google.com/url?q=https://github.com/mostafa-saad/MyCompetitiveProgramming/blob/master/Olympiad/COI/COI-16-relay.txt&amp;sa=D&amp;ust=1605639800403000&amp;usg=AFQjCNGVb2FjGE1AlMCpmu6jx9YjgEHD3Q" xr:uid="{98FB9964-8A3A-4E49-9FEA-9482BDE26B75}"/>
    <hyperlink ref="B885" r:id="rId1561" display="https://www.google.com/url?q=https://contest.yandex.ru/ioi/contest/560/enter/&amp;sa=D&amp;ust=1605639800404000&amp;usg=AFQjCNGpwmzCxlPpJrhp6H_vWCmkcbkHmA" xr:uid="{A6F5EB41-DB90-4F15-8ABA-8611ABC1BB67}"/>
    <hyperlink ref="F885" r:id="rId1562" display="https://www.google.com/url?q=https://github.com/mostafa-saad/MyCompetitiveProgramming/blob/master/Olympiad/IOI/IOI-04-polygon.txt&amp;sa=D&amp;ust=1605639800404000&amp;usg=AFQjCNFMraZjy0EXUDbkitgQmhw-1XF9UA" xr:uid="{23C92ADD-F16F-4B98-AAC9-6C4C69F5F045}"/>
    <hyperlink ref="B886" r:id="rId1563" display="https://www.google.com/url?q=https://szkopul.edu.pl/problemset/problem/ETArorvqQVqRUJRa4kx02f8D/site/&amp;sa=D&amp;ust=1605639800404000&amp;usg=AFQjCNHTNBGMIAYPuvUGJkRT4TKAInEECQ" xr:uid="{15159915-3637-4154-A7E3-2225F85AAB28}"/>
    <hyperlink ref="F886" r:id="rId1564" display="https://www.google.com/url?q=https://github.com/mostafa-saad/MyCompetitiveProgramming/blob/master/Olympiad/POI/official/find_editorial_sols_guidelines.txt&amp;sa=D&amp;ust=1605639800404000&amp;usg=AFQjCNFpHi9bAnESZ_MxKMbUaURcVEp_sw" xr:uid="{A2352244-22A1-492A-93FE-2ABF2052D50D}"/>
    <hyperlink ref="B887" r:id="rId1565" display="https://www.google.com/url?q=https://csacademy.com/contest/ioi-2016-training-round-5/task/empty-triangles/&amp;sa=D&amp;ust=1605639800405000&amp;usg=AFQjCNGpsCJR0JgGf8ZI_N2-BZWroMSXNw" xr:uid="{335CEB48-8EE9-4A16-BB56-48ED510C11AD}"/>
    <hyperlink ref="B888" r:id="rId1566" display="https://www.google.com/url?q=https://cses.fi/190/list/&amp;sa=D&amp;ust=1605639800406000&amp;usg=AFQjCNHdG01-fWcPiR3Z-EOzNFGyxLs5BQ" xr:uid="{9FB38818-8622-4BD8-94EE-5090A0D571AA}"/>
    <hyperlink ref="F888" r:id="rId1567" display="https://www.google.com/url?q=https://github.com/mostafa-saad/MyCompetitiveProgramming/blob/master/Olympiad/CEOI/CEOI-08-Fence.txt&amp;sa=D&amp;ust=1605639800406000&amp;usg=AFQjCNG6lH0yA5vjL8sEzYo3cHnqdA4nQw" xr:uid="{3D466632-2796-4643-AA9F-61F76F1E2BAC}"/>
    <hyperlink ref="B889" r:id="rId1568" display="https://www.google.com/url?q=https://oj.uz/problem/view/CEOI18_tri&amp;sa=D&amp;ust=1605639800406000&amp;usg=AFQjCNFRhDK8HnDk_8pFhLqpS6EW3QUv-w" xr:uid="{B98ACC1C-C767-41EC-8639-BF769C115310}"/>
    <hyperlink ref="B890" r:id="rId1569" display="https://www.google.com/url?q=http://usaco.org/index.php?page%3Dviewproblem2%26cpid%3D864&amp;sa=D&amp;ust=1605639800407000&amp;usg=AFQjCNFzF0s8FuNNbXk03EUT-iCBwy8sYg" xr:uid="{C6CCEB32-E7D0-405E-A12C-A55C2C4734A9}"/>
    <hyperlink ref="F890" r:id="rId1570" display="https://www.google.com/url?q=https://github.com/updown2/OI-Practice/blob/master/USACO/2018-2019/1.%2520December%2520%255BDONE%255D/Balance%2520Beam.cpp&amp;sa=D&amp;ust=1605639800407000&amp;usg=AFQjCNGruBSRraVyd5a9nrzpznhwHXPiNA" xr:uid="{BEF1FE58-C551-4BD2-93FE-C18D2210879F}"/>
    <hyperlink ref="B891" r:id="rId1571" display="https://www.google.com/url?q=https://www.hackerrank.com/contests/boi-2016/challenges&amp;sa=D&amp;ust=1605639800408000&amp;usg=AFQjCNEl5z_4K_53xAlDMlTLzzpTvW5bIQ" xr:uid="{B493741F-5B40-4288-9053-1434CA5B4D13}"/>
    <hyperlink ref="F891" r:id="rId1572" display="https://www.google.com/url?q=https://github.com/mostafa-saad/MyCompetitiveProgramming/tree/master/Olympiad/Balkan/official/2016&amp;sa=D&amp;ust=1605639800408000&amp;usg=AFQjCNG3ZDQ-eVQfliqtfMVywOG-ZwE-Kw" xr:uid="{7C21A376-FCB8-4CFB-BEAE-8A9BF3281AED}"/>
    <hyperlink ref="B892" r:id="rId1573" display="https://www.google.com/url?q=https://oj.uz/problem/view/COI15_sir&amp;sa=D&amp;ust=1605639800408000&amp;usg=AFQjCNEQ1biIkSj8YPnEmrEmewlDT9FJRA" xr:uid="{BE74458F-6886-4D65-855E-43DBFAA8999A}"/>
    <hyperlink ref="F892" r:id="rId1574" display="https://www.google.com/url?q=https://github.com/mostafa-saad/MyCompetitiveProgramming/tree/master/Olympiad/COI/official/2015&amp;sa=D&amp;ust=1605639800409000&amp;usg=AFQjCNHeioHIjpg9vzQTINa9rwqGhNdffA" xr:uid="{C5209EDA-F0F7-4B9B-A64D-E6F8412D411E}"/>
    <hyperlink ref="B893" r:id="rId1575" display="https://www.google.com/url?q=https://csacademy.com/contest/ejoi-2017-day-1/task/particles/&amp;sa=D&amp;ust=1605639800409000&amp;usg=AFQjCNFrKIoWGjGBzndNCkOoFAWLCixbsA" xr:uid="{84DA09F1-0BBE-4790-B9BC-05B661E374B7}"/>
    <hyperlink ref="B894" r:id="rId1576" display="https://www.google.com/url?q=http://www.infoarena.ro/problema/copaci&amp;sa=D&amp;ust=1605639800410000&amp;usg=AFQjCNEkG3Y720Pqs0vihndtlUg_hJFFIQ" xr:uid="{D9298AC6-5B87-4700-9CAE-4614F0893395}"/>
    <hyperlink ref="F894" r:id="rId1577" display="https://www.google.com/url?q=https://ideone.com/iT1ggW&amp;sa=D&amp;ust=1605639800410000&amp;usg=AFQjCNG71e-opq2guz0bQJi3KiijtPAzJQ" xr:uid="{23FED617-E4D0-41CC-8D8D-941701ECC3DD}"/>
    <hyperlink ref="B895" r:id="rId1578" display="https://www.google.com/url?q=https://oj.uz/problems/source/326&amp;sa=D&amp;ust=1605639800410000&amp;usg=AFQjCNGdsAMNAcHXj8ppmqmOkvvPkXeq4g" xr:uid="{436C4BFD-4F7D-414A-87D1-6AC97672ABC4}"/>
    <hyperlink ref="F895" r:id="rId1579" display="https://www.google.com/url?q=https://github.com/timpostuvan/CompetitiveProgramming/blob/master/Olympiad/APIO/CircleSelection2018.cpp&amp;sa=D&amp;ust=1605639800411000&amp;usg=AFQjCNF6l3Ii-aBiiP9vS-Y82qy6r2l5mQ" xr:uid="{6C83623A-C57D-49B2-A872-9B3CF2B9067F}"/>
    <hyperlink ref="B896" r:id="rId1580" display="https://www.google.com/url?q=https://oj.uz/problem/view/JOI17_dragon2&amp;sa=D&amp;ust=1605639800411000&amp;usg=AFQjCNFG8oUPhHUb8RdC3nV_9sdNVb75qQ" xr:uid="{525A5DAE-4632-4E1F-9105-AC8769D89C0A}"/>
    <hyperlink ref="F896" r:id="rId1581" display="https://www.google.com/url?q=https://github.com/mostafa-saad/MyCompetitiveProgramming/blob/master/Olympiad/POI/JOI/JOISC-17-dragon2.txt&amp;sa=D&amp;ust=1605639800413000&amp;usg=AFQjCNHp7RHE9zrgmSUkCZ24URJAKYJk4g" xr:uid="{FD4014C8-E9F8-42D4-87AE-F7E5A92B3534}"/>
    <hyperlink ref="B897" r:id="rId1582" display="https://www.google.com/url?q=https://dmoj.ca/problem/apio10p3&amp;sa=D&amp;ust=1605639800413000&amp;usg=AFQjCNFmqldC8e4wgv6dAhzcD4ljCLbrkg" xr:uid="{D10874BF-38AE-4E39-A6D3-FD73C0E36978}"/>
    <hyperlink ref="F897" r:id="rId1583" display="https://www.google.com/url?q=https://github.com/shanto86/Training/blob/master/Dmoj/APIO%252010-Signaling.cpp&amp;sa=D&amp;ust=1605639800413000&amp;usg=AFQjCNF0KbrRYtXH4QrsNpOmTypODBVFEA" xr:uid="{8B58894D-43BF-4FE2-834E-77AF28DD909E}"/>
    <hyperlink ref="B898" r:id="rId1584" display="https://www.google.com/url?q=https://oj.uz/problem/view/JOI17_cultivation&amp;sa=D&amp;ust=1605639800414000&amp;usg=AFQjCNHXzZd8k-J9vT6k4SROP_4UW8P6uA" xr:uid="{3F4CDDB6-D0AD-44A9-8A1F-735D9C3E4E58}"/>
    <hyperlink ref="F898" r:id="rId1585" display="https://www.google.com/url?q=https://github.com/mostafa-saad/MyCompetitiveProgramming/blob/master/Olympiad/JOI/official/JOISC/2017/2017.txt&amp;sa=D&amp;ust=1605639800414000&amp;usg=AFQjCNE9kXdDsPBc25Fnrij9039DqgUWYA" xr:uid="{38BD1A5E-4970-4626-8B56-D4822D8D2951}"/>
    <hyperlink ref="B899" r:id="rId1586" display="https://www.google.com/url?q=https://szkopul.edu.pl/problemset/problem/vX48bEW0i5IRszoCOP_f78Dc/site/&amp;sa=D&amp;ust=1605639800414000&amp;usg=AFQjCNHRyOLsiILJDH09BkEov3dUhemdlQ" xr:uid="{7869754C-7777-4355-ABB3-CA082A607AB9}"/>
    <hyperlink ref="F899" r:id="rId1587" display="https://www.google.com/url?q=https://github.com/mostafa-saad/MyCompetitiveProgramming/blob/master/Olympiad/POI/official/find_editorial_sols_guidelines.txt&amp;sa=D&amp;ust=1605639800414000&amp;usg=AFQjCNFtPVf2vXNpePndnP3JgcjMezrBqQ" xr:uid="{758B0E5F-D743-42E6-B561-A41710A63D43}"/>
    <hyperlink ref="B900" r:id="rId1588" display="https://www.google.com/url?q=https://csacademy.com/contest/ioi-2016-training-round-3/task/network-rumour/&amp;sa=D&amp;ust=1605639800415000&amp;usg=AFQjCNH8TNBBq2LTzjUGtshmHfj8bStxlg" xr:uid="{684FA1E7-29A5-411C-9727-120396053884}"/>
    <hyperlink ref="B901" r:id="rId1589" display="https://www.google.com/url?q=https://dmoj.ca/problem/coci06c6p6&amp;sa=D&amp;ust=1605639800415000&amp;usg=AFQjCNEkOWjNz4CmhtRK7unb2NHMtp08iw" xr:uid="{5BDDEC23-719E-40DB-ABB0-096FAA05C54C}"/>
    <hyperlink ref="F901" r:id="rId1590" display="https://www.google.com/url?q=https://github.com/mostafa-saad/MyCompetitiveProgramming/blob/master/Olympiad/COCI/COCI-06-Prostor.txt&amp;sa=D&amp;ust=1605639800415000&amp;usg=AFQjCNH3K0g_YO_4c-fcMFuy2mO1P1VSvg" xr:uid="{F8BFC95D-7049-4F38-8520-5CE690ED9CA4}"/>
    <hyperlink ref="B902" r:id="rId1591" display="https://www.google.com/url?q=https://dmoj.ca/problem/coci14c3p6&amp;sa=D&amp;ust=1605639800416000&amp;usg=AFQjCNHc-GEnmHzrYaImMLPudI7Np7omwg" xr:uid="{1DF66DA8-D21C-4E92-B948-3A41FE071F5D}"/>
    <hyperlink ref="F902" r:id="rId1592" display="https://www.google.com/url?q=https://github.com/mostafa-saad/MyCompetitiveProgramming/blob/master/Olympiad/COCI/COCI-14-Kamioni.txt&amp;sa=D&amp;ust=1605639800416000&amp;usg=AFQjCNHISeN6MiY5hHzMikqU9h_I9LJt4Q" xr:uid="{3E20EE8F-979D-4C66-86D6-85ADD0481329}"/>
    <hyperlink ref="B903" r:id="rId1593" display="https://www.google.com/url?q=https://szkopul.edu.pl/problemset/problem/o09s2TblWuB1BP9isQT7VIkG/site/&amp;sa=D&amp;ust=1605639800416000&amp;usg=AFQjCNGN6pavpCCTbbgdsIeXJe2t3KApRg" xr:uid="{A7B6F169-961E-473E-9EC5-00B289D7511E}"/>
    <hyperlink ref="F903" r:id="rId1594" display="https://www.google.com/url?q=https://github.com/mostafa-saad/MyCompetitiveProgramming/blob/master/Olympiad/POI/POI-04-Islands.txt&amp;sa=D&amp;ust=1605639800416000&amp;usg=AFQjCNECAh5Ly7xMFSMKgUamjz28oYmTrQ" xr:uid="{690818EC-947A-4888-9CAF-A5434D9243D2}"/>
    <hyperlink ref="B904" r:id="rId1595" display="https://www.google.com/url?q=https://cses.fi/99/list/&amp;sa=D&amp;ust=1605639800417000&amp;usg=AFQjCNG_ZFHMtZTUvIMkyMcZt6H2kvUiFA" xr:uid="{458C6779-EA72-4D49-916B-37B4CBC2793F}"/>
    <hyperlink ref="F904" r:id="rId1596" display="https://www.google.com/url?q=https://github.com/mostafa-saad/MyCompetitiveProgramming/blob/master/Olympiad/Baltic/Baltic-12-Fire.txt&amp;sa=D&amp;ust=1605639800417000&amp;usg=AFQjCNFq4dQnL0oPIsO1eMshgvyCuGKDQQ" xr:uid="{AF8A0058-F87B-499D-8D2A-3608A0413D28}"/>
    <hyperlink ref="B905" r:id="rId1597" display="https://www.google.com/url?q=https://szkopul.edu.pl/problemset/problem/APWi6y6XTt5ujve8ynI_FNJ1/site/&amp;sa=D&amp;ust=1605639800417000&amp;usg=AFQjCNE98vnvPqBVHXcxoTGSk14qZt-t-Q" xr:uid="{F7B62A2F-3236-43D4-AF1E-6B9A0B8E6B75}"/>
    <hyperlink ref="F905" r:id="rId1598" display="https://www.google.com/url?q=https://github.com/mostafa-saad/MyCompetitiveProgramming/blob/master/Olympiad/POI/POI-14-Criminals.txt&amp;sa=D&amp;ust=1605639800417000&amp;usg=AFQjCNET6Hr9gPDH1wRqQg4LIjjp_rlwqA" xr:uid="{C0960C7C-3AD6-4196-A815-57DD3F048623}"/>
    <hyperlink ref="B906" r:id="rId1599" display="https://www.google.com/url?q=http://usaco.org/index.php?page%3Dviewproblem2%26cpid%3D816&amp;sa=D&amp;ust=1605639800418000&amp;usg=AFQjCNEjyRUkmsU3Yd6cWYb6Q5jkV5Jbjg" xr:uid="{B56785BD-774F-45CB-8CF4-B2F3238CE768}"/>
    <hyperlink ref="B907" r:id="rId1600" display="https://www.google.com/url?q=https://cses.fi/185/list/&amp;sa=D&amp;ust=1605639800418000&amp;usg=AFQjCNFdhbm1xT6xl5Ckf_rFTFTBBMlqCQ" xr:uid="{A5932624-04A3-4A1A-811C-307B8F9687DE}"/>
    <hyperlink ref="F907" r:id="rId1601" display="https://www.google.com/url?q=https://github.com/mostafa-saad/MyCompetitiveProgramming/blob/master/Olympiad/CEOI/CEOI-06-Antenna.txt&amp;sa=D&amp;ust=1605639800418000&amp;usg=AFQjCNEjP6nMoH-X-OatxOJzm_ckDiO35g" xr:uid="{21BE2B91-EC45-4692-8169-F41DA2E83FF0}"/>
    <hyperlink ref="B908" r:id="rId1602" display="https://www.google.com/url?q=http://www.usaco.org/index.php?page%3Dviewproblem2%26cpid%3D645&amp;sa=D&amp;ust=1605639800419000&amp;usg=AFQjCNF_gsgcNSlr22-g5H-PiGqzMDLfrw" xr:uid="{B0F13598-106C-4625-8D3C-32D1D0CFDEF2}"/>
    <hyperlink ref="B909" r:id="rId1603" display="https://www.google.com/url?q=https://dunjudge.me/analysis/problems/1356/&amp;sa=D&amp;ust=1605639800419000&amp;usg=AFQjCNFiYPjqlWxtbadzXuYAi9oZnO0Keg" xr:uid="{ABAE6C56-0DD2-481B-89B2-B5D1E264ED0E}"/>
    <hyperlink ref="F909" r:id="rId1604" display="https://www.google.com/url?q=https://github.com/mostafa-saad/MyCompetitiveProgramming/blob/master/Olympiad/COCI/official/2013/contest3_solutions&amp;sa=D&amp;ust=1605639800420000&amp;usg=AFQjCNEqCvXdQFHjF3ora_dS70jNlImGZA" xr:uid="{FD2AC5E7-F402-4D31-A39F-FC27BB4599CF}"/>
    <hyperlink ref="B910" r:id="rId1605" display="https://www.google.com/url?q=https://csacademy.com/contest/ioi-2016-training-round-5/task/tree-square/&amp;sa=D&amp;ust=1605639800420000&amp;usg=AFQjCNEWN4rPJWAbSerhc4BnniWop_GitA" xr:uid="{802EE18D-84C2-4484-A37A-F01CF0F23DD5}"/>
    <hyperlink ref="B911" r:id="rId1606" display="https://www.google.com/url?q=https://dunjudge.me/analysis/problems/697/&amp;sa=D&amp;ust=1605639800420000&amp;usg=AFQjCNFdbQPILbmxZHaFbrK97X9zB6Ak0A" xr:uid="{5B6CB79A-4304-4883-B209-A7D18E6C880A}"/>
    <hyperlink ref="B912" r:id="rId1607" display="https://www.google.com/url?q=https://csacademy.com/contest/ioi-2016-training-round-2/task/cograph_clique/&amp;sa=D&amp;ust=1605639800421000&amp;usg=AFQjCNHSPwxRFb3HgP1Qx1EJe_DVeu3-aA" xr:uid="{FD3E52F9-A259-48D8-A904-A9CE2C6418F6}"/>
    <hyperlink ref="B913" r:id="rId1608" display="https://www.google.com/url?q=https://oj.uz/problem/view/JOI19_ho_t5&amp;sa=D&amp;ust=1605639800421000&amp;usg=AFQjCNE60wD9FVc_JAVOn0gwrdo9L79F1w" xr:uid="{67176F6E-695D-4F77-BF85-C077989C6B5A}"/>
    <hyperlink ref="B914" r:id="rId1609" display="https://www.google.com/url?q=https://oj.uz/problem/view/JOI17_city&amp;sa=D&amp;ust=1605639800422000&amp;usg=AFQjCNFT8egQEv8zQVWaud2YR_Cq--_BYA" xr:uid="{DC58943F-644C-4F20-A65E-81A8ECFE9025}"/>
    <hyperlink ref="F914" r:id="rId1610" display="https://www.google.com/url?q=https://github.com/mostafa-saad/MyCompetitiveProgramming/blob/master/Olympiad/JOI/JOISC-17-city.txt&amp;sa=D&amp;ust=1605639800423000&amp;usg=AFQjCNGoI39Fay0JP_-dRSM1yCAEshdX7w" xr:uid="{82E5AA57-7D5C-47EC-A837-D80016AB7385}"/>
    <hyperlink ref="B915" r:id="rId1611" display="https://www.google.com/url?q=https://oj.uz/problem/view/JOI19_meetings&amp;sa=D&amp;ust=1605639800423000&amp;usg=AFQjCNEBShpwhkLLwhIjW3xrwcL94MVu3A" xr:uid="{73EB0729-E96F-441C-B177-6FD9B4B31230}"/>
    <hyperlink ref="B916" r:id="rId1612" display="https://www.google.com/url?q=https://oj.uz/problem/view/IOI16_shortcut&amp;sa=D&amp;ust=1605639800423000&amp;usg=AFQjCNFRytJ38ZxHu16mmr8Q6sv6agtcfg" xr:uid="{9C6D7A56-66A8-4451-824D-3946191C4C26}"/>
    <hyperlink ref="F916" r:id="rId1613" display="https://www.google.com/url?q=https://github.com/mostafa-saad/MyCompetitiveProgramming/blob/master/Olympiad/IOI/official/2016&amp;sa=D&amp;ust=1605639800424000&amp;usg=AFQjCNFmt0zeJz42QDlC46z5zM_fYhAcQA" xr:uid="{5C3DA928-9064-4F32-A4F9-1DDD5067AA9F}"/>
    <hyperlink ref="B917" r:id="rId1614" display="https://www.google.com/url?q=https://www.acmicpc.net/problem/12017&amp;sa=D&amp;ust=1605639800424000&amp;usg=AFQjCNEWl1W-UHq1PhsY_fv23R67bJMy2g" xr:uid="{A1E8B908-9934-4DFB-9822-98754E96B325}"/>
    <hyperlink ref="F917" r:id="rId1615" display="https://www.google.com/url?q=https://github.com/mostafa-saad/MyCompetitiveProgramming/tree/master/Olympiad/Balkan/official/2015&amp;sa=D&amp;ust=1605639800424000&amp;usg=AFQjCNEzFv6Q5V75DYtKgEqYN0inxeMZjg" xr:uid="{2C639045-069D-4FEC-8948-64B1B1ABCB33}"/>
    <hyperlink ref="B918" r:id="rId1616" display="https://www.google.com/url?q=https://contest.yandex.ru/ioi/contest/562/problems/C/&amp;sa=D&amp;ust=1605639800464000&amp;usg=AFQjCNEbLA9KD2h_rreh8-dZamI0-o741A" xr:uid="{5C2071AD-34AE-42BB-934A-A158743F35D8}"/>
    <hyperlink ref="F918" r:id="rId1617" display="https://www.google.com/url?q=https://github.com/mostafa-saad/MyCompetitiveProgramming/blob/master/Olympiad/IOI/official/2006/ioi06_forbidden_sol.pdf&amp;sa=D&amp;ust=1605639800465000&amp;usg=AFQjCNHZb8KcJyP5jFkLlruLlQPDxnet-w" xr:uid="{13A37325-EFBE-4CE2-9A24-E7527093E0ED}"/>
    <hyperlink ref="B919" r:id="rId1618" display="https://www.google.com/url?q=https://oj.uz/problem/view/IOI17_books&amp;sa=D&amp;ust=1605639800465000&amp;usg=AFQjCNE6Q4pOLG4Jykcfr_XCBhnZklsrGg" xr:uid="{B8BABB1E-5414-4FF3-876F-8756698B5A0E}"/>
    <hyperlink ref="F919" r:id="rId1619" display="https://www.google.com/url?q=https://github.com/mostafa-saad/MyCompetitiveProgramming/blob/master/Olympiad/IOI/official/2017&amp;sa=D&amp;ust=1605639800466000&amp;usg=AFQjCNGFc_ZzT-pgoCCW0Ux86hjvx9pZsA" xr:uid="{4BBB2700-6AFA-4127-A5E2-EA2886B8B407}"/>
    <hyperlink ref="B920" r:id="rId1620" display="https://www.google.com/url?q=https://oj.uz/problem/view/COI18_zagonetka&amp;sa=D&amp;ust=1605639800466000&amp;usg=AFQjCNGxTelTN-4hXvEB6wdSnLWlcUaZgA" xr:uid="{30A3F2F8-E9F4-4E6E-8317-8B30ED76DF9C}"/>
    <hyperlink ref="B921" r:id="rId1621" display="https://www.google.com/url?q=https://dmoj.ca/problem/coci15c3p6&amp;sa=D&amp;ust=1605639800466000&amp;usg=AFQjCNGALlXc2XilyhHKSmmpRBXJrbwBZA" xr:uid="{A6336340-5D1D-4A69-8AB4-B5986897CD57}"/>
    <hyperlink ref="F921" r:id="rId1622" display="https://www.google.com/url?q=https://github.com/mostafa-saad/MyCompetitiveProgramming/blob/master/Olympiad/COCI/COCI-15-Domino.txt&amp;sa=D&amp;ust=1605639800467000&amp;usg=AFQjCNENJhfUB-_ihDTzH5ylfjGo7sSkDw" xr:uid="{A20F038E-DF1F-4F9B-ACBC-D0C37714F730}"/>
    <hyperlink ref="B922" r:id="rId1623" display="https://www.google.com/url?q=http://usaco.org/index.php?page%3Dviewproblem2%26cpid%3D901&amp;sa=D&amp;ust=1605639800467000&amp;usg=AFQjCNHPXDYvbV_Q_DGnDWxk7eJR4zYLIQ" xr:uid="{D23C1EFC-4369-405B-97A3-2F8C55EF0E6B}"/>
    <hyperlink ref="B923" r:id="rId1624" display="https://www.google.com/url?q=https://szkopul.edu.pl/problemset/problem/e9ycK_efBDBt4aPs-QeqYpwR/site/&amp;sa=D&amp;ust=1605639800468000&amp;usg=AFQjCNEMyPTe8AlgzWA_VnqOV0pxlMoJ5g" xr:uid="{B5AC9057-C7AD-4909-99E1-2B4CB2AABD8A}"/>
    <hyperlink ref="F923" r:id="rId1625" display="https://www.google.com/url?q=https://github.com/mostafa-saad/MyCompetitiveProgramming/blob/master/Olympiad/POI/POI-14-Supercomputer.txt&amp;sa=D&amp;ust=1605639800468000&amp;usg=AFQjCNHfsitof_8HYRY_BOoVIRcrHgzn3w" xr:uid="{DC3822E6-A92F-414F-A580-C38F3DDD1FFA}"/>
    <hyperlink ref="B924" r:id="rId1626" display="https://www.google.com/url?q=https://oj.uz/problem/view/COI15_cvenk&amp;sa=D&amp;ust=1605639800469000&amp;usg=AFQjCNF-VKVT1_eKtMSr7qs4eznBLG9QVQ" xr:uid="{47A77719-0D2E-4249-B4E8-38D932275A70}"/>
    <hyperlink ref="F924" r:id="rId1627" display="https://www.google.com/url?q=https://github.com/mostafa-saad/MyCompetitiveProgramming/blob/master/Olympiad/COI/COI-15-cvenk.txt&amp;sa=D&amp;ust=1605639800469000&amp;usg=AFQjCNGvySPkQjoaVcSBD8r_t6HLHIbPjg" xr:uid="{F73C8FD4-D0B5-476B-943B-09BFCFAC50B1}"/>
    <hyperlink ref="B925" r:id="rId1628" display="https://www.google.com/url?q=https://szkopul.edu.pl/problemset/problem/eC-cABL-jWd4JdZDmfWufeeQ/site/&amp;sa=D&amp;ust=1605639800469000&amp;usg=AFQjCNFiu_M-GtD42ya773HJQv8bAtFmQA" xr:uid="{39609A9B-F89B-4735-B12F-2C01DAC3CD75}"/>
    <hyperlink ref="F925" r:id="rId1629" display="https://www.google.com/url?q=https://github.com/mostafa-saad/MyCompetitiveProgramming/blob/master/Olympiad/POI/POI-05-Parties.txt&amp;sa=D&amp;ust=1605639800470000&amp;usg=AFQjCNEl1y4sGAGJOtLWe-vNbHV3qqpFzg" xr:uid="{919B3E42-C7B1-41C0-B161-15602DAEDA59}"/>
    <hyperlink ref="B926" r:id="rId1630" display="https://www.google.com/url?q=https://dunjudge.me/analysis/problems/1232/&amp;sa=D&amp;ust=1605639800470000&amp;usg=AFQjCNFR0BnY_jvUePhtBQZOkD_pkWfDlw" xr:uid="{1E177449-0592-40A5-AAD5-9AF9E4D6F47E}"/>
    <hyperlink ref="F926" r:id="rId1631" display="https://www.google.com/url?q=https://github.com/mostafa-saad/MyCompetitiveProgramming/blob/master/Olympiad/APIO/APIO-11-Path.txt&amp;sa=D&amp;ust=1605639800470000&amp;usg=AFQjCNFFi15xghQ-14d6iw5cqxtxzNPokA" xr:uid="{1239C836-699E-4351-8199-4FA13680B6E2}"/>
    <hyperlink ref="B927" r:id="rId1632" display="https://www.google.com/url?q=https://cses.fi/101/list/&amp;sa=D&amp;ust=1605639800471000&amp;usg=AFQjCNFH9SH0IlX0gO1gBRtgyOM92xLDgw" xr:uid="{43181F88-75F8-4DCE-8E09-C2647CE35F3C}"/>
    <hyperlink ref="F927" r:id="rId1633" display="https://www.google.com/url?q=https://github.com/mostafa-saad/MyCompetitiveProgramming/blob/master/Olympiad/Baltic/Baltic-11-Mirroring.txt&amp;sa=D&amp;ust=1605639800471000&amp;usg=AFQjCNE9ozByrcKjDHqhksFa8fkcszYOgA" xr:uid="{1B3186A1-9A82-4B1C-8F66-21824B39B32F}"/>
    <hyperlink ref="B928" r:id="rId1634" display="https://www.google.com/url?q=https://szkopul.edu.pl/problemset/problem/cKsx92et8fGp6MOzI2HTNmQY/site/&amp;sa=D&amp;ust=1605639800472000&amp;usg=AFQjCNFAzohMqIQzvMb6dtGsZOdtwD6byg" xr:uid="{A0A04B4F-D5A5-4889-AC52-DBB7B8210A6C}"/>
    <hyperlink ref="F928" r:id="rId1635" display="https://www.google.com/url?q=https://github.com/mostafa-saad/MyCompetitiveProgramming/blob/master/Olympiad/POI/official/find_editorial_sols_guidelines.txt&amp;sa=D&amp;ust=1605639800472000&amp;usg=AFQjCNEKYAlRfnYcwZ8GPqF26RLutKdXiA" xr:uid="{6D059F67-C626-4A09-AFB8-73B0A8DF5558}"/>
    <hyperlink ref="B929" r:id="rId1636" display="https://www.google.com/url?q=https://www.hackerrank.com/contests/boi-2016/challenges&amp;sa=D&amp;ust=1605639800472000&amp;usg=AFQjCNF78Or1DkqA_bEhRHuXzJtkAglOUw" xr:uid="{0F21B182-6AAF-4578-BFC9-EF42582B5EDD}"/>
    <hyperlink ref="F929" r:id="rId1637" display="https://www.google.com/url?q=https://github.com/mostafa-saad/MyCompetitiveProgramming/tree/master/Olympiad/Balkan/official/2016&amp;sa=D&amp;ust=1605639800473000&amp;usg=AFQjCNG7GwByrPi0jG9LHHCQDsTuvKRRNA" xr:uid="{703AC82E-BF12-4162-93AE-4BBF82F9D994}"/>
    <hyperlink ref="B930" r:id="rId1638" display="https://www.google.com/url?q=https://wcipeg.com/problem/coci096p5&amp;sa=D&amp;ust=1605639800473000&amp;usg=AFQjCNGCDuBS2R7IJaub8aMuXLF414swpA" xr:uid="{1AE579A8-71F8-470F-957D-371EC278D469}"/>
    <hyperlink ref="F930" r:id="rId1639" display="https://www.google.com/url?q=https://github.com/mostafa-saad/MyCompetitiveProgramming/blob/master/Olympiad/COCI/official/2010/contest6_solutions&amp;sa=D&amp;ust=1605639800473000&amp;usg=AFQjCNGQ6ltdwbdGus0xatccttoxncx7qA" xr:uid="{B800B500-4D79-4884-A21B-6A384A0FEAA0}"/>
    <hyperlink ref="B931" r:id="rId1640" display="https://www.google.com/url?q=https://oj.uz/problem/view/COI19_izlet&amp;sa=D&amp;ust=1605639800474000&amp;usg=AFQjCNF3LULgpxZfAKPgdZxSGwK70mOOqQ" xr:uid="{45293393-20C0-4289-9BFB-D991B9EE5A3A}"/>
    <hyperlink ref="F931" r:id="rId1641" display="https://www.google.com/url?q=https://codeforces.com/blog/entry/66506&amp;sa=D&amp;ust=1605639800476000&amp;usg=AFQjCNFZcLmnB8i6LX3iczD2DDuGzO3v_w" xr:uid="{03C6CAF9-B0CB-4DA3-B4BD-305A77C4709F}"/>
    <hyperlink ref="B932" r:id="rId1642" display="https://www.google.com/url?q=https://szkopul.edu.pl/problemset/problem/_qn633f6DVAHRkv0OX3LQaph/site/&amp;sa=D&amp;ust=1605639800477000&amp;usg=AFQjCNEVprEztKhQ5sY09bE7G5bBg6H_Uw" xr:uid="{C4F2247A-EF14-482F-9FF6-F868184B7F1A}"/>
    <hyperlink ref="F932" r:id="rId1643" display="https://www.google.com/url?q=https://github.com/mostafa-saad/MyCompetitiveProgramming/blob/master/Olympiad/POI/POI-12-Salaries.txt&amp;sa=D&amp;ust=1605639800477000&amp;usg=AFQjCNETteomVJ-zwuFaPIooDbCjIX1e7A" xr:uid="{66740C2E-81C3-4B94-B978-E188FF8A2333}"/>
    <hyperlink ref="B933" r:id="rId1644" display="https://www.google.com/url?q=https://www.infoarena.ro/problema/shgraf&amp;sa=D&amp;ust=1605639800477000&amp;usg=AFQjCNGTM431x4K7XIsbF0_IyeOl08L7nA" xr:uid="{C9477BFB-AE56-4EF4-9933-735C522F8354}"/>
    <hyperlink ref="F933" r:id="rId1645" display="https://www.google.com/url?q=https://github.com/mostafa-saad/MyCompetitiveProgramming/blob/master/Olympiad/infoarena/infoarena_shgraf.txt&amp;sa=D&amp;ust=1605639800478000&amp;usg=AFQjCNFyFCEBn5rBt86KT0cyX59_gGK10Q" xr:uid="{A00B998E-0686-4C7D-BB43-F99F74D3E48F}"/>
    <hyperlink ref="B934" r:id="rId1646" display="https://www.google.com/url?q=https://szkopul.edu.pl/problemset/problem/7Tut6VBMo0evZZ34EhdNuuOm/site/&amp;sa=D&amp;ust=1605639800478000&amp;usg=AFQjCNH2Fji4xFYR3IjbBnaVT78feNPfNQ" xr:uid="{CB57AE0D-5AF5-46B1-A6A6-7A839EABEE17}"/>
    <hyperlink ref="F934" r:id="rId1647" display="https://www.google.com/url?q=https://github.com/mostafa-saad/MyCompetitiveProgramming/blob/master/Olympiad/POI/POI-06-Sophie.txt&amp;sa=D&amp;ust=1605639800478000&amp;usg=AFQjCNEPFiGfrKiQ2zra_hwxG1CPGPzS6Q" xr:uid="{C417CA25-4F26-4743-9D5A-2A6A7F0D54E4}"/>
    <hyperlink ref="B935" r:id="rId1648" display="https://www.google.com/url?q=https://szkopul.edu.pl/problemset/problem/J5f8YHtUsaMdtOdfx0QoHKe0/site/?key%3Dstatement&amp;sa=D&amp;ust=1605639800479000&amp;usg=AFQjCNFXygcO6EgUqubTyaTlVkdsR7AnnQ" xr:uid="{3AD61CA2-E861-474B-80C5-D5CED38885FE}"/>
    <hyperlink ref="B936" r:id="rId1649" display="https://www.google.com/url?q=https://open.kattis.com/problem-sources/Baltic%2520Olympiad%2520in%2520Informatics%25202017%252C%2520Day%25201&amp;sa=D&amp;ust=1605639800479000&amp;usg=AFQjCNHn5AAwBPwSTDXAgCq4e6fx2ej_Qg" xr:uid="{D73CA002-4575-4F63-BFFF-A3CEAAB09B50}"/>
    <hyperlink ref="F936" r:id="rId1650" display="https://www.google.com/url?q=https://github.com/mostafa-saad/MyCompetitiveProgramming/blob/master/Olympiad/Baltic/Baltic-17-PoliticalDevelopment.txt&amp;sa=D&amp;ust=1605639800479000&amp;usg=AFQjCNHhN0ULMidbd29F_DWSJwV4-Pku2Q" xr:uid="{94BE5154-1A35-4839-A0A7-B47372F42DE5}"/>
    <hyperlink ref="B937" r:id="rId1651" display="https://www.google.com/url?q=https://oj.uz/problem/view/BOI16_park&amp;sa=D&amp;ust=1605639800480000&amp;usg=AFQjCNFZrrZNkMlVaobfjWIEsrG6f03PrA" xr:uid="{80C3A46E-15F4-49CF-8522-EE2898CCB7BC}"/>
    <hyperlink ref="F937" r:id="rId1652" display="https://www.google.com/url?q=https://github.com/mostafa-saad/MyCompetitiveProgramming/blob/master/Olympiad/Baltic/Baltic-16-park.txt&amp;sa=D&amp;ust=1605639800480000&amp;usg=AFQjCNGqivxGs56k7QVpnhi0kkZBUpcZwg" xr:uid="{FD8A8C99-8118-4141-B03E-F6E3BEA0F5EA}"/>
    <hyperlink ref="B938" r:id="rId1653" display="https://www.google.com/url?q=https://infoarena.ro/problema/maxdist&amp;sa=D&amp;ust=1605639800481000&amp;usg=AFQjCNFkePDMmaddguVrkxyJo7j2dgd2-g" xr:uid="{CC71C127-E6F8-4DB0-85EA-ABD12016BEC7}"/>
    <hyperlink ref="F938" r:id="rId1654" display="https://www.google.com/url?q=https://github.com/mostafa-saad/MyCompetitiveProgramming/blob/master/Olympiad/infoarena/infoarena_maxdist.txt&amp;sa=D&amp;ust=1605639800481000&amp;usg=AFQjCNFtMbKN79ynRSrGfzBs1SHI_Pt6Hg" xr:uid="{5EFB8AB4-452B-475A-AD12-0BB098DE328A}"/>
    <hyperlink ref="B939" r:id="rId1655" display="https://www.google.com/url?q=https://www.acmicpc.net/problem/2209&amp;sa=D&amp;ust=1605639800481000&amp;usg=AFQjCNEGNEmdqPtq6SscAEpUyUAL97OpGw" xr:uid="{E797D732-1A97-4243-B2CB-A15E823BBA3A}"/>
    <hyperlink ref="F939" r:id="rId1656" display="https://www.google.com/url?q=https://github.com/mostafa-saad/MyCompetitiveProgramming/blob/master/Olympiad/IOI/IOI-02-Bus.txt&amp;sa=D&amp;ust=1605639800481000&amp;usg=AFQjCNGoYePFXXx84dCoS0Duuvk7LiVFdg" xr:uid="{5828E27B-1641-434A-9469-4C04D51D13CF}"/>
    <hyperlink ref="B940" r:id="rId1657" display="https://www.google.com/url?q=https://dmoj.ca/problem/mcco17p3&amp;sa=D&amp;ust=1605639800482000&amp;usg=AFQjCNGKCyxcycYPKQ8YwDytSPA6tz2uKg" xr:uid="{7595AC04-8F88-4424-8C35-C7A4E1F276A1}"/>
    <hyperlink ref="F940" r:id="rId1658" display="https://www.google.com/url?q=https://github.com/thecodingwizard/competitive-programming/blob/master/DMOJ/CCO%252017-Connection.cpp&amp;sa=D&amp;ust=1605639800482000&amp;usg=AFQjCNGE1vENgmy5QyA2XGVQIemMMH8LGQ" xr:uid="{008BCDAC-F9BF-411C-89F1-4F577A8D069C}"/>
    <hyperlink ref="B941" r:id="rId1659" display="https://www.google.com/url?q=https://oj.uz/problem/view/JOI17_amusement_park&amp;sa=D&amp;ust=1605639800482000&amp;usg=AFQjCNEjV1YNupG_nsqo-ouLhGD2Y9nbLw" xr:uid="{0669466C-BE95-4E84-B227-283B97A4A22C}"/>
    <hyperlink ref="F941" r:id="rId1660" display="https://www.google.com/url?q=https://github.com/mostafa-saad/MyCompetitiveProgramming/blob/master/Olympiad/JOI/JOIOC-17-amusementPark.txt&amp;sa=D&amp;ust=1605639800483000&amp;usg=AFQjCNG86r26eyVQa1w5nHuTozfPvsu3fQ" xr:uid="{DC222146-87B8-4C47-AB1E-F08D9441FD91}"/>
    <hyperlink ref="B942" r:id="rId1661" display="https://www.google.com/url?q=https://szkopul.edu.pl/problemset/problem/YXgT8J1eHCc3h8z5RW69thmy/site/?key%3Dstatement&amp;sa=D&amp;ust=1605639800483000&amp;usg=AFQjCNHAhY8Yssl4JTI1FDU9gR23hXgHhg" xr:uid="{BE312D1D-DDD2-4103-8C71-B74F469B307A}"/>
    <hyperlink ref="F942" r:id="rId1662" display="https://www.google.com/url?q=https://github.com/mostafa-saad/MyCompetitiveProgramming/blob/master/Olympiad/POI/official/find_editorial_sols_guidelines.txt&amp;sa=D&amp;ust=1605639800483000&amp;usg=AFQjCNGHdvE1vY-6VCXRgI3phUg9qfKeig" xr:uid="{89D72939-11C9-4511-91F1-FF22B4DDD78A}"/>
    <hyperlink ref="B943" r:id="rId1663" display="https://www.google.com/url?q=https://szkopul.edu.pl/problemset/problem/vvd6w7n7EXFVEg3nkqGxEirV/site/?key%3Dstatement&amp;sa=D&amp;ust=1605639800484000&amp;usg=AFQjCNEvu5ZesF_2xYCIaPzKBCt3FlR-4w" xr:uid="{20E23748-955B-436A-98F8-2E5A06FD4270}"/>
    <hyperlink ref="F943" r:id="rId1664" display="https://www.google.com/url?q=https://github.com/mostafa-saad/MyCompetitiveProgramming/blob/master/Olympiad/POI/POI-18-Plan_Metra.txt&amp;sa=D&amp;ust=1605639800484000&amp;usg=AFQjCNGJDwqpMniE1h6F1P8S-eaHpoqWfw" xr:uid="{1C7AD91F-43EC-4DFD-9036-89C99F8127E5}"/>
    <hyperlink ref="B944" r:id="rId1665" display="https://www.google.com/url?q=https://oj.uz/problem/view/COCI16_mag&amp;sa=D&amp;ust=1605639800484000&amp;usg=AFQjCNGgyu1XGI1Pt-GKzZxno7h_06Yvuw" xr:uid="{51A64D92-29B1-4C59-8A82-240820086EB1}"/>
    <hyperlink ref="F944" r:id="rId1666" display="https://www.google.com/url?q=https://github.com/mostafa-saad/MyCompetitiveProgramming/blob/master/Olympiad/COCI/COCI-16-mag.txt&amp;sa=D&amp;ust=1605639800485000&amp;usg=AFQjCNGlL12odngPTfjv7hPLBKTW-4McXg" xr:uid="{7D291145-875A-43CA-BD96-0476F96523D0}"/>
    <hyperlink ref="B945" r:id="rId1667" display="https://www.google.com/url?q=https://szkopul.edu.pl/problemset/problem/KiL8P3oSgImWGI5GT4QMCQpO/site/&amp;sa=D&amp;ust=1605639800485000&amp;usg=AFQjCNFZM4FRyKnjlCxLk51Fgw3Kb7oXrg" xr:uid="{02402AB9-87AA-4B8B-90E8-93E62E68FA94}"/>
    <hyperlink ref="F945" r:id="rId1668" display="https://www.google.com/url?q=https://github.com/mostafa-saad/MyCompetitiveProgramming/blob/master/Olympiad/POI/POI-04-East_West.txt&amp;sa=D&amp;ust=1605639800485000&amp;usg=AFQjCNEqaUidWbvQV0jIrr7slVvbTNZ2BA" xr:uid="{A731AC8C-C02D-41E6-AD57-2C758F916BD8}"/>
    <hyperlink ref="B946" r:id="rId1669" display="https://www.google.com/url?q=https://oj.uz/problem/view/COI14_mostovi&amp;sa=D&amp;ust=1605639800486000&amp;usg=AFQjCNG6ktnsB4kT86PZUZuJ_-v_0Ol2Dw" xr:uid="{AC84FCD8-DD89-4DD0-B1F8-A3139F638C65}"/>
    <hyperlink ref="F946" r:id="rId1670" display="https://www.google.com/url?q=https://github.com/mostafa-saad/MyCompetitiveProgramming/tree/master/Olympiad/COI/official/2014&amp;sa=D&amp;ust=1605639800486000&amp;usg=AFQjCNHx12X2ko6ttf2jlVHP16Mhmk97Tw" xr:uid="{2B6304C8-74B3-4808-9E8A-BC3F3F66F78F}"/>
    <hyperlink ref="B947" r:id="rId1671" display="https://www.google.com/url?q=https://www.infoarena.ro/problema/curent&amp;sa=D&amp;ust=1605639800486000&amp;usg=AFQjCNEU-Z7Q8PsMVhR3yRijfOWLfm-KKQ" xr:uid="{91E0D530-8D31-4F4B-A3D8-032CF079A859}"/>
    <hyperlink ref="F947" r:id="rId1672" display="https://www.google.com/url?q=https://github.com/stefdasca/CompetitiveProgramming/blob/master/Infoarena/curent.cpp&amp;sa=D&amp;ust=1605639800487000&amp;usg=AFQjCNHmYoclpLW6_iXIwoXNSOHjVJfmng" xr:uid="{0537AA8F-8CA1-49C3-B6F9-DC696AB89AA4}"/>
    <hyperlink ref="B948" r:id="rId1673" display="https://www.google.com/url?q=https://oj.uz/problem/view/IOI14_friend&amp;sa=D&amp;ust=1605639800488000&amp;usg=AFQjCNEHaozYAJ6F3X4hf3VaUlHKSbokYQ" xr:uid="{A2AFA9BA-01C7-4E70-BEBD-57CC93D034B1}"/>
    <hyperlink ref="F948" r:id="rId1674" display="https://www.google.com/url?q=https://github.com/mostafa-saad/MyCompetitiveProgramming/blob/master/Olympiad/IOI/IOI-14-friend.txt&amp;sa=D&amp;ust=1605639800489000&amp;usg=AFQjCNE2djPyTZZkiAA-7q3R6skj9YFA_A" xr:uid="{6C31E578-5DCF-4888-B0CC-3E511919B6B8}"/>
    <hyperlink ref="B949" r:id="rId1675" display="https://www.google.com/url?q=https://oj.uz/problem/view/JOI19_mergers&amp;sa=D&amp;ust=1605639800489000&amp;usg=AFQjCNG7pVZ_wbqrK4YKNbncGyM86j-ngg" xr:uid="{382E70BD-BBAA-4B77-AF57-CAF2942FBD63}"/>
    <hyperlink ref="F949" r:id="rId1676" display="https://www.google.com/url?q=https://github.com/mostafa-saad/MyCompetitiveProgramming/blob/master/Olympiad/JOI/JOISC-19-Mergers.txt&amp;sa=D&amp;ust=1605639800489000&amp;usg=AFQjCNEDEj5_iljmLRxxELwct04ZMl_yFw" xr:uid="{5F2F0D3B-A61B-45A7-ADAD-350CF7B823CC}"/>
    <hyperlink ref="B950" r:id="rId1677" display="https://www.google.com/url?q=https://cses.fi/194/list/&amp;sa=D&amp;ust=1605639800490000&amp;usg=AFQjCNFuJGjjYDmvpmDC5nG5vKBUr45sXA" xr:uid="{D505BC80-02FA-48B5-A7A1-1D4E1B6873CE}"/>
    <hyperlink ref="F950" r:id="rId1678" display="https://www.google.com/url?q=https://github.com/SpeedOfMagic/CompetitiveProgramming/blob/master/CEOI/16-router.txt&amp;sa=D&amp;ust=1605639800490000&amp;usg=AFQjCNGMj0f4aunCAqviS-fh4I5JEG-0QA" xr:uid="{6955DA20-E914-4DAE-9EEB-9EDA693E210D}"/>
    <hyperlink ref="B951" r:id="rId1679" display="https://www.google.com/url?q=https://oj.uz/problem/view/COI17_ili&amp;sa=D&amp;ust=1605639800491000&amp;usg=AFQjCNHnSq3PggdVBnxShFYpjWHzJSZ51Q" xr:uid="{829BBE7D-8BBE-4CA1-BF2A-84678D1A1D4F}"/>
    <hyperlink ref="F951" r:id="rId1680" display="https://www.google.com/url?q=https://github.com/mostafa-saad/MyCompetitiveProgramming/blob/master/Olympiad/COI/COI+17-ili.txt&amp;sa=D&amp;ust=1605639800491000&amp;usg=AFQjCNH5WChhavT-r7Dnb0kvcCA8mbh96A" xr:uid="{2EEF53CE-8BC2-4EDE-BE10-F7BC411FBCB9}"/>
    <hyperlink ref="B952" r:id="rId1681" display="https://www.google.com/url?q=https://dmoj.ca/problem/coci14c1p6&amp;sa=D&amp;ust=1605639800491000&amp;usg=AFQjCNFtTKVpDIuSo_P6vrwtm1nwF37LTw" xr:uid="{55F4CB49-3DFC-4DB1-8658-F183AB0B50F7}"/>
    <hyperlink ref="F952" r:id="rId1682" display="https://www.google.com/url?q=https://github.com/mostafa-saad/MyCompetitiveProgramming/blob/master/Olympiad/COCI/COCI-14-Kamp.txt&amp;sa=D&amp;ust=1605639800491000&amp;usg=AFQjCNGn0aw-o7oCG4dvacnVxSZXqAVUQA" xr:uid="{7287A2DB-330E-4C79-9AB9-E48591DD2897}"/>
    <hyperlink ref="B953" r:id="rId1683" display="https://www.google.com/url?q=https://oj.uz/problem/view/IZhO14_shymbulak&amp;sa=D&amp;ust=1605639800492000&amp;usg=AFQjCNEIH2dUni2wiJgXcDp-MeYKvxzjNQ" xr:uid="{F0F30889-99F9-4272-A757-A7919AB40A66}"/>
    <hyperlink ref="F953" r:id="rId1684" display="https://www.google.com/url?q=https://github.com/tmwilliamlin168/CompetitiveProgramming/blob/master/IZhO/14-Shymbulak.cpp&amp;sa=D&amp;ust=1605639800492000&amp;usg=AFQjCNFosMdjGwFz9MjsghEr9WpVciXYfg" xr:uid="{8C17C5CE-6AE3-478F-B377-6879C9543A8A}"/>
    <hyperlink ref="B954" r:id="rId1685" display="https://www.google.com/url?q=https://open.kattis.com/problem-sources/Baltic%2520Olympiad%2520in%2520Informatics%25202017%252C%2520Day%25201&amp;sa=D&amp;ust=1605639800492000&amp;usg=AFQjCNHF19X_JabkL4IP0TxX4IooVrVubg" xr:uid="{F24DEADD-9D1D-4041-9158-011287413678}"/>
    <hyperlink ref="F954" r:id="rId1686" display="https://www.google.com/url?q=https://github.com/mostafa-saad/MyCompetitiveProgramming/blob/master/Olympiad/Baltic/Baltic-17-Railway.txt&amp;sa=D&amp;ust=1605639800493000&amp;usg=AFQjCNFa8ma0AfEdcGD6p_OfP1IfkQPWlg" xr:uid="{EFE50DEE-CEA5-4CA5-B853-1E40057388F0}"/>
    <hyperlink ref="B955" r:id="rId1687" display="https://www.google.com/url?q=https://dmoj.ca/problem/apio12p1&amp;sa=D&amp;ust=1605639800493000&amp;usg=AFQjCNHTmC51vZ-z-kAB5YrubAHUdTKQpQ" xr:uid="{D20B1712-5363-49D7-B3FE-DE08EC583829}"/>
    <hyperlink ref="F955" r:id="rId1688" display="https://www.google.com/url?q=https://github.com/mostafa-saad/MyCompetitiveProgramming/blob/master/Olympiad/APIO/APIO-12-Dispatching.txt&amp;sa=D&amp;ust=1605639800493000&amp;usg=AFQjCNERpHJk918afm80bkz3OLnp72gd5Q" xr:uid="{1EA28E92-F765-4C52-9C71-7E3CA96A189C}"/>
    <hyperlink ref="B956" r:id="rId1689" display="https://www.google.com/url?q=https://szkopul.edu.pl/portal/problemset_eng/oi/21&amp;sa=D&amp;ust=1605639800494000&amp;usg=AFQjCNHXA9fuWGvTdQprqOAyvJI8XDxCtw" xr:uid="{3BE3B84B-529F-4E60-9787-4EA04D0B3F61}"/>
    <hyperlink ref="F956" r:id="rId1690" display="https://www.google.com/url?q=https://github.com/mostafa-saad/MyCompetitiveProgramming/blob/master/Olympiad/POI/POI-14-FarmCraft.txt&amp;sa=D&amp;ust=1605639800494000&amp;usg=AFQjCNHTzn2z1y89sKiwvKisxxd_aS_peQ" xr:uid="{506F3B25-0EBA-4DDC-B70C-777FC9C936F5}"/>
    <hyperlink ref="B957" r:id="rId1691" display="https://www.google.com/url?q=https://www.hackerrank.com/contests/boi-2016/challenges&amp;sa=D&amp;ust=1605639800495000&amp;usg=AFQjCNGDU7LNAMSYZTYxHfNgM4iDme5uTA" xr:uid="{5004F0D0-2EA7-4BEF-8B17-FBEF129571B2}"/>
    <hyperlink ref="F957" r:id="rId1692" display="https://www.google.com/url?q=https://github.com/mostafa-saad/MyCompetitiveProgramming/blob/master/Olympiad/Balkan/Balkan-16-Conference.txt&amp;sa=D&amp;ust=1605639800495000&amp;usg=AFQjCNEPOC4bB-zBgX5FYCSg6i6eQZN_GA" xr:uid="{FD2D4438-CDEF-405E-89D6-BAC34A531C92}"/>
    <hyperlink ref="B958" r:id="rId1693" display="https://www.google.com/url?q=https://szkopul.edu.pl/problemset/problem/kqBM3UKWL-qlFiXIOxPXL35m/site/&amp;sa=D&amp;ust=1605639800495000&amp;usg=AFQjCNH42qk0jH-PFWcURzcjEyGY7FeJkw" xr:uid="{2A9F2345-6283-481B-91B0-8D9B08A275E1}"/>
    <hyperlink ref="F958" r:id="rId1694" display="https://www.google.com/url?q=https://github.com/Shash-Wat/competitive-programming/blob/master/POI/poi_sport.cpp&amp;sa=D&amp;ust=1605639800495000&amp;usg=AFQjCNH4wjB3secfU-xGVCxiWsrUyzO-4Q" xr:uid="{FF8E7989-1113-45A3-8D1E-4A6E6C812A49}"/>
    <hyperlink ref="B959" r:id="rId1695" display="https://www.google.com/url?q=https://dmoj.ca/problem/coci14c1p4&amp;sa=D&amp;ust=1605639800496000&amp;usg=AFQjCNE_jS6zd1uHWm2jurYztNILatW6Lw" xr:uid="{D657967C-F214-4F64-B2B2-61E34B10C59A}"/>
    <hyperlink ref="F959" r:id="rId1696" display="https://www.google.com/url?q=https://github.com/mostafa-saad/MyCompetitiveProgramming/blob/master/Olympiad/COCI/COCI-14-Mafija.txt&amp;sa=D&amp;ust=1605639800496000&amp;usg=AFQjCNGnma_n02NMJ9wj6MjsbZ3VezVv9A" xr:uid="{2C903C73-12B6-4C2C-8650-BEFD9C6FE87C}"/>
    <hyperlink ref="B960" r:id="rId1697" display="https://www.google.com/url?q=https://joisc2013-day4.contest.atcoder.jp/tasks/joisc2013_presents&amp;sa=D&amp;ust=1605639800497000&amp;usg=AFQjCNHaLz6XeoyMDSG2CyGlu7S4ZqEVhg" xr:uid="{585AC034-82D9-4D42-A85B-A034166F8DD2}"/>
    <hyperlink ref="B961" r:id="rId1698" display="https://www.google.com/url?q=https://szkopul.edu.pl/problemset/problem/JyanwtKuk_ER10eZ7Yv0q72d/site/&amp;sa=D&amp;ust=1605639800497000&amp;usg=AFQjCNEjRn5TWKWWYNxeqe5k09nET-BVvg" xr:uid="{F896776C-7D61-4695-8D56-A89899B1155C}"/>
    <hyperlink ref="F961" r:id="rId1699" display="https://www.google.com/url?q=https://github.com/mostafa-saad/MyCompetitiveProgramming/blob/master/Olympiad/POI/official/find_editorial_sols_guidelines.txt&amp;sa=D&amp;ust=1605639800497000&amp;usg=AFQjCNFgYKVKcrFfJAmMuUHVHGFd90Gfhg" xr:uid="{7FC23A45-67ED-4B04-AA7F-C657EC328F4E}"/>
    <hyperlink ref="B962" r:id="rId1700" display="https://www.google.com/url?q=https://szkopul.edu.pl/problemset/problem/cB5m-M5ddsFOWLds2CwcYKge/site/&amp;sa=D&amp;ust=1605639800498000&amp;usg=AFQjCNEmCaGopoppjuRSpcRXFYgM8gBk-Q" xr:uid="{C6C7C54F-709C-4161-AACE-A51A4CD94E70}"/>
    <hyperlink ref="F962" r:id="rId1701" display="https://www.google.com/url?q=https://github.com/mostafa-saad/MyCompetitiveProgramming/blob/master/Olympiad/POI/POI-05-Double_Row.txt&amp;sa=D&amp;ust=1605639800498000&amp;usg=AFQjCNGO13Ouy41mXespVFG2iXoom0xQrw" xr:uid="{60EE0E87-DFEB-4CDF-8540-4FA48609F5F9}"/>
    <hyperlink ref="B963" r:id="rId1702" display="https://www.google.com/url?q=https://www.infoarena.ro/problema/color5&amp;sa=D&amp;ust=1605639800498000&amp;usg=AFQjCNGQmVA0g5ce50z4b9kkJogx0A4jNg" xr:uid="{C4A4397D-DACB-452D-8B74-AB2CBE404CEA}"/>
    <hyperlink ref="B964" r:id="rId1703" display="https://www.google.com/url?q=https://dunjudge.me/analysis/problems/727/&amp;sa=D&amp;ust=1605639800499000&amp;usg=AFQjCNGjPbHafaNERhXNS_DUDocTIaWZJg" xr:uid="{DCEEEE86-37B5-489F-8E03-EE3BC1DF21D3}"/>
    <hyperlink ref="F964" r:id="rId1704" display="https://www.google.com/url?q=https://github.com/mostafa-saad/MyCompetitiveProgramming/blob/master/Olympiad/IOI/official/2000&amp;sa=D&amp;ust=1605639800499000&amp;usg=AFQjCNHBVuZI1N8p5eNtK-fqjTHDAChDsg" xr:uid="{F5897E80-2B17-44D7-8449-88A0BCCDEDA7}"/>
    <hyperlink ref="B965" r:id="rId1705" display="https://www.google.com/url?q=https://dmoj.ca/problem/coci06c4p5&amp;sa=D&amp;ust=1605639800501000&amp;usg=AFQjCNHmR0SnctcCnSPOEuXKxhdRM2gL3g" xr:uid="{4C10616D-04A9-4F9E-A898-783977A004AF}"/>
    <hyperlink ref="F965" r:id="rId1706" display="https://www.google.com/url?q=https://github.com/mostafa-saad/MyCompetitiveProgramming/blob/master/Olympiad/COCI/COCI-06-Jogurt.txt&amp;sa=D&amp;ust=1605639800501000&amp;usg=AFQjCNH333Yo2F08Q6ipDmBz4VWJ05cVMA" xr:uid="{F06C0215-C38A-4077-B2B9-AFA687A36F28}"/>
    <hyperlink ref="B966" r:id="rId1707" display="https://www.google.com/url?q=https://dmoj.ca/problem/coci08c3p5&amp;sa=D&amp;ust=1605639800501000&amp;usg=AFQjCNENF8OQQD5VKfcfVts8qk6UORM1SA" xr:uid="{C567905C-CD93-4240-8331-214CC3F6AD90}"/>
    <hyperlink ref="F966" r:id="rId1708" display="https://www.google.com/url?q=https://github.com/mostafa-saad/MyCompetitiveProgramming/blob/master/Olympiad/COCI/COCI-08-BST.txt&amp;sa=D&amp;ust=1605639800502000&amp;usg=AFQjCNH-tqNM26d_QK-Ge2pIYMLZ_CyUGQ" xr:uid="{EBCF8E2D-849C-447B-A734-8548E81825DA}"/>
    <hyperlink ref="B967" r:id="rId1709" display="https://www.google.com/url?q=https://szkopul.edu.pl/problemset/problem/TJVrS_hRC8W5Q6ZBW6mETAIm/site/&amp;sa=D&amp;ust=1605639800502000&amp;usg=AFQjCNHQfH6yVollTlTn8qTMSxzhCTzMHQ" xr:uid="{419BC177-2074-4895-937A-76006EDBD339}"/>
    <hyperlink ref="F967" r:id="rId1710" display="https://www.google.com/url?q=https://github.com/mostafa-saad/MyCompetitiveProgramming/blob/master/Olympiad/POI/official/find_editorial_sols_guidelines.txt&amp;sa=D&amp;ust=1605639800502000&amp;usg=AFQjCNF8AySOag3vbL1ze0V4gsv667sKKQ" xr:uid="{64CE2289-1932-4384-BD1E-6309171E82AF}"/>
    <hyperlink ref="B968" r:id="rId1711" display="https://www.google.com/url?q=https://szkopul.edu.pl/problemset/problem/big2NUEzhdCqgGj0wGBjbw14/site/&amp;sa=D&amp;ust=1605639800503000&amp;usg=AFQjCNGaG8SzGXTg9TfNhmMLd_jNAKS5-Q" xr:uid="{08E0EBA1-513A-47BD-A598-10B1A49757B6}"/>
    <hyperlink ref="F968" r:id="rId1712" display="https://www.google.com/url?q=https://github.com/mostafa-saad/MyCompetitiveProgramming/blob/master/Olympiad/POI/POI-07-Megalopolis.txt&amp;sa=D&amp;ust=1605639800503000&amp;usg=AFQjCNHMGK89kbS_xxVhzm1sdUMmtVFQgg" xr:uid="{2FDE3ED0-482E-4918-968A-0DBF6A2A2CDD}"/>
    <hyperlink ref="B969" r:id="rId1713" display="https://www.google.com/url?q=https://dunjudge.me/analysis/problems/1227/&amp;sa=D&amp;ust=1605639800503000&amp;usg=AFQjCNFdPg2T3ZT2tYYoFXhBdGWxQ9H3Tg" xr:uid="{00A767B0-C670-4162-B75B-2A979B992C69}"/>
    <hyperlink ref="F969" r:id="rId1714" display="https://www.google.com/url?q=https://github.com/mostafa-saad/MyCompetitiveProgramming/blob/master/Olympiad/NOI/official&amp;sa=D&amp;ust=1605639800503000&amp;usg=AFQjCNGzhvaMHTuy6bhfB_8Juv1IxaUDDg" xr:uid="{55C2A4FD-54E8-48B0-B003-DB765D4D8956}"/>
    <hyperlink ref="B970" r:id="rId1715" display="https://www.google.com/url?q=https://oj.uz/problem/view/COI16_dijament&amp;sa=D&amp;ust=1605639800504000&amp;usg=AFQjCNFFF0cI78U1uZtBLhp8iSZlpA-sxw" xr:uid="{0FD82E41-D56B-49FA-A82A-757D586A6BBD}"/>
    <hyperlink ref="F970" r:id="rId1716" display="https://www.google.com/url?q=https://github.com/mostafa-saad/MyCompetitiveProgramming/tree/master/Olympiad/COI/official/2016&amp;sa=D&amp;ust=1605639800504000&amp;usg=AFQjCNF3xO59jWqWfropXQAQStrGhfNLsQ" xr:uid="{DB18302D-B6FC-4AD1-B1AA-119EDFB8CCCF}"/>
    <hyperlink ref="B971" r:id="rId1717" display="https://www.google.com/url?q=https://dmoj.ca/problem/ccc15s4&amp;sa=D&amp;ust=1605639800504000&amp;usg=AFQjCNFohQlqQi6Ny1oz0D-Hk3PqSLvIrw" xr:uid="{BB1BC66A-294E-4850-AA37-5739AA22C08F}"/>
    <hyperlink ref="B972" r:id="rId1718" display="https://www.google.com/url?q=https://dmoj.ca/problem/dmopc14ce1p4&amp;sa=D&amp;ust=1605639800504000&amp;usg=AFQjCNFlQOm_4lLC3H3cjfcKfsoYI8Ua0g" xr:uid="{148ED155-7832-42EE-AE41-BDC88EEDFB1F}"/>
    <hyperlink ref="B973" r:id="rId1719" display="https://www.google.com/url?q=https://dmoj.ca/problem/dmpg15s6&amp;sa=D&amp;ust=1605639800505000&amp;usg=AFQjCNE_6pnLQV1zTYlpqUdlhps5iBtodA" xr:uid="{2C04FD83-F5A0-4F19-9D6F-841C84AC806B}"/>
    <hyperlink ref="B974" r:id="rId1720" display="https://www.google.com/url?q=https://dmoj.ca/problem/ioi97p1&amp;sa=D&amp;ust=1605639800505000&amp;usg=AFQjCNHoxfS5ELTuPf82ggwehCT_SY2Q4w" xr:uid="{62090079-EC4D-4B0A-BDE2-F4F67B4509A1}"/>
    <hyperlink ref="F974" r:id="rId1721" display="https://www.google.com/url?q=http://olympiads.win.tue.nl/ioi/ioi97/contest/index.html&amp;sa=D&amp;ust=1605639800505000&amp;usg=AFQjCNF8hOMeUI4q2WjQ_S1y8CNRUPBnRg" xr:uid="{2A0671A5-FC2D-4FE3-9589-15DA7D1B9549}"/>
    <hyperlink ref="B975" r:id="rId1722" display="https://www.google.com/url?q=https://szkopul.edu.pl/problemset/problem/Phel_x2Ny30OUh7z1RhCtzEG/site/&amp;sa=D&amp;ust=1605639800506000&amp;usg=AFQjCNESBSf5hce5Lc4cA3aCVDfAbV3Ebw" xr:uid="{05FFEE4B-845B-4738-A91F-E30D0A7D34D6}"/>
    <hyperlink ref="F975" r:id="rId1723" display="https://www.google.com/url?q=https://github.com/mostafa-saad/MyCompetitiveProgramming/blob/master/Olympiad/POI/official/find_editorial_sols_guidelines.txt&amp;sa=D&amp;ust=1605639800506000&amp;usg=AFQjCNGKpzSVn84I_8bV72YCJPAxfkL-KQ" xr:uid="{CF6972E3-7615-45D8-870B-AAEB4C4D956C}"/>
    <hyperlink ref="B976" r:id="rId1724" display="https://www.google.com/url?q=https://oj.uz/problem/view/BOI16_bosses&amp;sa=D&amp;ust=1605639800506000&amp;usg=AFQjCNEENzmoG4iJhddUSjibQ3DWpWlDbQ" xr:uid="{546245D4-1408-4FFB-AA25-EC0E675DD1CE}"/>
    <hyperlink ref="F976" r:id="rId1725" display="https://www.google.com/url?q=https://github.com/mostafa-saad/MyCompetitiveProgramming/blob/master/Olympiad/Baltic/Baltic-16-bosses.txt&amp;sa=D&amp;ust=1605639800506000&amp;usg=AFQjCNFfR_v_SGESSEB4nIcEEuXwCCasqA" xr:uid="{65A31496-939D-44BB-9EA6-0F66B22ABE7B}"/>
    <hyperlink ref="B977" r:id="rId1726" display="https://www.google.com/url?q=https://dunjudge.me/analysis/problems/281/&amp;sa=D&amp;ust=1605639800507000&amp;usg=AFQjCNGHyRowQHWyQhBWW24zo-r9_58QJw" xr:uid="{ABA86869-1EEF-4DD3-89A2-1E2DBBCD7902}"/>
    <hyperlink ref="F977" r:id="rId1727" display="https://www.google.com/url?q=https://github.com/mostafa-saad/MyCompetitiveProgramming/blob/master/Olympiad/NOI/official&amp;sa=D&amp;ust=1605639800507000&amp;usg=AFQjCNGFHcHXTZbGQroko51b4X4bJi3UDA" xr:uid="{53EACD19-7903-45CC-8E11-D078AB4D30FE}"/>
    <hyperlink ref="B978" r:id="rId1728" display="https://www.google.com/url?q=https://www.infoarena.ro/problema/incurcatura&amp;sa=D&amp;ust=1605639800507000&amp;usg=AFQjCNGgCV_zyNo42uf4lGBXWu72xJGmrQ" xr:uid="{DE326A2A-4EF0-41A0-8100-4ADEA9414707}"/>
    <hyperlink ref="F978" r:id="rId1729" display="https://www.google.com/url?q=https://github.com/stefdasca/CompetitiveProgramming/blob/master/Infoarena/incurcatura.cpp&amp;sa=D&amp;ust=1605639800507000&amp;usg=AFQjCNEJguZcxvolkVCiyWEdJjY9cqR6wA" xr:uid="{64F9797B-96E0-4F9F-AB6B-39EBE2BEE674}"/>
    <hyperlink ref="B979" r:id="rId1730" display="https://www.google.com/url?q=https://dmoj.ca/problem/dwite11c5p5&amp;sa=D&amp;ust=1605639800508000&amp;usg=AFQjCNHGgwbohPMSkBE_nDVDVpjUlqL_JQ" xr:uid="{1AB45946-B15F-43CC-81FF-A27D383CAF66}"/>
    <hyperlink ref="B980" r:id="rId1731" display="https://www.google.com/url?q=https://github.com/stefdasca/CompetitiveProgramming/blob/master/Info1Cup/National%2520Round/Subway%2520(Ro).pdf&amp;sa=D&amp;ust=1605639800508000&amp;usg=AFQjCNEZ4U7gXvZ6YioMKUQEkB0RbdVMLg" xr:uid="{B1CA0447-204F-494B-BB6F-0689CF030B2D}"/>
    <hyperlink ref="F980" r:id="rId1732" display="https://www.google.com/url?q=https://github.com/stefdasca/CompetitiveProgramming/blob/master/Info1Cup/National%2520Round/subway.cpp&amp;sa=D&amp;ust=1605639800508000&amp;usg=AFQjCNEai529tS70y0jdo3Luc_axuxgXCg" xr:uid="{A9FE94DC-A9CE-4FE9-A850-B50B2D5F50FB}"/>
    <hyperlink ref="B981" r:id="rId1733" display="https://www.google.com/url?q=https://joi2015ho.contest.atcoder.jp/tasks/joi2015ho_a&amp;sa=D&amp;ust=1605639800517000&amp;usg=AFQjCNF3UKUxRR4YQiU7rqwxFVVQfTyiIw" xr:uid="{EF106E74-0B5D-48BE-B25D-AAB93008FC5C}"/>
    <hyperlink ref="F981" r:id="rId1734" display="https://www.google.com/url?q=https://github.com/nikolapesic2802/Programming-Practice/blob/master/Railroad%2520Trip/main.cpp&amp;sa=D&amp;ust=1605639800518000&amp;usg=AFQjCNFsC8ak5GgjXjn0P0G1ITUlRMm6Lw" xr:uid="{F4E0256E-A966-417C-BA00-C772731C15A5}"/>
    <hyperlink ref="B982" r:id="rId1735" display="https://www.google.com/url?q=https://szkopul.edu.pl/problemset/problem/KC7c6nYfAXCbCGszqhIeOGxP/site/&amp;sa=D&amp;ust=1605639800518000&amp;usg=AFQjCNEQOkTbztbCWieLRSWjPpTyrxVsDQ" xr:uid="{E476C2BE-D8B8-4A29-8C04-9901D863903A}"/>
    <hyperlink ref="F982" r:id="rId1736" display="https://www.google.com/url?q=https://github.com/mostafa-saad/MyCompetitiveProgramming/blob/master/Olympiad/POI/official/find_editorial_sols_guidelines.txt&amp;sa=D&amp;ust=1605639800518000&amp;usg=AFQjCNHb1y3ntIRRwd7cYUpRY1EIa2Me5g" xr:uid="{6D95A51E-9355-4447-84B0-FA6EFEF22008}"/>
    <hyperlink ref="B983" r:id="rId1737" display="https://www.google.com/url?q=https://www.infoarena.ro/problema/rfinv&amp;sa=D&amp;ust=1605639800520000&amp;usg=AFQjCNEMs5FyXK9jsfCxDJatO99atnbnUQ" xr:uid="{8EF20C09-57F2-4AA2-B2E3-4AB14909DAEC}"/>
    <hyperlink ref="F983" r:id="rId1738" display="https://www.google.com/url?q=https://github.com/stefdasca/CompetitiveProgramming/blob/master/Infoarena/rfinv.cpp&amp;sa=D&amp;ust=1605639800520000&amp;usg=AFQjCNHdLQfMVZWiXxTlrCMCaM1UoNpm6A" xr:uid="{8EABDD48-8BD6-4128-838C-ADE25FAF8109}"/>
    <hyperlink ref="B984" r:id="rId1739" display="https://www.google.com/url?q=https://dunjudge.me/analysis/problems/266/&amp;sa=D&amp;ust=1605639800520000&amp;usg=AFQjCNFSUXAvG2gBjg9ioNF2PmJwyaSfSA" xr:uid="{B147FEEE-5F51-4630-AB67-8B69B5AC7F70}"/>
    <hyperlink ref="F984" r:id="rId1740" display="https://www.google.com/url?q=https://github.com/mostafa-saad/MyCompetitiveProgramming/blob/master/Olympiad/NOI/official&amp;sa=D&amp;ust=1605639800520000&amp;usg=AFQjCNEY-me5aVG0qqbGalKOwuUGDr7HWw" xr:uid="{652011F2-0E0C-49B4-B081-C8F0F528F7F7}"/>
    <hyperlink ref="B985" r:id="rId1741" display="https://www.google.com/url?q=https://oj.uz/problems/source/314&amp;sa=D&amp;ust=1605639800521000&amp;usg=AFQjCNGvcaNa4eQlBb07FhlTEnFoa7rlQA" xr:uid="{06FAA16A-1A16-41B6-BBFF-211AE5324CCC}"/>
    <hyperlink ref="F985" r:id="rId1742" display="https://www.google.com/url?q=https://codeforces.com/blog/entry/58433&amp;sa=D&amp;ust=1605639800521000&amp;usg=AFQjCNFzeWZntMG_iULprzxMQ1vlr0fH2A" xr:uid="{3A1CD49F-AF7A-4D57-8FAD-B7A4017B187B}"/>
    <hyperlink ref="B986" r:id="rId1743" display="https://www.google.com/url?q=https://oj.uz/problem/view/POI13_spa&amp;sa=D&amp;ust=1605639800565000&amp;usg=AFQjCNFhSLwLjY0rcvIhF9jSjtBJZpX5lg" xr:uid="{3A517FE7-6391-4E11-82DE-6E32C5B21696}"/>
    <hyperlink ref="F986" r:id="rId1744" display="https://www.google.com/url?q=https://github.com/mostafa-saad/MyCompetitiveProgramming/blob/master/Olympiad/POI/official/find_editorial_sols_guidelines.txt&amp;sa=D&amp;ust=1605639800565000&amp;usg=AFQjCNGsR2wdgGJMie-r1zKTaqKbuZ7qkQ" xr:uid="{FE632AC5-F96C-4A62-850E-23085D755149}"/>
    <hyperlink ref="B987" r:id="rId1745" display="https://www.google.com/url?q=https://dunjudge.me/analysis/problems/1479/&amp;sa=D&amp;ust=1605639800565000&amp;usg=AFQjCNHCGXjzW3PlQjmXQZ36eBnbIrKa7A" xr:uid="{6D7DAB98-07B2-45CA-8F3A-D8AA81B2B378}"/>
    <hyperlink ref="B988" r:id="rId1746" display="https://www.google.com/url?q=https://dunjudge.me/analysis/problems/16/&amp;sa=D&amp;ust=1605639800566000&amp;usg=AFQjCNF1H36u-Q7EzUraDi-iDg3IVcrfZw" xr:uid="{DF00F7D3-B612-439D-8C8A-1F8195743A70}"/>
    <hyperlink ref="B989" r:id="rId1747" display="https://www.google.com/url?q=https://dunjudge.me/analysis/problems/45/&amp;sa=D&amp;ust=1605639800566000&amp;usg=AFQjCNE5WxpZIw_uzKXYdJaxfZskPmg24Q" xr:uid="{ED6F28EC-1C60-4239-B05C-CE571F825EEE}"/>
    <hyperlink ref="B990" r:id="rId1748" display="https://www.google.com/url?q=https://dunjudge.me/analysis/problems/423/&amp;sa=D&amp;ust=1605639800567000&amp;usg=AFQjCNFCRddE6sDSa3VZwlbGDu_tBoe-kQ" xr:uid="{5A4B2C95-67EC-4448-892C-AC334CF604DF}"/>
    <hyperlink ref="B991" r:id="rId1749" display="https://www.google.com/url?q=https://dunjudge.me/analysis/problems/935/&amp;sa=D&amp;ust=1605639800567000&amp;usg=AFQjCNH98jO5Fnp9gkQ6DDapDes1aMDCSQ" xr:uid="{8D9E9B31-E39E-4262-B499-A61F3861A6C9}"/>
    <hyperlink ref="B992" r:id="rId1750" display="https://www.google.com/url?q=https://dunjudge.me/analysis/problems/952/&amp;sa=D&amp;ust=1605639800567000&amp;usg=AFQjCNG_HTDjN8zfYNDeVnoBqykG8Vxzhg" xr:uid="{42DB1DEC-8F00-4251-ADFB-276B88AFCD3F}"/>
    <hyperlink ref="B993" r:id="rId1751" display="https://www.google.com/url?q=https://dunjudge.me/analysis/problems/1462/&amp;sa=D&amp;ust=1605639800568000&amp;usg=AFQjCNE3P4kBFsJqmJQChpovnmyVWNdC-A" xr:uid="{92C72F97-E9DA-4E52-92E4-3819CA3EF9D7}"/>
    <hyperlink ref="B994" r:id="rId1752" display="https://www.google.com/url?q=https://dunjudge.me/analysis/problems/1476/&amp;sa=D&amp;ust=1605639800568000&amp;usg=AFQjCNFOi4NNdjFUdfvPkXm2zi2hTIqxpw" xr:uid="{AF9E0554-69F3-4057-9368-64564E3A7EFC}"/>
    <hyperlink ref="B995" r:id="rId1753" display="https://www.google.com/url?q=https://wcipeg.com/problem/coci092p5&amp;sa=D&amp;ust=1605639800569000&amp;usg=AFQjCNG7oq7xTB4X-6PoXo4k-yZcfVc0Vw" xr:uid="{B9347824-A510-4517-9784-2052246C4B35}"/>
    <hyperlink ref="F995" r:id="rId1754" display="https://www.google.com/url?q=https://github.com/mostafa-saad/MyCompetitiveProgramming/blob/master/Olympiad/COCI/official/2010/contest2_solutions&amp;sa=D&amp;ust=1605639800569000&amp;usg=AFQjCNGVm5sS0i-MYqbYYadFY8j6FegCmA" xr:uid="{0F961970-E452-4A4D-B770-80F78AA97CF4}"/>
    <hyperlink ref="B996" r:id="rId1755" display="https://www.google.com/url?q=https://szkopul.edu.pl/problemset/problem/F_PC7j8VzjiPwlNqg9Jr_tFg/site/&amp;sa=D&amp;ust=1605639800569000&amp;usg=AFQjCNFecsIs4T8emk4wadpS7HByt8Aumg" xr:uid="{0FBD8373-53D7-441F-BB16-F43D5620C7A2}"/>
    <hyperlink ref="F996" r:id="rId1756" display="https://www.google.com/url?q=https://github.com/mostafa-saad/MyCompetitiveProgramming/blob/master/Olympiad/POI/POI-09-Walk.txt&amp;sa=D&amp;ust=1605639800569000&amp;usg=AFQjCNGlTlS71Wz1fqzh5oQXu18ICk6epQ" xr:uid="{E76ACEDB-D959-45CD-9110-FDEEA861C1F4}"/>
    <hyperlink ref="B997" r:id="rId1757" display="https://www.google.com/url?q=https://oj.uz/problem/view/IOI07_flood&amp;sa=D&amp;ust=1605639800570000&amp;usg=AFQjCNG7iynw69LAUbAA_VcxwUrBlDzv3A" xr:uid="{4DE3E5D4-55A8-430B-B322-6B9053AB6DC0}"/>
    <hyperlink ref="F997" r:id="rId1758" display="https://www.google.com/url?q=https://github.com/mostafa-saad/MyCompetitiveProgramming/blob/master/Olympiad/IOI/IOI-07-flood.txt&amp;sa=D&amp;ust=1605639800570000&amp;usg=AFQjCNHJRR2vpR5k1oTV4_t87N30LWI2Mg" xr:uid="{FFEFEE14-64B5-4173-9FD3-9E1F24943D54}"/>
    <hyperlink ref="B998" r:id="rId1759" display="https://www.google.com/url?q=https://github.com/mostafa-saad/MyCompetitiveProgramming/blob/master/Olympiad/infoarena/amici2-statement.txt&amp;sa=D&amp;ust=1605639800570000&amp;usg=AFQjCNF4Dopukj3l26wHe1Ofjtw8am5ExA" xr:uid="{B63DEB89-AC7A-4858-BE35-8D2F86EABA48}"/>
    <hyperlink ref="F998" r:id="rId1760" display="https://www.google.com/url?q=https://github.com/mostafa-saad/MyCompetitiveProgramming/blob/master/Olympiad/infoarena/infoarena_amici2.txt&amp;sa=D&amp;ust=1605639800571000&amp;usg=AFQjCNGjr2YqjAflaxSSn8L2wZB99JsjWA" xr:uid="{6485400D-9E75-4D79-ABE2-B00753D8EE08}"/>
    <hyperlink ref="B999" r:id="rId1761" display="https://www.google.com/url?q=https://cses.fi/100/list/&amp;sa=D&amp;ust=1605639800571000&amp;usg=AFQjCNHa_w0KtNdoJuletaZ611DquwbzwQ" xr:uid="{B391F472-94B6-4B0F-B9B0-3F5FB71055BA}"/>
    <hyperlink ref="F999" r:id="rId1762" display="https://www.google.com/url?q=https://github.com/mostafa-saad/MyCompetitiveProgramming/blob/master/Olympiad/Baltic/Baltic-11-Vikings.txt&amp;sa=D&amp;ust=1605639800571000&amp;usg=AFQjCNG6odyNtTe2Gjd-mXIVOGgtmRUoEQ" xr:uid="{D4C3120F-4706-41AC-875C-6360A3690DDD}"/>
    <hyperlink ref="B1000" r:id="rId1763" display="https://www.google.com/url?q=https://cses.fi/115/list/&amp;sa=D&amp;ust=1605639800571000&amp;usg=AFQjCNFBjsBJCz5g3LH5krcLXEwtE971HA" xr:uid="{62957998-A570-44CE-8E5F-97607EF125AA}"/>
    <hyperlink ref="F1000" r:id="rId1764" display="https://www.google.com/url?q=https://github.com/mostafa-saad/MyCompetitiveProgramming/blob/master/Olympiad/Baltic/official/boi2005_solutions&amp;sa=D&amp;ust=1605639800572000&amp;usg=AFQjCNFGd4jGmznpZoW2wiN9PCbs4NRE6Q" xr:uid="{EA09A129-46ED-4AEA-90ED-4638780A7C10}"/>
    <hyperlink ref="B1001" r:id="rId1765" display="https://www.google.com/url?q=https://szkopul.edu.pl/problemset/problem/fKO3YZL0f_UM1nHQNDvw7mku/site/&amp;sa=D&amp;ust=1605639800572000&amp;usg=AFQjCNE8_inoHkxgfoWyBU3E69jQCNhwQg" xr:uid="{79589990-FDCF-4452-8FEF-34BDF70953D3}"/>
    <hyperlink ref="F1001" r:id="rId1766" display="https://www.google.com/url?q=https://github.com/mostafa-saad/MyCompetitiveProgramming/blob/master/Olympiad/POI/official/find_editorial_sols_guidelines.txt&amp;sa=D&amp;ust=1605639800572000&amp;usg=AFQjCNGCkeuEVspc08H2CBWHivh2bkDZMA" xr:uid="{1EA84F6A-1EB6-4952-8D09-8F8C4DE9510E}"/>
    <hyperlink ref="B1002" r:id="rId1767" display="https://www.google.com/url?q=https://www.infoarena.ro/problema/grea&amp;sa=D&amp;ust=1605639800574000&amp;usg=AFQjCNHUTcIE0L5eIrbsEFxuVJnJStNa2g" xr:uid="{E6A948EF-910A-4B3F-AE2D-2383DD5E77C1}"/>
    <hyperlink ref="F1002" r:id="rId1768" display="https://www.google.com/url?q=https://github.com/stefdasca/CompetitiveProgramming/blob/master/Infoarena/grea.cpp&amp;sa=D&amp;ust=1605639800574000&amp;usg=AFQjCNGzRQpW6tw67bGKW856F6pz9ntywg" xr:uid="{698B0FD7-1880-420E-87BB-E9F9F70D17F4}"/>
    <hyperlink ref="B1003" r:id="rId1769" display="https://www.google.com/url?q=https://szkopul.edu.pl/problemset/problem/EijIYL4qkxxGJGHaVVnvdmgY/site/&amp;sa=D&amp;ust=1605639800575000&amp;usg=AFQjCNGrZ1PsoTkoKSjN2kXI1iLMf11d0g" xr:uid="{EFBE0048-2478-4705-BED4-4E19010A9218}"/>
    <hyperlink ref="F1003" r:id="rId1770" display="https://www.google.com/url?q=https://github.com/mostafa-saad/MyCompetitiveProgramming/blob/master/Olympiad/POI/official/find_editorial_sols_guidelines.txt&amp;sa=D&amp;ust=1605639800575000&amp;usg=AFQjCNE1FTy8E9hlktzapId0YFURd9SHJw" xr:uid="{0C7309A2-460F-4357-B282-856F7B6A4401}"/>
    <hyperlink ref="B1004" r:id="rId1771" display="https://www.google.com/url?q=https://szkopul.edu.pl/problemset/problem/gDw3iFkeVm7ZA3j_16-XR7jI/site/&amp;sa=D&amp;ust=1605639800575000&amp;usg=AFQjCNFERaHRChoIqRDluHRTJxVF-lWSkg" xr:uid="{0A5011C2-4D8C-4081-B9F0-142C4C613C10}"/>
    <hyperlink ref="F1004" r:id="rId1772" display="https://www.google.com/url?q=https://github.com/mostafa-saad/MyCompetitiveProgramming/blob/master/Olympiad/POI/official/find_editorial_sols_guidelines.txt&amp;sa=D&amp;ust=1605639800576000&amp;usg=AFQjCNHXlKePc9FMZWpyTwjGaJKtss8Pmw" xr:uid="{B3B810EE-63A3-4F56-8AE6-480829A67E2F}"/>
    <hyperlink ref="B1005" r:id="rId1773" display="https://www.google.com/url?q=https://cses.fi/100/list/&amp;sa=D&amp;ust=1605639800576000&amp;usg=AFQjCNHcKzTXNfqiTR5T0me4VYjvcWqSMQ" xr:uid="{2EA3E742-3021-42C4-9F57-59990AA20614}"/>
    <hyperlink ref="F1005" r:id="rId1774" display="https://www.google.com/url?q=https://github.com/mostafa-saad/MyCompetitiveProgramming/blob/master/Olympiad/Baltic/Baltic-11-Lamp.txt&amp;sa=D&amp;ust=1605639800576000&amp;usg=AFQjCNF24vKuUDNqgzCOexYNZrxyZnl7-A" xr:uid="{A786F662-D278-4CB9-9F26-3A482D1C0E39}"/>
    <hyperlink ref="B1006" r:id="rId1775" display="https://www.google.com/url?q=https://dunjudge.me/analysis/problems/150/&amp;sa=D&amp;ust=1605639800577000&amp;usg=AFQjCNFFKu50uYVRSPR9Nqky5jAxKaVFUQ" xr:uid="{335ADD8E-5310-413E-B08F-4C05F37CB45D}"/>
    <hyperlink ref="F1006" r:id="rId1776" display="https://www.google.com/url?q=https://github.com/mostafa-saad/MyCompetitiveProgramming/blob/master/Olympiad/NOI/official&amp;sa=D&amp;ust=1605639800577000&amp;usg=AFQjCNE0jhYgJhxd3VBqquNANV72R28TFA" xr:uid="{53DA73A8-369E-4213-9382-3C8451ED12BA}"/>
    <hyperlink ref="B1007" r:id="rId1777" display="https://www.google.com/url?q=https://oj.uz/problem/view/NOI12_pancake&amp;sa=D&amp;ust=1605639800577000&amp;usg=AFQjCNGomNlGPhRJVvE89x6zo45ErziH8Q" xr:uid="{C31FB693-6C14-4C42-82CC-9AC7FF661255}"/>
    <hyperlink ref="F1007" r:id="rId1778" display="https://www.google.com/url?q=https://www.comp.nus.edu.sg/~noi/2012/2012_soln.pdf&amp;sa=D&amp;ust=1605639800577000&amp;usg=AFQjCNHVQAzqdePwMUUT0aU11DAYayiyWg" xr:uid="{C01C67ED-0320-4BDA-92A8-4E65AF21FF98}"/>
    <hyperlink ref="B1008" r:id="rId1779" display="https://www.google.com/url?q=https://codeforces.com/group/swEqtABRxe/contest/243430/problem/B&amp;sa=D&amp;ust=1605639800578000&amp;usg=AFQjCNEzFN-wu5dEIKUFNOqoTVp-kOISGg" xr:uid="{37B2D0D2-725F-43F0-B854-21B229C0B17F}"/>
    <hyperlink ref="B1009" r:id="rId1780" display="https://www.google.com/url?q=https://dmoj.ca/problem/coci06c1p4&amp;sa=D&amp;ust=1605639800578000&amp;usg=AFQjCNHUy9L0_QcFLBRQv8BN3xEka3ydKg" xr:uid="{87D9AB84-185F-4A03-B675-E54669A669C6}"/>
    <hyperlink ref="F1009" r:id="rId1781" display="https://www.google.com/url?q=https://github.com/mostafa-saad/MyCompetitiveProgramming/tree/master/Olympiad/COCI/official/2007/contest1_solutions&amp;sa=D&amp;ust=1605639800579000&amp;usg=AFQjCNEb78gI95a4Uv6mZBrK5H7Y_XUDVw" xr:uid="{8F0D7FE0-B9A2-419A-9C86-C4B5A6C4D99F}"/>
    <hyperlink ref="B1010" r:id="rId1782" display="https://www.google.com/url?q=https://szkopul.edu.pl/problemset/problem/xDISetKx9cPPrOT_t2ZqgEyr/site/&amp;sa=D&amp;ust=1605639800585000&amp;usg=AFQjCNFHKdE2kSJ_52_nxQ3nr_9k9CuS9w" xr:uid="{9D647261-BAD6-4590-8986-638940369F5B}"/>
    <hyperlink ref="F1010" r:id="rId1783" display="https://www.google.com/url?q=https://github.com/mostafa-saad/MyCompetitiveProgramming/blob/master/Olympiad/POI/official/find_editorial_sols_guidelines.txt&amp;sa=D&amp;ust=1605639800585000&amp;usg=AFQjCNFitMZaukdLgQESkAn8rNeRAr05Tg" xr:uid="{BA539ED7-9DD7-416B-93F4-DA282F3EB247}"/>
    <hyperlink ref="B1011" r:id="rId1784" display="https://www.google.com/url?q=https://dunjudge.me/analysis/problems/1380/&amp;sa=D&amp;ust=1605639800585000&amp;usg=AFQjCNGDjmDXTsXQKX1cdvycoDIfjm64lg" xr:uid="{5A4D0A65-04FD-49FF-B461-0F861A6663E0}"/>
    <hyperlink ref="F1011" r:id="rId1785" display="https://www.google.com/url?q=https://github.com/mostafa-saad/MyCompetitiveProgramming/blob/master/Olympiad/COCI/official/2013/contest5_solutions&amp;sa=D&amp;ust=1605639800586000&amp;usg=AFQjCNExqUCJqnN6H24yLHrhU2EyHfj3FQ" xr:uid="{4103AB56-3FFC-4338-97BE-30FB9F9EAB96}"/>
    <hyperlink ref="B1012" r:id="rId1786" display="https://www.google.com/url?q=https://dunjudge.me/analysis/problems/592/&amp;sa=D&amp;ust=1605639800586000&amp;usg=AFQjCNHPseVZ5NdtHWV2C76DSDzi-KANqw" xr:uid="{6A0AE142-EA6F-473E-8618-88152DA2C8BB}"/>
    <hyperlink ref="B1013" r:id="rId1787" display="https://www.google.com/url?q=https://dunjudge.me/analysis/problems/679/&amp;sa=D&amp;ust=1605639800586000&amp;usg=AFQjCNGxPOp0dhXtU3BDU1AlBrDWSVTSgg" xr:uid="{0856286B-D19A-4AC6-BF49-F161E8938FED}"/>
    <hyperlink ref="B1014" r:id="rId1788" display="https://www.google.com/url?q=https://oj.uz/problem/view/NOI18_citymapping&amp;sa=D&amp;ust=1605639800587000&amp;usg=AFQjCNGziKHaq5GzygpNouImoIRq4hO7-A" xr:uid="{2222807D-3FC7-4D66-8E94-461DC7F1ECBD}"/>
    <hyperlink ref="F1014" r:id="rId1789" display="https://www.google.com/url?q=https://github.com/mostafa-saad/MyCompetitiveProgramming/blob/master/Olympiad/NOI/NOI-18-citymapping.txt&amp;sa=D&amp;ust=1605639800587000&amp;usg=AFQjCNFP3D6nlGAS5q-Q2Ez_a2oKXrvq4Q" xr:uid="{3273836F-8B64-4315-9734-BBDCDEBAF054}"/>
    <hyperlink ref="B1015" r:id="rId1790" display="https://www.google.com/url?q=https://oj.uz/problem/view/IOI13_dreaming&amp;sa=D&amp;ust=1605639800587000&amp;usg=AFQjCNFcEfDZHiipshhozSos4jzOGK_vDQ" xr:uid="{311062FE-04B6-4A7F-BCC8-A681B857196E}"/>
    <hyperlink ref="F1015" r:id="rId1791" display="https://www.google.com/url?q=https://github.com/MohamedAhmed04/Competitive-programming/blob/master/IOI/IOI%25202013-Dreaming.cpp&amp;sa=D&amp;ust=1605639800588000&amp;usg=AFQjCNH1b9k4LQPdgjSXwvT-WrrwJvmBQQ" xr:uid="{B4ABCF6F-C39A-4444-9F9C-AFA1E7FCD7D3}"/>
    <hyperlink ref="B1016" r:id="rId1792" display="https://www.google.com/url?q=https://oj.uz/problem/view/JOI14_space_pirate&amp;sa=D&amp;ust=1605639800588000&amp;usg=AFQjCNHJxigEKjsGscDpPdmq-UODgqJZLA" xr:uid="{3F5C1DB6-0723-4C24-908A-6487B337F3F5}"/>
    <hyperlink ref="B1017" r:id="rId1793" display="https://www.google.com/url?q=https://csacademy.com/contest/ejoi-2017-day-2/task/experience/&amp;sa=D&amp;ust=1605639800588000&amp;usg=AFQjCNGgC5_MAdwHTB-kx6HHA-s3Sa2LUg" xr:uid="{312ADC2B-A559-4061-A638-2D4F7977A5D8}"/>
    <hyperlink ref="B1018" r:id="rId1794" display="https://www.google.com/url?q=https://tioj.ck.tp.edu.tw/problems/1748&amp;sa=D&amp;ust=1605639800589000&amp;usg=AFQjCNHfkOWd1C2BLlaLjWnM_-tP6T6_SQ" xr:uid="{C37010DB-C689-4FE8-BB0E-B27A096D0D75}"/>
    <hyperlink ref="F1018" r:id="rId1795" display="https://www.google.com/url?q=https://github.com/mostafa-saad/MyCompetitiveProgramming/blob/master/Olympiad/APIO/APIO-11-Color.txt&amp;sa=D&amp;ust=1605639800589000&amp;usg=AFQjCNH4kXcpwwZ4u9xudUe1rpMCj4efug" xr:uid="{968DAE19-D0EB-4519-81D5-CD14E8D155ED}"/>
    <hyperlink ref="B1019" r:id="rId1796" display="https://www.google.com/url?q=https://szkopul.edu.pl/problemset/problem/z0rincXf7fi157ycO_Sl0bCb/site/&amp;sa=D&amp;ust=1605639800589000&amp;usg=AFQjCNE9I0Nk_dAOyqvw32pNXIQNpKa4JQ" xr:uid="{DEBD91D1-F077-48FB-ABE8-47D521074A21}"/>
    <hyperlink ref="F1019" r:id="rId1797" display="https://www.google.com/url?q=https://github.com/mostafa-saad/MyCompetitiveProgramming/blob/master/Olympiad/POI/official/find_editorial_sols_guidelines.txt&amp;sa=D&amp;ust=1605639800590000&amp;usg=AFQjCNGA-Ba27gsN50edlnKMU1QxWuTvZA" xr:uid="{8E294973-9AC8-4078-872D-F16E9D54625C}"/>
    <hyperlink ref="B1020" r:id="rId1798" display="https://www.google.com/url?q=https://dunjudge.me/analysis/problems/762/&amp;sa=D&amp;ust=1605639800591000&amp;usg=AFQjCNFWyi4E1JHEQZR_MQPhzBwUXF0ZUw" xr:uid="{988750FB-4B64-41DF-BC45-E961DA209D9E}"/>
    <hyperlink ref="F1020" r:id="rId1799" display="https://www.google.com/url?q=https://ivaniscoding.wordpress.com/2018/08/25/communication-2-navigation/&amp;sa=D&amp;ust=1605639800591000&amp;usg=AFQjCNFFqdtPLgAhbgliDmU-S3p8nCfzdw" xr:uid="{031A6C77-D60F-4670-B1CF-CD3951C79525}"/>
    <hyperlink ref="B1021" r:id="rId1800" display="https://www.google.com/url?q=https://szkopul.edu.pl/problemset/problem/pBkLSmvYN2S1-4G9s8UqOB7s/site/&amp;sa=D&amp;ust=1605639800591000&amp;usg=AFQjCNH7qC2j6zjCTGnKsv45xh0BwcTEWg" xr:uid="{BAE0BA95-B7D7-48A0-853D-7590E1422489}"/>
    <hyperlink ref="F1021" r:id="rId1801" display="https://www.google.com/url?q=https://github.com/mostafa-saad/MyCompetitiveProgramming/blob/master/Olympiad/POI/POI-09-Code.txt&amp;sa=D&amp;ust=1605639800591000&amp;usg=AFQjCNHz53elSkDzxgSgGS_Y8S2GeV7A7Q" xr:uid="{6546CF01-6945-47A6-B078-07FD4BDD06C7}"/>
    <hyperlink ref="B1022" r:id="rId1802" display="https://www.google.com/url?q=https://oj.uz/problem/view/BOI15_fil&amp;sa=D&amp;ust=1605639800592000&amp;usg=AFQjCNFxs7bINcXLc9QXwBfxgozHee6e_Q" xr:uid="{896F988E-104F-4217-816D-C483240441E6}"/>
    <hyperlink ref="F1022" r:id="rId1803" display="https://www.google.com/url?q=https://github.com/mostafa-saad/MyCompetitiveProgramming/blob/master/Olympiad/Baltic/Baltic-15-fil.txt&amp;sa=D&amp;ust=1605639800592000&amp;usg=AFQjCNFw90nTq7kjSNji0OsLKFVIdN1Aeg" xr:uid="{19B206CF-C9B4-44A2-B808-45CD94768E3B}"/>
    <hyperlink ref="B1023" r:id="rId1804" display="https://www.google.com/url?q=https://dmoj.ca/problem/coi06p3&amp;sa=D&amp;ust=1605639800592000&amp;usg=AFQjCNEkwZGiof-2uRK7cC2umt5hyIuk2Q" xr:uid="{DC9427D3-60AC-4F77-9911-1A06920B3CF7}"/>
    <hyperlink ref="F1023" r:id="rId1805" display="https://www.google.com/url?q=https://github.com/mostafa-saad/MyCompetitiveProgramming/tree/master/Olympiad/COCI/official/2007/olympiad_solutions&amp;sa=D&amp;ust=1605639800592000&amp;usg=AFQjCNHjw-PqLauUZuQwb-95k2Tv4PfTaQ" xr:uid="{6E5CB33B-6BCE-4B8B-BA79-521144DB9898}"/>
    <hyperlink ref="B1024" r:id="rId1806" display="https://www.google.com/url?q=https://dmoj.ca/problem/coci14c7p6&amp;sa=D&amp;ust=1605639800593000&amp;usg=AFQjCNE7j4oirAqr5KAHZISuFapzVVH2Wg" xr:uid="{E7A1C02C-6033-4B86-BC95-A939F9EBCC5E}"/>
    <hyperlink ref="F1024" r:id="rId1807" display="https://www.google.com/url?q=https://github.com/mostafa-saad/MyCompetitiveProgramming/blob/master/Olympiad/COCI/COCI-14-Police.txt&amp;sa=D&amp;ust=1605639800593000&amp;usg=AFQjCNGqTowoJRzHmjhmr-WXssOraqfAXw" xr:uid="{08007F11-2DF9-45D3-A28A-6D16D56A95FB}"/>
    <hyperlink ref="B1025" r:id="rId1808" display="https://www.google.com/url?q=https://oj.uz/problems/source/245&amp;sa=D&amp;ust=1605639800593000&amp;usg=AFQjCNGqSWM8tzaB5FSEAI2yelIRwTMVDA" xr:uid="{A3905666-7FA9-4C31-BD85-34747860B669}"/>
    <hyperlink ref="F1025" r:id="rId1809" display="https://www.google.com/url?q=https://github.com/luciocf/OI-Problems/blob/master/CEOI/CEOI%25202015/potemkin.cpp&amp;sa=D&amp;ust=1605639800594000&amp;usg=AFQjCNEgDekkfRlDg1cuo4YV-ynDzPG1Eg" xr:uid="{50B2C9D9-85BA-41FE-83C5-410515663907}"/>
    <hyperlink ref="B1026" r:id="rId1810" display="https://www.google.com/url?q=https://infoarena.ro/problema/paintball&amp;sa=D&amp;ust=1605639800594000&amp;usg=AFQjCNH-pzslqhCS6rLQZcyITcvRpSahEA" xr:uid="{851D6984-BEB4-4D68-B51A-B0AB104A5E97}"/>
    <hyperlink ref="F1026" r:id="rId1811" display="https://www.google.com/url?q=https://github.com/mostafa-saad/MyCompetitiveProgramming/blob/master/Olympiad/infoarena/infoarena-paintball.txt&amp;sa=D&amp;ust=1605639800594000&amp;usg=AFQjCNFy9Ht-ClShCbRum9LUO44_bzqdmQ" xr:uid="{8085427D-CD85-47DD-B3DC-F666393F1F35}"/>
    <hyperlink ref="B1027" r:id="rId1812" display="https://www.google.com/url?q=http://usaco.org/index.php?page%3Dviewproblem2%26cpid%3D842&amp;sa=D&amp;ust=1605639800594000&amp;usg=AFQjCNEeNTczCXI9lgCJXNt0hZrnNIJQDw" xr:uid="{3BD7F24C-AE9E-432B-9DD0-6B146BE2941E}"/>
    <hyperlink ref="F1027" r:id="rId1813" display="https://www.google.com/url?q=https://github.com/luciocf/OI-Problems/blob/master/USACO/USACO%25202017-2018/Plat/US%2520Open/disrupt.cpp&amp;sa=D&amp;ust=1605639800595000&amp;usg=AFQjCNENVMHyAWRp8CAUaaK9kXCvp0ckew" xr:uid="{DCA26229-8064-4BF3-B758-4E23C9E1E4F9}"/>
    <hyperlink ref="B1028" r:id="rId1814" display="https://www.google.com/url?q=https://oj.uz/problem/view/IOI11_garden&amp;sa=D&amp;ust=1605639800595000&amp;usg=AFQjCNEYaRJE4k4cLn1KBCyE24FrWpW23A" xr:uid="{F2A8CB1C-13B8-4F2E-94DE-6331F04FC38F}"/>
    <hyperlink ref="F1028" r:id="rId1815" display="https://www.google.com/url?q=https://github.com/mostafa-saad/MyCompetitiveProgramming/blob/master/Olympiad/IOI/IOI-11-garden.txt&amp;sa=D&amp;ust=1605639800595000&amp;usg=AFQjCNGHs8XnAw1S5xHpmjQ665qTV_OkBQ" xr:uid="{512E3CB1-D6FF-4BA2-B51C-A7182DD1B892}"/>
    <hyperlink ref="B1029" r:id="rId1816" display="https://www.google.com/url?q=https://oj.uz/problem/view/IOI08_islands&amp;sa=D&amp;ust=1605639800596000&amp;usg=AFQjCNEF4xk1mAYxmAir09drvEEgsJyTWQ" xr:uid="{852237DA-C76D-4FA7-A724-3D118A16382B}"/>
    <hyperlink ref="F1029" r:id="rId1817" display="https://www.google.com/url?q=https://github.com/mostafa-saad/MyCompetitiveProgramming/blob/master/Olympiad/IOI/official/2008&amp;sa=D&amp;ust=1605639800596000&amp;usg=AFQjCNG88pNaCNKpGenbRcfLkJhY1WAZTg" xr:uid="{8CF50583-D32E-49EF-823B-17AFED13340D}"/>
    <hyperlink ref="B1030" r:id="rId1818" display="https://www.google.com/url?q=https://oj.uz/problem/view/CEOI18_toy&amp;sa=D&amp;ust=1605639800597000&amp;usg=AFQjCNHjzNBgGkkAAWH-dQZjFP1fpddVWg" xr:uid="{BB43E472-4AB0-43B3-9320-E2EB5BB61D81}"/>
    <hyperlink ref="F1030" r:id="rId1819" display="https://www.google.com/url?q=https://github.com/tmwilliamlin168/CompetitiveProgramming/blob/master/CEOI/18-Toy.cpp&amp;sa=D&amp;ust=1605639800597000&amp;usg=AFQjCNEz_AeznGovwiCdkYnvg1aKXCWfhA" xr:uid="{ABD29F6F-6447-4ED5-8E19-4818ECB171D0}"/>
    <hyperlink ref="B1031" r:id="rId1820" display="https://www.google.com/url?q=https://oj.uz/problem/view/COCI17_usmjeri&amp;sa=D&amp;ust=1605639800597000&amp;usg=AFQjCNEfZvl6KxQiubTO3buB90ww0AilUA" xr:uid="{BFD73D91-3E6D-45BF-929F-2476209775EA}"/>
    <hyperlink ref="F1031" r:id="rId1821" display="https://www.google.com/url?q=https://github.com/mostafa-saad/MyCompetitiveProgramming/blob/master/Olympiad/COCI/official/2018/contest2_solutions&amp;sa=D&amp;ust=1605639800598000&amp;usg=AFQjCNHy-iQ8j_Q5tQ-SYwI8SU7RrIuJbA" xr:uid="{89BD9509-DAD9-454E-8D40-038183388A2B}"/>
    <hyperlink ref="B1032" r:id="rId1822" display="https://www.google.com/url?q=https://boi18-day1-open.kattis.com/problems&amp;sa=D&amp;ust=1605639800598000&amp;usg=AFQjCNEYFytMzO03-LZlEejMu2mReJpUng" xr:uid="{01A3F108-6AF3-4538-AF1D-DECA45C55FF8}"/>
    <hyperlink ref="F1032" r:id="rId1823" display="https://www.google.com/url?q=https://github.com/updown2/OI-Practice/blob/master/BOI/2018/Love%2520Polygon.txt&amp;sa=D&amp;ust=1605639800598000&amp;usg=AFQjCNGyTHYpZ2Fnl6JTp-d3RhNHL_DwJQ" xr:uid="{4C44464B-DC11-43B3-96DF-A1C0545FBCA1}"/>
    <hyperlink ref="B1033" r:id="rId1824" display="https://www.google.com/url?q=https://www.infoarena.ro/problema/treesearch&amp;sa=D&amp;ust=1605639800599000&amp;usg=AFQjCNEajTV3LeFvK8F_RbJUxsZjIsZnoA" xr:uid="{22B836A9-15BE-4E91-BEAB-8F033B81BF62}"/>
    <hyperlink ref="F1033" r:id="rId1825" display="https://www.google.com/url?q=https://github.com/stefdasca/CompetitiveProgramming/blob/master/Infoarena/treesearch.cpp&amp;sa=D&amp;ust=1605639800599000&amp;usg=AFQjCNHJihJpzRWvCfw77c_6b1anxoTysA" xr:uid="{1A0DA1D9-CBFC-4083-B20C-A95994B539A0}"/>
    <hyperlink ref="B1034" r:id="rId1826" display="https://www.google.com/url?q=https://szkopul.edu.pl/problemset/problem/kZ-a2gIkpjJEOzq6pJ5jUW7f/site/&amp;sa=D&amp;ust=1605639800599000&amp;usg=AFQjCNEW6cFrjeVzTYVBlxVH3-WpDpCZ5A" xr:uid="{E4998450-C4EB-4927-AFF4-93C6024B0C70}"/>
    <hyperlink ref="F1034" r:id="rId1827" display="https://www.google.com/url?q=https://github.com/mostafa-saad/MyCompetitiveProgramming/blob/master/Olympiad/POI/POI-09-Fire.txt&amp;sa=D&amp;ust=1605639800599000&amp;usg=AFQjCNHgvAD-yH8sWXyFV0SSjSi8kLLcAg" xr:uid="{480DC9FD-7F0C-469E-A4BC-FF49174A9412}"/>
    <hyperlink ref="B1035" r:id="rId1828" display="https://www.google.com/url?q=https://joi2016ho.contest.atcoder.jp/tasks/joi2016ho_c&amp;sa=D&amp;ust=1605639800600000&amp;usg=AFQjCNEqarK16K9ooHQ0iWV-zTU3sLHtOA" xr:uid="{C1A20241-8E9F-4182-8497-BAB972E0A31E}"/>
    <hyperlink ref="B1036" r:id="rId1829" display="https://www.google.com/url?q=https://joisc2013-day2.contest.atcoder.jp/tasks/joisc2013_spy&amp;sa=D&amp;ust=1605639800600000&amp;usg=AFQjCNG8kjgY2PONyK7zV6LqiS4cFFcRXQ" xr:uid="{29492C9A-4DBF-4C5A-87F5-EC0B6BAF72D7}"/>
    <hyperlink ref="B1037" r:id="rId1830" display="https://www.google.com/url?q=https://dmoj.ca/problem/coci06c6p4&amp;sa=D&amp;ust=1605639800602000&amp;usg=AFQjCNEpL9Cm6xZZepduAw2ypOTyF-8iyQ" xr:uid="{EA556890-AA1E-4456-A77D-39DA83594BA5}"/>
    <hyperlink ref="F1037" r:id="rId1831" display="https://www.google.com/url?q=https://github.com/mostafa-saad/MyCompetitiveProgramming/blob/master/Olympiad/CEOI/COCI-06-Kamen.txt&amp;sa=D&amp;ust=1605639800602000&amp;usg=AFQjCNFE6wpyLF2XmT4Wcrk9YEOk6h3abQ" xr:uid="{94A398E8-1D03-49D7-A40C-6ED605116FF2}"/>
    <hyperlink ref="B1038" r:id="rId1832" display="https://www.google.com/url?q=https://szkopul.edu.pl/problemset/problem/w3YAoAT3ej27YeiaNWjK57_G/site/&amp;sa=D&amp;ust=1605639800602000&amp;usg=AFQjCNG-RY-TKF_ljJlWx8N53fXCN77pmw" xr:uid="{3B61E5D9-5AE1-420D-AB70-BDC1F73D8271}"/>
    <hyperlink ref="F1038" r:id="rId1833" display="https://www.google.com/url?q=https://github.com/mostafa-saad/MyCompetitiveProgramming/blob/master/Olympiad/POI/POI-08-Mafia.txt&amp;sa=D&amp;ust=1605639800603000&amp;usg=AFQjCNFOUIZEnMH2eLiF-012pYv8njeKJA" xr:uid="{D43EC75C-91A4-473C-985F-E397D9699613}"/>
    <hyperlink ref="B1039" r:id="rId1834" display="https://www.google.com/url?q=https://oj.uz/problem/view/COCI17_poklon7&amp;sa=D&amp;ust=1605639800603000&amp;usg=AFQjCNHfUU3VtuHTLmRwqrxrRMNdfWig-g" xr:uid="{54D8FDD2-4616-4464-9174-7ADDAFE80751}"/>
    <hyperlink ref="F1039" r:id="rId1835" display="https://www.google.com/url?q=https://github.com/mostafa-saad/MyCompetitiveProgramming/blob/master/Olympiad/COCI/official/2017/contest7_solutions&amp;sa=D&amp;ust=1605639800603000&amp;usg=AFQjCNF2_Q1Bo8N6T83d755i9m3XYlWfBA" xr:uid="{E78538CA-F41E-47FF-99BE-449BFAD8E5F1}"/>
    <hyperlink ref="B1040" r:id="rId1836" display="https://www.google.com/url?q=https://oj.uz/problem/view/COCI17_ronald&amp;sa=D&amp;ust=1605639800604000&amp;usg=AFQjCNHHP-cof45yswfHQ59y89KkAha0kQ" xr:uid="{C67F408F-C2B9-4D36-BCE0-759F33575D21}"/>
    <hyperlink ref="F1040" r:id="rId1837" display="https://www.google.com/url?q=https://github.com/mostafa-saad/MyCompetitiveProgramming/blob/master/Olympiad/COCI/official/2017/contest5_solutions&amp;sa=D&amp;ust=1605639800604000&amp;usg=AFQjCNEhKLUE26oTo9Fox2iumNsdIdBfhg" xr:uid="{3D5DA21D-936D-42CC-8A72-3580CA1249F5}"/>
    <hyperlink ref="B1041" r:id="rId1838" display="https://www.google.com/url?q=https://oj.uz/problem/view/BOI13_tracks&amp;sa=D&amp;ust=1605639800604000&amp;usg=AFQjCNE5yoe39A670Acqozan-D9btBuzEA" xr:uid="{21078B8C-449C-4B64-8DE7-C5CF61A576E0}"/>
    <hyperlink ref="F1041" r:id="rId1839" display="https://www.google.com/url?q=https://github.com/mostafa-saad/MyCompetitiveProgramming/blob/master/Olympiad/Baltic/Baltic-13-tracks.txt&amp;sa=D&amp;ust=1605639800605000&amp;usg=AFQjCNFGxkb-3zNopF2cCqDilGOWjuxUwQ" xr:uid="{981EDCD7-B757-439B-B4BE-4B20A894DBCA}"/>
    <hyperlink ref="B1042" r:id="rId1840" display="https://www.google.com/url?q=https://oj.uz/problem/view/POI11_ins&amp;sa=D&amp;ust=1605639800605000&amp;usg=AFQjCNEgIQNnXCxSCtrwQfHYlXINSLg2xQ" xr:uid="{E2A53C5E-BD27-4183-86A9-B1FC1EB17296}"/>
    <hyperlink ref="F1042" r:id="rId1841" display="https://www.google.com/url?q=https://github.com/mostafa-saad/MyCompetitiveProgramming/blob/master/Olympiad/POI/POI-11-ins.txt&amp;sa=D&amp;ust=1605639800605000&amp;usg=AFQjCNGaISNe_gwJACUp59PC_KlYPzkHlw" xr:uid="{F2750D94-817D-4631-8569-C1653318AC4F}"/>
    <hyperlink ref="B1043" r:id="rId1842" display="https://www.google.com/url?q=https://dunjudge.me/analysis/problems/960/&amp;sa=D&amp;ust=1605639800606000&amp;usg=AFQjCNEUyuNyPrt3T3mUPBTBBhYq-KvD_w" xr:uid="{9CEDF057-3D5B-4631-84D6-11CCA4F6D7C8}"/>
    <hyperlink ref="F1043" r:id="rId1843" display="https://www.google.com/url?q=https://github.com/mostafa-saad/MyCompetitiveProgramming/tree/master/Olympiad/MCO/official&amp;sa=D&amp;ust=1605639800606000&amp;usg=AFQjCNEdiVgLvZ5MRZoM6zoIRIx8ti3rlQ" xr:uid="{BC7BEF3A-951F-4BCB-BD73-40FD0AC912F0}"/>
    <hyperlink ref="B1044" r:id="rId1844" display="https://www.google.com/url?q=https://oj.uz/problem/view/NOI12_forensic&amp;sa=D&amp;ust=1605639800606000&amp;usg=AFQjCNFmsFbrTGOpDUCLCQxuPgGlxexBKQ" xr:uid="{0EC96777-AEDA-4D7C-B082-0E0F2F703C39}"/>
    <hyperlink ref="F1044" r:id="rId1845" display="https://www.google.com/url?q=https://github.com/mostafa-saad/MyCompetitiveProgramming/blob/master/Olympiad/NOI/official/2011.pptx&amp;sa=D&amp;ust=1605639800606000&amp;usg=AFQjCNF-Hr2zLlZAEWzCFztOVyGTOZaurA" xr:uid="{EFF29869-C1E0-4314-89E1-300A8FE9ECA2}"/>
    <hyperlink ref="B1045" r:id="rId1846" display="https://www.google.com/url?q=https://szkopul.edu.pl/problemset/problem/sKmyIHBMNi9EV3WO6GQ4xoFt/site/&amp;sa=D&amp;ust=1605639800607000&amp;usg=AFQjCNFAalFDzrqdfNa5vtrrIwMqG50sTA" xr:uid="{60CFBF5B-5B42-481D-AFE5-D75AF8152005}"/>
    <hyperlink ref="F1045" r:id="rId1847" display="https://www.google.com/url?q=https://github.com/mostafa-saad/MyCompetitiveProgramming/blob/master/Olympiad/POI/official/find_editorial_sols_guidelines.txt&amp;sa=D&amp;ust=1605639800607000&amp;usg=AFQjCNE-UQ602fMJyMi0pH8OsldE86lHrw" xr:uid="{F284A274-B703-450A-A5CC-45320630ED3C}"/>
    <hyperlink ref="B1046" r:id="rId1848" display="https://www.google.com/url?q=https://wcipeg.com/problem/coci087p5&amp;sa=D&amp;ust=1605639800607000&amp;usg=AFQjCNFmHF09qYA52cwJLonC8ZlR_F6okQ" xr:uid="{DBCBB94A-2B5E-406A-847B-BC9D4A3D6280}"/>
    <hyperlink ref="F1046" r:id="rId1849" display="https://www.google.com/url?q=https://github.com/mostafa-saad/MyCompetitiveProgramming/blob/master/Olympiad/COCI/official/2009/regional_solutions&amp;sa=D&amp;ust=1605639800608000&amp;usg=AFQjCNFjKlPUSp30KHRTikhDqJKkVT_8OQ" xr:uid="{70367DFB-F00E-4B23-834E-158FFFB29A8C}"/>
    <hyperlink ref="F1047" r:id="rId1850" display="https://www.google.com/url?q=https://github.com/dolphingarlic/CompetitiveProgramming/blob/master/COI/COCI%252020-politicari.cpp&amp;sa=D&amp;ust=1605639800608000&amp;usg=AFQjCNE2nmNuHA5_a0oBG81V4qnD6rR_2A" xr:uid="{018EB9AF-2CB5-4DAC-BDC7-9625EBC1F2E7}"/>
    <hyperlink ref="B1048" r:id="rId1851" display="https://www.google.com/url?q=https://oj.uz/problem/view/COCI18_alkemija&amp;sa=D&amp;ust=1605639800665000&amp;usg=AFQjCNFLiU_qM5-TcYmMy3mCmkici_kqjg" xr:uid="{443E3CEB-610E-4016-BA34-B5A237C60FCB}"/>
    <hyperlink ref="B1049" r:id="rId1852" display="https://www.google.com/url?q=https://oj.uz/problem/view/COCI16_jetpack&amp;sa=D&amp;ust=1605639800666000&amp;usg=AFQjCNHxD8IYmnjBdAEWyI7MaqddeBdUjw" xr:uid="{A70616E9-9ACF-4271-84F4-9B53B5050FC6}"/>
    <hyperlink ref="F1049" r:id="rId1853" display="https://www.google.com/url?q=https://github.com/mostafa-saad/MyCompetitiveProgramming/blob/master/Olympiad/COCI/official/2017/contest1_solutions&amp;sa=D&amp;ust=1605639800666000&amp;usg=AFQjCNF9z-bkdt4RDj2UvL022Idc8gMuYw" xr:uid="{7822DD9E-B412-4AED-ACC5-FDC96D1EF174}"/>
    <hyperlink ref="B1050" r:id="rId1854" display="https://www.google.com/url?q=https://oj.uz/problem/view/COCI18_birokracija&amp;sa=D&amp;ust=1605639800667000&amp;usg=AFQjCNH7oiBNuYJvOVVon5aVgS-G-u36Ng" xr:uid="{983A72CA-D435-4CF7-81F1-9EF98BBA21CF}"/>
    <hyperlink ref="B1051" r:id="rId1855" display="https://www.google.com/url?q=https://dunjudge.me/analysis/problems/188/&amp;sa=D&amp;ust=1605639800668000&amp;usg=AFQjCNFPS0DvqZDPlzF6lytLdMgi9Rraew" xr:uid="{FF5A0DCB-9DFF-4463-8A65-A04DB38857B0}"/>
    <hyperlink ref="B1052" r:id="rId1856" display="https://www.google.com/url?q=https://oj.uz/problems/source/121&amp;sa=D&amp;ust=1605639800668000&amp;usg=AFQjCNHhxhmwy87d2stifEQE-Ag8pJSnkg" xr:uid="{C60B061A-75A6-4CFD-B9E4-7E05F2DFC9F8}"/>
    <hyperlink ref="F1052" r:id="rId1857" display="https://www.google.com/url?q=https://github.com/tmwilliamlin168/CompetitiveProgramming/blob/master/CEOI/14-Wall.cpp&amp;sa=D&amp;ust=1605639800669000&amp;usg=AFQjCNFErgs1hcPLRJ7zlHuaEIcOMM9ZUg" xr:uid="{04931C66-CC6E-4372-9F1D-ADF33993ABE6}"/>
    <hyperlink ref="B1053" r:id="rId1858" display="https://www.google.com/url?q=https://oj.uz/problem/view/JOI19_transportations&amp;sa=D&amp;ust=1605639800669000&amp;usg=AFQjCNGZQ6q-j2v7rSpSYHIxu9IVCelm_A" xr:uid="{4369A098-B434-4DFF-BCA3-71D431B3789E}"/>
    <hyperlink ref="B1054" r:id="rId1859" display="https://www.google.com/url?q=https://oj.uz/problem/view/IOI18_highway&amp;sa=D&amp;ust=1605639800670000&amp;usg=AFQjCNE5KmEMMKk-sVmU6MSDbt3Y56fjpg" xr:uid="{C1458AEB-E94B-4056-B61D-DF88663C0D96}"/>
    <hyperlink ref="F1054" r:id="rId1860" display="https://www.google.com/url?q=https://github.com/mostafa-saad/MyCompetitiveProgramming/blob/master/Olympiad/IOI/official/2018&amp;sa=D&amp;ust=1605639800670000&amp;usg=AFQjCNFKtu1NaDH_NGuap89VnarUouJNRA" xr:uid="{58A5E435-3199-4E21-BA76-B42599B55C0B}"/>
    <hyperlink ref="B1055" r:id="rId1861" display="https://www.google.com/url?q=https://www.acmicpc.net/problem/5250&amp;sa=D&amp;ust=1605639800672000&amp;usg=AFQjCNHKkwkExd8jIuW67wlvVegg9E6VPg" xr:uid="{6B0A5639-0D68-49F5-B76A-C88F131A4C05}"/>
    <hyperlink ref="F1055" r:id="rId1862" display="https://www.google.com/url?q=https://github.com/mostafa-saad/MyCompetitiveProgramming/blob/master/Olympiad/Balkan/Balkan-12-ShortestPaths.txt&amp;sa=D&amp;ust=1605639800673000&amp;usg=AFQjCNEc2jc5Zi0A4c1OPlcynDdYIH8udQ" xr:uid="{5365EABD-2FB2-4BEB-A81C-D607291680A1}"/>
    <hyperlink ref="B1056" r:id="rId1863" display="https://www.google.com/url?q=https://oj.uz/problem/view/JOI17_soccer&amp;sa=D&amp;ust=1605639800673000&amp;usg=AFQjCNG8eM2VvOZ4YijVkU3VxCe3s_ifpA" xr:uid="{0F329A68-0612-431F-8844-7F313144060A}"/>
    <hyperlink ref="F1056" r:id="rId1864" display="https://www.google.com/url?q=https://github.com/mostafa-saad/MyCompetitiveProgramming/tree/master/Olympiad/JOI/official/JOI/JOI-17-soccer.txt&amp;sa=D&amp;ust=1605639800673000&amp;usg=AFQjCNEE2Gwi4CCmNFlBPYPcnV4BXun-8g" xr:uid="{F254E3F4-3C3F-4259-AACD-7A7A62A17D05}"/>
    <hyperlink ref="B1057" r:id="rId1865" display="https://www.google.com/url?q=https://dunjudge.me/analysis/problems/706/&amp;sa=D&amp;ust=1605639800674000&amp;usg=AFQjCNGxH3ZlU81dkerYzoA4k7z-6kuPkg" xr:uid="{27D2C214-BA46-46CB-8522-766DDED28BC0}"/>
    <hyperlink ref="F1057" r:id="rId1866" display="https://www.google.com/url?q=https://github.com/mostafa-saad/MyCompetitiveProgramming/blob/master/Olympiad/NOI/official&amp;sa=D&amp;ust=1605639800674000&amp;usg=AFQjCNETJQlqAzyS7Ie0ulD_zwvsfg2eBA" xr:uid="{F0FB53E1-2224-4B83-9FFF-1F6C59A72916}"/>
    <hyperlink ref="B1058" r:id="rId1867" display="https://www.google.com/url?q=https://szkopul.edu.pl/problemset/problem/HH7LQVRVHom1g8YRe9423d1P/site/&amp;sa=D&amp;ust=1605639800675000&amp;usg=AFQjCNFacyDVmjItlyh2HJap590fSnpcVg" xr:uid="{CCD240B4-DAD4-453F-A2D9-F76183814A63}"/>
    <hyperlink ref="F1058" r:id="rId1868" display="https://www.google.com/url?q=https://github.com/mostafa-saad/MyCompetitiveProgramming/blob/master/Olympiad/POI/POI-06-Frogs.txt&amp;sa=D&amp;ust=1605639800675000&amp;usg=AFQjCNEl8GKbjH5-4SInZ6k7Z4ZmfJd9Pg" xr:uid="{20363E53-44B7-4936-9399-0ABD794999D5}"/>
    <hyperlink ref="B1059" r:id="rId1869" display="https://www.google.com/url?q=https://oj.uz/problem/view/BOI16_cities&amp;sa=D&amp;ust=1605639800675000&amp;usg=AFQjCNEtGfcaVjqwIikmEVgtCi671fSQuA" xr:uid="{855A4E30-1AE1-41A2-93EC-D647FA54386B}"/>
    <hyperlink ref="F1059" r:id="rId1870" display="https://www.google.com/url?q=https://github.com/tmwilliamlin168/CompetitiveProgramming/blob/master/BtOI/16-Cities.cpp&amp;sa=D&amp;ust=1605639800676000&amp;usg=AFQjCNF5SJCuX0YVLq5xnAw2GtyDm8c17g" xr:uid="{4FCBD69C-1B26-416F-B709-E1FA059DF08B}"/>
    <hyperlink ref="B1060" r:id="rId1871" display="https://www.google.com/url?q=https://cses.fi/112/list/&amp;sa=D&amp;ust=1605639800676000&amp;usg=AFQjCNGpIC22yFvEfaS6By522GWnxY3rlw" xr:uid="{089F2551-66F8-4B1F-89F1-9F43AE37E99D}"/>
    <hyperlink ref="F1060" r:id="rId1872" display="https://www.google.com/url?q=https://github.com/mostafa-saad/MyCompetitiveProgramming/blob/master/Olympiad/Baltic/Baltic-07-Fence.txt&amp;sa=D&amp;ust=1605639800676000&amp;usg=AFQjCNHfurXgN4-Tnu2yi8W0nwyECtqs-A" xr:uid="{3E3E7705-155C-4BC6-9348-ABB1FD562F7A}"/>
    <hyperlink ref="B1061" r:id="rId1873" display="https://www.google.com/url?q=https://oj.uz/problem/view/JOI20_ho_t4&amp;sa=D&amp;ust=1605639800677000&amp;usg=AFQjCNEanCzfSqgC4JYibwL_sU9zdFS35Q" xr:uid="{13CAB072-5BE4-4A5E-B643-0FC338F8BA19}"/>
    <hyperlink ref="F1061" r:id="rId1874" display="https://www.google.com/url?q=https://github.com/mostafa-saad/MyCompetitiveProgramming/tree/master/Olympiad/JOI/official/JOI/2020&amp;sa=D&amp;ust=1605639800677000&amp;usg=AFQjCNGrV0Xto2KXZ0oRiI5YGt2C2ZHB8A" xr:uid="{1ECD244F-166F-48B7-839E-6272D4077EF8}"/>
    <hyperlink ref="B1062" r:id="rId1875" display="https://www.google.com/url?q=https://joi2014ho.contest.atcoder.jp/tasks/joi2014ho4&amp;sa=D&amp;ust=1605639800677000&amp;usg=AFQjCNHaezJ4Im_0HPJwWH6yVKHFmuxeRw" xr:uid="{CFB7074B-9239-48DF-BA82-C121A52D9393}"/>
    <hyperlink ref="B1063" r:id="rId1876" display="https://www.google.com/url?q=https://oj.uz/problems/source/307&amp;sa=D&amp;ust=1605639800678000&amp;usg=AFQjCNHsHatg0_3lmF4MkYtIYtxg5VgnNA" xr:uid="{E304EEE3-CAD0-4E1C-9215-7AEDCAEB1F6D}"/>
    <hyperlink ref="F1063" r:id="rId1877" display="https://www.google.com/url?q=https://github.com/mostafa-saad/MyCompetitiveProgramming/blob/master/Olympiad/JOI/JOI-18-commuterpass.txt&amp;sa=D&amp;ust=1605639800678000&amp;usg=AFQjCNHauRXvn91UU5lU97QbxWZr-DGgQQ" xr:uid="{513D42C8-75B4-4CAD-B193-310EF031F920}"/>
    <hyperlink ref="B1064" r:id="rId1878" display="https://www.google.com/url?q=https://oj.uz/problem/view/COCI17_ceste&amp;sa=D&amp;ust=1605639800679000&amp;usg=AFQjCNEUUiJPNHhOETi5X3awqFFieotAFQ" xr:uid="{69B9B22B-79B2-4BB8-8AE7-3F0D8C3D1AF1}"/>
    <hyperlink ref="F1064" r:id="rId1879" display="https://www.google.com/url?q=https://github.com/MohamedAhmed04/Competitive-programming/blob/master/COCI/COCI%252017-Ceste.cpp&amp;sa=D&amp;ust=1605639800679000&amp;usg=AFQjCNET84vaoL6jHMBZVXhXBRwfzfyVIQ" xr:uid="{0D67390A-2740-472F-A6F1-7FCDD715990A}"/>
    <hyperlink ref="B1065" r:id="rId1880" display="https://www.google.com/url?q=https://szkopul.edu.pl/problemset/problem/4CirgBfxbj9tIAS2C7DWCCd7/site/?key%3Dstatement&amp;sa=D&amp;ust=1605639800679000&amp;usg=AFQjCNGR7aaDzW8KSrZMBqtY5lElbqaw2w" xr:uid="{D069DA11-7088-41C5-B7BA-CCDF515CF7A8}"/>
    <hyperlink ref="F1065" r:id="rId1881" display="https://www.google.com/url?q=https://github.com/mostafa-saad/MyCompetitiveProgramming/blob/master/Olympiad/POI/POI-03-sums.txt&amp;sa=D&amp;ust=1605639800680000&amp;usg=AFQjCNGq5HUqxkQAmlR3h0Py70_ejKTWrw" xr:uid="{593DA67F-5738-4753-84D0-A5ED94141D7E}"/>
    <hyperlink ref="B1066" r:id="rId1882" display="https://www.google.com/url?q=https://oj.uz/problem/view/IOI11_crocodile&amp;sa=D&amp;ust=1605639800680000&amp;usg=AFQjCNHj6J9_dDUZowmwHnk-4fQ6Wb2Dgg" xr:uid="{40E195ED-9A38-499C-AFB6-28803ED6D9FA}"/>
    <hyperlink ref="F1066" r:id="rId1883" display="https://www.google.com/url?q=http://www.ioi2011.or.th/hsc/tasks/solutions/crocodile.pdf&amp;sa=D&amp;ust=1605639800680000&amp;usg=AFQjCNG1jVFtsvfOBJMA4ngBihQIHFzqMQ" xr:uid="{D827EEA5-A9E1-46E6-85CC-BA6B402608DB}"/>
    <hyperlink ref="B1067" r:id="rId1884" display="https://www.google.com/url?q=https://oj.uz/problem/view/APIO15_skyscraper&amp;sa=D&amp;ust=1605639800681000&amp;usg=AFQjCNE0M6eZEmKXaNdcj9-sAbW1lL7kXA" xr:uid="{15D77D0E-2C46-4DC6-BDD0-9E68764999F1}"/>
    <hyperlink ref="F1067" r:id="rId1885" display="https://www.google.com/url?q=https://github.com/mostafa-saad/MyCompetitiveProgramming/blob/master/Olympiad/APIO/APIO-15-skyscraper.txt&amp;sa=D&amp;ust=1605639800681000&amp;usg=AFQjCNGBTNJ74tURx-k4UUX6kLpAJvE8OQ" xr:uid="{E7109FA6-8C30-4569-B7E8-21EAA837DC9A}"/>
    <hyperlink ref="B1068" r:id="rId1886" display="https://www.google.com/url?q=https://szkopul.edu.pl/problemset/problem/_L_YGzT5VYJO9zHTfVRwPjwh/site/&amp;sa=D&amp;ust=1605639800681000&amp;usg=AFQjCNGERBLMwkaTtsY47Mh2wM7HfiHogw" xr:uid="{6CD0F640-CF11-4B1A-BF29-65065F38E094}"/>
    <hyperlink ref="F1068" r:id="rId1887" display="https://www.google.com/url?q=https://github.com/mostafa-saad/MyCompetitiveProgramming/blob/master/Olympiad/POI/POI-07-Tourist.txt&amp;sa=D&amp;ust=1605639800682000&amp;usg=AFQjCNElwEKMrEJWJvlI9i7kwZy4Yh2hcg" xr:uid="{17B7815E-49E5-4FEE-B150-D1FB23E1A591}"/>
    <hyperlink ref="B1069" r:id="rId1888" display="https://www.google.com/url?q=https://oj.uz/problem/view/BOI14_portals&amp;sa=D&amp;ust=1605639800682000&amp;usg=AFQjCNH8lJjCsDsNr2trUD-cRhzxCbwbyw" xr:uid="{5F32B034-9374-4A77-AEE2-A787258FC1AE}"/>
    <hyperlink ref="F1069" r:id="rId1889" display="https://www.google.com/url?q=https://github.com/tmwilliamlin168/CompetitiveProgramming/blob/master/BtOI/14-Portals.cpp&amp;sa=D&amp;ust=1605639800682000&amp;usg=AFQjCNGY2GY8arvtm2fNI4ZquVdl6-CpYA" xr:uid="{9C6F3D47-3861-4092-B6F7-B3969A93B674}"/>
    <hyperlink ref="B1070" r:id="rId1890" display="https://www.google.com/url?q=https://joisc2013-day1.contest.atcoder.jp/tasks/joisc2013_bustour&amp;sa=D&amp;ust=1605639800683000&amp;usg=AFQjCNFYVERJJEgwaIaQlNgxfqXS_5-kVw" xr:uid="{5F0780B9-F8FE-44C5-8BE7-56133825672D}"/>
    <hyperlink ref="B1071" r:id="rId1891" display="https://www.google.com/url?q=https://wcipeg.com/problem/coi07p3&amp;sa=D&amp;ust=1605639800683000&amp;usg=AFQjCNFbNehf38dvLm1TRAwKdK2WSUYW4g" xr:uid="{28A28E4A-B51F-4FC2-82D2-5EA47BDD6A0F}"/>
    <hyperlink ref="F1071" r:id="rId1892" display="https://www.google.com/url?q=https://github.com/mostafa-saad/MyCompetitiveProgramming/blob/master/Olympiad/COI/COI-07-Tamnica.txt&amp;sa=D&amp;ust=1605639800684000&amp;usg=AFQjCNHAM8MnuORqPJ-uwmiOd4vIjt4z_A" xr:uid="{31AE4569-2490-4A82-80B1-8C204BE59B16}"/>
    <hyperlink ref="B1072" r:id="rId1893" display="https://www.google.com/url?q=https://csacademy.com/contest/ioi-2016-training-round-1/task/hallway&amp;sa=D&amp;ust=1605639800686000&amp;usg=AFQjCNEGV9NRCcBpdL_3hfnLZZq0k27K7g" xr:uid="{BD7C6EC0-9029-436C-81EC-AFFADFE4760B}"/>
    <hyperlink ref="B1073" r:id="rId1894" display="https://www.google.com/url?q=http://usaco.org/index.php?page%3Dviewproblem2%26cpid%3D861&amp;sa=D&amp;ust=1605639800686000&amp;usg=AFQjCNFJnNdniwiU5DoSrmy8vhiX9_dl4g" xr:uid="{70D3F1C5-BBE4-4E64-BA38-691B787F8AC9}"/>
    <hyperlink ref="B1074" r:id="rId1895" display="https://www.google.com/url?q=https://oj.uz/problem/view/COCI17_portal&amp;sa=D&amp;ust=1605639800687000&amp;usg=AFQjCNGcY2uC0Op-uLUQhwqWJjBWxLYUIA" xr:uid="{444D18E3-0632-46B6-8EF4-BFDAD44F6935}"/>
    <hyperlink ref="F1074" r:id="rId1896" display="https://www.google.com/url?q=https://github.com/luciocf/OI-Problems/blob/master/COCI/COCI%25202017-2018/portals.cpp&amp;sa=D&amp;ust=1605639800687000&amp;usg=AFQjCNEIB94pVSjnyK4BprHJKpbPBhtalw" xr:uid="{AAB2523B-3674-410B-9F30-3EB34649B7F6}"/>
    <hyperlink ref="B1075" r:id="rId1897" display="https://www.google.com/url?q=https://joi2015ho.contest.atcoder.jp/tasks/joi2015ho_c&amp;sa=D&amp;ust=1605639800687000&amp;usg=AFQjCNEcLiJuGmaJ1Zv3E8v5ldlu4JkAVA" xr:uid="{10961048-FDE6-4098-B7FE-BA9DE0C50684}"/>
    <hyperlink ref="B1076" r:id="rId1898" display="https://www.google.com/url?q=https://wcipeg.com/problem/coci092p4&amp;sa=D&amp;ust=1605639800688000&amp;usg=AFQjCNFIu-0b0Dbe7TJBNdFybUUiS95h9A" xr:uid="{EAD4AD7E-7D43-449A-B57C-B216B8A210E2}"/>
    <hyperlink ref="F1076" r:id="rId1899" display="https://www.google.com/url?q=https://github.com/mostafa-saad/MyCompetitiveProgramming/blob/master/Olympiad/COCI/official/2010/contest2_solutions&amp;sa=D&amp;ust=1605639800688000&amp;usg=AFQjCNGrd2g5Ns6vRVyY5AanKYZuYoyL2A" xr:uid="{806A0C61-824A-45F3-96E4-E4D2576A9EBA}"/>
    <hyperlink ref="B1077" r:id="rId1900" display="https://www.google.com/url?q=https://dunjudge.me/analysis/problems/1228/&amp;sa=D&amp;ust=1605639800689000&amp;usg=AFQjCNF84jWJjwEpIiK_27qk32SxlsAMJA" xr:uid="{4EDD4F42-96FA-40E8-A99C-C459A147285E}"/>
    <hyperlink ref="F1077" r:id="rId1901" display="https://www.google.com/url?q=https://github.com/mostafa-saad/MyCompetitiveProgramming/blob/master/Olympiad/NOI/official&amp;sa=D&amp;ust=1605639800689000&amp;usg=AFQjCNFJXiAAaeZZIWj37-R1eUqxEVDmgw" xr:uid="{C50D9A2B-5153-4B97-989B-7CACB38B3547}"/>
    <hyperlink ref="B1078" r:id="rId1902" display="https://www.google.com/url?q=https://www.infoarena.ro/problema/pesaptecarari&amp;sa=D&amp;ust=1605639800689000&amp;usg=AFQjCNHB0wREq7KS8Jis-dmGYGAUiPj5eA" xr:uid="{6C59EA7D-E7E0-452D-BA02-6AE1FD7C2352}"/>
    <hyperlink ref="F1078" r:id="rId1903" display="https://www.google.com/url?q=https://github.com/stefdasca/CompetitiveProgramming/blob/master/Infoarena/pesaptecarari.cpp&amp;sa=D&amp;ust=1605639800690000&amp;usg=AFQjCNGg7UDpSn13J1RSwSoZ2CXE8WYlyw" xr:uid="{F7A47771-E7D3-463C-96A1-FD66E81A3D16}"/>
    <hyperlink ref="B1079" r:id="rId1904" display="https://www.google.com/url?q=https://oj.uz/problem/view/NOI13_ferries&amp;sa=D&amp;ust=1605639800690000&amp;usg=AFQjCNG1eeJMALCpxjpeRdbx5hIEltoLhw" xr:uid="{8147170D-A768-4993-81E8-6B5D881FA53E}"/>
    <hyperlink ref="B1080" r:id="rId1905" display="https://www.google.com/url?q=https://szkopul.edu.pl/problemset/problem/Jnq0pGf9q3nVm-b1h6Bg23G9/site/&amp;sa=D&amp;ust=1605639800691000&amp;usg=AFQjCNEBe26yaUd67qyIgBz2yntE3g3Rpw" xr:uid="{EEE04CCC-C734-4473-B21B-6A51B1D6D8F4}"/>
    <hyperlink ref="F1080" r:id="rId1906" display="https://www.google.com/url?q=https://github.com/mostafa-saad/MyCompetitiveProgramming/blob/master/Olympiad/POI/official/find_editorial_sols_guidelines.txt&amp;sa=D&amp;ust=1605639800691000&amp;usg=AFQjCNH1XB0wBYaNjIMjg1AKuDk9lvZSzw" xr:uid="{52439975-2EBF-4A7C-A9B1-4ACD525F1C06}"/>
    <hyperlink ref="B1081" r:id="rId1907" display="https://www.google.com/url?q=https://dunjudge.me/analysis/problems/962/&amp;sa=D&amp;ust=1605639800691000&amp;usg=AFQjCNH9n5lW_YNjuXW1r6qdg1JbXddA3Q" xr:uid="{B9913A88-7CAB-48C9-B31C-8D46B3B39D98}"/>
    <hyperlink ref="F1081" r:id="rId1908" display="https://www.google.com/url?q=https://github.com/mostafa-saad/MyCompetitiveProgramming/tree/master/Olympiad/MCO/official&amp;sa=D&amp;ust=1605639800691000&amp;usg=AFQjCNHR3tjpB3Khfmm4ptYSTYWt0XUcMA" xr:uid="{3375E74F-5796-48E6-BE54-AE17FAD0A00E}"/>
    <hyperlink ref="B1082" r:id="rId1909" display="https://www.google.com/url?q=https://joi2013ho.contest.atcoder.jp/tasks/joi2013ho3&amp;sa=D&amp;ust=1605639800692000&amp;usg=AFQjCNF1zzNwOWMGXNmscxVY4J_GSUJ6oA" xr:uid="{52575FE1-A943-4C92-ADB4-1958DAC0CB18}"/>
    <hyperlink ref="B1083" r:id="rId1910" display="https://www.google.com/url?q=https://dmoj.ca/problem/coci07c6p4&amp;sa=D&amp;ust=1605639800692000&amp;usg=AFQjCNG9Ifh-nfgDRWsq8sT6veaxkAHGxg" xr:uid="{0BFDCCB2-BA0B-46F0-B17F-8B320024C50A}"/>
    <hyperlink ref="F1083" r:id="rId1911" display="https://www.google.com/url?q=https://github.com/mostafa-saad/MyCompetitiveProgramming/tree/master/Olympiad/COCI/official/2008/contest6_solutions&amp;sa=D&amp;ust=1605639800693000&amp;usg=AFQjCNG7yL-A2MgC0cUXI8jL54C_c05nMQ" xr:uid="{28878F73-0F49-404F-8FD2-315E367D4099}"/>
    <hyperlink ref="B1084" r:id="rId1912" display="https://www.google.com/url?q=https://dunjudge.me/analysis/problems/724/&amp;sa=D&amp;ust=1605639800693000&amp;usg=AFQjCNE-3jeJISXrkdHeKddfpXZIlBxR6Q" xr:uid="{9130BBD4-E00A-4C12-953B-D7634E4FBD89}"/>
    <hyperlink ref="F1084" r:id="rId1913" display="https://www.google.com/url?q=https://github.com/mostafa-saad/MyCompetitiveProgramming/tree/master/Olympiad/MCO/official/2015&amp;sa=D&amp;ust=1605639800693000&amp;usg=AFQjCNHLV7eMTGG77wFnGyjyrDGeLbc_hQ" xr:uid="{713F3B09-A1D6-4EC2-8027-C7E9C671F8CF}"/>
    <hyperlink ref="B1085" r:id="rId1914" display="https://www.google.com/url?q=https://joi2013ho.contest.atcoder.jp/tasks/joi2013ho1&amp;sa=D&amp;ust=1605639800694000&amp;usg=AFQjCNG0sd8_9UGMXXw6VF1Qlauet9DSNQ" xr:uid="{6DDC0597-DD19-48FB-A670-F0CDBF5FE573}"/>
    <hyperlink ref="B1086" r:id="rId1915" display="https://www.google.com/url?q=https://dunjudge.me/analysis/problems/265/&amp;sa=D&amp;ust=1605639800694000&amp;usg=AFQjCNEa6f2QIIwCfpW6Q6z3916A6Px7yg" xr:uid="{8B72C75A-55F6-460F-84A7-AD560930562D}"/>
    <hyperlink ref="F1086" r:id="rId1916" display="https://www.google.com/url?q=https://github.com/mostafa-saad/MyCompetitiveProgramming/blob/master/Olympiad/NOI/official&amp;sa=D&amp;ust=1605639800694000&amp;usg=AFQjCNGw2WMKZCTOSw_IUMIVljAaucQXxw" xr:uid="{81FC1947-C23A-46F5-936F-74A36069923D}"/>
    <hyperlink ref="B1087" r:id="rId1917" display="https://www.google.com/url?q=https://codeforces.com/group/R2SERIff4f/contest/213171&amp;sa=D&amp;ust=1605639800695000&amp;usg=AFQjCNG8MzwTGLUOhtd-s1526-Mb98gjOQ" xr:uid="{A486536E-7A83-4D0F-B16C-3D2047D22D93}"/>
    <hyperlink ref="F1087" r:id="rId1918" display="https://www.google.com/url?q=https://github.com/mostafa-saad/MyCompetitiveProgramming/tree/master/Olympiad/MCO/official&amp;sa=D&amp;ust=1605639800695000&amp;usg=AFQjCNE-NmzxM73oQrb6-oUE96517OUtyA" xr:uid="{0521128C-8A44-4FC5-A0DA-A2B5F38B8929}"/>
    <hyperlink ref="B1088" r:id="rId1919" display="https://www.google.com/url?q=https://dunjudge.me/analysis/problems/87/&amp;sa=D&amp;ust=1605639800695000&amp;usg=AFQjCNFtrcfKi-F1acQPbKVKgawv3TCZ-Q" xr:uid="{4CACC95D-1EAD-4C71-AD15-5FC695CD7A73}"/>
    <hyperlink ref="B1089" r:id="rId1920" display="https://www.google.com/url?q=https://dunjudge.me/analysis/problems/186/&amp;sa=D&amp;ust=1605639800696000&amp;usg=AFQjCNEV91hsK2omgEs0e5KKc1nxck1ODg" xr:uid="{41699977-2481-4297-83B7-F257B1D996B9}"/>
    <hyperlink ref="B1090" r:id="rId1921" display="https://www.google.com/url?q=https://oj.uz/problem/view/IOI18_werewolf&amp;sa=D&amp;ust=1605639800696000&amp;usg=AFQjCNEZ6jLK94zsBDqKYE4CNzdjtJZgJg" xr:uid="{1383FD96-2A56-43FB-9436-54E1C2F8DA84}"/>
    <hyperlink ref="F1090" r:id="rId1922" display="https://www.google.com/url?q=https://github.com/mostafa-saad/MyCompetitiveProgramming/blob/master/Olympiad/IOI/IOI-18-Werewolf.txt&amp;sa=D&amp;ust=1605639800696000&amp;usg=AFQjCNHRO_OpOdYrvaREVSAmmiq4R-sXhg" xr:uid="{F7489DF1-1E5F-4C34-BFBC-F663C08A11C6}"/>
    <hyperlink ref="B1091" r:id="rId1923" display="https://www.google.com/url?q=http://usaco.org/index.php?page%3Dviewproblem2%26cpid%3D950&amp;sa=D&amp;ust=1605639800698000&amp;usg=AFQjCNHNPHG3oBSbarESxz7x5Ny6JSIyGg" xr:uid="{61DAE5D5-FBED-4306-91E3-7A4BFF179667}"/>
    <hyperlink ref="F1091" r:id="rId1924" display="https://www.google.com/url?q=https://github.com/Szawinis/CompetitiveProgramming/blob/master/Olympiad/USACO/USACO19mar-valleys-plat.cpp&amp;sa=D&amp;ust=1605639800698000&amp;usg=AFQjCNFY2JWhJgxRp6tLwOOTlylPBzcfhg" xr:uid="{4D0859A7-601C-43D2-8221-83ED56E6CD8B}"/>
    <hyperlink ref="B1092" r:id="rId1925" display="https://www.google.com/url?q=https://oj.uz/problem/view/COCI16_zamjene&amp;sa=D&amp;ust=1605639800699000&amp;usg=AFQjCNGHRmhiqZE0yzHoxEMjVmK95O4V8w" xr:uid="{B5CFC646-3913-4326-9296-3482E3AFFBBD}"/>
    <hyperlink ref="F1092" r:id="rId1926" display="https://www.google.com/url?q=https://github.com/mostafa-saad/MyCompetitiveProgramming/blob/master/Olympiad/COCI/COCI-16-zamjene.txt&amp;sa=D&amp;ust=1605639800699000&amp;usg=AFQjCNH3rIYwluD-PvcpS4I13k9QNEmjBQ" xr:uid="{591FD00F-4C02-4F03-8810-E7803A85B33B}"/>
    <hyperlink ref="B1093" r:id="rId1927" display="https://www.google.com/url?q=https://www.infoarena.ro/problema/unique&amp;sa=D&amp;ust=1605639800699000&amp;usg=AFQjCNE_gvG4Ory-kw8ib9ZPTB3y1SHUaw" xr:uid="{0B24DA96-8CB7-4C4B-8DFA-AE07DF1D4F9A}"/>
    <hyperlink ref="F1093" r:id="rId1928" display="https://www.google.com/url?q=https://github.com/mostafa-saad/MyCompetitiveProgramming/blob/master/Olympiad/infoarena/infoarena_unique.txt&amp;sa=D&amp;ust=1605639800700000&amp;usg=AFQjCNFUEEzRdSG4ZK76CORXM6u__XEwrA" xr:uid="{7B473CEB-2FD6-4598-BA45-5B8034F74D7A}"/>
    <hyperlink ref="B1094" r:id="rId1929" display="https://www.google.com/url?q=https://dunjudge.me/analysis/problems/1827/&amp;sa=D&amp;ust=1605639800700000&amp;usg=AFQjCNHZLIZ8iOTf8p4l4Z7lF6OXecvjow" xr:uid="{BCD84786-B38D-4898-BB54-694B5DE9360F}"/>
    <hyperlink ref="F1094" r:id="rId1930" display="https://www.google.com/url?q=https://github.com/mostafa-saad/MyCompetitiveProgramming/blob/master/Olympiad/NOI/NOI-19-riggedroads.txt&amp;sa=D&amp;ust=1605639800700000&amp;usg=AFQjCNF9pVBWJ23DP-YxH0wba-Ec-5CYvw" xr:uid="{9B465FD0-55AA-4C0A-8F1D-1277448B9179}"/>
    <hyperlink ref="B1095" r:id="rId1931" display="https://www.google.com/url?q=https://oj.uz/problem/view/IOI12_rings&amp;sa=D&amp;ust=1605639800700000&amp;usg=AFQjCNEv3VIv_q7UjvRBuLnrxiIVlVwUAQ" xr:uid="{4B90C53D-BB3E-46AF-B374-9E2211388F84}"/>
    <hyperlink ref="F1095" r:id="rId1932" display="https://www.google.com/url?q=https://github.com/tmwilliamlin168/CompetitiveProgramming/blob/master/IOI/12-Rings.cpp&amp;sa=D&amp;ust=1605639800701000&amp;usg=AFQjCNHkDNd4jEPoVeWyALT9QuqRTUnSbg" xr:uid="{6913AAC4-7A04-43FC-9BB3-01C05AE7F3EB}"/>
    <hyperlink ref="B1096" r:id="rId1933" display="https://www.google.com/url?q=http://www.usaco.org/index.php?page%3Dviewproblem2%26cpid%3D996&amp;sa=D&amp;ust=1605639800701000&amp;usg=AFQjCNEmqEV6T-N0RVobJ6m55GzT_0tkiw" xr:uid="{8B5B6C49-E872-448A-8868-0155D8CB4CF8}"/>
    <hyperlink ref="B1097" r:id="rId1934" display="https://www.google.com/url?q=https://joisc2013-day1.contest.atcoder.jp/tasks/joisc2013_communication&amp;sa=D&amp;ust=1605639800701000&amp;usg=AFQjCNGdFddY_ZOvzMAPouj0bbCoLGxn4g" xr:uid="{0596B34A-D2B0-4E1C-B9FA-78C79214B2DD}"/>
    <hyperlink ref="B1098" r:id="rId1935" display="https://www.google.com/url?q=https://dmoj.ca/problem/coci15c4p5&amp;sa=D&amp;ust=1605639800702000&amp;usg=AFQjCNFkEzBVe2nQd9uDnpo7wrW3lIqraQ" xr:uid="{A1EB0682-FF7D-45C5-A528-91C67D3708CF}"/>
    <hyperlink ref="F1098" r:id="rId1936" display="https://www.google.com/url?q=https://github.com/mostafa-saad/MyCompetitiveProgramming/blob/master/Olympiad/COCI/COCI-15-galaksija.txt&amp;sa=D&amp;ust=1605639800702000&amp;usg=AFQjCNELsPmRtBvs4j7DFwpUnA23C19B2g" xr:uid="{A833FCC2-52C8-4FF8-9B27-93E33C068D53}"/>
    <hyperlink ref="B1099" r:id="rId1937" display="https://www.google.com/url?q=https://cses.fi/98/list/&amp;sa=D&amp;ust=1605639800702000&amp;usg=AFQjCNFAKGpeox1eYdDxccAnGDp1AbhzUA" xr:uid="{677F4BB7-0FBD-4E59-8765-A0CD5E60A7C0}"/>
    <hyperlink ref="F1099" r:id="rId1938" display="https://www.google.com/url?q=https://github.com/mostafa-saad/MyCompetitiveProgramming/blob/master/Olympiad/Baltic/Baltic-12-Peaks.txt&amp;sa=D&amp;ust=1605639800703000&amp;usg=AFQjCNFofI3Ug-7PicYnOp3pFQE6j-6F0g" xr:uid="{97FB0BD1-A425-47A6-B3C0-03CC58046B3C}"/>
    <hyperlink ref="B1100" r:id="rId1939" display="https://www.google.com/url?q=https://oj.uz/problem/view/IOI14_game&amp;sa=D&amp;ust=1605639800703000&amp;usg=AFQjCNFgHBIb5azFG7JbUz7VUggAwG_TsA" xr:uid="{21EF8094-1754-449B-A436-1AC3BC6E34FE}"/>
    <hyperlink ref="F1100" r:id="rId1940" display="https://www.google.com/url?q=https://github.com/mostafa-saad/MyCompetitiveProgramming/blob/master/Olympiad/IOI/IOI-14-game.txt&amp;sa=D&amp;ust=1605639800703000&amp;usg=AFQjCNEPEdBgFpvQ4lEb14gh5SFtZup-yA" xr:uid="{5538DE43-9F72-4251-945E-38DDBB71D7EC}"/>
    <hyperlink ref="B1101" r:id="rId1941" display="https://www.google.com/url?q=https://joisc2013-day2.contest.atcoder.jp/tasks/joisc2013_construction&amp;sa=D&amp;ust=1605639800704000&amp;usg=AFQjCNEQs1y58JQBOxoy-3eTB1t_eJpOpQ" xr:uid="{5538736C-D105-4036-9A49-00B81CD44688}"/>
    <hyperlink ref="B1102" r:id="rId1942" display="https://www.google.com/url?q=https://dunjudge.me/analysis/problems/732/&amp;sa=D&amp;ust=1605639800704000&amp;usg=AFQjCNGQiA66e0n5pkG3syfiougnUm1aEA" xr:uid="{9FF35F0A-AA22-4233-B4BE-9F582B8C5ECD}"/>
    <hyperlink ref="F1102" r:id="rId1943" display="https://www.google.com/url?q=https://github.com/mostafa-saad/MyCompetitiveProgramming/blob/master/Olympiad/JOI/JOISC-15-inheritance.txt&amp;sa=D&amp;ust=1605639800704000&amp;usg=AFQjCNH0vNEDAFWVofCMXz4lSnpRI7fc8w" xr:uid="{26C6A63B-F3C2-45B0-8B16-7F781B83BD5E}"/>
    <hyperlink ref="B1103" r:id="rId1944" display="https://www.google.com/url?q=https://www.infoarena.ro/problema/mexc&amp;sa=D&amp;ust=1605639800704000&amp;usg=AFQjCNFWwqL7xUthQj-d2-yB0rTdz77_Kw" xr:uid="{6FAED68C-35CB-44EE-9C3B-FD85A99696F3}"/>
    <hyperlink ref="F1103" r:id="rId1945" display="https://www.google.com/url?q=https://github.com/mostafa-saad/MyCompetitiveProgramming/blob/master/Olympiad/infoarena/infoarena_mexc.txt&amp;sa=D&amp;ust=1605639800705000&amp;usg=AFQjCNF3HtvwdpKzpWkHaMJCcMoz_WhsAg" xr:uid="{8E5870F5-F6E5-42A1-9DD7-C72589F71C9F}"/>
    <hyperlink ref="B1104" r:id="rId1946" display="https://www.google.com/url?q=https://www.infoarena.ro/problema/matrice2&amp;sa=D&amp;ust=1605639800705000&amp;usg=AFQjCNEHtTrklVkzYstZDcv890PFuV08uA" xr:uid="{B2A1696E-D7B6-435B-86CC-45C566CDFD0E}"/>
    <hyperlink ref="F1104" r:id="rId1947" display="https://www.google.com/url?q=https://github.com/mostafa-saad/MyCompetitiveProgramming/blob/master/Olympiad/infoarena/infoarena_matrice2.txt&amp;sa=D&amp;ust=1605639800705000&amp;usg=AFQjCNH1sQ46WrK-2KM8Rrr-pfWymz4U7Q" xr:uid="{081317B2-0A36-4424-802E-65BBD23D591A}"/>
    <hyperlink ref="B1105" r:id="rId1948" display="https://www.google.com/url?q=https://www.infoarena.ro/problema/nrsubsecv&amp;sa=D&amp;ust=1605639800706000&amp;usg=AFQjCNHKPaK6GgNf1SmkmxirXQAhPYD2Dw" xr:uid="{B4F4BFF5-8159-402D-9803-3DF8F1D927F8}"/>
    <hyperlink ref="F1105" r:id="rId1949" display="https://www.google.com/url?q=https://github.com/stefdasca/CompetitiveProgramming/blob/master/Infoarena/nrsubsecv.cpp&amp;sa=D&amp;ust=1605639800706000&amp;usg=AFQjCNGb7BJrOAaFqxK77IzhLTuM81wTkA" xr:uid="{8F23A156-B309-4E99-B3E0-984D640240E5}"/>
    <hyperlink ref="B1106" r:id="rId1950" display="https://www.google.com/url?q=https://dmoj.ca/problem/coci14c2p5&amp;sa=D&amp;ust=1605639800706000&amp;usg=AFQjCNERHnanvMVfnCkLJvue4zhQXRBqeg" xr:uid="{C92E4220-974F-4267-94BA-AB62D3F20089}"/>
    <hyperlink ref="F1106" r:id="rId1951" display="https://www.google.com/url?q=https://github.com/mostafa-saad/MyCompetitiveProgramming/blob/master/Olympiad/CEOI/COCI-14-Suma.txt&amp;sa=D&amp;ust=1605639800706000&amp;usg=AFQjCNH9yVANJGHPl9nuZPxDxYAPwht0sA" xr:uid="{555EBEA6-9396-4AD4-8721-4E2A9DC7F7F5}"/>
    <hyperlink ref="B1107" r:id="rId1952" display="https://www.google.com/url?q=https://dunjudge.me/analysis/problems/1824/&amp;sa=D&amp;ust=1605639800707000&amp;usg=AFQjCNGgHXHDPI4opC1HJK1FVog0FVNEIw" xr:uid="{7088AAE5-99AA-47C3-A7AB-30887E9F5E0C}"/>
    <hyperlink ref="F1107" r:id="rId1953" display="https://www.google.com/url?q=https://github.com/MohamedAhmed04/Competitive-programming/blob/master/SingaporeNOI/2019-Pilot.cpp&amp;sa=D&amp;ust=1605639800707000&amp;usg=AFQjCNG1AQLJ-vShAZ9N1DAz5PSF6gFwPA" xr:uid="{5203D7B8-FA28-4F07-83CD-CC1311DD3D76}"/>
    <hyperlink ref="B1108" r:id="rId1954" display="https://www.google.com/url?q=https://www.hackerrank.com/contests/ioi-2014-practice-contest-2/challenges/world-peace-ioi14&amp;sa=D&amp;ust=1605639800708000&amp;usg=AFQjCNHlCgnV-i5jC1knLmG3r-fH0cSXCw" xr:uid="{1DC3F8BD-7E90-4033-8098-12C462EB6876}"/>
    <hyperlink ref="F1108" r:id="rId1955" display="https://www.google.com/url?q=https://github.com/updown2/OI-Practice/blob/master/IOI/IOI%25202014/World%2520Peace%2520%255BPractice%255D.cpp&amp;sa=D&amp;ust=1605639800709000&amp;usg=AFQjCNE2ChOFITqSru-5UyAKbh3-gRaggA" xr:uid="{84CD750C-AF4D-46AC-98B7-22AB28ECFF09}"/>
    <hyperlink ref="B1109" r:id="rId1956" display="https://www.google.com/url?q=https://dmoj.ca/problem/cco07p6&amp;sa=D&amp;ust=1605639800709000&amp;usg=AFQjCNFZNzlvKXW-KYSqBbVh2ZI4iAIr7g" xr:uid="{04E41E47-BD1A-435D-9000-B9C3D181D282}"/>
    <hyperlink ref="F1109" r:id="rId1957" display="https://www.google.com/url?q=https://github.com/win11905/submission/blob/61c76f8b073e5e5446e7688626c487a4dcbfcd9e/CCO/14/RoadConstruction.cpp&amp;sa=D&amp;ust=1605639800709000&amp;usg=AFQjCNH6ANmr-ZYkv7u1jC0wqgwFlstoZA" xr:uid="{4ECC4A5A-DAC6-45CA-8684-26C370F9D613}"/>
    <hyperlink ref="B1110" r:id="rId1958" display="https://www.google.com/url?q=https://dmoj.ca/problem/mmcc15p1&amp;sa=D&amp;ust=1605639800709000&amp;usg=AFQjCNEMB7mbdxEnb1SC2cZeQc3kvCYnkA" xr:uid="{4126A5FB-0AD3-42DA-BB7E-C12D4E2CFECB}"/>
    <hyperlink ref="B1111" r:id="rId1959" display="https://www.google.com/url?q=https://www.infoarena.ro/problema/secvmax&amp;sa=D&amp;ust=1605639800710000&amp;usg=AFQjCNErthpsd2pQlESy_Fi1i-6I2IZ0RQ" xr:uid="{D4E664AD-5D00-4CFE-ADE8-9F7DADCC804D}"/>
    <hyperlink ref="F1111" r:id="rId1960" display="https://www.google.com/url?q=https://github.com/stefdasca/CompetitiveProgramming/blob/master/Infoarena/secvmax.cpp&amp;sa=D&amp;ust=1605639800710000&amp;usg=AFQjCNGm0teAuBiyYX1M4GjKNrK_Ko0p1g" xr:uid="{5C72C7E8-C0CB-4E28-9731-CD696BEB4362}"/>
    <hyperlink ref="B1112" r:id="rId1961" display="https://www.google.com/url?q=https://szkopul.edu.pl/problemset/problem/G-ZVHDa7y3xWk2PQM27uNq3n/site/&amp;sa=D&amp;ust=1605639800710000&amp;usg=AFQjCNEMwAnehpn60i361QUpQ8vrbX9H9w" xr:uid="{F4AF0409-21E0-4FD6-A197-EF27BD7A5578}"/>
    <hyperlink ref="F1112" r:id="rId1962" display="https://www.google.com/url?q=https://github.com/mostafa-saad/MyCompetitiveProgramming/blob/master/Olympiad/POI/official/find_editorial_sols_guidelines.txt&amp;sa=D&amp;ust=1605639800710000&amp;usg=AFQjCNHYf-8jzZzl7a_63NrcsN1aJ18djQ" xr:uid="{9E0B7F23-E8DE-4860-975B-5B85CD8E01C3}"/>
    <hyperlink ref="B1113" r:id="rId1963" display="https://www.google.com/url?q=https://dunjudge.me/analysis/problems/777/&amp;sa=D&amp;ust=1605639800711000&amp;usg=AFQjCNGXMruCJMKRngQXTfIqOME3Ar8Jdg" xr:uid="{A5316FD3-2E48-4957-B123-C7B2D7A972C0}"/>
    <hyperlink ref="F1113" r:id="rId1964" display="https://www.google.com/url?q=https://github.com/mostafa-saad/MyCompetitiveProgramming/blob/master/Olympiad/COCI/official/2014/contest5_solutions&amp;sa=D&amp;ust=1605639800711000&amp;usg=AFQjCNFeh1YQ0nQW6splf9y3WugV6HZGYQ" xr:uid="{B82B522A-DF51-429D-A89A-502572AE84B3}"/>
    <hyperlink ref="B1114" r:id="rId1965" display="https://www.google.com/url?q=https://oj.uz/problem/view/COCI18_zamjena&amp;sa=D&amp;ust=1605639800711000&amp;usg=AFQjCNHCKD8DPl6yTmKMGymEHa9NLO436A" xr:uid="{4B4EAD16-ECD5-4A30-8AB2-2F88106AABBB}"/>
    <hyperlink ref="B1115" r:id="rId1966" display="https://www.google.com/url?q=https://szkopul.edu.pl/problemset/problem/VENspsedQ1oO5IorYs8Ergdn/site/&amp;sa=D&amp;ust=1605639800712000&amp;usg=AFQjCNHlZt6lyfWgCQRqbJEdNgpoGx4rMA" xr:uid="{955A10F5-F423-464C-824D-05A2FC0A5475}"/>
    <hyperlink ref="F1115" r:id="rId1967" display="https://www.google.com/url?q=https://github.com/mostafa-saad/MyCompetitiveProgramming/blob/master/Olympiad/POI/official/find_editorial_sols_guidelines.txt&amp;sa=D&amp;ust=1605639800712000&amp;usg=AFQjCNGzrhA08qoKA_TdjRGpE3u_1toD_g" xr:uid="{4B7ADF0A-89CC-40FF-9231-ECAC69F02FD1}"/>
    <hyperlink ref="B1116" r:id="rId1968" display="https://www.google.com/url?q=https://dunjudge.me/analysis/problems/422/&amp;sa=D&amp;ust=1605639800712000&amp;usg=AFQjCNEnqPP2muhtJ5iozcxzvd4-406c2w" xr:uid="{7D38ACAF-9160-44CF-AD82-85D0443B8B89}"/>
    <hyperlink ref="B1117" r:id="rId1969" display="https://www.google.com/url?q=https://oj.uz/problem/view/COCI18_teoreticar&amp;sa=D&amp;ust=1605639800713000&amp;usg=AFQjCNFeVCIqlDml8YoCMlf3UgTHjqlVDw" xr:uid="{234ED504-E8EA-40BA-8918-ADEAC8BE085B}"/>
    <hyperlink ref="B1118" r:id="rId1970" display="https://www.google.com/url?q=https://infoarena.ro/problema/ratway&amp;sa=D&amp;ust=1605639800713000&amp;usg=AFQjCNG4swmNpDcAqihR9ihM0lVNoMExLw" xr:uid="{8CC9D028-E28E-4CE3-A3B5-F8432D2BB912}"/>
    <hyperlink ref="F1118" r:id="rId1971" display="https://www.google.com/url?q=https://github.com/mostafa-saad/MyCompetitiveProgramming/blob/master/Olympiad/infoarena/infoarena_ratway.txt&amp;sa=D&amp;ust=1605639800713000&amp;usg=AFQjCNGrgbjQnevu2qY1N-qXnuPp5WxSkg" xr:uid="{85853A61-9E06-40A1-A443-3932AE9D6563}"/>
    <hyperlink ref="B1119" r:id="rId1972" display="https://www.google.com/url?q=https://cses.fi/191/list/&amp;sa=D&amp;ust=1605639800714000&amp;usg=AFQjCNHEpYFl1-ph01Z5Q62U8G2ak8pItQ" xr:uid="{11323720-6E63-4C35-ADCB-A40D80A03857}"/>
    <hyperlink ref="F1119" r:id="rId1973" display="https://www.google.com/url?q=https://github.com/mostafa-saad/MyCompetitiveProgramming/blob/master/Olympiad/CEOI/CEOI-05-Depot.txt&amp;sa=D&amp;ust=1605639800714000&amp;usg=AFQjCNGAOgOJh1sW74_WlJSmb-uxv6kUjw" xr:uid="{3174812C-1EF6-4F86-A2FC-A3BABC1C23C2}"/>
    <hyperlink ref="B1120" r:id="rId1974" display="https://www.google.com/url?q=http://usaco.org/index.php?page%3Dviewproblem2%26cpid%3D866&amp;sa=D&amp;ust=1605639800715000&amp;usg=AFQjCNGvSjgIv7IdGQNEjRSzsqLa5AsC3A" xr:uid="{667CCAA0-B9F4-4C7A-AA11-0E159532C880}"/>
    <hyperlink ref="B1121" r:id="rId1975" display="https://www.google.com/url?q=https://oj.uz/problem/view/POI11_smi&amp;sa=D&amp;ust=1605639800715000&amp;usg=AFQjCNHNxbyBltRJ8yErrJS507QnXjsxeg" xr:uid="{CDE2DDDC-14EB-4C3D-B662-43B5A99638FD}"/>
    <hyperlink ref="F1121" r:id="rId1976" display="https://www.google.com/url?q=https://github.com/nikolapesic2802/Programming-Practice/blob/master/Garbage/main.cpp&amp;sa=D&amp;ust=1605639800716000&amp;usg=AFQjCNG5e1GStA8QIEwWIZo7F8Pc0W1PQw" xr:uid="{F5E6A93A-8A70-475D-A6D5-209C45195FCF}"/>
    <hyperlink ref="B1122" r:id="rId1977" display="https://www.google.com/url?q=https://oj.uz/problem/view/BOI14_postmen&amp;sa=D&amp;ust=1605639800716000&amp;usg=AFQjCNGZACj1l9BXqPgcZ4e8zQwGGnD1QA" xr:uid="{01F70840-F3F6-42E1-9910-DDDEA567991E}"/>
    <hyperlink ref="F1122" r:id="rId1978" display="https://www.google.com/url?q=https://github.com/mostafa-saad/MyCompetitiveProgramming/blob/master/Olympiad/Baltic/Baltic-14-postmen.txt&amp;sa=D&amp;ust=1605639800716000&amp;usg=AFQjCNFF6IHBVTYAjQOYL2XwZfUF2qlsZQ" xr:uid="{EE9BB556-1C3F-4A48-BEED-D32FD7757913}"/>
    <hyperlink ref="B1123" r:id="rId1979" display="https://www.google.com/url?q=https://oj.uz/problem/view/APIO17_merchant&amp;sa=D&amp;ust=1605639800716000&amp;usg=AFQjCNHzM_YXw5t7UYUxj3MOS4Yppe6uXw" xr:uid="{1C23AA72-2B7D-4AB6-8EA1-D19B3B47FAF5}"/>
    <hyperlink ref="F1123" r:id="rId1980" display="https://www.google.com/url?q=https://github.com/mostafa-saad/MyCompetitiveProgramming/blob/master/Olympiad/APIO/APIO-17-merchant.txt&amp;sa=D&amp;ust=1605639800717000&amp;usg=AFQjCNEK_Iedf_olh_X4wCN80v23L3_Zqg" xr:uid="{BAA1C53F-A4A5-4E7D-8A3F-12674C4E9CFE}"/>
    <hyperlink ref="B1124" r:id="rId1981" display="https://www.google.com/url?q=https://oj.uz/problem/view/NOI14_obelisk&amp;sa=D&amp;ust=1605639800717000&amp;usg=AFQjCNGHkBJ_DL7nVkGPJa4Gdq6uefkWVg" xr:uid="{EEBB097E-F22B-49C6-AC44-DCE1189F5F28}"/>
    <hyperlink ref="F1124" r:id="rId1982" display="https://www.google.com/url?q=https://github.com/mostafa-saad/MyCompetitiveProgramming/blob/master/Olympiad/NOI/NOI-14-obelisk.txt&amp;sa=D&amp;ust=1605639800717000&amp;usg=AFQjCNFzIlk_X0X60DpV4yBCLDy507CC8Q" xr:uid="{53026E4F-E64F-4D27-BC4B-152C48239EC3}"/>
    <hyperlink ref="B1125" r:id="rId1983" display="https://www.google.com/url?q=http://usaco.org/index.php?page%3Dviewproblem2%26cpid%3D230&amp;sa=D&amp;ust=1605639800718000&amp;usg=AFQjCNFq9eQGArOLKsGzdBwjtU90toPJaw" xr:uid="{70AABB6E-163B-4608-8A1A-51FFFA5052BE}"/>
    <hyperlink ref="B1126" r:id="rId1984" display="https://www.google.com/url?q=http://poj.org/problem?id%3D1161&amp;sa=D&amp;ust=1605639800718000&amp;usg=AFQjCNE6sq7cAmncn4Jv32HzVgWrjRQ7fw" xr:uid="{DC150519-30B9-40A7-8831-C8D462765057}"/>
    <hyperlink ref="F1126" r:id="rId1985" display="https://www.google.com/url?q=https://github.com/mostafa-saad/MyCompetitiveProgramming/blob/master/Olympiad/IOI/IOI-00-walls.txt&amp;sa=D&amp;ust=1605639800719000&amp;usg=AFQjCNH3g5c-DutATp71YuNNY7hyTGNgEQ" xr:uid="{632D6425-F426-40F6-859A-F36C80CB186B}"/>
    <hyperlink ref="B1127" r:id="rId1986" display="https://www.google.com/url?q=https://cses.fi/190/list/&amp;sa=D&amp;ust=1605639800720000&amp;usg=AFQjCNEgJF7sdLNr35lrhiQYoUXAgLY7Bw" xr:uid="{2933F833-759A-4D0B-952F-28C7C33EDB06}"/>
    <hyperlink ref="F1127" r:id="rId1987" display="https://www.google.com/url?q=https://github.com/mostafa-saad/MyCompetitiveProgramming/tree/master/Olympiad/CEOI/official/2008&amp;sa=D&amp;ust=1605639800720000&amp;usg=AFQjCNEE5mG3QfExgBFjzR6ceOIkG3uwvw" xr:uid="{50F616F5-FAEB-4E95-85DF-C317B38E46F7}"/>
    <hyperlink ref="B1128" r:id="rId1988" display="https://www.google.com/url?q=https://szkopul.edu.pl/problemset/problem/gh2Yj6Ckrt4Lo_RojONuljuC/site/&amp;sa=D&amp;ust=1605639800720000&amp;usg=AFQjCNGV5t2DHwy_vcBqil4clvGYMrGt0Q" xr:uid="{F3A103EC-8B9B-4E6E-9F0A-EDBDFA0F2091}"/>
    <hyperlink ref="F1128" r:id="rId1989" display="https://www.google.com/url?q=https://github.com/mostafa-saad/MyCompetitiveProgramming/blob/master/Olympiad/POI/POI-10-Bridges.txt&amp;sa=D&amp;ust=1605639800720000&amp;usg=AFQjCNH8i6KDHpREh61wFzoyJSxXIgiO3w" xr:uid="{B7341F2C-66E3-4C63-A039-83150ADA6B04}"/>
    <hyperlink ref="B1129" r:id="rId1990" display="https://www.google.com/url?q=https://dmoj.ca/problem/coci08c6p6&amp;sa=D&amp;ust=1605639800721000&amp;usg=AFQjCNF_FP2ZW-Q5i18D1vXmumC-32hC4A" xr:uid="{442D62CD-69A9-4131-8DF5-B3FE068A3B87}"/>
    <hyperlink ref="F1129" r:id="rId1991" display="https://www.google.com/url?q=https://github.com/mostafa-saad/MyCompetitiveProgramming/blob/master/Olympiad/CEOI/COCI-08-Slicice.txt&amp;sa=D&amp;ust=1605639800721000&amp;usg=AFQjCNGFWHJIdtHjl6SCd-gLuOdxNO5sCA" xr:uid="{6FA90056-C40E-4BD2-ADD7-D8EB66358028}"/>
    <hyperlink ref="B1130" r:id="rId1992" display="https://www.google.com/url?q=https://oj.uz/problem/view/BOI18_minmaxtree&amp;sa=D&amp;ust=1605639800721000&amp;usg=AFQjCNG2PI0ilJk1ioqS6UaZqxXISQx7nA" xr:uid="{41DCBA64-7C5C-4DF4-BF52-B80DD9F1C434}"/>
    <hyperlink ref="F1130" r:id="rId1993" display="https://www.google.com/url?q=https://github.com/mostafa-saad/MyCompetitiveProgramming/blob/master/Olympiad/Balkan/Balkan-18-minmaxtree.txt&amp;sa=D&amp;ust=1605639800722000&amp;usg=AFQjCNHqplYRbUt1Ho02ASTKX2i5N_KsWA" xr:uid="{45E0096B-8C8D-4AB3-B553-1C85DC25A4E6}"/>
    <hyperlink ref="B1131" r:id="rId1994" display="https://www.google.com/url?q=https://oj.uz/problem/view/IZhO14_marriage&amp;sa=D&amp;ust=1605639800722000&amp;usg=AFQjCNH_KVhSU1Prs0FwsTfk7JTLMKxFJg" xr:uid="{1DE3E8FF-4698-4D69-AE59-02787CDEEEF7}"/>
    <hyperlink ref="F1131" r:id="rId1995" display="https://www.google.com/url?q=https://github.com/LeTrongDat/CompetitiveProgramming/blob/master/IZhO/IZhO14-marriage.cpp&amp;sa=D&amp;ust=1605639800722000&amp;usg=AFQjCNHRB6j4ib52ujFOQw54Hn3iM0UvIA" xr:uid="{683CD5BC-2FA1-4273-A202-E7C8A17ED965}"/>
    <hyperlink ref="B1132" r:id="rId1996" display="https://www.google.com/url?q=https://oj.uz/problem/view/POI11_pro&amp;sa=D&amp;ust=1605639800723000&amp;usg=AFQjCNF2HSpCMGGZH3ZTu8FtSrDD1lMtLw" xr:uid="{F0746BB1-3315-42C2-BC12-320BA54A4686}"/>
    <hyperlink ref="F1132" r:id="rId1997" display="https://www.google.com/url?q=https://github.com/mostafa-saad/MyCompetitiveProgramming/blob/master/Olympiad/POI/POI-11-Contest.txt&amp;sa=D&amp;ust=1605639800723000&amp;usg=AFQjCNHJOGaWm7E2fwYq2VrTOQ86oDuBKQ" xr:uid="{1A8BBDE8-DCD8-4211-8588-3426DAF822CE}"/>
    <hyperlink ref="B1133" r:id="rId1998" display="https://www.google.com/url?q=https://www.acmicpc.net/problem/7058&amp;sa=D&amp;ust=1605639800723000&amp;usg=AFQjCNHc1vnaLMk37BrVNJbWXOH8xpbjZw" xr:uid="{673919E2-559C-4A97-8A1D-195506F2C162}"/>
    <hyperlink ref="F1133" r:id="rId1999" display="https://www.google.com/url?q=https://github.com/mostafa-saad/MyCompetitiveProgramming/blob/master/Olympiad/CEOI/CEOI-02-Guards.txt&amp;sa=D&amp;ust=1605639800723000&amp;usg=AFQjCNHhxBS6QNYg5tX6xAo3C9I1pYvxiw" xr:uid="{189BABB3-812A-4B85-B714-DF83479DF043}"/>
    <hyperlink ref="B1134" r:id="rId2000" display="https://www.google.com/url?q=https://oj.uz/problem/view/COCI18_planinarenje&amp;sa=D&amp;ust=1605639800766000&amp;usg=AFQjCNGXoT8VPniku-qRIHeMBNFTKhOz1g" xr:uid="{B02D13AB-1BAE-4750-A253-5CEC24BC4F0D}"/>
    <hyperlink ref="F1134" r:id="rId2001" display="https://www.google.com/url?q=http://blog.brucemerry.org.za/2018/01/coci-20172018-r5-analysis.html&amp;sa=D&amp;ust=1605639800766000&amp;usg=AFQjCNHQkRShQBAaKEGEUllavsrqfuD2ww" xr:uid="{EF622EA5-C732-49CD-AC25-690953AA9CBD}"/>
    <hyperlink ref="B1135" r:id="rId2002" display="https://www.google.com/url?q=http://usaco.org/index.php?page%3Dviewproblem2%26cpid%3D93&amp;sa=D&amp;ust=1605639800767000&amp;usg=AFQjCNFKeKcNpggnjJvOKG4eRh9xn9h2Qw" xr:uid="{D5E0AA21-610A-44BA-BAC6-7C445B3EF607}"/>
    <hyperlink ref="B1136" r:id="rId2003" display="https://www.google.com/url?q=https://oj.uz/problem/view/COCI18_priglavci&amp;sa=D&amp;ust=1605639800767000&amp;usg=AFQjCNHZYS9yj3TEag78cI44cdf_AwO-BA" xr:uid="{0C4C8DF3-A09D-48C3-B420-4CB3FA203403}"/>
    <hyperlink ref="F1136" r:id="rId2004" display="https://www.google.com/url?q=https://github.com/farmerboy95/CompetitiveProgramming/blob/master/COCI/COCI%252018-priglavci.cpp&amp;sa=D&amp;ust=1605639800768000&amp;usg=AFQjCNGoIFRF43G6ZWr4Eze_Wh4KryjDtQ" xr:uid="{D83CE62C-1366-4848-AE43-5749686401DD}"/>
    <hyperlink ref="B1137" r:id="rId2005" display="https://www.google.com/url?q=https://training.ia-toki.org/problemsets/113/problems/632/&amp;sa=D&amp;ust=1605639800770000&amp;usg=AFQjCNHcTiO00z2Lr7uH7MniiVveZ06Wfg" xr:uid="{A80DA5BA-D204-4B80-84E9-63BACA828CF7}"/>
    <hyperlink ref="F1137" r:id="rId2006" display="https://www.google.com/url?q=https://github.com/timpostuvan/CompetitiveProgramming/blob/master/Olympiad/TOKI/CellsTour2018.cpp&amp;sa=D&amp;ust=1605639800771000&amp;usg=AFQjCNFyPhc3YWC6KAGR92QTw-Zjqo3eog" xr:uid="{FF24E0CA-6650-44B1-8755-C037F0E7E12E}"/>
    <hyperlink ref="B1138" r:id="rId2007" display="https://www.google.com/url?q=https://dunjudge.me/analysis/problems/956/&amp;sa=D&amp;ust=1605639800771000&amp;usg=AFQjCNFNBmgWMZcxyIFzye3TSPp3f4Vx8A" xr:uid="{EDB087D5-5718-425E-B0C6-C688096E8D24}"/>
    <hyperlink ref="F1138" r:id="rId2008" display="https://www.google.com/url?q=https://github.com/mostafa-saad/MyCompetitiveProgramming/blob/master/Olympiad/NOI/official&amp;sa=D&amp;ust=1605639800772000&amp;usg=AFQjCNGYSoOWxYwkXWNOt9nDB1qCVjhtIw" xr:uid="{9CC622C0-0480-402F-ABAD-877C0F65D98A}"/>
    <hyperlink ref="B1139" r:id="rId2009" display="https://www.google.com/url?q=https://oj.uz/problem/view/APIO13_toll&amp;sa=D&amp;ust=1605639800772000&amp;usg=AFQjCNGrUx8AxBaL0xLaojvWKPLDnqMvfA" xr:uid="{4D228301-DDA4-42C6-BED8-468F932B4CF0}"/>
    <hyperlink ref="F1139" r:id="rId2010" display="https://www.google.com/url?q=https://github.com/tmwilliamlin168/CompetitiveProgramming/blob/master/APIO/13-Toll.cpp&amp;sa=D&amp;ust=1605639800772000&amp;usg=AFQjCNHPZMknx2z7t9OlNRwfSmpv-MuvyQ" xr:uid="{BF5F519B-2DF4-44FC-B206-A022523365EC}"/>
    <hyperlink ref="B1140" r:id="rId2011" display="https://www.google.com/url?q=http://usaco.org/index.php?page%3Dviewproblem2%26cpid%3D745&amp;sa=D&amp;ust=1605639800773000&amp;usg=AFQjCNH4G5NFGEIfp4oQSHhi7vMhutEASg" xr:uid="{9E74A4FD-C07C-4D03-9795-6042F946BC1E}"/>
    <hyperlink ref="F1140" r:id="rId2012" display="https://www.google.com/url?q=https://github.com/tmwilliamlin168/CompetitiveProgramming/blob/master/USACO/Contests/1617_4P/grass.cpp&amp;sa=D&amp;ust=1605639800773000&amp;usg=AFQjCNGy95b3srU47CpYLS6NYaTvHVcZdA" xr:uid="{D4A9AFEF-1720-4B23-B254-13820DA3D502}"/>
    <hyperlink ref="B1141" r:id="rId2013" display="https://www.google.com/url?q=https://dmoj.ca/problem/ccoprep4p3&amp;sa=D&amp;ust=1605639800773000&amp;usg=AFQjCNHRFjmCcbzfNhmMTUB0pWNVv2j-ng" xr:uid="{BB09B3B4-DDFE-433E-8163-24F7F975DF40}"/>
    <hyperlink ref="F1141" r:id="rId2014" display="https://www.google.com/url?q=https://github.com/tsouza0/CompetitiveProgramming/blob/master/Olympiads/Canada/cco/ccoprep4/p3.cpp&amp;sa=D&amp;ust=1605639800774000&amp;usg=AFQjCNG8_qSR3Do9Qp1MrijBJOviZ0JOPQ" xr:uid="{C4C2C094-572C-4AE2-A40C-9310330C6CEB}"/>
    <hyperlink ref="B1142" r:id="rId2015" display="https://www.google.com/url?q=https://cses.fi/189/list/&amp;sa=D&amp;ust=1605639800774000&amp;usg=AFQjCNHTkgCMgGN8Vgpyw7E7Fmp_1YwU_Q" xr:uid="{690341D6-9C30-441D-8CA7-DF88B6754C49}"/>
    <hyperlink ref="F1142" r:id="rId2016" display="https://www.google.com/url?q=https://github.com/mostafa-saad/MyCompetitiveProgramming/tree/master/Olympiad/CEOI/official/2008&amp;sa=D&amp;ust=1605639800774000&amp;usg=AFQjCNH9QL8lhgKH9vvZCt2NHUdrRp2FFg" xr:uid="{7F52F08A-FE99-4AAC-8F0B-8DA98C5663CD}"/>
    <hyperlink ref="B1143" r:id="rId2017" display="https://www.google.com/url?q=https://oj.uz/problem/view/balkan11_timeismoney&amp;sa=D&amp;ust=1605639800776000&amp;usg=AFQjCNGWHnS5yfChlu8r-xgwlzG8Xp3n9A" xr:uid="{B1CF57D8-59B5-4298-871F-671618DE0011}"/>
    <hyperlink ref="F1143" r:id="rId2018" display="https://www.google.com/url?q=https://github.com/tmwilliamlin168/CompetitiveProgramming/blob/master/BkOI/11-Time_Is_Money.cpp&amp;sa=D&amp;ust=1605639800777000&amp;usg=AFQjCNGa5gp9OQHF8UJHQKvkOw3oF9Y8Xw" xr:uid="{FDFBF670-1F7F-418A-9967-EAF7AC21A44E}"/>
    <hyperlink ref="B1144" r:id="rId2019" display="https://www.google.com/url?q=https://oj.uz/problem/view/IOI16_railroad&amp;sa=D&amp;ust=1605639800777000&amp;usg=AFQjCNECDmECLL4BOqhv_0kOEevo_T_hHg" xr:uid="{44B8DF51-5A98-4887-857D-F531BB0D34A5}"/>
    <hyperlink ref="F1144" r:id="rId2020" display="https://www.google.com/url?q=https://github.com/mostafa-saad/MyCompetitiveProgramming/blob/master/Olympiad/IOI/official/2016&amp;sa=D&amp;ust=1605639800777000&amp;usg=AFQjCNHIdm0W0as2zUnvBavgQsNYAF1AfA" xr:uid="{362F3AEF-6ED8-4C5F-B85E-6E16689E4E96}"/>
    <hyperlink ref="B1145" r:id="rId2021" display="https://www.google.com/url?q=https://ioi2010.contest.atcoder.jp/tasks/ioi2010_2_4&amp;sa=D&amp;ust=1605639800778000&amp;usg=AFQjCNHJ1qUI27vIDrTvEQcl9OK1G4udCg" xr:uid="{6C630AD8-A8AB-40D0-8D6D-65E11F6D2089}"/>
    <hyperlink ref="F1145" r:id="rId2022" display="https://www.google.com/url?q=https://github.com/mostafa-saad/MyCompetitiveProgramming/blob/master/Olympiad/IOI/IOI-10-saveit.txt&amp;sa=D&amp;ust=1605639800778000&amp;usg=AFQjCNG9J7vDYCGhxaBj1KCCR7hSfHI6JA" xr:uid="{0E990C75-EDB2-409C-ABA6-E6498C507846}"/>
    <hyperlink ref="B1146" r:id="rId2023" display="https://www.google.com/url?q=https://oj.uz/problem/view/COCI17_sirni&amp;sa=D&amp;ust=1605639800778000&amp;usg=AFQjCNFYLi3yAL1pyf-Wuu5u2gIODF3Liw" xr:uid="{F4DF7E5D-94B0-49C2-A428-72E673FBBDF6}"/>
    <hyperlink ref="F1146" r:id="rId2024" display="https://www.google.com/url?q=https://github.com/mostafa-saad/MyCompetitiveProgramming/blob/master/Olympiad/COCI/COCI-17-sirni.txt&amp;sa=D&amp;ust=1605639800779000&amp;usg=AFQjCNHJT2x5oG1L1qSK3u5eSw6WIbzwMw" xr:uid="{0611480D-F723-4AD5-A32D-B2FC4E2F5A2D}"/>
    <hyperlink ref="B1147" r:id="rId2025" display="https://www.google.com/url?q=http://usaco.org/index.php?page%3Dviewproblem2%26cpid%3D625&amp;sa=D&amp;ust=1605639800779000&amp;usg=AFQjCNGsjZNZF-erhRyTFmQWvr3WRPyeQg" xr:uid="{6E9F83BE-A979-4D2D-AAB9-61E2934EBEB6}"/>
    <hyperlink ref="B1148" r:id="rId2026" display="https://www.google.com/url?q=https://oj.uz/problem/view/COCI18_pictionary&amp;sa=D&amp;ust=1605639800780000&amp;usg=AFQjCNEkNNwo_8TV5dpH-tbAGy3UtF8J0g" xr:uid="{7E7D1368-23D1-4763-8A62-1314499E513B}"/>
    <hyperlink ref="F1148" r:id="rId2027" display="https://www.google.com/url?q=https://github.com/mostafa-saad/MyCompetitiveProgramming/blob/master/Olympiad/COCI/COCI-18-pictionary.txt&amp;sa=D&amp;ust=1605639800780000&amp;usg=AFQjCNFsXbcLx-uSV_sHEelbGSiwfp3QCQ" xr:uid="{A413D449-8C02-48A9-840D-FE1A8D8481FB}"/>
    <hyperlink ref="B1149" r:id="rId2028" display="https://www.google.com/url?q=https://www.infoarena.ro/problema/karb&amp;sa=D&amp;ust=1605639800780000&amp;usg=AFQjCNElbhozLpteYDlScWHnHglr0PoaLw" xr:uid="{402B4DB8-C130-42A2-A60C-EB8103236D14}"/>
    <hyperlink ref="F1149" r:id="rId2029" display="https://www.google.com/url?q=https://github.com/mostafa-saad/MyCompetitiveProgramming/blob/master/Olympiad/infoarena/infoarena-karb.txt&amp;sa=D&amp;ust=1605639800780000&amp;usg=AFQjCNETOlLCyqALloUwnQyHidPgctlq5w" xr:uid="{9A3E4BCB-BFE6-4276-9B64-A850C41EB19C}"/>
    <hyperlink ref="B1150" r:id="rId2030" display="https://www.google.com/url?q=https://contest.yandex.ru/ioi/contest/558/enter/&amp;sa=D&amp;ust=1605639800781000&amp;usg=AFQjCNE15Nmgm81qup8N1ExpNFdqYoZrZQ" xr:uid="{1FC2B88B-4635-4532-9597-94F8511E74EC}"/>
    <hyperlink ref="F1150" r:id="rId2031" display="https://www.google.com/url?q=https://github.com/zoooma13/Competitive-Programming/blob/master/trail_maintenance.cpp&amp;sa=D&amp;ust=1605639800781000&amp;usg=AFQjCNESF1NhN60i6x3CnpSwrOTs4hmZPw" xr:uid="{A0B48A74-16E6-4BEC-A297-9A180F4D7DBA}"/>
    <hyperlink ref="B1151" r:id="rId2032" display="https://www.google.com/url?q=http://usaco.org/index.php?page%3Dviewproblem2%26cpid%3D101&amp;sa=D&amp;ust=1605639800781000&amp;usg=AFQjCNFLbfheRMymi0bevhYYbRliWEH5LA" xr:uid="{975D7F00-6CBB-4C85-A162-E42449655861}"/>
    <hyperlink ref="B1152" r:id="rId2033" display="https://www.google.com/url?q=https://oj.uz/problem/view/NOI14_sightseeing&amp;sa=D&amp;ust=1605639800782000&amp;usg=AFQjCNE-hzL6EssOE1Z7B-Mq-PaF3CYH_g" xr:uid="{0BDC69CC-9D4F-4034-AD1E-BC0A2942DFEA}"/>
    <hyperlink ref="F1152" r:id="rId2034" display="https://www.google.com/url?q=https://github.com/mostafa-saad/MyCompetitiveProgramming/blob/master/Olympiad/NOI/official&amp;sa=D&amp;ust=1605639800782000&amp;usg=AFQjCNFU_NuzkkcLtHyCS1R8tHbSTOet5w" xr:uid="{3A15A8DD-A64F-4CD1-A70A-10F4F79DCA64}"/>
    <hyperlink ref="B1153" r:id="rId2035" display="https://www.google.com/url?q=https://szkopul.edu.pl/problemset/problem/dABzva_j1-BvzKMsyxkuRoue/site/&amp;sa=D&amp;ust=1605639800783000&amp;usg=AFQjCNEdKBK_G5OgSb-aYFDWtWo3jyn-LQ" xr:uid="{9323A6ED-B447-4C5E-A325-DA380802D430}"/>
    <hyperlink ref="F1153" r:id="rId2036" display="https://www.google.com/url?q=https://github.com/mostafa-saad/MyCompetitiveProgramming/blob/master/Olympiad/POI/POI-16-Hedge.txt&amp;sa=D&amp;ust=1605639800783000&amp;usg=AFQjCNGEA7N0ko3Zg2GgIz4zcy1hO2CQlw" xr:uid="{3D4A7596-FBCD-4141-8F92-C038006D46F5}"/>
    <hyperlink ref="B1154" r:id="rId2037" display="https://www.google.com/url?q=https://dunjudge.me/analysis/problems/540/&amp;sa=D&amp;ust=1605639800783000&amp;usg=AFQjCNEWm1qPUfnsPbgH5ywjAelLouDZgQ" xr:uid="{1571FF21-DE49-49E5-84D5-B2F0EA9F65AA}"/>
    <hyperlink ref="F1154" r:id="rId2038" display="https://www.google.com/url?q=https://github.com/mostafa-saad/MyCompetitiveProgramming/blob/master/Olympiad/COCI/official/2010/contest7_solutions&amp;sa=D&amp;ust=1605639800783000&amp;usg=AFQjCNHIHuf_G37k6jizuW8LKYkiNIuyaQ" xr:uid="{892282EC-84C9-4A00-A37A-2638FC25A88D}"/>
    <hyperlink ref="B1155" r:id="rId2039" display="https://www.google.com/url?q=https://dunjudge.me/analysis/problems/676/&amp;sa=D&amp;ust=1605639800784000&amp;usg=AFQjCNEJMwS3ScpatFJ-XJ6ZRejrCy7ELw" xr:uid="{D5DCD25A-DC7D-4523-BA3F-CE1A3E52B494}"/>
    <hyperlink ref="B1156" r:id="rId2040" display="https://www.google.com/url?q=https://oj.uz/problem/view/IOI17_simurgh&amp;sa=D&amp;ust=1605639800784000&amp;usg=AFQjCNEGsDyuQ9pltSqdBhoNo-XnRwGnqA" xr:uid="{8940A8E0-4BBA-40BC-A49C-840F64928CDA}"/>
    <hyperlink ref="F1156" r:id="rId2041" display="https://www.google.com/url?q=https://github.com/mostafa-saad/MyCompetitiveProgramming/blob/master/Olympiad/IOI/IOI-17-simurgh.txt&amp;sa=D&amp;ust=1605639800784000&amp;usg=AFQjCNE3dWJoGp--XuApMSRr-AmtmWrkKw" xr:uid="{E8722675-A8E2-46A2-9FF2-AEACC00537B0}"/>
    <hyperlink ref="B1157" r:id="rId2042" display="https://www.google.com/url?q=https://oj.uz/problem/view/JOI19_virus&amp;sa=D&amp;ust=1605639800785000&amp;usg=AFQjCNHfFvy6GSsJsPGK50x3U5q0O4grzw" xr:uid="{09094277-BC86-49F7-AFD5-B21EAA9E10CD}"/>
    <hyperlink ref="F1157" r:id="rId2043" display="https://www.google.com/url?q=https://github.com/tmwilliamlin168/CompetitiveProgramming/blob/master/JOI/19O-Virus.cpp&amp;sa=D&amp;ust=1605639800785000&amp;usg=AFQjCNHlWQP7dDdywpTuchRlJRMiv3-HCQ" xr:uid="{1339A429-9951-42AA-8647-B7C7E15A9584}"/>
    <hyperlink ref="B1158" r:id="rId2044" display="https://www.google.com/url?q=https://github.com/mostafa-saad/MyCompetitiveProgramming/blob/master/Olympiad/infoarena/drumuri5-statement.txt&amp;sa=D&amp;ust=1605639800786000&amp;usg=AFQjCNGo6rJaAcp6pao3HoDJgY0K5dzBPQ" xr:uid="{2EA591B8-0A9F-40F1-BDFE-EFB403C0D938}"/>
    <hyperlink ref="F1158" r:id="rId2045" display="https://www.google.com/url?q=https://github.com/stefdasca/CompetitiveProgramming/blob/master/Infoarena/drumuri5.cpp&amp;sa=D&amp;ust=1605639800786000&amp;usg=AFQjCNEZhpWxXpzzrcpWrHHpdTR1SfSS-g" xr:uid="{3552EA2C-2ECF-4152-B5DD-3A98C77A2E8F}"/>
    <hyperlink ref="B1159" r:id="rId2046" display="https://www.google.com/url?q=https://csacademy.com/contest/ceoi-2017-day-1/tasks/&amp;sa=D&amp;ust=1605639800786000&amp;usg=AFQjCNGExCd5AywJygFqz9DbLvrGQpTSIQ" xr:uid="{26F77644-82C6-4131-85F7-621EA493129A}"/>
    <hyperlink ref="F1159" r:id="rId2047" display="https://www.google.com/url?q=https://github.com/mostafa-saad/MyCompetitiveProgramming/blob/master/Olympiad/CEOI/CEOI-17-OneWay.txt&amp;sa=D&amp;ust=1605639800786000&amp;usg=AFQjCNENfNYPnf2aD8sFeb84md6DbCKfcw" xr:uid="{FAA11788-7136-4BBD-B4CD-D75165134761}"/>
    <hyperlink ref="B1160" r:id="rId2048" display="https://www.google.com/url?q=https://tioj.ck.tp.edu.tw/problems/1744&amp;sa=D&amp;ust=1605639800787000&amp;usg=AFQjCNFvomV_plBDtJn5SZ7SDxvbRAIThw" xr:uid="{6E7035A4-613A-4777-8BDE-471CBEF8FCA4}"/>
    <hyperlink ref="F1160" r:id="rId2049" display="https://www.google.com/url?q=https://github.com/goar5670/CompetitiveProgramming/blob/master/APIO%252009-ATM.cpp&amp;sa=D&amp;ust=1605639800789000&amp;usg=AFQjCNFwK9g50NG-dLDUqXo85eg3blBvmA" xr:uid="{05A8716C-CF22-430F-AB01-9C07E18D6DB4}"/>
    <hyperlink ref="B1161" r:id="rId2050" display="https://www.google.com/url?q=https://szkopul.edu.pl/problemset/problem/9TaxfuNdAv2FPpQ6PeB-vlti/site/&amp;sa=D&amp;ust=1605639800790000&amp;usg=AFQjCNGmVRvksfOLduiZ1ITRx7mR5Nhobg" xr:uid="{11CC324B-4522-49C5-8651-8CDAF6820E3E}"/>
    <hyperlink ref="F1161" r:id="rId2051" display="https://www.google.com/url?q=https://github.com/mostafa-saad/MyCompetitiveProgramming/blob/master/Olympiad/POI/POI-16-Streets.txt&amp;sa=D&amp;ust=1605639800790000&amp;usg=AFQjCNGvPrk38lltZgxyU8GMRe-pUZRRlw" xr:uid="{BFC7B528-8B79-4A51-ACC2-EE99333AF0CA}"/>
    <hyperlink ref="B1162" r:id="rId2052" display="https://www.google.com/url?q=https://www.acmicpc.net/problem/5253&amp;sa=D&amp;ust=1605639800791000&amp;usg=AFQjCNG52wvJmbMori6Mh3e5aUl8yV_KXg" xr:uid="{D6FCC8E8-468F-4C26-8DD1-2BDFF67BBB25}"/>
    <hyperlink ref="F1162" r:id="rId2053" display="https://www.google.com/url?q=https://github.com/mostafa-saad/MyCompetitiveProgramming/blob/master/Olympiad/Balkan/Balkan-12-Fan_Groups.txt&amp;sa=D&amp;ust=1605639800791000&amp;usg=AFQjCNFQPchrTWffzGua6tmvan1S-rA_dg" xr:uid="{9A20A0E1-8380-4E13-BEB0-05F4A997C2D2}"/>
    <hyperlink ref="B1163" r:id="rId2054" display="https://www.google.com/url?q=https://szkopul.edu.pl/problemset/problem/pWnFB3uRHH0y29PwkMBS2T0Z/site/&amp;sa=D&amp;ust=1605639800791000&amp;usg=AFQjCNGI_eApSroIQCQKKGVfBNLjzhBtng" xr:uid="{06862AF0-D190-40DC-A0A9-5BE152E61C1E}"/>
    <hyperlink ref="F1163" r:id="rId2055" display="https://www.google.com/url?q=https://github.com/mostafa-saad/MyCompetitiveProgramming/blob/master/Olympiad/CEOI/CEOI-11-Traffic.txt&amp;sa=D&amp;ust=1605639800792000&amp;usg=AFQjCNFctC3CM0Ah1-U-pQepsWDgBv3JxQ" xr:uid="{7757A2C2-D8E2-4B61-B983-B6CB2A0C2FBB}"/>
    <hyperlink ref="B1164" r:id="rId2056" display="https://www.google.com/url?q=https://szkopul.edu.pl/problemset/problem/p9uJo01RR9ouMLLAYroFuQ-7/site/&amp;sa=D&amp;ust=1605639800792000&amp;usg=AFQjCNEiKjXVl1esjz26GR8Nox6YfAF0Tg" xr:uid="{977618E6-6C03-4BA4-94E7-E98867E4E690}"/>
    <hyperlink ref="F1164" r:id="rId2057" display="https://www.google.com/url?q=https://github.com/mostafa-saad/MyCompetitiveProgramming/blob/master/Olympiad/POI/official/find_editorial_sols_guidelines.txt&amp;sa=D&amp;ust=1605639800792000&amp;usg=AFQjCNHX-wrE8MGJApeWITvni71fi8HdsA" xr:uid="{22ADBC95-FE58-4E60-9CFC-DADFCEDD1121}"/>
    <hyperlink ref="B1165" r:id="rId2058" display="https://www.google.com/url?q=https://oj.uz/problems/source/245&amp;sa=D&amp;ust=1605639800793000&amp;usg=AFQjCNEzwBfOC5hODp9GWsly5PDIlPymww" xr:uid="{E29B62C3-A728-47CC-AAD7-905D9CCB3544}"/>
    <hyperlink ref="B1166" r:id="rId2059" display="https://www.google.com/url?q=http://usaco.org/index.php?page%3Dviewproblem2%26cpid%3D516&amp;sa=D&amp;ust=1605639800793000&amp;usg=AFQjCNFjh7wCsgegE014W-JLgrMdWGzOOA" xr:uid="{80FD0A8B-B776-403B-83C9-C4B45D887194}"/>
    <hyperlink ref="F1166" r:id="rId2060" display="https://www.google.com/url?q=https://github.com/updown2/OI-Practice/blob/master/USACO/2014-2015/January/Problem%25203%2520grass.cpp&amp;sa=D&amp;ust=1605639800794000&amp;usg=AFQjCNEwYEkLoi31y21XIHzhVf9W-GhVGA" xr:uid="{48F61F13-0C19-4DAA-B5B5-9E47988355AA}"/>
    <hyperlink ref="B1167" r:id="rId2061" display="https://www.google.com/url?q=https://dmoj.ca/problem/coci06c3p5&amp;sa=D&amp;ust=1605639800794000&amp;usg=AFQjCNGQC0IwbdS3DAOvkvkmE_b19H49cQ" xr:uid="{9FC94DE3-39D0-4464-BE19-C6DE5788CD38}"/>
    <hyperlink ref="F1167" r:id="rId2062" display="https://www.google.com/url?q=https://github.com/mostafa-saad/MyCompetitiveProgramming/blob/master/Olympiad/CEOI/06-Bicikli.txt&amp;sa=D&amp;ust=1605639800794000&amp;usg=AFQjCNGFnv59C24RFDcyxl6FW3TRW6DP8Q" xr:uid="{1B92B2A6-36E3-43F7-B75F-4CD7FEDA6246}"/>
    <hyperlink ref="B1168" r:id="rId2063" display="https://www.google.com/url?q=https://szkopul.edu.pl/problemset/problem/1ACC1pIG2nDGZefi1v5BVSmw/site/?key%3Dstatement&amp;sa=D&amp;ust=1605639800795000&amp;usg=AFQjCNGc93LPrVLE1bFk642F64O1pBmD_w" xr:uid="{39C22E9E-CD19-4ADF-8AE4-3855846590A1}"/>
    <hyperlink ref="F1168" r:id="rId2064" display="https://www.google.com/url?q=https://github.com/HeartBlue/CompetitiveProgramming/blob/master/POI/POI%252000-SPO%2520Peaceful%2520Commission.cpp&amp;sa=D&amp;ust=1605639800795000&amp;usg=AFQjCNFAO0R1i57d4ziMWDbmzhLRtp0kNw" xr:uid="{7F7C49F8-DAA8-4ECA-A128-7966846881BB}"/>
    <hyperlink ref="B1169" r:id="rId2065" display="https://www.google.com/url?q=https://cses.fi/113/list/&amp;sa=D&amp;ust=1605639800795000&amp;usg=AFQjCNHtdJMwsBlTBsdsWAA_JvQTdTjgTg" xr:uid="{D2981742-5960-4BF5-BE5F-3E0402B7E84C}"/>
    <hyperlink ref="F1169" r:id="rId2066" display="https://www.google.com/url?q=https://github.com/mostafa-saad/MyCompetitiveProgramming/blob/master/Olympiad/Baltic/Baltic-08-Gates.txt&amp;sa=D&amp;ust=1605639800796000&amp;usg=AFQjCNF5mOcpYLeVqR1-D6koqbOr43VSzA" xr:uid="{BB045AF8-6A2E-4440-BF1A-B91AE8C46BEA}"/>
    <hyperlink ref="B1170" r:id="rId2067" display="https://www.google.com/url?q=https://dmoj.ca/problem/coi06p2&amp;sa=D&amp;ust=1605639800796000&amp;usg=AFQjCNHRjqhtFqt0Er_tD761mJzvqI5dkg" xr:uid="{106A704B-981E-44BD-9C0D-652223F3B24B}"/>
    <hyperlink ref="F1170" r:id="rId2068" display="https://www.google.com/url?q=https://github.com/timpostuvan/CompetitiveProgramming/blob/master/Olympiad/COI/Policija2006.cpp&amp;sa=D&amp;ust=1605639800796000&amp;usg=AFQjCNFzAKuXczQL5uKxJ8WZ3iayX2tpPA" xr:uid="{9E9A40CC-D9D6-4B67-A114-ABA713BC089A}"/>
    <hyperlink ref="B1171" r:id="rId2069" display="https://www.google.com/url?q=https://codeforces.com/contest/1192/problem/A&amp;sa=D&amp;ust=1605639800797000&amp;usg=AFQjCNHVQqZvz0BMOcL71JW7gfAIXtbEkQ" xr:uid="{CE9F5AC3-6BA5-4C6D-902F-AB0D17D2A126}"/>
    <hyperlink ref="F1171" r:id="rId2070" display="https://www.google.com/url?q=https://codeforces.com/blog/entry/68676&amp;sa=D&amp;ust=1605639800797000&amp;usg=AFQjCNFiiTpovJm7VJV68kC4qaMyLxzSGw" xr:uid="{24F57993-37EF-4BD8-A3D4-3F2D69ED149D}"/>
    <hyperlink ref="B1172" r:id="rId2071" display="https://www.google.com/url?q=https://oj.uz/problems/source/326&amp;sa=D&amp;ust=1605639800797000&amp;usg=AFQjCNG7FGayV-rccNPSac11Lfx_MB8JWA" xr:uid="{F1D05531-E5C8-4020-A372-641AAF6E5F2F}"/>
    <hyperlink ref="F1172" r:id="rId2072" display="https://www.google.com/url?q=https://github.com/mostafa-saad/MyCompetitiveProgramming/blob/master/Olympiad/APIO/APIO-18-duathlon.txt&amp;sa=D&amp;ust=1605639800798000&amp;usg=AFQjCNH1tSQQdSgwrjgZVJXenOlnK6EMzA" xr:uid="{930BD5EA-95A8-4B24-B361-A55CC220785D}"/>
    <hyperlink ref="B1173" r:id="rId2073" display="https://www.google.com/url?q=https://szkopul.edu.pl/problemset/problem/y9HM1ctDU8V8xLMRUYACDIRs/site/&amp;sa=D&amp;ust=1605639800798000&amp;usg=AFQjCNFmKJEfVmg-ZGBD_YZQImA-fGH32g" xr:uid="{4E87AFE7-9832-456B-8F4F-4EFEE780C4E0}"/>
    <hyperlink ref="F1173" r:id="rId2074" display="https://www.google.com/url?q=https://github.com/mostafa-saad/MyCompetitiveProgramming/blob/master/Olympiad/POI/POI-16-Hydro.txt&amp;sa=D&amp;ust=1605639800798000&amp;usg=AFQjCNFbBzDUCSoSp1WSiFfttpQpOYNq6g" xr:uid="{B9B669AA-032B-4218-8140-4BAD2E84AABB}"/>
    <hyperlink ref="B1174" r:id="rId2075" display="https://www.google.com/url?q=https://szkopul.edu.pl/problemset/problem/YY6-3ua-C1rt7q-97laWc0UP/site/&amp;sa=D&amp;ust=1605639800799000&amp;usg=AFQjCNF6YaxCRx76nAa5cIpd4BiFKzynnA" xr:uid="{49BB3EF0-C573-4E92-BB67-37EDC36F815D}"/>
    <hyperlink ref="F1174" r:id="rId2076" display="https://www.google.com/url?q=https://github.com/mostafa-saad/MyCompetitiveProgramming/blob/master/Olympiad/POI/POI-16-Journey.txt&amp;sa=D&amp;ust=1605639800799000&amp;usg=AFQjCNF7Nv7AYE62j84a9vIhYxYt8IZxYQ" xr:uid="{D6CFFD61-789D-402F-A496-0DD8CDB0EAE6}"/>
    <hyperlink ref="B1175" r:id="rId2077" display="https://www.google.com/url?q=https://dmoj.ca/problem/coci07c1p6&amp;sa=D&amp;ust=1605639800800000&amp;usg=AFQjCNGuuwpEIST5O7yxubgoCrHPdDn4Ew" xr:uid="{F4175ECF-8CDF-457B-9BAB-283377490535}"/>
    <hyperlink ref="F1175" r:id="rId2078" display="https://www.google.com/url?q=https://github.com/mostafa-saad/MyCompetitiveProgramming/blob/master/Olympiad/COCI/COCI-07-Staza.txt&amp;sa=D&amp;ust=1605639800800000&amp;usg=AFQjCNEUMbroPJ9o2F7AVG0GHGRfUyv2QQ" xr:uid="{BC940BC7-BA54-4872-AA05-6D05113E8C20}"/>
    <hyperlink ref="B1176" r:id="rId2079" display="https://www.google.com/url?q=http://usaco.org/index.php?page%3Dviewproblem2%26cpid%3D769&amp;sa=D&amp;ust=1605639800800000&amp;usg=AFQjCNGtX_l8z34aJmVpFenCQJPOcmK71A" xr:uid="{5CDB8456-5FE1-43B4-9B82-A53E24FC52DE}"/>
    <hyperlink ref="B1177" r:id="rId2080" display="https://www.google.com/url?q=https://training.ia-toki.org/problemsets/87/problems/445/&amp;sa=D&amp;ust=1605639800801000&amp;usg=AFQjCNGv1Qn0OVheuVmMg45J4RAtuXK1wg" xr:uid="{8D6B719A-71B1-4A61-829C-55C36BFED4F4}"/>
    <hyperlink ref="F1177" r:id="rId2081" display="https://www.google.com/url?q=https://github.com/win11905/submission/blob/master/TOKI/17/beauty/beauty.cpp&amp;sa=D&amp;ust=1605639800803000&amp;usg=AFQjCNGYrmFAq0yklHsL-NONWnmC9zr5aw" xr:uid="{B4577487-A8F5-49E2-BC00-AEC4A50D2B96}"/>
    <hyperlink ref="B1178" r:id="rId2082" display="https://www.google.com/url?q=https://cses.fi/192/list/&amp;sa=D&amp;ust=1605639800803000&amp;usg=AFQjCNEH73dEIkoVatxM3fxErKKYoJuw7A" xr:uid="{D41CB831-A246-4ACF-8BA8-1A9E0DC5BA72}"/>
    <hyperlink ref="F1178" r:id="rId2083" display="https://www.google.com/url?q=https://github.com/mostafa-saad/MyCompetitiveProgramming/blob/master/Olympiad/CEOI/CEOI-05-Net.txt&amp;sa=D&amp;ust=1605639800803000&amp;usg=AFQjCNGaz5w5huIfYinr3ASie5WJsAg-uw" xr:uid="{1B3E14D3-BEB1-4B9A-8243-50D15FC663CA}"/>
    <hyperlink ref="B1179" r:id="rId2084" display="https://www.google.com/url?q=https://oj.uz/problem/view/COI14_grad&amp;sa=D&amp;ust=1605639800804000&amp;usg=AFQjCNHX-Y8BQDTwGy3_6c1U_falzSKpZQ" xr:uid="{08AF24FB-8017-4CBF-B2D0-F783A29CF230}"/>
    <hyperlink ref="F1179" r:id="rId2085" display="https://www.google.com/url?q=https://github.com/mostafa-saad/MyCompetitiveProgramming/tree/master/Olympiad/COI/official/2014&amp;sa=D&amp;ust=1605639800804000&amp;usg=AFQjCNHsmXAkaAN2GV3PfNBefx6cccvI1A" xr:uid="{CF2DE1CD-90F9-41AD-A6B5-BC743DB7FC46}"/>
    <hyperlink ref="B1180" r:id="rId2086" display="https://www.google.com/url?q=https://csacademy.com/contest/ioi-2016-training-round-3/task/tree-nodes-destruction/&amp;sa=D&amp;ust=1605639800804000&amp;usg=AFQjCNHVr07MI15ElAYskHvFUHcO3-FfbQ" xr:uid="{3DFC9AA1-3EDD-43E0-8A1F-308F94FD91AA}"/>
    <hyperlink ref="B1181" r:id="rId2087" display="https://www.google.com/url?q=https://www.infoarena.ro/problema/casute&amp;sa=D&amp;ust=1605639800804000&amp;usg=AFQjCNGN4RzjiRqtcHOp_UfTh3FFcXWl9w" xr:uid="{1204E507-045E-481E-B2B2-BEE9BDDF94F1}"/>
    <hyperlink ref="F1181" r:id="rId2088" display="https://www.google.com/url?q=https://github.com/mostafa-saad/MyCompetitiveProgramming/blob/master/Olympiad/infoarena/infoarena_casute.txt&amp;sa=D&amp;ust=1605639800805000&amp;usg=AFQjCNF5OuCCyjvP6GqZHo49wbqCYOCIBw" xr:uid="{2A50E669-FAAB-416B-819B-8CA26C0AE25F}"/>
    <hyperlink ref="F1182" r:id="rId2089" display="https://www.google.com/url?q=https://github.com/dolphingarlic/CompetitiveProgramming/blob/master/COI/COCI%252020-putovanje.cpp&amp;sa=D&amp;ust=1605639800805000&amp;usg=AFQjCNG-Wv8bitQy67S0p0wjeEYzKlxBFQ" xr:uid="{09CC9CB5-28C5-465D-B7D1-B572C94AF990}"/>
    <hyperlink ref="B1183" r:id="rId2090" display="https://www.google.com/url?q=https://infoarena.ro/problema/hacker2&amp;sa=D&amp;ust=1605639800805000&amp;usg=AFQjCNGMR_qaFoyO8ALpE136TD9-Wm62aA" xr:uid="{9386B400-7ABB-40D7-8E19-D6E2516BECDC}"/>
    <hyperlink ref="F1183" r:id="rId2091" display="https://www.google.com/url?q=https://github.com/stefdasca/CompetitiveProgramming/blob/master/Infoarena/hacker2.cpp&amp;sa=D&amp;ust=1605639800806000&amp;usg=AFQjCNGfknR4jC2ipbT8kSbUwCiLQDyi0w" xr:uid="{F0EB2D51-19F4-4678-A49B-5641B4F0A6C2}"/>
    <hyperlink ref="B1184" r:id="rId2092" display="https://www.google.com/url?q=https://oj.uz/problem/view/BOI19_valley&amp;sa=D&amp;ust=1605639800806000&amp;usg=AFQjCNGv0uBjzydbAxzJyB8VptOustRy_g" xr:uid="{6C411A0D-DCFA-4FC7-B394-61C0724E8B57}"/>
    <hyperlink ref="F1184" r:id="rId2093" display="https://www.google.com/url?q=https://github.com/mostafa-saad/MyCompetitiveProgramming/blob/master/Olympiad/Baltic/Baltic-19-valley.txt&amp;sa=D&amp;ust=1605639800806000&amp;usg=AFQjCNEEemLCRU_45kkhHbnxnlWxJWL2ow" xr:uid="{6B16E55B-17EC-4313-9D8C-D7FF30D2D662}"/>
    <hyperlink ref="B1185" r:id="rId2094" display="https://www.google.com/url?q=https://oj.uz/problem/view/IZhO18_plan&amp;sa=D&amp;ust=1605639800806000&amp;usg=AFQjCNFx34QS7YDkXEUae4gB4PRjSngdKg" xr:uid="{00196ACC-DC94-4E3A-A2A6-426619B18CE9}"/>
    <hyperlink ref="B1186" r:id="rId2095" display="https://www.google.com/url?q=https://oj.uz/problem/view/IZhO18_treearray&amp;sa=D&amp;ust=1605639800807000&amp;usg=AFQjCNHarhunNLljADvOiKdEmIx0P880-A" xr:uid="{E09FB3E2-200E-4D98-817A-F1A7811026E2}"/>
    <hyperlink ref="F1186" r:id="rId2096" display="https://www.google.com/url?q=https://github.com/mostafa-saad/MyCompetitiveProgramming/blob/master/Olympiad/IZhO/IZhO-18-treearray.txt&amp;sa=D&amp;ust=1605639800807000&amp;usg=AFQjCNG4FHJCCnef97cufkfY9Ll9rgQdNQ" xr:uid="{08238A18-69F5-483B-80CB-034396C964F4}"/>
    <hyperlink ref="B1187" r:id="rId2097" display="https://www.google.com/url?q=https://training.ia-toki.org/problemsets/113/problems&amp;sa=D&amp;ust=1605639800807000&amp;usg=AFQjCNHCz6p1Pm9f-HIEZYw5KYkpkS_IzA" xr:uid="{D361C12C-CDE6-4275-93FA-1E7ECE881A63}"/>
    <hyperlink ref="F1187" r:id="rId2098" display="https://www.google.com/url?q=https://github.com/mostafa-saad/MyCompetitiveProgramming/blob/master/Olympiad/TOKI/TOKIOpen-18-TileCovering.txt&amp;sa=D&amp;ust=1605639800807000&amp;usg=AFQjCNH_8PnBSS96zgqVqPnJxGxEkyxuQQ" xr:uid="{0F678420-9732-451D-B8AE-6B5730C91B0C}"/>
    <hyperlink ref="B1188" r:id="rId2099" display="https://www.google.com/url?q=https://cses.fi/108/list/&amp;sa=D&amp;ust=1605639800808000&amp;usg=AFQjCNEeNY8fpfq9yqdVBbvvcjM3HqDrCw" xr:uid="{1ED2AB5C-A1A1-4411-9F38-C26357D8AA67}"/>
    <hyperlink ref="F1188" r:id="rId2100" display="https://www.google.com/url?q=https://github.com/mostafa-saad/MyCompetitiveProgramming/blob/master/Olympiad/Baltic/Baltic-09-Triangulate.txt&amp;sa=D&amp;ust=1605639800808000&amp;usg=AFQjCNGpJLRELn0cJymGGk_WSd4t7EcpLg" xr:uid="{42D1FBE2-9100-4153-9CEB-F507EDDFD5E3}"/>
    <hyperlink ref="B1189" r:id="rId2101" display="https://www.google.com/url?q=http://usaco.org/index.php?page%3Dviewproblem2%26cpid%3D576&amp;sa=D&amp;ust=1605639800808000&amp;usg=AFQjCNEgI8Dnu_PBWf6DzhZn2xHMVOpUyA" xr:uid="{D3F60F42-4A88-4C77-88E9-D6B6D11C2D7E}"/>
    <hyperlink ref="B1190" r:id="rId2102" display="https://www.google.com/url?q=https://dmoj.ca/problem/coci14c3p5&amp;sa=D&amp;ust=1605639800809000&amp;usg=AFQjCNHiyW5pKimdDQIWgVQQetA1LcwrfQ" xr:uid="{087AF0B5-D486-43DA-B2FD-7AA5B2509298}"/>
    <hyperlink ref="F1190" r:id="rId2103" display="https://www.google.com/url?q=https://github.com/mostafa-saad/MyCompetitiveProgramming/blob/master/Olympiad/COCI/COCI-14-Stogovi.txt&amp;sa=D&amp;ust=1605639800809000&amp;usg=AFQjCNHRWi1cSMil74W-wDxsProfLrJf1Q" xr:uid="{5FF105AE-1E43-46FE-AF87-DAA035F6B36E}"/>
    <hyperlink ref="B1191" r:id="rId2104" display="https://www.google.com/url?q=https://dmoj.ca/problem/utso15p5&amp;sa=D&amp;ust=1605639800809000&amp;usg=AFQjCNFAiTZ56IvDR2NJ4hCitR-K9R3xhQ" xr:uid="{C38918F1-47D4-4F6E-9E91-276EECCE80EB}"/>
    <hyperlink ref="F1191" r:id="rId2105" display="https://www.google.com/url?q=https://github.com/win11905/submission/blob/61c76f8b073e5e5446e7688626c487a4dcbfcd9e/Dmoj/utso15p5.cpp&amp;sa=D&amp;ust=1605639800810000&amp;usg=AFQjCNHzg4gM6S1Xg1MepG2hTsLLaIh1Lw" xr:uid="{A707C13F-F8B1-44DC-B5A8-022C4CCBE914}"/>
    <hyperlink ref="B1192" r:id="rId2106" display="https://www.google.com/url?q=https://csacademy.com/contest/round-78/task/generating-set/&amp;sa=D&amp;ust=1605639800810000&amp;usg=AFQjCNGKLtJQiIvNpGeH1_wbVdujUcZF4A" xr:uid="{7E136226-AD16-49EE-AA66-F14E3A0BF22A}"/>
    <hyperlink ref="B1193" r:id="rId2107" display="https://www.google.com/url?q=https://oj.uz/problems/source/314&amp;sa=D&amp;ust=1605639800810000&amp;usg=AFQjCNEa217nnXf_-1CWxGXn9PZAsvUtDg" xr:uid="{06AFB056-B2BE-4163-A18D-DAF5B9DA2AB9}"/>
    <hyperlink ref="F1193" r:id="rId2108" display="https://www.google.com/url?q=https://github.com/tmwilliamlin168/CompetitiveProgramming/blob/master/JOI/18SC-Asceticism.cpp&amp;sa=D&amp;ust=1605639800811000&amp;usg=AFQjCNFQOOr34X8deI2iIfcIZMaEujt7qw" xr:uid="{E4D70174-6A0D-48E9-9CAB-16B7F80B2D8A}"/>
    <hyperlink ref="B1194" r:id="rId2109" display="https://www.google.com/url?q=https://oj.uz/problem/view/COCI17_gauss&amp;sa=D&amp;ust=1605639800811000&amp;usg=AFQjCNGlhw7OLI0hmUhIJRpUCDMybyBLxQ" xr:uid="{134732BB-8EC3-4987-96E4-949A18D2E9B5}"/>
    <hyperlink ref="B1195" r:id="rId2110" display="https://www.google.com/url?q=https://oj.uz/problem/view/IZhO17_bomb&amp;sa=D&amp;ust=1605639800811000&amp;usg=AFQjCNFzEGfCd9ts_qJv2cR20WHaIepcbw" xr:uid="{359BBE62-1804-4826-805D-2BD6320C2BDE}"/>
    <hyperlink ref="F1195" r:id="rId2111" display="https://www.google.com/url?q=https://github.com/ihdignite/CompetitiveProgramming/blob/master/IZHO/17-Bomb.cpp&amp;sa=D&amp;ust=1605639800813000&amp;usg=AFQjCNFjAJO5vOIanHEtsDL2U3fSWQ2f9g" xr:uid="{E02E5B67-E227-4530-A5FF-50274D6FD823}"/>
    <hyperlink ref="B1196" r:id="rId2112" display="https://www.google.com/url?q=https://cses.fi/193/list/&amp;sa=D&amp;ust=1605639800813000&amp;usg=AFQjCNF-ffLP7zNY2QexuCGSEEsxzns_sg" xr:uid="{B8AE5BA8-DE31-42A4-A192-76B3C72CE11F}"/>
    <hyperlink ref="F1196" r:id="rId2113" display="https://www.google.com/url?q=https://github.com/mostafa-saad/MyCompetitiveProgramming/blob/master/Olympiad/CEOI/CEOI-16-trick.txt&amp;sa=D&amp;ust=1605639800814000&amp;usg=AFQjCNHaBMU3hjsjFjnJPeQRh54lYWMxfw" xr:uid="{EC767746-1F33-4468-903C-9A396601B9B1}"/>
    <hyperlink ref="B1197" r:id="rId2114" display="https://www.google.com/url?q=https://www.hackerrank.com/contests/boi-2016/challenges&amp;sa=D&amp;ust=1605639800814000&amp;usg=AFQjCNFFXFAJWLggmO8Vs8PwZy1jOEC8Mw" xr:uid="{BDBF2176-B053-4F0E-B716-AB52039D7779}"/>
    <hyperlink ref="F1197" r:id="rId2115" display="https://www.google.com/url?q=https://bytefreaks.net/cyprus-computer-society/tasks-balkan-olympiad-in-informatics-2016&amp;sa=D&amp;ust=1605639800814000&amp;usg=AFQjCNEMiXRk9d9JxlAUWoeW0Yf1rE2m4Q" xr:uid="{9693A2C0-3A28-41F6-8DED-A310E38EC3A1}"/>
    <hyperlink ref="B1198" r:id="rId2116" display="https://www.google.com/url?q=https://oj.uz/problem/view/IZhO19_xorsum&amp;sa=D&amp;ust=1605639800815000&amp;usg=AFQjCNFpH9XmGd2fcCECf15JNLM9kiP0Og" xr:uid="{E8281488-A665-446E-9646-FAA8706C39F0}"/>
    <hyperlink ref="B1199" r:id="rId2117" display="https://www.google.com/url?q=https://szkopul.edu.pl/problemset/problem/DKfNUFPEex9M2RZxld6pPcxT/site/&amp;sa=D&amp;ust=1605639800815000&amp;usg=AFQjCNG1mnIoBtu9NwW2B7IszWvoZ6gsxA" xr:uid="{FB6182C9-876D-477C-8B1B-0CBCB1429732}"/>
    <hyperlink ref="F1199" r:id="rId2118" display="https://www.google.com/url?q=https://github.com/mostafa-saad/MyCompetitiveProgramming/blob/master/Olympiad/POI/official/find_editorial_sols_guidelines.txt&amp;sa=D&amp;ust=1605639800816000&amp;usg=AFQjCNGZRgngnGIofHeOhm1xmAUmUYKt0w" xr:uid="{099FE3DC-8807-4207-A2E3-B263D2562E30}"/>
    <hyperlink ref="B1200" r:id="rId2119" display="https://www.google.com/url?q=https://szkopul.edu.pl/problemset/problem/O730xgZEVynTWBmscBinhMbD/site/&amp;sa=D&amp;ust=1605639800816000&amp;usg=AFQjCNEPuNBKp-V1L-mUajwWKDwHeE_ydw" xr:uid="{387ABEC2-CAFC-4486-9986-88B81003929E}"/>
    <hyperlink ref="F1200" r:id="rId2120" display="https://www.google.com/url?q=https://github.com/mostafa-saad/MyCompetitiveProgramming/blob/master/Olympiad/POI/POI-16-Arkanoid.txt&amp;sa=D&amp;ust=1605639800816000&amp;usg=AFQjCNG8866K-bh965undpc117U0TZ8MPQ" xr:uid="{188CA5E5-8FB1-4D5F-A9B9-FA93E00FCE4E}"/>
    <hyperlink ref="B1201" r:id="rId2121" display="https://www.google.com/url?q=https://szkopul.edu.pl/problemset/problem/vQpjG0o3j0x3BQDNXpuciN3n/site/&amp;sa=D&amp;ust=1605639800817000&amp;usg=AFQjCNF4HnWsWhBeqAR1OnXFaOaJmnY-kg" xr:uid="{FB5D0683-54CF-46B6-B4EE-65740B242E3B}"/>
    <hyperlink ref="F1201" r:id="rId2122" display="https://www.google.com/url?q=https://github.com/mostafa-saad/MyCompetitiveProgramming/blob/master/Olympiad/CEOI/CEOI-04-Sweets.txt&amp;sa=D&amp;ust=1605639800817000&amp;usg=AFQjCNHYgEzUcN2gn7dp826DRokqpQtXjg" xr:uid="{234E204F-A70C-4820-8A9E-4CAE79DAC925}"/>
    <hyperlink ref="B1202" r:id="rId2123" display="https://www.google.com/url?q=https://www.infoarena.ro/problema/perioada&amp;sa=D&amp;ust=1605639800817000&amp;usg=AFQjCNHDkI-6FgCApxAH0q5ycJ8nHoHegQ" xr:uid="{17A8A349-BB91-41F9-8402-DA8C399F98E6}"/>
    <hyperlink ref="F1202" r:id="rId2124" display="https://www.google.com/url?q=https://github.com/mostafa-saad/MyCompetitiveProgramming/blob/master/Olympiad/infoarena/infoarena_perioada.txt&amp;sa=D&amp;ust=1605639800818000&amp;usg=AFQjCNEwE2BW2q5mxgQiSbU88EulUnm-Rw" xr:uid="{1D378B0F-3754-40C9-8109-99FF1164B99F}"/>
    <hyperlink ref="B1203" r:id="rId2125" display="https://www.google.com/url?q=https://szkopul.edu.pl/problemset/problem/rfG3gSJfUHoOk3t6379xduHr/site/&amp;sa=D&amp;ust=1605639800818000&amp;usg=AFQjCNEIW-xalPkCjo6zHAMT63r1jFZGNA" xr:uid="{3155F032-A4C4-4532-A9F4-146D95A5D5EA}"/>
    <hyperlink ref="F1203" r:id="rId2126" display="https://www.google.com/url?q=https://github.com/mostafa-saad/MyCompetitiveProgramming/blob/master/Olympiad/POI/POI-14-Panels.txt&amp;sa=D&amp;ust=1605639800818000&amp;usg=AFQjCNF01O2WxsD8jW_1H666aCpg_UF8Jw" xr:uid="{3C2046A0-F592-417F-AAE0-B737014F7C47}"/>
    <hyperlink ref="B1204" r:id="rId2127" display="https://www.google.com/url?q=https://dunjudge.me/analysis/problems/573/&amp;sa=D&amp;ust=1605639800819000&amp;usg=AFQjCNEmMhOi-DmEstF8psoNH-i5jzf9FQ" xr:uid="{F058D3E4-AC67-4421-80C3-DD420CEE2E2E}"/>
    <hyperlink ref="F1204" r:id="rId2128" display="https://www.google.com/url?q=https://github.com/mostafa-saad/MyCompetitiveProgramming/blob/master/Olympiad/Balkan/Balkan-11-decrypt.txt&amp;sa=D&amp;ust=1605639800819000&amp;usg=AFQjCNEFBRsqHWEskp7WrgD8RVApB1Mqog" xr:uid="{6DF9D265-0687-4C71-A527-A6360379375D}"/>
    <hyperlink ref="B1205" r:id="rId2129" display="https://www.google.com/url?q=https://codeforces.com/gym/102257/&amp;sa=D&amp;ust=1605639800819000&amp;usg=AFQjCNGJIxVT1wVOccWtlz5jdSweCagMVQ" xr:uid="{CFF97A69-FD9F-453D-AAC6-C8913AD1FA64}"/>
    <hyperlink ref="F1205" r:id="rId2130" display="https://www.google.com/url?q=https://github.com/mostafa-saad/MyCompetitiveProgramming/blob/master/Olympiad/APIO/APIO-19-strange_device.txt&amp;sa=D&amp;ust=1605639800820000&amp;usg=AFQjCNFnfOaCGIb7uIr1tp3prGOoM8M5iQ" xr:uid="{EAAE51FC-358C-4981-811A-425FE67088C1}"/>
    <hyperlink ref="B1206" r:id="rId2131" display="https://www.google.com/url?q=https://szkopul.edu.pl/problemset/problem/kTJwMBMs_vXtliFNlHAZ0Hcu/site/&amp;sa=D&amp;ust=1605639800820000&amp;usg=AFQjCNHdkPlXy7h77dCvtDnv28Xk6jWSvw" xr:uid="{010CA8EF-6EAD-47A5-BBD4-89AD7D4E4A9B}"/>
    <hyperlink ref="F1206" r:id="rId2132" display="https://www.google.com/url?q=https://github.com/mostafa-saad/MyCompetitiveProgramming/blob/master/Olympiad/CEOI/CEOI-04-Football.txt&amp;sa=D&amp;ust=1605639800820000&amp;usg=AFQjCNH9CbQRk_SebA6GUqHe_ebrOh8huQ" xr:uid="{46191290-B07D-4163-9773-139BC471B2A3}"/>
    <hyperlink ref="B1207" r:id="rId2133" display="https://www.google.com/url?q=https://www.infoarena.ro/problema/jap2&amp;sa=D&amp;ust=1605639800821000&amp;usg=AFQjCNHGsAcD9X7qlFHIz78fzwDz5IYS7A" xr:uid="{390C008F-1435-4EB2-85F9-430E847CDE53}"/>
    <hyperlink ref="F1207" r:id="rId2134" display="https://www.google.com/url?q=https://github.com/mostafa-saad/MyCompetitiveProgramming/blob/master/Olympiad/infoarena/infoarena-jap2.txt&amp;sa=D&amp;ust=1605639800821000&amp;usg=AFQjCNGWKtJc-qiCM1sYDpFkTOPQvbFoag" xr:uid="{821BF606-3F53-48C1-89B9-03D32DA21EA9}"/>
    <hyperlink ref="B1208" r:id="rId2135" display="https://www.google.com/url?q=https://www.infoarena.ro/problema/meneaito&amp;sa=D&amp;ust=1605639800822000&amp;usg=AFQjCNE8fZ7ZiO6zZRZIs44RGtyucE1hjQ" xr:uid="{5034EE06-10F5-42C9-94A8-00D91B0EF55B}"/>
    <hyperlink ref="F1208" r:id="rId2136" display="https://www.google.com/url?q=https://github.com/stefdasca/CompetitiveProgramming/blob/master/Infoarena/meneaito.cpp&amp;sa=D&amp;ust=1605639800822000&amp;usg=AFQjCNFMQaBzdbNQe4ZIhkH-D3vq0y-jfw" xr:uid="{4D60194E-F237-4F4B-80A7-4BD760B0BEA9}"/>
    <hyperlink ref="B1209" r:id="rId2137" display="https://www.google.com/url?q=https://dunjudge.me/analysis/problems/1663/&amp;sa=D&amp;ust=1605639800822000&amp;usg=AFQjCNFh6isGcq-VuG8fw89HCQHd6FA1aA" xr:uid="{FE38D28E-732A-4A5E-A66E-910F8D9A2BA9}"/>
    <hyperlink ref="F1209" r:id="rId2138" display="https://www.google.com/url?q=https://github.com/mostafa-saad/MyCompetitiveProgramming/blob/master/Olympiad/IOI/IOIPractice-17-coins.txt&amp;sa=D&amp;ust=1605639800823000&amp;usg=AFQjCNGwZVFTbD0FKXdU4sSoDgr7BwQR7w" xr:uid="{CC603D91-7C29-4EFE-B305-07968ABB2FB8}"/>
    <hyperlink ref="B1210" r:id="rId2139" display="https://www.google.com/url?q=https://infoarena.ro/problema/overpower&amp;sa=D&amp;ust=1605639800823000&amp;usg=AFQjCNFDv3QYjpUhEf4x_cAaaPjGdgM7UQ" xr:uid="{A6C0D764-1888-4847-B630-458428B7DF9B}"/>
    <hyperlink ref="F1210" r:id="rId2140" display="https://www.google.com/url?q=https://github.com/stefdasca/CompetitiveProgramming/blob/master/Infoarena/overpower.cpp&amp;sa=D&amp;ust=1605639800823000&amp;usg=AFQjCNGNYEw_adzuNPW1pz6sSo0ADa8qRg" xr:uid="{1B856D75-7395-4A4E-B4F1-15472007942D}"/>
    <hyperlink ref="B1211" r:id="rId2141" display="https://www.google.com/url?q=http://usaco.org/index.php?page%3Dviewproblem2%26cpid%3D924&amp;sa=D&amp;ust=1605639800824000&amp;usg=AFQjCNGcg0T70u_30oIi6tYV9qrHKvQA0g" xr:uid="{5022A20E-2197-4CEE-8803-170209BA9290}"/>
    <hyperlink ref="B1212" r:id="rId2142" display="https://www.google.com/url?q=https://szkopul.edu.pl/problemset/problem/y7tXjqVq0gPZjc8kPrscs2CJ/site/&amp;sa=D&amp;ust=1605639800824000&amp;usg=AFQjCNH4eH6PNPyCP0hXDT2b5jb6xLXA-g" xr:uid="{B2F1B615-5FA3-4BA1-BF7F-EECC03B881EB}"/>
    <hyperlink ref="F1212" r:id="rId2143" display="https://www.google.com/url?q=https://github.com/peon-pasado/CompetitiveProgramming/blob/master/szkoput/POI_07-Weights.cpp&amp;sa=D&amp;ust=1605639800865000&amp;usg=AFQjCNEKkQKfqG8y0YzrAnKIlOYcjmM3GQ" xr:uid="{C5C6096C-9DB2-4BB1-86D6-08D5D84887E4}"/>
    <hyperlink ref="B1213" r:id="rId2144" display="https://www.google.com/url?q=https://www.infoarena.ro/problema/matrice&amp;sa=D&amp;ust=1605639800866000&amp;usg=AFQjCNEO0kApG5Kj09rOaaYeqpuG0W8-WQ" xr:uid="{15744F1E-ADFF-497C-B065-B2FE5DEC54CD}"/>
    <hyperlink ref="F1213" r:id="rId2145" display="https://www.google.com/url?q=https://github.com/stefdasca/CompetitiveProgramming/blob/master/Infoarena/matrice.cpp&amp;sa=D&amp;ust=1605639800866000&amp;usg=AFQjCNHG8A0cyKXxeP4uMmhcx4hd_oVtVA" xr:uid="{9942BEB1-FDD2-45BF-91A8-30BBE500926A}"/>
    <hyperlink ref="F1214" r:id="rId2146" display="https://www.google.com/url?q=https://github.com/dolphingarlic/CompetitiveProgramming/blob/master/COI/COCI%252020-zapina.cpp&amp;sa=D&amp;ust=1605639800867000&amp;usg=AFQjCNHF20AFNbxTTLkMkaU_p1NZ3QbXsg" xr:uid="{91109661-BF09-4C17-A9D3-D09B9B9848F8}"/>
    <hyperlink ref="B1215" r:id="rId2147" display="https://www.google.com/url?q=https://www.infoarena.ro/problema/penal&amp;sa=D&amp;ust=1605639800867000&amp;usg=AFQjCNGv4gyAW9d76hcLlpD19OCWuySu4w" xr:uid="{11BBCAC8-147D-43BB-B4D6-AE793AD616E9}"/>
    <hyperlink ref="F1215" r:id="rId2148" display="https://www.google.com/url?q=https://github.com/stefdasca/CompetitiveProgramming/blob/master/Infoarena/penal.cpp&amp;sa=D&amp;ust=1605639800867000&amp;usg=AFQjCNGDaDv5SEb9-YzulxHEjXSbZkIQ0A" xr:uid="{BFD0A227-A77B-4AC6-83E9-6997B537D8B7}"/>
    <hyperlink ref="B1216" r:id="rId2149" display="https://www.google.com/url?q=https://oj.uz/problem/view/NOI12_modsum&amp;sa=D&amp;ust=1605639800868000&amp;usg=AFQjCNF5EuEUXnp4w72NI9rohspCaTTptQ" xr:uid="{738EE132-5E9F-4A5A-AD52-771AF6EABF2E}"/>
    <hyperlink ref="F1216" r:id="rId2150" display="https://www.google.com/url?q=https://github.com/win11905/submission/blob/master/NOI/12/modsum.cpp&amp;sa=D&amp;ust=1605639800868000&amp;usg=AFQjCNF0yBTCxGvkCWShlsQ_YBTbEcWB-Q" xr:uid="{D7BDABA0-5DB4-4E5D-80B5-C26634BADBB5}"/>
    <hyperlink ref="B1217" r:id="rId2151" display="https://www.google.com/url?q=https://dunjudge.me/analysis/problems/955/&amp;sa=D&amp;ust=1605639800868000&amp;usg=AFQjCNFHL9af_AZ7_ubYbU6vDUkdtQu_iQ" xr:uid="{32BBED9E-6ECE-45C6-9D30-8B0E2F652D14}"/>
    <hyperlink ref="F1217" r:id="rId2152" display="https://www.google.com/url?q=https://github.com/mostafa-saad/MyCompetitiveProgramming/blob/master/Olympiad/NOI/official&amp;sa=D&amp;ust=1605639800869000&amp;usg=AFQjCNFyy36LZEt6_A-ogVN3XxRaJ2n6mA" xr:uid="{9A6D0177-5C8E-44D0-83BE-11B196A9C513}"/>
    <hyperlink ref="B1218" r:id="rId2153" display="https://www.google.com/url?q=https://www.acmicpc.net/problem/2284&amp;sa=D&amp;ust=1605639800869000&amp;usg=AFQjCNEAIzC7Ve8elfGllBGEvMC2MuZQuw" xr:uid="{3C8B1FFA-22B0-4B74-BF37-F07B3603654D}"/>
    <hyperlink ref="F1218" r:id="rId2154" display="https://www.google.com/url?q=https://github.com/mostafa-saad/MyCompetitiveProgramming/blob/master/Olympiad/CEOI/CEOI-03-Therace.txt&amp;sa=D&amp;ust=1605639800869000&amp;usg=AFQjCNET1KQzK3jX5Nc_tOBIzKSQrHBOeg" xr:uid="{AA981DFD-D7A3-449F-B8E0-AA3DB8EBB118}"/>
    <hyperlink ref="B1219" r:id="rId2155" display="https://www.google.com/url?q=https://dmoj.ca/problem/coci07c2p5&amp;sa=D&amp;ust=1605639800870000&amp;usg=AFQjCNEmABU0QX6D41hsC4QNTOVuZfVyNw" xr:uid="{13195943-F35E-4037-90B0-54AD23FBF598}"/>
    <hyperlink ref="F1219" r:id="rId2156" display="https://www.google.com/url?q=https://github.com/mostafa-saad/MyCompetitiveProgramming/blob/master/Olympiad/COCI/COCI-07-Kemija.txt&amp;sa=D&amp;ust=1605639800870000&amp;usg=AFQjCNEhdBCsRHTmrCztE6GdPSTGL5893A" xr:uid="{05DEE2FE-478D-45F2-BA28-979A41CB1103}"/>
    <hyperlink ref="B1220" r:id="rId2157" display="https://www.google.com/url?q=https://dunjudge.me/analysis/problems/1413/&amp;sa=D&amp;ust=1605639800871000&amp;usg=AFQjCNFU6NIR7BBbJ-FATT9tvI0nNTqOcA" xr:uid="{C6DFEB99-ED9F-411E-9238-361176F6C811}"/>
    <hyperlink ref="F1220" r:id="rId2158" display="https://www.google.com/url?q=https://github.com/mostafa-saad/MyCompetitiveProgramming/blob/master/Olympiad/COCI/COCI-13-cokolade.txt&amp;sa=D&amp;ust=1605639800871000&amp;usg=AFQjCNGCKti0WWeckLhBkE-aTGNGpDAbUw" xr:uid="{2CD5A487-D288-49D9-BFE7-05E31A0F8078}"/>
    <hyperlink ref="B1221" r:id="rId2159" display="https://www.google.com/url?q=https://oj.uz/problem/view/COCI16_prosjecni&amp;sa=D&amp;ust=1605639800871000&amp;usg=AFQjCNGK_c7JCZI-7pvuT1uRTlxzXYtHpw" xr:uid="{7382F31D-4603-46F8-BE78-86CA79D40D7D}"/>
    <hyperlink ref="F1221" r:id="rId2160" display="https://www.google.com/url?q=https://github.com/mostafa-saad/MyCompetitiveProgramming/blob/master/Olympiad/COCI/official/2017/contest2_solutions&amp;sa=D&amp;ust=1605639800871000&amp;usg=AFQjCNEx1O7-AAd-hoZ8jurl7Icz1LZ0jQ" xr:uid="{F93E7CB6-BE82-4429-8D4B-B188BEBBED9B}"/>
    <hyperlink ref="B1222" r:id="rId2161" display="https://www.google.com/url?q=https://dmoj.ca/problem/coci15c4p4&amp;sa=D&amp;ust=1605639800872000&amp;usg=AFQjCNGi-nc9ae1tsyI0LH6xUZ0Q_HpL6Q" xr:uid="{80848AC9-118C-4B11-B35D-BAB3D7682F4B}"/>
    <hyperlink ref="B1223" r:id="rId2162" display="https://www.google.com/url?q=https://dmoj.ca/problem/fibonacci2&amp;sa=D&amp;ust=1605639800872000&amp;usg=AFQjCNHDB6yLB4ujTy6C12SmFeE3CADBgQ" xr:uid="{16C985C7-696B-410E-8972-A1ADC4776FDA}"/>
    <hyperlink ref="B1224" r:id="rId2163" display="https://www.google.com/url?q=https://contest.yandex.ru/contest/8699/problems/A&amp;sa=D&amp;ust=1605639800873000&amp;usg=AFQjCNEGB7UGReudJcMcu_xjd1LuuFnMjw" xr:uid="{1DC4C6E5-12CD-4C1D-A0DC-90CBF4A8BC6D}"/>
    <hyperlink ref="F1224" r:id="rId2164" display="https://www.google.com/url?q=https://github.com/SpeedOfMagic/CompetitiveProgramming/blob/master/SNSS/18-R1-A.cpp&amp;sa=D&amp;ust=1605639800873000&amp;usg=AFQjCNFIVpPJN3_q7vFocrADVFTufQ2emg" xr:uid="{F38D4298-49DC-4DF4-AA9E-BB978579425C}"/>
    <hyperlink ref="B1225" r:id="rId2165" display="https://www.google.com/url?q=https://dmoj.ca/problem/crci07p3&amp;sa=D&amp;ust=1605639800874000&amp;usg=AFQjCNFvJIwAyA38YeU9DEB_zJ5C1zzAtw" xr:uid="{711A690D-1D63-4865-BC13-C4F6AC6B3BB0}"/>
    <hyperlink ref="F1225" r:id="rId2166" display="https://www.google.com/url?q=https://github.com/mostafa-saad/MyCompetitiveProgramming/tree/master/Olympiad/COCI/official/2008/regional_solutions&amp;sa=D&amp;ust=1605639800874000&amp;usg=AFQjCNEf0d7GV7oNclYY0MW_7h5dFgz0Yg" xr:uid="{9243E828-C601-4BBD-8C80-7C20E2ECABE1}"/>
    <hyperlink ref="B1226" r:id="rId2167" display="https://www.google.com/url?q=https://contest.yandex.ru/ioi/contest/566/enter/&amp;sa=D&amp;ust=1605639800874000&amp;usg=AFQjCNGJTm7kNjE1jdUhs0kxMb4St6arvA" xr:uid="{5534B6C5-4D32-4841-A126-B39DA8A61CF5}"/>
    <hyperlink ref="F1226" r:id="rId2168" display="https://www.google.com/url?q=https://www.oi.edu.pl/old/ioi/downloads/ioi2005-tasks-and-solutions-a5.pdf&amp;sa=D&amp;ust=1605639800874000&amp;usg=AFQjCNHW4Sva3HGeDGMrkt8K0aWVkWOcIQ" xr:uid="{AA5614B9-D678-4F40-8D49-4F1B605573CF}"/>
    <hyperlink ref="B1227" r:id="rId2169" display="https://www.google.com/url?q=https://dunjudge.me/analysis/problems/705/&amp;sa=D&amp;ust=1605639800875000&amp;usg=AFQjCNHk7oRKvZ7JnBWNbP6Q0nkyz2qaLw" xr:uid="{D175DDD9-D6C9-49D5-B0B3-C8195EDAA741}"/>
    <hyperlink ref="F1227" r:id="rId2170" display="https://www.google.com/url?q=https://github.com/mostafa-saad/MyCompetitiveProgramming/blob/master/Olympiad/NOI/official&amp;sa=D&amp;ust=1605639800875000&amp;usg=AFQjCNE2v2yaqPF5xULo58WomAHeNB9R2w" xr:uid="{BF24EFDC-07B8-4395-AD5E-F243CC08A4E2}"/>
    <hyperlink ref="B1228" r:id="rId2171" display="https://www.google.com/url?q=https://infoarena.ro/problema/abx&amp;sa=D&amp;ust=1605639800875000&amp;usg=AFQjCNFJb0A0bk35eQS2nQz68byJygPUGQ" xr:uid="{9ABBD7D4-09E5-4C6D-94C9-802D04ECB097}"/>
    <hyperlink ref="F1228" r:id="rId2172" display="https://www.google.com/url?q=https://github.com/stefdasca/CompetitiveProgramming/blob/master/Infoarena/abx.cpp&amp;sa=D&amp;ust=1605639800876000&amp;usg=AFQjCNEN4Z3mW4NlKLcso8_whQPNzklaSQ" xr:uid="{643AA3E0-8513-4E8B-AA0D-4840E32DA682}"/>
    <hyperlink ref="B1229" r:id="rId2173" display="https://www.google.com/url?q=https://dunjudge.me/analysis/problems/552/&amp;sa=D&amp;ust=1605639800876000&amp;usg=AFQjCNHjmaSIw2YgiMVh1tOHxXHdUf76Fg" xr:uid="{B9A0BF3A-1646-46AF-9E7C-82F36DAA7514}"/>
    <hyperlink ref="F1229" r:id="rId2174" display="https://www.google.com/url?q=https://github.com/mostafa-saad/MyCompetitiveProgramming/tree/master/Olympiad/MCO/official/2014&amp;sa=D&amp;ust=1605639800876000&amp;usg=AFQjCNGQyRrpjGzDJCCncz9z1rZ7bNwGdw" xr:uid="{D0DA6F32-DD6D-42D7-97CE-4F695D41864D}"/>
    <hyperlink ref="B1230" r:id="rId2175" display="https://www.google.com/url?q=https://infoarena.ro/problema/cate3cifre&amp;sa=D&amp;ust=1605639800877000&amp;usg=AFQjCNGu33Iu2xoCvTB0bKDxpcPtygjIhA" xr:uid="{9BA316AB-E4FC-4272-AE0A-380353FD1099}"/>
    <hyperlink ref="F1230" r:id="rId2176" display="https://www.google.com/url?q=https://github.com/stefdasca/CompetitiveProgramming/blob/master/Infoarena/cate3cifre.cpp&amp;sa=D&amp;ust=1605639800878000&amp;usg=AFQjCNH4E3c253MuEHueJjmTqBn40WSSgw" xr:uid="{983AA0DD-5E1E-4A51-A212-4EC608ACC861}"/>
    <hyperlink ref="B1231" r:id="rId2177" display="https://www.google.com/url?q=https://oj.uz/problem/view/IOI17_coins&amp;sa=D&amp;ust=1605639800878000&amp;usg=AFQjCNHVp56NIykLVRFe6o7Aik43ckwxYA" xr:uid="{11A43A8F-68A2-4266-AEA2-9925FCE59408}"/>
    <hyperlink ref="B1232" r:id="rId2178" display="https://www.google.com/url?q=https://dmoj.ca/problem/coci07c5p3&amp;sa=D&amp;ust=1605639800879000&amp;usg=AFQjCNHTdFdb95HehvieXlWDp79Cy_sK6Q" xr:uid="{3030A1A0-5FDA-43C6-9B66-FF1A0B6FD81F}"/>
    <hyperlink ref="F1232" r:id="rId2179" display="https://www.google.com/url?q=https://github.com/mostafa-saad/MyCompetitiveProgramming/tree/master/Olympiad/COCI/official/2008/contest5_solutions&amp;sa=D&amp;ust=1605639800879000&amp;usg=AFQjCNE1yQOgUq87JvNbJYZDjbxX2nIILw" xr:uid="{9BC871AA-1E2F-4E51-A4D9-291EC13B27A7}"/>
    <hyperlink ref="B1233" r:id="rId2180" display="https://www.google.com/url?q=https://dunjudge.me/analysis/problems/271/&amp;sa=D&amp;ust=1605639800880000&amp;usg=AFQjCNHumNmw-UPasSfsQ4a72LnSI1dOSg" xr:uid="{4D958007-197F-4577-8A60-00917E7E5CD2}"/>
    <hyperlink ref="F1233" r:id="rId2181" display="https://www.google.com/url?q=https://github.com/mostafa-saad/MyCompetitiveProgramming/blob/master/Olympiad/NOI/official&amp;sa=D&amp;ust=1605639800880000&amp;usg=AFQjCNF_4jt5edC7_GhOdNkeYuXiW5G1jg" xr:uid="{2507763D-7FCF-48FA-A609-4BB58253E1B1}"/>
    <hyperlink ref="B1234" r:id="rId2182" display="https://www.google.com/url?q=https://dunjudge.me/analysis/problems/27/&amp;sa=D&amp;ust=1605639800880000&amp;usg=AFQjCNHTDLLm3XuYQ5WA1kyzB9nq4-tx0A" xr:uid="{F0732F37-8485-4970-9F31-7D2EF84A722C}"/>
    <hyperlink ref="F1234" r:id="rId2183" display="https://www.google.com/url?q=https://github.com/mostafa-saad/MyCompetitiveProgramming/blob/master/Olympiad/NOI/official/2011.pptx&amp;sa=D&amp;ust=1605639800881000&amp;usg=AFQjCNHKeldyuvw4a-ch5iOiU4wkYu9TzQ" xr:uid="{74793D5A-B0DF-430E-922F-5FF6B6A7C880}"/>
    <hyperlink ref="B1235" r:id="rId2184" display="https://www.google.com/url?q=https://codeforces.com/group/swEqtABRxe/contest/243430/problem/A&amp;sa=D&amp;ust=1605639800881000&amp;usg=AFQjCNFEJ0cXMbh6abCEGkkMUd9w9pDVqw" xr:uid="{2B414A24-4EB1-46FB-B78A-7E552C4E1F1C}"/>
    <hyperlink ref="B1236" r:id="rId2185" display="https://www.google.com/url?q=https://codeforces.com/group/swEqtABRxe/contest/243430/problem/A&amp;sa=D&amp;ust=1605639800882000&amp;usg=AFQjCNHADZhgwIbW0i1jzbAU98HEy8EBSQ" xr:uid="{D2C5AFD2-58DC-4DE3-A6FC-F3663A1F990A}"/>
    <hyperlink ref="B1237" r:id="rId2186" display="https://www.google.com/url?q=https://dmoj.ca/problem/ccc13s5&amp;sa=D&amp;ust=1605639800882000&amp;usg=AFQjCNGiqKRityTp-RwZxq50xiWq6ZBkUA" xr:uid="{6BE27E83-861B-4BF8-94C3-56572C4A58F3}"/>
    <hyperlink ref="B1238" r:id="rId2187" display="https://www.google.com/url?q=https://oj.uz/problem/view/COCI16_tavan&amp;sa=D&amp;ust=1605639800883000&amp;usg=AFQjCNEiFq_WRXkuSJ-FUkcW3tr3cJhdTw" xr:uid="{1E3F75EF-D471-451D-9289-B67F5B3D0960}"/>
    <hyperlink ref="F1238" r:id="rId2188" display="https://www.google.com/url?q=https://github.com/mostafa-saad/MyCompetitiveProgramming/blob/master/Olympiad/COCI/official/2017/contest2_solutions&amp;sa=D&amp;ust=1605639800883000&amp;usg=AFQjCNFc5ejHGaHTmE3oy_zvTpMmt0NuCQ" xr:uid="{43055939-73DA-4EF8-B316-8CDBD7486024}"/>
    <hyperlink ref="B1239" r:id="rId2189" display="https://www.google.com/url?q=https://dmoj.ca/problem/coci06c3p3&amp;sa=D&amp;ust=1605639800883000&amp;usg=AFQjCNEpIZlEZtlxpVgseJ4-jZUDIJW09g" xr:uid="{9C29C1E2-84BF-4365-8BFB-BDEF0C42E092}"/>
    <hyperlink ref="F1239" r:id="rId2190" display="https://www.google.com/url?q=https://github.com/mostafa-saad/MyCompetitiveProgramming/tree/master/Olympiad/COCI/official/2007/contest3_solutions&amp;sa=D&amp;ust=1605639800884000&amp;usg=AFQjCNGs_3nlvx9sPKA_WqUHb4aXOAPNsA" xr:uid="{7975DAA3-662B-4ADC-8331-0F72FA8B40BD}"/>
    <hyperlink ref="B1240" r:id="rId2191" display="https://www.google.com/url?q=https://dmoj.ca/problem/nccc6s1&amp;sa=D&amp;ust=1605639800884000&amp;usg=AFQjCNHwteYXk5aHbakT-EcwBFnDVpOuSQ" xr:uid="{D053E857-06EE-434B-87EF-5BAE62D481AF}"/>
    <hyperlink ref="B1241" r:id="rId2192" display="https://www.google.com/url?q=https://oj.uz/problem/view/COCI17_turnir&amp;sa=D&amp;ust=1605639800885000&amp;usg=AFQjCNHSS439Is-JBFYsoTAXoukc6TqqgQ" xr:uid="{B445F6EE-3B05-449A-8E2B-E3E05CD306EF}"/>
    <hyperlink ref="F1241" r:id="rId2193" display="https://www.google.com/url?q=https://github.com/mostafa-saad/MyCompetitiveProgramming/blob/master/Olympiad/COCI/official/2017/contest6_solutions&amp;sa=D&amp;ust=1605639800885000&amp;usg=AFQjCNFjUYSTkODxn5q_RQScf628UVotvw" xr:uid="{96767573-C783-4395-891C-DBEE1C7572F3}"/>
    <hyperlink ref="B1242" r:id="rId2194" display="https://www.google.com/url?q=https://dunjudge.me/analysis/problems/1495/&amp;sa=D&amp;ust=1605639800885000&amp;usg=AFQjCNFSj2KVxaXcxA4twrJ_jPljc36P8g" xr:uid="{3DEBE2DD-1E6F-4A61-8356-4CCCB8A0EE44}"/>
    <hyperlink ref="B1243" r:id="rId2195" display="https://www.google.com/url?q=https://dunjudge.me/analysis/problems/88/&amp;sa=D&amp;ust=1605639800886000&amp;usg=AFQjCNEAUB_FlimNvxGMUD1O0STry_IZkA" xr:uid="{022D7898-9B47-419D-8E32-2EE4767DC4DB}"/>
    <hyperlink ref="B1244" r:id="rId2196" display="https://www.google.com/url?q=https://dunjudge.me/analysis/problems/680/&amp;sa=D&amp;ust=1605639800886000&amp;usg=AFQjCNHLJ8kW0xTuhx30IK84xVbd9M7zZA" xr:uid="{2D7155DC-83B3-4F1B-BB26-1250E50BF0FE}"/>
    <hyperlink ref="B1245" r:id="rId2197" display="https://www.google.com/url?q=https://dunjudge.me/analysis/problems/953/&amp;sa=D&amp;ust=1605639800887000&amp;usg=AFQjCNHesUxdKW6lvT74PoB9TvyitoCpcA" xr:uid="{8277BEAB-D099-46D1-8637-41A366E6FEF1}"/>
    <hyperlink ref="B1246" r:id="rId2198" display="https://www.google.com/url?q=https://dunjudge.me/analysis/problems/933/&amp;sa=D&amp;ust=1605639800887000&amp;usg=AFQjCNGxtzzbZp5jmaBiSi1LkNqn6xGiug" xr:uid="{13F7EB9C-C2A5-4368-844C-AFF38FA7DDF4}"/>
    <hyperlink ref="B1247" r:id="rId2199" display="https://www.google.com/url?q=https://dunjudge.me/analysis/problems/1477/&amp;sa=D&amp;ust=1605639800888000&amp;usg=AFQjCNF4wCuCWbYYNcJBvRx2L4GwziGnwg" xr:uid="{B72808EE-960D-4D65-96A6-D0C5F2E1D187}"/>
    <hyperlink ref="B1248" r:id="rId2200" display="https://www.google.com/url?q=https://szkopul.edu.pl/problemset/problem/CP4mQc-h-Vkg--I1g49xovQj/site/&amp;sa=D&amp;ust=1605639800888000&amp;usg=AFQjCNFAzUdKoHslkJv8SCIGPnwWaAJb9A" xr:uid="{6E4C1388-BC2A-4CAD-B940-22FAC8F1D496}"/>
    <hyperlink ref="F1248" r:id="rId2201" display="https://www.google.com/url?q=https://github.com/mostafa-saad/MyCompetitiveProgramming/blob/master/Olympiad/POI/POI-09-Words.txt&amp;sa=D&amp;ust=1605639800888000&amp;usg=AFQjCNHMngkx7D7EcsjtgtzxwJ2fKGSzjg" xr:uid="{DE0D067F-C6ED-45D7-AD8C-D04E2766B145}"/>
    <hyperlink ref="B1249" r:id="rId2202" display="https://www.google.com/url?q=https://oj.uz/problem/view/NOI14_cats&amp;sa=D&amp;ust=1605639800889000&amp;usg=AFQjCNEgURlQBpNOqbRm2_ooF5hguROjYA" xr:uid="{DD114A89-9D37-40BA-8633-D923B7CB7957}"/>
    <hyperlink ref="F1249" r:id="rId2203" display="https://www.google.com/url?q=https://github.com/mostafa-saad/MyCompetitiveProgramming/blob/master/Olympiad/NOI/NOI-14-cats.txt&amp;sa=D&amp;ust=1605639800889000&amp;usg=AFQjCNG5rpJjpfpzcKzDzxgKHfJk7RzFiw" xr:uid="{8FC31CE8-3BA7-4630-945A-014185BDCE06}"/>
    <hyperlink ref="B1250" r:id="rId2204" display="https://www.google.com/url?q=https://contest.yandex.ru/roiarchive/contest/2170/problems/8&amp;sa=D&amp;ust=1605639800889000&amp;usg=AFQjCNGX4pODegB41kRhznxRdOsJEgQrwg" xr:uid="{DC369E23-9613-42DE-B09D-2AED222F5FB1}"/>
    <hyperlink ref="B1251" r:id="rId2205" display="https://www.google.com/url?q=https://dmoj.ca/problem/coci07c6p3&amp;sa=D&amp;ust=1605639800891000&amp;usg=AFQjCNEbZihLcfbVpPilqJj0xF7eeAmU4Q" xr:uid="{565E432B-DCC6-47C4-B191-5DBB79AE6F18}"/>
    <hyperlink ref="F1251" r:id="rId2206" display="https://www.google.com/url?q=https://github.com/mostafa-saad/MyCompetitiveProgramming/blob/master/Olympiad/COCI/COCI-07-Granica.txt&amp;sa=D&amp;ust=1605639800892000&amp;usg=AFQjCNE21JGdcaqOaiceDU5xfwQv5xF88g" xr:uid="{243AE8EE-5AB8-48FA-8FA2-BD1D4069C3FA}"/>
    <hyperlink ref="B1252" r:id="rId2207" display="https://www.google.com/url?q=https://wcipeg.com/problem/coci091p5&amp;sa=D&amp;ust=1605639800892000&amp;usg=AFQjCNFo14Ctec_W9G3mn4d8CcEpYOzRqQ" xr:uid="{A8193421-FD7F-4A0F-83B7-DB1F6F63F9DD}"/>
    <hyperlink ref="F1252" r:id="rId2208" display="https://www.google.com/url?q=https://github.com/mostafa-saad/MyCompetitiveProgramming/blob/master/Olympiad/COCI/official/2010/contest1_solutions&amp;sa=D&amp;ust=1605639800892000&amp;usg=AFQjCNElDHL1LJUE_I_m7LFpgsBrIqb2og" xr:uid="{BD0079D0-53CE-4E2B-ABA1-D32195DEA59D}"/>
    <hyperlink ref="B1253" r:id="rId2209" display="https://www.google.com/url?q=https://szkopul.edu.pl/problemset/problem/oTpPdueVv1-3g247_-ejjcR_/site/&amp;sa=D&amp;ust=1605639800893000&amp;usg=AFQjCNEMV18V-7v829wsCuP0iUaqWfccKA" xr:uid="{FBE0A1AE-9E6B-40F8-8572-BCB7D8753A4E}"/>
    <hyperlink ref="F1253" r:id="rId2210" display="https://www.google.com/url?q=https://github.com/mostafa-saad/MyCompetitiveProgramming/blob/master/Olympiad/POI/official/find_editorial_sols_guidelines.txt&amp;sa=D&amp;ust=1605639800893000&amp;usg=AFQjCNEXng5a_ZWD7K-WNHC4inBo0CyFDA" xr:uid="{F31D16E6-0964-4ED7-BB6C-4C5AF711B9D3}"/>
    <hyperlink ref="B1254" r:id="rId2211" display="https://www.google.com/url?q=https://cses.fi/106/list/&amp;sa=D&amp;ust=1605639800893000&amp;usg=AFQjCNGl_MCQkfb2iWs52SvRTbguo9qk4A" xr:uid="{AA8D9D5A-692A-4044-BFD4-2C0F0F0DDDD7}"/>
    <hyperlink ref="F1254" r:id="rId2212" display="https://www.google.com/url?q=https://github.com/mostafa-saad/MyCompetitiveProgramming/blob/master/Olympiad/Baltic/official/boi2010_solutions&amp;sa=D&amp;ust=1605639800893000&amp;usg=AFQjCNEfshHgba70JEZXPm8EckGi_O_nsQ" xr:uid="{BCFAA457-1B57-4C93-91EF-ECD0E08A036E}"/>
    <hyperlink ref="B1255" r:id="rId2213" display="https://www.google.com/url?q=https://oj.uz/problem/view/JOI16_joiris&amp;sa=D&amp;ust=1605639800894000&amp;usg=AFQjCNG-7JcCh8qAwIlxqR98hjL2FckgyQ" xr:uid="{9E7C23DF-609E-4771-B3F6-DFA010B2B492}"/>
    <hyperlink ref="F1255" r:id="rId2214" display="https://www.google.com/url?q=https://github.com/mostafa-saad/MyCompetitiveProgramming/blob/master/Olympiad/JOI/JOIOC-16-joiris.txt&amp;sa=D&amp;ust=1605639800894000&amp;usg=AFQjCNGf4c-aKehEZgTXtuIlJZWxaynIHA" xr:uid="{12E99B0D-2DE6-4CC5-8383-322C88B40D59}"/>
    <hyperlink ref="B1256" r:id="rId2215" display="https://www.google.com/url?q=https://oj.uz/problem/view/COCI17_uzastopni&amp;sa=D&amp;ust=1605639800895000&amp;usg=AFQjCNH4z07RepfRziEnBNWiaf6o_bgVhQ" xr:uid="{4D872ED5-2CB7-4D5B-BE09-60CB59ACEAB9}"/>
    <hyperlink ref="F1256" r:id="rId2216" display="https://www.google.com/url?q=https://github.com/AhmedElsisy/CompetitiveProgramming/blob/master/Olympiad/COCI/COCI%252017-uzastopni.cpp&amp;sa=D&amp;ust=1605639800895000&amp;usg=AFQjCNFu6zLsqXJCW54CmOCeQ_uqnRs1fA" xr:uid="{054434BA-997C-4AC6-A1CB-C94A45B91F0D}"/>
    <hyperlink ref="B1257" r:id="rId2217" display="https://www.google.com/url?q=https://cses.fi/187/list/&amp;sa=D&amp;ust=1605639800895000&amp;usg=AFQjCNG1cRLkaNfGQHEcLa2ox7mpn7d-ig" xr:uid="{809F35BC-5A73-4E4F-A875-66C092B5E0D2}"/>
    <hyperlink ref="B1258" r:id="rId2218" display="https://www.google.com/url?q=http://usaco.org/index.php?page%3Dviewproblem2%26cpid%3D818&amp;sa=D&amp;ust=1605639800896000&amp;usg=AFQjCNFSlDvYkxDK_iX3106eTREJeMA81Q" xr:uid="{78EE9C66-6FA5-4A50-B938-A58A605416AC}"/>
    <hyperlink ref="B1259" r:id="rId2219" display="https://www.google.com/url?q=http://usaco.org/index.php?page%3Dviewproblem2%26cpid%3D794&amp;sa=D&amp;ust=1605639800896000&amp;usg=AFQjCNEu60WejHd1ZFf6WkukKC7n_irIIg" xr:uid="{0916BC5D-B347-4218-BC8F-813B978D79AB}"/>
    <hyperlink ref="F1259" r:id="rId2220" display="https://www.google.com/url?q=https://github.com/stefdasca/CompetitiveProgramming/blob/master/USACO/USACO%252018jan-sprinklers-plat.cpp&amp;sa=D&amp;ust=1605639800896000&amp;usg=AFQjCNGyEjeGX8PrBu3DrGuRD38DhAnfRg" xr:uid="{9E7CB82D-0833-4D4B-AE40-8CA29B0FA906}"/>
    <hyperlink ref="B1260" r:id="rId2221" display="https://www.google.com/url?q=https://www.infoarena.ro/problema/cifru&amp;sa=D&amp;ust=1605639800897000&amp;usg=AFQjCNF2wq4IhkftjWWSYIa9i6vvfEE2HQ" xr:uid="{F416B7D7-F569-43F8-B028-FAF78CE13B7A}"/>
    <hyperlink ref="F1260" r:id="rId2222" display="https://www.google.com/url?q=https://github.com/stefdasca/CompetitiveProgramming/blob/master/Infoarena/cifru.cpp&amp;sa=D&amp;ust=1605639800897000&amp;usg=AFQjCNHC77j1hCTSNIPa6wD6xAqPMv_pcg" xr:uid="{E0502754-889A-4739-A5E4-78004BB486EF}"/>
    <hyperlink ref="B1261" r:id="rId2223" display="https://www.google.com/url?q=https://cses.fi/231/task/D&amp;sa=D&amp;ust=1605639800897000&amp;usg=AFQjCNFuEGHpnTynIEO-fWt8jTr4uX4vKw" xr:uid="{EC915A7D-A2CA-4DFD-B9EB-64A55031AF02}"/>
    <hyperlink ref="B1262" r:id="rId2224" display="https://www.google.com/url?q=https://www.infoarena.ro/problema/color&amp;sa=D&amp;ust=1605639800898000&amp;usg=AFQjCNEs1DLd5F2Y1tIJbfEMB60_QeouVA" xr:uid="{1315A1F4-67C8-4785-B4C9-F7A1190989A5}"/>
    <hyperlink ref="F1262" r:id="rId2225" display="https://www.google.com/url?q=https://github.com/stefdasca/CompetitiveProgramming/blob/master/Infoarena/color.cpp&amp;sa=D&amp;ust=1605639800898000&amp;usg=AFQjCNHb3FsMTeadSMM-gpyqncf7M4levA" xr:uid="{F9780C53-2F76-497A-BBF6-35F0852159E2}"/>
    <hyperlink ref="B1263" r:id="rId2226" display="https://www.google.com/url?q=https://wcipeg.com/problem/coci091p3&amp;sa=D&amp;ust=1605639800898000&amp;usg=AFQjCNGpWzBgaKQA1JzsoGB2iuIFDkrOuA" xr:uid="{1D85B89C-C306-4F19-8323-EFAEC46DF145}"/>
    <hyperlink ref="F1263" r:id="rId2227" display="https://www.google.com/url?q=https://github.com/mostafa-saad/MyCompetitiveProgramming/blob/master/Olympiad/COCI/official/2010/contest1_solutions&amp;sa=D&amp;ust=1605639800899000&amp;usg=AFQjCNFje49UunTjeYix5o4ABRb3tyNS7g" xr:uid="{37C0F608-C892-4D64-9AC5-9570D9E0686F}"/>
    <hyperlink ref="B1264" r:id="rId2228" display="https://www.google.com/url?q=https://www.infoarena.ro/problema/permsort2&amp;sa=D&amp;ust=1605639800899000&amp;usg=AFQjCNEfvJAr9hncjs572CUCpj0Ni1m3oA" xr:uid="{FC038146-B0C3-4175-90ED-7511DD0CBC7D}"/>
    <hyperlink ref="F1264" r:id="rId2229" display="https://www.google.com/url?q=https://github.com/mostafa-saad/MyCompetitiveProgramming/blob/master/Olympiad/infoarena/infoarena_permsort2.txt&amp;sa=D&amp;ust=1605639800899000&amp;usg=AFQjCNEZz40E_--X8GSbGoJ2VAtnL8lYLQ" xr:uid="{F523078B-5BD9-4D1D-ACF6-229BA9862134}"/>
    <hyperlink ref="B1265" r:id="rId2230" display="https://www.google.com/url?q=https://dunjudge.me/analysis/problems/975/&amp;sa=D&amp;ust=1605639800900000&amp;usg=AFQjCNFfI-rlMwOp7HM_XBCK5fdYCB9NtA" xr:uid="{8913F303-EE9B-4864-BD96-DDA368BAC4BD}"/>
    <hyperlink ref="F1265" r:id="rId2231" display="https://www.google.com/url?q=https://github.com/fyquah95/ioi-malaysia-2016-training-camp&amp;sa=D&amp;ust=1605639800900000&amp;usg=AFQjCNFsgjhpq0o-L9RXTEXnl_yq_Kkcdg" xr:uid="{4970671D-06FF-4640-B42A-C104143B55F1}"/>
    <hyperlink ref="B1266" r:id="rId2232" display="https://www.google.com/url?q=https://oj.uz/problem/view/POI11_sej&amp;sa=D&amp;ust=1605639800900000&amp;usg=AFQjCNHZ5I8sZhd-DU4TpqCc98GIJyqXtA" xr:uid="{F1FA0CC2-E032-40C9-82A0-E106622ABE66}"/>
    <hyperlink ref="F1266" r:id="rId2233" display="https://www.google.com/url?q=https://github.com/mostafa-saad/MyCompetitiveProgramming/blob/master/Olympiad/POI/POI-11-sej.txt&amp;sa=D&amp;ust=1605639800900000&amp;usg=AFQjCNGVchp6YKr4lN5ycTLA2kFDLj3jVA" xr:uid="{C0CE280E-5C8E-4BEE-89BB-A7A446B747AC}"/>
    <hyperlink ref="B1267" r:id="rId2234" display="https://www.google.com/url?q=https://www.infoarena.ro/problema/countfefete&amp;sa=D&amp;ust=1605639800901000&amp;usg=AFQjCNH6-ZUjexJS5zA8i_lv3HKftxBYYA" xr:uid="{08E17CFE-5FCE-4407-BD71-BCD5E502C44E}"/>
    <hyperlink ref="F1267" r:id="rId2235" display="https://www.google.com/url?q=https://github.com/mostafa-saad/MyCompetitiveProgramming/blob/master/Olympiad/infoarena/infoarena_countfefete.txt&amp;sa=D&amp;ust=1605639800901000&amp;usg=AFQjCNFnhw0Cy5JEfKZqmlDbITMcEQ5cIQ" xr:uid="{263703CC-5315-4A84-BB61-A08D1D65BEAA}"/>
    <hyperlink ref="B1268" r:id="rId2236" display="https://www.google.com/url?q=https://dmoj.ca/problem/coci08c4p5&amp;sa=D&amp;ust=1605639800901000&amp;usg=AFQjCNHUP67_ZJlPoiXRDwsGeGKsxtnQgw" xr:uid="{25B32C4B-9ECE-4AE6-B76A-8C2A04732166}"/>
    <hyperlink ref="F1268" r:id="rId2237" display="https://www.google.com/url?q=https://github.com/mostafa-saad/MyCompetitiveProgramming/blob/master/Olympiad/COCI/COCI-08-Trezor.txt&amp;sa=D&amp;ust=1605639800904000&amp;usg=AFQjCNEQYJ8NYJ-mkCPLVtnFH-RDSaD6lg" xr:uid="{CB08DC50-564D-45E1-AE4B-70D88FA89223}"/>
    <hyperlink ref="B1269" r:id="rId2238" display="https://www.google.com/url?q=https://www.infoarena.ro/problema/porcjoc&amp;sa=D&amp;ust=1605639800904000&amp;usg=AFQjCNG3ouEKUhHXCl5nTcwaHGZR4XWMKg" xr:uid="{86971932-89B7-405E-842A-B7476C87CA73}"/>
    <hyperlink ref="F1269" r:id="rId2239" display="https://www.google.com/url?q=https://github.com/stefdasca/CompetitiveProgramming/blob/master/Infoarena/porcjoc.cpp&amp;sa=D&amp;ust=1605639800904000&amp;usg=AFQjCNH5B1WUvS1bUDstmY6zFzvu6uY9bQ" xr:uid="{FE64BA91-AEC8-41E0-B27B-D40B9CCF03B6}"/>
    <hyperlink ref="B1270" r:id="rId2240" display="https://www.google.com/url?q=http://usaco.org/index.php?page%3Dviewproblem2%26cpid%3D862&amp;sa=D&amp;ust=1605639800905000&amp;usg=AFQjCNE3KyAveEd0sueNJgmwaC1hSQwlrQ" xr:uid="{76890BA4-3F93-48B4-8D46-E08F85AF437C}"/>
    <hyperlink ref="B1271" r:id="rId2241" display="https://www.google.com/url?q=https://szkopul.edu.pl/problemset/problem/v6-xa-25AJSF4_oV5LAKvz7H/site/&amp;sa=D&amp;ust=1605639800905000&amp;usg=AFQjCNHVd46M2ejsT00ng-QbDwFGy2e9-g" xr:uid="{28E86FFB-63A5-4BD9-9061-65355F49E25B}"/>
    <hyperlink ref="F1271" r:id="rId2242" display="https://www.google.com/url?q=https://github.com/mostafa-saad/MyCompetitiveProgramming/blob/master/Olympiad/CEOI/CEOI%252010-pin.cpp&amp;sa=D&amp;ust=1605639800906000&amp;usg=AFQjCNESA50rz-sYApTCdDZdkmlwchvXjw" xr:uid="{7A61ACD5-36DE-433F-94D9-50FFFE3DE2CD}"/>
    <hyperlink ref="B1272" r:id="rId2243" display="https://www.google.com/url?q=https://wcipeg.com/problem/coci096p6&amp;sa=D&amp;ust=1605639800906000&amp;usg=AFQjCNHm2pNkYVGj4LEc2shkbMje6oYpGg" xr:uid="{3A612616-334B-4C96-AA9F-DFF33A319063}"/>
    <hyperlink ref="F1272" r:id="rId2244" display="https://www.google.com/url?q=https://github.com/mostafa-saad/MyCompetitiveProgramming/blob/master/Olympiad/COCI/COCI-09-Gremlini.txt&amp;sa=D&amp;ust=1605639800906000&amp;usg=AFQjCNG0ehHEhqoVnddJIWm3gJgDteFkjw" xr:uid="{B66843B8-03A6-4EB5-BB8F-A08506A6A725}"/>
    <hyperlink ref="B1273" r:id="rId2245" display="https://www.google.com/url?q=https://wcipeg.com/problem/coci094p6&amp;sa=D&amp;ust=1605639800907000&amp;usg=AFQjCNE6u8jgCCzLkYpu4U60kDQDp8ngdg" xr:uid="{3A87AFA6-9E37-48EE-90EC-A8243EFD6EDE}"/>
    <hyperlink ref="F1273" r:id="rId2246" display="https://www.google.com/url?q=https://github.com/mostafa-saad/MyCompetitiveProgramming/blob/master/Olympiad/COCI/COCI-09-Palacinke.txt&amp;sa=D&amp;ust=1605639800907000&amp;usg=AFQjCNFdeskM6SrTvVnnl9iSEZVqJt521w" xr:uid="{12E6D021-D612-4C3A-B71E-6E3DB72B0FB4}"/>
    <hyperlink ref="B1274" r:id="rId2247" display="https://www.google.com/url?q=https://szkopul.edu.pl/problemset/problem/zKf5Ua8okcS0jngsrTgKVM9L/site/&amp;sa=D&amp;ust=1605639800907000&amp;usg=AFQjCNEJ_kI8sZLWL6nA_SEVM3kegtiaJA" xr:uid="{AB9879A7-17BA-473D-8C86-26A140862B18}"/>
    <hyperlink ref="F1274" r:id="rId2248" display="https://www.google.com/url?q=https://github.com/mostafa-saad/MyCompetitiveProgramming/blob/master/Olympiad/POI/POI-15-Trips.txt&amp;sa=D&amp;ust=1605639800908000&amp;usg=AFQjCNFZU80ZKiwv-JtD-lLnocjj-tJxaA" xr:uid="{25E2842C-702D-4B00-8FCF-1A50F52C67D3}"/>
    <hyperlink ref="B1275" r:id="rId2249" display="https://www.google.com/url?q=https://www.acmicpc.net/problem/7053&amp;sa=D&amp;ust=1605639800908000&amp;usg=AFQjCNGT57ZOsuBZJFefSWgTx4sXGn3YOA" xr:uid="{040D46FF-9EF7-4EF5-A481-AF09295C8343}"/>
    <hyperlink ref="F1275" r:id="rId2250" display="https://www.google.com/url?q=https://github.com/mostafa-saad/MyCompetitiveProgramming/tree/master/Olympiad/CEOI/official/2003&amp;sa=D&amp;ust=1605639800908000&amp;usg=AFQjCNH79l-CSdG3Cg7RgfvDtctESwM-fg" xr:uid="{1FA53F18-3A7B-438F-9F67-FFF2C1C4D616}"/>
    <hyperlink ref="B1276" r:id="rId2251" display="https://www.google.com/url?q=https://dunjudge.me/analysis/problems/973/&amp;sa=D&amp;ust=1605639800909000&amp;usg=AFQjCNFjJP9GXkhMTmejzGcVMu_gwSaDZw" xr:uid="{43455A1C-84A7-4A8F-B839-C66588A6A2EC}"/>
    <hyperlink ref="F1276" r:id="rId2252" display="https://www.google.com/url?q=https://github.com/fyquah95/ioi-malaysia-2016-training-camp&amp;sa=D&amp;ust=1605639800909000&amp;usg=AFQjCNEWaQJqO_9YOUGeYzY6A6baHyK9VQ" xr:uid="{05BCD797-5708-416E-8759-64057FFA3B0D}"/>
    <hyperlink ref="B1277" r:id="rId2253" display="https://www.google.com/url?q=https://infoarena.ro/problema/deletegcd&amp;sa=D&amp;ust=1605639800909000&amp;usg=AFQjCNEbgJ033OnPTkf-ermnFJCVQZR89Q" xr:uid="{CBCD7ACB-D411-410A-8BFA-89B50A09A64C}"/>
    <hyperlink ref="F1277" r:id="rId2254" display="https://www.google.com/url?q=https://github.com/mostafa-saad/MyCompetitiveProgramming/blob/master/Olympiad/infoarena/infoarena_deletegcd.txt&amp;sa=D&amp;ust=1605639800909000&amp;usg=AFQjCNGVfYs8jps-cjZoTbq9WkrKmePmWw" xr:uid="{77E7A34D-4C2C-47D5-93A4-0E733527D033}"/>
    <hyperlink ref="B1278" r:id="rId2255" display="https://www.google.com/url?q=https://wcipeg.com/problem/coi09p2&amp;sa=D&amp;ust=1605639800910000&amp;usg=AFQjCNHT1JEdqS3Rdg7ULFwbYDWpUG038A" xr:uid="{2222B6DF-163C-436C-BDA0-5BC143CD0D4B}"/>
    <hyperlink ref="F1278" r:id="rId2256" display="https://www.google.com/url?q=https://github.com/mostafa-saad/MyCompetitiveProgramming/blob/master/Olympiad/COI/COI-09-Kolo.txt&amp;sa=D&amp;ust=1605639800910000&amp;usg=AFQjCNG0e0N1fdlnqB4wACG_zntIRllwjA" xr:uid="{ACDB7961-34F9-4CFF-A9B1-114755A09201}"/>
    <hyperlink ref="B1279" r:id="rId2257" display="https://www.google.com/url?q=https://dmoj.ca/problem/phantom3&amp;sa=D&amp;ust=1605639800911000&amp;usg=AFQjCNFJXj5906mRMC1BGURQ3Xg4uDnKmQ" xr:uid="{8514D0E7-BAED-4F48-B3D0-4B2010043CC2}"/>
    <hyperlink ref="B1280" r:id="rId2258" display="https://www.google.com/url?q=https://dmoj.ca/problem/bf3hard&amp;sa=D&amp;ust=1605639800911000&amp;usg=AFQjCNFySlEpVtE9xpC7-XdI4A6dWa1Mbw" xr:uid="{68B8911D-7A6C-4E6C-A473-87DC9C28FFCB}"/>
    <hyperlink ref="B1281" r:id="rId2259" display="https://www.google.com/url?q=https://szkopul.edu.pl/problemset/problem/MVjuhH4JZu17rusHweyEdyJx/site/&amp;sa=D&amp;ust=1605639800911000&amp;usg=AFQjCNF6ODTxkeNsaVGUlwJa7thD9Z7Mdg" xr:uid="{9EF8208A-763A-4ABE-8FEB-C90B8FE7765E}"/>
    <hyperlink ref="F1281" r:id="rId2260" display="https://www.google.com/url?q=https://github.com/mostafa-saad/MyCompetitiveProgramming/blob/master/Olympiad/POI/official/find_editorial_sols_guidelines.txt&amp;sa=D&amp;ust=1605639800912000&amp;usg=AFQjCNF1Da0ADFk6inzRUbYlwYHtuTSDKw" xr:uid="{93321A86-EB8A-42F1-A90B-A19D689822A4}"/>
    <hyperlink ref="B1282" r:id="rId2261" display="https://www.google.com/url?q=https://szkopul.edu.pl/problemset/problem/hOwg83Xw_OnTpfQ9SroS0OJA/site/&amp;sa=D&amp;ust=1605639800912000&amp;usg=AFQjCNF9XAUW3YqJc1Kkr_oYBxsmb-55bA" xr:uid="{7E1C5070-2818-4000-B8B6-166DB02FD5C9}"/>
    <hyperlink ref="F1282" r:id="rId2262" display="https://www.google.com/url?q=https://github.com/mostafa-saad/MyCompetitiveProgramming/blob/master/Olympiad/POI/official/find_editorial_sols_guidelines.txt&amp;sa=D&amp;ust=1605639800912000&amp;usg=AFQjCNF1Da0ADFk6inzRUbYlwYHtuTSDKw" xr:uid="{F8F45D62-6A7A-468A-BB14-C07BA90F25D2}"/>
    <hyperlink ref="B1284" r:id="rId2263" display="https://www.google.com/url?q=https://oj.uz/problem/view/COCI17_savrsen&amp;sa=D&amp;ust=1605639801556000&amp;usg=AFQjCNFOTnaYyu64qRJXcfp7XAaLCCJ7eA" xr:uid="{03751489-6A92-46F2-A720-8BF1D9CFA3A5}"/>
    <hyperlink ref="F1284" r:id="rId2264" display="https://www.google.com/url?q=https://github.com/mostafa-saad/MyCompetitiveProgramming/blob/master/Olympiad/COCI/official/2017/contest6_solutions&amp;sa=D&amp;ust=1605639801557000&amp;usg=AFQjCNFeaNqSUMeyh7QZ0pG75aSfoE1kCA" xr:uid="{F42DE7F4-7A19-484C-9F2E-B8D39957313B}"/>
    <hyperlink ref="B1285" r:id="rId2265" display="https://www.google.com/url?q=https://szkopul.edu.pl/problemset/problem/W54iZIwStF1TYWRxa1bdVPQo/site/&amp;sa=D&amp;ust=1605639801557000&amp;usg=AFQjCNH31Y3gVcRyXAZOGRXuuTazM5FCgA" xr:uid="{ABF81CE4-8B08-4AE8-A698-F56EDBBB34E5}"/>
    <hyperlink ref="F1285" r:id="rId2266" display="https://www.google.com/url?q=https://github.com/mostafa-saad/MyCompetitiveProgramming/blob/master/Olympiad/POI/official/find_editorial_sols_guidelines.txt&amp;sa=D&amp;ust=1605639801557000&amp;usg=AFQjCNFoNyTowW2x_6-4suEoFMstUyusxg" xr:uid="{DD1D5F66-19B9-4FAB-B604-B2FE6DF11991}"/>
    <hyperlink ref="B1286" r:id="rId2267" display="https://www.google.com/url?q=https://oj.uz/problem/view/COCI17_sazetak&amp;sa=D&amp;ust=1605639801562000&amp;usg=AFQjCNFMgO0Dq4jeiI7tefTwv-YpFUnG5Q" xr:uid="{566CCE42-9693-4047-A700-6AE1DAB896B5}"/>
    <hyperlink ref="B1287" r:id="rId2268" display="https://www.google.com/url?q=https://oj.uz/problem/view/COI15_zarulje&amp;sa=D&amp;ust=1605639801563000&amp;usg=AFQjCNEZXaS5lUTLzmoK-isT63dVCA5Qfw" xr:uid="{992F6FAB-136D-4105-A689-3AF5282FAA5F}"/>
    <hyperlink ref="F1287" r:id="rId2269" display="https://www.google.com/url?q=https://github.com/mostafa-saad/MyCompetitiveProgramming/blob/master/Olympiad/COI/COI-15-zarulje.txt&amp;sa=D&amp;ust=1605639801563000&amp;usg=AFQjCNFDBBIeXN0nqaa2dkERRjhRu6HvaA" xr:uid="{982040C9-E32B-4F5B-9733-8F6CC96C4F66}"/>
    <hyperlink ref="B1288" r:id="rId2270" display="https://www.google.com/url?q=https://szkopul.edu.pl/problemset/problem/etwe8b5zlM4uVn4dpxr32ua8/site/&amp;sa=D&amp;ust=1605639801564000&amp;usg=AFQjCNHFWeweg_tJTRH9J_Li69SuFgHK1g" xr:uid="{700A713C-52F3-4A6C-8430-30872AF5835A}"/>
    <hyperlink ref="F1288" r:id="rId2271" display="https://www.google.com/url?q=https://github.com/mostafa-saad/MyCompetitiveProgramming/blob/master/Olympiad/POI/POI-08-Permutation.txt&amp;sa=D&amp;ust=1605639801565000&amp;usg=AFQjCNG4O-bswOsiciHKc7yjUoJI0XmL1g" xr:uid="{0B647C62-3AE4-4F8D-878F-4433116200E3}"/>
    <hyperlink ref="B1289" r:id="rId2272" display="https://www.google.com/url?q=https://codeforces.com/group/R2SERIff4f/contest/213171&amp;sa=D&amp;ust=1605639801565000&amp;usg=AFQjCNGtN5Vb_woT2tcVkhmSsPFyIxuStA" xr:uid="{1B7A77EC-F249-4C7B-9EB7-674D82AFCEFC}"/>
    <hyperlink ref="F1289" r:id="rId2273" display="https://www.google.com/url?q=https://github.com/mostafa-saad/MyCompetitiveProgramming/tree/master/Olympiad/MCO/official&amp;sa=D&amp;ust=1605639801567000&amp;usg=AFQjCNGNFkWiN60nBj_Xx79xcuDbmTzk2g" xr:uid="{97166BAA-AC91-4B76-B216-C9E22C67B4F4}"/>
    <hyperlink ref="B1290" r:id="rId2274" display="https://www.google.com/url?q=https://oj.uz/problems/source/213&amp;sa=D&amp;ust=1605639801568000&amp;usg=AFQjCNH-Z_7_q6ZnlVz3TGcfjTaGhPPh9g" xr:uid="{5AC659C6-EF61-4B56-9CCA-93B109BED1FA}"/>
    <hyperlink ref="F1290" r:id="rId2275" display="https://www.google.com/url?q=https://github.com/mostafa-saad/MyCompetitiveProgramming/blob/master/Olympiad/JOI/JOIOC-16-selling_rna.txt&amp;sa=D&amp;ust=1605639801568000&amp;usg=AFQjCNFtjeET907jtZRPm0uzsIjudbV5gA" xr:uid="{FBF896F4-2B2E-43A8-BDE5-C1B9719150B5}"/>
    <hyperlink ref="B1291" r:id="rId2276" display="https://www.google.com/url?q=https://oj.uz/problem/view/IZhO12_xor&amp;sa=D&amp;ust=1605639801568000&amp;usg=AFQjCNFl4xeG42hrJyN6T6SVC-faWGl1-w" xr:uid="{730E8096-2028-4A02-84B2-22CCC91736F8}"/>
    <hyperlink ref="B1292" r:id="rId2277" display="https://www.google.com/url?q=https://dmoj.ca/problem/coci07c5p6&amp;sa=D&amp;ust=1605639801569000&amp;usg=AFQjCNGP_TY7ulP1PFex38ytXOl3KW9lKQ" xr:uid="{7F666878-8F09-439A-8FB3-BC32D0CB8431}"/>
    <hyperlink ref="F1292" r:id="rId2278" display="https://www.google.com/url?q=https://github.com/mostafa-saad/MyCompetitiveProgramming/blob/master/Olympiad/COCI/COCI-07-Baza.txt&amp;sa=D&amp;ust=1605639801569000&amp;usg=AFQjCNE2k6H2Iw8q8cjHmzHvqBFon4j9vw" xr:uid="{AD1AD9F9-CE08-48EC-B30E-E5BFB0FE6F7F}"/>
    <hyperlink ref="B1294" r:id="rId2279" display="https://www.google.com/url?q=https://oj.uz/problem/view/COCI17_rima&amp;sa=D&amp;ust=1605639801570000&amp;usg=AFQjCNHaSG767AVs3kkhlRy_gxv2wEkcxQ" xr:uid="{E4A3FFDE-EA96-4C7F-87E8-57A99A15CEF1}"/>
    <hyperlink ref="F1294" r:id="rId2280" display="https://www.google.com/url?q=https://github.com/mostafa-saad/MyCompetitiveProgramming/blob/master/Olympiad/COCI/official/2017/contest4_solutions&amp;sa=D&amp;ust=1605639801570000&amp;usg=AFQjCNFN409BWaBSrPrKkUWBxTlJ3KxLSw" xr:uid="{51D8265C-EADB-46FB-8F3A-6ACAF3C656B3}"/>
    <hyperlink ref="B1295" r:id="rId2281" display="https://www.google.com/url?q=https://oj.uz/problem/view/IOI12_scrivener&amp;sa=D&amp;ust=1605639801571000&amp;usg=AFQjCNGwpsKfrii5h0LXIvuSZo0mVbcF3w" xr:uid="{03D32DA4-D8E2-4E6D-8A30-A17294B38A6E}"/>
    <hyperlink ref="F1295" r:id="rId2282" display="https://www.google.com/url?q=https://github.com/mostafa-saad/MyCompetitiveProgramming/blob/master/Olympiad/IOI/IOI-12-scrivener.txt&amp;sa=D&amp;ust=1605639801571000&amp;usg=AFQjCNF-cYzXh0O3uvTfjfA3UqbD6YG_5g" xr:uid="{7FB2281D-EDA3-4529-BEB3-990234D81D75}"/>
    <hyperlink ref="B1296" r:id="rId2283" display="https://www.google.com/url?q=https://contest.yandex.com/roiarchive/contest/2012/problems/D&amp;sa=D&amp;ust=1605639801572000&amp;usg=AFQjCNF-MPvzS72woHq9yperxtatA3cJEQ" xr:uid="{AAE67BD6-FACD-4952-A2F5-C5F691FB7DD5}"/>
    <hyperlink ref="B1297" r:id="rId2284" display="https://www.google.com/url?q=https://oj.uz/problem/view/IOI08_printer&amp;sa=D&amp;ust=1605639801572000&amp;usg=AFQjCNHnihTIKhvZxNnhTS6lSSYUm4Dp4Q" xr:uid="{9C369608-FA30-4789-9B98-3F95C46E3D7A}"/>
    <hyperlink ref="F1297" r:id="rId2285" display="https://www.google.com/url?q=https://github.com/updown2/OI-Practice/blob/master/IOI/IOI%25202008/Type%2520Printer.cpp&amp;sa=D&amp;ust=1605639801572000&amp;usg=AFQjCNE4BsMPhWtPjfnnrUScvmsQs_9FnA" xr:uid="{B417B67C-862D-4906-8608-7041FB890479}"/>
    <hyperlink ref="B1298" r:id="rId2286" display="https://www.google.com/url?q=https://szkopul.edu.pl/problemset/problem/DkPj-ES6glaEwxppbuaxbOO6/site/&amp;sa=D&amp;ust=1605639801573000&amp;usg=AFQjCNHOcR5ra_nc6Ecal35TDw9ezE0Lvw" xr:uid="{87E9C06E-0941-4E30-A041-1D7BCA61E0C6}"/>
    <hyperlink ref="F1298" r:id="rId2287" display="https://www.google.com/url?q=https://github.com/mostafa-saad/MyCompetitiveProgramming/blob/master/Olympiad/POI/POI-12-Prefixuffix.txt&amp;sa=D&amp;ust=1605639801573000&amp;usg=AFQjCNEjGRJ2F76mgvWp7vklnVlhecjtGw" xr:uid="{97F257D8-9F68-4D51-87C7-E5FD1BD0E40F}"/>
    <hyperlink ref="B1299" r:id="rId2288" display="https://www.google.com/url?q=https://oj.uz/problem/view/COCI17_klavir&amp;sa=D&amp;ust=1605639801574000&amp;usg=AFQjCNGsRQUVQRAEh5ObF6M6xzoIUDRCTA" xr:uid="{EEB71A6D-03C1-4765-89C8-41E0F5EC1DF6}"/>
    <hyperlink ref="F1299" r:id="rId2289" display="https://www.google.com/url?q=https://github.com/mostafa-saad/MyCompetitiveProgramming/blob/master/Olympiad/CEOI/COCI-17-klavir.txt&amp;sa=D&amp;ust=1605639801574000&amp;usg=AFQjCNF3m4S5SLvgdoGGVezNNmkP9rsNaQ" xr:uid="{4837246B-8F69-4595-845F-41DAC5D428DF}"/>
    <hyperlink ref="B1300" r:id="rId2290" display="https://www.google.com/url?q=https://oj.uz/problem/view/POI11_okr&amp;sa=D&amp;ust=1605639801574000&amp;usg=AFQjCNGcQLYksXnKotB0v9QX4pLcs64znA" xr:uid="{73FAF15D-7FF4-4954-A4E7-A77B83501A48}"/>
    <hyperlink ref="F1300" r:id="rId2291" display="https://www.google.com/url?q=https://github.com/mostafa-saad/MyCompetitiveProgramming/blob/master/Olympiad/POI/POI-11-okr.txt&amp;sa=D&amp;ust=1605639801574000&amp;usg=AFQjCNEd6szHbsBrghKzbBxuE96DqMe_SA" xr:uid="{8385E83A-F000-477C-A24B-9FF34ABAE892}"/>
    <hyperlink ref="B1301" r:id="rId2292" display="https://www.google.com/url?q=https://szkopul.edu.pl/problemset/problem/PT4yHRX9Mmz85ndhNPGCi_WB/site/&amp;sa=D&amp;ust=1605639801575000&amp;usg=AFQjCNE-zdX5zVVfz9ruqBNjQGJyIZ2vBw" xr:uid="{55B62794-A894-4D00-BEBA-14EE848970FA}"/>
    <hyperlink ref="F1301" r:id="rId2293" display="https://www.google.com/url?q=https://github.com/mostafa-saad/MyCompetitiveProgramming/blob/master/Olympiad/POI/POI-05-Template.txt&amp;sa=D&amp;ust=1605639801575000&amp;usg=AFQjCNF5mYNz73unurg8wbrY4nY0xwz7nA" xr:uid="{BE5F1223-F640-406B-8B8F-B0DC6115BD71}"/>
    <hyperlink ref="B1302" r:id="rId2294" display="https://www.google.com/url?q=https://codeforces.com/group/R2SERIff4f/contest/213171&amp;sa=D&amp;ust=1605639801575000&amp;usg=AFQjCNH-YXYjGmEEi1awVNvp3kUt38oh9w" xr:uid="{ECC4DFA3-3998-444B-A0C8-CECFC72D2859}"/>
    <hyperlink ref="F1302" r:id="rId2295" display="https://www.google.com/url?q=https://github.com/mostafa-saad/MyCompetitiveProgramming/blob/master/Olympiad/MCO/MCO-17-NewbieHacker.txt&amp;sa=D&amp;ust=1605639801576000&amp;usg=AFQjCNFDfFkSkg4j8PkJ8zV4loS0VNSdFw" xr:uid="{B9D15CFD-772E-4498-9384-5CA5C1B1B791}"/>
    <hyperlink ref="B1303" r:id="rId2296" display="https://www.google.com/url?q=https://szkopul.edu.pl/problemset/problem/in7jx1ATY7fnkmK87b9m_Nu_/site/&amp;sa=D&amp;ust=1605639801578000&amp;usg=AFQjCNGzYA_EDVmD-BeMvvw4W2jUsWHgVw" xr:uid="{E68837F0-149B-49A3-A0FA-CC77A7D7BEFC}"/>
    <hyperlink ref="F1303" r:id="rId2297" display="https://www.google.com/url?q=https://github.com/mostafa-saad/MyCompetitiveProgramming/blob/master/Olympiad/CEOI/official/2011/&amp;sa=D&amp;ust=1605639801578000&amp;usg=AFQjCNGprn5hibT4vInNyWcRY0runFKO7w" xr:uid="{827811FF-CA8A-49CC-8132-69BCBC80D0F7}"/>
    <hyperlink ref="B1304" r:id="rId2298" display="https://www.google.com/url?q=https://dmoj.ca/problem/coci14c5p6&amp;sa=D&amp;ust=1605639801589000&amp;usg=AFQjCNFVOz9M_ulbVbGBya9n124x14eB-A" xr:uid="{CDD21C28-C9E0-4800-8E31-0BBCA07A5E32}"/>
    <hyperlink ref="F1304" r:id="rId2299" display="https://www.google.com/url?q=https://github.com/mostafa-saad/MyCompetitiveProgramming/blob/master/Olympiad/COCI/official/2015/contest5_solutions&amp;sa=D&amp;ust=1605639801589000&amp;usg=AFQjCNF6Xv2T7Z0MnRdnwnbJMi3XJ-U1QA" xr:uid="{884C7E69-3557-40D7-9BD6-457F87C97C74}"/>
    <hyperlink ref="B1305" r:id="rId2300" display="https://www.google.com/url?q=https://dmoj.ca/problem/apio14p1&amp;sa=D&amp;ust=1605639801589000&amp;usg=AFQjCNGC_-mTcOvXAmJ1qE4Nfy6X1JvPIw" xr:uid="{48D14147-CAD2-4AD5-B66C-02C2CA39F366}"/>
    <hyperlink ref="F1305" r:id="rId2301" display="https://www.google.com/url?q=https://github.com/mostafa-saad/MyCompetitiveProgramming/blob/master/Olympiad/APIO/APIO-14-Palindrome.txt&amp;sa=D&amp;ust=1605639801591000&amp;usg=AFQjCNGh1BmAa9kx5CgGIOCAb_cFde6cJw" xr:uid="{186A9365-06D0-4835-BD87-6819460AFCE3}"/>
    <hyperlink ref="B1306" r:id="rId2302" display="https://www.google.com/url?q=https://www.acmicpc.net/problem/11555&amp;sa=D&amp;ust=1605639801592000&amp;usg=AFQjCNEVg1HZTdBXIHdVqhEFHhxS069eQQ" xr:uid="{E506387F-4BAE-4F71-94EC-199B53D2C621}"/>
    <hyperlink ref="F1306" r:id="rId2303" display="https://www.google.com/url?q=https://github.com/mostafa-saad/MyCompetitiveProgramming/tree/master/Olympiad/Balkan/official/2015&amp;sa=D&amp;ust=1605639801592000&amp;usg=AFQjCNHey3-cOMDLXDCus8Q3Qu4jNLhvIg" xr:uid="{458D83AD-7A03-4110-B1D2-A724F2FE408E}"/>
    <hyperlink ref="B1307" r:id="rId2304" display="https://www.google.com/url?q=http://usaco.org/index.php?page%3Dviewproblem2%26cpid%3D768&amp;sa=D&amp;ust=1605639801593000&amp;usg=AFQjCNEk8hJg3kvVQLrbDDoAEJdOsXRrAw" xr:uid="{44A71151-D812-411F-9198-36BB2049E985}"/>
    <hyperlink ref="B1308" r:id="rId2305" display="https://www.google.com/url?q=https://csacademy.com/contest/rmi-2017-day-1/task/hangman2/&amp;sa=D&amp;ust=1605639801593000&amp;usg=AFQjCNHoq0RTps90piP7n1hNpvtva4_q4g" xr:uid="{7DEA85DE-FCB3-42FD-A65A-7B1F59F6A995}"/>
    <hyperlink ref="F1308" r:id="rId2306" display="https://www.google.com/url?q=https://github.com/mostafa-saad/MyCompetitiveProgramming/blob/master/Olympiad/RMI/RMI-17-D1-Hangman-2.txt&amp;sa=D&amp;ust=1605639801593000&amp;usg=AFQjCNEl4-wRQRsjzGqQ0y3Ol2uZ5vK_3w" xr:uid="{70BC45B9-7051-4032-AA97-47C361ECFB70}"/>
    <hyperlink ref="B1309" r:id="rId2307" display="https://www.google.com/url?q=https://oj.uz/problem/view/BOI14_friends&amp;sa=D&amp;ust=1605639801594000&amp;usg=AFQjCNEjSezQXpX8ZSjkKIfSQTjdiRoMMg" xr:uid="{EC6428BA-A90B-409B-BAF3-251BA1B2C17F}"/>
    <hyperlink ref="F1309" r:id="rId2308" display="https://www.google.com/url?q=https://github.com/SpeedOfMagic/CompetitiveProgramming/blob/master/Baltic/14-friends.cpp&amp;sa=D&amp;ust=1605639801594000&amp;usg=AFQjCNGzki5npoxTR8pVSJB-TyhBJ9MGpw" xr:uid="{12268353-9A17-4180-B8EE-AAB664E3EC34}"/>
    <hyperlink ref="B1310" r:id="rId2309" display="https://www.google.com/url?q=https://csacademy.com/contest/balkan-oi-2017-day-1/&amp;sa=D&amp;ust=1605639801594000&amp;usg=AFQjCNGSGNbfEQ8cpyYRaD4jF2gCxSubuA" xr:uid="{59E608C4-272C-46E2-B0B7-F3ED0A6CBD48}"/>
    <hyperlink ref="B1311" r:id="rId2310" display="https://www.google.com/url?q=https://dunjudge.me/analysis/problems/578/&amp;sa=D&amp;ust=1605639801595000&amp;usg=AFQjCNHODY3gU6dvf75faL4Z-sQ4HO94qA" xr:uid="{40D60942-347A-4FE3-A386-13FC8811145A}"/>
    <hyperlink ref="F1311" r:id="rId2311" display="https://www.google.com/url?q=https://github.com/mostafa-saad/MyCompetitiveProgramming/blob/master/Olympiad/CEOI/COCI-10-upit.txt&amp;sa=D&amp;ust=1605639801595000&amp;usg=AFQjCNGFRhuOX-HLOP_fUYbeaJW0vuBDbw" xr:uid="{47E2F27A-CC44-465D-A806-E394BA839196}"/>
    <hyperlink ref="B1312" r:id="rId2312" display="https://www.google.com/url?q=https://oj.uz/problem/view/BOI11_grow&amp;sa=D&amp;ust=1605639801595000&amp;usg=AFQjCNEVCAlf_tTrHkyCfZm26ycOQarhxw" xr:uid="{268D52EE-FBD2-4406-A62B-A9FF82BDBF38}"/>
    <hyperlink ref="F1312" r:id="rId2313" display="https://www.google.com/url?q=https://github.com/mostafa-saad/MyCompetitiveProgramming/blob/master/Olympiad/Baltic/Baltic-11-grow.txt&amp;sa=D&amp;ust=1605639801596000&amp;usg=AFQjCNEpghnxPqM-LJ3i1Kjrom2Iz-om8g" xr:uid="{3708B8BF-0DA9-431B-8C25-5DF8CE0CAD95}"/>
    <hyperlink ref="B1313" r:id="rId2314" display="https://www.google.com/url?q=https://joisc2013-day4.contest.atcoder.jp/tasks/joisc2013_spaceships&amp;sa=D&amp;ust=1605639801596000&amp;usg=AFQjCNGsJdlngf4nTcyfPCdtw-3fkrFiJQ" xr:uid="{30BB2C2E-521E-4F7E-9894-853B11ECB998}"/>
    <hyperlink ref="B1314" r:id="rId2315" display="https://www.google.com/url?q=https://dunjudge.me/analysis/problems/153/&amp;sa=D&amp;ust=1605639801600000&amp;usg=AFQjCNEEjlz-M7JMuEll861E6hLlEbvCBQ" xr:uid="{8AD9665E-BB18-45A9-9DD6-A1CB11F2C5BE}"/>
    <hyperlink ref="F1314" r:id="rId2316" display="https://www.google.com/url?q=https://github.com/mostafa-saad/MyCompetitiveProgramming/blob/master/Olympiad/CEOI/COCI-09-snowwhite.txt&amp;sa=D&amp;ust=1605639801600000&amp;usg=AFQjCNG3jYekpyaJPKrAM5x4cM9IcobdZw" xr:uid="{ADADB070-1571-4494-B89E-E40B7F5EA480}"/>
    <hyperlink ref="B1315" r:id="rId2317" display="https://www.google.com/url?q=https://dmoj.ca/problem/stnbd4&amp;sa=D&amp;ust=1605639801601000&amp;usg=AFQjCNFkh4td6QET0iFwtdBx1unsgCOV-w" xr:uid="{140232B9-0414-4229-BFFC-90ED07ECCFD7}"/>
    <hyperlink ref="F1315" r:id="rId2318" display="https://www.google.com/url?q=https://github.com/tsouza0/CompetitiveProgramming/blob/master/DMOJ/stnbd4.cpp&amp;sa=D&amp;ust=1605639801601000&amp;usg=AFQjCNEUfV9QGgLFcVoOxMdNrSPRuitJ8Q" xr:uid="{74FA328F-C4AA-404D-9FAA-366CF4029801}"/>
    <hyperlink ref="B1316" r:id="rId2319" display="https://www.google.com/url?q=https://dmoj.ca/problem/dmopc16c4p4&amp;sa=D&amp;ust=1605639801601000&amp;usg=AFQjCNHNJC8ebFxlbFERrtvbe-P4DveDOQ" xr:uid="{74FD6276-01F9-4FD4-8EFF-89DCAEA59A45}"/>
    <hyperlink ref="B1317" r:id="rId2320" display="https://www.google.com/url?q=https://csacademy.com/contest/round-78/task/count-bst/&amp;sa=D&amp;ust=1605639801603000&amp;usg=AFQjCNHKXXr4AiNOXBZ0_JxuZUeT0qL_PA" xr:uid="{3C9E60E3-7F8A-4DC8-A1E9-6C65A29DB20B}"/>
    <hyperlink ref="B1318" r:id="rId2321" display="https://www.google.com/url?q=https://szkopul.edu.pl/problemset/problem/GqRTa-xd7d9cGS5RL5Os-qTV/site/?key%3Dstatement&amp;sa=D&amp;ust=1605639801604000&amp;usg=AFQjCNFz1BO0h4x4CoUEFUV7w5tnzA41-g" xr:uid="{37D1604C-56C6-4935-8314-517A158C72A9}"/>
    <hyperlink ref="F1318" r:id="rId2322" display="https://www.google.com/url?q=https://github.com/SpeedOfMagic/CompetitiveProgramming/blob/master/POI/96-kod.cpp&amp;sa=D&amp;ust=1605639801605000&amp;usg=AFQjCNEEqH3QmAVpipLr8hVcB7rNzPsJXQ" xr:uid="{8808FEFB-DEB2-4941-933C-19F587E62FA5}"/>
    <hyperlink ref="B1319" r:id="rId2323" display="https://www.google.com/url?q=https://szkopul.edu.pl/problemset/problem/fuTBSUcQ2U9sVPYJUDI4JwIe/site/&amp;sa=D&amp;ust=1605639801605000&amp;usg=AFQjCNE_kjDmEYRUQkdjvC4v8HlWZGBRew" xr:uid="{10F926C4-2748-437D-8594-6F0A85B47756}"/>
    <hyperlink ref="F1319" r:id="rId2324" display="https://www.google.com/url?q=https://github.com/mostafa-saad/MyCompetitiveProgramming/blob/master/Olympiad/POI/official/find_editorial_sols_guidelines.txt&amp;sa=D&amp;ust=1605639801606000&amp;usg=AFQjCNE0o2fRQ04MH5rTE7b7Xv8vD1knqg" xr:uid="{620D7DCF-A86A-40CF-B6F3-159A72B12C43}"/>
    <hyperlink ref="B1320" r:id="rId2325" display="https://www.google.com/url?q=https://www.acmicpc.net/problem/9282&amp;sa=D&amp;ust=1605639801606000&amp;usg=AFQjCNEiilLQl5l8tpQz_TEuYE0QfmLjPw" xr:uid="{CF4E756E-195E-44CF-BA83-DED67AED2AAC}"/>
    <hyperlink ref="F1320" r:id="rId2326" display="https://www.google.com/url?q=https://github.com/mostafa-saad/MyCompetitiveProgramming/blob/master/Olympiad/CEOI/official/2013&amp;sa=D&amp;ust=1605639801606000&amp;usg=AFQjCNGTjyO4yN95kDjZt5GqECh6kQSurg" xr:uid="{6FE41560-D659-4048-A6E7-EA40D882FA9F}"/>
    <hyperlink ref="B1321" r:id="rId2327" display="https://www.google.com/url?q=https://dunjudge.me/analysis/problems/802/&amp;sa=D&amp;ust=1605639801607000&amp;usg=AFQjCNH6HOuXeGuwLrfwkUlDFYYiGu431A" xr:uid="{798173C1-1BC2-4D12-A3A7-E213DA8C08A1}"/>
    <hyperlink ref="F1321" r:id="rId2328" display="https://www.google.com/url?q=https://github.com/mostafa-saad/MyCompetitiveProgramming/blob/master/Olympiad/CEOI/official/2013&amp;sa=D&amp;ust=1605639801608000&amp;usg=AFQjCNHEviKdxep4mrnWAHn9WRyTjeuvdQ" xr:uid="{D09C7667-E67F-4B29-85C6-00E8096D5BD8}"/>
    <hyperlink ref="B1322" r:id="rId2329" display="https://www.google.com/url?q=https://csacademy.com/contest/ejoi-2017-day-2/task/camel/&amp;sa=D&amp;ust=1605639801609000&amp;usg=AFQjCNHvhP1kOUKeXF-CGGKuQZgY3XaQvw" xr:uid="{13903517-5399-4B04-A4A9-ECFDFCFE7037}"/>
    <hyperlink ref="B1323" r:id="rId2330" display="https://www.google.com/url?q=https://szkopul.edu.pl/problemset/problem/_PLjXEFyR0XMBQ-kZ1k_GgHE/site/&amp;sa=D&amp;ust=1605639801609000&amp;usg=AFQjCNEMjUVwMzc2R3dHwguoLgjfD8-s4A" xr:uid="{CD3CED7F-A8B4-49D9-AA3E-5BB7FCFFEEA5}"/>
    <hyperlink ref="F1323" r:id="rId2331" display="https://www.google.com/url?q=https://github.com/mostafa-saad/MyCompetitiveProgramming/blob/master/Olympiad/POI/official/find_editorial_sols_guidelines.txt&amp;sa=D&amp;ust=1605639801609000&amp;usg=AFQjCNH1cMjAq9LboH66a0nquTMldH6G7w" xr:uid="{929EF216-2D4E-4EA3-983D-C490F9B5E36C}"/>
    <hyperlink ref="B1324" r:id="rId2332" display="https://www.google.com/url?q=https://szkopul.edu.pl/problemset/problem/4roJ2TqCXhLN6ftK2jiWKlO9/site/&amp;sa=D&amp;ust=1605639801610000&amp;usg=AFQjCNGK-Sf5C-hxgim0Zlmd8LiIPEk6gQ" xr:uid="{2526A6D7-A882-41B4-A02E-F9A51B6F9EC5}"/>
    <hyperlink ref="F1324" r:id="rId2333" display="https://www.google.com/url?q=https://github.com/mostafa-saad/MyCompetitiveProgramming/blob/master/Olympiad/POI/official/find_editorial_sols_guidelines.txt&amp;sa=D&amp;ust=1605639801610000&amp;usg=AFQjCNGJm5PHnuusWPONz4rjM_txwdUe3g" xr:uid="{67F543C0-F224-42C3-AD5A-07BE5E56EC1E}"/>
    <hyperlink ref="B1325" r:id="rId2334" display="https://www.google.com/url?q=https://szkopul.edu.pl/problemset/problem/SbvfueoDtZe2DQFHrywTIakc/site/&amp;sa=D&amp;ust=1605639801610000&amp;usg=AFQjCNHIfrbF1RlX_G4GHdog3qhMsVVupg" xr:uid="{2C5F56F1-CDE3-4D6F-AAB5-593EC6B4BFA8}"/>
    <hyperlink ref="F1325" r:id="rId2335" display="https://www.google.com/url?q=https://github.com/mostafa-saad/MyCompetitiveProgramming/blob/master/Olympiad/POI/official/find_editorial_sols_guidelines.txt&amp;sa=D&amp;ust=1605639801611000&amp;usg=AFQjCNEmnqgpgurtI4qbfvWHq4eCMJnc-Q" xr:uid="{CFD45152-B3F0-4621-A742-5065D755AB65}"/>
    <hyperlink ref="B1326" r:id="rId2336" display="https://www.google.com/url?q=https://cses.fi/110/list/&amp;sa=D&amp;ust=1605639801611000&amp;usg=AFQjCNEaW9IB8uwKIXePK0K7GRXrxMGxQg" xr:uid="{C97E3DCE-6270-4D20-8F3F-29E6847F936C}"/>
    <hyperlink ref="F1326" r:id="rId2337" display="https://www.google.com/url?q=https://github.com/mostafa-saad/MyCompetitiveProgramming/blob/master/Olympiad/Baltic/Baltic-06-RLE.txt&amp;sa=D&amp;ust=1605639801611000&amp;usg=AFQjCNGPIcHQ3LCUJWZMacgT4EymEc4pyA" xr:uid="{A5FB5766-45F5-4A73-92D4-14097EA766FF}"/>
    <hyperlink ref="B1327" r:id="rId2338" display="https://www.google.com/url?q=https://wcipeg.com/problem/coi08p3&amp;sa=D&amp;ust=1605639801612000&amp;usg=AFQjCNEkMpZ7LFkUMJ2RqW6Rh25xqEREwA" xr:uid="{8002C128-D4EA-4E15-932D-F697E83C4849}"/>
    <hyperlink ref="F1327" r:id="rId2339" display="https://www.google.com/url?q=https://github.com/mostafa-saad/MyCompetitiveProgramming/tree/master/Olympiad/COCI/official/2009/olympiad_solutions&amp;sa=D&amp;ust=1605639801612000&amp;usg=AFQjCNF1_VFS-KBvcSrFiS4WbCAnMsBDpw" xr:uid="{6257ADE6-D209-4286-84CF-60FD25258A9F}"/>
    <hyperlink ref="B1328" r:id="rId2340" display="https://www.google.com/url?q=https://contest.yandex.ru/ioi/contest/558/enter/&amp;sa=D&amp;ust=1605639801612000&amp;usg=AFQjCNENZVdx-y1pbLeL0aml1nyD1PIb9w" xr:uid="{B6752C5E-62F6-4406-BD2A-283ABE08D812}"/>
    <hyperlink ref="F1328" r:id="rId2341" display="https://www.google.com/url?q=https://github.com/mostafa-saad/MyCompetitiveProgramming/blob/master/Olympiad/IOI/IOI-03-robots.txt&amp;sa=D&amp;ust=1605639801613000&amp;usg=AFQjCNGGEK3OZrW3vq2eI0zw9iFmVXPIMA" xr:uid="{167DCCC8-4F31-4565-B2CE-900C1F6F7E0D}"/>
    <hyperlink ref="B1329" r:id="rId2342" display="https://www.google.com/url?q=https://oj.uz/problem/view/COCI18_clickbait&amp;sa=D&amp;ust=1605639801613000&amp;usg=AFQjCNEz3akQ3BH9XH7DJvT9uEKUpVHEfA" xr:uid="{5A8E937E-EEF4-4A41-B7C7-07131DDD21BC}"/>
    <hyperlink ref="B1330" r:id="rId2343" display="https://www.google.com/url?q=https://dmoj.ca/problem/coci08c3p4&amp;sa=D&amp;ust=1605639801613000&amp;usg=AFQjCNFLiouxEO7VSDpr-ApER4zM3Io2qg" xr:uid="{EF899480-CFE5-425C-99FD-18023107DDAB}"/>
    <hyperlink ref="F1330" r:id="rId2344" display="https://www.google.com/url?q=https://github.com/mostafa-saad/MyCompetitiveProgramming/blob/master/Olympiad/COCI/COCI-08-Matrica&amp;sa=D&amp;ust=1605639801614000&amp;usg=AFQjCNGKQh0_Ly8uKn0VnVqHgFjhwhg_Bg" xr:uid="{A1BB20CB-EA29-4101-95D3-A31DA5058FE2}"/>
    <hyperlink ref="B1331" r:id="rId2345" display="https://www.google.com/url?q=https://oj.uz/problem/view/IZhO18_chessboard&amp;sa=D&amp;ust=1605639801614000&amp;usg=AFQjCNGEB7jnQwfvS6m4FPlXQ-h49uuorQ" xr:uid="{C2D04069-D38C-4D8B-98E1-053D8A8A59F4}"/>
    <hyperlink ref="B1332" r:id="rId2346" display="https://www.google.com/url?q=https://oj.uz/problem/view/JOI17_broken_device&amp;sa=D&amp;ust=1605639801614000&amp;usg=AFQjCNFPc0E0rNwhLSnTD_SSWljXZt3Fsg" xr:uid="{FAF177C2-CA80-40BD-88EE-3385EC03E2F2}"/>
    <hyperlink ref="F1332" r:id="rId2347" display="https://www.google.com/url?q=https://ivaniscoding.wordpress.com/2018/08/25/communication-3-broken-device/&amp;sa=D&amp;ust=1605639801615000&amp;usg=AFQjCNGVX-ohHfIL2jbl-t1tTYycB9ycBQ" xr:uid="{E325796E-6F91-48D8-8005-008E7395A070}"/>
    <hyperlink ref="B1333" r:id="rId2348" display="https://www.google.com/url?q=https://oj.uz/problem/view/BOI14_network&amp;sa=D&amp;ust=1605639801615000&amp;usg=AFQjCNFV-3HKXkxofF-LFHhRnooXu0Zvsw" xr:uid="{F48ED8DD-E1DC-4FB9-A6F3-8D9EEB01BBEB}"/>
    <hyperlink ref="F1333" r:id="rId2349" display="https://www.google.com/url?q=https://github.com/mushisgosuuu/oj-solutions/blob/master/BOI/network2014.cpp&amp;sa=D&amp;ust=1605639801615000&amp;usg=AFQjCNGhEFuCALquauA7rK4F-3c-Xt5lfw" xr:uid="{2C07E1CA-1B3B-4059-B8D5-3CD78552F551}"/>
    <hyperlink ref="B1334" r:id="rId2350" display="https://www.google.com/url?q=https://www.acmicpc.net/category/94&amp;sa=D&amp;ust=1605639801616000&amp;usg=AFQjCNFfTMJSWVHZI9f-fTeTK32mGHsTqw" xr:uid="{74699B8C-02CB-4DAF-8405-E258FD11C1B6}"/>
    <hyperlink ref="B1335" r:id="rId2351" display="https://www.google.com/url?q=https://joi2016ho.contest.atcoder.jp/tasks/joi2016ho_b&amp;sa=D&amp;ust=1605639801616000&amp;usg=AFQjCNH7RyHuPYwaTjsJLV-Iwj6lsWp9Ow" xr:uid="{43F85535-8B47-4202-BDFE-C1BF00867A7F}"/>
    <hyperlink ref="F1335" r:id="rId2352" display="https://www.google.com/url?q=https://github.com/nikolapesic2802/Programming-Practice/blob/master/Collecting%2520stamps/main.cpp&amp;sa=D&amp;ust=1605639801616000&amp;usg=AFQjCNHV-7Y22CSK1zwLNBHHqzU2dmFwdA" xr:uid="{000F6C55-920A-4A3F-AF04-A1E9CED2CF3C}"/>
    <hyperlink ref="B1336" r:id="rId2353" display="https://www.google.com/url?q=https://dmoj.ca/problem/coci06c3p6&amp;sa=D&amp;ust=1605639801617000&amp;usg=AFQjCNE0EiscnMggadC3_IXjTKnV8GCX0w" xr:uid="{34311991-5C0A-4270-B173-BBE643758948}"/>
    <hyperlink ref="F1336" r:id="rId2354" display="https://www.google.com/url?q=https://github.com/tsouza0/CompetitiveProgramming/blob/master/Olympiads/COCI/lista.cpp&amp;sa=D&amp;ust=1605639801617000&amp;usg=AFQjCNH36mC2a4pfoSYwdePWbyfoVOCp2g" xr:uid="{666BD57F-3C17-44E3-83E8-F025874434D7}"/>
    <hyperlink ref="B1337" r:id="rId2355" display="https://www.google.com/url?q=https://joi2014ho.contest.atcoder.jp/tasks/joi2014ho1&amp;sa=D&amp;ust=1605639801665000&amp;usg=AFQjCNF7rry0NFZ0hrTaKgnk6J475NNdGQ" xr:uid="{BF2D7A5A-939A-481D-938A-E0899ABD5A62}"/>
    <hyperlink ref="B1338" r:id="rId2356" display="https://www.google.com/url?q=https://oj.uz/problem/view/JOI17_semiexpress&amp;sa=D&amp;ust=1605639801665000&amp;usg=AFQjCNEc4UYjLsAvkrdVqRiTrnVNKtTGVw" xr:uid="{C3147B20-BAB2-4FAE-B77A-7C79F39612C9}"/>
    <hyperlink ref="B1339" r:id="rId2357" display="https://www.google.com/url?q=https://oj.uz/problem/view/COCI15_topovi&amp;sa=D&amp;ust=1605639801666000&amp;usg=AFQjCNHFaNFRHCe9oePYe6pS9mMnANwbTA" xr:uid="{2F5FAA0E-233D-4B0A-A00E-7979128160ED}"/>
    <hyperlink ref="F1339" r:id="rId2358" display="https://www.google.com/url?q=https://github.com/mostafa-saad/MyCompetitiveProgramming/blob/master/Olympiad/COCI/COCI-15-topovi.txt&amp;sa=D&amp;ust=1605639801666000&amp;usg=AFQjCNH3sNDj5zgpoJ0sb-r56lK2Bt2Hcw" xr:uid="{3CBA0D24-50CF-4288-8DF8-FA381E848DAA}"/>
    <hyperlink ref="B1340" r:id="rId2359" display="https://www.google.com/url?q=https://oj.uz/problem/view/NOI14_orchard&amp;sa=D&amp;ust=1605639801674000&amp;usg=AFQjCNFbXgmPHCzGh8f_1cXyQJrYAGVt4Q" xr:uid="{78B7BB7B-C89B-424F-A0BB-D4184CEAC561}"/>
    <hyperlink ref="F1340" r:id="rId2360" display="https://www.google.com/url?q=https://github.com/mostafa-saad/MyCompetitiveProgramming/blob/master/Olympiad/NOI/official&amp;sa=D&amp;ust=1605639801679000&amp;usg=AFQjCNGTP_AXQr59puOgPKA4XYOhbmgvFg" xr:uid="{FDC49475-D922-4FE2-8D67-1712D1B147D9}"/>
    <hyperlink ref="B1341" r:id="rId2361" display="https://www.google.com/url?q=https://infoarena.ro/problema/poarta2&amp;sa=D&amp;ust=1605639801679000&amp;usg=AFQjCNFfxVPqP3Us1UM6Ao2YvS9GG6gbUg" xr:uid="{7D27FB4C-690B-40ED-BC64-B5C66497447E}"/>
    <hyperlink ref="F1341" r:id="rId2362" display="https://www.google.com/url?q=https://github.com/stefdasca/CompetitiveProgramming/blob/master/Infoarena/poarta2.cpp&amp;sa=D&amp;ust=1605639801679000&amp;usg=AFQjCNGX8JeF-cz1TACcQqelY4QBupkySA" xr:uid="{6DEE9B3F-1B09-4BDC-8DE0-92C149CF86D5}"/>
    <hyperlink ref="B1342" r:id="rId2363" display="https://www.google.com/url?q=https://codeforces.com/group/swEqtABRxe/contest/243427/problem/C&amp;sa=D&amp;ust=1605639801680000&amp;usg=AFQjCNHDMxwWoueHdbYoVzCwc1dUq9FTQA" xr:uid="{4555A1D4-D2F2-40C4-A46B-02D544DC9824}"/>
    <hyperlink ref="B1343" r:id="rId2364" display="https://www.google.com/url?q=https://szkopul.edu.pl/problemset/problem/NuGiXg5BO8iuLFU7vmhCmNWK/site/&amp;sa=D&amp;ust=1605639801685000&amp;usg=AFQjCNHFRJW3tpH6kzrJZcySBt24mrivUg" xr:uid="{DC74A9D6-A542-43CA-B60B-78C9818357DC}"/>
    <hyperlink ref="F1343" r:id="rId2365" display="https://www.google.com/url?q=https://github.com/mostafa-saad/MyCompetitiveProgramming/blob/master/Olympiad/POI/official/find_editorial_sols_guidelines.txt&amp;sa=D&amp;ust=1605639801686000&amp;usg=AFQjCNFKBKlj6Jz6CoqDsSE2c88KOKiLLA" xr:uid="{FF883D70-2893-47E7-BB9C-630CFC21EA91}"/>
    <hyperlink ref="B1344" r:id="rId2366" display="https://www.google.com/url?q=https://szkopul.edu.pl/problemset/problem/70I-ks8dXjgq3xwzRzLV1w4p/site/&amp;sa=D&amp;ust=1605639801686000&amp;usg=AFQjCNEtb2_pn2sdIYcvbjgPmp5-r8oWRQ" xr:uid="{BA8B7FC7-777B-41D4-8A46-535D3944C4F0}"/>
    <hyperlink ref="F1344" r:id="rId2367" display="https://www.google.com/url?q=https://github.com/mostafa-saad/MyCompetitiveProgramming/blob/master/Olympiad/POI/official/find_editorial_sols_guidelines.txt&amp;sa=D&amp;ust=1605639801686000&amp;usg=AFQjCNFKBKlj6Jz6CoqDsSE2c88KOKiLLA" xr:uid="{EDB00C4B-9EFB-40CC-A6AB-7BA8A460E707}"/>
    <hyperlink ref="B1345" r:id="rId2368" display="https://www.google.com/url?q=https://oj.uz/problem/view/IZhO19_stones&amp;sa=D&amp;ust=1605639801687000&amp;usg=AFQjCNG6b0R6mrS8rWjrOrAGQQPI3xy6jg" xr:uid="{8F86FB50-56E6-48A1-BFF4-AE9D0E88849A}"/>
    <hyperlink ref="B1346" r:id="rId2369" display="https://www.google.com/url?q=https://joisc2013-day1.contest.atcoder.jp/tasks/joisc2013_joi_poster&amp;sa=D&amp;ust=1605639801687000&amp;usg=AFQjCNGWkwsIl0ma23fd5U6CpRbyQNsdwg" xr:uid="{2BD57CB4-A5B4-4170-9C46-1D3B66258370}"/>
    <hyperlink ref="B1347" r:id="rId2370" display="https://www.google.com/url?q=https://dmoj.ca/problem/coci13c1p3&amp;sa=D&amp;ust=1605639801688000&amp;usg=AFQjCNFD-GDf8SsBZ6oUocN78XzVtwDaCA" xr:uid="{814DD67B-A9AE-4B8E-A34B-FFF4BB5A28A1}"/>
    <hyperlink ref="F1347" r:id="rId2371" display="https://www.google.com/url?q=https://github.com/mostafa-saad/MyCompetitiveProgramming/blob/master/Olympiad/COCI/official/2014/contest1_solutions&amp;sa=D&amp;ust=1605639801688000&amp;usg=AFQjCNGgLfDa2ilSm5h62Q979QWG4irkWA" xr:uid="{E8402440-EFC6-4FF6-8E30-40B0EA4C71A5}"/>
    <hyperlink ref="B1348" r:id="rId2372" display="https://www.google.com/url?q=https://codeforces.com/group/swEqtABRxe/contest/243427/problem/A&amp;sa=D&amp;ust=1605639801688000&amp;usg=AFQjCNF9y2ZXLJ1KDY-uGZFYq7uNGGnlkg" xr:uid="{D35CB2EE-19DC-48D9-9CF1-454C8B9A8300}"/>
    <hyperlink ref="B1349" r:id="rId2373" display="https://www.google.com/url?q=https://codeforces.com/group/swEqtABRxe/contest/227524/problem/A&amp;sa=D&amp;ust=1605639801689000&amp;usg=AFQjCNHGSookuIaXdbBVYXC6CfWUCk7GOg" xr:uid="{19FA1BAA-EAEE-470D-8065-667DD5CCE4DB}"/>
    <hyperlink ref="B1350" r:id="rId2374" display="https://www.google.com/url?q=https://codeforces.com/group/swEqtABRxe/contest/243435/problem/C&amp;sa=D&amp;ust=1605639801689000&amp;usg=AFQjCNH8RgZTiw4LbSscYqhj1Un3lS0Wqw" xr:uid="{2F23EC92-99BA-45B2-83E5-EFA3862D969F}"/>
    <hyperlink ref="B1351" r:id="rId2375" display="https://www.google.com/url?q=https://www.infoarena.ro/problema/cmmp&amp;sa=D&amp;ust=1605639801690000&amp;usg=AFQjCNFzHmqjgs2Pavnom4e3VM4VFF4l0A" xr:uid="{4DBD02F2-6F8B-4A7F-BC7E-3FBD0AE5D94F}"/>
    <hyperlink ref="F1351" r:id="rId2376" display="https://www.google.com/url?q=https://github.com/stefdasca/CompetitiveProgramming/blob/master/Infoarena/cmmp.cpp&amp;sa=D&amp;ust=1605639801690000&amp;usg=AFQjCNE7NATZUtvJ5FbMx3mbdv7R9Ku5qA" xr:uid="{F6E5AD05-DAE4-4C6E-BDC6-2164A88E835E}"/>
    <hyperlink ref="B1352" r:id="rId2377" display="https://www.google.com/url?q=https://codeforces.com/group/swEqtABRxe/contest/227524/problem/C&amp;sa=D&amp;ust=1605639801690000&amp;usg=AFQjCNFURioQ__35XlRWP43gXCaKHBZUOQ" xr:uid="{01FD5047-5C93-4237-8CC1-52DD721005DA}"/>
    <hyperlink ref="B1353" r:id="rId2378" display="https://www.google.com/url?q=https://codeforces.com/group/swEqtABRxe/contest/227527/problem/B&amp;sa=D&amp;ust=1605639801691000&amp;usg=AFQjCNEljgIKKaSHs4og8fiKhs6L_QCHVQ" xr:uid="{D16A95E1-BA66-457B-9205-4430B623D276}"/>
    <hyperlink ref="B1354" r:id="rId2379" display="https://www.google.com/url?q=https://infoarena.ro/problema/album2&amp;sa=D&amp;ust=1605639801691000&amp;usg=AFQjCNHwnAg9_jm3A229GtkyKey9D0D67g" xr:uid="{7C1BC2A7-501A-44CD-8FAE-93A9DF6BC266}"/>
    <hyperlink ref="F1354" r:id="rId2380" display="https://www.google.com/url?q=https://github.com/stefdasca/CompetitiveProgramming/blob/master/Infoarena/album2.cpp&amp;sa=D&amp;ust=1605639801691000&amp;usg=AFQjCNGEpK7Oa8ykSF15SFYfOSv_tLDlLA" xr:uid="{67F7405A-B7EE-4408-838B-F0E134572A50}"/>
    <hyperlink ref="B1355" r:id="rId2381" display="https://www.google.com/url?q=https://oj.uz/problem/view/IOI09_garage&amp;sa=D&amp;ust=1605639801692000&amp;usg=AFQjCNFJQyll8-jUZpg3j7GeeZM14UsHNA" xr:uid="{32F0F5CF-D6AA-4E05-BA41-D65CE76357DB}"/>
    <hyperlink ref="F1355" r:id="rId2382" display="https://www.google.com/url?q=https://github.com/mostafa-saad/MyCompetitiveProgramming/blob/master/Olympiad/IOI/official/2009&amp;sa=D&amp;ust=1605639801698000&amp;usg=AFQjCNHIZUanLtB7ASkRDKlNTKLJ5LJ6Bw" xr:uid="{2A930AEA-92B9-49F6-B311-AEC7DDD266B3}"/>
    <hyperlink ref="B1356" r:id="rId2383" display="https://www.google.com/url?q=https://codeforces.com/group/swEqtABRxe/contest/243431/problem/A&amp;sa=D&amp;ust=1605639801699000&amp;usg=AFQjCNEFbBhdPilyVCLQSwxwRmcrk5EHMA" xr:uid="{72D6D52D-9126-4FEC-88AE-B7421E9BC5E0}"/>
    <hyperlink ref="B1357" r:id="rId2384" display="https://www.google.com/url?q=https://codeforces.com/group/swEqtABRxe/contest/243435/problem/B&amp;sa=D&amp;ust=1605639801699000&amp;usg=AFQjCNEcEk7b1o2WSkWmbX_jlM2ryDb5bQ" xr:uid="{6DABFD3A-DF69-4E66-A503-BC7FE8DEB110}"/>
    <hyperlink ref="B1358" r:id="rId2385" display="https://www.google.com/url?q=https://oj.uz/problem/view/COCI17_tetris&amp;sa=D&amp;ust=1605639801700000&amp;usg=AFQjCNFgolrNWcLgQdWBp5conYFOJ02EMA" xr:uid="{5A37DB35-6411-4EE1-AC33-D6A8740AC8CA}"/>
    <hyperlink ref="B1359" r:id="rId2386" display="https://www.google.com/url?q=https://github.com/stefdasca/CompetitiveProgramming/blob/master/Info1Cup/National%2520Round/Treasure%2520(RO).pdf&amp;sa=D&amp;ust=1605639801700000&amp;usg=AFQjCNGth5xZ1TydsBFK8-sThe0dD_YEEA" xr:uid="{7E54B0CF-AB7C-47FD-95C5-A51B2CA45257}"/>
    <hyperlink ref="F1359" r:id="rId2387" display="https://www.google.com/url?q=https://github.com/stefdasca/CompetitiveProgramming/blob/master/Info1Cup/National%2520Round/treasure.cpp&amp;sa=D&amp;ust=1605639801702000&amp;usg=AFQjCNFZXGgLhJ6wuik3K5F7QUqtegni3w" xr:uid="{2D459BB4-1308-4983-BCEC-6DEFE6F6771A}"/>
    <hyperlink ref="B1360" r:id="rId2388" display="https://www.google.com/url?q=https://contest.yandex.ru/ioi/contest/570/enter/&amp;sa=D&amp;ust=1605639801703000&amp;usg=AFQjCNEXTpArhJuBgcBnkzr_AQoCvse1Bw" xr:uid="{5ECBA747-F758-4A0F-B525-CE784774EB44}"/>
    <hyperlink ref="F1360" r:id="rId2389" display="https://www.google.com/url?q=https://github.com/mostafa-saad/MyCompetitiveProgramming/blob/master/Olympiad/IOI/official/2010&amp;sa=D&amp;ust=1605639801703000&amp;usg=AFQjCNHss1kFxXtafhQM37EUIdEpxR2C1A" xr:uid="{C428F7CE-7219-4758-9DEE-6ECD71716066}"/>
    <hyperlink ref="B1361" r:id="rId2390" display="https://www.google.com/url?q=https://contest.yandex.ru/ioi/contest/570/enter/&amp;sa=D&amp;ust=1605639801703000&amp;usg=AFQjCNEXTpArhJuBgcBnkzr_AQoCvse1Bw" xr:uid="{04DF81D8-0A53-4689-99F7-7F3E92D5D2C8}"/>
    <hyperlink ref="F1361" r:id="rId2391" display="https://www.google.com/url?q=https://github.com/mostafa-saad/MyCompetitiveProgramming/blob/master/Olympiad/IOI/official/2010&amp;sa=D&amp;ust=1605639801704000&amp;usg=AFQjCNFhDFIJmo1X4ROw5CGrUMwc1Bx3yA" xr:uid="{414E638A-CA70-49E2-864F-FF6AD5C10B1F}"/>
    <hyperlink ref="B1362" r:id="rId2392" display="https://www.google.com/url?q=https://wcipeg.com/problem/coci092p2&amp;sa=D&amp;ust=1605639801704000&amp;usg=AFQjCNEvOU-zvALT0w0nK_IaU5a_TaFKPw" xr:uid="{37FE9271-49A7-4325-BD1A-51D937B02DEC}"/>
    <hyperlink ref="F1362" r:id="rId2393" display="https://www.google.com/url?q=https://github.com/mostafa-saad/MyCompetitiveProgramming/blob/master/Olympiad/COCI/official/2010/contest2_solutions&amp;sa=D&amp;ust=1605639801704000&amp;usg=AFQjCNGT-YxhRexsg6CEjnwGanQV4U_mxA" xr:uid="{141BB8DD-5644-49AA-BFFA-2AE4C5EA0EC5}"/>
    <hyperlink ref="B1363" r:id="rId2394" display="https://www.google.com/url?q=https://wcipeg.com/problem/coci093p4&amp;sa=D&amp;ust=1605639801705000&amp;usg=AFQjCNEnJNtvyQXAvErtTLX5v8gZroE_3w" xr:uid="{087CB39F-1BE5-4E8D-8597-5DDCE8914B17}"/>
    <hyperlink ref="F1363" r:id="rId2395" display="https://www.google.com/url?q=https://github.com/mostafa-saad/MyCompetitiveProgramming/blob/master/Olympiad/COCI/official/2010/contest3_solutions&amp;sa=D&amp;ust=1605639801705000&amp;usg=AFQjCNGF4WOopeENb1nnJKyj8vA3thZVhA" xr:uid="{ED9BDA10-2DEB-432D-8962-B9F313D64C4D}"/>
    <hyperlink ref="B1364" r:id="rId2396" display="https://www.google.com/url?q=https://wcipeg.com/problem/coci095p5&amp;sa=D&amp;ust=1605639801705000&amp;usg=AFQjCNHH9AEoZnUfeLwCJPbp51XDKLr1Og" xr:uid="{AB5CC3D8-4B6F-4200-AC49-082563F95422}"/>
    <hyperlink ref="F1364" r:id="rId2397" display="https://www.google.com/url?q=https://github.com/mostafa-saad/MyCompetitiveProgramming/blob/master/Olympiad/COCI/official/2010/contest5_solutions&amp;sa=D&amp;ust=1605639801705000&amp;usg=AFQjCNGnrD0e-KdFQuCO53wp6PpNz8YZMg" xr:uid="{EA015BBF-B96B-4F01-A3BA-853B6BB7BA06}"/>
    <hyperlink ref="B1365" r:id="rId2398" display="https://www.google.com/url?q=https://oj.uz/problem/view/COCI16_tarifa&amp;sa=D&amp;ust=1605639801706000&amp;usg=AFQjCNEf25_KhPht9gM6hBE4NTftbaF88A" xr:uid="{69C11590-0F53-4D85-A632-AB4494349D26}"/>
    <hyperlink ref="B1366" r:id="rId2399" display="https://www.google.com/url?q=https://dmoj.ca/problem/coci13c1p1&amp;sa=D&amp;ust=1605639801706000&amp;usg=AFQjCNGizyeWdrTZoNJe13L_0MdtriS4ew" xr:uid="{2C9B8088-F5F8-4C93-9B5D-A23392BCC190}"/>
    <hyperlink ref="F1366" r:id="rId2400" display="https://www.google.com/url?q=https://github.com/mostafa-saad/MyCompetitiveProgramming/blob/master/Olympiad/COCI/official/2014/contest1_solutions&amp;sa=D&amp;ust=1605639801707000&amp;usg=AFQjCNE5T1CFdGjV5hZl9f8btA-28LyBCQ" xr:uid="{44CFEEFE-35C4-4718-9207-8789C62EB1A2}"/>
    <hyperlink ref="B1367" r:id="rId2401" display="https://www.google.com/url?q=https://dmoj.ca/problem/coci15c4p1&amp;sa=D&amp;ust=1605639801707000&amp;usg=AFQjCNFlfkyC81Mic_kx1g3xiBO4o1vLig" xr:uid="{3C55CC40-8035-40A4-B0C9-1303DB6FE2D3}"/>
    <hyperlink ref="B1368" r:id="rId2402" display="https://www.google.com/url?q=https://oj.uz/problem/view/COCI18_magnus&amp;sa=D&amp;ust=1605639801707000&amp;usg=AFQjCNEc_IldPVsVBgs_ilXO4-R66FbIlg" xr:uid="{5EA9C83A-4C85-46D2-B528-5295BF14B87C}"/>
    <hyperlink ref="B1369" r:id="rId2403" display="https://www.google.com/url?q=https://oj.uz/problem/view/COCI18_pismo&amp;sa=D&amp;ust=1605639801708000&amp;usg=AFQjCNHWr11DNYqsoJ5d9guPMyQNRTEIPw" xr:uid="{0D4ECF3D-ADB5-4656-80E2-321F9033EAA4}"/>
    <hyperlink ref="B1370" r:id="rId2404" display="https://www.google.com/url?q=https://oj.uz/problem/view/COCI19_elder&amp;sa=D&amp;ust=1605639801708000&amp;usg=AFQjCNF33Hu695CTWIeBemVsaBaUO-_--Q" xr:uid="{84C3781E-D0E6-4E39-BF5D-975DB2066A86}"/>
    <hyperlink ref="B1371" r:id="rId2405" display="https://www.google.com/url?q=https://oj.uz/problem/view/COCI19_konj&amp;sa=D&amp;ust=1605639801709000&amp;usg=AFQjCNF3DLBuz-EcEFGTgUNConTF8Xuj3A" xr:uid="{0168E5B6-8079-4E50-A6F6-1E50861648F2}"/>
    <hyperlink ref="B1372" r:id="rId2406" display="https://www.google.com/url?q=https://oj.uz/problem/view/COCI19_lun&amp;sa=D&amp;ust=1605639801709000&amp;usg=AFQjCNH8JXSKc_Y6WOSJgHYlJt8MmMM0mQ" xr:uid="{B3D48405-12B9-4346-A521-5B041A241A16}"/>
    <hyperlink ref="B1373" r:id="rId2407" display="https://www.google.com/url?q=https://infoarena.ro/problema/calancea&amp;sa=D&amp;ust=1605639801710000&amp;usg=AFQjCNFBZOjeBxKaRVupPPpj5GE8bbpw4A" xr:uid="{2B67FE8C-BA08-4D4F-8F25-5AD3FFE15FC5}"/>
    <hyperlink ref="B1374" r:id="rId2408" display="https://www.google.com/url?q=https://csacademy.com/contest/ioi-2016-training-round-2/task/increasing_subarrays/&amp;sa=D&amp;ust=1605639801710000&amp;usg=AFQjCNHU862F2HBlHY8mMMBmvBpATULfQQ" xr:uid="{6B2E0514-ACDE-43DE-8253-5C1A9422F4BE}"/>
    <hyperlink ref="F1374" r:id="rId2409" display="https://www.google.com/url?q=https://github.com/mostafa-saad/MyCompetitiveProgramming/blob/master/Olympiad/IOI/IOIPractice-16-increasing_subarrays.txt&amp;sa=D&amp;ust=1605639801710000&amp;usg=AFQjCNGPRY3QrFJ_6JtGoNPI1_9pSyiIEQ" xr:uid="{FE8D9873-7D84-46D4-8FA2-E44229B09869}"/>
    <hyperlink ref="B1375" r:id="rId2410" display="https://www.google.com/url?q=https://szkopul.edu.pl/problemset/problem/lcU5m2RAICwNHsdzydb8JTQw/site/&amp;sa=D&amp;ust=1605639801774000&amp;usg=AFQjCNEPEI0BNE3HkhWNaEcb38COenIbig" xr:uid="{50761D62-5E59-4825-A2BD-C893BC4A8340}"/>
    <hyperlink ref="F1375" r:id="rId2411" display="https://www.google.com/url?q=https://github.com/mostafa-saad/MyCompetitiveProgramming/blob/master/Olympiad/POI/POI-10-Pilots.txt&amp;sa=D&amp;ust=1605639801774000&amp;usg=AFQjCNEjg6Ydx1H1tVurVFOJS9AzkAAUCA" xr:uid="{EF5FC1D6-DA05-4A1D-8870-B4D8E2390C0C}"/>
    <hyperlink ref="B1376" r:id="rId2412" display="https://www.google.com/url?q=https://codeforces.com/group/swEqtABRxe/contest/227531/problem/C&amp;sa=D&amp;ust=1605639801774000&amp;usg=AFQjCNHlFfSoOwUaPyNjeSQ8wBoOa-B0Ew" xr:uid="{D2439F38-E6A8-4D81-B890-A25D18AD08F1}"/>
    <hyperlink ref="F1376" r:id="rId2413" display="https://www.google.com/url?q=https://ideone.com/iyHw7X&amp;sa=D&amp;ust=1605639801775000&amp;usg=AFQjCNFlzd-Ppfa2xQ3yz8uS31CWeuQcqA" xr:uid="{FB2BB149-4A37-43E9-95CC-3826E4CA854B}"/>
    <hyperlink ref="B1377" r:id="rId2414" display="https://www.google.com/url?q=https://szkopul.edu.pl/problemset/problem/4BL9eUWjrvT7ecMUJcmSuJI3/site/&amp;sa=D&amp;ust=1605639801775000&amp;usg=AFQjCNFzB2y4B6J04dymJmjb6xl45hG2nw" xr:uid="{A299E54E-A10A-4ED6-8EFE-29FDC7812931}"/>
    <hyperlink ref="F1377" r:id="rId2415" display="https://www.google.com/url?q=https://ideone.com/iOUxs7&amp;sa=D&amp;ust=1605639801775000&amp;usg=AFQjCNECgypSD-LnpsSsdth49mfUTRSA0Q" xr:uid="{93134BA3-68CA-4776-A233-ABDA4ED0A611}"/>
    <hyperlink ref="B1378" r:id="rId2416" display="https://www.google.com/url?q=https://oj.uz/problem/view/IOI16_molecules&amp;sa=D&amp;ust=1605639801776000&amp;usg=AFQjCNGM7pFcEEJdpQHpNzqqhx3CvBVBIA" xr:uid="{65CFA056-E192-4DCA-9588-21981DE8E52A}"/>
    <hyperlink ref="F1378" r:id="rId2417" display="https://www.google.com/url?q=https://github.com/mostafa-saad/MyCompetitiveProgramming/blob/master/Olympiad/IOI/official/2016&amp;sa=D&amp;ust=1605639801776000&amp;usg=AFQjCNGkUd4cetLlxesOMPyVVLjGXGRrMg" xr:uid="{6C0600FA-C99C-45CB-97E0-E026C38A36A1}"/>
    <hyperlink ref="B1379" r:id="rId2418" display="https://www.google.com/url?q=https://codeforces.com/group/swEqtABRxe/contest/227531/problem/C&amp;sa=D&amp;ust=1605639801778000&amp;usg=AFQjCNF8dZxMTR5Xz5sPxLYBHZ4DmGcQiw" xr:uid="{C0665EB3-DFDF-49AB-ACA8-886C927EDB28}"/>
    <hyperlink ref="F1379" r:id="rId2419" display="https://www.google.com/url?q=https://ideone.com/iw7JBC&amp;sa=D&amp;ust=1605639801779000&amp;usg=AFQjCNE6Wf42KvDs4Z4qNILZ-qIrQuhakQ" xr:uid="{DDB37E56-6309-4461-AFB8-7C8B6A5AC7C5}"/>
    <hyperlink ref="B1380" r:id="rId2420" display="https://www.google.com/url?q=https://www.infoarena.ro/problema/drept2&amp;sa=D&amp;ust=1605639801779000&amp;usg=AFQjCNGu_xw95Dy8m1_ZEMhhXYnFLQBYLA" xr:uid="{ED4571D9-378C-4B51-94A5-CB34666158ED}"/>
    <hyperlink ref="B1381" r:id="rId2421" display="https://www.google.com/url?q=https://boi18-day1-open.kattis.com/problems&amp;sa=D&amp;ust=1605639801780000&amp;usg=AFQjCNGXer_YhqdMFvJt9vhhonL0MCNXtw" xr:uid="{7CD4014F-F58E-4456-82C0-A75D246E5B74}"/>
    <hyperlink ref="F1381" r:id="rId2422" display="https://www.google.com/url?q=https://github.com/mostafa-saad/MyCompetitiveProgramming/blob/master/Olympiad/Baltic/Baltic-18-MartianDNA.txt&amp;sa=D&amp;ust=1605639801780000&amp;usg=AFQjCNHTxNdQjXfTUxp7Hv4dYRQY8dKOHw" xr:uid="{868FD67E-2F5D-494B-A1B1-A1B984E562F3}"/>
    <hyperlink ref="B1382" r:id="rId2423" display="https://www.google.com/url?q=https://csacademy.com/contest/ejoi-2017-day-2/task/game/&amp;sa=D&amp;ust=1605639801780000&amp;usg=AFQjCNHrdDI0IO_mB1SulhrScmJIhDv4aA" xr:uid="{331B350D-5B1E-4E13-B91F-F10D7FED3F68}"/>
    <hyperlink ref="F1382" r:id="rId2424" display="https://www.google.com/url?q=https://github.com/Rockbet/Problems/blob/master/EJOI/2017/Day%25202/Game.cpp&amp;sa=D&amp;ust=1605639801781000&amp;usg=AFQjCNGwVyK9mJN17eu_lJm0G7hKdvuYPw" xr:uid="{3DF3E96B-2273-418F-AEB8-F0646F44FFDB}"/>
    <hyperlink ref="B1383" r:id="rId2425" display="https://www.google.com/url?q=https://cses.fi/106/list/&amp;sa=D&amp;ust=1605639801781000&amp;usg=AFQjCNHvw106LPkvfrKMR7SKUypupCgBOQ" xr:uid="{35B3C7B0-62DD-47CA-B1CF-B5222C32FD62}"/>
    <hyperlink ref="F1383" r:id="rId2426" display="https://www.google.com/url?q=https://github.com/mostafa-saad/MyCompetitiveProgramming/blob/master/Olympiad/Baltic/Baltic-10-Bins.txt&amp;sa=D&amp;ust=1605639801781000&amp;usg=AFQjCNFlNUgnUUCcSTsQ5QhLZOQNPsRdFg" xr:uid="{0C65C803-C2B8-4B98-B0B2-28DEA6CAC7B6}"/>
    <hyperlink ref="B1384" r:id="rId2427" display="https://www.google.com/url?q=http://usaco.org/index.php?page%3Dviewproblem2%26cpid%3D924&amp;sa=D&amp;ust=1605639801782000&amp;usg=AFQjCNFc19E4s2clhakqj0MPAXv8r9GNlA" xr:uid="{99F4158E-4FCD-46E7-9A53-90FDF03065B9}"/>
    <hyperlink ref="B1385" r:id="rId2428" display="https://www.google.com/url?q=https://oj.uz/problem/view/JOI19_ho_t2&amp;sa=D&amp;ust=1605639801782000&amp;usg=AFQjCNHhdxJyhDnobBRfRpjbQNelXj8HmA" xr:uid="{0E0DED6F-F8BF-4D29-8C0A-09D7E2C02639}"/>
    <hyperlink ref="B1386" r:id="rId2429" display="https://www.google.com/url?q=http://usaco.org/index.php?page%3Dviewproblem2%26cpid%3D229&amp;sa=D&amp;ust=1605639801783000&amp;usg=AFQjCNGm7vm23sz8YycEHPOcEwxJJL9AFw" xr:uid="{F38ADFDD-1B2F-4DED-81E8-D28210C64AAB}"/>
    <hyperlink ref="F1386" r:id="rId2430" display="https://www.google.com/url?q=https://github.com/mostafa-saad/MyCompetitiveProgramming/blob/master/Olympiad/USACO/USACO-13jan-lineup.txt&amp;sa=D&amp;ust=1605639801783000&amp;usg=AFQjCNEwB2OTQDd5QiXrlGcOcZEFUN0Daw" xr:uid="{BBA3E770-6E5D-4060-B9D3-636CB0641795}"/>
    <hyperlink ref="B1387" r:id="rId2431" display="https://www.google.com/url?q=https://szkopul.edu.pl/problemset/problem/SXtZ8jxPUjMD5cLWqCI1EZLT/site/&amp;sa=D&amp;ust=1605639801783000&amp;usg=AFQjCNH4iv9o0ditR46QVWUxRmgCFPdR2A" xr:uid="{4893713D-CA38-4A67-B6B1-58CF9D91E342}"/>
    <hyperlink ref="F1387" r:id="rId2432" display="https://www.google.com/url?q=https://github.com/mostafa-saad/MyCompetitiveProgramming/blob/master/Olympiad/POI/official/find_editorial_sols_guidelines.txt&amp;sa=D&amp;ust=1605639801784000&amp;usg=AFQjCNFpgOupSVMyA7tf-mA2ccaSu-vA_A" xr:uid="{3A7D515F-BB05-45D2-A914-6AF1AA3C2FDD}"/>
    <hyperlink ref="B1388" r:id="rId2433" display="https://www.google.com/url?q=https://www.infoarena.ro/problema/lautari&amp;sa=D&amp;ust=1605639801784000&amp;usg=AFQjCNHBJm7A_Z7HMr5eL8RF9CuQbymJ7w" xr:uid="{34262736-F1AB-4939-A499-2EB230D2C67D}"/>
    <hyperlink ref="F1388" r:id="rId2434" display="https://www.google.com/url?q=https://github.com/stefdasca/CompetitiveProgramming/blob/master/Infoarena/lautari.cpp&amp;sa=D&amp;ust=1605639801784000&amp;usg=AFQjCNE7aRUIqTa2R4V_0FRMQ90E_m7YxA" xr:uid="{E170767B-D006-4F80-848B-F89D57A53A2E}"/>
    <hyperlink ref="B1389" r:id="rId2435" display="https://www.google.com/url?q=https://oj.uz/problem/view/JOI20_ho_t2&amp;sa=D&amp;ust=1605639801785000&amp;usg=AFQjCNG1-TPD14H34-Ml-zUkGYg29vwM8g" xr:uid="{65951588-4477-4DE9-A441-4943309339A0}"/>
    <hyperlink ref="F1389" r:id="rId2436" display="https://www.google.com/url?q=https://github.com/dolphingarlic/CompetitiveProgramming/blob/master/JOI/JOI%252020-jjooii.cpp&amp;sa=D&amp;ust=1605639801785000&amp;usg=AFQjCNGvKpaQkDdxy3niEkqLPxhZcRCWWg" xr:uid="{90577F9F-08E5-4997-BD9D-90B715BA2E2A}"/>
    <hyperlink ref="B1390" r:id="rId2437" display="https://www.google.com/url?q=https://codeforces.com/group/swEqtABRxe/contest/243427/problem/B&amp;sa=D&amp;ust=1605639801785000&amp;usg=AFQjCNEs9tHmKmziyOzcOm_00w_ANPqlFA" xr:uid="{01AFF1C6-F272-4E26-B1D0-52EDFAA79376}"/>
    <hyperlink ref="B1391" r:id="rId2438" display="https://www.google.com/url?q=https://oj.uz/problem/view/COCI16_nizin&amp;sa=D&amp;ust=1605639801786000&amp;usg=AFQjCNFsBprBvp4e_CRMh-vf6EPbTqWL8g" xr:uid="{9786B71E-79C6-467E-A59F-A139C80FDDC8}"/>
    <hyperlink ref="F1391" r:id="rId2439" display="https://www.google.com/url?q=https://github.com/mostafa-saad/MyCompetitiveProgramming/blob/master/Olympiad/COCI/official/2017/contest2_solutions&amp;sa=D&amp;ust=1605639801786000&amp;usg=AFQjCNEyPPwC3Mq7rrrVnISjxA6UJp8eEw" xr:uid="{68A9897C-3FBF-47B7-9C0A-AE2907F8583A}"/>
    <hyperlink ref="B1392" r:id="rId2440" display="https://www.google.com/url?q=https://oj.uz/problem/view/BOI15_bow&amp;sa=D&amp;ust=1605639801786000&amp;usg=AFQjCNHD49TVFZ2pFG0lxPZLEbWqEwfcQw" xr:uid="{8B5A2559-CAF3-4A02-9238-7CAADDA87914}"/>
    <hyperlink ref="F1392" r:id="rId2441" display="https://www.google.com/url?q=https://github.com/mostafa-saad/MyCompetitiveProgramming/blob/master/Olympiad/Baltic/Baltic-15-bow.txt&amp;sa=D&amp;ust=1605639801786000&amp;usg=AFQjCNFpqO86tPRzKt_IXHoxmLwok75yEg" xr:uid="{113BC4E9-0932-4F42-9740-7078DC720BF1}"/>
    <hyperlink ref="B1393" r:id="rId2442" display="https://www.google.com/url?q=https://wcipeg.com/problem/coi07p2&amp;sa=D&amp;ust=1605639801787000&amp;usg=AFQjCNGH5I1uAYMV2ixcICbK_x5EZsUghA" xr:uid="{64E393AE-564C-4F91-B7AC-5C9CC775B06D}"/>
    <hyperlink ref="F1393" r:id="rId2443" display="https://www.google.com/url?q=https://github.com/mostafa-saad/MyCompetitiveProgramming/blob/master/Olympiad/COI/COI_07-Kolekcija.txt&amp;sa=D&amp;ust=1605639801787000&amp;usg=AFQjCNFaMSxWpBgI1ehBE-oYYzxoaafYng" xr:uid="{626D47DB-6A5E-42D8-B413-6047F03FA943}"/>
    <hyperlink ref="B1394" r:id="rId2444" display="https://www.google.com/url?q=https://oj.uz/problem/view/IOI08_linear_garden&amp;sa=D&amp;ust=1605639801787000&amp;usg=AFQjCNFgyOZO_rMMKvD8dFW8H79LWqmNHQ" xr:uid="{5E15231B-DFE1-453E-9702-DFCE4E0296A4}"/>
    <hyperlink ref="F1394" r:id="rId2445" display="https://www.google.com/url?q=https://github.com/mostafa-saad/MyCompetitiveProgramming/blob/master/Olympiad/IOI/IOI-08-linear.txt&amp;sa=D&amp;ust=1605639801787000&amp;usg=AFQjCNHHiuVJERxHrL80_qx5V76cUnHQYw" xr:uid="{DB9C9531-B765-4E17-B311-A319A501EE16}"/>
    <hyperlink ref="B1395" r:id="rId2446" display="https://www.google.com/url?q=https://www.acmicpc.net/problem/7054&amp;sa=D&amp;ust=1605639801788000&amp;usg=AFQjCNErHAAA5zEeypoNSJ58gc4RF-_iKw" xr:uid="{6EE12507-82D2-4FDE-8C98-EF61F9E7AF41}"/>
    <hyperlink ref="F1395" r:id="rId2447" display="https://www.google.com/url?q=https://github.com/mostafa-saad/MyCompetitiveProgramming/tree/master/Olympiad/CEOI/official/2003&amp;sa=D&amp;ust=1605639801788000&amp;usg=AFQjCNHUbXagqfUNZTgeagk8uH_5PRAdBA" xr:uid="{C93BB5EB-A7EF-4B99-859E-9730FD9D6F1C}"/>
    <hyperlink ref="B1396" r:id="rId2448" display="https://www.google.com/url?q=https://oj.uz/problem/view/COI15_nafta&amp;sa=D&amp;ust=1605639801788000&amp;usg=AFQjCNGuXlQSF4xQDPA9pMAyST5luZBb-w" xr:uid="{CFE6485E-8A41-4E32-B5F6-8BCC15CF1F1D}"/>
    <hyperlink ref="F1396" r:id="rId2449" display="https://www.google.com/url?q=https://github.com/mostafa-saad/MyCompetitiveProgramming/blob/master/Olympiad/COI/COI-15-nafta.txt&amp;sa=D&amp;ust=1605639801789000&amp;usg=AFQjCNFcoptHC5gfTiIhToiZ7Hct-8Vslg" xr:uid="{D51DE69F-265F-4966-8396-3B4F7D05BE56}"/>
    <hyperlink ref="B1397" r:id="rId2450" display="https://www.google.com/url?q=http://usaco.org/index.php?page%3Dviewproblem2%26cpid%3D626&amp;sa=D&amp;ust=1605639801792000&amp;usg=AFQjCNFg8qgDwEHUmwQJ2XUNEaI441prAw" xr:uid="{8F11D08A-E836-45C6-987D-986CCFC804D2}"/>
    <hyperlink ref="F1397" r:id="rId2451" display="https://www.google.com/url?q=https://github.com/thecodingwizard/competitive-programming/blob/master/USACO/2016feb/plat/cbarn.cpp&amp;sa=D&amp;ust=1605639801792000&amp;usg=AFQjCNGKArLGoNpQhCyyKaWuiGlYyKM78g" xr:uid="{4FB81895-8CB1-4482-8989-997FBD363088}"/>
    <hyperlink ref="B1398" r:id="rId2452" display="https://www.google.com/url?q=https://codeforces.com/group/swEqtABRxe/contest/243429/problem/A&amp;sa=D&amp;ust=1605639801793000&amp;usg=AFQjCNEwd2eYeGTK3W31evfoHlQ-9tr__g" xr:uid="{0239F708-4876-4F09-9B63-12EFAC0EEDD7}"/>
    <hyperlink ref="B1399" r:id="rId2453" display="https://www.google.com/url?q=https://wcipeg.com/problem/coi07p4&amp;sa=D&amp;ust=1605639801793000&amp;usg=AFQjCNFNohNmbtCdIIqjFCnryaNXAgUXVg" xr:uid="{3493EE09-F157-4BD9-92DB-0366D9805A8E}"/>
    <hyperlink ref="F1399" r:id="rId2454" display="https://www.google.com/url?q=https://github.com/mostafa-saad/MyCompetitiveProgramming/blob/master/Olympiad/COI/COI-07-Umnozak.txt&amp;sa=D&amp;ust=1605639801793000&amp;usg=AFQjCNEByf2pZ3ZDvzlq-r-lGdWN0gUYbA" xr:uid="{6C8FE00A-A438-4F01-835E-C669A9949FC7}"/>
    <hyperlink ref="B1400" r:id="rId2455" display="https://www.google.com/url?q=https://cses.fi/113/list/&amp;sa=D&amp;ust=1605639801794000&amp;usg=AFQjCNFq-d_XFg3L0U2g9RsrdcvUuoE0Ng" xr:uid="{387A4669-B548-4F6C-8663-860D55EECEAA}"/>
    <hyperlink ref="F1400" r:id="rId2456" display="https://www.google.com/url?q=https://github.com/mostafa-saad/MyCompetitiveProgramming/blob/master/Olympiad/Baltic/Baltic-08-Magical.txt&amp;sa=D&amp;ust=1605639801794000&amp;usg=AFQjCNFQ7oQMWMUEwuv-RbOAxXIMVyzplQ" xr:uid="{A1FA6756-D4A1-4E5B-A191-13BC76E657E5}"/>
    <hyperlink ref="B1401" r:id="rId2457" display="https://www.google.com/url?q=https://dunjudge.me/analysis/problems/1408/&amp;sa=D&amp;ust=1605639801794000&amp;usg=AFQjCNEmD23X-8Lk-Sz3VPqGWMlIqP0LHQ" xr:uid="{CE46218E-566D-4F45-A5EF-BDDD92B4E6A6}"/>
    <hyperlink ref="F1401" r:id="rId2458" display="https://www.google.com/url?q=https://github.com/mostafa-saad/MyCompetitiveProgramming/blob/master/Olympiad/COCI/COCI-13-parovi.txt&amp;sa=D&amp;ust=1605639801794000&amp;usg=AFQjCNEnuGB85UMQZl8qJbB18-nVGV8SVw" xr:uid="{DEF66A35-B391-4632-BD54-4789A9638ECD}"/>
    <hyperlink ref="B1402" r:id="rId2459" display="https://www.google.com/url?q=https://oj.uz/problem/view/BOI13_numbers&amp;sa=D&amp;ust=1605639801795000&amp;usg=AFQjCNHw-_2HdmwGq2Ncd4f-uvYG_pyZIQ" xr:uid="{58076243-8333-4535-81A9-A5D29D6BDDC7}"/>
    <hyperlink ref="F1402" r:id="rId2460" display="https://www.google.com/url?q=https://github.com/mostafa-saad/MyCompetitiveProgramming/blob/master/Olympiad/Baltic/Baltic-13-numbers.txt&amp;sa=D&amp;ust=1605639801795000&amp;usg=AFQjCNGScLqh00J_4xOWigIawsgoZai7Uw" xr:uid="{4A9980A7-923B-464C-8C8C-B20AF85296A1}"/>
    <hyperlink ref="B1403" r:id="rId2461" display="https://www.google.com/url?q=https://dmoj.ca/problem/coci08c5p5&amp;sa=D&amp;ust=1605639801795000&amp;usg=AFQjCNGr05VawubKkv10ir-MqqPRocJfJQ" xr:uid="{2A259F14-C503-418E-B185-50E86DFAC4E8}"/>
    <hyperlink ref="F1403" r:id="rId2462" display="https://www.google.com/url?q=https://github.com/mostafa-saad/MyCompetitiveProgramming/blob/master/Olympiad/COCI/COCI-08-Tresnja.txt&amp;sa=D&amp;ust=1605639801796000&amp;usg=AFQjCNHtQfAn9DKO7r_uFl199hR2Mx-jug" xr:uid="{56F64C86-E6C1-4083-87B7-604A86E6C976}"/>
    <hyperlink ref="B1404" r:id="rId2463" display="https://www.google.com/url?q=https://dmoj.ca/problem/coci07c3p5&amp;sa=D&amp;ust=1605639801796000&amp;usg=AFQjCNEVOiBcshI25htZIunAaRdaMMbPzg" xr:uid="{0837514D-33D6-4529-96FE-2E6C03F42EB7}"/>
    <hyperlink ref="F1404" r:id="rId2464" display="https://www.google.com/url?q=https://github.com/mostafa-saad/MyCompetitiveProgramming/tree/master/Olympiad/COCI/official/2008/contest3_solutions&amp;sa=D&amp;ust=1605639801796000&amp;usg=AFQjCNGUCwvp8oEKpzR1zDPNTB2IBDhwCQ" xr:uid="{E901270E-2663-41A9-81CF-DC05490A9A0D}"/>
    <hyperlink ref="B1405" r:id="rId2465" display="https://www.google.com/url?q=https://www.infoarena.ro/problema/cifra4&amp;sa=D&amp;ust=1605639801796000&amp;usg=AFQjCNFjFE0LtHUySQRwVL2B8ygc-ENW7g" xr:uid="{ACE9350C-1A9C-4FD2-98A0-7CC2481ACB5B}"/>
    <hyperlink ref="F1405" r:id="rId2466" display="https://www.google.com/url?q=https://github.com/stefdasca/CompetitiveProgramming/blob/master/Infoarena/cifra4.cpp&amp;sa=D&amp;ust=1605639801797000&amp;usg=AFQjCNGHV-EveIwCj_ZbXFgCY6wqxp0u2A" xr:uid="{C950BC98-C40A-4694-9187-BF595707DE92}"/>
    <hyperlink ref="B1406" r:id="rId2467" display="https://www.google.com/url?q=https://oj.uz/problem/view/APIO14_beads&amp;sa=D&amp;ust=1605639801797000&amp;usg=AFQjCNGNyGkFd2yoxQwiKYfyCBM-h7FihA" xr:uid="{5F4A02E6-D143-46D0-BA08-FFBDD86620CC}"/>
    <hyperlink ref="F1406" r:id="rId2468" display="https://www.google.com/url?q=https://github.com/tmwilliamlin168/CompetitiveProgramming/blob/master/APIO/14-Beads.cpp&amp;sa=D&amp;ust=1605639801797000&amp;usg=AFQjCNESzb377r8A9JQTd5U6rrQHv6e36Q" xr:uid="{C2BB8577-7346-4599-A91C-855731BA6FB9}"/>
    <hyperlink ref="B1407" r:id="rId2469" display="https://www.google.com/url?q=https://dmoj.ca/problem/apio10p2&amp;sa=D&amp;ust=1605639801798000&amp;usg=AFQjCNFBuR_Ug9y9D6ljRatticHVww_qEA" xr:uid="{83E9C5CA-2D52-488C-842F-B406652DD0E9}"/>
    <hyperlink ref="F1407" r:id="rId2470" display="https://www.google.com/url?q=https://github.com/mostafa-saad/MyCompetitiveProgramming/blob/master/Olympiad/APIO/APIO-10-Patrol.txt&amp;sa=D&amp;ust=1605639801798000&amp;usg=AFQjCNFlqBkuIozkbwcYoO-f7haEmeYD7Q" xr:uid="{209B0D25-F0CA-4544-A465-F67982ACAF9F}"/>
    <hyperlink ref="B1408" r:id="rId2471" display="https://www.google.com/url?q=https://cses.fi/112/list/&amp;sa=D&amp;ust=1605639801798000&amp;usg=AFQjCNHKmw7a8hBPHgL4A5tAGg80zGuckA" xr:uid="{03681D86-5CB7-46D3-B9CF-8F0FCD9CB163}"/>
    <hyperlink ref="F1408" r:id="rId2472" display="https://www.google.com/url?q=https://github.com/mostafa-saad/MyCompetitiveProgramming/blob/master/Olympiad/Baltic/Baltic-07-Points.txt&amp;sa=D&amp;ust=1605639801798000&amp;usg=AFQjCNGFTqANZZZ6-FQ7GNBhuuaTVVVDAw" xr:uid="{B7584345-FCF9-4771-B413-D23C9D9E47FD}"/>
    <hyperlink ref="B1409" r:id="rId2473" display="https://www.google.com/url?q=https://www.acmicpc.net/problem/7055&amp;sa=D&amp;ust=1605639801799000&amp;usg=AFQjCNEaV5pdsw4yExte8XgTt6orCLBvIQ" xr:uid="{9DAE61BF-79BF-4EE0-BAEE-7E86CBE0B444}"/>
    <hyperlink ref="F1409" r:id="rId2474" display="https://www.google.com/url?q=https://github.com/mostafa-saad/MyCompetitiveProgramming/blob/master/Olympiad/CEOI/CEOI-02-Bugs.txt&amp;sa=D&amp;ust=1605639801799000&amp;usg=AFQjCNGTB0Dr2HLn1Iy8m-HQrFzcKRdLcg" xr:uid="{9F90840A-8D02-4E3D-A14B-5F28CEC3E5B9}"/>
    <hyperlink ref="B1410" r:id="rId2475" display="https://www.google.com/url?q=https://oj.uz/problem/view/IZhO18_sequence&amp;sa=D&amp;ust=1605639801799000&amp;usg=AFQjCNGP2m8VIcke7AWSw_fHs8A3FBawwQ" xr:uid="{29E8565F-C5E1-4B84-B9E7-57CCC7986006}"/>
    <hyperlink ref="B1411" r:id="rId2476" display="https://www.google.com/url?q=https://oj.uz/problem/view/BOI14_coprobber&amp;sa=D&amp;ust=1605639801800000&amp;usg=AFQjCNGQnb1TW80Fm7Wt9eJvZ_Ns70xnLw" xr:uid="{1D5E6084-F2BB-40A0-B5AF-847FCD57FA3C}"/>
    <hyperlink ref="F1411" r:id="rId2477" display="https://www.google.com/url?q=https://github.com/mostafa-saad/MyCompetitiveProgramming/blob/master/Olympiad/Baltic/Baltic-14-coprobber.txt&amp;sa=D&amp;ust=1605639801800000&amp;usg=AFQjCNHh9Q3A_27JFiwGGEIqW-Ho3R9dSg" xr:uid="{58CB4E64-8B5C-4D8F-908E-5CF3AC5AFB1C}"/>
    <hyperlink ref="B1412" r:id="rId2478" display="https://www.google.com/url?q=https://oj.uz/problem/view/BOI13_pipes&amp;sa=D&amp;ust=1605639801800000&amp;usg=AFQjCNGiTgmyMf994PFQDVZOfm9Wtw959Q" xr:uid="{B4C3DB12-FB6F-4B0D-B8AE-F5DEA5746173}"/>
    <hyperlink ref="F1412" r:id="rId2479" display="https://www.google.com/url?q=https://github.com/mostafa-saad/MyCompetitiveProgramming/blob/master/Olympiad/Baltic/Baltic-13-pipes.txt&amp;sa=D&amp;ust=1605639801801000&amp;usg=AFQjCNHRT0Tk3pfwTTMR80IwAi4f2ua_Jg" xr:uid="{C06F1FD4-09F5-453F-A3A3-63760C94476F}"/>
    <hyperlink ref="B1413" r:id="rId2480" display="https://www.google.com/url?q=https://dmoj.ca/problem/coci16c1p3&amp;sa=D&amp;ust=1605639801801000&amp;usg=AFQjCNEecqoUj9MSrs6IBNuutb0EDQobtA" xr:uid="{5D41530D-CBE4-459C-B3C4-36FDC3C772E4}"/>
    <hyperlink ref="F1413" r:id="rId2481" display="https://www.google.com/url?q=https://github.com/nikolapesic2802/Programming-Practice/blob/master/Cezar/main.cpp&amp;sa=D&amp;ust=1605639801801000&amp;usg=AFQjCNEe1q882qilURYy7Pt702sCHG-sOw" xr:uid="{7A14644D-E528-424F-ADDF-61411436F489}"/>
    <hyperlink ref="B1414" r:id="rId2482" display="https://www.google.com/url?q=https://dunjudge.me/analysis/problems/274/&amp;sa=D&amp;ust=1605639801804000&amp;usg=AFQjCNGjzyTC3s8D3SDwnrrf7sWdthUpqw" xr:uid="{A7F61959-2DDC-4978-904A-9CF89325D328}"/>
    <hyperlink ref="F1414" r:id="rId2483" display="https://www.google.com/url?q=https://github.com/mostafa-saad/MyCompetitiveProgramming/blob/master/Olympiad/NOI/official&amp;sa=D&amp;ust=1605639801804000&amp;usg=AFQjCNGn7LyTPKmxavhx6KJH40EXZBjfmQ" xr:uid="{399C84ED-5A0C-421E-8BB2-78E26915298A}"/>
    <hyperlink ref="B1415" r:id="rId2484" display="https://www.google.com/url?q=https://www.infoarena.ro/problema/pm2&amp;sa=D&amp;ust=1605639801805000&amp;usg=AFQjCNHe9yp8-_pLjwPcoeqPnnjuQ6lUyA" xr:uid="{FFE47F0A-125E-4EA9-B4C2-3E3C4EB098E5}"/>
    <hyperlink ref="F1415" r:id="rId2485" display="https://www.google.com/url?q=https://github.com/stefdasca/CompetitiveProgramming/blob/master/Infoarena/pm2.cpp&amp;sa=D&amp;ust=1605639801805000&amp;usg=AFQjCNGY_9LMKNuJpNPj2SeCgds97Fm4gQ" xr:uid="{9A6BADEA-7EB3-45EF-A84B-6CC82FCC385C}"/>
    <hyperlink ref="B1416" r:id="rId2486" display="https://www.google.com/url?q=https://cses.fi/111/list/&amp;sa=D&amp;ust=1605639801805000&amp;usg=AFQjCNGjx_jgtLgc-FIqfUFCuFAMQ_YyPw" xr:uid="{7923CDF0-ED40-48F5-BEB5-718414A130FE}"/>
    <hyperlink ref="F1416" r:id="rId2487" display="https://www.google.com/url?q=https://github.com/mostafa-saad/MyCompetitiveProgramming/blob/master/Olympiad/Baltic/Baltic-07-Escape.txt&amp;sa=D&amp;ust=1605639801805000&amp;usg=AFQjCNHqv1mGYzgg2OcpaCRq_10AWcR9NA" xr:uid="{E155C985-C240-40E7-8172-8F6FA8DF74A7}"/>
    <hyperlink ref="B1417" r:id="rId2488" display="https://www.google.com/url?q=https://dunjudge.me/analysis/problems/974/&amp;sa=D&amp;ust=1605639801806000&amp;usg=AFQjCNFiRLoSoJtsw76kam0DuqJNl7AYrA" xr:uid="{F0C0CB3B-654A-48AB-A4CC-45D4DC47A7BA}"/>
    <hyperlink ref="F1417" r:id="rId2489" display="https://www.google.com/url?q=https://github.com/fyquah95/ioi-malaysia-2016-training-camp&amp;sa=D&amp;ust=1605639801806000&amp;usg=AFQjCNF1YT2QIvcf7FafYk_azFuPHx8P_w" xr:uid="{0D252E7D-2489-4B53-94D1-6595BA84BDD8}"/>
    <hyperlink ref="B1418" r:id="rId2490" display="https://www.google.com/url?q=https://oj.uz/problems/source/313&amp;sa=D&amp;ust=1605639801806000&amp;usg=AFQjCNE7bBHwlzxcokAo9sh1koAMmAgWUQ" xr:uid="{770F42BB-E8D1-45FA-B7C1-7719409DCCE0}"/>
    <hyperlink ref="F1418" r:id="rId2491" display="https://www.google.com/url?q=https://github.com/mostafa-saad/MyCompetitiveProgramming/blob/master/Olympiad/JOI/JOISC-18-construction.txt&amp;sa=D&amp;ust=1605639801806000&amp;usg=AFQjCNGPVRUsOpmm5gXlVGx1vfhiKTPxuA" xr:uid="{C284F126-E2AF-458D-8132-24CD13DDA702}"/>
    <hyperlink ref="B1419" r:id="rId2492" display="https://www.google.com/url?q=https://www.infoarena.ro/problema/disconnect&amp;sa=D&amp;ust=1605639801807000&amp;usg=AFQjCNGIjIpPjUhQclzUI8ksPuRyqkZpOQ" xr:uid="{BB5B0812-60DA-44E9-BC79-DAA68774B7FF}"/>
    <hyperlink ref="F1419" r:id="rId2493" display="https://www.google.com/url?q=https://github.com/mostafa-saad/MyCompetitiveProgramming/blob/master/Olympiad/infoarena/infoarena-disconnect.txt&amp;sa=D&amp;ust=1605639801807000&amp;usg=AFQjCNEP6RPvPhtF89Fwm2SFZT6i27AC8w" xr:uid="{7ED72AA1-912B-4DE1-91D9-F2594ED3BEF8}"/>
    <hyperlink ref="B1420" r:id="rId2494" display="https://www.google.com/url?q=https://wcipeg.com/problem/coi08p2&amp;sa=D&amp;ust=1605639801807000&amp;usg=AFQjCNFjF_v-RJsG3dZOdKVlAyqJb-QroA" xr:uid="{0332FA8C-B31A-44DD-8797-44CC79B2B7E1}"/>
    <hyperlink ref="F1420" r:id="rId2495" display="https://www.google.com/url?q=https://github.com/mostafa-saad/MyCompetitiveProgramming/blob/master/Olympiad/COI/COI-08-Otoci.txt&amp;sa=D&amp;ust=1605639801808000&amp;usg=AFQjCNHT9YC4pI3sDE48BA5l-Gy9BjL6fg" xr:uid="{7A99ED02-BDE5-4F17-9BCC-8CD001C6C528}"/>
    <hyperlink ref="B1421" r:id="rId2496" display="https://www.google.com/url?q=http://usaco.org/index.php?page%3Dviewproblem2%26cpid%3D921&amp;sa=D&amp;ust=1605639801808000&amp;usg=AFQjCNEf9Dk6niYlHfY1L0un-hgPcq-xjA" xr:uid="{47E661B3-14F9-4439-AC4D-3B1F5C9841B8}"/>
    <hyperlink ref="B1422" r:id="rId2497" display="https://www.google.com/url?q=https://oj.uz/problem/view/JOI19_designated_cities&amp;sa=D&amp;ust=1605639801809000&amp;usg=AFQjCNHwp2KyuwCyIPqhQyP8p6AfwksbEQ" xr:uid="{BDCA3402-7E04-4AB6-BA29-DE6CC56F3A7D}"/>
    <hyperlink ref="B1423" r:id="rId2498" display="https://www.google.com/url?q=https://contest.yandex.ru/roiarchive/contest/3926/problems/8/&amp;sa=D&amp;ust=1605639801809000&amp;usg=AFQjCNHKEGEi8xngxQVfKWvjRC-lV-soAA" xr:uid="{D87C3AE7-9DCA-4FB7-8449-B48FAECF03AB}"/>
    <hyperlink ref="F1423" r:id="rId2499" display="https://www.google.com/url?q=https://github.com/SpeedOfMagic/CompetitiveProgramming/blob/master/RusOI-reg/13-capitals.cpp&amp;sa=D&amp;ust=1605639801809000&amp;usg=AFQjCNGQXwwcr6VSJsTIaC27J57FaNcG4g" xr:uid="{9FD72E6B-1C5D-4E65-9B30-D52A5862A031}"/>
    <hyperlink ref="B1424" r:id="rId2500" display="https://www.google.com/url?q=https://oj.uz/problem/view/COCI19_transport&amp;sa=D&amp;ust=1605639801810000&amp;usg=AFQjCNEJoGIP2PKIA3OxP6ZT7l_woDTHbQ" xr:uid="{14A37738-47E7-4405-96E3-8324AE2E904A}"/>
    <hyperlink ref="F1424" r:id="rId2501" display="https://www.google.com/url?q=https://github.com/mostafa-saad/MyCompetitiveProgramming/blob/master/Olympiad/COCI/COCI-19-transport.txt&amp;sa=D&amp;ust=1605639801810000&amp;usg=AFQjCNEtYv6_i3nj4MOC_o5KtNFVBypZUg" xr:uid="{1336A59E-FA21-4C25-90FB-2E79D1F0D547}"/>
    <hyperlink ref="B1425" r:id="rId2502" display="https://www.google.com/url?q=https://dmoj.ca/problem/dmopc18c3p4&amp;sa=D&amp;ust=1605639801810000&amp;usg=AFQjCNFqftGkdd4gGUPkfNRmzOytc2hEUg" xr:uid="{8B99DA97-0997-4425-B296-46044AF31CC0}"/>
    <hyperlink ref="F1425" r:id="rId2503" display="https://www.google.com/url?q=https://github.com/mostafa-saad/MyCompetitiveProgramming/blob/master/Olympiad/Misc/DMOPC-18-BobEnglishClass.txt&amp;sa=D&amp;ust=1605639801810000&amp;usg=AFQjCNEKQZ6K8emuET1aqE3Byw7Ht-aluw" xr:uid="{2E8036E9-BFB7-4405-AE54-0DFDE5C74F23}"/>
    <hyperlink ref="B1426" r:id="rId2504" display="https://www.google.com/url?q=http://usaco.org/index.php?page%3Dviewproblem2%26cpid%3D817&amp;sa=D&amp;ust=1605639801811000&amp;usg=AFQjCNE7SzKkSxP8o26gV3ax8_tU_yKbLw" xr:uid="{E717BC9C-049B-474B-AA7A-DC285D53634E}"/>
    <hyperlink ref="B1427" r:id="rId2505" display="https://www.google.com/url?q=https://oj.uz/problem/view/COI17_zagrade&amp;sa=D&amp;ust=1605639801811000&amp;usg=AFQjCNHSSV2D9gQ0B2V-IPOJ_FTZoQxxpA" xr:uid="{1665AE1A-AED2-442F-B0DF-EAA66B15D131}"/>
    <hyperlink ref="F1427" r:id="rId2506" display="https://www.google.com/url?q=https://github.com/mostafa-saad/MyCompetitiveProgramming/blob/master/Olympiad/COI/COI-17-zagrade.txt&amp;sa=D&amp;ust=1605639801811000&amp;usg=AFQjCNExk--UVjSGr0-g6yQyiYV0HqCQkA" xr:uid="{80636D74-A46E-4175-B26C-8B9D16543CB7}"/>
    <hyperlink ref="B1428" r:id="rId2507" display="https://www.google.com/url?q=https://oj.uz/problem/view/JOI14_factories&amp;sa=D&amp;ust=1605639801812000&amp;usg=AFQjCNGpidjvRfrD4mfTt1nKwPWaKOFdDA" xr:uid="{8D00EC8D-B828-43DE-BA2B-23E65C7AAC14}"/>
    <hyperlink ref="F1428" r:id="rId2508" display="https://www.google.com/url?q=https://github.com/Yehezkiel01/CompetitiveProgramming/blob/master/JOIOC/JOIOC-14-factories.cpp&amp;sa=D&amp;ust=1605639801812000&amp;usg=AFQjCNG9Me66mGSfgkgvYrrLKUeyveyVFA" xr:uid="{85287412-F40B-4D07-8FFF-7AD4FEEEA88D}"/>
    <hyperlink ref="B1429" r:id="rId2509" display="https://www.google.com/url?q=https://open.kattis.com/problems/catinatree&amp;sa=D&amp;ust=1605639801812000&amp;usg=AFQjCNERZMlgpjckHXloI1A8LS4mbo-8vg" xr:uid="{97BCFBD7-D381-468B-AF20-840AA52A09FC}"/>
    <hyperlink ref="F1429" r:id="rId2510" display="https://www.google.com/url?q=https://github.com/mostafa-saad/MyCompetitiveProgramming/blob/master/Olympiad/Baltic/Baltic-17-Cat.txt&amp;sa=D&amp;ust=1605639801812000&amp;usg=AFQjCNH7732aBMuJ6eg1TE9VMghXZji25g" xr:uid="{B2D0602B-97F7-4B08-AC15-26D3ABCF5C62}"/>
    <hyperlink ref="B1430" r:id="rId2511" display="https://www.google.com/url?q=https://dunjudge.me/analysis/problems/961/&amp;sa=D&amp;ust=1605639801813000&amp;usg=AFQjCNG5-0_p-1JpL8WTAcp2ofDxt9sUMA" xr:uid="{4509A2CD-4491-46CE-B390-0ABB48B03940}"/>
    <hyperlink ref="F1430" r:id="rId2512" display="https://www.google.com/url?q=https://github.com/mostafa-saad/MyCompetitiveProgramming/blob/master/Olympiad/MCO/MCO-16-town_planning.txt&amp;sa=D&amp;ust=1605639801813000&amp;usg=AFQjCNGYPQM9nmsDrNYxRkVDuvi9QBYTOA" xr:uid="{727AE086-EA0C-45DD-97FE-4046239FD88E}"/>
    <hyperlink ref="B1431" r:id="rId2513" display="https://www.google.com/url?q=https://oj.uz/problem/view/COCI18_deblo&amp;sa=D&amp;ust=1605639801866000&amp;usg=AFQjCNHEC7BBVZosVSW3I-gLIgtQzjX1aw" xr:uid="{E6EE00DE-8EFF-4872-8A92-42057D2E28E8}"/>
    <hyperlink ref="F1431" r:id="rId2514" display="https://www.google.com/url?q=https://github.com/YazanZebak/CompetitiveProgramming/blob/master/Olympiad/COCI/COCI-18-DEBLO.cpp&amp;sa=D&amp;ust=1605639801866000&amp;usg=AFQjCNFGJ_ijSNhqkdlNyYN-WmVv9N17fg" xr:uid="{21072BC2-E61D-493C-BA51-B5959DFA212F}"/>
    <hyperlink ref="B1432" r:id="rId2515" display="https://www.google.com/url?q=https://oj.uz/problem/view/JOI17_coach&amp;sa=D&amp;ust=1605639801867000&amp;usg=AFQjCNGpfBJY5hjfxDM3F7HxoTrLhP91_w" xr:uid="{0DBCA298-86FC-42AF-9500-20DB7B57C52F}"/>
    <hyperlink ref="F1432" r:id="rId2516" display="https://www.google.com/url?q=https://github.com/tmwilliamlin168/CompetitiveProgramming/blob/master/JOI/17SC-Coach.cpp&amp;sa=D&amp;ust=1605639801867000&amp;usg=AFQjCNHWeMMKZr4Flq0M6cu8yMzb4PF4mw" xr:uid="{D4843FC1-9EB3-4EB4-BE4D-4C55064A516A}"/>
    <hyperlink ref="B1433" r:id="rId2517" display="https://www.google.com/url?q=https://szkopul.edu.pl/problemset/problem/oSpFEpvAxKNk0Il-nOe5L9El/site/&amp;sa=D&amp;ust=1605639801868000&amp;usg=AFQjCNH5wG7GzCFnD5JBosXYq4guJjsNLQ" xr:uid="{CF8BA853-0ACB-4F5F-A2B9-BCD328319918}"/>
    <hyperlink ref="F1433" r:id="rId2518" display="https://www.google.com/url?q=https://github.com/mostafa-saad/MyCompetitiveProgramming/blob/master/Olympiad/POI/POI-08-Robinson.txt&amp;sa=D&amp;ust=1605639801868000&amp;usg=AFQjCNHklcy6lqOuCSQ2mW22WIW27hO99w" xr:uid="{DE8FC723-C8A9-4913-A7F7-23BDC1741A75}"/>
    <hyperlink ref="B1434" r:id="rId2519" display="https://www.google.com/url?q=https://oj.uz/problem/view/IOI09_salesman&amp;sa=D&amp;ust=1605639801868000&amp;usg=AFQjCNF4LIgjxjoWZAkYXbhe3J-iy7O-HQ" xr:uid="{AE4CAED8-800E-48D0-BD2B-64D31A4D9F6E}"/>
    <hyperlink ref="F1434" r:id="rId2520" display="https://www.google.com/url?q=https://github.com/mostafa-saad/MyCompetitiveProgramming/blob/master/Olympiad/IOI/IOI-09-salesman.txt&amp;sa=D&amp;ust=1605639801868000&amp;usg=AFQjCNEYNZ9h9N20PHb_FJDpdR5EN2J7Vg" xr:uid="{D4C906A4-76DE-4517-A71B-793782B3DD2D}"/>
    <hyperlink ref="B1435" r:id="rId2521" display="https://www.google.com/url?q=https://szkopul.edu.pl/problemset/problem/X_XFcxCm1xIAk2alKtQLN79O/site/&amp;sa=D&amp;ust=1605639801869000&amp;usg=AFQjCNH3wklpcwRrVnaK_xrlH8VH3J7vnA" xr:uid="{5C62DD00-E368-4A63-839D-077DE56F1CA9}"/>
    <hyperlink ref="F1435" r:id="rId2522" display="https://www.google.com/url?q=https://github.com/mostafa-saad/MyCompetitiveProgramming/blob/master/Olympiad/POI/POI-09-Island.txt&amp;sa=D&amp;ust=1605639801869000&amp;usg=AFQjCNGCBlMJLtOu0DgM7fStlmKTMBrbVw" xr:uid="{0B9D7BF1-4047-4430-AF66-EEB466B70184}"/>
    <hyperlink ref="B1436" r:id="rId2523" display="https://www.google.com/url?q=https://oj.uz/problem/view/POI11_pio&amp;sa=D&amp;ust=1605639801870000&amp;usg=AFQjCNHRMixCO-wh61n7hUWRO2XZg91IUQ" xr:uid="{2E6FBF28-5F21-4B3B-BC27-7321FDD65E47}"/>
    <hyperlink ref="F1436" r:id="rId2524" display="https://www.google.com/url?q=https://github.com/mostafa-saad/MyCompetitiveProgramming/blob/master/Olympiad/POI/POI-11-Conductor.txt&amp;sa=D&amp;ust=1605639801870000&amp;usg=AFQjCNFUCjJg6u8fS0uleJ_l4GOhG9ZZ9w" xr:uid="{B25CC3C8-A499-4192-90B1-40053EC2EE89}"/>
    <hyperlink ref="B1437" r:id="rId2525" display="https://www.google.com/url?q=https://oj.uz/problem/view/APIO14_sequence&amp;sa=D&amp;ust=1605639801870000&amp;usg=AFQjCNHxhmMA_L5YiXi-55anLoRR7lnjLg" xr:uid="{7CA49C81-68BA-49C4-9569-9E68BE1555D8}"/>
    <hyperlink ref="F1437" r:id="rId2526" display="https://www.google.com/url?q=https://github.com/mostafa-saad/MyCompetitiveProgramming/blob/master/Olympiad/APIO/APIO-14-Sequence.txt&amp;sa=D&amp;ust=1605639801870000&amp;usg=AFQjCNHUPD4wwbEz9lWmcxgp4kaTbSdA8w" xr:uid="{0FB5A65B-FA87-46D4-9761-92764CF4A2CF}"/>
    <hyperlink ref="B1438" r:id="rId2527" display="https://www.google.com/url?q=https://dmoj.ca/problem/apio10p1&amp;sa=D&amp;ust=1605639801871000&amp;usg=AFQjCNGnivog9cmZSdqBIzkTAy1Lpl_MAg" xr:uid="{F6FBCD0A-18C9-4E55-A140-3AA7F80187C9}"/>
    <hyperlink ref="F1438" r:id="rId2528" display="https://www.google.com/url?q=https://github.com/timpostuvan/CompetitiveProgramming/blob/master/Olympiad/APIO/Commando2010.cpp&amp;sa=D&amp;ust=1605639801871000&amp;usg=AFQjCNHcLHXs56lX0qjCckKDSE4XGVe7Fg" xr:uid="{966ABFAB-E65F-4AC6-9D06-285EFDB2F8E6}"/>
    <hyperlink ref="B1439" r:id="rId2529" display="https://www.google.com/url?q=https://dunjudge.me/analysis/problems/964/&amp;sa=D&amp;ust=1605639801871000&amp;usg=AFQjCNGSnGVrz8BhgzpVwpGxrLU3-jYnJg" xr:uid="{0B2B9D35-0ABD-4781-A8E6-9238FE9A177D}"/>
    <hyperlink ref="F1439" r:id="rId2530" display="https://www.google.com/url?q=https://github.com/mostafa-saad/MyCompetitiveProgramming/blob/master/Olympiad/MCO/MCO-16-acorn.txt&amp;sa=D&amp;ust=1605639801872000&amp;usg=AFQjCNFB5IlOhXxTpJzmxB4WU90zkRPUcg" xr:uid="{DE318074-32D6-4699-AFE6-03CF0BA3EF22}"/>
    <hyperlink ref="B1440" r:id="rId2531" display="https://www.google.com/url?q=https://www.acmicpc.net/problem/5254&amp;sa=D&amp;ust=1605639801872000&amp;usg=AFQjCNHgY5YEvxPmPdTlpieA1SHvDCxacg" xr:uid="{65C2786F-43A0-40B4-8699-E054CCACE250}"/>
    <hyperlink ref="F1440" r:id="rId2532" display="https://www.google.com/url?q=https://github.com/mostafa-saad/MyCompetitiveProgramming/blob/master/Olympiad/Balkan/Balkan-12-balls.txt&amp;sa=D&amp;ust=1605639801872000&amp;usg=AFQjCNGjU9z2JwC4jNWXGGINekD4vJfz3w" xr:uid="{92891179-5F4A-4B2A-89CF-1B6EBDD54FF7}"/>
    <hyperlink ref="B1441" r:id="rId2533" display="https://www.google.com/url?q=https://szkopul.edu.pl/problemset/problem/ovRIpLFK3IhyFPjnVXeZtGxH/site/?key%3Dstatement&amp;sa=D&amp;ust=1605639801872000&amp;usg=AFQjCNG0sOrzfPeoHZQasd_6Ao4QRoQOaw" xr:uid="{1C0EEAE6-0A6D-404F-898B-34BE90B2AB6C}"/>
    <hyperlink ref="F1441" r:id="rId2534" display="https://www.google.com/url?q=https://github.com/mostafa-saad/MyCompetitiveProgramming/blob/master/Olympiad/CEOI/CEOI-04-Two.txt&amp;sa=D&amp;ust=1605639801873000&amp;usg=AFQjCNE4G2jcwWM4hwqYHxeEHPCdeavlUA" xr:uid="{19271058-DE26-4D4B-953C-7579FCD0E5A4}"/>
    <hyperlink ref="B1442" r:id="rId2535" display="https://www.google.com/url?q=https://csacademy.com/contest/ceoi-2017-day-2/&amp;sa=D&amp;ust=1605639801873000&amp;usg=AFQjCNHzHrGBYwZyxJ3WH3yowa-FEbYLWA" xr:uid="{7F99433E-EBC3-42E8-BE3E-A7A5320F072B}"/>
    <hyperlink ref="F1442" r:id="rId2536" display="https://www.google.com/url?q=https://github.com/mostafa-saad/MyCompetitiveProgramming/blob/master/Olympiad/CEOI/CEOI-17-Building.txt&amp;sa=D&amp;ust=1605639801873000&amp;usg=AFQjCNEwjo5WI04n_e2b8Utc5ee5VkB5Sg" xr:uid="{241694D8-1C54-4CE4-88CF-811D956779FC}"/>
    <hyperlink ref="B1443" r:id="rId2537" display="https://www.google.com/url?q=https://www.infoarena.ro/problema/puncte&amp;sa=D&amp;ust=1605639801874000&amp;usg=AFQjCNHYKC3dPdgWqvPS_ZHjaI9ojefZMg" xr:uid="{4BE90C96-4074-445A-BA95-E70068F68AF7}"/>
    <hyperlink ref="F1443" r:id="rId2538" display="https://www.google.com/url?q=https://github.com/mostafa-saad/MyCompetitiveProgramming/blob/master/Olympiad/infoarena/infoarena_puncte.txt&amp;sa=D&amp;ust=1605639801874000&amp;usg=AFQjCNHOWXAVnPt66KSM9lRv03Ma7PwK9A" xr:uid="{24742BFD-FE33-4A46-9706-9A2DB0D2799A}"/>
    <hyperlink ref="B1444" r:id="rId2539" display="https://www.google.com/url?q=https://www.infoarena.ro/problema/vmin&amp;sa=D&amp;ust=1605639801874000&amp;usg=AFQjCNF6bIyGieaovnAjH3EbidfC6XE65A" xr:uid="{68FF6960-0CE3-4B2F-8EA0-8B59B4914682}"/>
    <hyperlink ref="F1444" r:id="rId2540" display="https://www.google.com/url?q=https://github.com/mostafa-saad/MyCompetitiveProgramming/blob/master/Olympiad/infoarena/Infoarena_vmin.txt&amp;sa=D&amp;ust=1605639801874000&amp;usg=AFQjCNGo2JI2g-SZvU8d4gBXiKPo_gaKZQ" xr:uid="{8074BDA6-8BA3-4B6E-9CCC-08B3E41BD33F}"/>
    <hyperlink ref="B1445" r:id="rId2541" display="https://www.google.com/url?q=https://oj.uz/problem/view/IOI11_race&amp;sa=D&amp;ust=1605639801875000&amp;usg=AFQjCNFok5sfZ8TxhzWj0B2JQ9pno39xJg" xr:uid="{42E9C871-D00A-4464-BFA8-2183BB80FAB6}"/>
    <hyperlink ref="F1445" r:id="rId2542" display="https://www.google.com/url?q=https://github.com/aviroop123/CompetitiveProgramming/blob/master/Olympiad/IOI/IOI%252011-race.cpp&amp;sa=D&amp;ust=1605639801875000&amp;usg=AFQjCNEKQBT986oIbYTlzPu-XbR1lTzgOg" xr:uid="{6F36FF0A-9111-4B5E-8FA1-80A40E2CD162}"/>
    <hyperlink ref="B1446" r:id="rId2543" display="https://www.google.com/url?q=https://szkopul.edu.pl/problemset/problem/b0BM0al2crQBt6zovEtJfOc6/site/?key%3Dstatement&amp;sa=D&amp;ust=1605639801875000&amp;usg=AFQjCNE00Ms8uJ7tGprDVoL2TA8FYa_eRg" xr:uid="{4B056232-A5D3-42E6-9C67-960BD3317E1D}"/>
    <hyperlink ref="F1446" r:id="rId2544" display="https://www.google.com/url?q=https://github.com/Szawinis/CompetitiveProgramming/blob/master/Olympiad/POI/POI11-Rotation2.cpp&amp;sa=D&amp;ust=1605639801876000&amp;usg=AFQjCNFCWWCPV6J1yWMB87dnyePs-HHKFQ" xr:uid="{A4CAC104-5500-4DA9-8BB1-47E2591A9ECE}"/>
    <hyperlink ref="B1447" r:id="rId2545" display="https://www.google.com/url?q=https://oj.uz/problem/view/POI11_rot&amp;sa=D&amp;ust=1605639801877000&amp;usg=AFQjCNFby_jZv5OHLn9-WDphtgwFFrdvUQ" xr:uid="{D8F69951-09E7-4EA7-BDA2-70F347A21AED}"/>
    <hyperlink ref="F1447" r:id="rId2546" display="https://www.google.com/url?q=https://github.com/mostafa-saad/MyCompetitiveProgramming/blob/master/Olympiad/POI/official/find_editorial_sols_guidelines.txt&amp;sa=D&amp;ust=1605639801877000&amp;usg=AFQjCNEmCyx3tcFeFiB12MtGVzlxsMshUQ" xr:uid="{9AE1EABE-78A2-40F9-8A82-DFE0B40522B2}"/>
    <hyperlink ref="B1448" r:id="rId2547" display="https://www.google.com/url?q=https://cses.fi/179/list/&amp;sa=D&amp;ust=1605639801878000&amp;usg=AFQjCNG08-27pZY-x0WzkgrBFfsyX3se7g" xr:uid="{519D1BAA-B64E-461B-B2AF-C14046BFF4B5}"/>
    <hyperlink ref="F1448" r:id="rId2548" display="https://www.google.com/url?q=https://github.com/mostafa-saad/MyCompetitiveProgramming/blob/master/Olympiad/CEOI/CEOI-09-Boxes.txt&amp;sa=D&amp;ust=1605639801878000&amp;usg=AFQjCNEQd-qFvzaIWebrZQQ5-TPvWWbQ1w" xr:uid="{94B2483B-8AFB-4074-BD0E-8ECFF6D50021}"/>
    <hyperlink ref="B1449" r:id="rId2549" display="https://www.google.com/url?q=http://usaco.org/index.php?page%3Dviewproblem2%26cpid%3D793&amp;sa=D&amp;ust=1605639801878000&amp;usg=AFQjCNEaL0iTLQ1n1jOitKIQyZb5SxrjFQ" xr:uid="{3CF55627-725B-41E6-A00D-B2EC3FB11A3B}"/>
    <hyperlink ref="F1449" r:id="rId2550" display="https://www.google.com/url?q=https://github.com/gametothepower8/Solutions-to-OI-problems/blob/master/USACO18Janplat-atlarge.cpp&amp;sa=D&amp;ust=1605639801879000&amp;usg=AFQjCNEUjLNGu4YN5mjeElIZV4HyLa-s3A" xr:uid="{8DD5F852-B399-4007-8E6E-55941C662FE0}"/>
    <hyperlink ref="B1450" r:id="rId2551" display="https://www.google.com/url?q=http://usaco.org/index.php?page%3Dviewproblem2%26cpid%3D841&amp;sa=D&amp;ust=1605639801879000&amp;usg=AFQjCNHF1sZbKJ0xE4pq_nWehNc5Ksqabg" xr:uid="{FC61EDC5-B927-4C2D-B120-874E95BDDEA0}"/>
    <hyperlink ref="B1451" r:id="rId2552" display="https://www.google.com/url?q=https://oj.uz/problems/source/351&amp;sa=D&amp;ust=1605639801880000&amp;usg=AFQjCNGnb8MSpm4UqpyHIEUJcF6Movnzlg" xr:uid="{20A584DE-235D-4BB8-8EE7-B015D296A207}"/>
    <hyperlink ref="F1451" r:id="rId2553" display="https://www.google.com/url?q=https://github.com/mostafa-saad/MyCompetitiveProgramming/tree/master/Olympiad/JOI/official/JOIOC/2018&amp;sa=D&amp;ust=1605639801880000&amp;usg=AFQjCNFCiXywolbm90JH0hsgb4enZweUdA" xr:uid="{751EA1B7-FF4E-4391-A72F-DC29D9CECAE2}"/>
    <hyperlink ref="B1452" r:id="rId2554" display="https://www.google.com/url?q=https://oj.uz/problem/view/IZhO18_segments&amp;sa=D&amp;ust=1605639801880000&amp;usg=AFQjCNGSRl9iY2teB1mlVHndHDut0gsraQ" xr:uid="{CBD0D903-3E5C-4FC2-A70B-EBA1D4301F91}"/>
    <hyperlink ref="F1452" r:id="rId2555" display="https://www.google.com/url?q=https://github.com/mostafa-saad/MyCompetitiveProgramming/blob/master/Olympiad/IZhO/IZhO-18-segments.txt&amp;sa=D&amp;ust=1605639801880000&amp;usg=AFQjCNH3tEouXNgOlfsqPerkZ7D88BESaA" xr:uid="{B78C02ED-BE76-42AE-9C0F-3D9768F40792}"/>
    <hyperlink ref="B1453" r:id="rId2556" display="https://www.google.com/url?q=https://oj.uz/problems/source/315&amp;sa=D&amp;ust=1605639801881000&amp;usg=AFQjCNEv5AnVIQKqtvZD1pd-mOkOHL4ikg" xr:uid="{C37414B7-DFAA-4FE0-B471-CB2FDCFFF047}"/>
    <hyperlink ref="F1453" r:id="rId2557" display="https://www.google.com/url?q=https://github.com/mostafa-saad/MyCompetitiveProgramming/blob/master/Olympiad/JOI/JOISC-18-bitaro.txt&amp;sa=D&amp;ust=1605639801881000&amp;usg=AFQjCNEgYqAMcEgu8Qn7ToBSKDdsIXYbIQ" xr:uid="{DC1FB9ED-DFD6-486B-A1AE-D51B06DA1663}"/>
    <hyperlink ref="B1454" r:id="rId2558" display="https://www.google.com/url?q=https://szkopul.edu.pl/problemset/problem/FHsx0TDoMNHN-XrWzXtUzzpi/site/&amp;sa=D&amp;ust=1605639801881000&amp;usg=AFQjCNGB_ZHygqlPh9moHil0Jj8pnqmZ2A" xr:uid="{9F48693D-1D1C-4F1E-94D0-871DA6EB11B3}"/>
    <hyperlink ref="F1454" r:id="rId2559" display="https://www.google.com/url?q=https://github.com/mostafa-saad/MyCompetitiveProgramming/blob/master/Olympiad/POI/POI-13-Price.txt&amp;sa=D&amp;ust=1605639801882000&amp;usg=AFQjCNEhu3H4YFTB1l2CCbJny3kVhcRMNA" xr:uid="{A948DC8A-9FF2-49FE-9F01-75DFE2628E45}"/>
    <hyperlink ref="B1455" r:id="rId2560" display="https://www.google.com/url?q=https://codeforces.com/gym/102257/&amp;sa=D&amp;ust=1605639801882000&amp;usg=AFQjCNEdRcOxbhDMD6gB3Ckvrhu1eg_CYg" xr:uid="{83183009-145E-4A64-936C-6BA8684A99A2}"/>
    <hyperlink ref="F1455" r:id="rId2561" display="https://www.google.com/url?q=https://github.com/mostafa-saad/MyCompetitiveProgramming/blob/master/Olympiad/APIO/APIO-19-bridges.txt&amp;sa=D&amp;ust=1605639801882000&amp;usg=AFQjCNGCBAPIdbAwj4j-AfudTdVHsxXNBg" xr:uid="{0AA00FB2-B7AF-4EE3-A8CF-323990FCD494}"/>
    <hyperlink ref="B1456" r:id="rId2562" display="https://www.google.com/url?q=https://www.infoarena.ro/problema/bvarcolaci&amp;sa=D&amp;ust=1605639801883000&amp;usg=AFQjCNF_e5M_2OBxoHSmDRRb6QZCiWdtWQ" xr:uid="{614804C0-F399-41F1-8027-B34AC92FCDA8}"/>
    <hyperlink ref="F1456" r:id="rId2563" display="https://www.google.com/url?q=https://github.com/stefdasca/CompetitiveProgramming/blob/master/Infoarena/bvarcolaci.cpp&amp;sa=D&amp;ust=1605639801883000&amp;usg=AFQjCNE4bL87maCTMRWnjgEyhwATyBgWUw" xr:uid="{CEB9AA1D-C784-434D-96DF-6DCCBB3F9B7A}"/>
    <hyperlink ref="B1457" r:id="rId2564" display="https://www.google.com/url?q=https://szkopul.edu.pl/problemset/problem/cSa80AKpjHR8FlWE4BCpLGT3/site/?key%3Dstatement&amp;sa=D&amp;ust=1605639801883000&amp;usg=AFQjCNHU95Vtm9GYMCok0xr8XafQjhltLA" xr:uid="{402F0AF9-2196-4043-8C18-72A88BFE6B69}"/>
    <hyperlink ref="F1457" r:id="rId2565" display="https://www.google.com/url?q=https://github.com/mostafa-saad/MyCompetitiveProgramming/blob/master/Olympiad/POI/POI-16-Christmas.txt&amp;sa=D&amp;ust=1605639801884000&amp;usg=AFQjCNHpfhWr8ejxx3It8OQ3Mi6me_pRAw" xr:uid="{5476E67C-28D3-4B70-882D-228F20892187}"/>
    <hyperlink ref="B1458" r:id="rId2566" display="https://www.google.com/url?q=https://oj.uz/problem/view/IOI11_elephants&amp;sa=D&amp;ust=1605639801885000&amp;usg=AFQjCNHDPtRY5GKAW7mtgFy0r8p8Q1EBuQ" xr:uid="{A1755984-626C-45C8-A23F-5806863EFA8B}"/>
    <hyperlink ref="F1458" r:id="rId2567" display="https://www.google.com/url?q=https://github.com/mostafa-saad/MyCompetitiveProgramming/blob/master/Olympiad/IOI/IOI-11-elephants.txt&amp;sa=D&amp;ust=1605639801885000&amp;usg=AFQjCNEjawqB046ZfRtLqZL1y4nIl8wYFw" xr:uid="{686BA898-E8AB-469C-A8E9-F4E9DE4A2A6A}"/>
    <hyperlink ref="B1459" r:id="rId2568" display="https://www.google.com/url?q=https://infoarena.ro/problema/mindist&amp;sa=D&amp;ust=1605639801885000&amp;usg=AFQjCNHrjsqUp1ykLkwD6jIBEw5lB30tvg" xr:uid="{756EFAE2-7EBD-4C3E-9492-4A1D543FBA87}"/>
    <hyperlink ref="F1459" r:id="rId2569" display="https://www.google.com/url?q=https://github.com/mostafa-saad/MyCompetitiveProgramming/blob/master/Olympiad/infoarena/infoarena-mindist.txt&amp;sa=D&amp;ust=1605639801886000&amp;usg=AFQjCNFTJma9P0U9GPT4871YnW4ANFQw5g" xr:uid="{3108C3B1-9582-41B5-9188-73DAAE3B72DC}"/>
    <hyperlink ref="B1460" r:id="rId2570" display="https://www.google.com/url?q=https://oj.uz/problem/view/IOI09_regions&amp;sa=D&amp;ust=1605639801886000&amp;usg=AFQjCNHmIDJ7B65jgE6t0gM_UqTZczFEuA" xr:uid="{E5A48EFE-DA1A-4D53-8558-3EA8085071D9}"/>
    <hyperlink ref="F1460" r:id="rId2571" display="https://www.google.com/url?q=https://github.com/mostafa-saad/MyCompetitiveProgramming/blob/master/Olympiad/IOI/IOI-09-regions.txt&amp;sa=D&amp;ust=1605639801886000&amp;usg=AFQjCNHxcBOrHu_dOUp9n6IVepoCapIWsg" xr:uid="{2D64EAD5-50DD-4722-8BC5-F8F02931BEDB}"/>
    <hyperlink ref="B1461" r:id="rId2572" display="https://www.google.com/url?q=http://usaco.org/index.php?page%3Dviewproblem2%26cpid%3D925&amp;sa=D&amp;ust=1605639801886000&amp;usg=AFQjCNHpGr4EcyPqgpYYBHZlJ4ls6kSe6Q" xr:uid="{A86E9B71-CA2C-42AA-A47C-558FAD75F141}"/>
    <hyperlink ref="F1461" r:id="rId2573" display="https://www.google.com/url?q=https://github.com/thecodingwizard/competitive-programming/blob/master/USACO/2019feb/plat/mooriokart.cpp&amp;sa=D&amp;ust=1605639801887000&amp;usg=AFQjCNGaJy1g789Xevdivs869NPr3ynxRA" xr:uid="{8A8FB11C-CD4F-45BD-B29F-6D7049D70A98}"/>
    <hyperlink ref="B1462" r:id="rId2574" display="https://www.google.com/url?q=https://dmoj.ca/problem/cco18p5&amp;sa=D&amp;ust=1605639801887000&amp;usg=AFQjCNHzE81Z95Qg_oAWZrpXVqlCWRWT2g" xr:uid="{3F5C4164-6B4E-4353-8D47-B479DA8DA524}"/>
    <hyperlink ref="F1462" r:id="rId2575" display="https://www.google.com/url?q=https://github.com/luciocf/OI-Problems/blob/master/CCO/CCO%25202018/boring.cpp&amp;sa=D&amp;ust=1605639801887000&amp;usg=AFQjCNGHiJuFfbzT5SErWDEoWaKrIgzsRA" xr:uid="{F222C73E-F7B0-4814-9DE7-DFCB95F5F15A}"/>
    <hyperlink ref="B1463" r:id="rId2576" display="https://www.google.com/url?q=https://www.infoarena.ro/problema/arbore&amp;sa=D&amp;ust=1605639801888000&amp;usg=AFQjCNEY_buI2biFJ9xcwa4j6yIC5U_D5A" xr:uid="{6CBF319F-1CA8-4978-A17C-0684D4D6792E}"/>
    <hyperlink ref="F1463" r:id="rId2577" display="https://www.google.com/url?q=https://github.com/mostafa-saad/MyCompetitiveProgramming/blob/master/Olympiad/infoarena/infoarena_arbore.txt&amp;sa=D&amp;ust=1605639801894000&amp;usg=AFQjCNGl10LZgEnCgGW1b6S8Jz-gAVyyIg" xr:uid="{3E1EE435-FC34-4A4F-9C35-0153C6BAA16A}"/>
    <hyperlink ref="B1464" r:id="rId2578" display="https://www.google.com/url?q=https://dmoj.ca/problem/ccoprep16c2q3&amp;sa=D&amp;ust=1605639801894000&amp;usg=AFQjCNH8ZksPYfxxWcd349raWVz5GL6Y0g" xr:uid="{36956800-5A40-4F83-8145-14DCB2715922}"/>
    <hyperlink ref="B1465" r:id="rId2579" display="https://www.google.com/url?q=https://dmoj.ca/problem/stnbd4&amp;sa=D&amp;ust=1605639801895000&amp;usg=AFQjCNFubrrUl8KLdvGAIm6CdzLBb7BwXQ" xr:uid="{42BDE3E0-93C8-4FE0-8885-6BAFEFAF9941}"/>
    <hyperlink ref="F1465" r:id="rId2580" display="https://www.google.com/url?q=https://github.com/win11905/submission/blob/master/Dmoj/EllisFahrengart.cpp&amp;sa=D&amp;ust=1605639801895000&amp;usg=AFQjCNHJP7FtODKO84xT5Ew__2FM1NAgNQ" xr:uid="{8E62D550-DD28-43F6-953F-BEB4301F8E44}"/>
    <hyperlink ref="B1466" r:id="rId2581" display="https://www.google.com/url?q=https://dmoj.ca/problem/dmpg18s5&amp;sa=D&amp;ust=1605639801896000&amp;usg=AFQjCNEBONd6u8LeJyt6ypU5-negEcCZ9g" xr:uid="{1CA52251-37F7-43DA-B797-E645EB14B8FE}"/>
    <hyperlink ref="B1467" r:id="rId2582" display="https://www.google.com/url?q=https://oj.uz/problem/view/IOI16_aliens&amp;sa=D&amp;ust=1605639801896000&amp;usg=AFQjCNGOrlrLfol3WM3rFecW4UNvIBQ24A" xr:uid="{B89D768C-716E-470A-869C-0EC9A95D7BC9}"/>
    <hyperlink ref="F1467" r:id="rId2583" display="https://www.google.com/url?q=https://github.com/mostafa-saad/MyCompetitiveProgramming/blob/master/Olympiad/IOI/IOI-16-aliens.txt&amp;sa=D&amp;ust=1605639801897000&amp;usg=AFQjCNHxht1i-_HYcxNNhhB5Phc8XeJbcw" xr:uid="{0B350F9D-2310-41D7-9ECD-C2F135791964}"/>
    <hyperlink ref="B1468" r:id="rId2584" display="https://www.google.com/url?q=https://dunjudge.me/analysis/problems/1826/&amp;sa=D&amp;ust=1605639801897000&amp;usg=AFQjCNGnevWMbQicImTBqx5FPlIP98WaPA" xr:uid="{B136BC81-61AD-4F45-9AA0-760E1FB0AEC4}"/>
    <hyperlink ref="F1468" r:id="rId2585" display="https://www.google.com/url?q=https://github.com/mostafa-saad/MyCompetitiveProgramming/blob/master/Olympiad/NOI/NOI-19-feast.txt&amp;sa=D&amp;ust=1605639801897000&amp;usg=AFQjCNHAHlaf-1VugwVr4mpdGUixOQApwg" xr:uid="{F07EA0BD-835A-454B-A5B4-F0B976E44DC0}"/>
    <hyperlink ref="B1469" r:id="rId2586" display="https://www.google.com/url?q=https://www.infoarena.ro/problema/padurari&amp;sa=D&amp;ust=1605639801898000&amp;usg=AFQjCNHeIMhZgxuFJirmCNSDODBjgVvx3w" xr:uid="{EC92EDB2-4889-4B9A-9913-F86CC3041F8E}"/>
    <hyperlink ref="F1469" r:id="rId2587" display="https://www.google.com/url?q=https://github.com/stefdasca/CompetitiveProgramming/blob/master/Infoarena/padurari.cpp&amp;sa=D&amp;ust=1605639801898000&amp;usg=AFQjCNHQ-5csH0_Si3O1B1Fx3idd-_mKXQ" xr:uid="{43DE96BB-9CBA-428B-B8BE-FA60B32DFCE4}"/>
    <hyperlink ref="B1470" r:id="rId2588" display="https://www.google.com/url?q=https://www.acmicpc.net/problem/7056&amp;sa=D&amp;ust=1605639801898000&amp;usg=AFQjCNEz0fat1_nVNPqSUvPqz4X8shlhMA" xr:uid="{E7D916E6-F909-4140-AB98-E1C311880788}"/>
    <hyperlink ref="F1470" r:id="rId2589" display="https://www.google.com/url?q=https://github.com/mostafa-saad/MyCompetitiveProgramming/blob/master/Olympiad/CEOI/CEOI-02-Fence.txt&amp;sa=D&amp;ust=1605639801899000&amp;usg=AFQjCNEBmn8LNVuqdMGuzhqjNLrB6g4VYw" xr:uid="{CDDD29CE-A859-4581-9918-701A6BDA7CF8}"/>
    <hyperlink ref="B1471" r:id="rId2590" display="https://www.google.com/url?q=https://www.hackerrank.com/contests/ioi-2014-practice-contest-2/challenges&amp;sa=D&amp;ust=1605639801899000&amp;usg=AFQjCNEfBgrz2KivOAb4N-h4M6GjjI5bcg" xr:uid="{84A24C1F-215B-4DC4-B283-7C65434B231E}"/>
    <hyperlink ref="F1471" r:id="rId2591" display="https://www.google.com/url?q=https://github.com/mostafa-saad/MyCompetitiveProgramming/blob/master/Olympiad/IOI/IOIPractice-14-guardians-lunatics-ioi14.txt&amp;sa=D&amp;ust=1605639801899000&amp;usg=AFQjCNHVxZs6em3b0oC4nrFEu56itMufeQ" xr:uid="{9F64DC18-1319-4974-9D7D-FD20D6EF2531}"/>
    <hyperlink ref="B1472" r:id="rId2592" display="https://www.google.com/url?q=http://usaco.org/index.php?page%3Dviewproblem2%26cpid%3D926&amp;sa=D&amp;ust=1605639801900000&amp;usg=AFQjCNEVX1CxmQh0cojYZlCa3DZIvJxqAw" xr:uid="{9553EFC0-8C56-4FE9-A2AA-E9F9115E7F41}"/>
    <hyperlink ref="F1472" r:id="rId2593" display="https://www.google.com/url?q=https://github.com/ihdignite/CompetitiveProgramming/blob/master/USACO/1819_3P/Mowing.cpp&amp;sa=D&amp;ust=1605639801900000&amp;usg=AFQjCNFMc9o1bcTg53T12LOAaiGia5k_XQ" xr:uid="{AF3DBC40-29CC-4798-B084-9ADBAFD2F967}"/>
    <hyperlink ref="B1473" r:id="rId2594" display="https://www.google.com/url?q=https://oj.uz/problems/source/213&amp;sa=D&amp;ust=1605639801900000&amp;usg=AFQjCNFeUn_sl2K8LuyK4pmu8vDHKkYnvg" xr:uid="{B1E58C3B-918C-49A8-AF42-196267B3279F}"/>
    <hyperlink ref="F1473" r:id="rId2595" display="https://www.google.com/url?q=http://codeforces.com/blog/entry/47764&amp;sa=D&amp;ust=1605639801901000&amp;usg=AFQjCNHW0JPKQ9YAEDawNPW48b6SIcNWfw" xr:uid="{54BCE1E5-8C70-497D-ADE2-11FD4B25837B}"/>
    <hyperlink ref="B1474" r:id="rId2596" display="https://www.google.com/url?q=https://codeforces.com/group/R2SERIff4f/contest/213171/problem/R&amp;sa=D&amp;ust=1605639801901000&amp;usg=AFQjCNGq_ys2W8PCF3As3BTiuD5ON_XwHg" xr:uid="{9031F158-35B0-4DC6-9029-D242C69163F7}"/>
    <hyperlink ref="F1474" r:id="rId2597" display="https://www.google.com/url?q=https://github.com/mostafa-saad/MyCompetitiveProgramming/tree/master/Olympiad/MCO/official&amp;sa=D&amp;ust=1605639801901000&amp;usg=AFQjCNFetwdFYFpScqTYnHp88qCyj8ABkg" xr:uid="{80E416A7-C51F-4E98-AE23-2AF39CE92257}"/>
    <hyperlink ref="B1475" r:id="rId2598" display="https://www.google.com/url?q=https://oj.uz/problem/view/CEOI16_kangaroo&amp;sa=D&amp;ust=1605639801902000&amp;usg=AFQjCNE1edVAI-cxpI1_73PehoaPDdslmA" xr:uid="{9382E4C9-FEEA-4E32-88B5-1AC9C694E5AF}"/>
    <hyperlink ref="F1475" r:id="rId2599" display="https://www.google.com/url?q=https://github.com/mostafa-saad/MyCompetitiveProgramming/blob/master/Olympiad/CEOI/CEOI-16-Kangaroo.txt&amp;sa=D&amp;ust=1605639801902000&amp;usg=AFQjCNH4BOUDU9fRa3j8NtU9EsDDp2MNAA" xr:uid="{3482B59B-0CAD-4039-8605-BF75FF17209F}"/>
    <hyperlink ref="B1476" r:id="rId2600" display="https://www.google.com/url?q=https://csacademy.com/contest/round-78/task/xor-transform/&amp;sa=D&amp;ust=1605639801902000&amp;usg=AFQjCNGJLk6kin1nhemiUVff-_08Ik8g0Q" xr:uid="{A92F70F3-C351-4783-BCBF-EED412D93D05}"/>
    <hyperlink ref="B1477" r:id="rId2601" display="https://www.google.com/url?q=https://infoarena.ro/problema/xortransform&amp;sa=D&amp;ust=1605639801903000&amp;usg=AFQjCNFvz8p2Z-oOfs5Agp0yh8jhlRFJSQ" xr:uid="{8495B346-FDBE-4491-BDC9-E11BAF5209AB}"/>
    <hyperlink ref="F1477" r:id="rId2602" display="https://www.google.com/url?q=https://github.com/mostafa-saad/MyCompetitiveProgramming/blob/master/Olympiad/infoarena/infoarena_xortransform.txt&amp;sa=D&amp;ust=1605639801903000&amp;usg=AFQjCNFWZi5jmuDQsQgru8nbNrSaxarZsQ" xr:uid="{092A048B-2370-43DA-B216-4D2EB8B0FBD6}"/>
    <hyperlink ref="B1478" r:id="rId2603" display="https://www.google.com/url?q=http://usaco.org/index.php?page%3Dviewproblem2%26cpid%3D515&amp;sa=D&amp;ust=1605639801904000&amp;usg=AFQjCNHs08-iVDG702dSjxzA2fPUDVLKLA" xr:uid="{FF6A92C2-1B99-4937-9DF0-86A53B3DD3B4}"/>
    <hyperlink ref="B1479" r:id="rId2604" display="https://www.google.com/url?q=https://cses.fi/problemset/task/1654&amp;sa=D&amp;ust=1605639801904000&amp;usg=AFQjCNGA4CfvMnLVAxu53_ydxYL3yZCBNA" xr:uid="{4F37BECE-9032-405A-95A6-F4A9CB95CBC6}"/>
    <hyperlink ref="F1479" r:id="rId2605" display="https://www.google.com/url?q=https://github.com/nikolapesic2802/Programming-Practice/blob/master/Bit%2520problem/main.cpp&amp;sa=D&amp;ust=1605639801904000&amp;usg=AFQjCNFPlCuvREo_UoX98mLP7HcPSUrO_g" xr:uid="{A19DDEF0-BF5D-476F-8507-79DB23C196DC}"/>
    <hyperlink ref="B1480" r:id="rId2606" display="https://www.google.com/url?q=http://hsin.hr/coci/archive/2011_2012/&amp;sa=D&amp;ust=1605639801905000&amp;usg=AFQjCNHF3diKRE-6UhrXp2RnEKyFRTtKlQ" xr:uid="{81E80D3B-146D-4B59-B177-833D05EB7AF7}"/>
    <hyperlink ref="F1480" r:id="rId2607" display="https://www.google.com/url?q=https://github.com/mostafa-saad/MyCompetitiveProgramming/tree/master/Olympiad/COCI/official/2012/contest6_solutions&amp;sa=D&amp;ust=1605639801905000&amp;usg=AFQjCNEr1qepmx3lcWV-eiIa_uC1KciJrw" xr:uid="{2BE6DD0D-51C5-4A96-A151-2F72DD21395E}"/>
    <hyperlink ref="B1481" r:id="rId2608" display="https://www.google.com/url?q=https://oj.uz/problem/view/IZhO17_road&amp;sa=D&amp;ust=1605639801972000&amp;usg=AFQjCNFQhXm90DjjlM2BXW2KeQ8DB9Pe6A" xr:uid="{7E1F14A1-E691-45DA-9235-B83BD11F9EE8}"/>
    <hyperlink ref="F1481" r:id="rId2609" display="https://www.google.com/url?q=https://github.com/LeTrongDat/CompetitiveProgramming/blob/master/IZhO/IZhO17-road.cpp&amp;sa=D&amp;ust=1605639801972000&amp;usg=AFQjCNHqr4Q9moOHlO-rYqU3km3kfmdLLg" xr:uid="{753882CF-878A-48A4-8855-5643760E13EE}"/>
    <hyperlink ref="B1482" r:id="rId2610" display="https://www.google.com/url?q=https://oj.uz/problem/view/IOI12_city&amp;sa=D&amp;ust=1605639801973000&amp;usg=AFQjCNG7A2tUZOSWmGCcHkUr13w-xdKDIw" xr:uid="{1BA78EF9-FB69-44A4-ADC4-F7AE6D94E465}"/>
    <hyperlink ref="F1482" r:id="rId2611" display="https://www.google.com/url?q=https://github.com/mostafa-saad/MyCompetitiveProgramming/blob/master/Olympiad/IOI/IOI-12-city.txt&amp;sa=D&amp;ust=1605639801973000&amp;usg=AFQjCNF5l0XVKJZ1v9itJlPFMVsD8NKp7Q" xr:uid="{7C2F94B4-6256-410D-9FBA-012BAA93C83D}"/>
    <hyperlink ref="B1483" r:id="rId2612" display="https://www.google.com/url?q=https://oj.uz/problem/view/IOI07_training&amp;sa=D&amp;ust=1605639801973000&amp;usg=AFQjCNGObUr5auwvKpYCKklDlEs3-V1nWQ" xr:uid="{E4989EEF-2302-4173-8110-89390DE2288C}"/>
    <hyperlink ref="F1483" r:id="rId2613" display="https://www.google.com/url?q=https://github.com/mostafa-saad/MyCompetitiveProgramming/blob/master/Olympiad/IOI/IOI-07-training.txt&amp;sa=D&amp;ust=1605639801974000&amp;usg=AFQjCNEVm1G8VM1ypUtfSgnUcUHXXErlcw" xr:uid="{C44C0D4D-A722-40F6-8E83-5806F3D7E35F}"/>
    <hyperlink ref="B1484" r:id="rId2614" display="https://www.google.com/url?q=https://szkopul.edu.pl/problemset/problem/5Z9PRRPP-R90WhmbSY_qHd-1/site/&amp;sa=D&amp;ust=1605639801974000&amp;usg=AFQjCNHSS5r9XgCRb1x59r3iM6e07HY46A" xr:uid="{2DC0CFC3-A2B7-46F5-82F5-87622537D56F}"/>
    <hyperlink ref="F1484" r:id="rId2615" display="https://www.google.com/url?q=https://github.com/mostafa-saad/MyCompetitiveProgramming/blob/master/Olympiad/POI/POI-04-Cave.txt&amp;sa=D&amp;ust=1605639801974000&amp;usg=AFQjCNHo3SiOF8C09JOSyL6s5hRs_YE6pA" xr:uid="{975AB3E4-FD32-419B-ADAA-8B4833A0B886}"/>
    <hyperlink ref="B1485" r:id="rId2616" display="https://www.google.com/url?q=https://oj.uz/problems/source/351&amp;sa=D&amp;ust=1605639801975000&amp;usg=AFQjCNGFHovT6cFTfiVO9L7fnhI1q3U7eg" xr:uid="{0B3A0B2F-E877-49CB-845B-F7370E03F377}"/>
    <hyperlink ref="F1485" r:id="rId2617" display="https://www.google.com/url?q=https://github.com/mostafa-saad/MyCompetitiveProgramming/tree/master/Olympiad/JOI/official/JOIOC/2018&amp;sa=D&amp;ust=1605639801975000&amp;usg=AFQjCNHmsqRJjx-izbxDkjsXXyNf0T8nRg" xr:uid="{990013C1-53F8-47E6-9771-2ACFC858CBBB}"/>
    <hyperlink ref="B1486" r:id="rId2618" display="https://www.google.com/url?q=https://oj.uz/problem/view/COCI15_uzastopni&amp;sa=D&amp;ust=1605639801975000&amp;usg=AFQjCNHL2e0tW1O8jEE-aRO7ZRTtFJeOZA" xr:uid="{D7E8C3DF-4F63-44D4-9A7E-023F627B1CDA}"/>
    <hyperlink ref="F1486" r:id="rId2619" display="https://www.google.com/url?q=https://github.com/mostafa-saad/MyCompetitiveProgramming/blob/master/Olympiad/COCI/COCI-15-uzastopni.txt&amp;sa=D&amp;ust=1605639801976000&amp;usg=AFQjCNE-NDiS6OPMW4PUKrz81vH2_VnZ0w" xr:uid="{ACE5266D-F47C-4319-82FE-66189260FB61}"/>
    <hyperlink ref="B1487" r:id="rId2620" display="https://www.google.com/url?q=https://contest.yandex.ru/ioi/contest/566/enter/&amp;sa=D&amp;ust=1605639801976000&amp;usg=AFQjCNGh2U29CyYBc4i1OLb_YWWB3v6QrQ" xr:uid="{BAA471F1-B8C8-4FB3-ADD8-7FB52D2A33B0}"/>
    <hyperlink ref="F1487" r:id="rId2621" display="https://www.google.com/url?q=https://github.com/mostafa-saad/MyCompetitiveProgramming/blob/master/Olympiad/IOI/IOI-05-rivers.txt&amp;sa=D&amp;ust=1605639801976000&amp;usg=AFQjCNHlqT051yvFtlOUZPMaFHl4Lrkr_g" xr:uid="{02230724-D8B8-4C68-A020-6AF5B440A8D4}"/>
    <hyperlink ref="B1488" r:id="rId2622" display="https://www.google.com/url?q=https://www.infoarena.ro/problema/tricolor&amp;sa=D&amp;ust=1605639801976000&amp;usg=AFQjCNGKqf4ZXuUFpRqDML8qhkjzVAs5sg" xr:uid="{C5764A19-1B66-4632-98AC-595FDBF7E3F0}"/>
    <hyperlink ref="F1488" r:id="rId2623" display="https://www.google.com/url?q=https://github.com/mostafa-saad/MyCompetitiveProgramming/blob/master/Olympiad/infoarena/Infoarena_tricolor.txt&amp;sa=D&amp;ust=1605639801977000&amp;usg=AFQjCNGpKzM2zX-ERNg_sKFeqqGsEWL4uQ" xr:uid="{4369EFC6-95A2-469D-BECD-AB3194E958AB}"/>
    <hyperlink ref="B1489" r:id="rId2624" display="https://www.google.com/url?q=https://infoarena.ro/problema/radare&amp;sa=D&amp;ust=1605639801977000&amp;usg=AFQjCNHUv400LLJLSiQjhAfLOVTTWsr6KQ" xr:uid="{B02E5B4D-18E6-44A2-AC66-91E4EE32DB82}"/>
    <hyperlink ref="F1489" r:id="rId2625" display="https://www.google.com/url?q=https://github.com/mostafa-saad/MyCompetitiveProgramming/blob/master/Olympiad/infoarena/infoarena-radare.txt&amp;sa=D&amp;ust=1605639801977000&amp;usg=AFQjCNE2X3XJifa8J73U33-QUhr3YmSZUg" xr:uid="{6C43F244-7444-43E1-8E3C-7DE1DE30D8FB}"/>
    <hyperlink ref="B1490" r:id="rId2626" display="https://www.google.com/url?q=https://oj.uz/problem/view/CEOI17_museum&amp;sa=D&amp;ust=1605639801978000&amp;usg=AFQjCNFcjzIblkIGzsIIAQ2Ba2Uz3SpEXg" xr:uid="{C716BD6F-66AA-459F-B455-0ACCF57E4149}"/>
    <hyperlink ref="F1490" r:id="rId2627" display="https://www.google.com/url?q=https://github.com/mostafa-saad/MyCompetitiveProgramming/blob/master/Olympiad/CEOI/CEOIPractice_17-Museum.txt&amp;sa=D&amp;ust=1605639801978000&amp;usg=AFQjCNH-wuCGhBL_BEam5IePTll-cXbh1w" xr:uid="{654C4AAA-0015-4C10-BA3E-15F472FFF0D2}"/>
    <hyperlink ref="B1491" r:id="rId2628" display="https://www.google.com/url?q=https://infoarena.ro/problema/arb3&amp;sa=D&amp;ust=1605639801978000&amp;usg=AFQjCNHREy1BReyS3RAQK2C7ZzC3Lu7VdQ" xr:uid="{F69DED5B-D106-448B-AD55-233B9B911879}"/>
    <hyperlink ref="F1491" r:id="rId2629" display="https://www.google.com/url?q=https://github.com/mostafa-saad/MyCompetitiveProgramming/blob/master/Olympiad/infoarena/infoarena-arb3.txt&amp;sa=D&amp;ust=1605639801979000&amp;usg=AFQjCNG4THsijIAW6PoyHuqPrtoKmpJczg" xr:uid="{4AEB1EB9-555D-478C-A2B6-C875A2491B7D}"/>
    <hyperlink ref="B1492" r:id="rId2630" display="https://www.google.com/url?q=https://csacademy.com/contest/ceoi-2017-day-2/&amp;sa=D&amp;ust=1605639801979000&amp;usg=AFQjCNGC2imZCnCuR1lyKFQe4MESqxaBUQ" xr:uid="{ED50E7B5-38C8-4368-B1BB-5402B294480D}"/>
    <hyperlink ref="F1492" r:id="rId2631" display="https://www.google.com/url?q=https://github.com/samyravitoria/olympics-problems/blob/master/CEOI/2017/chase.cpp&amp;sa=D&amp;ust=1605639801979000&amp;usg=AFQjCNEf_ycRSxR4odmVanzU6wmtF68TEw" xr:uid="{0B044238-E85F-4768-A2FA-843B657B99B5}"/>
    <hyperlink ref="B1493" r:id="rId2632" display="https://www.google.com/url?q=https://oj.uz/problem/view/IZhO12_biochips&amp;sa=D&amp;ust=1605639801980000&amp;usg=AFQjCNE5YBhnYnmb3IdZSCgakf6TR9kBTA" xr:uid="{EA46D9BC-3AF4-419A-BFA0-079DE1EE08D0}"/>
    <hyperlink ref="F1493" r:id="rId2633" display="https://www.google.com/url?q=https://github.com/mostafa-saad/MyCompetitiveProgramming/blob/master/Olympiad/IZhO/IZhO-12-biochips.txt&amp;sa=D&amp;ust=1605639801980000&amp;usg=AFQjCNFoD8cYlgTazDzEaP8OnU3HPFmhqw" xr:uid="{DEA49E82-8A7D-4C77-8EBC-16D547123500}"/>
    <hyperlink ref="B1494" r:id="rId2634" display="https://www.google.com/url?q=https://oj.uz/problem/view/COCI18_dostavljac&amp;sa=D&amp;ust=1605639801981000&amp;usg=AFQjCNGXwzqh-7ArxlHdSMQ8tClvAIlfiw" xr:uid="{E4EC4E38-28E9-4ACA-97A4-34662A4C2FF8}"/>
    <hyperlink ref="F1494" r:id="rId2635" display="https://www.google.com/url?q=https://github.com/luciocf/OI-Problems/blob/master/COCI/COCI%25202017-2018/dostavljac.cpp&amp;sa=D&amp;ust=1605639801981000&amp;usg=AFQjCNGN-rVIvHH4dH_g_3DtPVZlnBUbDw" xr:uid="{66D571B9-0E48-4EAF-A617-9C190D997E7D}"/>
    <hyperlink ref="B1495" r:id="rId2636" display="https://www.google.com/url?q=https://infoarena.ro/problema/plimbare3&amp;sa=D&amp;ust=1605639801981000&amp;usg=AFQjCNEbOstsY3KcCSDBh_ZqtgJZxCJPrw" xr:uid="{611CE4CD-4F81-44CE-94A4-81EFE04BBD51}"/>
    <hyperlink ref="F1495" r:id="rId2637" display="https://www.google.com/url?q=https://github.com/mostafa-saad/MyCompetitiveProgramming/blob/master/Olympiad/infoarena/infoarena-plimbare3.txt&amp;sa=D&amp;ust=1605639801981000&amp;usg=AFQjCNFDyxi-9gYMo9QZ2Cu6I24fUACHbQ" xr:uid="{AF0DB66B-8C19-4336-872A-41D1F2EA5CA3}"/>
    <hyperlink ref="B1496" r:id="rId2638" display="https://www.google.com/url?q=https://dmoj.ca/problem/coci08c3p6&amp;sa=D&amp;ust=1605639801982000&amp;usg=AFQjCNH3D1vDJt0Z2CIigB0kK-_5jOkcWA" xr:uid="{EEEA1808-AB6C-4404-8B87-244FFFAA5752}"/>
    <hyperlink ref="F1496" r:id="rId2639" display="https://www.google.com/url?q=https://github.com/mostafa-saad/MyCompetitiveProgramming/blob/master/Olympiad/COCI/COCI-08-Najkraci.txt&amp;sa=D&amp;ust=1605639801982000&amp;usg=AFQjCNHbgOdwZwK0P9OyXRZC7RZfmRzNiA" xr:uid="{0E1EB2DD-2439-4201-8F30-B95724D8CA20}"/>
    <hyperlink ref="B1497" r:id="rId2640" display="https://www.google.com/url?q=https://csacademy.com/contest/balkan-oi-2017-day-2/&amp;sa=D&amp;ust=1605639801982000&amp;usg=AFQjCNFPFrU3pBq1vIxZwXhwLKyC6O_3JQ" xr:uid="{E5366683-F982-4052-AA20-DFB13F69541E}"/>
    <hyperlink ref="F1497" r:id="rId2641" display="https://www.google.com/url?q=https://github.com/mostafa-saad/MyCompetitiveProgramming/blob/master/Olympiad/Balkan/Balkan-17-CityAttractions.txt&amp;sa=D&amp;ust=1605639801984000&amp;usg=AFQjCNGNjaPpZN2HYs0TP0MuGu-10tfwfA" xr:uid="{BB191706-F133-4261-A849-2B8F3E728314}"/>
    <hyperlink ref="B1498" r:id="rId2642" display="https://www.google.com/url?q=https://oj.uz/problem/view/IOI12_tournament&amp;sa=D&amp;ust=1605639801985000&amp;usg=AFQjCNGXJagByOZ-CddfMoanhyVRUt4wIw" xr:uid="{82DA5A36-F05A-4F64-91E1-1963A9748F55}"/>
    <hyperlink ref="F1498" r:id="rId2643" display="https://www.google.com/url?q=https://github.com/mostafa-saad/MyCompetitiveProgramming/blob/master/Olympiad/IOI/IOI-12-tournament.txt&amp;sa=D&amp;ust=1605639801985000&amp;usg=AFQjCNFsdHobvSF-NXeUq_JFv_UeLEa59g" xr:uid="{572F27D5-4856-4F04-9E6A-F6A577876E53}"/>
    <hyperlink ref="B1499" r:id="rId2644" display="https://www.google.com/url?q=http://usaco.org/index.php?page%3Dviewproblem2%26cpid%3D213&amp;sa=D&amp;ust=1605639801985000&amp;usg=AFQjCNHbCBax3cf7BHtoZYt-7RipbD6kHA" xr:uid="{C7E9069E-845E-4201-86B5-6B8CB2B2ED39}"/>
    <hyperlink ref="F1499" r:id="rId2645" display="https://www.google.com/url?q=https://github.com/mostafa-saad/MyCompetitiveProgramming/blob/master/Olympiad/USACO/USACO-12dec-runaway.txt&amp;sa=D&amp;ust=1605639801986000&amp;usg=AFQjCNF6pHvqwyn4lUvmkGEoqn2n9TUV-Q" xr:uid="{79CE6FAE-FD03-499D-9567-BD32A0D9F299}"/>
    <hyperlink ref="B1500" r:id="rId2646" display="https://www.google.com/url?q=https://www.infoarena.ro/problema/arb2&amp;sa=D&amp;ust=1605639801986000&amp;usg=AFQjCNHBP9N5iQaN60-FGAXzHHH4g6IxjA" xr:uid="{609C5B4A-D6DF-40C9-949C-934EAD7E60ED}"/>
    <hyperlink ref="F1500" r:id="rId2647" display="https://www.google.com/url?q=https://github.com/stefdasca/CompetitiveProgramming/blob/master/Infoarena/arb2.cpp&amp;sa=D&amp;ust=1605639801986000&amp;usg=AFQjCNGiasu1yB9nsZ04ieEYru5zAoTRQQ" xr:uid="{77439140-2AD4-43EB-852A-54C45F40D72D}"/>
    <hyperlink ref="B1501" r:id="rId2648" display="https://www.google.com/url?q=https://www.infoarena.ro/problema/arbore7&amp;sa=D&amp;ust=1605639801987000&amp;usg=AFQjCNHlk8yiHQQ126LQxTNN1C7KXQFJ_Q" xr:uid="{65219274-FE39-43D0-9028-172F78E20EE4}"/>
    <hyperlink ref="F1501" r:id="rId2649" display="https://www.google.com/url?q=https://github.com/mostafa-saad/MyCompetitiveProgramming/blob/master/Olympiad/infoarena/infoarena-arbore7.txt&amp;sa=D&amp;ust=1605639801987000&amp;usg=AFQjCNGKdBQYLICLmdnddUxh31fXgsV85g" xr:uid="{DDAD29FA-EE48-47FE-920E-E1A6D90CE34E}"/>
    <hyperlink ref="B1502" r:id="rId2650" display="https://www.google.com/url?q=http://usaco.org/index.php?page%3Dviewproblem2%26cpid%3D195&amp;sa=D&amp;ust=1605639801987000&amp;usg=AFQjCNG0xZN7DWZcGi1ChKihOnHB9xxqJw" xr:uid="{95C7B6CB-862A-4A4D-9719-68E814CA040F}"/>
    <hyperlink ref="B1503" r:id="rId2651" display="https://www.google.com/url?q=https://infoarena.ro/problema/posta2&amp;sa=D&amp;ust=1605639801988000&amp;usg=AFQjCNFkjEopY-0Jo2_P82zJRgAXYzhKEA" xr:uid="{56E32D47-99E2-48E4-A0EC-0DD43772B025}"/>
    <hyperlink ref="F1503" r:id="rId2652" display="https://www.google.com/url?q=https://github.com/stefdasca/CompetitiveProgramming/blob/master/Infoarena/posta2.cpp&amp;sa=D&amp;ust=1605639801988000&amp;usg=AFQjCNErtjckEuKlQVC3vbwKPGHOBBCkjQ" xr:uid="{F248C884-8C5C-4D57-9084-EBA4EEEA4796}"/>
    <hyperlink ref="B1504" r:id="rId2653" display="https://www.google.com/url?q=https://szkopul.edu.pl/problemset/problem/1QaUWE_ePAmitZjgAszOVD1U/site/&amp;sa=D&amp;ust=1605639801989000&amp;usg=AFQjCNG73Ylwnn8Q07Lzwyu7k8aQYUKCOA" xr:uid="{0D78AF05-F31B-463E-B015-113DF5D1D039}"/>
    <hyperlink ref="F1504" r:id="rId2654" display="https://www.google.com/url?q=https://github.com/win11905/submission/blob/master/POI/parade.cpp&amp;sa=D&amp;ust=1605639801989000&amp;usg=AFQjCNECRx_EEWsIqw0N85FYz1vWax8v2Q" xr:uid="{F7DBAFC7-3CB2-48DF-A03F-0CD6C07E0317}"/>
    <hyperlink ref="B1505" r:id="rId2655" display="https://www.google.com/url?q=http://usaco.org/index.php?page%3Dviewproblem2%26cpid%3D814&amp;sa=D&amp;ust=1605639801989000&amp;usg=AFQjCNF9YJZ7Jv7pmAYZricQSKdmwqDPWw" xr:uid="{90AEA1D7-8D21-4716-ADB3-48E7B61CC11E}"/>
    <hyperlink ref="B1506" r:id="rId2656" display="https://www.google.com/url?q=https://oj.uz/problem/view/COI16_palinilap&amp;sa=D&amp;ust=1605639801990000&amp;usg=AFQjCNHf5tyu7vqWy3vm__xC8rsz9_ErJw" xr:uid="{41C76694-BE0E-47DE-9658-BE05A1B5F9CF}"/>
    <hyperlink ref="F1506" r:id="rId2657" display="https://www.google.com/url?q=https://github.com/mostafa-saad/MyCompetitiveProgramming/blob/master/Olympiad/COI/COI-16-palinilap.txt&amp;sa=D&amp;ust=1605639801990000&amp;usg=AFQjCNEn6GvOim5y0Jzo40Jf2zUYYLgvZw" xr:uid="{5C466577-FDAB-49A9-B517-7CF79FB40403}"/>
    <hyperlink ref="B1507" r:id="rId2658" display="https://www.google.com/url?q=https://oj.uz/problem/view/BOI19_necklace1&amp;sa=D&amp;ust=1605639801991000&amp;usg=AFQjCNE7Yds_0R1gfLkP8d6FYC8YDdHeww" xr:uid="{EB2DBA94-EAC2-4A76-9518-83A73FBE681B}"/>
    <hyperlink ref="F1507" r:id="rId2659" display="https://www.google.com/url?q=https://github.com/mostafa-saad/MyCompetitiveProgramming/blob/master/Olympiad/Baltic/Baltic-19-necklace1.txt&amp;sa=D&amp;ust=1605639801991000&amp;usg=AFQjCNEjL0EJWxC7un0gezymWh8CoDXg8w" xr:uid="{AA0C1A45-0742-4B7A-BDDC-FF074C4C23F1}"/>
    <hyperlink ref="B1508" r:id="rId2660" display="https://www.google.com/url?q=https://oj.uz/problem/view/COCI17_osmosmjerka&amp;sa=D&amp;ust=1605639801991000&amp;usg=AFQjCNHCYMupdozfS5J_ZM8gWJzUkujRhw" xr:uid="{2C329F08-409F-4FDB-9D7C-4EF501B35A28}"/>
    <hyperlink ref="F1508" r:id="rId2661" display="https://www.google.com/url?q=https://github.com/mostafa-saad/MyCompetitiveProgramming/blob/master/Olympiad/COCI/COCI-17-osmosmjerka.txt&amp;sa=D&amp;ust=1605639801992000&amp;usg=AFQjCNFgUWIK_e7HJwGJlP9gnZ4BmcEyHQ" xr:uid="{09E29242-8A52-402E-9D60-D76097F9CF73}"/>
    <hyperlink ref="B1509" r:id="rId2662" display="https://www.google.com/url?q=https://contest.yandex.ru/ioi/contest/558/problems/B/&amp;sa=D&amp;ust=1605639801992000&amp;usg=AFQjCNGI1toDLRhR2-Uj98FhYaP7fO1sNw" xr:uid="{6B7043AC-BB50-45F1-9D48-0E96ED3E4844}"/>
    <hyperlink ref="F1509" r:id="rId2663" display="https://www.google.com/url?q=https://github.com/mostafa-saad/MyCompetitiveProgramming/blob/master/Olympiad/IOI/IOI-03-code.txt&amp;sa=D&amp;ust=1605639801992000&amp;usg=AFQjCNHxdUdHkq2ZORnyl7UaE_E_pWHg1Q" xr:uid="{1A9DF6E6-DF05-46BD-9087-122D80E566FF}"/>
    <hyperlink ref="B1510" r:id="rId2664" display="https://www.google.com/url?q=https://www.infoarena.ro/problema/sabin&amp;sa=D&amp;ust=1605639801993000&amp;usg=AFQjCNFfyD0WlVkb_5q30B4Tznfub691yw" xr:uid="{222C7D57-DDBC-404A-811B-1608785FAD23}"/>
    <hyperlink ref="F1510" r:id="rId2665" display="https://www.google.com/url?q=https://github.com/mostafa-saad/MyCompetitiveProgramming/blob/master/Olympiad/infoarena/infoarena_sabin.txt&amp;sa=D&amp;ust=1605639801993000&amp;usg=AFQjCNHFwEdlXpZgG334Sb3XmDbNQg-HXw" xr:uid="{C1ACC3EE-CB39-4D25-A8FD-11B10A335505}"/>
    <hyperlink ref="B1511" r:id="rId2666" display="https://www.google.com/url?q=https://dmoj.ca/problem/coci06c1p6&amp;sa=D&amp;ust=1605639801993000&amp;usg=AFQjCNHXEHk6h16M2zee3qSXzEUhgFqxlQ" xr:uid="{055716AE-2C32-40FA-8BB7-B2A7D073B86E}"/>
    <hyperlink ref="F1511" r:id="rId2667" display="https://www.google.com/url?q=https://github.com/mostafa-saad/MyCompetitiveProgramming/blob/master/Olympiad/COCI/COCI-06-Debug.txt&amp;sa=D&amp;ust=1605639801994000&amp;usg=AFQjCNEE38EaOSW22GWCub5r_yctbTIMpw" xr:uid="{5492A822-8FA2-41D3-90CF-EA72F9ED2614}"/>
    <hyperlink ref="B1512" r:id="rId2668" display="https://www.google.com/url?q=https://dmoj.ca/problem/coci06c5p6&amp;sa=D&amp;ust=1605639801994000&amp;usg=AFQjCNF8sqL2dZm6gw6RSxyvbKYXVxEEXQ" xr:uid="{ADFC900E-0CBE-407D-9BED-60811E8F32C0}"/>
    <hyperlink ref="F1512" r:id="rId2669" display="https://www.google.com/url?q=https://github.com/mostafa-saad/MyCompetitiveProgramming/blob/master/Olympiad/COCI/COCI-06-Dvaput.txt&amp;sa=D&amp;ust=1605639801994000&amp;usg=AFQjCNEBIyPQMVyJMOlaa39QRcSmV_yGJw" xr:uid="{1C18FE78-3F67-443B-A0E6-B2B3185DD939}"/>
    <hyperlink ref="B1513" r:id="rId2670" display="https://www.google.com/url?q=https://dunjudge.me/analysis/problems/725/&amp;sa=D&amp;ust=1605639801995000&amp;usg=AFQjCNG7Iv_Mm_CaeY8au6FILxvf8FPaYQ" xr:uid="{D960809A-39DF-4BDB-9DD3-9D41E365A69D}"/>
    <hyperlink ref="F1513" r:id="rId2671" display="https://www.google.com/url?q=https://github.com/mostafa-saad/MyCompetitiveProgramming/tree/master/Olympiad/MCO/official/2015&amp;sa=D&amp;ust=1605639801995000&amp;usg=AFQjCNFozj4FxaoWT__aaTYBjXjggQ7imQ" xr:uid="{3FDCDB8E-E286-408E-99DC-F149CB0130EF}"/>
    <hyperlink ref="B1514" r:id="rId2672" display="https://www.google.com/url?q=https://szkopul.edu.pl/problemset/problem/9JvSAnyf5d1FlPAEXEdUAtCz/site/&amp;sa=D&amp;ust=1605639801996000&amp;usg=AFQjCNEm2xuJ-z8c_547xAiSBE8XreGKbg" xr:uid="{FFB0A7DD-E8E6-4CC3-8AD0-E630EF557766}"/>
    <hyperlink ref="F1514" r:id="rId2673" display="https://www.google.com/url?q=https://github.com/tmwilliamlin168/CompetitiveProgramming/blob/master/POI/25-Polynomial.cpp&amp;sa=D&amp;ust=1605639802000000&amp;usg=AFQjCNEBCzMV6JtuNy6o_xWxeoQygqQQIQ" xr:uid="{E63B4BAA-43E1-4F2E-A658-E246C8F87111}"/>
    <hyperlink ref="B1515" r:id="rId2674" display="https://www.google.com/url?q=https://tioj.ck.tp.edu.tw/problems/1750&amp;sa=D&amp;ust=1605639802000000&amp;usg=AFQjCNGsNprbs3w8Hu7wXyXuzVHb7byESA" xr:uid="{CF4ED441-FDB1-4CD3-9248-E5D0F2591066}"/>
    <hyperlink ref="B1516" r:id="rId2675" display="https://www.google.com/url?q=https://dunjudge.me/analysis/problems/437/&amp;sa=D&amp;ust=1605639802001000&amp;usg=AFQjCNHXDhv3F5w1okoeAJxMXEWNunRPiQ" xr:uid="{658EBA16-1622-40BD-962E-B1401565BA7E}"/>
    <hyperlink ref="B1517" r:id="rId2676" display="https://www.google.com/url?q=https://www.acmicpc.net/problem/2336&amp;sa=D&amp;ust=1605639802001000&amp;usg=AFQjCNFlEKzn669NE5M6zwez3JhonIoYwg" xr:uid="{25600D72-57E1-466D-86AE-E1E8162DD2DB}"/>
    <hyperlink ref="B1518" r:id="rId2677" display="https://www.google.com/url?q=https://www.acmicpc.net/problem/2192&amp;sa=D&amp;ust=1605639802002000&amp;usg=AFQjCNEzUf5kL_a_4VEgfhVJ3hM5WsG46g" xr:uid="{F8683306-2BBA-4460-9789-3E6623B76D5C}"/>
    <hyperlink ref="B1519" r:id="rId2678" display="https://www.google.com/url?q=https://www.acmicpc.net/problem/7085&amp;sa=D&amp;ust=1605639802002000&amp;usg=AFQjCNEmHsiDVpGZ_gIJ6TBSdQve5OmWDA" xr:uid="{09A27EB0-F4E9-42FD-ACBD-8C3BA7C55543}"/>
    <hyperlink ref="B1520" r:id="rId2679" display="https://www.google.com/url?q=https://www.acmicpc.net/problem/7083&amp;sa=D&amp;ust=1605639802002000&amp;usg=AFQjCNF8reArk4DWz3CECIy-EWrAzFa7KQ" xr:uid="{F6437CC2-97A7-4522-8186-7C18AEC809C9}"/>
    <hyperlink ref="B1521" r:id="rId2680" display="https://www.google.com/url?q=https://www.acmicpc.net/problem/7084&amp;sa=D&amp;ust=1605639802003000&amp;usg=AFQjCNEQQfXr_Uis6hK_kgKgLrl1hEJHeA" xr:uid="{1C9C036B-623F-451D-AF49-52D5043E7F69}"/>
    <hyperlink ref="B1522" r:id="rId2681" display="https://www.google.com/url?q=https://www.acmicpc.net/problem/7087&amp;sa=D&amp;ust=1605639802003000&amp;usg=AFQjCNHQCIjR5p90yqy77bBHJevWwp3npQ" xr:uid="{BD58509B-6794-4F04-B65E-499B63CA713E}"/>
    <hyperlink ref="B1523" r:id="rId2682" display="https://www.google.com/url?q=https://www.acmicpc.net/problem/7088&amp;sa=D&amp;ust=1605639802004000&amp;usg=AFQjCNGPm3TYj-guXfDFjA6fgquGBgzCHQ" xr:uid="{C9FB39C4-B0B8-46D4-87D1-F0C6BB855B59}"/>
    <hyperlink ref="B1524" r:id="rId2683" display="https://www.google.com/url?q=https://www.acmicpc.net/problem/7080&amp;sa=D&amp;ust=1605639802004000&amp;usg=AFQjCNEGt8-EX3IIb7nTMG4M7FSbWWTRHQ" xr:uid="{66B4754E-A8CF-4C42-81A7-F8280A2A3886}"/>
    <hyperlink ref="B1525" r:id="rId2684" display="https://www.google.com/url?q=https://www.acmicpc.net/problem/7082&amp;sa=D&amp;ust=1605639802004000&amp;usg=AFQjCNF-ID4t_865WIZSdNhWd6mN4vMwEQ" xr:uid="{FD9C6CB8-32D3-471E-920F-CB4577722F4C}"/>
    <hyperlink ref="B1526" r:id="rId2685" display="https://www.google.com/url?q=https://www.acmicpc.net/problem/5249&amp;sa=D&amp;ust=1605639802005000&amp;usg=AFQjCNEa9oo2jf3b_UhCWFsUnrh32B-EjQ" xr:uid="{802F7013-7AD6-417B-8D2D-AB5566B408E3}"/>
    <hyperlink ref="B1527" r:id="rId2686" display="https://www.google.com/url?q=https://www.acmicpc.net/problem/11782&amp;sa=D&amp;ust=1605639802005000&amp;usg=AFQjCNEU6xHSpeDG0jhCGwEqWNaksWl7JQ" xr:uid="{0E615192-2A68-4B17-938F-340A11DEAB0B}"/>
    <hyperlink ref="B1528" r:id="rId2687" display="https://www.google.com/url?q=https://www.hackerrank.com/contests/boi-2016/challenges&amp;sa=D&amp;ust=1605639802006000&amp;usg=AFQjCNEPocJiaNSaJ8DpD1Ekoo69bh_9uQ" xr:uid="{88F5A134-5E6E-4C91-A2A4-80ACF5F5F986}"/>
    <hyperlink ref="B1529" r:id="rId2688" display="https://www.google.com/url?q=https://cses.fi/110/list/&amp;sa=D&amp;ust=1605639802007000&amp;usg=AFQjCNEuxHTNyXrsGQSZAJTAwFb9UwBq4A" xr:uid="{E32F6768-9981-4912-BF5F-EAC38B75D780}"/>
    <hyperlink ref="B1530" r:id="rId2689" display="https://www.google.com/url?q=https://cses.fi/109/list/&amp;sa=D&amp;ust=1605639802007000&amp;usg=AFQjCNF3IyPAGsnq_gbs1-OdfJ_YB9KGug" xr:uid="{5AC6C3DC-9F72-4B94-8E4B-D2837B3DCE48}"/>
    <hyperlink ref="B1531" r:id="rId2690" display="https://www.google.com/url?q=https://cses.fi/99/list/&amp;sa=D&amp;ust=1605639802007000&amp;usg=AFQjCNEXaj-UNV0OxGC82bfdgbwA7W_XZg" xr:uid="{1E4C122E-A91D-478F-954F-2C0E9356996E}"/>
    <hyperlink ref="B1532" r:id="rId2691" display="https://www.google.com/url?q=https://open.kattis.com/problem-sources/Baltic%2520Olympiad%2520in%2520Informatics%25202017%252C%2520Warmup&amp;sa=D&amp;ust=1605639802008000&amp;usg=AFQjCNEzWPLfiKRDYPDPr6w2Alm1xb2M9w" xr:uid="{8A083955-6833-428F-8867-7DE43F104EC3}"/>
    <hyperlink ref="B1533" r:id="rId2692" display="https://www.google.com/url?q=https://open.kattis.com/problem-sources/Baltic%2520Olympiad%2520in%2520Informatics%25202017%252C%2520Warmup&amp;sa=D&amp;ust=1605639802008000&amp;usg=AFQjCNEzWPLfiKRDYPDPr6w2Alm1xb2M9w" xr:uid="{3C14CD21-80AA-455F-856A-C6747A1AB013}"/>
    <hyperlink ref="B1534" r:id="rId2693" display="https://www.google.com/url?q=https://dmoj.ca/problem/cco07p1&amp;sa=D&amp;ust=1605639802009000&amp;usg=AFQjCNEsl3e4Xo08WnHEhcl7XmWzXwgczg" xr:uid="{A25AE404-91E5-49FB-8D6B-72BDF23F36B4}"/>
    <hyperlink ref="B1535" r:id="rId2694" display="https://www.google.com/url?q=https://dmoj.ca/problem/cco08p5&amp;sa=D&amp;ust=1605639802009000&amp;usg=AFQjCNHFcTFvvlYgLw_LoSmJfn7eRsC9dQ" xr:uid="{8D7EC273-C1DE-445B-8107-30E0FF50490C}"/>
    <hyperlink ref="B1536" r:id="rId2695" display="https://www.google.com/url?q=https://dmoj.ca/contest/cco18d2&amp;sa=D&amp;ust=1605639802010000&amp;usg=AFQjCNGcBOmMSA6HSVN6IBl3Po3eTut_Cw" xr:uid="{6C4AFA6E-2B89-4DFA-9EE4-568AFE8046C5}"/>
    <hyperlink ref="B1537" r:id="rId2696" display="https://www.google.com/url?q=https://dmoj.ca/contest/cco18d1&amp;sa=D&amp;ust=1605639802010000&amp;usg=AFQjCNESiGM22B7sNs4SLrW9HRVEXIiL5A" xr:uid="{B0039CBC-2EDF-40ED-A762-B1CB05F80DC9}"/>
    <hyperlink ref="B1538" r:id="rId2697" display="https://www.google.com/url?q=https://www.acmicpc.net/problem/1760&amp;sa=D&amp;ust=1605639802064000&amp;usg=AFQjCNEKKN9xkgpgTjBZ3ZffheP1zPkP2w" xr:uid="{9505DA3F-65FE-48CC-A0B1-BFC73401C99E}"/>
    <hyperlink ref="B1539" r:id="rId2698" display="https://www.google.com/url?q=https://cses.fi/188/list/&amp;sa=D&amp;ust=1605639802065000&amp;usg=AFQjCNFtoOW1zIg52xmVAimmVodnBhM3Rg" xr:uid="{2AC1344E-442E-4036-B081-7FC68A8E8DF0}"/>
    <hyperlink ref="B1540" r:id="rId2699" display="https://www.google.com/url?q=https://cses.fi/187/list/&amp;sa=D&amp;ust=1605639802065000&amp;usg=AFQjCNFHB3lCuuTyQXVFm4uzLwHMpjqdtQ" xr:uid="{1F06A641-8255-4167-9AD9-66591414ACA2}"/>
    <hyperlink ref="B1541" r:id="rId2700" display="https://www.google.com/url?q=https://cses.fi/188/list/&amp;sa=D&amp;ust=1605639802066000&amp;usg=AFQjCNGEr5pDPAJQpISusOKFX5ckBkGFLg" xr:uid="{8BAFE686-E9F2-450B-838C-B89DA9DFF736}"/>
    <hyperlink ref="B1542" r:id="rId2701" display="https://www.google.com/url?q=https://cses.fi/187/list/&amp;sa=D&amp;ust=1605639802066000&amp;usg=AFQjCNFNiiKw8h1f0uXN3dHMetPBEPB9rg" xr:uid="{C28FB5C9-8225-430D-B145-C7977E20C547}"/>
    <hyperlink ref="B1543" r:id="rId2702" display="https://www.google.com/url?q=https://cses.fi/188/list/&amp;sa=D&amp;ust=1605639802066000&amp;usg=AFQjCNGEr5pDPAJQpISusOKFX5ckBkGFLg" xr:uid="{1BC48DAC-E0F7-443D-9059-C70554120731}"/>
    <hyperlink ref="B1544" r:id="rId2703" display="https://www.google.com/url?q=https://szkopul.edu.pl/problemset/problem/4Pgr_vmxb_fPeFSn1NTJPqQa/site/&amp;sa=D&amp;ust=1605639802067000&amp;usg=AFQjCNGs0J6yhQRB4tj-BRgFGob0PqjuZg" xr:uid="{7D91959B-D53B-452A-8286-BFE69AEDF5CF}"/>
    <hyperlink ref="B1545" r:id="rId2704" display="https://www.google.com/url?q=https://szkopul.edu.pl/problemset/problem/-e02GdqRC4OgV8Hjb852pqQ9/site/&amp;sa=D&amp;ust=1605639802067000&amp;usg=AFQjCNFApqT2GS4LvVBblfJHaFVqFuNXRg" xr:uid="{F8283736-812C-4C5D-B36B-A8346B8270E4}"/>
    <hyperlink ref="B1546" r:id="rId2705" display="https://www.google.com/url?q=https://cses.fi/197/list/&amp;sa=D&amp;ust=1605639802067000&amp;usg=AFQjCNEdFfm39I8xWw_oZi6NBDftF_4R5g" xr:uid="{90169B71-302F-4287-908A-EFE052D65326}"/>
    <hyperlink ref="B1547" r:id="rId2706" display="https://www.google.com/url?q=https://szkopul.edu.pl/problemset/problem/M09kYLBv3P6homsLzx_fmpgn/site/&amp;sa=D&amp;ust=1605639802068000&amp;usg=AFQjCNEaLq_sxNSRJrsS8NCgfSwzyrQ5Qg" xr:uid="{0B307195-EC05-4AE6-BE85-4D76CAD9A6E1}"/>
    <hyperlink ref="B1548" r:id="rId2707" display="https://www.google.com/url?q=https://codeforces.com/contest/1193&amp;sa=D&amp;ust=1605639802068000&amp;usg=AFQjCNGLOVBDnlisTuvhdiHFR26kRI7xAQ" xr:uid="{9D96166C-6572-42CB-B83E-41834B9FCDB0}"/>
    <hyperlink ref="F1548" r:id="rId2708" display="https://www.google.com/url?q=https://codeforces.com/blog/entry/68748&amp;sa=D&amp;ust=1605639802075000&amp;usg=AFQjCNGDZkqsWHMU0tVHxdJXT5YTYFs8Ww" xr:uid="{3785D791-83A9-433A-926D-80126A4348C6}"/>
    <hyperlink ref="B1549" r:id="rId2709" display="https://www.google.com/url?q=https://wcipeg.com/problem/coci067p1&amp;sa=D&amp;ust=1605639802075000&amp;usg=AFQjCNF1SKgmRJtvIPndI46PKZkKaKfw-Q" xr:uid="{05909D9F-6D99-49AE-8C23-9CAA9833F302}"/>
    <hyperlink ref="F1549" r:id="rId2710" display="https://www.google.com/url?q=https://github.com/mostafa-saad/MyCompetitiveProgramming/tree/master/Olympiad/COCI/official/2007/regional_solutions&amp;sa=D&amp;ust=1605639802075000&amp;usg=AFQjCNHiwUh7VVnE8S035c_nVQVkp_eWfA" xr:uid="{5A8C14E1-C936-40E6-872A-3A03B16779CF}"/>
    <hyperlink ref="B1550" r:id="rId2711" display="https://www.google.com/url?q=https://wcipeg.com/problem/coci065p4&amp;sa=D&amp;ust=1605639802075000&amp;usg=AFQjCNFl6zbgE_r1tI0TDCfVGkSQ1ZatFw" xr:uid="{E6F5DEFF-E02C-4A3E-A9B0-498316323DBF}"/>
    <hyperlink ref="F1550" r:id="rId2712" display="https://www.google.com/url?q=https://github.com/mostafa-saad/MyCompetitiveProgramming/tree/master/Olympiad/COCI/official/2007/contest5_solutions&amp;sa=D&amp;ust=1605639802075000&amp;usg=AFQjCNFxZC9A88SFe_TWB2Gu3m92ngnuCg" xr:uid="{3FAD2488-C95E-4766-AF16-FDA7939C431C}"/>
    <hyperlink ref="B1551" r:id="rId2713" display="https://www.google.com/url?q=https://dmoj.ca/problem/coci06c6p3&amp;sa=D&amp;ust=1605639802076000&amp;usg=AFQjCNHrd51ix9OzbagbduBQT7jKyCkVdw" xr:uid="{D53F312B-2FC0-4B77-B3B6-F281B0E81B4F}"/>
    <hyperlink ref="F1551" r:id="rId2714" display="https://www.google.com/url?q=https://github.com/mostafa-saad/MyCompetitiveProgramming/tree/master/Olympiad/COCI/official/2007/contest6_solutions&amp;sa=D&amp;ust=1605639802076000&amp;usg=AFQjCNGedWBzxuTwLvIUm_XXuCOEZeQeFQ" xr:uid="{9D9A1772-BD54-46DE-BB64-869D46C677A2}"/>
    <hyperlink ref="B1552" r:id="rId2715" display="https://www.google.com/url?q=https://dmoj.ca/problem/coci06c1p3&amp;sa=D&amp;ust=1605639802076000&amp;usg=AFQjCNHgWojZ92gOu4RloeBqMKLLxs5Ivw" xr:uid="{3DC2969E-B934-4FB0-9626-8253F8D2E3F9}"/>
    <hyperlink ref="F1552" r:id="rId2716" display="https://www.google.com/url?q=https://github.com/mostafa-saad/MyCompetitiveProgramming/tree/master/Olympiad/COCI/official/2007/contest1_solutions&amp;sa=D&amp;ust=1605639802076000&amp;usg=AFQjCNEnxZsfxv_s3S75Vddm_FHsC1KkaQ" xr:uid="{20CE66FE-BE7F-481A-943C-27382CBF8CB6}"/>
    <hyperlink ref="B1553" r:id="rId2717" display="https://www.google.com/url?q=https://dmoj.ca/problem/coci06c3p1&amp;sa=D&amp;ust=1605639802076000&amp;usg=AFQjCNGa5r3KnM-UV1VKt94YGIP0ifjk0g" xr:uid="{DBCDC4A2-B5AC-4215-AE57-918E62404E4A}"/>
    <hyperlink ref="F1553" r:id="rId2718" display="https://www.google.com/url?q=https://github.com/mostafa-saad/MyCompetitiveProgramming/tree/master/Olympiad/COCI/official/2007/contest3_solutions&amp;sa=D&amp;ust=1605639802076000&amp;usg=AFQjCNEDcJsxjqrTTQo4JHHzlF5xKVpvrA" xr:uid="{24A4C0CF-E194-4FAF-944C-541ACEA63615}"/>
    <hyperlink ref="B1554" r:id="rId2719" display="https://www.google.com/url?q=https://dmoj.ca/problem/coci06c6p1&amp;sa=D&amp;ust=1605639802077000&amp;usg=AFQjCNGOrg9sIQ4Or-UgAfBeg31u5BioMA" xr:uid="{C807AC0B-2537-4488-8A39-8DE1916F7309}"/>
    <hyperlink ref="F1554" r:id="rId2720" display="https://www.google.com/url?q=https://github.com/mostafa-saad/MyCompetitiveProgramming/tree/master/Olympiad/COCI/official/2007/contest6_solutions&amp;sa=D&amp;ust=1605639802077000&amp;usg=AFQjCNHVAe913Ykrs7bOtVNCuuoeDF6MtQ" xr:uid="{5F72D288-B42A-44F2-A715-BE80507B7FE7}"/>
    <hyperlink ref="B1555" r:id="rId2721" display="https://www.google.com/url?q=https://dmoj.ca/problem/coci06c4p1&amp;sa=D&amp;ust=1605639802077000&amp;usg=AFQjCNFE2XrfVcK6tE_J2m1_ptMKgwG-4Q" xr:uid="{8717015C-CB60-485F-8E32-B56A1BD4D444}"/>
    <hyperlink ref="F1555" r:id="rId2722" display="https://www.google.com/url?q=https://github.com/mostafa-saad/MyCompetitiveProgramming/tree/master/Olympiad/COCI/official/2007/contest4_solutions&amp;sa=D&amp;ust=1605639802077000&amp;usg=AFQjCNFqeg6z1yhLmyhEHt6wwQooWg8-VA" xr:uid="{47664F20-A768-42C2-968F-EE53599F9C56}"/>
    <hyperlink ref="B1556" r:id="rId2723" display="https://www.google.com/url?q=https://dmoj.ca/problem/coci06c2p4&amp;sa=D&amp;ust=1605639802083000&amp;usg=AFQjCNE4csH34gKoH3lR1PzINMfdNiIF8Q" xr:uid="{CB562C99-17D9-4F3C-BAA9-C470B845FBFA}"/>
    <hyperlink ref="F1556" r:id="rId2724" display="https://www.google.com/url?q=https://github.com/mostafa-saad/MyCompetitiveProgramming/tree/master/Olympiad/COCI/official/2007/contest2_solutions&amp;sa=D&amp;ust=1605639802083000&amp;usg=AFQjCNHHI6umj5YslfYL4sIOYioP9kpjLg" xr:uid="{E45D8F87-91AD-4484-8D57-5159F30495C3}"/>
    <hyperlink ref="B1557" r:id="rId2725" display="https://www.google.com/url?q=https://dmoj.ca/problem/coci06c5p3&amp;sa=D&amp;ust=1605639802083000&amp;usg=AFQjCNE9frlZDGRArCsvp-jAAWBooeZTkA" xr:uid="{3E36FDA4-1B43-4787-8E80-8C4A556F3B91}"/>
    <hyperlink ref="F1557" r:id="rId2726" display="https://www.google.com/url?q=https://github.com/mostafa-saad/MyCompetitiveProgramming/tree/master/Olympiad/COCI/official/2007/contest5_solutions&amp;sa=D&amp;ust=1605639802083000&amp;usg=AFQjCNEJYWW8ciUSWHs2fwDkwht87Mnu2w" xr:uid="{387497B1-2EA9-41D2-8A1E-6EE5736F137F}"/>
    <hyperlink ref="B1558" r:id="rId2727" display="https://www.google.com/url?q=https://dmoj.ca/problem/coci06c5p1&amp;sa=D&amp;ust=1605639802085000&amp;usg=AFQjCNGY9PVri8CI65g5s5iUgP3617Vycw" xr:uid="{E6F24145-3C3E-44B3-9300-5D1261A964DB}"/>
    <hyperlink ref="F1558" r:id="rId2728" display="https://www.google.com/url?q=https://github.com/mostafa-saad/MyCompetitiveProgramming/tree/master/Olympiad/COCI/official/2007/contest5_solutions&amp;sa=D&amp;ust=1605639802085000&amp;usg=AFQjCNH0HG1Sl-fBtvsp1Tjar5ZGfmg0uQ" xr:uid="{5A82925F-36E9-4162-84C2-5A53A49B9A5E}"/>
    <hyperlink ref="B1559" r:id="rId2729" display="https://www.google.com/url?q=https://dmoj.ca/problem/coci07c3p1&amp;sa=D&amp;ust=1605639802086000&amp;usg=AFQjCNEanF5FFA8-64deyk1j0dXwMw4v0A" xr:uid="{8D81AC2A-77B5-4E51-96F5-C5C8BA7D1ECF}"/>
    <hyperlink ref="F1559" r:id="rId2730" display="https://www.google.com/url?q=https://github.com/mostafa-saad/MyCompetitiveProgramming/tree/master/Olympiad/COCI/official/2008/contest3_solutions&amp;sa=D&amp;ust=1605639802086000&amp;usg=AFQjCNF-v2nz89gdeU1G_NR4gg7XTWbw6Q" xr:uid="{59898080-E543-4F93-8DD8-9F396DE9A21B}"/>
    <hyperlink ref="B1560" r:id="rId2731" display="https://www.google.com/url?q=https://dmoj.ca/problem/coci07c1p1&amp;sa=D&amp;ust=1605639802086000&amp;usg=AFQjCNHHKvF5EOt2V0iPAzttn4rhFfSCPw" xr:uid="{E10292BE-0F68-400C-A695-E37D831618BD}"/>
    <hyperlink ref="F1560" r:id="rId2732" display="https://www.google.com/url?q=https://github.com/mostafa-saad/MyCompetitiveProgramming/tree/master/Olympiad/COCI/official/2008/contest1_solutions&amp;sa=D&amp;ust=1605639802086000&amp;usg=AFQjCNEk00KdJmGopSY_pGJhFtEq56xpjw" xr:uid="{D717B4E5-35C1-4FE7-B12B-0C1D5F10D10C}"/>
    <hyperlink ref="B1561" r:id="rId2733" display="https://www.google.com/url?q=https://dmoj.ca/problem/coci07c2p2&amp;sa=D&amp;ust=1605639802087000&amp;usg=AFQjCNEQCBT28cXop_Stq4dDwVjReinxBg" xr:uid="{96CDCF5B-0E53-4B41-BFDB-454B305859AE}"/>
    <hyperlink ref="F1561" r:id="rId2734" display="https://www.google.com/url?q=https://github.com/mostafa-saad/MyCompetitiveProgramming/tree/master/Olympiad/COCI/official/2008/contest2_solutions&amp;sa=D&amp;ust=1605639802087000&amp;usg=AFQjCNGsiO957FygpFSiuF0jdOnTK8gJiA" xr:uid="{7C3CD6E2-093E-415B-9780-400BAF8DE503}"/>
    <hyperlink ref="B1562" r:id="rId2735" display="https://www.google.com/url?q=https://dmoj.ca/problem/crci07p2&amp;sa=D&amp;ust=1605639802087000&amp;usg=AFQjCNFaO4_Dn8iHQSHGMwptGtI0O0b1Ew" xr:uid="{C1273D05-DEA3-4DD1-ABB5-F3FE8A9A5F11}"/>
    <hyperlink ref="F1562" r:id="rId2736" display="https://www.google.com/url?q=https://github.com/mostafa-saad/MyCompetitiveProgramming/tree/master/Olympiad/COCI/official/2008/regional_solutions&amp;sa=D&amp;ust=1605639802087000&amp;usg=AFQjCNHMZaAkqxBZRf7wCBaPcZX-vN8RJQ" xr:uid="{802ED750-AB25-4AB8-87F2-66F604BDA5CD}"/>
    <hyperlink ref="B1563" r:id="rId2737" display="https://www.google.com/url?q=https://dmoj.ca/problem/coci07c3p2&amp;sa=D&amp;ust=1605639802088000&amp;usg=AFQjCNEvZ_ZPDawnDHyyrPf_qsadrZnaow" xr:uid="{49929E1F-9594-49CB-AEDC-19B35194F6AC}"/>
    <hyperlink ref="F1563" r:id="rId2738" display="https://www.google.com/url?q=https://github.com/mostafa-saad/MyCompetitiveProgramming/tree/master/Olympiad/COCI/official/2008/contest3_solutions&amp;sa=D&amp;ust=1605639802088000&amp;usg=AFQjCNFSe9_MBKV0lLBTTYNs9wRwdrREvQ" xr:uid="{30A74D9A-5199-4098-A3D3-F9DFD1863661}"/>
    <hyperlink ref="B1564" r:id="rId2739" display="https://www.google.com/url?q=https://dmoj.ca/problem/coci07c5p2&amp;sa=D&amp;ust=1605639802088000&amp;usg=AFQjCNHrvqTWjSIyd1NxTmv3H9-1P8eGNg" xr:uid="{EF739E61-3626-4A2F-8137-4466904D18EB}"/>
    <hyperlink ref="F1564" r:id="rId2740" display="https://www.google.com/url?q=https://github.com/mostafa-saad/MyCompetitiveProgramming/tree/master/Olympiad/COCI/official/2008/contest5_solutions&amp;sa=D&amp;ust=1605639802089000&amp;usg=AFQjCNH2X-yrW5nyausbTap_xM5xC8oMbA" xr:uid="{179E78B1-7675-4885-947D-7E77B4A54807}"/>
    <hyperlink ref="B1565" r:id="rId2741" display="https://www.google.com/url?q=https://dmoj.ca/problem/coci07c1p3&amp;sa=D&amp;ust=1605639802090000&amp;usg=AFQjCNEH7weQxi_BWoaeGxmlY3eX3YyRFQ" xr:uid="{A3AFE730-0FBD-4B68-976E-703FC98D3C1C}"/>
    <hyperlink ref="F1565" r:id="rId2742" display="https://www.google.com/url?q=https://github.com/mostafa-saad/MyCompetitiveProgramming/tree/master/Olympiad/COCI/official/2008/contest1_solutions&amp;sa=D&amp;ust=1605639802090000&amp;usg=AFQjCNGx_hWRM5A7ofC6ibsN2Ltj2BDpOQ" xr:uid="{A5C1E3B6-D013-4CA8-9608-A5139EC178EA}"/>
    <hyperlink ref="B1566" r:id="rId2743" display="https://www.google.com/url?q=https://dmoj.ca/problem/coci08c6p1&amp;sa=D&amp;ust=1605639802090000&amp;usg=AFQjCNG3hbG87PHlrRgUGMiES496CNM-Gw" xr:uid="{0A9BB438-E7A3-4023-9586-600F86F82D31}"/>
    <hyperlink ref="F1566" r:id="rId2744" display="https://www.google.com/url?q=https://github.com/mostafa-saad/MyCompetitiveProgramming/blob/master/Olympiad/COCI/official/2009/contest6_solutions&amp;sa=D&amp;ust=1605639802090000&amp;usg=AFQjCNFi3j-c2hQtMvvoOTXQzbbDMF4BHA" xr:uid="{F2536E39-CABE-43AF-A75A-C7D32D886E55}"/>
    <hyperlink ref="B1567" r:id="rId2745" display="https://www.google.com/url?q=https://dmoj.ca/problem/coci08c2p6&amp;sa=D&amp;ust=1605639802091000&amp;usg=AFQjCNG2k2k_QnDGIO63JlFmNX2Uhy41cw" xr:uid="{0D1CB3A9-E85F-4CA6-A149-54A7344630DA}"/>
    <hyperlink ref="F1567" r:id="rId2746" display="https://www.google.com/url?q=https://github.com/mostafa-saad/MyCompetitiveProgramming/blob/master/Olympiad/COCI/official/2009/contest2_solutions&amp;sa=D&amp;ust=1605639802091000&amp;usg=AFQjCNEF6fvzhN7D2re_d2RH8_eIlg8MjQ" xr:uid="{AE60A5A7-FC88-4F08-ADEC-0315D69C3BF5}"/>
    <hyperlink ref="B1568" r:id="rId2747" display="https://www.google.com/url?q=https://dmoj.ca/problem/coci08c6p4&amp;sa=D&amp;ust=1605639802091000&amp;usg=AFQjCNH8anB57PgmoNTjT2TSpboDhAtH3g" xr:uid="{6165CD4B-1A16-485D-9C68-3C0733609DD8}"/>
    <hyperlink ref="F1568" r:id="rId2748" display="https://www.google.com/url?q=https://github.com/mostafa-saad/MyCompetitiveProgramming/blob/master/Olympiad/COCI/official/2009/contest6_solutions&amp;sa=D&amp;ust=1605639802091000&amp;usg=AFQjCNEOh2tAZ7pObZ6qrG7KEGgMeFuFvQ" xr:uid="{EF37FABA-C417-4DF4-9239-5B2C1CEE43CE}"/>
    <hyperlink ref="B1569" r:id="rId2749" display="https://www.google.com/url?q=https://dmoj.ca/problem/coci08c4p2&amp;sa=D&amp;ust=1605639802092000&amp;usg=AFQjCNFfxpd2OCFp7lYRiHqkU1Vku5nUkQ" xr:uid="{DE72CC74-A09A-4621-B89C-CF076E25B171}"/>
    <hyperlink ref="F1569" r:id="rId2750" display="https://www.google.com/url?q=https://github.com/mostafa-saad/MyCompetitiveProgramming/blob/master/Olympiad/COCI/official/2009/contest4_solutions&amp;sa=D&amp;ust=1605639802092000&amp;usg=AFQjCNFgCDiPt03RQ3uzJQH6pPu8NlnHaA" xr:uid="{6D84CB4E-CE4F-421F-BFB9-F99AB64D1AD9}"/>
    <hyperlink ref="B1570" r:id="rId2751" display="https://www.google.com/url?q=https://dmoj.ca/problem/coci08c1p4&amp;sa=D&amp;ust=1605639802093000&amp;usg=AFQjCNFYTI86iKS6fvcWoPxY2YazuH-6nA" xr:uid="{490F1236-0C89-4BFF-B9C9-D30F4C1DEDC6}"/>
    <hyperlink ref="F1570" r:id="rId2752" display="https://www.google.com/url?q=https://github.com/mostafa-saad/MyCompetitiveProgramming/blob/master/Olympiad/COCI/official/2009/contest1_solutions&amp;sa=D&amp;ust=1605639802093000&amp;usg=AFQjCNGBe4jWBxgpLSGTVf2xPMdehpN_IA" xr:uid="{CE45FBD3-9EB0-4AFB-9109-B1E3C6F68A1A}"/>
    <hyperlink ref="B1571" r:id="rId2753" display="https://www.google.com/url?q=https://dmoj.ca/problem/coci08c3p2&amp;sa=D&amp;ust=1605639802093000&amp;usg=AFQjCNH5kUoaYhSSpRtzEH8qO-YuqZ-eSQ" xr:uid="{3D493B5E-77EC-4634-BD55-471A801DEDD3}"/>
    <hyperlink ref="F1571" r:id="rId2754" display="https://www.google.com/url?q=https://github.com/mostafa-saad/MyCompetitiveProgramming/blob/master/Olympiad/COCI/official/2009/contest3_solutions&amp;sa=D&amp;ust=1605639802094000&amp;usg=AFQjCNH3J8KTwff5YD5fp7l0E9iPzAI7SA" xr:uid="{18064FD4-EE05-43DA-B52B-EB25517386CC}"/>
    <hyperlink ref="B1572" r:id="rId2755" display="https://www.google.com/url?q=https://dmoj.ca/problem/coci08c2p1&amp;sa=D&amp;ust=1605639802094000&amp;usg=AFQjCNGXC0CNijWo-yPHcenp4IVy78NTSA" xr:uid="{6AAEB734-3915-400B-95DC-D844F8101394}"/>
    <hyperlink ref="F1572" r:id="rId2756" display="https://www.google.com/url?q=https://github.com/mostafa-saad/MyCompetitiveProgramming/blob/master/Olympiad/COCI/official/2009/contest2_solutions&amp;sa=D&amp;ust=1605639802094000&amp;usg=AFQjCNHtmhVuGqmiQvuenJ6hIT5Ps8cWJw" xr:uid="{C44EE33B-F170-404C-A1EE-CCEF5C339A56}"/>
    <hyperlink ref="B1573" r:id="rId2757" display="https://www.google.com/url?q=https://dmoj.ca/problem/coci08c4p1&amp;sa=D&amp;ust=1605639802095000&amp;usg=AFQjCNH7jQ33NT0OJU8sq-_a7MuVV7YrsQ" xr:uid="{097D9CC2-3100-4524-9F51-19F746312CEC}"/>
    <hyperlink ref="F1573" r:id="rId2758" display="https://www.google.com/url?q=https://github.com/mostafa-saad/MyCompetitiveProgramming/blob/master/Olympiad/COCI/official/2009/contest4_solutions&amp;sa=D&amp;ust=1605639802095000&amp;usg=AFQjCNG7qkyBsu-_foCuJWVlwLyAb3Ns_g" xr:uid="{24EC7FAF-EDB4-475D-849C-C7D12828F4DB}"/>
    <hyperlink ref="B1574" r:id="rId2759" display="https://www.google.com/url?q=https://dmoj.ca/problem/coci08c1p3&amp;sa=D&amp;ust=1605639802095000&amp;usg=AFQjCNH77jyLWG_d9TUPySPz4S1WgFurJA" xr:uid="{23F90519-3C03-40F9-9530-E8CBE5D85873}"/>
    <hyperlink ref="F1574" r:id="rId2760" display="https://www.google.com/url?q=https://github.com/mostafa-saad/MyCompetitiveProgramming/blob/master/Olympiad/COCI/official/2009/contest1_solutions&amp;sa=D&amp;ust=1605639802095000&amp;usg=AFQjCNHLKweBQNgUjZ0kIUy9OSNsXOciFg" xr:uid="{00150427-2630-4852-8E91-A51A7FFD7DA4}"/>
    <hyperlink ref="B1575" r:id="rId2761" display="https://www.google.com/url?q=https://dmoj.ca/problem/coci08c2p3&amp;sa=D&amp;ust=1605639802096000&amp;usg=AFQjCNE45wshXewLgAADXjXouiD-SHFspQ" xr:uid="{FB20A572-DDF2-4A56-B6F9-484B9B9E69A4}"/>
    <hyperlink ref="F1575" r:id="rId2762" display="https://www.google.com/url?q=https://github.com/mostafa-saad/MyCompetitiveProgramming/blob/master/Olympiad/COCI/official/2009/contest2_solutions&amp;sa=D&amp;ust=1605639802099000&amp;usg=AFQjCNFrLrqUabmNHVQxWDm61BXboJ-B5Q" xr:uid="{C34C0F09-799E-4A58-AEA6-BBBD024635E7}"/>
    <hyperlink ref="B1576" r:id="rId2763" display="https://www.google.com/url?q=https://dmoj.ca/problem/coci08c1p2&amp;sa=D&amp;ust=1605639802099000&amp;usg=AFQjCNH8UzjqHwS6Vuz3jcA4e5LBuNNmEg" xr:uid="{A2DC2A07-F3A9-4900-9DFC-2F62B4AE9F1A}"/>
    <hyperlink ref="F1576" r:id="rId2764" display="https://www.google.com/url?q=https://github.com/mostafa-saad/MyCompetitiveProgramming/blob/master/Olympiad/COCI/official/2009/contest1_solutions&amp;sa=D&amp;ust=1605639802100000&amp;usg=AFQjCNGkKPYddUHmMMIrRZqV5KcgQpL2bQ" xr:uid="{B581E560-4176-4E2A-9233-CE28D2AE40F2}"/>
    <hyperlink ref="B1577" r:id="rId2765" display="https://www.google.com/url?q=https://dmoj.ca/problem/coci08c2p2&amp;sa=D&amp;ust=1605639802101000&amp;usg=AFQjCNGNRCK2_1r6YW4hKQSv-nmcvAFw8Q" xr:uid="{409AA613-DBEF-49B2-9475-AE7D4B746756}"/>
    <hyperlink ref="F1577" r:id="rId2766" display="https://www.google.com/url?q=https://github.com/mostafa-saad/MyCompetitiveProgramming/blob/master/Olympiad/COCI/official/2009/contest2_solutions&amp;sa=D&amp;ust=1605639802101000&amp;usg=AFQjCNE3D39zKThLaNOJVjRX0Qr-X1RHTw" xr:uid="{78B1C34B-2773-40DF-AE0D-F2593CCBA630}"/>
    <hyperlink ref="B1578" r:id="rId2767" display="https://www.google.com/url?q=https://dmoj.ca/problem/coci08c1p5&amp;sa=D&amp;ust=1605639802101000&amp;usg=AFQjCNFXuckYHXIalZeXPKW2YLCptCK3uQ" xr:uid="{4E43443C-A5FD-44C7-A01F-ADBD375BE53E}"/>
    <hyperlink ref="F1578" r:id="rId2768" display="https://www.google.com/url?q=https://github.com/mostafa-saad/MyCompetitiveProgramming/blob/master/Olympiad/COCI/official/2009/contest1_solutions&amp;sa=D&amp;ust=1605639802102000&amp;usg=AFQjCNFmnhNvM4He4aJnsDIP7WBGFxRASw" xr:uid="{E225CAB8-BD2B-4A9E-9CE1-F13D4B417445}"/>
    <hyperlink ref="B1579" r:id="rId2769" display="https://www.google.com/url?q=https://dmoj.ca/problem/coci08c1p1&amp;sa=D&amp;ust=1605639802102000&amp;usg=AFQjCNHQXGgsJEHjLDactBfqp5jbhETnhw" xr:uid="{67BFC9FE-1F21-461D-9011-6E98DF9BAD6D}"/>
    <hyperlink ref="F1579" r:id="rId2770" display="https://www.google.com/url?q=https://github.com/mostafa-saad/MyCompetitiveProgramming/blob/master/Olympiad/COCI/official/2009/contest1_solutions&amp;sa=D&amp;ust=1605639802102000&amp;usg=AFQjCNFmnhNvM4He4aJnsDIP7WBGFxRASw" xr:uid="{2B63F9C5-7A0B-4B00-A9E2-B509061775FF}"/>
    <hyperlink ref="B1580" r:id="rId2771" display="https://www.google.com/url?q=https://wcipeg.com/problem/coci094p1&amp;sa=D&amp;ust=1605639802103000&amp;usg=AFQjCNHkLcY9Sc_BuQwBbn25kfzqCIue9Q" xr:uid="{84EA570B-0709-4BFF-A07F-A7B0681FB5CF}"/>
    <hyperlink ref="F1580" r:id="rId2772" display="https://www.google.com/url?q=https://github.com/mostafa-saad/MyCompetitiveProgramming/blob/master/Olympiad/COCI/official/2010/contest4_solutions&amp;sa=D&amp;ust=1605639802103000&amp;usg=AFQjCNHKrEdwDWIQe0F177qicESoByGJIA" xr:uid="{630B98AE-C11E-462B-A2D0-4FCEDC99DF65}"/>
    <hyperlink ref="B1581" r:id="rId2773" display="https://www.google.com/url?q=https://wcipeg.com/problem/coci097p3&amp;sa=D&amp;ust=1605639802103000&amp;usg=AFQjCNFh9ZNpzwg1w6YLEFNjbUBN9YsGDQ" xr:uid="{98B76622-CE0C-4A28-AED4-0BA02A84A100}"/>
    <hyperlink ref="F1581" r:id="rId2774" display="https://www.google.com/url?q=https://github.com/mostafa-saad/MyCompetitiveProgramming/blob/master/Olympiad/COCI/official/2010/contest7_solutions&amp;sa=D&amp;ust=1605639802103000&amp;usg=AFQjCNGlchGl5gaAk-BasdqfM-uM7FBQIQ" xr:uid="{B4D94685-E19A-4C1D-873D-4387EEB0C32E}"/>
    <hyperlink ref="B1582" r:id="rId2775" display="https://www.google.com/url?q=https://wcipeg.com/problem/coci097p2&amp;sa=D&amp;ust=1605639802104000&amp;usg=AFQjCNHR6nEfApzylos0ZJmzpeIuYk1uUA" xr:uid="{6680ABE5-79C6-4807-9780-693E569AFCF4}"/>
    <hyperlink ref="F1582" r:id="rId2776" display="https://www.google.com/url?q=https://github.com/mostafa-saad/MyCompetitiveProgramming/blob/master/Olympiad/COCI/official/2010/contest7_solutions&amp;sa=D&amp;ust=1605639802104000&amp;usg=AFQjCNGlcZNTBiutfr0tzPCuaHQ_BKBmrg" xr:uid="{84CC4BC0-72A0-49D3-86BC-4963D4AAF098}"/>
    <hyperlink ref="B1583" r:id="rId2777" display="https://www.google.com/url?q=https://wcipeg.com/problem/coci095p2&amp;sa=D&amp;ust=1605639802104000&amp;usg=AFQjCNE02ZucpNavI-SmI_H23BXz0Q42LQ" xr:uid="{34EF4BB4-F3D1-47D6-A856-966FAFB0A375}"/>
    <hyperlink ref="F1583" r:id="rId2778" display="https://www.google.com/url?q=https://github.com/mostafa-saad/MyCompetitiveProgramming/blob/master/Olympiad/COCI/official/2010/contest5_solutions&amp;sa=D&amp;ust=1605639802104000&amp;usg=AFQjCNF0AGbtjUML2sCkntPb26O_3pXEnA" xr:uid="{B4E2A6C5-145E-467A-B0F2-6E68C979EBF3}"/>
    <hyperlink ref="B1584" r:id="rId2779" display="https://www.google.com/url?q=https://dmoj.ca/problem/coci09c1p2&amp;sa=D&amp;ust=1605639802105000&amp;usg=AFQjCNE_GScGhxqiAKxIHTZyRlxmc1lJjg" xr:uid="{C61A1648-F7B7-4E0D-89EC-80F0308C783B}"/>
    <hyperlink ref="F1584" r:id="rId2780" display="https://www.google.com/url?q=https://github.com/mostafa-saad/MyCompetitiveProgramming/blob/master/Olympiad/COCI/official/2010/contest1_solutions&amp;sa=D&amp;ust=1605639802105000&amp;usg=AFQjCNGX5KprEaw0corWxSzIp8_5YVFhhQ" xr:uid="{2514BCBE-3614-4DA5-9F62-7151ED1B4A33}"/>
    <hyperlink ref="B1585" r:id="rId2781" display="https://www.google.com/url?q=https://wcipeg.com/problem/coci092p1&amp;sa=D&amp;ust=1605639802105000&amp;usg=AFQjCNHLl1C9HbxDQFZIc7Xp8IS7QVQ4_w" xr:uid="{3605638C-E3F2-47FB-99FC-0223D95F8C42}"/>
    <hyperlink ref="F1585" r:id="rId2782" display="https://www.google.com/url?q=https://github.com/mostafa-saad/MyCompetitiveProgramming/blob/master/Olympiad/COCI/official/2010/contest2_solutions&amp;sa=D&amp;ust=1605639802105000&amp;usg=AFQjCNEoySkjK_3iOxhfOMJ_dOrdDobslw" xr:uid="{A9AA0408-62ED-43E0-B058-D8014382BFB2}"/>
    <hyperlink ref="B1586" r:id="rId2783" display="https://www.google.com/url?q=https://wcipeg.com/problem/coci093p1&amp;sa=D&amp;ust=1605639802106000&amp;usg=AFQjCNGnR9EdT6ZjuY7fyecKkDxQk8jgOg" xr:uid="{6A63F8A3-BDBE-4C1D-B514-3BBECA60C2E4}"/>
    <hyperlink ref="F1586" r:id="rId2784" display="https://www.google.com/url?q=https://github.com/mostafa-saad/MyCompetitiveProgramming/blob/master/Olympiad/COCI/official/2010/contest3_solutions&amp;sa=D&amp;ust=1605639802106000&amp;usg=AFQjCNGXdhdBWONnj-pHnXu0KcS6O3_3mw" xr:uid="{5FD5B4D9-2314-436A-B369-F6B5DF7C74EE}"/>
    <hyperlink ref="B1587" r:id="rId2785" display="https://www.google.com/url?q=https://wcipeg.com/problem/coci094p3&amp;sa=D&amp;ust=1605639802106000&amp;usg=AFQjCNECGwsMC2-GEJrPjVGa8hRoV1Ad2w" xr:uid="{D7DEDF59-B1A0-4E50-9035-4C7976E1DAAF}"/>
    <hyperlink ref="B1588" r:id="rId2786" display="https://www.google.com/url?q=https://wcipeg.com/problem/coci095p3&amp;sa=D&amp;ust=1605639802109000&amp;usg=AFQjCNGzId77p85BxQSAdmu86E_UnyydBw" xr:uid="{BDF89900-439F-41D5-85F4-4AD77CAD928B}"/>
    <hyperlink ref="F1588" r:id="rId2787" display="https://www.google.com/url?q=https://github.com/mostafa-saad/MyCompetitiveProgramming/blob/master/Olympiad/COCI/official/2010/contest5_solutions&amp;sa=D&amp;ust=1605639802109000&amp;usg=AFQjCNFAkXqeTrLBdqcSwNdk6tZcJdZVzQ" xr:uid="{EBD39CDE-8B4F-4FF0-85F4-A2725D6208E2}"/>
    <hyperlink ref="B1589" r:id="rId2788" display="https://www.google.com/url?q=https://wcipeg.com/problem/coci096p2&amp;sa=D&amp;ust=1605639802110000&amp;usg=AFQjCNGH3jueCS1B0NNAau3hgcICfEpO5Q" xr:uid="{2111E087-34A7-40F3-9102-06C03E3CD81B}"/>
    <hyperlink ref="F1589" r:id="rId2789" display="https://www.google.com/url?q=https://github.com/mostafa-saad/MyCompetitiveProgramming/blob/master/Olympiad/COCI/official/2010/contest6_solutions&amp;sa=D&amp;ust=1605639802110000&amp;usg=AFQjCNH_HPzziuxMzvL1QF85w3qSlxTKcA" xr:uid="{7F4441BC-6A5D-4BFF-8DA4-4DD339250E67}"/>
    <hyperlink ref="B1590" r:id="rId2790" display="https://www.google.com/url?q=https://dmoj.ca/problem/coci09c1p1&amp;sa=D&amp;ust=1605639802110000&amp;usg=AFQjCNEgN3OTkEvT8ezOlP2mtCorINUJtA" xr:uid="{D2A8A748-6238-4CE1-9A3E-A68B4F248C8E}"/>
    <hyperlink ref="B1591" r:id="rId2791" display="https://www.google.com/url?q=https://wcipeg.com/problem/coci094p2&amp;sa=D&amp;ust=1605639802111000&amp;usg=AFQjCNHRTahPdAHtp0K0z8QnWNlnlvzsrw" xr:uid="{17190600-B2D4-4AFE-9584-8F80D65D470F}"/>
    <hyperlink ref="F1591" r:id="rId2792" display="https://www.google.com/url?q=https://github.com/mostafa-saad/MyCompetitiveProgramming/blob/master/Olympiad/COCI/official/2010/contest4_solutions&amp;sa=D&amp;ust=1605639802111000&amp;usg=AFQjCNGlgqXi-dIUpNDKzGh9kdnlUbf0sg" xr:uid="{B4FD4BC6-21CB-44E3-AE71-90522C281F59}"/>
    <hyperlink ref="B1592" r:id="rId2793" display="https://www.google.com/url?q=https://wcipeg.com/problem/coci093p2&amp;sa=D&amp;ust=1605639802111000&amp;usg=AFQjCNFZSokI07We_N3Xw-Nea8SWrLaNbA" xr:uid="{73D816D8-7551-4006-88AA-E3BC56B82E22}"/>
    <hyperlink ref="F1592" r:id="rId2794" display="https://www.google.com/url?q=https://github.com/mostafa-saad/MyCompetitiveProgramming/blob/master/Olympiad/COCI/official/2010/contest3_solutions&amp;sa=D&amp;ust=1605639802112000&amp;usg=AFQjCNEKvuJVG9m2avMAd91sQeWhm5iwBg" xr:uid="{9B5340E4-27D0-4D62-AF42-E0F44D9B4CA2}"/>
    <hyperlink ref="B1593" r:id="rId2795" display="https://www.google.com/url?q=https://wcipeg.com/problem/coci095p1&amp;sa=D&amp;ust=1605639802113000&amp;usg=AFQjCNE3qqzdPAjZ6TZ2bHOOZqe8oRZlHw" xr:uid="{52AEC4A7-DE70-43BA-80C0-C43E220C4D32}"/>
    <hyperlink ref="F1593" r:id="rId2796" display="https://www.google.com/url?q=https://github.com/mostafa-saad/MyCompetitiveProgramming/blob/master/Olympiad/COCI/official/2010/contest5_solutions&amp;sa=D&amp;ust=1605639802113000&amp;usg=AFQjCNH1IyGmXdCsS-l9RlHALlr2HTYU3A" xr:uid="{E93BE008-EA46-4C8F-A162-292766E2D5FA}"/>
    <hyperlink ref="B1594" r:id="rId2797" display="https://www.google.com/url?q=https://wcipeg.com/problem/coci093p3&amp;sa=D&amp;ust=1605639802166000&amp;usg=AFQjCNE6YwF0_7hh75krH8jAV5AIiGZ0qQ" xr:uid="{DF8A8BF3-9627-4402-B1D2-380FE9051147}"/>
    <hyperlink ref="F1594" r:id="rId2798" display="https://www.google.com/url?q=https://github.com/mostafa-saad/MyCompetitiveProgramming/blob/master/Olympiad/COCI/official/2010/contest3_solutions&amp;sa=D&amp;ust=1605639802169000&amp;usg=AFQjCNECKNiVgi4TdbFsNx-gWhJZIag_kQ" xr:uid="{4DEB9950-20DF-404A-8201-BF0AEF2F5FD2}"/>
    <hyperlink ref="B1595" r:id="rId2799" display="https://www.google.com/url?q=https://wcipeg.com/problem/coci097p1&amp;sa=D&amp;ust=1605639802169000&amp;usg=AFQjCNGu0tWaErBqcD8KUUrjwXFrmKyySg" xr:uid="{3A9323C3-8886-413A-A089-A1DE16D81F2E}"/>
    <hyperlink ref="F1595" r:id="rId2800" display="https://www.google.com/url?q=https://github.com/mostafa-saad/MyCompetitiveProgramming/blob/master/Olympiad/COCI/official/2010/contest7_solutions&amp;sa=D&amp;ust=1605639802170000&amp;usg=AFQjCNH3uo4GTi94DETL2YrzFaNQxYfaRQ" xr:uid="{0EB4A1D9-B43E-4A87-A121-B857C088458D}"/>
    <hyperlink ref="B1596" r:id="rId2801" display="https://www.google.com/url?q=https://dmoj.ca/problem/coci14c3p4&amp;sa=D&amp;ust=1605639802170000&amp;usg=AFQjCNECGNm_PMhPyQZIxS1z3pD9fqIhMQ" xr:uid="{4C9CB578-D9C1-4530-8413-781461E46E6F}"/>
    <hyperlink ref="F1596" r:id="rId2802" display="https://www.google.com/url?q=https://github.com/mostafa-saad/MyCompetitiveProgramming/blob/master/Olympiad/COCI/official/2015/contest3_solutions&amp;sa=D&amp;ust=1605639802170000&amp;usg=AFQjCNGIRTKT6YfcQ2LqiDVAj88pZ8ZiCA" xr:uid="{904AB68B-AC8A-4347-A6FC-CCA725556B71}"/>
    <hyperlink ref="B1597" r:id="rId2803" display="https://www.google.com/url?q=https://dmoj.ca/problem/coci14c7p4&amp;sa=D&amp;ust=1605639802170000&amp;usg=AFQjCNF2A9tVkm2WTTpRdFacTw46VTHI0A" xr:uid="{49E1DCD2-8EFB-48DE-B106-D20F917807C9}"/>
    <hyperlink ref="B1598" r:id="rId2804" display="https://www.google.com/url?q=https://dmoj.ca/problem/coci14c6p4&amp;sa=D&amp;ust=1605639802171000&amp;usg=AFQjCNHN-0QWwvZG8chmMFBzK6a5KOW-4w" xr:uid="{8385D718-7149-489E-B6A8-87A71F965DA2}"/>
    <hyperlink ref="F1598" r:id="rId2805" display="https://www.google.com/url?q=https://github.com/mostafa-saad/MyCompetitiveProgramming/blob/master/Olympiad/COCI/official/2015/contest6_solutions&amp;sa=D&amp;ust=1605639802171000&amp;usg=AFQjCNHQWgd5tAS-ZEZ3Iz2O-KNo8UY8vg" xr:uid="{F09B7FF3-58A5-4EBD-9F7B-6C63FA1870B8}"/>
    <hyperlink ref="B1599" r:id="rId2806" display="https://www.google.com/url?q=https://dmoj.ca/problem/coci14c6p3&amp;sa=D&amp;ust=1605639802172000&amp;usg=AFQjCNGFnTwHuihjn5AMTB-wJrmyegFfng" xr:uid="{2B780126-2D81-4223-9663-95DE08CE517E}"/>
    <hyperlink ref="F1599" r:id="rId2807" display="https://www.google.com/url?q=https://github.com/mostafa-saad/MyCompetitiveProgramming/blob/master/Olympiad/COCI/official/2015/contest6_solutions&amp;sa=D&amp;ust=1605639802172000&amp;usg=AFQjCNGLDRMQTGMAeUHQIWltQmpu4t8ZiQ" xr:uid="{FFB48B5A-3FD8-42B7-ABF4-BA4D1602BBA1}"/>
    <hyperlink ref="B1600" r:id="rId2808" display="https://www.google.com/url?q=https://dmoj.ca/problem/coci14c4p3&amp;sa=D&amp;ust=1605639802172000&amp;usg=AFQjCNHz9fH3xZRwx_qaRaRuns0fkmoHFw" xr:uid="{51556F3B-44C7-4E63-AF20-98C8A13FEA1B}"/>
    <hyperlink ref="F1600" r:id="rId2809" display="https://www.google.com/url?q=https://github.com/mostafa-saad/MyCompetitiveProgramming/blob/master/Olympiad/COCI/official/2015/contest4_solutions&amp;sa=D&amp;ust=1605639802172000&amp;usg=AFQjCNHbuyn7OlAHu5PHCBHYh-G0oAsFQQ" xr:uid="{8CC612E8-B509-44E9-8ADA-AC6C9671AD0F}"/>
    <hyperlink ref="B1601" r:id="rId2810" display="https://www.google.com/url?q=https://dmoj.ca/problem/coci14c4p2&amp;sa=D&amp;ust=1605639802173000&amp;usg=AFQjCNHN4ydlTKu0FdfJZ3x7pm7oUigbxw" xr:uid="{58947361-E210-4ACD-A41E-6D8214F57950}"/>
    <hyperlink ref="F1601" r:id="rId2811" display="https://www.google.com/url?q=https://github.com/mostafa-saad/MyCompetitiveProgramming/blob/master/Olympiad/COCI/official/2015/contest4_solutions&amp;sa=D&amp;ust=1605639802173000&amp;usg=AFQjCNHkJdoUr1eCXdUM5ETVfz0RdJjxxA" xr:uid="{376BC7FE-2424-410D-8FC5-A07D7D16BDC9}"/>
    <hyperlink ref="B1602" r:id="rId2812" display="https://www.google.com/url?q=https://dmoj.ca/problem/coci14c3p3&amp;sa=D&amp;ust=1605639802173000&amp;usg=AFQjCNFLlB1-0TjUgtT8mLXkw2uJux4FGA" xr:uid="{8507A28E-B4DB-45D7-B432-36CB62DC1AC8}"/>
    <hyperlink ref="F1602" r:id="rId2813" display="https://www.google.com/url?q=https://github.com/mostafa-saad/MyCompetitiveProgramming/blob/master/Olympiad/COCI/official/2015/contest3_solutions&amp;sa=D&amp;ust=1605639802174000&amp;usg=AFQjCNGb6fIbJ7fI42V9QuLB6KRanS95qA" xr:uid="{86B4A1AB-102B-44DC-AC10-06072B211BCF}"/>
    <hyperlink ref="B1603" r:id="rId2814" display="https://www.google.com/url?q=https://dmoj.ca/problem/coci14c5p4&amp;sa=D&amp;ust=1605639802174000&amp;usg=AFQjCNFB7RBtPZ5ojg12uAsP4ZvteyQo2Q" xr:uid="{2D21AA25-396C-45CB-8B64-9C31118901D8}"/>
    <hyperlink ref="F1603" r:id="rId2815" display="https://www.google.com/url?q=https://github.com/mostafa-saad/MyCompetitiveProgramming/blob/master/Olympiad/COCI/official/2015/contest5_solutions&amp;sa=D&amp;ust=1605639802174000&amp;usg=AFQjCNEWPfss6LKifBiw27kmizxNI6TD-g" xr:uid="{0C149EC6-A0B5-4FAA-9487-BD2CD48AE2F1}"/>
    <hyperlink ref="B1604" r:id="rId2816" display="https://www.google.com/url?q=https://dmoj.ca/problem/coci14c5p2&amp;sa=D&amp;ust=1605639802175000&amp;usg=AFQjCNHVzu7Kmphr_yeOg89k-3-wDsYrSQ" xr:uid="{62369F18-C9D2-4329-8011-787DAA627F1B}"/>
    <hyperlink ref="F1604" r:id="rId2817" display="https://www.google.com/url?q=https://github.com/mostafa-saad/MyCompetitiveProgramming/blob/master/Olympiad/COCI/official/2015/contest5_solutions&amp;sa=D&amp;ust=1605639802175000&amp;usg=AFQjCNFbkAA8x5jBKJevfe_vgEprs4ly2w" xr:uid="{EA13A160-4AA4-436B-94B4-2CC1814F9DA5}"/>
    <hyperlink ref="B1605" r:id="rId2818" display="https://www.google.com/url?q=https://dmoj.ca/problem/coci15c3p3&amp;sa=D&amp;ust=1605639802175000&amp;usg=AFQjCNH541-ordezBU54kgD6x8H3TUEL8A" xr:uid="{87834AE5-3177-48B2-BB24-556B6A90A73E}"/>
    <hyperlink ref="F1605" r:id="rId2819" display="https://www.google.com/url?q=https://github.com/mostafa-saad/MyCompetitiveProgramming/blob/master/Olympiad/COCI/official/2016/contest3_solutions&amp;sa=D&amp;ust=1605639802176000&amp;usg=AFQjCNFrNLb3pICTZCYb5cztsCg-g8J1cg" xr:uid="{124E25F1-D683-4766-B31C-921D3AB073D1}"/>
    <hyperlink ref="B1606" r:id="rId2820" display="https://www.google.com/url?q=https://oj.uz/problem/view/COCI17_dojave&amp;sa=D&amp;ust=1605639802176000&amp;usg=AFQjCNF9EjEnLQIop4h2puR-EdXmFtxlYw" xr:uid="{67335E2F-7564-4EA0-8CDE-3334824E1C58}"/>
    <hyperlink ref="B1607" r:id="rId2821" display="https://www.google.com/url?q=https://oj.uz/problem/view/COCI18_nlo&amp;sa=D&amp;ust=1605639802176000&amp;usg=AFQjCNEqhuzujvrmgfWH01KLRWY9xDpS7g" xr:uid="{F7175CDD-C718-4DF6-B92E-70E6365B54E5}"/>
    <hyperlink ref="B1608" r:id="rId2822" display="https://www.google.com/url?q=https://oj.uz/problem/view/COCI18_prakticni&amp;sa=D&amp;ust=1605639802177000&amp;usg=AFQjCNHpRyR-3uxXKeSxhLKKfCIehBCAqw" xr:uid="{A261744D-5985-43F3-A87F-7A6CFF9CE4A0}"/>
    <hyperlink ref="B1609" r:id="rId2823" display="https://www.google.com/url?q=https://oj.uz/problem/view/COCI18_sajam&amp;sa=D&amp;ust=1605639802177000&amp;usg=AFQjCNFBnqgOxP-K77Us2GU4_V00XXM2sA" xr:uid="{FB3DD120-E605-4C6A-8825-20626A876BEE}"/>
    <hyperlink ref="B1610" r:id="rId2824" display="https://www.google.com/url?q=https://oj.uz/problem/view/COCI19_akvizna&amp;sa=D&amp;ust=1605639802178000&amp;usg=AFQjCNH9Pi-HsdAhvZuX85KbCtffE6OJ5g" xr:uid="{C43CC1B0-CF62-49A0-A543-6C05466BC3B2}"/>
    <hyperlink ref="B1611" r:id="rId2825" display="https://www.google.com/url?q=https://oj.uz/problem/view/COCI19_jarvis&amp;sa=D&amp;ust=1605639802178000&amp;usg=AFQjCNFWSbgPF7FdTrmfww9qpFRqvrYRNw" xr:uid="{D5D62741-E25D-4767-9094-BDE1AB0D1A59}"/>
    <hyperlink ref="B1612" r:id="rId2826" display="https://www.google.com/url?q=https://oj.uz/problem/view/COCI19_kisik&amp;sa=D&amp;ust=1605639802180000&amp;usg=AFQjCNGcLyw0LzD8gVNJfTL1dFIkbrtjlw" xr:uid="{3472E5B4-05C6-4C24-B859-A0BD17003BFD}"/>
    <hyperlink ref="B1613" r:id="rId2827" display="https://www.google.com/url?q=https://oj.uz/problem/view/COCI19_slagalica&amp;sa=D&amp;ust=1605639802182000&amp;usg=AFQjCNErT6T2OQNiBnAoAMvQp8_Cg7YOtw" xr:uid="{95E27AE5-4818-445C-93D6-246270CDB1D7}"/>
    <hyperlink ref="B1614" r:id="rId2828" display="https://www.google.com/url?q=https://oj.uz/problem/view/COCI19_titlovi&amp;sa=D&amp;ust=1605639802182000&amp;usg=AFQjCNHut6g-OF8MEId2TG3dMIYBgy8chQ" xr:uid="{B5F73A74-92E3-4A85-8AD7-3670C77A89A3}"/>
    <hyperlink ref="B1615" r:id="rId2829" display="https://www.google.com/url?q=https://oj.uz/problem/view/COCI19_wand&amp;sa=D&amp;ust=1605639802183000&amp;usg=AFQjCNFj7uqGf9M7cFEGlgPrihCyMm4EMg" xr:uid="{6AD39CB0-6CC8-418B-8A6C-47F46027F54D}"/>
    <hyperlink ref="B1620" r:id="rId2830" display="https://www.google.com/url?q=https://wcipeg.com/problem/coci087p3&amp;sa=D&amp;ust=1605639802185000&amp;usg=AFQjCNFfRmHyBNrd4YgVBXtZtKqY7yeR8Q" xr:uid="{E11A0AFA-03D0-4583-AD94-1F4981883E68}"/>
    <hyperlink ref="F1620" r:id="rId2831" display="https://www.google.com/url?q=https://github.com/mostafa-saad/MyCompetitiveProgramming/blob/master/Olympiad/COCI/official/2009/regional_solutions&amp;sa=D&amp;ust=1605639802185000&amp;usg=AFQjCNFNf2f6i-m_15THfZe7Wh1DQoaG4w" xr:uid="{2B7C9FCA-5CEB-4A80-9F25-23E937110008}"/>
    <hyperlink ref="B1621" r:id="rId2832" display="https://www.google.com/url?q=https://wcipeg.com/problem/coci087p4&amp;sa=D&amp;ust=1605639802186000&amp;usg=AFQjCNFMjysattgIJR5W_GzpQXjDQlWNSQ" xr:uid="{8E9B75F8-02B4-4005-BB80-4A78EE172FE9}"/>
    <hyperlink ref="F1621" r:id="rId2833" display="https://www.google.com/url?q=https://github.com/mostafa-saad/MyCompetitiveProgramming/blob/master/Olympiad/COCI/official/2009/regional_solutions&amp;sa=D&amp;ust=1605639802186000&amp;usg=AFQjCNEtiZn78BwyFCVFdt4OCBsM5j0pDw" xr:uid="{A4B59CB0-14C7-4C38-88A9-A65DE6B34C23}"/>
    <hyperlink ref="B1622" r:id="rId2834" display="https://www.google.com/url?q=https://wcipeg.com/problem/coi09p1&amp;sa=D&amp;ust=1605639802186000&amp;usg=AFQjCNHhqpiGeEe4uirtAq51Rd9XJjNguw" xr:uid="{0553C826-380B-4A85-859E-C1178D59EA48}"/>
    <hyperlink ref="F1622" r:id="rId2835" display="https://www.google.com/url?q=https://github.com/mostafa-saad/MyCompetitiveProgramming/blob/master/COI/official/2010&amp;sa=D&amp;ust=1605639802186000&amp;usg=AFQjCNEv3_yZ_nq5RM_KVrv4I7HB1nKr4g" xr:uid="{83441D88-7396-4064-A149-1EB7F981C88C}"/>
    <hyperlink ref="B1623" r:id="rId2836" display="https://www.google.com/url?q=https://oj.uz/problem/view/COI14_nizovi&amp;sa=D&amp;ust=1605639802187000&amp;usg=AFQjCNEku8kP0l-G6H3CIG8UDB1hFPP5uA" xr:uid="{A2C8DFA0-A965-470D-91EB-CC8A9672C136}"/>
    <hyperlink ref="F1623" r:id="rId2837" display="https://www.google.com/url?q=https://github.com/mostafa-saad/MyCompetitiveProgramming/tree/master/Olympiad/COI/official/2014&amp;sa=D&amp;ust=1605639802187000&amp;usg=AFQjCNFtX4Od6mrvqllHn_VVGRzhqqkA2g" xr:uid="{1A27F0F7-4D4E-4FC7-B57F-C63E1B5A0437}"/>
    <hyperlink ref="B1624" r:id="rId2838" display="https://www.google.com/url?q=https://oj.uz/problem/view/COI17_raspad&amp;sa=D&amp;ust=1605639802187000&amp;usg=AFQjCNGtS1UoncCOMHL2NDjnFcFnQwM-yQ" xr:uid="{6E8DE1C7-43B4-46D3-B4B5-E58666FD8D8F}"/>
    <hyperlink ref="B1625" r:id="rId2839" display="https://www.google.com/url?q=https://dmoj.ca/problem/gfssoc2s4&amp;sa=D&amp;ust=1605639802188000&amp;usg=AFQjCNGOdjNuE4FjDDsgpF1LLPQPslJQJw" xr:uid="{5A2EE950-DE26-4301-9BEC-3AB4D773DA84}"/>
    <hyperlink ref="B1626" r:id="rId2840" display="https://www.google.com/url?q=https://dmoj.ca/problem/bf3&amp;sa=D&amp;ust=1605639802188000&amp;usg=AFQjCNHOe_0pXbUU8U6BZrq2WM2aNQRzGw" xr:uid="{1E7433B3-4E48-4316-86B3-170652045AAE}"/>
    <hyperlink ref="B1627" r:id="rId2841" display="https://www.google.com/url?q=https://dmoj.ca/problem/dmopc14c4p6&amp;sa=D&amp;ust=1605639802189000&amp;usg=AFQjCNEAXStGs3AA3vEYh1NqJgTRi45QeQ" xr:uid="{85524CA4-24CA-4DF1-B2F1-872B10D58326}"/>
    <hyperlink ref="B1628" r:id="rId2842" display="https://www.google.com/url?q=https://dmoj.ca/problem/dmopc17c5p4&amp;sa=D&amp;ust=1605639802189000&amp;usg=AFQjCNEtonI63DNrqm6BHwxrX8a3sHWH8w" xr:uid="{0A25B1D5-5FCE-4C25-A856-5F66D6752941}"/>
    <hyperlink ref="B1629" r:id="rId2843" display="https://www.google.com/url?q=https://dmoj.ca/problem/dmopc17c1p5&amp;sa=D&amp;ust=1605639802192000&amp;usg=AFQjCNG2z1aIcjp0oLAPlO97WlKZNfhQRQ" xr:uid="{05AC65C1-5F1B-4FA8-B694-06ADEC226374}"/>
    <hyperlink ref="B1630" r:id="rId2844" display="https://www.google.com/url?q=https://dmoj.ca/problem/dmopc18c2p6&amp;sa=D&amp;ust=1605639802192000&amp;usg=AFQjCNFkY36-V3LSWMD3yx6ft-1pXYs4MQ" xr:uid="{0532FB85-1A4E-46AE-AF56-1D0E6817E99D}"/>
    <hyperlink ref="B1631" r:id="rId2845" display="https://www.google.com/url?q=https://dmoj.ca/problem/dmpg16s4&amp;sa=D&amp;ust=1605639802193000&amp;usg=AFQjCNGefHHX5BmOMz6I3un-SJTy7SUC4A" xr:uid="{C644BEBE-48F3-48C3-90D3-601D231B3CEA}"/>
    <hyperlink ref="B1632" r:id="rId2846" display="https://www.google.com/url?q=https://dunjudge.me/analysis/problems/1243/&amp;sa=D&amp;ust=1605639802193000&amp;usg=AFQjCNH3HCR4xcYgeDxdpnqvBxACqdQ-KQ" xr:uid="{08570A3F-314D-4CD4-BB88-8EDD534BB1F0}"/>
    <hyperlink ref="B1633" r:id="rId2847" display="https://www.google.com/url?q=https://oj.uz/problem/view/info1cup17_binary&amp;sa=D&amp;ust=1605639802194000&amp;usg=AFQjCNFe_TfXCtR3s-c-ltn18F6G-N0PSw" xr:uid="{7A789138-AB11-4DD3-8778-C09E248264D2}"/>
    <hyperlink ref="B1634" r:id="rId2848" display="https://www.google.com/url?q=https://oj.uz/problem/view/info1cup17_eastereggs&amp;sa=D&amp;ust=1605639802194000&amp;usg=AFQjCNG0BCyUuGR_KyA2-zR4uCZbFXRVAg" xr:uid="{53FD36E6-2DEA-4E1C-A540-C0DC8E0C199A}"/>
    <hyperlink ref="B1635" r:id="rId2849" display="https://www.google.com/url?q=https://oj.uz/problem/view/info1cup17_permutation&amp;sa=D&amp;ust=1605639802195000&amp;usg=AFQjCNG8qiqRq_XJ2poRAU4BwsY1pp-M2Q" xr:uid="{0C45C51C-1F5D-42A9-BF63-07EE53AC883F}"/>
    <hyperlink ref="B1636" r:id="rId2850" display="https://www.google.com/url?q=https://oj.uz/problem/view/info1cup17_xorsum&amp;sa=D&amp;ust=1605639802197000&amp;usg=AFQjCNHu6UyBzfW9jArnlqXCxPRrhqHm_A" xr:uid="{2E0220F0-3BEC-49E3-99C9-1592310C0C14}"/>
    <hyperlink ref="B1637" r:id="rId2851" display="https://www.google.com/url?q=https://oj.uz/problem/view/info1cup18_balancedtree&amp;sa=D&amp;ust=1605639802198000&amp;usg=AFQjCNE3ZaSgogWtlDFWnMWK7w7NjL8dzA" xr:uid="{9C483148-D1FD-4A3A-A370-6396BFDCB0FF}"/>
    <hyperlink ref="B1638" r:id="rId2852" display="https://www.google.com/url?q=https://oj.uz/problem/view/info1cup18_cambridge&amp;sa=D&amp;ust=1605639802198000&amp;usg=AFQjCNHMS_E9631CSZsVwEJxEFt-abxvUQ" xr:uid="{3571089A-8608-47A7-8124-C1BD3423EC08}"/>
    <hyperlink ref="B1639" r:id="rId2853" display="https://www.google.com/url?q=https://oj.uz/problem/view/info1cup18_del13&amp;sa=D&amp;ust=1605639802199000&amp;usg=AFQjCNE4nMoYOV6ce13q4-ySZwgxR9ODlg" xr:uid="{AAEF0E2F-53A0-4C90-8BEC-BC7A4CA06F73}"/>
    <hyperlink ref="B1640" r:id="rId2854" display="https://www.google.com/url?q=https://oj.uz/problem/view/info1cup18_norela&amp;sa=D&amp;ust=1605639802199000&amp;usg=AFQjCNEJCKTQZF8QD2EcTMop4ElLhKUl9w" xr:uid="{7474C2F6-B71A-470F-A136-FEBC24F05618}"/>
    <hyperlink ref="B1641" r:id="rId2855" display="https://www.google.com/url?q=https://oj.uz/problem/view/info1cup18_palindromes&amp;sa=D&amp;ust=1605639802200000&amp;usg=AFQjCNFndPEBHG41QBIBCbph789ZuUwfDg" xr:uid="{E788F62A-A805-4A37-83CD-BB824332775F}"/>
    <hyperlink ref="B1642" r:id="rId2856" display="https://www.google.com/url?q=https://oj.uz/problem/view/info1cup18_shell&amp;sa=D&amp;ust=1605639802200000&amp;usg=AFQjCNEqYlip4A9TlbA8P4tArxsJ8-1-4A" xr:uid="{DCFA2A00-8E61-44BA-A83A-05D93DB0AF0F}"/>
    <hyperlink ref="B1643" r:id="rId2857" display="https://www.google.com/url?q=https://oj.uz/problem/view/info1cup18_thegrade&amp;sa=D&amp;ust=1605639802200000&amp;usg=AFQjCNG6H3_wRyAAT3zxZVZEG1m5Ubfb0g" xr:uid="{EA38FBF6-1049-492E-AA16-F30096572DEB}"/>
    <hyperlink ref="B1644" r:id="rId2858" display="https://www.google.com/url?q=https://oj.uz/problem/view/innopolis2018_final_A&amp;sa=D&amp;ust=1605639802201000&amp;usg=AFQjCNHeFXuNKVCwAOOb5te6H0BqlVp0iQ" xr:uid="{BF9A6443-8495-42D4-90D4-50E9C9D171FF}"/>
    <hyperlink ref="B1645" r:id="rId2859" display="https://www.google.com/url?q=https://oj.uz/problem/view/innopolis2018_final_B&amp;sa=D&amp;ust=1605639802201000&amp;usg=AFQjCNGOC1hWmuCnLMWSurcIneQ1f2H55g" xr:uid="{3C19BABA-9008-472F-A7EC-70BC751BE4FC}"/>
    <hyperlink ref="B1646" r:id="rId2860" display="https://www.google.com/url?q=https://oj.uz/problem/view/innopolis2018_final_C&amp;sa=D&amp;ust=1605639802202000&amp;usg=AFQjCNHsPUzCAKcVrHhQRZ4PV6sT4nS-vQ" xr:uid="{EC36623F-25DA-46BA-877F-66B2AE9008A0}"/>
    <hyperlink ref="B1647" r:id="rId2861" display="https://www.google.com/url?q=https://oj.uz/problem/view/innopolis2018_final_D&amp;sa=D&amp;ust=1605639802202000&amp;usg=AFQjCNHDS0pb8qP3RWAXUi59ZN14pShXVA" xr:uid="{C9E2A03E-122B-467A-BFFD-E0A24D33AD06}"/>
    <hyperlink ref="B1648" r:id="rId2862" display="https://www.google.com/url?q=https://oj.uz/problem/view/innopolis2018_final_E&amp;sa=D&amp;ust=1605639802203000&amp;usg=AFQjCNFVlE2Z0K66FD-UA7INtmwh9Rh_ew" xr:uid="{68BD6A51-3946-4098-8C36-0209516580BC}"/>
    <hyperlink ref="B1649" r:id="rId2863" display="https://www.google.com/url?q=https://codeforces.com/gym/102032/problem/D&amp;sa=D&amp;ust=1605639802203000&amp;usg=AFQjCNHkRngApZKnKqjoWXkvF0q5W0XFeA" xr:uid="{24B20247-CCA0-4E7D-A341-CA4E74D35E4D}"/>
    <hyperlink ref="B1650" r:id="rId2864" display="https://www.google.com/url?q=https://codeforces.com/gym/102436?locale%3Den&amp;sa=D&amp;ust=1605639802204000&amp;usg=AFQjCNEW83Yu12QmekkVDN5xTl-j3VMo9g" xr:uid="{9B42F7A2-2128-4F66-84B2-05994CE4B639}"/>
    <hyperlink ref="B1651" r:id="rId2865" display="https://www.google.com/url?q=https://dunjudge.me/analysis/problems/1233/&amp;sa=D&amp;ust=1605639802204000&amp;usg=AFQjCNHqJ4eF8WDUoZWlX3zLYDa7WexdAw" xr:uid="{1FA9499C-7A1A-4F7A-BD19-DC1DA5D0EB46}"/>
    <hyperlink ref="B1652" r:id="rId2866" display="https://www.google.com/url?q=http://poj.org/problem?id%3D1147&amp;sa=D&amp;ust=1605639802205000&amp;usg=AFQjCNFb0rmdvigkoqenLX4W6igoEk5m8w" xr:uid="{B8BD88FF-B3B9-4100-953B-A6A8BCC387DD}"/>
    <hyperlink ref="F1652" r:id="rId2867" display="https://www.google.com/url?q=https://github.com/mostafa-saad/MyCompetitiveProgramming/blob/master/Olympiad/IOI/official/2001&amp;sa=D&amp;ust=1605639802205000&amp;usg=AFQjCNFG0abg4_fiew-RgOp5B3v_4zI38w" xr:uid="{76D2FE07-27D1-4CFE-A4E4-ADB5C7C6FEBC}"/>
    <hyperlink ref="B1653" r:id="rId2868" display="https://www.google.com/url?q=http://poj.org/problem?id%3D1196&amp;sa=D&amp;ust=1605639802205000&amp;usg=AFQjCNEqKFES0-AT5ZGpLGRqylDX0np0ig" xr:uid="{2B3DB471-3BF7-4ACC-ABDB-E55975047D64}"/>
    <hyperlink ref="F1653" r:id="rId2869" display="https://www.google.com/url?q=https://github.com/mostafa-saad/MyCompetitiveProgramming/blob/master/Olympiad/IOI/official/2001&amp;sa=D&amp;ust=1605639802206000&amp;usg=AFQjCNHtLm6YKREPBAlpkmjGhZXQfBAMig" xr:uid="{5E61818F-CFDA-4A42-821D-FD0F8BD0F507}"/>
    <hyperlink ref="B1654" r:id="rId2870" display="https://www.google.com/url?q=https://oj.uz/problem/view/IOI19_split&amp;sa=D&amp;ust=1605639802206000&amp;usg=AFQjCNHbVZAoGMdy3plSrmVVox6M10e_qA" xr:uid="{6B5A5337-D5B9-468C-87F7-DC06D2B85665}"/>
    <hyperlink ref="F1654" r:id="rId2871" display="https://www.google.com/url?q=https://github.com/mostafa-saad/MyCompetitiveProgramming/tree/master/Olympiad/IOI/official/2019&amp;sa=D&amp;ust=1605639802206000&amp;usg=AFQjCNEAMB3Gt5LBTPBmOkWBjPPX_f2z1g" xr:uid="{9B3A2FF6-4249-4CDC-B955-94129E9DF779}"/>
    <hyperlink ref="B1655" r:id="rId2872" display="https://www.google.com/url?q=https://oj.uz/problem/view/IOI19_walk&amp;sa=D&amp;ust=1605639802207000&amp;usg=AFQjCNGp8mVSyToJXtCjwbzAeWOyFqORXg" xr:uid="{045905F3-8954-4447-B168-38546B42B564}"/>
    <hyperlink ref="F1655" r:id="rId2873" display="https://www.google.com/url?q=https://github.com/mostafa-saad/MyCompetitiveProgramming/tree/master/Olympiad/IOI/official/2019&amp;sa=D&amp;ust=1605639802207000&amp;usg=AFQjCNG-GYnY0MRH6OUW8unNsB-iDAmV1g" xr:uid="{44CF4439-B54F-4713-ACB5-1A6EB451441F}"/>
    <hyperlink ref="B1656" r:id="rId2874" display="https://www.google.com/url?q=https://wcipeg.com/problem/ioi1401&amp;sa=D&amp;ust=1605639802207000&amp;usg=AFQjCNFl9gBsOo-FmlM8FUBpKuzp6dcb0w" xr:uid="{4C2737D0-2455-40FB-9432-8C80E8A6E0C6}"/>
    <hyperlink ref="B1657" r:id="rId2875" display="https://www.google.com/url?q=https://wcipeg.com/problem/ioi1402&amp;sa=D&amp;ust=1605639802208000&amp;usg=AFQjCNG8vDGUoxwNjMGP5R5mLhyZeE4tmw" xr:uid="{BAD10637-87E4-4E47-820D-498126768A32}"/>
    <hyperlink ref="B1658" r:id="rId2876" display="https://www.google.com/url?q=https://wcipeg.com/problem/ioi1403&amp;sa=D&amp;ust=1605639802208000&amp;usg=AFQjCNFWZkmOSzBTliuHsKXFnRnPHyoGiQ" xr:uid="{92EF0956-D1D3-4970-A6D7-F91C1D05026A}"/>
    <hyperlink ref="B1659" r:id="rId2877" display="https://www.google.com/url?q=https://dunjudge.me/analysis/problems/1659/&amp;sa=D&amp;ust=1605639802210000&amp;usg=AFQjCNGg3XQNTe_DOiEDSqTbdvsNU2kvuA" xr:uid="{ED8E8BEB-75EA-4E1C-913D-E1C57B7A583C}"/>
    <hyperlink ref="B1660" r:id="rId2878" display="https://www.google.com/url?q=https://dunjudge.me/analysis/problems/1660/&amp;sa=D&amp;ust=1605639802265000&amp;usg=AFQjCNGNwHFdoE9JaCwbmG8QST_vcdw1ZA" xr:uid="{B8DA6D79-6572-4B3C-AA45-BB63CAE00B7D}"/>
    <hyperlink ref="B1661" r:id="rId2879" display="https://www.google.com/url?q=http://ioi2017.org/contest/practice/&amp;sa=D&amp;ust=1605639802265000&amp;usg=AFQjCNEeWlOCVdARLy1XB65seLIiDTYnoQ" xr:uid="{644EC00F-DF4D-4700-AC33-F8264E1EA3AA}"/>
    <hyperlink ref="B1662" r:id="rId2880" display="https://www.google.com/url?q=https://dunjudge.me/analysis/problems/1661/&amp;sa=D&amp;ust=1605639802266000&amp;usg=AFQjCNHvaz6ll_e06qd-fCAwy3eKKoytGA" xr:uid="{548646A6-2596-442A-85C6-94ED42F1DB8C}"/>
    <hyperlink ref="B1663" r:id="rId2881" display="https://www.google.com/url?q=https://oj.uz/problem/view/IZhO14_ufo&amp;sa=D&amp;ust=1605639802266000&amp;usg=AFQjCNHpVUASUoRsqYeJATXzVJwf2f7-uA" xr:uid="{D4012FB1-F523-4299-94EB-51FCA1BADB2E}"/>
    <hyperlink ref="B1664" r:id="rId2882" display="https://www.google.com/url?q=https://joi2014ho.contest.atcoder.jp/tasks/joi2014ho5&amp;sa=D&amp;ust=1605639802267000&amp;usg=AFQjCNEpGlhxAcxHvOToWnBSd9BrfwLngQ" xr:uid="{2EFF85B1-360B-4FB0-BD4B-35719DBD3919}"/>
    <hyperlink ref="B1665" r:id="rId2883" display="https://www.google.com/url?q=https://joi2015ho.contest.atcoder.jp/tasks/joi2015ho_d&amp;sa=D&amp;ust=1605639802267000&amp;usg=AFQjCNGFCK13bsQa1uJ2oUvF-cJS0iI2eQ" xr:uid="{A8424872-DE8F-4A99-915A-D499A016BA35}"/>
    <hyperlink ref="B1666" r:id="rId2884" display="https://www.google.com/url?q=https://joi2015ho.contest.atcoder.jp/tasks/joi2015ho_e&amp;sa=D&amp;ust=1605639802268000&amp;usg=AFQjCNH_kyw1COd_YRGGUSAchuiD7u8vIA" xr:uid="{59736F01-9133-4D42-A437-F1179003BC77}"/>
    <hyperlink ref="B1667" r:id="rId2885" display="https://www.google.com/url?q=https://joi2016ho.contest.atcoder.jp/tasks/joi2016ho_d&amp;sa=D&amp;ust=1605639802268000&amp;usg=AFQjCNHNZ8-rXuVnCFGrT9y1bd-qAfGL7A" xr:uid="{85D66887-8E70-4567-8AA8-4399992066B5}"/>
    <hyperlink ref="B1668" r:id="rId2886" display="https://www.google.com/url?q=https://oj.uz/problem/view/JOI17_rope&amp;sa=D&amp;ust=1605639802269000&amp;usg=AFQjCNF5Tbt-tFFsJ7C1cv9_CQAdn7Nm1g" xr:uid="{E577CBD0-D426-41C7-B212-62882C025321}"/>
    <hyperlink ref="B1669" r:id="rId2887" display="https://www.google.com/url?q=https://oj.uz/problems/source/6&amp;sa=D&amp;ust=1605639802269000&amp;usg=AFQjCNEA3DpQDKX4lrnKj1JxrLaovLwIiQ" xr:uid="{D78A856D-0530-4644-9E6F-425C58E6ADB1}"/>
    <hyperlink ref="B1670" r:id="rId2888" display="https://www.google.com/url?q=https://oj.uz/problems/source/56&amp;sa=D&amp;ust=1605639802270000&amp;usg=AFQjCNGCaOv7lGlAbTvr39XOUajK9FrkOQ" xr:uid="{F1094AE0-4CF1-42B4-A4FD-2C9542E00844}"/>
    <hyperlink ref="B1671" r:id="rId2889" display="https://www.google.com/url?q=https://oj.uz/problems/source/214&amp;sa=D&amp;ust=1605639802271000&amp;usg=AFQjCNH8r_HZhxvhyPZp2KMbT7y4lDB-3A" xr:uid="{26A2A17A-1F76-430C-A7E5-26D8A6AEE689}"/>
    <hyperlink ref="B1672" r:id="rId2890" display="https://www.google.com/url?q=https://oj.uz/problem/view/JOI15_election_campaign&amp;sa=D&amp;ust=1605639802271000&amp;usg=AFQjCNGf4q0GOt4HFtKui3SDTEwDBWxW2A" xr:uid="{48BEC6AF-5E9D-48C2-B5FB-B627111ED21B}"/>
    <hyperlink ref="B1673" r:id="rId2891" display="https://www.google.com/url?q=https://oj.uz/problems/source/270&amp;sa=D&amp;ust=1605639802272000&amp;usg=AFQjCNGBySDGiuYGc2ULDblKS87PEVyViQ" xr:uid="{44762E96-0E78-41C9-91FD-E6286F2825CC}"/>
    <hyperlink ref="B1674" r:id="rId2892" display="https://www.google.com/url?q=https://joisc2013-day3.contest.atcoder.jp/tasks/joisc2013_cake&amp;sa=D&amp;ust=1605639802272000&amp;usg=AFQjCNFjEdDSnUCdm8sPSI0bDT73r7OIfA" xr:uid="{041DBD1D-BC0F-4BA9-B674-87AD75F52DFD}"/>
    <hyperlink ref="B1675" r:id="rId2893" display="https://www.google.com/url?q=https://joisc2014.contest.atcoder.jp/tasks/joisc2014_e&amp;sa=D&amp;ust=1605639802273000&amp;usg=AFQjCNEv3SvF2cZoLsNqE2I3oCp3R0RSJw" xr:uid="{9CDC94D7-B77B-4FBD-BFD6-B0CC728A598C}"/>
    <hyperlink ref="B1676" r:id="rId2894" display="https://www.google.com/url?q=https://joisc2014.contest.atcoder.jp/tasks/joisc2014_a&amp;sa=D&amp;ust=1605639802274000&amp;usg=AFQjCNHHsdSM_ni8SK_7BUk2vEMb_ux9lw" xr:uid="{FCCE7A25-A3D0-4B08-ADF8-E91D176B00D0}"/>
    <hyperlink ref="B1677" r:id="rId2895" display="https://www.google.com/url?q=https://joisc2014.contest.atcoder.jp/tasks/joisc2014_k&amp;sa=D&amp;ust=1605639802274000&amp;usg=AFQjCNHDON28GWHPHtfa6jRVJv-bI_qSTQ" xr:uid="{0F2F6DAD-C77D-48EC-8597-5C90AB41E5C2}"/>
    <hyperlink ref="B1678" r:id="rId2896" display="https://www.google.com/url?q=https://joisc2014.contest.atcoder.jp/tasks/joisc2014_f&amp;sa=D&amp;ust=1605639802275000&amp;usg=AFQjCNGzTBtBFvrmBX3snBIRaj2Lw3ATYg" xr:uid="{A05616B2-9D68-4725-A568-50DC915DA578}"/>
    <hyperlink ref="B1679" r:id="rId2897" display="https://www.google.com/url?q=https://joisc2014.contest.atcoder.jp/tasks/joisc2014_h&amp;sa=D&amp;ust=1605639802275000&amp;usg=AFQjCNGgfF0V1xRhbGR0aybEUeCUyBeY2g" xr:uid="{5BD77179-360E-41CE-84B6-671B1EB3722D}"/>
    <hyperlink ref="B1680" r:id="rId2898" display="https://www.google.com/url?q=https://joisc2014.contest.atcoder.jp/tasks/joisc2014_l&amp;sa=D&amp;ust=1605639802276000&amp;usg=AFQjCNEe9KVJUjvfZ79KV1cytJXsplJM6w" xr:uid="{4AFAE617-D1C4-4B35-A4A6-554D8FDA963B}"/>
    <hyperlink ref="B1681" r:id="rId2899" display="https://www.google.com/url?q=https://joisc2014.contest.atcoder.jp/tasks/joisc2014_d&amp;sa=D&amp;ust=1605639802277000&amp;usg=AFQjCNHud7MAkKzJHGcLGaEUZB-dCtMv7A" xr:uid="{F14882F0-5F62-4D94-B550-D1588441D47B}"/>
    <hyperlink ref="B1682" r:id="rId2900" display="https://www.google.com/url?q=https://joisc2014.contest.atcoder.jp/tasks/joisc2014_i&amp;sa=D&amp;ust=1605639802279000&amp;usg=AFQjCNHk0hSWY055qV4_cgvwReqcP5BzIw" xr:uid="{CB682D62-6D20-4B5C-A347-C82C681BA45A}"/>
    <hyperlink ref="B1683" r:id="rId2901" display="https://www.google.com/url?q=https://joisc2014.contest.atcoder.jp/tasks/joisc2014_g&amp;sa=D&amp;ust=1605639802280000&amp;usg=AFQjCNE522BPD2yePU-1M3pVuBvfoaw98w" xr:uid="{942A38A3-4360-4492-AFAE-F56D310F4740}"/>
    <hyperlink ref="B1684" r:id="rId2902" display="https://www.google.com/url?q=https://joisc2014.contest.atcoder.jp/tasks/joisc2014_m&amp;sa=D&amp;ust=1605639802280000&amp;usg=AFQjCNG8r639CMfHOg1M6XmPaLQJjAwiww" xr:uid="{0261DBFD-395C-448C-A018-490D57806464}"/>
    <hyperlink ref="B1685" r:id="rId2903" display="https://www.google.com/url?q=https://joisc2014.contest.atcoder.jp/tasks/joisc2014_b&amp;sa=D&amp;ust=1605639802281000&amp;usg=AFQjCNE2YAKOe2rzCMn-CJJPp7zvAjtoEw" xr:uid="{DE8B5BB9-09B1-4C57-A32D-1B5754B00B21}"/>
    <hyperlink ref="B1686" r:id="rId2904" display="https://www.google.com/url?q=https://joisc2014.contest.atcoder.jp/tasks/joisc2014_j&amp;sa=D&amp;ust=1605639802281000&amp;usg=AFQjCNFpC9qRKuWPXcNFuRdE9kRv7tJqQA" xr:uid="{88405438-3AB5-49A4-B708-AB3DEA1DA52C}"/>
    <hyperlink ref="B1687" r:id="rId2905" display="https://www.google.com/url?q=https://dunjudge.me/analysis/problems/771/&amp;sa=D&amp;ust=1605639802282000&amp;usg=AFQjCNE9QSGzEggwK7f6WazSytukzZqVYw" xr:uid="{EA6064A5-C504-458C-ACD9-8C383FAF14E6}"/>
    <hyperlink ref="B1688" r:id="rId2906" display="https://www.google.com/url?q=https://joisc2015.contest.atcoder.jp/tasks/joisc2015_e&amp;sa=D&amp;ust=1605639802283000&amp;usg=AFQjCNGcD0YOBFASNXNeATatTO8RUqjeOA" xr:uid="{EBB48C0F-0A96-43AE-8FBA-B2BD42F4E28D}"/>
    <hyperlink ref="B1689" r:id="rId2907" display="https://www.google.com/url?q=https://joisc2015.contest.atcoder.jp/tasks/joisc2015_i&amp;sa=D&amp;ust=1605639802283000&amp;usg=AFQjCNE96KXb85FBbxzvpEdw-Dq044avJQ" xr:uid="{FDA832A5-D07C-4B91-B189-0EB5D7DE8DFC}"/>
    <hyperlink ref="B1690" r:id="rId2908" display="https://www.google.com/url?q=https://joisc2015.contest.atcoder.jp/tasks/joisc2015_a&amp;sa=D&amp;ust=1605639802284000&amp;usg=AFQjCNF8TJantF-iCWJN1UBgjktYh3S9eQ" xr:uid="{08E8F1FD-BE66-4D23-88A3-50A3CB4DFC28}"/>
    <hyperlink ref="B1691" r:id="rId2909" display="https://www.google.com/url?q=https://dunjudge.me/analysis/problems/742/&amp;sa=D&amp;ust=1605639802284000&amp;usg=AFQjCNG-5m_mVYoeN9QH8QnY2oxnpv1oiA" xr:uid="{01EA3681-23EA-47AF-B541-AE8E7EFCE7BE}"/>
    <hyperlink ref="B1692" r:id="rId2910" display="https://www.google.com/url?q=https://dunjudge.me/analysis/problems/751/&amp;sa=D&amp;ust=1605639802285000&amp;usg=AFQjCNEwXk_ZrVqwDW7945VQi7TR77FIdg" xr:uid="{EA10BC1E-8E3F-4402-86BC-72C9655D53C3}"/>
    <hyperlink ref="B1693" r:id="rId2911" display="https://www.google.com/url?q=https://joisc2015.contest.atcoder.jp/tasks/joisc2015_b&amp;sa=D&amp;ust=1605639802286000&amp;usg=AFQjCNH7y5jPGg5fxe4z7MGikiosvU_1LQ" xr:uid="{CAF7CAE3-3616-49E7-8025-5422A1FBF672}"/>
    <hyperlink ref="B1694" r:id="rId2912" display="https://www.google.com/url?q=https://dunjudge.me/analysis/problems/801/&amp;sa=D&amp;ust=1605639802286000&amp;usg=AFQjCNFX0ezItK4U0o3YmrhgyEUBbhEjcA" xr:uid="{6B461D79-CE77-45E0-B257-CB5ADE8FB211}"/>
    <hyperlink ref="B1695" r:id="rId2913" display="https://www.google.com/url?q=https://joisc2015.contest.atcoder.jp/tasks/joisc2015_g&amp;sa=D&amp;ust=1605639802287000&amp;usg=AFQjCNFj7rRuL8TzskbVsvrpZbSLH3MqAg" xr:uid="{75500147-23DC-46A8-A027-438BD73CE989}"/>
    <hyperlink ref="B1696" r:id="rId2914" display="https://www.google.com/url?q=https://joisc2015.contest.atcoder.jp/tasks/joisc2015_c&amp;sa=D&amp;ust=1605639802287000&amp;usg=AFQjCNHguEkn9hR1va1D4NDMMIshQ1hfPA" xr:uid="{6669FF0A-5366-4D99-9A21-DF5E954FBB11}"/>
    <hyperlink ref="B1697" r:id="rId2915" display="https://www.google.com/url?q=https://joisc2015.contest.atcoder.jp/tasks/joisc2015_m&amp;sa=D&amp;ust=1605639802288000&amp;usg=AFQjCNFX1bcbZvbEkKoBnmwADNh7d_kFVQ" xr:uid="{67603744-2AAB-443A-89B5-943D018F4605}"/>
    <hyperlink ref="B1698" r:id="rId2916" display="https://www.google.com/url?q=https://joisc2016.contest.atcoder.jp/tasks/joisc2016_g&amp;sa=D&amp;ust=1605639802288000&amp;usg=AFQjCNFGBBdTWqgySodIWHOOtxYaEHGtjQ" xr:uid="{89D75D17-DF32-48B1-94CB-C4397F3DE21C}"/>
    <hyperlink ref="B1699" r:id="rId2917" display="https://www.google.com/url?q=https://joisc2016.contest.atcoder.jp/tasks/joisc2016_d&amp;sa=D&amp;ust=1605639802289000&amp;usg=AFQjCNEtod9WdMxf4wITpCJ4d_ROu9T7Og" xr:uid="{97F79C32-4962-444F-81BD-DC5C6875B726}"/>
    <hyperlink ref="B1700" r:id="rId2918" display="https://www.google.com/url?q=https://joisc2016.contest.atcoder.jp/tasks/joisc2016_a&amp;sa=D&amp;ust=1605639802290000&amp;usg=AFQjCNE7jcA3ybTHuwoOAjPRSli2px7V8g" xr:uid="{7EA5F0C0-3F4B-4FDE-8775-DCF3A3207EDA}"/>
    <hyperlink ref="B1701" r:id="rId2919" display="https://www.google.com/url?q=https://joisc2016.contest.atcoder.jp/tasks/joisc2016_b&amp;sa=D&amp;ust=1605639802290000&amp;usg=AFQjCNF7BXDWFlwooGCJvTorA-73rbBH5Q" xr:uid="{E7AFD60C-1226-4798-8681-EF8563D6170F}"/>
    <hyperlink ref="B1702" r:id="rId2920" display="https://www.google.com/url?q=https://joisc2016.contest.atcoder.jp/tasks/joisc2016_l&amp;sa=D&amp;ust=1605639802291000&amp;usg=AFQjCNH8hIbGlxSN5mlEKxHGrU3M2DKlvA" xr:uid="{37026665-66FF-4EB6-9CE9-722C0B2B02EB}"/>
    <hyperlink ref="B1703" r:id="rId2921" display="https://www.google.com/url?q=https://joisc2016.contest.atcoder.jp/tasks/joisc2016_e&amp;sa=D&amp;ust=1605639802292000&amp;usg=AFQjCNHhNwvyX3qzfkumVURs0gV8uLgQeA" xr:uid="{85A9389D-95CB-4B71-9A22-5501933811F7}"/>
    <hyperlink ref="B1704" r:id="rId2922" display="https://www.google.com/url?q=https://joisc2016.contest.atcoder.jp/tasks/joisc2016_j&amp;sa=D&amp;ust=1605639802293000&amp;usg=AFQjCNFy_0dDlGdK6QVqmLlNoYCNh01gRg" xr:uid="{6B11E233-4772-429D-9502-4382C57BE580}"/>
    <hyperlink ref="B1705" r:id="rId2923" display="https://www.google.com/url?q=https://joisc2016.contest.atcoder.jp/tasks/joisc2016_k&amp;sa=D&amp;ust=1605639802294000&amp;usg=AFQjCNH6ko0q3Q6tw3cWw5vtNH3NnjyjXQ" xr:uid="{E965ACE5-1F07-485B-8780-75FDB651613A}"/>
    <hyperlink ref="B1706" r:id="rId2924" display="https://www.google.com/url?q=https://joisc2016.contest.atcoder.jp/tasks/joisc2016_c&amp;sa=D&amp;ust=1605639802295000&amp;usg=AFQjCNEbZa_2iYfho0gJeichIhKq6LzOhw" xr:uid="{D6498991-AC1D-450B-BEC3-D42CDED4406A}"/>
    <hyperlink ref="B1707" r:id="rId2925" display="https://www.google.com/url?q=https://joisc2016.contest.atcoder.jp/tasks/joisc2016_h&amp;sa=D&amp;ust=1605639802295000&amp;usg=AFQjCNGusqshcXlHVTsItLRhuSrzTK4l-w" xr:uid="{DE8C2F03-C770-4A7C-A13E-F89844CDFA6A}"/>
    <hyperlink ref="B1708" r:id="rId2926" display="https://www.google.com/url?q=https://joisc2016.contest.atcoder.jp/tasks/joisc2016_i&amp;sa=D&amp;ust=1605639802296000&amp;usg=AFQjCNEpExxJsycmg7sZL_XyOUlUg3byjQ" xr:uid="{47CB0C45-D25D-4264-B08E-AFB6FE16E3D4}"/>
    <hyperlink ref="B1709" r:id="rId2927" display="https://www.google.com/url?q=https://joisc2016.contest.atcoder.jp/tasks/joisc2016_f&amp;sa=D&amp;ust=1605639802296000&amp;usg=AFQjCNETOYmKbJp7hPQHNEvRRJLCdEyOpA" xr:uid="{E2A0DCBE-BE9E-4CDC-93F6-91F54A943B28}"/>
    <hyperlink ref="B1710" r:id="rId2928" display="https://www.google.com/url?q=https://dunjudge.me/analysis/problems/551/&amp;sa=D&amp;ust=1605639802297000&amp;usg=AFQjCNH-7rgVBtZJl4cDYACR1ddBG_nPZg" xr:uid="{C0E1F049-4379-43F0-9ADA-863B5D4BEE67}"/>
    <hyperlink ref="F1710" r:id="rId2929" display="https://www.google.com/url?q=https://github.com/mostafa-saad/MyCompetitiveProgramming/tree/master/Olympiad/MCO/official/2014&amp;sa=D&amp;ust=1605639802297000&amp;usg=AFQjCNFpcDlSAeCBr8L0b-tBvcX2-AjeYw" xr:uid="{28C8AF42-D5D5-4BDE-A4B3-284FC40D68C5}"/>
    <hyperlink ref="B1711" r:id="rId2930" display="https://www.google.com/url?q=https://dunjudge.me/analysis/problems/723/&amp;sa=D&amp;ust=1605639802297000&amp;usg=AFQjCNEgmMy-t-X4aq8jRaJTu3FWKn-rBg" xr:uid="{73E92F71-E7B5-4D50-AC37-A41CA6020CE3}"/>
    <hyperlink ref="F1711" r:id="rId2931" display="https://www.google.com/url?q=https://github.com/mostafa-saad/MyCompetitiveProgramming/tree/master/Olympiad/MCO/official/2015&amp;sa=D&amp;ust=1605639802298000&amp;usg=AFQjCNEY7BhoyofAJEZQDRDUlYSvkYEVHg" xr:uid="{6227C712-921C-45E1-A0AA-FE1375BC0BD9}"/>
    <hyperlink ref="B1712" r:id="rId2932" display="https://www.google.com/url?q=https://dunjudge.me/analysis/problems/976/&amp;sa=D&amp;ust=1605639802298000&amp;usg=AFQjCNEf77NJQgSsIWNlDRIECehTILX97A" xr:uid="{13253059-DBFD-4292-864E-8603DCABB9E0}"/>
    <hyperlink ref="B1713" r:id="rId2933" display="https://www.google.com/url?q=https://dmoj.ca/problem/mwc15c2p2&amp;sa=D&amp;ust=1605639802299000&amp;usg=AFQjCNGK0g5mGaygOGMblHd0hTjD_69bYg" xr:uid="{DB65B714-2E34-4883-9A21-40EEAAD8B32E}"/>
    <hyperlink ref="B1714" r:id="rId2934" display="https://www.google.com/url?q=https://dunjudge.me/analysis/problems/1497/&amp;sa=D&amp;ust=1605639802299000&amp;usg=AFQjCNF5-64whlKYWd0yClYCdnohm--jHg" xr:uid="{05B261FC-8DB8-4152-8290-A3B5E625645E}"/>
    <hyperlink ref="B1715" r:id="rId2935" display="https://www.google.com/url?q=https://dunjudge.me/analysis/problems/1499/&amp;sa=D&amp;ust=1605639802300000&amp;usg=AFQjCNHLOaEqcqTXAEtFAKf37XehYXbm_Q" xr:uid="{9666606C-219E-4AA2-8E6C-CA2249BBA61D}"/>
    <hyperlink ref="B1716" r:id="rId2936" display="https://www.google.com/url?q=https://dunjudge.me/analysis/problems/1498/&amp;sa=D&amp;ust=1605639802300000&amp;usg=AFQjCNFrj2bMxqDGwGNSEMrh5WhpH2XMYw" xr:uid="{2A150420-2883-4AF3-B248-EEE93EFA61FB}"/>
    <hyperlink ref="B1717" r:id="rId2937" display="https://www.google.com/url?q=https://dunjudge.me/analysis/problems/1500/&amp;sa=D&amp;ust=1605639802301000&amp;usg=AFQjCNGBQavxOJlu25T8Bh1epapuJYkdRQ" xr:uid="{1C5A11A8-CBA6-4E0E-957F-EA2C82650896}"/>
    <hyperlink ref="B1718" r:id="rId2938" display="https://www.google.com/url?q=https://dunjudge.me/analysis/problems/957/&amp;sa=D&amp;ust=1605639802301000&amp;usg=AFQjCNHj0Q9W7R4cmQWnZ9R8v0PKJTbQkg" xr:uid="{8F8879EA-DE69-43BA-8301-BFE9561050C9}"/>
    <hyperlink ref="F1718" r:id="rId2939" display="https://www.google.com/url?q=https://github.com/mostafa-saad/MyCompetitiveProgramming/blob/master/Olympiad/NOI/official&amp;sa=D&amp;ust=1605639802301000&amp;usg=AFQjCNHx_U39svQjn7vdJ3Zzex1ZN6FeQQ" xr:uid="{B0CD62A8-9520-430B-B106-E0243879BBC1}"/>
    <hyperlink ref="B1719" r:id="rId2940" display="https://www.google.com/url?q=https://dunjudge.me/analysis/problems/1828/&amp;sa=D&amp;ust=1605639802302000&amp;usg=AFQjCNHXkv9UREPpx-WH9jOGUKspfgrIbw" xr:uid="{0173F8C7-2AE0-47F4-86B2-CEF266D7A148}"/>
    <hyperlink ref="B1720" r:id="rId2941" display="https://www.google.com/url?q=https://dunjudge.me/analysis/problems/141/&amp;sa=D&amp;ust=1605639802302000&amp;usg=AFQjCNHHh3bc51se56vsKFDWFxgbLBsQTw" xr:uid="{48EDA229-4378-4794-977D-B5B360F29BA9}"/>
    <hyperlink ref="B1721" r:id="rId2942" display="https://www.google.com/url?q=https://dunjudge.me/analysis/problems/15/&amp;sa=D&amp;ust=1605639802303000&amp;usg=AFQjCNEJaEAHM7oAm13L_6sxCu4C17c-Ww" xr:uid="{2F51ED49-1572-42EB-B301-9E0CB9D6EF81}"/>
    <hyperlink ref="B1722" r:id="rId2943" display="https://www.google.com/url?q=https://dunjudge.me/analysis/problems/86/&amp;sa=D&amp;ust=1605639802303000&amp;usg=AFQjCNGrXZfkGbwSqy-cYpq-i7RVHX-L6Q" xr:uid="{A4422795-E05E-4148-8EDB-FEB470369F8C}"/>
    <hyperlink ref="B1723" r:id="rId2944" display="https://www.google.com/url?q=https://dunjudge.me/analysis/problems/42/&amp;sa=D&amp;ust=1605639802304000&amp;usg=AFQjCNFP-u4RuSEjU0IZ_RmCK9acL3Yzxw" xr:uid="{22EF12D0-1200-4CDC-B003-665F9719D395}"/>
    <hyperlink ref="B1724" r:id="rId2945" display="https://www.google.com/url?q=https://dunjudge.me/analysis/problems/43/&amp;sa=D&amp;ust=1605639802304000&amp;usg=AFQjCNGdAH0iKiunvBy600vv1zy9w9Uh-g" xr:uid="{84CB0AA6-EBA1-4CD0-B940-40BE99F92FC2}"/>
    <hyperlink ref="B1725" r:id="rId2946" display="https://www.google.com/url?q=https://dunjudge.me/analysis/problems/46/&amp;sa=D&amp;ust=1605639802305000&amp;usg=AFQjCNFRocZYp9XNu4G2iC_DIeOCAbadwQ" xr:uid="{614A0734-C023-4C14-837A-349E2029DBEF}"/>
    <hyperlink ref="B1726" r:id="rId2947" display="https://www.google.com/url?q=https://dunjudge.me/analysis/problems/187/&amp;sa=D&amp;ust=1605639802305000&amp;usg=AFQjCNGHlwZjvE4As9qXSn7LJK-vRtg3ow" xr:uid="{72D11170-0581-4A96-8321-397DC66325FB}"/>
    <hyperlink ref="B1727" r:id="rId2948" display="https://www.google.com/url?q=https://dunjudge.me/analysis/problems/189/&amp;sa=D&amp;ust=1605639802308000&amp;usg=AFQjCNGIvx3WshRaCEZmS0ajDoa7ilH2IQ" xr:uid="{1E3E772B-1943-45DA-A1DE-78D1F7880135}"/>
    <hyperlink ref="B1728" r:id="rId2949" display="https://www.google.com/url?q=https://dunjudge.me/analysis/problems/185/&amp;sa=D&amp;ust=1605639802309000&amp;usg=AFQjCNGz9qbPaI7WrsrEVhOkB-nS31E_2Q" xr:uid="{F44094E5-8F16-4C3F-8D35-C7BAB0B8D5C7}"/>
    <hyperlink ref="B1729" r:id="rId2950" display="https://www.google.com/url?q=https://dunjudge.me/analysis/problems/678/&amp;sa=D&amp;ust=1605639802309000&amp;usg=AFQjCNEAOQMHm4O5uOLpx0eRr0wHDxsIhQ" xr:uid="{A599C3FE-BC24-4C05-909B-16FBB212786C}"/>
    <hyperlink ref="B1730" r:id="rId2951" display="https://www.google.com/url?q=https://dunjudge.me/analysis/problems/1189/&amp;sa=D&amp;ust=1605639802310000&amp;usg=AFQjCNGLF9u_qFKZ5MR2sGvbJ0ovNl4d9w" xr:uid="{3F229A2C-B43D-4FD9-A749-B20EDCC4BC7F}"/>
    <hyperlink ref="B1731" r:id="rId2952" display="https://www.google.com/url?q=https://dunjudge.me/analysis/problems/1171/&amp;sa=D&amp;ust=1605639802310000&amp;usg=AFQjCNFALkriIeGBz9TtvwYmWE6477KpXw" xr:uid="{B9CFEB24-580B-4F72-AE82-CA9AF311C313}"/>
    <hyperlink ref="B1732" r:id="rId2953" display="https://www.google.com/url?q=https://dunjudge.me/analysis/problems/1174/&amp;sa=D&amp;ust=1605639802311000&amp;usg=AFQjCNGeGESLM8sPKuvaZpxylNXuyyNzRg" xr:uid="{65C77BA8-BEF5-4A43-A08C-1A0DB44B5822}"/>
    <hyperlink ref="B1733" r:id="rId2954" display="https://www.google.com/url?q=https://dunjudge.me/analysis/problems/1170/&amp;sa=D&amp;ust=1605639802311000&amp;usg=AFQjCNHt4zjWnwmu3LvTjBdIqEA9dl438w" xr:uid="{E800CA55-F321-4C85-A5F9-3AA629A35CC3}"/>
    <hyperlink ref="B1734" r:id="rId2955" display="https://www.google.com/url?q=https://dunjudge.me/analysis/problems/1187/&amp;sa=D&amp;ust=1605639802312000&amp;usg=AFQjCNEcgfyYLmIal72LpsRyaT67SG9JJA" xr:uid="{9F5C44F1-1E60-46FE-A7D5-696F0AC2265D}"/>
    <hyperlink ref="B1735" r:id="rId2956" display="https://www.google.com/url?q=https://dunjudge.me/analysis/problems/1175/&amp;sa=D&amp;ust=1605639802312000&amp;usg=AFQjCNEe_H6eAr0aRfFLaQpRSctpVrwPfw" xr:uid="{D6A8D279-ED41-4932-BB51-AB55537EACBD}"/>
    <hyperlink ref="B1736" r:id="rId2957" display="https://www.google.com/url?q=https://dunjudge.me/analysis/problems/1188/&amp;sa=D&amp;ust=1605639802364000&amp;usg=AFQjCNHcR6infxqzJ0Bzvvgx1Bh4IH3Wig" xr:uid="{7A384B1D-C016-4083-99B7-CF4F41ACF7ED}"/>
    <hyperlink ref="B1737" r:id="rId2958" display="https://www.google.com/url?q=https://dunjudge.me/analysis/problems/1173/&amp;sa=D&amp;ust=1605639802365000&amp;usg=AFQjCNHn8VZX4dciE5Z8rjaZxSWzrs6XsA" xr:uid="{A864F413-C53F-42C1-8E32-896D6045A918}"/>
    <hyperlink ref="B1738" r:id="rId2959" display="https://www.google.com/url?q=https://dunjudge.me/analysis/problems/1186/&amp;sa=D&amp;ust=1605639802365000&amp;usg=AFQjCNHMgU7RYX8Bf-5U2UsLNEJ9hVG0Hw" xr:uid="{6EF2F7B6-BC69-4127-9FA6-E63FBA645384}"/>
    <hyperlink ref="B1739" r:id="rId2960" display="https://www.google.com/url?q=https://dunjudge.me/analysis/problems/1190/&amp;sa=D&amp;ust=1605639802366000&amp;usg=AFQjCNHSWMu-W5SnPYUqyA-R2OS4lfXhOw" xr:uid="{0631C06B-8D0B-4CF8-8349-0D6F3440E02F}"/>
    <hyperlink ref="B1740" r:id="rId2961" display="https://www.google.com/url?q=https://dunjudge.me/analysis/problems/1470/&amp;sa=D&amp;ust=1605639802367000&amp;usg=AFQjCNGuOigDQCZhVotnbSvueEvDZJSBHA" xr:uid="{E2047E03-EBBD-4C6E-8021-59A36CD2FE83}"/>
    <hyperlink ref="B1741" r:id="rId2962" display="https://www.google.com/url?q=https://szkopul.edu.pl/problemset/problem/zQvxlGgoPvqRrAK0TuLeWIRD/site/&amp;sa=D&amp;ust=1605639802371000&amp;usg=AFQjCNF458E_llkTQrZ_IMzMY4yRyIg1ng" xr:uid="{3FCAA0EB-1A30-4512-9F5F-CEC4BFA4B36C}"/>
    <hyperlink ref="F1741" r:id="rId2963" display="https://www.google.com/url?q=https://github.com/mostafa-saad/MyCompetitiveProgramming/blob/master/Olympiad/POI/official/find_editorial_sols_guidelines.txt&amp;sa=D&amp;ust=1605639802372000&amp;usg=AFQjCNFWxRVL_9cjktbYy-LV9xqFA2qshQ" xr:uid="{537DB9DE-23DB-4AE6-8020-546966E4AF35}"/>
    <hyperlink ref="B1742" r:id="rId2964" display="https://www.google.com/url?q=https://szkopul.edu.pl/problemset/problem/qDH9CkBHZKHY4vbKRBlXPrA7/site/&amp;sa=D&amp;ust=1605639802372000&amp;usg=AFQjCNEugvKSlAaMFc05QiAMO8DR8YLUhw" xr:uid="{4A55A83F-3A13-4741-822F-17BEC4EED38A}"/>
    <hyperlink ref="F1742" r:id="rId2965" display="https://www.google.com/url?q=https://github.com/mostafa-saad/MyCompetitiveProgramming/blob/master/Olympiad/POI/official/find_editorial_sols_guidelines.txt&amp;sa=D&amp;ust=1605639802373000&amp;usg=AFQjCNGRt34yu9GcTA_ASwhVD6PTxjJQoQ" xr:uid="{36733674-7BD6-4370-B77C-05F8EC2EEFD4}"/>
    <hyperlink ref="B1743" r:id="rId2966" display="https://www.google.com/url?q=https://oj.uz/problem/view/POI11_dyn&amp;sa=D&amp;ust=1605639802373000&amp;usg=AFQjCNHAi_hBmm8SEjLFkLwijcyUIzLk6A" xr:uid="{ECF3C9E9-40CD-458C-9EE9-F19F29F5EF3E}"/>
    <hyperlink ref="F1743" r:id="rId2967" display="https://www.google.com/url?q=https://github.com/mostafa-saad/MyCompetitiveProgramming/blob/master/Olympiad/POI/official/find_editorial_sols_guidelines.txt&amp;sa=D&amp;ust=1605639802373000&amp;usg=AFQjCNGRt34yu9GcTA_ASwhVD6PTxjJQoQ" xr:uid="{EC066283-BED0-4871-BCD0-1268DA46D4DD}"/>
    <hyperlink ref="B1744" r:id="rId2968" display="https://www.google.com/url?q=https://szkopul.edu.pl/problemset/problem/7u_14yXL3mR3mO0seZLusF5U/site/&amp;sa=D&amp;ust=1605639802374000&amp;usg=AFQjCNG2MQsVeiRQed2bZ5MRK8HsZq5ZZw" xr:uid="{A4DEEC19-5247-4C90-B4F8-00FDDD07A678}"/>
    <hyperlink ref="F1744" r:id="rId2969" display="https://www.google.com/url?q=https://github.com/mostafa-saad/MyCompetitiveProgramming/blob/master/Olympiad/POI/official/find_editorial_sols_guidelines.txt&amp;sa=D&amp;ust=1605639802374000&amp;usg=AFQjCNGF0yRX5htRLr31wl8zRcNRVxbIFA" xr:uid="{16A2636D-E9A3-40CC-979B-15915F38C70B}"/>
    <hyperlink ref="B1745" r:id="rId2970" display="https://www.google.com/url?q=https://szkopul.edu.pl/problemset/problem/MZTXfOVnJmac175TTH5Lr9Q3/site/&amp;sa=D&amp;ust=1605639802374000&amp;usg=AFQjCNHF8HrvBSfrAbkvOQE-zyn2ijoNHg" xr:uid="{F5AC59B1-CB24-412B-89D6-5B906DC6F962}"/>
    <hyperlink ref="F1745" r:id="rId2971" display="https://www.google.com/url?q=https://github.com/mostafa-saad/MyCompetitiveProgramming/blob/master/Olympiad/POI/official/find_editorial_sols_guidelines.txt&amp;sa=D&amp;ust=1605639802375000&amp;usg=AFQjCNGW2ZHpbkU3Nzkjrq5-BHCH52Y7Ow" xr:uid="{4C224552-EA2D-4C92-951A-37650D2F0060}"/>
    <hyperlink ref="B1746" r:id="rId2972" display="https://www.google.com/url?q=https://szkopul.edu.pl/problemset/problem/xfTByTABS18uZ1lmg4wQkVf2/site/&amp;sa=D&amp;ust=1605639802375000&amp;usg=AFQjCNGII7W_fic_b2u6ST0F6HiC0g8Pzg" xr:uid="{F2DE8244-BAFA-469E-9D8F-058F254A9330}"/>
    <hyperlink ref="F1746" r:id="rId2973" display="https://www.google.com/url?q=https://github.com/mostafa-saad/MyCompetitiveProgramming/blob/master/Olympiad/POI/official/find_editorial_sols_guidelines.txt&amp;sa=D&amp;ust=1605639802375000&amp;usg=AFQjCNGW2ZHpbkU3Nzkjrq5-BHCH52Y7Ow" xr:uid="{785CA239-5414-4C56-BDB7-49527532AA03}"/>
    <hyperlink ref="B1747" r:id="rId2974" display="https://www.google.com/url?q=https://oj.uz/problem/view/POI13_gob&amp;sa=D&amp;ust=1605639802376000&amp;usg=AFQjCNH-_0Z4bF28tBxOeVLJXuTbfllwcA" xr:uid="{054E328C-CC96-4841-A29A-015120677DDE}"/>
    <hyperlink ref="F1747" r:id="rId2975" display="https://www.google.com/url?q=https://github.com/mostafa-saad/MyCompetitiveProgramming/blob/master/Olympiad/POI/official/find_editorial_sols_guidelines.txt&amp;sa=D&amp;ust=1605639802378000&amp;usg=AFQjCNGOAbiYyfhFfq9eRVOYdl48kH4YKA" xr:uid="{D7A50622-3708-4EDF-BD5D-A54C8F6E8208}"/>
    <hyperlink ref="B1748" r:id="rId2976" display="https://www.google.com/url?q=https://oj.uz/problem/view/POI13_mul&amp;sa=D&amp;ust=1605639802378000&amp;usg=AFQjCNGB9FO6aibB8HrcnDj51IWm4pF-iw" xr:uid="{7FDADBEF-A2DB-455E-A688-13B0734510E9}"/>
    <hyperlink ref="B1749" r:id="rId2977" display="https://www.google.com/url?q=https://oj.uz/problem/view/POI13_tak&amp;sa=D&amp;ust=1605639802379000&amp;usg=AFQjCNFTDp6AJR5rwpHvYIS3IrcnEWjA0A" xr:uid="{49007D19-39B4-4E45-8B65-B1AAC2D0499D}"/>
    <hyperlink ref="B1750" r:id="rId2978" display="https://www.google.com/url?q=https://szkopul.edu.pl/problemset/problem/i5L29vV7ud8D_VU-PXyaA_2L/site/&amp;sa=D&amp;ust=1605639802379000&amp;usg=AFQjCNG7XNPdGsDkU28vdpLhXOAXx1cGMw" xr:uid="{86E5EAD2-8CC3-4512-A803-C10D5FEB23F2}"/>
    <hyperlink ref="B1751" r:id="rId2979" display="https://www.google.com/url?q=https://szkopul.edu.pl/problemset/problem/2yK6zUTXvAjhxSDfbjE4Zx7k/site/&amp;sa=D&amp;ust=1605639802380000&amp;usg=AFQjCNG7i5NcC-9JYo_ljYY_NfrmUZNkgQ" xr:uid="{B4EE846E-63B0-47E3-AC5B-AC3924943F90}"/>
    <hyperlink ref="B1752" r:id="rId2980" display="https://www.google.com/url?q=https://szkopul.edu.pl/problemset/problem/d30xri2XGeuQ45CDrB7DWijK/site/&amp;sa=D&amp;ust=1605639802381000&amp;usg=AFQjCNEfXvYSfpz5B09tMupuRRONt4emxw" xr:uid="{AB61E47B-97F3-46DE-B542-9931F9286ACD}"/>
    <hyperlink ref="F1752" r:id="rId2981" display="https://www.google.com/url?q=https://github.com/mostafa-saad/MyCompetitiveProgramming/blob/master/Olympiad/POI/official/find_editorial_sols_guidelines.txt&amp;sa=D&amp;ust=1605639802381000&amp;usg=AFQjCNFp6A9pocPnOuBxfn-GRdoBSfTBYA" xr:uid="{371AA8AA-1B32-4208-8FC6-3694ED7C289B}"/>
    <hyperlink ref="B1753" r:id="rId2982" display="https://www.google.com/url?q=https://szkopul.edu.pl/problemset/problem/3zwfwt3ZGc2f6NndNgzS3Dfu/site/&amp;sa=D&amp;ust=1605639802381000&amp;usg=AFQjCNHYIMa5UaYyMJvOcmqJOeisXuczfA" xr:uid="{23FB5C61-9A5C-49EA-9A8B-360D793247C6}"/>
    <hyperlink ref="B1754" r:id="rId2983" display="https://www.google.com/url?q=https://szkopul.edu.pl/problemset/problem/3Kqkgeapr-W-MBprNjUDGICL/site/&amp;sa=D&amp;ust=1605639802382000&amp;usg=AFQjCNGK5yBBvbmlWNjPZtYAkBB8WpU5Ig" xr:uid="{CABDFB89-B36C-4E31-BCE1-6EB0266211E6}"/>
    <hyperlink ref="F1754" r:id="rId2984" display="https://www.google.com/url?q=https://github.com/mostafa-saad/MyCompetitiveProgramming/blob/master/Olympiad/POI/official/find_editorial_sols_guidelines.txt&amp;sa=D&amp;ust=1605639802382000&amp;usg=AFQjCNFpYgWtZW1Y-nqoaLPmFv8TQFXd3A" xr:uid="{913D62DC-2697-4BA7-B6F6-3B7D64608F01}"/>
    <hyperlink ref="B1755" r:id="rId2985" display="https://www.google.com/url?q=https://szkopul.edu.pl/problemset/problem/oNnWY6ZuzzhvG-jCmijiXkIk/site/&amp;sa=D&amp;ust=1605639802382000&amp;usg=AFQjCNEJcX8LCTWVh6LeNNWRrvTkDDpOXQ" xr:uid="{363FCC9A-A42D-48D5-90DB-0147B39C718D}"/>
    <hyperlink ref="B1756" r:id="rId2986" display="https://www.google.com/url?q=https://szkopul.edu.pl/problemset/problem/9NFtPM59qGWa7wdn570ifuP0/site/&amp;sa=D&amp;ust=1605639802383000&amp;usg=AFQjCNErvCWMp7E2JcumXYjaet5hajSFcA" xr:uid="{6162ED62-151F-4342-B199-CF275B553A48}"/>
    <hyperlink ref="B1757" r:id="rId2987" display="https://www.google.com/url?q=https://szkopul.edu.pl/problemset/problem/-7cqC3RrH4e-Ar7DWy4GKzLv/site/&amp;sa=D&amp;ust=1605639802383000&amp;usg=AFQjCNEir35hqguKbVcfCA7AJ2YTp2dNcg" xr:uid="{CF83FDD1-27DF-4E1B-9ED6-4C32134C4AF2}"/>
    <hyperlink ref="B1758" r:id="rId2988" display="https://www.google.com/url?q=https://szkopul.edu.pl/problemset/problem/WLKPphrG7df9acKBOlEMEKY3/site/&amp;sa=D&amp;ust=1605639802384000&amp;usg=AFQjCNGnQdrkJYJsQdhk6C_Lx05BwHdT4Q" xr:uid="{782CAB8B-ADC1-4BB0-AEFB-6113E364C955}"/>
    <hyperlink ref="B1759" r:id="rId2989" display="https://www.google.com/url?q=https://szkopul.edu.pl/problemset/problem/cSnlafnvkbirhnQrS9CQ9MEw/site/&amp;sa=D&amp;ust=1605639802384000&amp;usg=AFQjCNHxjER8ORmVORTsvblX8ysN4IubfQ" xr:uid="{40B1FE7B-6A0A-4188-B36F-A0D1038D80D2}"/>
    <hyperlink ref="B1760" r:id="rId2990" display="https://www.google.com/url?q=https://szkopul.edu.pl/problemset/problem/eLy9p2a1VStZ4y9y-LdeB-8f/site/&amp;sa=D&amp;ust=1605639802385000&amp;usg=AFQjCNF6p_UuIhJK3X3v2OZM3IAS8ySwUg" xr:uid="{F06F4A9E-6319-4D41-8887-79623F6298EA}"/>
    <hyperlink ref="B1761" r:id="rId2991" display="https://www.google.com/url?q=https://szkopul.edu.pl/problemset/problem/0KG8REkSLNnY5sVkm7Aei_R7/site/&amp;sa=D&amp;ust=1605639802385000&amp;usg=AFQjCNG6FEFkgoi_foXjio9qR9QMVoWlHw" xr:uid="{2DAE6A86-2D8D-4497-B899-61DA26C7F026}"/>
    <hyperlink ref="B1762" r:id="rId2992" display="https://www.google.com/url?q=https://szkopul.edu.pl/problemset/problem/wrTmzO9-dzEbLtsRUCdMV2_W/site/&amp;sa=D&amp;ust=1605639802386000&amp;usg=AFQjCNFa127ZXFBTL2prw0k_8XQBfPon0g" xr:uid="{BC868B24-AAD8-4A36-A24C-CD52FC8985B4}"/>
    <hyperlink ref="B1763" r:id="rId2993" display="https://www.google.com/url?q=https://szkopul.edu.pl/problemset/problem/w-dbshXVyRol4LIT9jeP-bNn/site/&amp;sa=D&amp;ust=1605639802386000&amp;usg=AFQjCNHEkBlvuWAQHDpd-_5nGbmGCj4ZbQ" xr:uid="{3CEB450F-50CF-429E-AA40-BCC36E1E058E}"/>
    <hyperlink ref="B1764" r:id="rId2994" display="https://www.google.com/url?q=https://szkopul.edu.pl/problemset/problem/CUjJDGGSEZmO7HvdZU4FKrL6/site/&amp;sa=D&amp;ust=1605639802387000&amp;usg=AFQjCNEqR5r_rzX_mtV1JxUHiiBp0pO43g" xr:uid="{5E93731D-3E47-47EC-AA25-BC57D633F919}"/>
    <hyperlink ref="B1765" r:id="rId2995" display="https://www.google.com/url?q=https://szkopul.edu.pl/problemset/problem/Ng815bt4Fko9lj2-l7eVl3Aw/site/&amp;sa=D&amp;ust=1605639802387000&amp;usg=AFQjCNEeJnfBzMCm8BUjRQuSs7wIKbjsDQ" xr:uid="{60DAE59E-DAE6-4DA7-A153-FA9BA530F8BB}"/>
    <hyperlink ref="B1766" r:id="rId2996" display="https://www.google.com/url?q=https://szkopul.edu.pl/problemset/problem/kqBM3UKWL-qlFiXIOxPXL35m/site/&amp;sa=D&amp;ust=1605639802388000&amp;usg=AFQjCNG-t5QkvD6fvMmx20I5k3vadvpyZw" xr:uid="{C9325D10-FC98-4548-99AC-871425EDB6D1}"/>
    <hyperlink ref="B1767" r:id="rId2997" display="https://www.google.com/url?q=https://szkopul.edu.pl/problemset/problem/aKKSmtjWTtDOEHDqnmQ3-eAA/site/&amp;sa=D&amp;ust=1605639802388000&amp;usg=AFQjCNEufAxFdqkAA2DDPbhwBAs7byHBog" xr:uid="{AB008089-8E6B-41E8-A6F9-AC3BF880DCF7}"/>
    <hyperlink ref="B1768" r:id="rId2998" display="https://www.google.com/url?q=https://szkopul.edu.pl/problemset/problem/Kmofhbw9cTx06gSZg-C5MiBU/site/&amp;sa=D&amp;ust=1605639802388000&amp;usg=AFQjCNH2RSqZqBnFJJPlal9BfMi-t1xBGA" xr:uid="{A8C2053A-323C-40C5-A896-C002DBED1D9F}"/>
    <hyperlink ref="B1769" r:id="rId2999" display="https://www.google.com/url?q=https://szkopul.edu.pl/problemset/problem/lbADmW7d353d0F0iw4kXTjsl/site/&amp;sa=D&amp;ust=1605639802389000&amp;usg=AFQjCNEDEafexF-4fXF6FMhuHBv-HQz2dQ" xr:uid="{3A980CF8-71D6-4434-99D7-B6BBBB887DB7}"/>
    <hyperlink ref="B1770" r:id="rId3000" display="https://www.google.com/url?q=https://szkopul.edu.pl/problemset/problem/eHGwrk9xShVF-z_2f7K4Yyb_/site/&amp;sa=D&amp;ust=1605639802391000&amp;usg=AFQjCNH9SEKonen0l6XeT2F-96ad_y8Kiw" xr:uid="{DD763DFE-EA00-4A88-AEFC-66254103A4C7}"/>
    <hyperlink ref="B1771" r:id="rId3001" display="https://www.google.com/url?q=https://szkopul.edu.pl/problemset/problem/guoc36QCEe4q47qruYB7HBV-/site/&amp;sa=D&amp;ust=1605639802391000&amp;usg=AFQjCNH9_nLhLyW35RgFZ8eAo2zs0uZ0XQ" xr:uid="{1892F65E-B6E5-4187-88C6-EDD360607A4B}"/>
    <hyperlink ref="B1772" r:id="rId3002" display="https://www.google.com/url?q=https://szkopul.edu.pl/problemset/problem/xCiDtZ0ZX70fyac1Sav8d37J/site/&amp;sa=D&amp;ust=1605639802392000&amp;usg=AFQjCNFeh_i7BlNutUhYkJ4plrJrEl8HgA" xr:uid="{FE1C5543-5290-4DD1-9C76-7CDEF009E6C4}"/>
    <hyperlink ref="B1773" r:id="rId3003" display="https://www.google.com/url?q=https://szkopul.edu.pl/problemset/problem/KkN5UonnNGIG3AuMqoI6xr62/site/&amp;sa=D&amp;ust=1605639802392000&amp;usg=AFQjCNFfJ_74_fu4CIAxaEvNRnLgG8otYQ" xr:uid="{A0E93B47-7C89-41F4-9AFC-7BAF8F0E920E}"/>
    <hyperlink ref="B1774" r:id="rId3004" display="https://www.google.com/url?q=https://szkopul.edu.pl/problemset/problem/GfNdWdsmfgHxoByl0ETuZW9c/site/&amp;sa=D&amp;ust=1605639802393000&amp;usg=AFQjCNG9DFcuAHsli8zICmGdoSjKesGenw" xr:uid="{7A7D1DC7-4413-4742-90B5-D63A0270DC2E}"/>
    <hyperlink ref="B1775" r:id="rId3005" display="https://www.google.com/url?q=https://szkopul.edu.pl/problemset/problem/Hhip15j-8Ro2dOb_4oB98C-G/site/&amp;sa=D&amp;ust=1605639802393000&amp;usg=AFQjCNHuTzm6QpcULk-XMaGfrYg7RL_gaQ" xr:uid="{3DF7CC21-2051-4958-BAF3-49562F963FAB}"/>
    <hyperlink ref="B1776" r:id="rId3006" display="https://www.google.com/url?q=https://szkopul.edu.pl/problemset/problem/NZSCUwz2ACePsBKuVCIVzrRt/site/&amp;sa=D&amp;ust=1605639802394000&amp;usg=AFQjCNHIUKNkhgKrf5c3dvnAbxwMsd-iWQ" xr:uid="{351D82D7-93A4-44C1-97B4-03F79FB2FA6B}"/>
    <hyperlink ref="B1777" r:id="rId3007" display="https://www.google.com/url?q=https://szkopul.edu.pl/problemset/problem/vvd6w7n7EXFVEg3nkqGxEirV/site/&amp;sa=D&amp;ust=1605639802394000&amp;usg=AFQjCNFUBteWQ-qzjgw4nBoMraw3iELXjA" xr:uid="{D7E034B5-9FE3-48C3-9CD3-F199DEE905B7}"/>
    <hyperlink ref="B1778" r:id="rId3008" display="https://www.google.com/url?q=https://szkopul.edu.pl/problemset/problem/pxbqUTPy3IuPDul9FdT2_Sth/site/&amp;sa=D&amp;ust=1605639802395000&amp;usg=AFQjCNGOl-xn1N9jD8OCt2Y2Rebob13YOQ" xr:uid="{6268A25C-1BF0-493E-864F-69B804E5F152}"/>
    <hyperlink ref="B1779" r:id="rId3009" display="https://www.google.com/url?q=https://szkopul.edu.pl/problemset/problem/GmAagCBetbskP0qiKlgVd-6A/site/&amp;sa=D&amp;ust=1605639802395000&amp;usg=AFQjCNGFyrjK_a2RfULEUEZQrsPxJwEPRg" xr:uid="{5871D140-9061-4140-BD2E-45A0E796EB95}"/>
    <hyperlink ref="B1780" r:id="rId3010" display="https://www.google.com/url?q=https://szkopul.edu.pl/problemset/problem/URPMk7vthz60i1J3MT3XbIIO/site/&amp;sa=D&amp;ust=1605639802396000&amp;usg=AFQjCNGe6AZuVdI-4ncpDxVWj4gIqnrFow" xr:uid="{AFEF408B-9CE7-45A8-B1F6-9D25F5972DDF}"/>
    <hyperlink ref="B1781" r:id="rId3011" display="https://www.google.com/url?q=https://csacademy.com/contest/round-80/task/tournament/&amp;sa=D&amp;ust=1605639802396000&amp;usg=AFQjCNF90-jPy85k2yagmiuHmzmQ0jjQeg" xr:uid="{81BC8BF5-0C66-4818-B146-882B1B469BDE}"/>
    <hyperlink ref="B1782" r:id="rId3012" display="https://www.google.com/url?q=https://csacademy.com/contest/round-80/task/towns/&amp;sa=D&amp;ust=1605639802397000&amp;usg=AFQjCNFuMVoJSyh00yHd8G1U5J-WE_ej9w" xr:uid="{EFD306B6-58AE-465C-A783-24BB688C1318}"/>
    <hyperlink ref="B1783" r:id="rId3013" display="https://www.google.com/url?q=https://dmoj.ca/problem/utso18p2&amp;sa=D&amp;ust=1605639802397000&amp;usg=AFQjCNEEEqqm7Jx25in8xlICUkwqZGDt5Q" xr:uid="{0D037B4E-AD57-48C0-96A9-9F482CACAA4E}"/>
    <hyperlink ref="B1784" r:id="rId3014" display="https://www.google.com/url?q=https://dmoj.ca/problem/utso18p1&amp;sa=D&amp;ust=1605639802398000&amp;usg=AFQjCNEUL5fgyhF0uDWP6fb4PyqUj3_7TQ" xr:uid="{B5D78DCF-0949-483E-8938-86BBCE63BC7B}"/>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D35F2-4E51-4D05-A70C-DC1A399C1008}">
  <sheetPr>
    <tabColor theme="7"/>
  </sheetPr>
  <dimension ref="A1:J1783"/>
  <sheetViews>
    <sheetView topLeftCell="A1765" workbookViewId="0">
      <selection activeCell="D621" sqref="D621"/>
    </sheetView>
  </sheetViews>
  <sheetFormatPr defaultRowHeight="13.2"/>
  <cols>
    <col min="1" max="1" width="8.88671875" style="513"/>
    <col min="2" max="2" width="39.5546875" style="513" customWidth="1"/>
    <col min="3" max="3" width="8.88671875" style="513" hidden="1" customWidth="1"/>
    <col min="4" max="4" width="77.44140625" style="513" customWidth="1"/>
    <col min="5" max="16384" width="8.88671875" style="513"/>
  </cols>
  <sheetData>
    <row r="1" spans="1:10">
      <c r="A1" s="536"/>
      <c r="B1" s="535"/>
      <c r="C1" s="534"/>
      <c r="D1" s="535"/>
      <c r="E1" s="535"/>
      <c r="F1" s="535"/>
      <c r="G1" s="535"/>
      <c r="H1" s="535"/>
      <c r="I1" s="535"/>
      <c r="J1" s="535"/>
    </row>
    <row r="2" spans="1:10" ht="27" thickBot="1">
      <c r="A2" s="517"/>
      <c r="B2" s="524" t="s">
        <v>14302</v>
      </c>
      <c r="C2" s="533"/>
      <c r="D2" s="524" t="s">
        <v>146</v>
      </c>
      <c r="E2" s="524" t="s">
        <v>1212</v>
      </c>
      <c r="F2" s="524" t="s">
        <v>614</v>
      </c>
      <c r="G2" s="532" t="s">
        <v>5349</v>
      </c>
      <c r="H2" s="524" t="s">
        <v>5350</v>
      </c>
      <c r="I2" s="524" t="s">
        <v>5351</v>
      </c>
      <c r="J2" s="524" t="s">
        <v>5352</v>
      </c>
    </row>
    <row r="3" spans="1:10">
      <c r="A3" s="534"/>
      <c r="B3" s="533"/>
      <c r="C3" s="533"/>
      <c r="D3" s="533"/>
      <c r="E3" s="533"/>
      <c r="F3" s="533"/>
      <c r="G3" s="533"/>
      <c r="H3" s="533"/>
      <c r="I3" s="533"/>
      <c r="J3" s="533"/>
    </row>
    <row r="4" spans="1:10" ht="13.8" thickBot="1">
      <c r="A4" s="517"/>
      <c r="B4" s="518" t="s">
        <v>11809</v>
      </c>
      <c r="C4" s="533"/>
      <c r="D4" s="514" t="s">
        <v>11533</v>
      </c>
      <c r="E4" s="515">
        <v>9</v>
      </c>
      <c r="F4" s="514"/>
      <c r="G4" s="515" t="s">
        <v>11525</v>
      </c>
      <c r="H4" s="514"/>
      <c r="I4" s="515"/>
      <c r="J4" s="515"/>
    </row>
    <row r="5" spans="1:10" ht="13.8" thickBot="1">
      <c r="A5" s="517"/>
      <c r="B5" s="518" t="s">
        <v>11808</v>
      </c>
      <c r="C5" s="533"/>
      <c r="D5" s="514" t="s">
        <v>11533</v>
      </c>
      <c r="E5" s="515">
        <v>9</v>
      </c>
      <c r="F5" s="514"/>
      <c r="G5" s="515" t="s">
        <v>11525</v>
      </c>
      <c r="H5" s="514"/>
      <c r="I5" s="515"/>
      <c r="J5" s="515"/>
    </row>
    <row r="6" spans="1:10" ht="13.8" thickBot="1">
      <c r="A6" s="517"/>
      <c r="B6" s="518" t="s">
        <v>11654</v>
      </c>
      <c r="C6" s="533"/>
      <c r="D6" s="514" t="s">
        <v>11533</v>
      </c>
      <c r="E6" s="515">
        <v>9</v>
      </c>
      <c r="F6" s="514"/>
      <c r="G6" s="515" t="s">
        <v>11525</v>
      </c>
      <c r="H6" s="514"/>
      <c r="I6" s="522"/>
      <c r="J6" s="522"/>
    </row>
    <row r="7" spans="1:10" ht="13.8" thickBot="1">
      <c r="A7" s="517"/>
      <c r="B7" s="518" t="s">
        <v>12969</v>
      </c>
      <c r="C7" s="533"/>
      <c r="D7" s="514" t="s">
        <v>3273</v>
      </c>
      <c r="E7" s="515">
        <v>9</v>
      </c>
      <c r="F7" s="514"/>
      <c r="G7" s="515" t="s">
        <v>3161</v>
      </c>
      <c r="H7" s="514"/>
      <c r="I7" s="522"/>
      <c r="J7" s="522"/>
    </row>
    <row r="8" spans="1:10" ht="13.8" thickBot="1">
      <c r="A8" s="517"/>
      <c r="B8" s="518" t="s">
        <v>12839</v>
      </c>
      <c r="C8" s="533"/>
      <c r="D8" s="514" t="s">
        <v>1452</v>
      </c>
      <c r="E8" s="515">
        <v>9</v>
      </c>
      <c r="F8" s="514"/>
      <c r="G8" s="515" t="s">
        <v>3517</v>
      </c>
      <c r="H8" s="514"/>
      <c r="I8" s="515"/>
      <c r="J8" s="515"/>
    </row>
    <row r="9" spans="1:10" ht="13.8" thickBot="1">
      <c r="A9" s="517"/>
      <c r="B9" s="518" t="s">
        <v>12659</v>
      </c>
      <c r="C9" s="533"/>
      <c r="D9" s="514" t="s">
        <v>12658</v>
      </c>
      <c r="E9" s="515">
        <v>9</v>
      </c>
      <c r="F9" s="514"/>
      <c r="G9" s="515" t="s">
        <v>3734</v>
      </c>
      <c r="H9" s="514"/>
      <c r="I9" s="522"/>
      <c r="J9" s="522"/>
    </row>
    <row r="10" spans="1:10" ht="13.8" thickBot="1">
      <c r="A10" s="517"/>
      <c r="B10" s="518" t="s">
        <v>12365</v>
      </c>
      <c r="C10" s="533"/>
      <c r="D10" s="514" t="s">
        <v>12364</v>
      </c>
      <c r="E10" s="515">
        <v>9</v>
      </c>
      <c r="F10" s="514"/>
      <c r="G10" s="515" t="s">
        <v>4214</v>
      </c>
      <c r="H10" s="514"/>
      <c r="I10" s="515"/>
      <c r="J10" s="515"/>
    </row>
    <row r="11" spans="1:10" ht="13.8" thickBot="1">
      <c r="A11" s="517"/>
      <c r="B11" s="518" t="s">
        <v>13754</v>
      </c>
      <c r="C11" s="533"/>
      <c r="D11" s="514" t="s">
        <v>13753</v>
      </c>
      <c r="E11" s="515">
        <v>8.5</v>
      </c>
      <c r="F11" s="518" t="s">
        <v>1854</v>
      </c>
      <c r="G11" s="515" t="s">
        <v>2289</v>
      </c>
      <c r="H11" s="514"/>
      <c r="I11" s="515"/>
      <c r="J11" s="515"/>
    </row>
    <row r="12" spans="1:10" ht="13.8" thickBot="1">
      <c r="A12" s="517"/>
      <c r="B12" s="518" t="s">
        <v>13616</v>
      </c>
      <c r="C12" s="533"/>
      <c r="D12" s="514" t="s">
        <v>13615</v>
      </c>
      <c r="E12" s="515">
        <v>8.5</v>
      </c>
      <c r="F12" s="514"/>
      <c r="G12" s="515" t="s">
        <v>2449</v>
      </c>
      <c r="H12" s="514"/>
      <c r="I12" s="515"/>
      <c r="J12" s="515"/>
    </row>
    <row r="13" spans="1:10" ht="13.8" thickBot="1">
      <c r="A13" s="517"/>
      <c r="B13" s="518" t="s">
        <v>11785</v>
      </c>
      <c r="C13" s="533"/>
      <c r="D13" s="514" t="s">
        <v>11533</v>
      </c>
      <c r="E13" s="515">
        <v>8.5</v>
      </c>
      <c r="F13" s="518" t="s">
        <v>1854</v>
      </c>
      <c r="G13" s="515" t="s">
        <v>11525</v>
      </c>
      <c r="H13" s="514"/>
      <c r="I13" s="515"/>
      <c r="J13" s="515"/>
    </row>
    <row r="14" spans="1:10" ht="13.8" thickBot="1">
      <c r="A14" s="517"/>
      <c r="B14" s="518" t="s">
        <v>11672</v>
      </c>
      <c r="C14" s="533"/>
      <c r="D14" s="514" t="s">
        <v>11533</v>
      </c>
      <c r="E14" s="515">
        <v>8.5</v>
      </c>
      <c r="F14" s="518" t="s">
        <v>11671</v>
      </c>
      <c r="G14" s="515" t="s">
        <v>11525</v>
      </c>
      <c r="H14" s="514"/>
      <c r="I14" s="515"/>
      <c r="J14" s="515"/>
    </row>
    <row r="15" spans="1:10" ht="13.8" thickBot="1">
      <c r="A15" s="517"/>
      <c r="B15" s="518" t="s">
        <v>11532</v>
      </c>
      <c r="C15" s="533"/>
      <c r="D15" s="514" t="s">
        <v>11531</v>
      </c>
      <c r="E15" s="515">
        <v>8.5</v>
      </c>
      <c r="F15" s="514"/>
      <c r="G15" s="515" t="s">
        <v>11525</v>
      </c>
      <c r="H15" s="514"/>
      <c r="I15" s="515"/>
      <c r="J15" s="515"/>
    </row>
    <row r="16" spans="1:10" ht="13.8" thickBot="1">
      <c r="A16" s="517"/>
      <c r="B16" s="518" t="s">
        <v>13940</v>
      </c>
      <c r="C16" s="533"/>
      <c r="D16" s="519" t="s">
        <v>13939</v>
      </c>
      <c r="E16" s="515">
        <v>8.25</v>
      </c>
      <c r="F16" s="518" t="s">
        <v>614</v>
      </c>
      <c r="G16" s="515" t="s">
        <v>2032</v>
      </c>
      <c r="H16" s="514" t="s">
        <v>1229</v>
      </c>
      <c r="I16" s="515">
        <v>4</v>
      </c>
      <c r="J16" s="515">
        <v>7</v>
      </c>
    </row>
    <row r="17" spans="1:10" ht="13.8" thickBot="1">
      <c r="A17" s="517"/>
      <c r="B17" s="518" t="s">
        <v>13752</v>
      </c>
      <c r="C17" s="533"/>
      <c r="D17" s="514" t="s">
        <v>13751</v>
      </c>
      <c r="E17" s="515">
        <v>8.1</v>
      </c>
      <c r="F17" s="518" t="s">
        <v>614</v>
      </c>
      <c r="G17" s="515" t="s">
        <v>2289</v>
      </c>
      <c r="H17" s="514" t="s">
        <v>1251</v>
      </c>
      <c r="I17" s="515">
        <v>2</v>
      </c>
      <c r="J17" s="515">
        <v>4</v>
      </c>
    </row>
    <row r="18" spans="1:10" ht="13.8" thickBot="1">
      <c r="A18" s="517"/>
      <c r="B18" s="518" t="s">
        <v>11899</v>
      </c>
      <c r="C18" s="533"/>
      <c r="D18" s="514" t="s">
        <v>11898</v>
      </c>
      <c r="E18" s="515">
        <v>8</v>
      </c>
      <c r="F18" s="518" t="s">
        <v>614</v>
      </c>
      <c r="G18" s="515" t="s">
        <v>5257</v>
      </c>
      <c r="H18" s="514" t="s">
        <v>1226</v>
      </c>
      <c r="I18" s="515"/>
      <c r="J18" s="515">
        <v>2</v>
      </c>
    </row>
    <row r="19" spans="1:10" ht="13.8" thickBot="1">
      <c r="A19" s="517"/>
      <c r="B19" s="518" t="s">
        <v>12404</v>
      </c>
      <c r="C19" s="533"/>
      <c r="D19" s="514" t="s">
        <v>12403</v>
      </c>
      <c r="E19" s="515">
        <v>8</v>
      </c>
      <c r="F19" s="518" t="s">
        <v>1854</v>
      </c>
      <c r="G19" s="515" t="s">
        <v>4140</v>
      </c>
      <c r="H19" s="514" t="s">
        <v>1226</v>
      </c>
      <c r="I19" s="515">
        <v>2</v>
      </c>
      <c r="J19" s="515">
        <v>3</v>
      </c>
    </row>
    <row r="20" spans="1:10" ht="13.8" thickBot="1">
      <c r="A20" s="517"/>
      <c r="B20" s="518" t="s">
        <v>13750</v>
      </c>
      <c r="C20" s="533"/>
      <c r="D20" s="519" t="s">
        <v>13749</v>
      </c>
      <c r="E20" s="515">
        <v>8</v>
      </c>
      <c r="F20" s="518" t="s">
        <v>1854</v>
      </c>
      <c r="G20" s="515" t="s">
        <v>2289</v>
      </c>
      <c r="H20" s="514" t="s">
        <v>1224</v>
      </c>
      <c r="I20" s="515">
        <v>2</v>
      </c>
      <c r="J20" s="515">
        <v>3</v>
      </c>
    </row>
    <row r="21" spans="1:10" ht="13.8" thickBot="1">
      <c r="A21" s="517"/>
      <c r="B21" s="518" t="s">
        <v>14301</v>
      </c>
      <c r="C21" s="533"/>
      <c r="D21" s="520" t="s">
        <v>14300</v>
      </c>
      <c r="E21" s="521">
        <v>8</v>
      </c>
      <c r="F21" s="518" t="s">
        <v>1854</v>
      </c>
      <c r="G21" s="515" t="s">
        <v>1793</v>
      </c>
      <c r="H21" s="514"/>
      <c r="I21" s="528">
        <v>2</v>
      </c>
      <c r="J21" s="528">
        <v>2</v>
      </c>
    </row>
    <row r="22" spans="1:10" ht="13.8" thickBot="1">
      <c r="A22" s="517"/>
      <c r="B22" s="518" t="s">
        <v>14299</v>
      </c>
      <c r="C22" s="533"/>
      <c r="D22" s="531" t="s">
        <v>14298</v>
      </c>
      <c r="E22" s="521">
        <v>8</v>
      </c>
      <c r="F22" s="518" t="s">
        <v>1854</v>
      </c>
      <c r="G22" s="515" t="s">
        <v>1793</v>
      </c>
      <c r="H22" s="514"/>
      <c r="I22" s="515">
        <v>1</v>
      </c>
      <c r="J22" s="515">
        <v>2</v>
      </c>
    </row>
    <row r="23" spans="1:10" ht="13.8" thickBot="1">
      <c r="A23" s="517"/>
      <c r="B23" s="518" t="s">
        <v>14297</v>
      </c>
      <c r="C23" s="533"/>
      <c r="D23" s="514" t="s">
        <v>14296</v>
      </c>
      <c r="E23" s="515">
        <v>8</v>
      </c>
      <c r="F23" s="518" t="s">
        <v>1854</v>
      </c>
      <c r="G23" s="515" t="s">
        <v>1793</v>
      </c>
      <c r="H23" s="514"/>
      <c r="I23" s="515"/>
      <c r="J23" s="515"/>
    </row>
    <row r="24" spans="1:10" ht="13.8" thickBot="1">
      <c r="A24" s="517"/>
      <c r="B24" s="518" t="s">
        <v>14295</v>
      </c>
      <c r="C24" s="533"/>
      <c r="D24" s="514" t="s">
        <v>1792</v>
      </c>
      <c r="E24" s="515">
        <v>8</v>
      </c>
      <c r="F24" s="514"/>
      <c r="G24" s="515" t="s">
        <v>1793</v>
      </c>
      <c r="H24" s="514"/>
      <c r="I24" s="522"/>
      <c r="J24" s="522"/>
    </row>
    <row r="25" spans="1:10" ht="13.8" thickBot="1">
      <c r="A25" s="517"/>
      <c r="B25" s="518" t="s">
        <v>12166</v>
      </c>
      <c r="C25" s="533"/>
      <c r="D25" s="514" t="s">
        <v>4930</v>
      </c>
      <c r="E25" s="515">
        <v>8</v>
      </c>
      <c r="F25" s="514"/>
      <c r="G25" s="515" t="s">
        <v>4918</v>
      </c>
      <c r="H25" s="514"/>
      <c r="I25" s="522"/>
      <c r="J25" s="522"/>
    </row>
    <row r="26" spans="1:10" ht="13.8" thickBot="1">
      <c r="A26" s="517"/>
      <c r="B26" s="518" t="s">
        <v>12153</v>
      </c>
      <c r="C26" s="533"/>
      <c r="D26" s="520" t="s">
        <v>12152</v>
      </c>
      <c r="E26" s="521">
        <v>8</v>
      </c>
      <c r="F26" s="518" t="s">
        <v>1854</v>
      </c>
      <c r="G26" s="515" t="s">
        <v>4970</v>
      </c>
      <c r="H26" s="514"/>
      <c r="I26" s="521">
        <v>1</v>
      </c>
      <c r="J26" s="521">
        <v>1</v>
      </c>
    </row>
    <row r="27" spans="1:10" ht="13.8" thickBot="1">
      <c r="A27" s="517"/>
      <c r="B27" s="518" t="s">
        <v>12151</v>
      </c>
      <c r="C27" s="533"/>
      <c r="D27" s="520" t="s">
        <v>12150</v>
      </c>
      <c r="E27" s="521">
        <v>8</v>
      </c>
      <c r="F27" s="518" t="s">
        <v>1854</v>
      </c>
      <c r="G27" s="515" t="s">
        <v>4970</v>
      </c>
      <c r="H27" s="514"/>
      <c r="I27" s="515"/>
      <c r="J27" s="515"/>
    </row>
    <row r="28" spans="1:10" ht="13.8" thickBot="1">
      <c r="A28" s="517"/>
      <c r="B28" s="518" t="s">
        <v>12149</v>
      </c>
      <c r="C28" s="533"/>
      <c r="D28" s="514" t="s">
        <v>12148</v>
      </c>
      <c r="E28" s="529">
        <v>8</v>
      </c>
      <c r="F28" s="518" t="s">
        <v>1854</v>
      </c>
      <c r="G28" s="515" t="s">
        <v>4970</v>
      </c>
      <c r="H28" s="514"/>
      <c r="I28" s="515"/>
      <c r="J28" s="515"/>
    </row>
    <row r="29" spans="1:10" ht="13.8" thickBot="1">
      <c r="A29" s="517"/>
      <c r="B29" s="518" t="s">
        <v>12147</v>
      </c>
      <c r="C29" s="533"/>
      <c r="D29" s="514" t="s">
        <v>12146</v>
      </c>
      <c r="E29" s="515">
        <v>8</v>
      </c>
      <c r="F29" s="514"/>
      <c r="G29" s="515" t="s">
        <v>4970</v>
      </c>
      <c r="H29" s="514"/>
      <c r="I29" s="515"/>
      <c r="J29" s="515"/>
    </row>
    <row r="30" spans="1:10" ht="13.8" thickBot="1">
      <c r="A30" s="517"/>
      <c r="B30" s="518" t="s">
        <v>12002</v>
      </c>
      <c r="C30" s="533"/>
      <c r="D30" s="514" t="s">
        <v>12001</v>
      </c>
      <c r="E30" s="515">
        <v>8</v>
      </c>
      <c r="F30" s="518" t="s">
        <v>2223</v>
      </c>
      <c r="G30" s="515" t="s">
        <v>5155</v>
      </c>
      <c r="H30" s="514"/>
      <c r="I30" s="515"/>
      <c r="J30" s="515"/>
    </row>
    <row r="31" spans="1:10" ht="13.8" thickBot="1">
      <c r="A31" s="517"/>
      <c r="B31" s="518" t="s">
        <v>13568</v>
      </c>
      <c r="C31" s="533"/>
      <c r="D31" s="514" t="s">
        <v>13567</v>
      </c>
      <c r="E31" s="515">
        <v>8</v>
      </c>
      <c r="F31" s="518" t="s">
        <v>1854</v>
      </c>
      <c r="G31" s="515" t="s">
        <v>2523</v>
      </c>
      <c r="H31" s="514"/>
      <c r="I31" s="515">
        <v>1</v>
      </c>
      <c r="J31" s="515">
        <v>2</v>
      </c>
    </row>
    <row r="32" spans="1:10" ht="13.8" thickBot="1">
      <c r="A32" s="517"/>
      <c r="B32" s="518" t="s">
        <v>11822</v>
      </c>
      <c r="C32" s="533"/>
      <c r="D32" s="514" t="s">
        <v>11821</v>
      </c>
      <c r="E32" s="515">
        <v>8</v>
      </c>
      <c r="F32" s="514"/>
      <c r="G32" s="515" t="s">
        <v>11525</v>
      </c>
      <c r="H32" s="514"/>
      <c r="I32" s="515"/>
      <c r="J32" s="515"/>
    </row>
    <row r="33" spans="1:10" ht="13.8" thickBot="1">
      <c r="A33" s="517"/>
      <c r="B33" s="518" t="s">
        <v>11799</v>
      </c>
      <c r="C33" s="533"/>
      <c r="D33" s="514" t="s">
        <v>11533</v>
      </c>
      <c r="E33" s="515">
        <v>8</v>
      </c>
      <c r="F33" s="514"/>
      <c r="G33" s="515" t="s">
        <v>11525</v>
      </c>
      <c r="H33" s="514"/>
      <c r="I33" s="515"/>
      <c r="J33" s="515"/>
    </row>
    <row r="34" spans="1:10" ht="13.8" thickBot="1">
      <c r="A34" s="517"/>
      <c r="B34" s="518" t="s">
        <v>11649</v>
      </c>
      <c r="C34" s="533"/>
      <c r="D34" s="514" t="s">
        <v>11533</v>
      </c>
      <c r="E34" s="515">
        <v>8</v>
      </c>
      <c r="F34" s="514"/>
      <c r="G34" s="515" t="s">
        <v>11525</v>
      </c>
      <c r="H34" s="514"/>
      <c r="I34" s="522"/>
      <c r="J34" s="522"/>
    </row>
    <row r="35" spans="1:10" ht="13.8" thickBot="1">
      <c r="A35" s="517"/>
      <c r="B35" s="518" t="s">
        <v>11635</v>
      </c>
      <c r="C35" s="533"/>
      <c r="D35" s="514" t="s">
        <v>11533</v>
      </c>
      <c r="E35" s="515">
        <v>8</v>
      </c>
      <c r="F35" s="514"/>
      <c r="G35" s="515" t="s">
        <v>11525</v>
      </c>
      <c r="H35" s="514"/>
      <c r="I35" s="515"/>
      <c r="J35" s="515"/>
    </row>
    <row r="36" spans="1:10" ht="13.8" thickBot="1">
      <c r="A36" s="517"/>
      <c r="B36" s="518" t="s">
        <v>11630</v>
      </c>
      <c r="C36" s="533"/>
      <c r="D36" s="514" t="s">
        <v>11533</v>
      </c>
      <c r="E36" s="515">
        <v>8</v>
      </c>
      <c r="F36" s="514"/>
      <c r="G36" s="515" t="s">
        <v>11525</v>
      </c>
      <c r="H36" s="514"/>
      <c r="I36" s="515"/>
      <c r="J36" s="515"/>
    </row>
    <row r="37" spans="1:10" ht="13.8" thickBot="1">
      <c r="A37" s="517"/>
      <c r="B37" s="518" t="s">
        <v>11628</v>
      </c>
      <c r="C37" s="533"/>
      <c r="D37" s="514" t="s">
        <v>11533</v>
      </c>
      <c r="E37" s="515">
        <v>8</v>
      </c>
      <c r="F37" s="514"/>
      <c r="G37" s="515" t="s">
        <v>11525</v>
      </c>
      <c r="H37" s="514"/>
      <c r="I37" s="515"/>
      <c r="J37" s="515"/>
    </row>
    <row r="38" spans="1:10" ht="13.8" thickBot="1">
      <c r="A38" s="517"/>
      <c r="B38" s="518" t="s">
        <v>11601</v>
      </c>
      <c r="C38" s="533"/>
      <c r="D38" s="514" t="s">
        <v>11600</v>
      </c>
      <c r="E38" s="515">
        <v>8</v>
      </c>
      <c r="F38" s="514"/>
      <c r="G38" s="515" t="s">
        <v>11525</v>
      </c>
      <c r="H38" s="514"/>
      <c r="I38" s="515"/>
      <c r="J38" s="515"/>
    </row>
    <row r="39" spans="1:10" ht="13.8" thickBot="1">
      <c r="A39" s="517"/>
      <c r="B39" s="518" t="s">
        <v>13201</v>
      </c>
      <c r="C39" s="533"/>
      <c r="D39" s="514" t="s">
        <v>13200</v>
      </c>
      <c r="E39" s="515">
        <v>8</v>
      </c>
      <c r="F39" s="514"/>
      <c r="G39" s="515" t="s">
        <v>2841</v>
      </c>
      <c r="H39" s="514"/>
      <c r="I39" s="515"/>
      <c r="J39" s="515"/>
    </row>
    <row r="40" spans="1:10" ht="13.8" thickBot="1">
      <c r="A40" s="517"/>
      <c r="B40" s="518" t="s">
        <v>12838</v>
      </c>
      <c r="C40" s="533"/>
      <c r="D40" s="514" t="s">
        <v>1452</v>
      </c>
      <c r="E40" s="515">
        <v>8</v>
      </c>
      <c r="F40" s="514"/>
      <c r="G40" s="515" t="s">
        <v>3517</v>
      </c>
      <c r="H40" s="514"/>
      <c r="I40" s="515">
        <v>1</v>
      </c>
      <c r="J40" s="515">
        <v>2</v>
      </c>
    </row>
    <row r="41" spans="1:10" ht="13.8" thickBot="1">
      <c r="A41" s="517"/>
      <c r="B41" s="518" t="s">
        <v>12837</v>
      </c>
      <c r="C41" s="533"/>
      <c r="D41" s="514" t="s">
        <v>12836</v>
      </c>
      <c r="E41" s="515">
        <v>8</v>
      </c>
      <c r="F41" s="514"/>
      <c r="G41" s="515" t="s">
        <v>3517</v>
      </c>
      <c r="H41" s="514"/>
      <c r="I41" s="515"/>
      <c r="J41" s="515"/>
    </row>
    <row r="42" spans="1:10" ht="13.8" thickBot="1">
      <c r="A42" s="517"/>
      <c r="B42" s="518" t="s">
        <v>12835</v>
      </c>
      <c r="C42" s="533"/>
      <c r="D42" s="514" t="s">
        <v>12834</v>
      </c>
      <c r="E42" s="515">
        <v>8</v>
      </c>
      <c r="F42" s="514"/>
      <c r="G42" s="515" t="s">
        <v>3517</v>
      </c>
      <c r="H42" s="514"/>
      <c r="I42" s="515"/>
      <c r="J42" s="515"/>
    </row>
    <row r="43" spans="1:10" ht="13.8" thickBot="1">
      <c r="A43" s="517"/>
      <c r="B43" s="518" t="s">
        <v>13843</v>
      </c>
      <c r="C43" s="533"/>
      <c r="D43" s="514" t="s">
        <v>13842</v>
      </c>
      <c r="E43" s="515">
        <v>8</v>
      </c>
      <c r="F43" s="518" t="s">
        <v>13841</v>
      </c>
      <c r="G43" s="515" t="s">
        <v>2087</v>
      </c>
      <c r="H43" s="514"/>
      <c r="I43" s="515"/>
      <c r="J43" s="515"/>
    </row>
    <row r="44" spans="1:10" ht="13.8" thickBot="1">
      <c r="A44" s="517"/>
      <c r="B44" s="518" t="s">
        <v>12657</v>
      </c>
      <c r="C44" s="533"/>
      <c r="D44" s="514" t="s">
        <v>1480</v>
      </c>
      <c r="E44" s="515">
        <v>8</v>
      </c>
      <c r="F44" s="514"/>
      <c r="G44" s="515" t="s">
        <v>3734</v>
      </c>
      <c r="H44" s="514"/>
      <c r="I44" s="515"/>
      <c r="J44" s="515"/>
    </row>
    <row r="45" spans="1:10" ht="13.8" thickBot="1">
      <c r="A45" s="517"/>
      <c r="B45" s="518" t="s">
        <v>12363</v>
      </c>
      <c r="C45" s="533"/>
      <c r="D45" s="514" t="s">
        <v>12362</v>
      </c>
      <c r="E45" s="529">
        <v>8</v>
      </c>
      <c r="F45" s="518" t="s">
        <v>614</v>
      </c>
      <c r="G45" s="515" t="s">
        <v>4214</v>
      </c>
      <c r="H45" s="514"/>
      <c r="I45" s="522"/>
      <c r="J45" s="522">
        <v>4</v>
      </c>
    </row>
    <row r="46" spans="1:10" ht="13.8" thickBot="1">
      <c r="A46" s="517"/>
      <c r="B46" s="518" t="s">
        <v>12361</v>
      </c>
      <c r="C46" s="533"/>
      <c r="D46" s="514" t="s">
        <v>12360</v>
      </c>
      <c r="E46" s="515">
        <v>8</v>
      </c>
      <c r="F46" s="514"/>
      <c r="G46" s="515" t="s">
        <v>4214</v>
      </c>
      <c r="H46" s="514"/>
      <c r="I46" s="515"/>
      <c r="J46" s="515"/>
    </row>
    <row r="47" spans="1:10" ht="13.8" thickBot="1">
      <c r="A47" s="517"/>
      <c r="B47" s="518" t="s">
        <v>12250</v>
      </c>
      <c r="C47" s="533"/>
      <c r="D47" s="514" t="s">
        <v>12249</v>
      </c>
      <c r="E47" s="515">
        <v>8</v>
      </c>
      <c r="F47" s="518" t="s">
        <v>2223</v>
      </c>
      <c r="G47" s="515" t="s">
        <v>4509</v>
      </c>
      <c r="H47" s="514"/>
      <c r="I47" s="515"/>
      <c r="J47" s="515"/>
    </row>
    <row r="48" spans="1:10" ht="13.8" thickBot="1">
      <c r="A48" s="517"/>
      <c r="B48" s="518" t="s">
        <v>13176</v>
      </c>
      <c r="C48" s="533"/>
      <c r="D48" s="514" t="s">
        <v>13175</v>
      </c>
      <c r="E48" s="515">
        <v>7.75</v>
      </c>
      <c r="F48" s="518" t="s">
        <v>614</v>
      </c>
      <c r="G48" s="515" t="s">
        <v>2943</v>
      </c>
      <c r="H48" s="514" t="s">
        <v>1229</v>
      </c>
      <c r="I48" s="515">
        <v>2</v>
      </c>
      <c r="J48" s="515">
        <v>10</v>
      </c>
    </row>
    <row r="49" spans="1:10" ht="13.8" thickBot="1">
      <c r="A49" s="517"/>
      <c r="B49" s="518" t="s">
        <v>12864</v>
      </c>
      <c r="C49" s="533"/>
      <c r="D49" s="514" t="s">
        <v>12863</v>
      </c>
      <c r="E49" s="515">
        <v>7.75</v>
      </c>
      <c r="F49" s="518" t="s">
        <v>614</v>
      </c>
      <c r="G49" s="515" t="s">
        <v>3452</v>
      </c>
      <c r="H49" s="514" t="s">
        <v>1229</v>
      </c>
      <c r="I49" s="515">
        <v>3</v>
      </c>
      <c r="J49" s="515">
        <v>7</v>
      </c>
    </row>
    <row r="50" spans="1:10" ht="13.8" thickBot="1">
      <c r="A50" s="517"/>
      <c r="B50" s="518" t="s">
        <v>12604</v>
      </c>
      <c r="C50" s="533"/>
      <c r="D50" s="514" t="s">
        <v>12603</v>
      </c>
      <c r="E50" s="515">
        <v>7.75</v>
      </c>
      <c r="F50" s="518" t="s">
        <v>614</v>
      </c>
      <c r="G50" s="515" t="s">
        <v>3807</v>
      </c>
      <c r="H50" s="514" t="s">
        <v>1229</v>
      </c>
      <c r="I50" s="515">
        <v>1</v>
      </c>
      <c r="J50" s="515">
        <v>6</v>
      </c>
    </row>
    <row r="51" spans="1:10" ht="13.8" thickBot="1">
      <c r="A51" s="517"/>
      <c r="B51" s="518" t="s">
        <v>11942</v>
      </c>
      <c r="C51" s="533"/>
      <c r="D51" s="514" t="s">
        <v>11941</v>
      </c>
      <c r="E51" s="515">
        <v>7.75</v>
      </c>
      <c r="F51" s="518" t="s">
        <v>614</v>
      </c>
      <c r="G51" s="515" t="s">
        <v>5226</v>
      </c>
      <c r="H51" s="514" t="s">
        <v>1251</v>
      </c>
      <c r="I51" s="515"/>
      <c r="J51" s="515">
        <v>1</v>
      </c>
    </row>
    <row r="52" spans="1:10" ht="13.8" thickBot="1">
      <c r="A52" s="517"/>
      <c r="B52" s="518" t="s">
        <v>12894</v>
      </c>
      <c r="C52" s="533"/>
      <c r="D52" s="514" t="s">
        <v>12893</v>
      </c>
      <c r="E52" s="515">
        <v>7.75</v>
      </c>
      <c r="F52" s="518" t="s">
        <v>614</v>
      </c>
      <c r="G52" s="515" t="s">
        <v>3351</v>
      </c>
      <c r="H52" s="514" t="s">
        <v>1251</v>
      </c>
      <c r="I52" s="515"/>
      <c r="J52" s="515">
        <v>1</v>
      </c>
    </row>
    <row r="53" spans="1:10" ht="13.8" thickBot="1">
      <c r="A53" s="517"/>
      <c r="B53" s="518" t="s">
        <v>12389</v>
      </c>
      <c r="C53" s="533"/>
      <c r="D53" s="514" t="s">
        <v>12388</v>
      </c>
      <c r="E53" s="515">
        <v>7.75</v>
      </c>
      <c r="F53" s="518" t="s">
        <v>1854</v>
      </c>
      <c r="G53" s="515" t="s">
        <v>4160</v>
      </c>
      <c r="H53" s="514" t="s">
        <v>1251</v>
      </c>
      <c r="I53" s="515"/>
      <c r="J53" s="515">
        <v>3</v>
      </c>
    </row>
    <row r="54" spans="1:10" ht="13.8" thickBot="1">
      <c r="A54" s="517"/>
      <c r="B54" s="518" t="s">
        <v>13748</v>
      </c>
      <c r="C54" s="533"/>
      <c r="D54" s="519" t="s">
        <v>13747</v>
      </c>
      <c r="E54" s="515">
        <v>7.75</v>
      </c>
      <c r="F54" s="518" t="s">
        <v>1854</v>
      </c>
      <c r="G54" s="515" t="s">
        <v>2289</v>
      </c>
      <c r="H54" s="514" t="s">
        <v>1226</v>
      </c>
      <c r="I54" s="522">
        <v>1</v>
      </c>
      <c r="J54" s="522">
        <v>2</v>
      </c>
    </row>
    <row r="55" spans="1:10" ht="13.8" thickBot="1">
      <c r="A55" s="517"/>
      <c r="B55" s="518" t="s">
        <v>12432</v>
      </c>
      <c r="C55" s="533"/>
      <c r="D55" s="514" t="s">
        <v>12431</v>
      </c>
      <c r="E55" s="515">
        <v>7.75</v>
      </c>
      <c r="F55" s="518" t="s">
        <v>614</v>
      </c>
      <c r="G55" s="515" t="s">
        <v>4102</v>
      </c>
      <c r="H55" s="514" t="s">
        <v>1226</v>
      </c>
      <c r="I55" s="515">
        <v>4</v>
      </c>
      <c r="J55" s="515">
        <v>8</v>
      </c>
    </row>
    <row r="56" spans="1:10" ht="13.8" thickBot="1">
      <c r="A56" s="517"/>
      <c r="B56" s="518" t="s">
        <v>13834</v>
      </c>
      <c r="C56" s="533"/>
      <c r="D56" s="514" t="s">
        <v>13833</v>
      </c>
      <c r="E56" s="515">
        <v>7.75</v>
      </c>
      <c r="F56" s="518" t="s">
        <v>614</v>
      </c>
      <c r="G56" s="515" t="s">
        <v>2152</v>
      </c>
      <c r="H56" s="514" t="s">
        <v>1226</v>
      </c>
      <c r="I56" s="515"/>
      <c r="J56" s="515">
        <v>3</v>
      </c>
    </row>
    <row r="57" spans="1:10" ht="13.8" thickBot="1">
      <c r="A57" s="517"/>
      <c r="B57" s="518" t="s">
        <v>13938</v>
      </c>
      <c r="C57" s="533"/>
      <c r="D57" s="514" t="s">
        <v>13937</v>
      </c>
      <c r="E57" s="515">
        <v>7.75</v>
      </c>
      <c r="F57" s="518" t="s">
        <v>614</v>
      </c>
      <c r="G57" s="515" t="s">
        <v>2032</v>
      </c>
      <c r="H57" s="514" t="s">
        <v>1224</v>
      </c>
      <c r="I57" s="515"/>
      <c r="J57" s="515">
        <v>4</v>
      </c>
    </row>
    <row r="58" spans="1:10" ht="13.8" thickBot="1">
      <c r="A58" s="517"/>
      <c r="B58" s="518" t="s">
        <v>14294</v>
      </c>
      <c r="C58" s="533"/>
      <c r="D58" s="514" t="s">
        <v>14293</v>
      </c>
      <c r="E58" s="515">
        <v>7.75</v>
      </c>
      <c r="F58" s="518" t="s">
        <v>614</v>
      </c>
      <c r="G58" s="515" t="s">
        <v>1793</v>
      </c>
      <c r="H58" s="514"/>
      <c r="I58" s="515">
        <v>2</v>
      </c>
      <c r="J58" s="515">
        <v>4</v>
      </c>
    </row>
    <row r="59" spans="1:10" ht="13.8" thickBot="1">
      <c r="A59" s="517"/>
      <c r="B59" s="518" t="s">
        <v>14292</v>
      </c>
      <c r="C59" s="533"/>
      <c r="D59" s="514" t="s">
        <v>1802</v>
      </c>
      <c r="E59" s="515">
        <v>7.75</v>
      </c>
      <c r="F59" s="518" t="s">
        <v>2223</v>
      </c>
      <c r="G59" s="515" t="s">
        <v>1793</v>
      </c>
      <c r="H59" s="514"/>
      <c r="I59" s="515"/>
      <c r="J59" s="515"/>
    </row>
    <row r="60" spans="1:10" ht="13.8" thickBot="1">
      <c r="A60" s="517"/>
      <c r="B60" s="518" t="s">
        <v>12175</v>
      </c>
      <c r="C60" s="533"/>
      <c r="D60" s="514" t="s">
        <v>12174</v>
      </c>
      <c r="E60" s="515">
        <v>7.75</v>
      </c>
      <c r="F60" s="518" t="s">
        <v>614</v>
      </c>
      <c r="G60" s="515" t="s">
        <v>4865</v>
      </c>
      <c r="H60" s="514"/>
      <c r="I60" s="515"/>
      <c r="J60" s="515">
        <v>3</v>
      </c>
    </row>
    <row r="61" spans="1:10" ht="13.8" thickBot="1">
      <c r="A61" s="517"/>
      <c r="B61" s="518" t="s">
        <v>13566</v>
      </c>
      <c r="C61" s="533"/>
      <c r="D61" s="514" t="s">
        <v>13565</v>
      </c>
      <c r="E61" s="515">
        <v>7.75</v>
      </c>
      <c r="F61" s="518" t="s">
        <v>13564</v>
      </c>
      <c r="G61" s="515" t="s">
        <v>2523</v>
      </c>
      <c r="H61" s="514"/>
      <c r="I61" s="515"/>
      <c r="J61" s="515"/>
    </row>
    <row r="62" spans="1:10" ht="13.8" thickBot="1">
      <c r="A62" s="517"/>
      <c r="B62" s="518" t="s">
        <v>11793</v>
      </c>
      <c r="C62" s="533"/>
      <c r="D62" s="514" t="s">
        <v>11533</v>
      </c>
      <c r="E62" s="515">
        <v>7.75</v>
      </c>
      <c r="F62" s="514"/>
      <c r="G62" s="515" t="s">
        <v>11525</v>
      </c>
      <c r="H62" s="514"/>
      <c r="I62" s="515"/>
      <c r="J62" s="515"/>
    </row>
    <row r="63" spans="1:10" ht="13.8" thickBot="1">
      <c r="A63" s="517"/>
      <c r="B63" s="518" t="s">
        <v>12460</v>
      </c>
      <c r="C63" s="533"/>
      <c r="D63" s="514" t="s">
        <v>1537</v>
      </c>
      <c r="E63" s="515">
        <v>7.75</v>
      </c>
      <c r="F63" s="518" t="s">
        <v>614</v>
      </c>
      <c r="G63" s="515" t="s">
        <v>4067</v>
      </c>
      <c r="H63" s="514"/>
      <c r="I63" s="515">
        <v>1</v>
      </c>
      <c r="J63" s="515">
        <v>3</v>
      </c>
    </row>
    <row r="64" spans="1:10" ht="13.8" thickBot="1">
      <c r="A64" s="517"/>
      <c r="B64" s="518" t="s">
        <v>11940</v>
      </c>
      <c r="C64" s="533"/>
      <c r="D64" s="514" t="s">
        <v>11939</v>
      </c>
      <c r="E64" s="515">
        <v>7.5</v>
      </c>
      <c r="F64" s="518" t="s">
        <v>614</v>
      </c>
      <c r="G64" s="515" t="s">
        <v>5226</v>
      </c>
      <c r="H64" s="514" t="s">
        <v>1229</v>
      </c>
      <c r="I64" s="515"/>
      <c r="J64" s="515">
        <v>2</v>
      </c>
    </row>
    <row r="65" spans="1:10" ht="13.8" thickBot="1">
      <c r="A65" s="517"/>
      <c r="B65" s="518" t="s">
        <v>13746</v>
      </c>
      <c r="C65" s="533"/>
      <c r="D65" s="514" t="s">
        <v>13745</v>
      </c>
      <c r="E65" s="515">
        <v>7.5</v>
      </c>
      <c r="F65" s="518" t="s">
        <v>614</v>
      </c>
      <c r="G65" s="515" t="s">
        <v>2289</v>
      </c>
      <c r="H65" s="514" t="s">
        <v>1229</v>
      </c>
      <c r="I65" s="522">
        <v>4</v>
      </c>
      <c r="J65" s="522">
        <v>11</v>
      </c>
    </row>
    <row r="66" spans="1:10" ht="13.8" thickBot="1">
      <c r="A66" s="517"/>
      <c r="B66" s="518" t="s">
        <v>13563</v>
      </c>
      <c r="C66" s="533"/>
      <c r="D66" s="514" t="s">
        <v>13562</v>
      </c>
      <c r="E66" s="515">
        <v>7.5</v>
      </c>
      <c r="F66" s="518" t="s">
        <v>614</v>
      </c>
      <c r="G66" s="515" t="s">
        <v>2523</v>
      </c>
      <c r="H66" s="514" t="s">
        <v>1229</v>
      </c>
      <c r="I66" s="515"/>
      <c r="J66" s="515">
        <v>9</v>
      </c>
    </row>
    <row r="67" spans="1:10" ht="13.8" thickBot="1">
      <c r="A67" s="517"/>
      <c r="B67" s="518" t="s">
        <v>11882</v>
      </c>
      <c r="C67" s="533"/>
      <c r="D67" s="519" t="s">
        <v>1381</v>
      </c>
      <c r="E67" s="515">
        <v>7.5</v>
      </c>
      <c r="F67" s="518" t="s">
        <v>614</v>
      </c>
      <c r="G67" s="515" t="s">
        <v>5286</v>
      </c>
      <c r="H67" s="514" t="s">
        <v>1251</v>
      </c>
      <c r="I67" s="515"/>
      <c r="J67" s="515">
        <v>2</v>
      </c>
    </row>
    <row r="68" spans="1:10" ht="13.8" thickBot="1">
      <c r="A68" s="517"/>
      <c r="B68" s="518" t="s">
        <v>13614</v>
      </c>
      <c r="C68" s="533"/>
      <c r="D68" s="514" t="s">
        <v>13613</v>
      </c>
      <c r="E68" s="515">
        <v>7.5</v>
      </c>
      <c r="F68" s="518" t="s">
        <v>614</v>
      </c>
      <c r="G68" s="515" t="s">
        <v>2449</v>
      </c>
      <c r="H68" s="514" t="s">
        <v>1251</v>
      </c>
      <c r="I68" s="522">
        <v>1</v>
      </c>
      <c r="J68" s="522">
        <v>8</v>
      </c>
    </row>
    <row r="69" spans="1:10" ht="13.8" thickBot="1">
      <c r="A69" s="517"/>
      <c r="B69" s="518" t="s">
        <v>13561</v>
      </c>
      <c r="C69" s="533"/>
      <c r="D69" s="514" t="s">
        <v>1300</v>
      </c>
      <c r="E69" s="515">
        <v>7.5</v>
      </c>
      <c r="F69" s="518" t="s">
        <v>614</v>
      </c>
      <c r="G69" s="515" t="s">
        <v>2523</v>
      </c>
      <c r="H69" s="514" t="s">
        <v>1251</v>
      </c>
      <c r="I69" s="515"/>
      <c r="J69" s="515">
        <v>2</v>
      </c>
    </row>
    <row r="70" spans="1:10" ht="13.8" thickBot="1">
      <c r="A70" s="517"/>
      <c r="B70" s="518" t="s">
        <v>13560</v>
      </c>
      <c r="C70" s="533"/>
      <c r="D70" s="514" t="s">
        <v>13559</v>
      </c>
      <c r="E70" s="515">
        <v>7.5</v>
      </c>
      <c r="F70" s="518" t="s">
        <v>1854</v>
      </c>
      <c r="G70" s="515" t="s">
        <v>2523</v>
      </c>
      <c r="H70" s="514" t="s">
        <v>1251</v>
      </c>
      <c r="I70" s="515"/>
      <c r="J70" s="515">
        <v>2</v>
      </c>
    </row>
    <row r="71" spans="1:10" ht="13.8" thickBot="1">
      <c r="A71" s="517"/>
      <c r="B71" s="518" t="s">
        <v>12833</v>
      </c>
      <c r="C71" s="533"/>
      <c r="D71" s="514" t="s">
        <v>12832</v>
      </c>
      <c r="E71" s="515">
        <v>7.5</v>
      </c>
      <c r="F71" s="518" t="s">
        <v>614</v>
      </c>
      <c r="G71" s="515" t="s">
        <v>3517</v>
      </c>
      <c r="H71" s="514" t="s">
        <v>1251</v>
      </c>
      <c r="I71" s="515"/>
      <c r="J71" s="515">
        <v>2</v>
      </c>
    </row>
    <row r="72" spans="1:10" ht="13.8" thickBot="1">
      <c r="A72" s="517"/>
      <c r="B72" s="518" t="s">
        <v>12402</v>
      </c>
      <c r="C72" s="533"/>
      <c r="D72" s="514" t="s">
        <v>12401</v>
      </c>
      <c r="E72" s="515">
        <v>7.5</v>
      </c>
      <c r="F72" s="518" t="s">
        <v>614</v>
      </c>
      <c r="G72" s="515" t="s">
        <v>4140</v>
      </c>
      <c r="H72" s="514" t="s">
        <v>1251</v>
      </c>
      <c r="I72" s="522">
        <v>3</v>
      </c>
      <c r="J72" s="522">
        <v>10</v>
      </c>
    </row>
    <row r="73" spans="1:10" ht="13.8" thickBot="1">
      <c r="A73" s="517"/>
      <c r="B73" s="518" t="s">
        <v>14291</v>
      </c>
      <c r="C73" s="533"/>
      <c r="D73" s="514" t="s">
        <v>14290</v>
      </c>
      <c r="E73" s="515">
        <v>7.5</v>
      </c>
      <c r="F73" s="518" t="s">
        <v>614</v>
      </c>
      <c r="G73" s="515" t="s">
        <v>1793</v>
      </c>
      <c r="H73" s="514" t="s">
        <v>1226</v>
      </c>
      <c r="I73" s="522">
        <v>2</v>
      </c>
      <c r="J73" s="522">
        <v>8</v>
      </c>
    </row>
    <row r="74" spans="1:10" ht="13.8" thickBot="1">
      <c r="A74" s="517"/>
      <c r="B74" s="518" t="s">
        <v>12177</v>
      </c>
      <c r="C74" s="533"/>
      <c r="D74" s="514" t="s">
        <v>12176</v>
      </c>
      <c r="E74" s="515">
        <v>7.5</v>
      </c>
      <c r="F74" s="518" t="s">
        <v>1854</v>
      </c>
      <c r="G74" s="515" t="s">
        <v>4850</v>
      </c>
      <c r="H74" s="514" t="s">
        <v>1226</v>
      </c>
      <c r="I74" s="515"/>
      <c r="J74" s="515">
        <v>1</v>
      </c>
    </row>
    <row r="75" spans="1:10" ht="13.8" thickBot="1">
      <c r="A75" s="517"/>
      <c r="B75" s="518" t="s">
        <v>11938</v>
      </c>
      <c r="C75" s="533"/>
      <c r="D75" s="514" t="s">
        <v>5227</v>
      </c>
      <c r="E75" s="515">
        <v>7.5</v>
      </c>
      <c r="F75" s="514"/>
      <c r="G75" s="515" t="s">
        <v>5226</v>
      </c>
      <c r="H75" s="514" t="s">
        <v>1226</v>
      </c>
      <c r="I75" s="515"/>
      <c r="J75" s="515">
        <v>1</v>
      </c>
    </row>
    <row r="76" spans="1:10" ht="13.8" thickBot="1">
      <c r="A76" s="517"/>
      <c r="B76" s="518" t="s">
        <v>13744</v>
      </c>
      <c r="C76" s="533"/>
      <c r="D76" s="514" t="s">
        <v>13743</v>
      </c>
      <c r="E76" s="515">
        <v>7.5</v>
      </c>
      <c r="F76" s="518" t="s">
        <v>614</v>
      </c>
      <c r="G76" s="515" t="s">
        <v>2289</v>
      </c>
      <c r="H76" s="514" t="s">
        <v>1226</v>
      </c>
      <c r="I76" s="515"/>
      <c r="J76" s="515">
        <v>3</v>
      </c>
    </row>
    <row r="77" spans="1:10" ht="13.8" thickBot="1">
      <c r="A77" s="517"/>
      <c r="B77" s="518" t="s">
        <v>13742</v>
      </c>
      <c r="C77" s="533"/>
      <c r="D77" s="519" t="s">
        <v>13741</v>
      </c>
      <c r="E77" s="515">
        <v>7.5</v>
      </c>
      <c r="F77" s="518" t="s">
        <v>614</v>
      </c>
      <c r="G77" s="515" t="s">
        <v>2289</v>
      </c>
      <c r="H77" s="514" t="s">
        <v>1226</v>
      </c>
      <c r="I77" s="515"/>
      <c r="J77" s="515">
        <v>3</v>
      </c>
    </row>
    <row r="78" spans="1:10" ht="13.8" thickBot="1">
      <c r="A78" s="517"/>
      <c r="B78" s="518" t="s">
        <v>13558</v>
      </c>
      <c r="C78" s="533"/>
      <c r="D78" s="514" t="s">
        <v>2663</v>
      </c>
      <c r="E78" s="515">
        <v>7.5</v>
      </c>
      <c r="F78" s="514"/>
      <c r="G78" s="515" t="s">
        <v>2523</v>
      </c>
      <c r="H78" s="514" t="s">
        <v>1226</v>
      </c>
      <c r="I78" s="515"/>
      <c r="J78" s="515">
        <v>1</v>
      </c>
    </row>
    <row r="79" spans="1:10" ht="13.8" thickBot="1">
      <c r="A79" s="517"/>
      <c r="B79" s="518" t="s">
        <v>13230</v>
      </c>
      <c r="C79" s="533"/>
      <c r="D79" s="514" t="s">
        <v>13229</v>
      </c>
      <c r="E79" s="515">
        <v>7.5</v>
      </c>
      <c r="F79" s="518" t="s">
        <v>1854</v>
      </c>
      <c r="G79" s="515" t="s">
        <v>2797</v>
      </c>
      <c r="H79" s="514" t="s">
        <v>1226</v>
      </c>
      <c r="I79" s="515"/>
      <c r="J79" s="515">
        <v>1</v>
      </c>
    </row>
    <row r="80" spans="1:10" ht="13.8" thickBot="1">
      <c r="A80" s="517"/>
      <c r="B80" s="518" t="s">
        <v>13199</v>
      </c>
      <c r="C80" s="533"/>
      <c r="D80" s="514" t="s">
        <v>13198</v>
      </c>
      <c r="E80" s="515">
        <v>7.5</v>
      </c>
      <c r="F80" s="514"/>
      <c r="G80" s="515" t="s">
        <v>2841</v>
      </c>
      <c r="H80" s="514" t="s">
        <v>1226</v>
      </c>
      <c r="I80" s="515"/>
      <c r="J80" s="515">
        <v>1</v>
      </c>
    </row>
    <row r="81" spans="1:10" ht="13.8" thickBot="1">
      <c r="A81" s="517"/>
      <c r="B81" s="518" t="s">
        <v>13936</v>
      </c>
      <c r="C81" s="533"/>
      <c r="D81" s="514" t="s">
        <v>13935</v>
      </c>
      <c r="E81" s="515">
        <v>7.5</v>
      </c>
      <c r="F81" s="518" t="s">
        <v>614</v>
      </c>
      <c r="G81" s="515" t="s">
        <v>2032</v>
      </c>
      <c r="H81" s="514" t="s">
        <v>1226</v>
      </c>
      <c r="I81" s="515"/>
      <c r="J81" s="515">
        <v>2</v>
      </c>
    </row>
    <row r="82" spans="1:10" ht="13.8" thickBot="1">
      <c r="A82" s="517"/>
      <c r="B82" s="518" t="s">
        <v>13934</v>
      </c>
      <c r="C82" s="533"/>
      <c r="D82" s="514" t="s">
        <v>2044</v>
      </c>
      <c r="E82" s="515">
        <v>7.5</v>
      </c>
      <c r="F82" s="514"/>
      <c r="G82" s="515" t="s">
        <v>2032</v>
      </c>
      <c r="H82" s="514" t="s">
        <v>1226</v>
      </c>
      <c r="I82" s="515"/>
      <c r="J82" s="515">
        <v>1</v>
      </c>
    </row>
    <row r="83" spans="1:10" ht="13.8" thickBot="1">
      <c r="A83" s="517"/>
      <c r="B83" s="518" t="s">
        <v>12831</v>
      </c>
      <c r="C83" s="533"/>
      <c r="D83" s="514" t="s">
        <v>12830</v>
      </c>
      <c r="E83" s="515">
        <v>7.5</v>
      </c>
      <c r="F83" s="514"/>
      <c r="G83" s="515" t="s">
        <v>3517</v>
      </c>
      <c r="H83" s="514" t="s">
        <v>1226</v>
      </c>
      <c r="I83" s="515"/>
      <c r="J83" s="515">
        <v>1</v>
      </c>
    </row>
    <row r="84" spans="1:10" ht="13.8" thickBot="1">
      <c r="A84" s="517"/>
      <c r="B84" s="518" t="s">
        <v>12602</v>
      </c>
      <c r="C84" s="533"/>
      <c r="D84" s="514" t="s">
        <v>12601</v>
      </c>
      <c r="E84" s="515">
        <v>7.5</v>
      </c>
      <c r="F84" s="514"/>
      <c r="G84" s="515" t="s">
        <v>3807</v>
      </c>
      <c r="H84" s="514" t="s">
        <v>1226</v>
      </c>
      <c r="I84" s="515"/>
      <c r="J84" s="515">
        <v>1</v>
      </c>
    </row>
    <row r="85" spans="1:10" ht="13.8" thickBot="1">
      <c r="A85" s="517"/>
      <c r="B85" s="518" t="s">
        <v>12459</v>
      </c>
      <c r="C85" s="533"/>
      <c r="D85" s="514" t="s">
        <v>12458</v>
      </c>
      <c r="E85" s="515">
        <v>7.5</v>
      </c>
      <c r="F85" s="518" t="s">
        <v>614</v>
      </c>
      <c r="G85" s="515" t="s">
        <v>4067</v>
      </c>
      <c r="H85" s="514" t="s">
        <v>1226</v>
      </c>
      <c r="I85" s="515"/>
      <c r="J85" s="515">
        <v>2</v>
      </c>
    </row>
    <row r="86" spans="1:10" ht="13.8" thickBot="1">
      <c r="A86" s="517"/>
      <c r="B86" s="518" t="s">
        <v>12430</v>
      </c>
      <c r="C86" s="533"/>
      <c r="D86" s="514" t="s">
        <v>12429</v>
      </c>
      <c r="E86" s="515">
        <v>7.5</v>
      </c>
      <c r="F86" s="518" t="s">
        <v>2223</v>
      </c>
      <c r="G86" s="515" t="s">
        <v>4102</v>
      </c>
      <c r="H86" s="514" t="s">
        <v>1226</v>
      </c>
      <c r="I86" s="515">
        <v>1</v>
      </c>
      <c r="J86" s="515">
        <v>2</v>
      </c>
    </row>
    <row r="87" spans="1:10" ht="13.8" thickBot="1">
      <c r="A87" s="517"/>
      <c r="B87" s="518" t="s">
        <v>12359</v>
      </c>
      <c r="C87" s="533"/>
      <c r="D87" s="514" t="s">
        <v>1607</v>
      </c>
      <c r="E87" s="515">
        <v>7.5</v>
      </c>
      <c r="F87" s="518" t="s">
        <v>614</v>
      </c>
      <c r="G87" s="515" t="s">
        <v>4214</v>
      </c>
      <c r="H87" s="514" t="s">
        <v>1226</v>
      </c>
      <c r="I87" s="515">
        <v>1</v>
      </c>
      <c r="J87" s="515">
        <v>2</v>
      </c>
    </row>
    <row r="88" spans="1:10" ht="13.8" thickBot="1">
      <c r="A88" s="517"/>
      <c r="B88" s="518" t="s">
        <v>12358</v>
      </c>
      <c r="C88" s="533"/>
      <c r="D88" s="514" t="s">
        <v>1616</v>
      </c>
      <c r="E88" s="515">
        <v>7.5</v>
      </c>
      <c r="F88" s="518" t="s">
        <v>614</v>
      </c>
      <c r="G88" s="515" t="s">
        <v>4214</v>
      </c>
      <c r="H88" s="514" t="s">
        <v>1226</v>
      </c>
      <c r="I88" s="515">
        <v>1</v>
      </c>
      <c r="J88" s="515">
        <v>2</v>
      </c>
    </row>
    <row r="89" spans="1:10" ht="13.8" thickBot="1">
      <c r="A89" s="517"/>
      <c r="B89" s="518" t="s">
        <v>12279</v>
      </c>
      <c r="C89" s="533"/>
      <c r="D89" s="514" t="s">
        <v>4352</v>
      </c>
      <c r="E89" s="515">
        <v>7.5</v>
      </c>
      <c r="F89" s="518" t="s">
        <v>614</v>
      </c>
      <c r="G89" s="515" t="s">
        <v>4347</v>
      </c>
      <c r="H89" s="514" t="s">
        <v>1226</v>
      </c>
      <c r="I89" s="515">
        <v>1</v>
      </c>
      <c r="J89" s="515">
        <v>5</v>
      </c>
    </row>
    <row r="90" spans="1:10" ht="13.8" thickBot="1">
      <c r="A90" s="517"/>
      <c r="B90" s="518" t="s">
        <v>13740</v>
      </c>
      <c r="C90" s="533"/>
      <c r="D90" s="514" t="s">
        <v>1726</v>
      </c>
      <c r="E90" s="515">
        <v>7.5</v>
      </c>
      <c r="F90" s="518" t="s">
        <v>13739</v>
      </c>
      <c r="G90" s="515" t="s">
        <v>2289</v>
      </c>
      <c r="H90" s="514" t="s">
        <v>1224</v>
      </c>
      <c r="I90" s="515">
        <v>1</v>
      </c>
      <c r="J90" s="515">
        <v>2</v>
      </c>
    </row>
    <row r="91" spans="1:10" ht="13.8" thickBot="1">
      <c r="A91" s="517"/>
      <c r="B91" s="518" t="s">
        <v>12457</v>
      </c>
      <c r="C91" s="533"/>
      <c r="D91" s="519" t="s">
        <v>12456</v>
      </c>
      <c r="E91" s="515">
        <v>7.5</v>
      </c>
      <c r="F91" s="518" t="s">
        <v>614</v>
      </c>
      <c r="G91" s="515" t="s">
        <v>4067</v>
      </c>
      <c r="H91" s="514" t="s">
        <v>1224</v>
      </c>
      <c r="I91" s="515"/>
      <c r="J91" s="515">
        <v>1</v>
      </c>
    </row>
    <row r="92" spans="1:10" ht="13.8" thickBot="1">
      <c r="A92" s="517"/>
      <c r="B92" s="518" t="s">
        <v>14289</v>
      </c>
      <c r="C92" s="533"/>
      <c r="D92" s="514" t="s">
        <v>14288</v>
      </c>
      <c r="E92" s="515">
        <v>7.5</v>
      </c>
      <c r="F92" s="518" t="s">
        <v>1854</v>
      </c>
      <c r="G92" s="515" t="s">
        <v>1793</v>
      </c>
      <c r="H92" s="514"/>
      <c r="I92" s="515">
        <v>2</v>
      </c>
      <c r="J92" s="515">
        <v>4</v>
      </c>
    </row>
    <row r="93" spans="1:10" ht="13.8" thickBot="1">
      <c r="A93" s="517"/>
      <c r="B93" s="518" t="s">
        <v>14287</v>
      </c>
      <c r="C93" s="533"/>
      <c r="D93" s="514" t="s">
        <v>14286</v>
      </c>
      <c r="E93" s="515">
        <v>7.5</v>
      </c>
      <c r="F93" s="514"/>
      <c r="G93" s="515" t="s">
        <v>1793</v>
      </c>
      <c r="H93" s="514"/>
      <c r="I93" s="515">
        <v>1</v>
      </c>
      <c r="J93" s="515">
        <v>2</v>
      </c>
    </row>
    <row r="94" spans="1:10" ht="13.8" thickBot="1">
      <c r="A94" s="517"/>
      <c r="B94" s="518" t="s">
        <v>14285</v>
      </c>
      <c r="C94" s="533"/>
      <c r="D94" s="514" t="s">
        <v>1802</v>
      </c>
      <c r="E94" s="515">
        <v>7.5</v>
      </c>
      <c r="F94" s="518" t="s">
        <v>614</v>
      </c>
      <c r="G94" s="515" t="s">
        <v>1793</v>
      </c>
      <c r="H94" s="514"/>
      <c r="I94" s="515">
        <v>1</v>
      </c>
      <c r="J94" s="515">
        <v>1</v>
      </c>
    </row>
    <row r="95" spans="1:10" ht="13.8" thickBot="1">
      <c r="A95" s="517"/>
      <c r="B95" s="518" t="s">
        <v>14284</v>
      </c>
      <c r="C95" s="533"/>
      <c r="D95" s="514" t="s">
        <v>14283</v>
      </c>
      <c r="E95" s="515">
        <v>7.5</v>
      </c>
      <c r="F95" s="514"/>
      <c r="G95" s="515" t="s">
        <v>1793</v>
      </c>
      <c r="H95" s="514"/>
      <c r="I95" s="515"/>
      <c r="J95" s="515">
        <v>1</v>
      </c>
    </row>
    <row r="96" spans="1:10" ht="13.8" thickBot="1">
      <c r="A96" s="517"/>
      <c r="B96" s="518" t="s">
        <v>12145</v>
      </c>
      <c r="C96" s="533"/>
      <c r="D96" s="514" t="s">
        <v>12144</v>
      </c>
      <c r="E96" s="515">
        <v>7.5</v>
      </c>
      <c r="F96" s="518" t="s">
        <v>1854</v>
      </c>
      <c r="G96" s="515" t="s">
        <v>4970</v>
      </c>
      <c r="H96" s="514"/>
      <c r="I96" s="515"/>
      <c r="J96" s="515"/>
    </row>
    <row r="97" spans="1:10" ht="13.8" thickBot="1">
      <c r="A97" s="517"/>
      <c r="B97" s="518" t="s">
        <v>11937</v>
      </c>
      <c r="C97" s="533"/>
      <c r="D97" s="514" t="s">
        <v>5227</v>
      </c>
      <c r="E97" s="515">
        <v>7.5</v>
      </c>
      <c r="F97" s="518" t="s">
        <v>1854</v>
      </c>
      <c r="G97" s="515" t="s">
        <v>5226</v>
      </c>
      <c r="H97" s="514"/>
      <c r="I97" s="515">
        <v>2</v>
      </c>
      <c r="J97" s="515">
        <v>2</v>
      </c>
    </row>
    <row r="98" spans="1:10" ht="13.8" thickBot="1">
      <c r="A98" s="517"/>
      <c r="B98" s="518" t="s">
        <v>13738</v>
      </c>
      <c r="C98" s="533"/>
      <c r="D98" s="514" t="s">
        <v>13737</v>
      </c>
      <c r="E98" s="515">
        <v>7.5</v>
      </c>
      <c r="F98" s="518" t="s">
        <v>2223</v>
      </c>
      <c r="G98" s="515" t="s">
        <v>2289</v>
      </c>
      <c r="H98" s="514"/>
      <c r="I98" s="515"/>
      <c r="J98" s="515"/>
    </row>
    <row r="99" spans="1:10" ht="13.8" thickBot="1">
      <c r="A99" s="517"/>
      <c r="B99" s="518" t="s">
        <v>13736</v>
      </c>
      <c r="C99" s="533"/>
      <c r="D99" s="514" t="s">
        <v>1726</v>
      </c>
      <c r="E99" s="515">
        <v>7.5</v>
      </c>
      <c r="F99" s="518" t="s">
        <v>1854</v>
      </c>
      <c r="G99" s="515" t="s">
        <v>2289</v>
      </c>
      <c r="H99" s="514"/>
      <c r="I99" s="515"/>
      <c r="J99" s="515"/>
    </row>
    <row r="100" spans="1:10" ht="13.8" thickBot="1">
      <c r="A100" s="517"/>
      <c r="B100" s="518" t="s">
        <v>13735</v>
      </c>
      <c r="C100" s="533"/>
      <c r="D100" s="514" t="s">
        <v>13734</v>
      </c>
      <c r="E100" s="515">
        <v>7.5</v>
      </c>
      <c r="F100" s="514"/>
      <c r="G100" s="515" t="s">
        <v>2289</v>
      </c>
      <c r="H100" s="514"/>
      <c r="I100" s="515"/>
      <c r="J100" s="515"/>
    </row>
    <row r="101" spans="1:10" ht="13.8" thickBot="1">
      <c r="A101" s="517"/>
      <c r="B101" s="518" t="s">
        <v>13557</v>
      </c>
      <c r="C101" s="533"/>
      <c r="D101" s="514" t="s">
        <v>1300</v>
      </c>
      <c r="E101" s="515">
        <v>7.5</v>
      </c>
      <c r="F101" s="518" t="s">
        <v>1854</v>
      </c>
      <c r="G101" s="515" t="s">
        <v>2523</v>
      </c>
      <c r="H101" s="514"/>
      <c r="I101" s="515"/>
      <c r="J101" s="515"/>
    </row>
    <row r="102" spans="1:10" ht="13.8" thickBot="1">
      <c r="A102" s="517"/>
      <c r="B102" s="518" t="s">
        <v>11726</v>
      </c>
      <c r="C102" s="533"/>
      <c r="D102" s="514" t="s">
        <v>11725</v>
      </c>
      <c r="E102" s="515">
        <v>7.5</v>
      </c>
      <c r="F102" s="514"/>
      <c r="G102" s="515" t="s">
        <v>11525</v>
      </c>
      <c r="H102" s="514"/>
      <c r="I102" s="515">
        <v>1</v>
      </c>
      <c r="J102" s="515">
        <v>2</v>
      </c>
    </row>
    <row r="103" spans="1:10" ht="13.8" thickBot="1">
      <c r="A103" s="517"/>
      <c r="B103" s="518" t="s">
        <v>11673</v>
      </c>
      <c r="C103" s="533"/>
      <c r="D103" s="514" t="s">
        <v>11533</v>
      </c>
      <c r="E103" s="515">
        <v>7.5</v>
      </c>
      <c r="F103" s="518" t="s">
        <v>11671</v>
      </c>
      <c r="G103" s="515" t="s">
        <v>11525</v>
      </c>
      <c r="H103" s="514"/>
      <c r="I103" s="515">
        <v>1</v>
      </c>
      <c r="J103" s="515">
        <v>1</v>
      </c>
    </row>
    <row r="104" spans="1:10" ht="13.8" thickBot="1">
      <c r="A104" s="517"/>
      <c r="B104" s="518" t="s">
        <v>11561</v>
      </c>
      <c r="C104" s="533"/>
      <c r="D104" s="514" t="s">
        <v>11560</v>
      </c>
      <c r="E104" s="515">
        <v>7.5</v>
      </c>
      <c r="F104" s="518" t="s">
        <v>1854</v>
      </c>
      <c r="G104" s="515" t="s">
        <v>11525</v>
      </c>
      <c r="H104" s="514"/>
      <c r="I104" s="515"/>
      <c r="J104" s="515"/>
    </row>
    <row r="105" spans="1:10" ht="13.8" thickBot="1">
      <c r="A105" s="517"/>
      <c r="B105" s="518" t="s">
        <v>11800</v>
      </c>
      <c r="C105" s="533"/>
      <c r="D105" s="514" t="s">
        <v>11533</v>
      </c>
      <c r="E105" s="515">
        <v>7.5</v>
      </c>
      <c r="F105" s="514"/>
      <c r="G105" s="515" t="s">
        <v>11525</v>
      </c>
      <c r="H105" s="514"/>
      <c r="I105" s="515"/>
      <c r="J105" s="515"/>
    </row>
    <row r="106" spans="1:10" ht="13.8" thickBot="1">
      <c r="A106" s="517"/>
      <c r="B106" s="518" t="s">
        <v>11663</v>
      </c>
      <c r="C106" s="533"/>
      <c r="D106" s="514" t="s">
        <v>11533</v>
      </c>
      <c r="E106" s="515">
        <v>7.5</v>
      </c>
      <c r="F106" s="514"/>
      <c r="G106" s="515" t="s">
        <v>11525</v>
      </c>
      <c r="H106" s="514"/>
      <c r="I106" s="522"/>
      <c r="J106" s="522"/>
    </row>
    <row r="107" spans="1:10" ht="13.8" thickBot="1">
      <c r="A107" s="517"/>
      <c r="B107" s="518" t="s">
        <v>11645</v>
      </c>
      <c r="C107" s="533"/>
      <c r="D107" s="514" t="s">
        <v>11612</v>
      </c>
      <c r="E107" s="515">
        <v>7.5</v>
      </c>
      <c r="F107" s="514"/>
      <c r="G107" s="515" t="s">
        <v>11525</v>
      </c>
      <c r="H107" s="514"/>
      <c r="I107" s="515"/>
      <c r="J107" s="515"/>
    </row>
    <row r="108" spans="1:10" ht="13.8" thickBot="1">
      <c r="A108" s="517"/>
      <c r="B108" s="518" t="s">
        <v>11631</v>
      </c>
      <c r="C108" s="533"/>
      <c r="D108" s="514" t="s">
        <v>11533</v>
      </c>
      <c r="E108" s="515">
        <v>7.5</v>
      </c>
      <c r="F108" s="514"/>
      <c r="G108" s="515" t="s">
        <v>11525</v>
      </c>
      <c r="H108" s="514"/>
      <c r="I108" s="515"/>
      <c r="J108" s="515"/>
    </row>
    <row r="109" spans="1:10" ht="13.8" thickBot="1">
      <c r="A109" s="517"/>
      <c r="B109" s="518" t="s">
        <v>11624</v>
      </c>
      <c r="C109" s="533"/>
      <c r="D109" s="514" t="s">
        <v>11612</v>
      </c>
      <c r="E109" s="515">
        <v>7.5</v>
      </c>
      <c r="F109" s="514"/>
      <c r="G109" s="515" t="s">
        <v>11525</v>
      </c>
      <c r="H109" s="514"/>
      <c r="I109" s="515"/>
      <c r="J109" s="515"/>
    </row>
    <row r="110" spans="1:10" ht="13.8" thickBot="1">
      <c r="A110" s="517"/>
      <c r="B110" s="518" t="s">
        <v>11617</v>
      </c>
      <c r="C110" s="533"/>
      <c r="D110" s="514" t="s">
        <v>11612</v>
      </c>
      <c r="E110" s="515">
        <v>7.5</v>
      </c>
      <c r="F110" s="514"/>
      <c r="G110" s="515" t="s">
        <v>11525</v>
      </c>
      <c r="H110" s="514"/>
      <c r="I110" s="515"/>
      <c r="J110" s="515"/>
    </row>
    <row r="111" spans="1:10" ht="13.8" thickBot="1">
      <c r="A111" s="517"/>
      <c r="B111" s="518" t="s">
        <v>13228</v>
      </c>
      <c r="C111" s="533"/>
      <c r="D111" s="514" t="s">
        <v>13227</v>
      </c>
      <c r="E111" s="515">
        <v>7.5</v>
      </c>
      <c r="F111" s="514"/>
      <c r="G111" s="515" t="s">
        <v>2797</v>
      </c>
      <c r="H111" s="514"/>
      <c r="I111" s="515"/>
      <c r="J111" s="515"/>
    </row>
    <row r="112" spans="1:10" ht="13.8" thickBot="1">
      <c r="A112" s="517"/>
      <c r="B112" s="518" t="s">
        <v>12968</v>
      </c>
      <c r="C112" s="533"/>
      <c r="D112" s="514" t="s">
        <v>3273</v>
      </c>
      <c r="E112" s="515">
        <v>7.5</v>
      </c>
      <c r="F112" s="518" t="s">
        <v>12967</v>
      </c>
      <c r="G112" s="515" t="s">
        <v>3161</v>
      </c>
      <c r="H112" s="514"/>
      <c r="I112" s="515"/>
      <c r="J112" s="515"/>
    </row>
    <row r="113" spans="1:10" ht="13.8" thickBot="1">
      <c r="A113" s="517"/>
      <c r="B113" s="518" t="s">
        <v>12966</v>
      </c>
      <c r="C113" s="533"/>
      <c r="D113" s="514" t="s">
        <v>12965</v>
      </c>
      <c r="E113" s="515">
        <v>7.5</v>
      </c>
      <c r="F113" s="514"/>
      <c r="G113" s="515" t="s">
        <v>3161</v>
      </c>
      <c r="H113" s="514"/>
      <c r="I113" s="515"/>
      <c r="J113" s="515"/>
    </row>
    <row r="114" spans="1:10" ht="13.8" thickBot="1">
      <c r="A114" s="517"/>
      <c r="B114" s="518" t="s">
        <v>12892</v>
      </c>
      <c r="C114" s="533"/>
      <c r="D114" s="514" t="s">
        <v>12891</v>
      </c>
      <c r="E114" s="515">
        <v>7.5</v>
      </c>
      <c r="F114" s="518" t="s">
        <v>1854</v>
      </c>
      <c r="G114" s="515" t="s">
        <v>3351</v>
      </c>
      <c r="H114" s="514"/>
      <c r="I114" s="515"/>
      <c r="J114" s="515"/>
    </row>
    <row r="115" spans="1:10" ht="13.8" thickBot="1">
      <c r="A115" s="517"/>
      <c r="B115" s="518" t="s">
        <v>12829</v>
      </c>
      <c r="C115" s="533"/>
      <c r="D115" s="514" t="s">
        <v>12828</v>
      </c>
      <c r="E115" s="515">
        <v>7.5</v>
      </c>
      <c r="F115" s="518" t="s">
        <v>1854</v>
      </c>
      <c r="G115" s="515" t="s">
        <v>3517</v>
      </c>
      <c r="H115" s="514"/>
      <c r="I115" s="515">
        <v>3</v>
      </c>
      <c r="J115" s="522">
        <v>3</v>
      </c>
    </row>
    <row r="116" spans="1:10" ht="13.8" thickBot="1">
      <c r="A116" s="517"/>
      <c r="B116" s="518" t="s">
        <v>12827</v>
      </c>
      <c r="C116" s="533"/>
      <c r="D116" s="514" t="s">
        <v>12826</v>
      </c>
      <c r="E116" s="515">
        <v>7.5</v>
      </c>
      <c r="F116" s="518" t="s">
        <v>2223</v>
      </c>
      <c r="G116" s="515" t="s">
        <v>3517</v>
      </c>
      <c r="H116" s="514"/>
      <c r="I116" s="522"/>
      <c r="J116" s="522">
        <v>1</v>
      </c>
    </row>
    <row r="117" spans="1:10" ht="13.8" thickBot="1">
      <c r="A117" s="517"/>
      <c r="B117" s="518" t="s">
        <v>12825</v>
      </c>
      <c r="C117" s="533"/>
      <c r="D117" s="514" t="s">
        <v>12824</v>
      </c>
      <c r="E117" s="515">
        <v>7.5</v>
      </c>
      <c r="F117" s="518" t="s">
        <v>1854</v>
      </c>
      <c r="G117" s="515" t="s">
        <v>3517</v>
      </c>
      <c r="H117" s="514"/>
      <c r="I117" s="522"/>
      <c r="J117" s="522"/>
    </row>
    <row r="118" spans="1:10" ht="13.8" thickBot="1">
      <c r="A118" s="517"/>
      <c r="B118" s="518" t="s">
        <v>12455</v>
      </c>
      <c r="C118" s="533"/>
      <c r="D118" s="514" t="s">
        <v>12454</v>
      </c>
      <c r="E118" s="515">
        <v>7.5</v>
      </c>
      <c r="F118" s="518" t="s">
        <v>1854</v>
      </c>
      <c r="G118" s="515" t="s">
        <v>4067</v>
      </c>
      <c r="H118" s="514"/>
      <c r="I118" s="515"/>
      <c r="J118" s="515"/>
    </row>
    <row r="119" spans="1:10" ht="13.8" thickBot="1">
      <c r="A119" s="517"/>
      <c r="B119" s="518" t="s">
        <v>12357</v>
      </c>
      <c r="C119" s="533"/>
      <c r="D119" s="514" t="s">
        <v>12356</v>
      </c>
      <c r="E119" s="515">
        <v>7.5</v>
      </c>
      <c r="F119" s="518" t="s">
        <v>1854</v>
      </c>
      <c r="G119" s="515" t="s">
        <v>4214</v>
      </c>
      <c r="H119" s="514"/>
      <c r="I119" s="522"/>
      <c r="J119" s="522">
        <v>1</v>
      </c>
    </row>
    <row r="120" spans="1:10" ht="13.8" thickBot="1">
      <c r="A120" s="517"/>
      <c r="B120" s="518" t="s">
        <v>12355</v>
      </c>
      <c r="C120" s="533"/>
      <c r="D120" s="514" t="s">
        <v>12354</v>
      </c>
      <c r="E120" s="515">
        <v>7.5</v>
      </c>
      <c r="F120" s="514"/>
      <c r="G120" s="515" t="s">
        <v>4214</v>
      </c>
      <c r="H120" s="514"/>
      <c r="I120" s="515"/>
      <c r="J120" s="515"/>
    </row>
    <row r="121" spans="1:10" ht="13.8" thickBot="1">
      <c r="A121" s="517"/>
      <c r="B121" s="518" t="s">
        <v>12268</v>
      </c>
      <c r="C121" s="533"/>
      <c r="D121" s="514" t="s">
        <v>12267</v>
      </c>
      <c r="E121" s="515">
        <v>7.5</v>
      </c>
      <c r="F121" s="518" t="s">
        <v>1854</v>
      </c>
      <c r="G121" s="515" t="s">
        <v>4391</v>
      </c>
      <c r="H121" s="514"/>
      <c r="I121" s="515">
        <v>1</v>
      </c>
      <c r="J121" s="515">
        <v>1</v>
      </c>
    </row>
    <row r="122" spans="1:10" ht="13.8" thickBot="1">
      <c r="A122" s="517"/>
      <c r="B122" s="518" t="s">
        <v>13832</v>
      </c>
      <c r="C122" s="533"/>
      <c r="D122" s="514" t="s">
        <v>1270</v>
      </c>
      <c r="E122" s="515">
        <v>7.5</v>
      </c>
      <c r="F122" s="518" t="s">
        <v>13831</v>
      </c>
      <c r="G122" s="515" t="s">
        <v>2152</v>
      </c>
      <c r="H122" s="514"/>
      <c r="I122" s="522"/>
      <c r="J122" s="522">
        <v>5</v>
      </c>
    </row>
    <row r="123" spans="1:10" ht="13.8" thickBot="1">
      <c r="A123" s="517"/>
      <c r="B123" s="518" t="s">
        <v>13830</v>
      </c>
      <c r="C123" s="533"/>
      <c r="D123" s="514" t="s">
        <v>13829</v>
      </c>
      <c r="E123" s="515">
        <v>7.5</v>
      </c>
      <c r="F123" s="518" t="s">
        <v>614</v>
      </c>
      <c r="G123" s="515" t="s">
        <v>2152</v>
      </c>
      <c r="H123" s="514"/>
      <c r="I123" s="515">
        <v>1</v>
      </c>
      <c r="J123" s="515">
        <v>2</v>
      </c>
    </row>
    <row r="124" spans="1:10" ht="13.8" thickBot="1">
      <c r="A124" s="517"/>
      <c r="B124" s="518" t="s">
        <v>13828</v>
      </c>
      <c r="C124" s="533"/>
      <c r="D124" s="514" t="s">
        <v>13827</v>
      </c>
      <c r="E124" s="515">
        <v>7.5</v>
      </c>
      <c r="F124" s="518" t="s">
        <v>1854</v>
      </c>
      <c r="G124" s="515" t="s">
        <v>2152</v>
      </c>
      <c r="H124" s="514"/>
      <c r="I124" s="515">
        <v>2</v>
      </c>
      <c r="J124" s="515">
        <v>2</v>
      </c>
    </row>
    <row r="125" spans="1:10" ht="13.8" thickBot="1">
      <c r="A125" s="517"/>
      <c r="B125" s="518" t="s">
        <v>11936</v>
      </c>
      <c r="C125" s="533"/>
      <c r="D125" s="519" t="s">
        <v>11935</v>
      </c>
      <c r="E125" s="515">
        <v>7.4</v>
      </c>
      <c r="F125" s="518" t="s">
        <v>614</v>
      </c>
      <c r="G125" s="515" t="s">
        <v>5226</v>
      </c>
      <c r="H125" s="514" t="s">
        <v>1224</v>
      </c>
      <c r="I125" s="515"/>
      <c r="J125" s="515">
        <v>3</v>
      </c>
    </row>
    <row r="126" spans="1:10" ht="13.8" thickBot="1">
      <c r="A126" s="517"/>
      <c r="B126" s="518" t="s">
        <v>12964</v>
      </c>
      <c r="C126" s="533"/>
      <c r="D126" s="514" t="s">
        <v>12963</v>
      </c>
      <c r="E126" s="515">
        <v>7.3</v>
      </c>
      <c r="F126" s="518" t="s">
        <v>614</v>
      </c>
      <c r="G126" s="515" t="s">
        <v>3161</v>
      </c>
      <c r="H126" s="514" t="s">
        <v>1251</v>
      </c>
      <c r="I126" s="515"/>
      <c r="J126" s="515">
        <v>2</v>
      </c>
    </row>
    <row r="127" spans="1:10" ht="13.8" thickBot="1">
      <c r="A127" s="517"/>
      <c r="B127" s="518" t="s">
        <v>11909</v>
      </c>
      <c r="C127" s="533"/>
      <c r="D127" s="514" t="s">
        <v>11905</v>
      </c>
      <c r="E127" s="515">
        <v>7.25</v>
      </c>
      <c r="F127" s="518" t="s">
        <v>614</v>
      </c>
      <c r="G127" s="515" t="s">
        <v>5245</v>
      </c>
      <c r="H127" s="514" t="s">
        <v>1229</v>
      </c>
      <c r="I127" s="515">
        <v>2</v>
      </c>
      <c r="J127" s="515">
        <v>11</v>
      </c>
    </row>
    <row r="128" spans="1:10" ht="13.8" thickBot="1">
      <c r="A128" s="517"/>
      <c r="B128" s="518" t="s">
        <v>11897</v>
      </c>
      <c r="C128" s="533"/>
      <c r="D128" s="514" t="s">
        <v>11896</v>
      </c>
      <c r="E128" s="515">
        <v>7.25</v>
      </c>
      <c r="F128" s="518" t="s">
        <v>614</v>
      </c>
      <c r="G128" s="515" t="s">
        <v>11891</v>
      </c>
      <c r="H128" s="514" t="s">
        <v>1229</v>
      </c>
      <c r="I128" s="522"/>
      <c r="J128" s="522">
        <v>7</v>
      </c>
    </row>
    <row r="129" spans="1:10" ht="13.8" thickBot="1">
      <c r="A129" s="517"/>
      <c r="B129" s="518" t="s">
        <v>12453</v>
      </c>
      <c r="C129" s="533"/>
      <c r="D129" s="519" t="s">
        <v>12452</v>
      </c>
      <c r="E129" s="515">
        <v>7.25</v>
      </c>
      <c r="F129" s="518" t="s">
        <v>614</v>
      </c>
      <c r="G129" s="515" t="s">
        <v>4067</v>
      </c>
      <c r="H129" s="514" t="s">
        <v>1229</v>
      </c>
      <c r="I129" s="515"/>
      <c r="J129" s="515">
        <v>3</v>
      </c>
    </row>
    <row r="130" spans="1:10" ht="13.8" thickBot="1">
      <c r="A130" s="517"/>
      <c r="B130" s="518" t="s">
        <v>12188</v>
      </c>
      <c r="C130" s="533"/>
      <c r="D130" s="514" t="s">
        <v>12187</v>
      </c>
      <c r="E130" s="515">
        <v>7.25</v>
      </c>
      <c r="F130" s="518" t="s">
        <v>614</v>
      </c>
      <c r="G130" s="515" t="s">
        <v>4822</v>
      </c>
      <c r="H130" s="514" t="s">
        <v>1251</v>
      </c>
      <c r="I130" s="515"/>
      <c r="J130" s="515">
        <v>1</v>
      </c>
    </row>
    <row r="131" spans="1:10" ht="13.8" thickBot="1">
      <c r="A131" s="517"/>
      <c r="B131" s="518" t="s">
        <v>12000</v>
      </c>
      <c r="C131" s="533"/>
      <c r="D131" s="514" t="s">
        <v>11999</v>
      </c>
      <c r="E131" s="515">
        <v>7.25</v>
      </c>
      <c r="F131" s="518" t="s">
        <v>614</v>
      </c>
      <c r="G131" s="515" t="s">
        <v>5155</v>
      </c>
      <c r="H131" s="514" t="s">
        <v>1251</v>
      </c>
      <c r="I131" s="522"/>
      <c r="J131" s="522">
        <v>7</v>
      </c>
    </row>
    <row r="132" spans="1:10" ht="13.8" thickBot="1">
      <c r="A132" s="517"/>
      <c r="B132" s="518" t="s">
        <v>11974</v>
      </c>
      <c r="C132" s="533"/>
      <c r="D132" s="514" t="s">
        <v>5195</v>
      </c>
      <c r="E132" s="515">
        <v>7.25</v>
      </c>
      <c r="F132" s="518" t="s">
        <v>614</v>
      </c>
      <c r="G132" s="515" t="s">
        <v>5196</v>
      </c>
      <c r="H132" s="514" t="s">
        <v>1251</v>
      </c>
      <c r="I132" s="515">
        <v>2</v>
      </c>
      <c r="J132" s="515">
        <v>4</v>
      </c>
    </row>
    <row r="133" spans="1:10" ht="13.8" thickBot="1">
      <c r="A133" s="517"/>
      <c r="B133" s="518" t="s">
        <v>11934</v>
      </c>
      <c r="C133" s="533"/>
      <c r="D133" s="514" t="s">
        <v>5231</v>
      </c>
      <c r="E133" s="515">
        <v>7.25</v>
      </c>
      <c r="F133" s="518" t="s">
        <v>614</v>
      </c>
      <c r="G133" s="515" t="s">
        <v>5226</v>
      </c>
      <c r="H133" s="514" t="s">
        <v>1251</v>
      </c>
      <c r="I133" s="515"/>
      <c r="J133" s="515">
        <v>12</v>
      </c>
    </row>
    <row r="134" spans="1:10" ht="13.8" thickBot="1">
      <c r="A134" s="517"/>
      <c r="B134" s="518" t="s">
        <v>11933</v>
      </c>
      <c r="C134" s="533"/>
      <c r="D134" s="514" t="s">
        <v>11932</v>
      </c>
      <c r="E134" s="515">
        <v>7.25</v>
      </c>
      <c r="F134" s="518" t="s">
        <v>614</v>
      </c>
      <c r="G134" s="515" t="s">
        <v>5226</v>
      </c>
      <c r="H134" s="514" t="s">
        <v>1251</v>
      </c>
      <c r="I134" s="515">
        <v>1</v>
      </c>
      <c r="J134" s="515">
        <v>4</v>
      </c>
    </row>
    <row r="135" spans="1:10" ht="13.8" thickBot="1">
      <c r="A135" s="517"/>
      <c r="B135" s="518" t="s">
        <v>13733</v>
      </c>
      <c r="C135" s="533"/>
      <c r="D135" s="514" t="s">
        <v>13732</v>
      </c>
      <c r="E135" s="515">
        <v>7.25</v>
      </c>
      <c r="F135" s="518" t="s">
        <v>614</v>
      </c>
      <c r="G135" s="515" t="s">
        <v>2289</v>
      </c>
      <c r="H135" s="514" t="s">
        <v>1251</v>
      </c>
      <c r="I135" s="515"/>
      <c r="J135" s="515">
        <v>4</v>
      </c>
    </row>
    <row r="136" spans="1:10" ht="13.8" thickBot="1">
      <c r="A136" s="517"/>
      <c r="B136" s="518" t="s">
        <v>13612</v>
      </c>
      <c r="C136" s="533"/>
      <c r="D136" s="514" t="s">
        <v>13611</v>
      </c>
      <c r="E136" s="515">
        <v>7.25</v>
      </c>
      <c r="F136" s="518" t="s">
        <v>614</v>
      </c>
      <c r="G136" s="515" t="s">
        <v>2449</v>
      </c>
      <c r="H136" s="514" t="s">
        <v>1251</v>
      </c>
      <c r="I136" s="515"/>
      <c r="J136" s="515">
        <v>6</v>
      </c>
    </row>
    <row r="137" spans="1:10" ht="13.8" thickBot="1">
      <c r="A137" s="517"/>
      <c r="B137" s="518" t="s">
        <v>12981</v>
      </c>
      <c r="C137" s="533"/>
      <c r="D137" s="514" t="s">
        <v>12980</v>
      </c>
      <c r="E137" s="515">
        <v>7.25</v>
      </c>
      <c r="F137" s="518" t="s">
        <v>614</v>
      </c>
      <c r="G137" s="515" t="s">
        <v>3085</v>
      </c>
      <c r="H137" s="514" t="s">
        <v>1251</v>
      </c>
      <c r="I137" s="515">
        <v>2</v>
      </c>
      <c r="J137" s="515">
        <v>8</v>
      </c>
    </row>
    <row r="138" spans="1:10" ht="13.8" thickBot="1">
      <c r="A138" s="517"/>
      <c r="B138" s="518" t="s">
        <v>12962</v>
      </c>
      <c r="C138" s="533"/>
      <c r="D138" s="514" t="s">
        <v>12961</v>
      </c>
      <c r="E138" s="515">
        <v>7.25</v>
      </c>
      <c r="F138" s="518" t="s">
        <v>614</v>
      </c>
      <c r="G138" s="515" t="s">
        <v>3161</v>
      </c>
      <c r="H138" s="514" t="s">
        <v>1251</v>
      </c>
      <c r="I138" s="522"/>
      <c r="J138" s="522">
        <v>2</v>
      </c>
    </row>
    <row r="139" spans="1:10" ht="13.8" thickBot="1">
      <c r="A139" s="517"/>
      <c r="B139" s="518" t="s">
        <v>12907</v>
      </c>
      <c r="C139" s="533"/>
      <c r="D139" s="514" t="s">
        <v>12906</v>
      </c>
      <c r="E139" s="515">
        <v>7.25</v>
      </c>
      <c r="F139" s="518" t="s">
        <v>614</v>
      </c>
      <c r="G139" s="515" t="s">
        <v>3285</v>
      </c>
      <c r="H139" s="514" t="s">
        <v>1251</v>
      </c>
      <c r="I139" s="515"/>
      <c r="J139" s="515">
        <v>1</v>
      </c>
    </row>
    <row r="140" spans="1:10" ht="13.8" thickBot="1">
      <c r="A140" s="517"/>
      <c r="B140" s="518" t="s">
        <v>12823</v>
      </c>
      <c r="C140" s="533"/>
      <c r="D140" s="514" t="s">
        <v>12822</v>
      </c>
      <c r="E140" s="515">
        <v>7.25</v>
      </c>
      <c r="F140" s="518" t="s">
        <v>1854</v>
      </c>
      <c r="G140" s="515" t="s">
        <v>3517</v>
      </c>
      <c r="H140" s="514" t="s">
        <v>1251</v>
      </c>
      <c r="I140" s="515">
        <v>2</v>
      </c>
      <c r="J140" s="515">
        <v>7</v>
      </c>
    </row>
    <row r="141" spans="1:10" ht="13.8" thickBot="1">
      <c r="A141" s="517"/>
      <c r="B141" s="518" t="s">
        <v>14282</v>
      </c>
      <c r="C141" s="533"/>
      <c r="D141" s="514" t="s">
        <v>14182</v>
      </c>
      <c r="E141" s="515">
        <v>7.25</v>
      </c>
      <c r="F141" s="518" t="s">
        <v>1854</v>
      </c>
      <c r="G141" s="515" t="s">
        <v>1793</v>
      </c>
      <c r="H141" s="514" t="s">
        <v>1226</v>
      </c>
      <c r="I141" s="522"/>
      <c r="J141" s="522">
        <v>3</v>
      </c>
    </row>
    <row r="142" spans="1:10" ht="13.8" thickBot="1">
      <c r="A142" s="517"/>
      <c r="B142" s="518" t="s">
        <v>12165</v>
      </c>
      <c r="C142" s="533"/>
      <c r="D142" s="514" t="s">
        <v>4935</v>
      </c>
      <c r="E142" s="515">
        <v>7.25</v>
      </c>
      <c r="F142" s="518" t="s">
        <v>614</v>
      </c>
      <c r="G142" s="515" t="s">
        <v>4918</v>
      </c>
      <c r="H142" s="514" t="s">
        <v>1226</v>
      </c>
      <c r="I142" s="515"/>
      <c r="J142" s="515">
        <v>1</v>
      </c>
    </row>
    <row r="143" spans="1:10" ht="13.8" thickBot="1">
      <c r="A143" s="517"/>
      <c r="B143" s="518" t="s">
        <v>13731</v>
      </c>
      <c r="C143" s="533"/>
      <c r="D143" s="514" t="s">
        <v>13730</v>
      </c>
      <c r="E143" s="515">
        <v>7.25</v>
      </c>
      <c r="F143" s="518" t="s">
        <v>614</v>
      </c>
      <c r="G143" s="515" t="s">
        <v>2289</v>
      </c>
      <c r="H143" s="514" t="s">
        <v>1226</v>
      </c>
      <c r="I143" s="515">
        <v>3</v>
      </c>
      <c r="J143" s="515">
        <v>5</v>
      </c>
    </row>
    <row r="144" spans="1:10" ht="13.8" thickBot="1">
      <c r="A144" s="517"/>
      <c r="B144" s="518" t="s">
        <v>13556</v>
      </c>
      <c r="C144" s="533"/>
      <c r="D144" s="514" t="s">
        <v>13555</v>
      </c>
      <c r="E144" s="515">
        <v>7.25</v>
      </c>
      <c r="F144" s="518" t="s">
        <v>614</v>
      </c>
      <c r="G144" s="515" t="s">
        <v>2523</v>
      </c>
      <c r="H144" s="514" t="s">
        <v>1226</v>
      </c>
      <c r="I144" s="515">
        <v>1</v>
      </c>
      <c r="J144" s="515">
        <v>5</v>
      </c>
    </row>
    <row r="145" spans="1:10" ht="13.8" thickBot="1">
      <c r="A145" s="517"/>
      <c r="B145" s="518" t="s">
        <v>13554</v>
      </c>
      <c r="C145" s="533"/>
      <c r="D145" s="519" t="s">
        <v>13553</v>
      </c>
      <c r="E145" s="515">
        <v>7.25</v>
      </c>
      <c r="F145" s="518" t="s">
        <v>614</v>
      </c>
      <c r="G145" s="515" t="s">
        <v>2523</v>
      </c>
      <c r="H145" s="514" t="s">
        <v>1226</v>
      </c>
      <c r="I145" s="515">
        <v>1</v>
      </c>
      <c r="J145" s="515">
        <v>4</v>
      </c>
    </row>
    <row r="146" spans="1:10" ht="13.8" thickBot="1">
      <c r="A146" s="517"/>
      <c r="B146" s="518" t="s">
        <v>13226</v>
      </c>
      <c r="C146" s="533"/>
      <c r="D146" s="514" t="s">
        <v>13225</v>
      </c>
      <c r="E146" s="515">
        <v>7.25</v>
      </c>
      <c r="F146" s="518" t="s">
        <v>614</v>
      </c>
      <c r="G146" s="515" t="s">
        <v>2797</v>
      </c>
      <c r="H146" s="514" t="s">
        <v>1226</v>
      </c>
      <c r="I146" s="515">
        <v>1</v>
      </c>
      <c r="J146" s="515">
        <v>4</v>
      </c>
    </row>
    <row r="147" spans="1:10" ht="13.8" thickBot="1">
      <c r="A147" s="517"/>
      <c r="B147" s="518" t="s">
        <v>13160</v>
      </c>
      <c r="C147" s="533"/>
      <c r="D147" s="514" t="s">
        <v>13159</v>
      </c>
      <c r="E147" s="515">
        <v>7.25</v>
      </c>
      <c r="F147" s="518" t="s">
        <v>1854</v>
      </c>
      <c r="G147" s="515" t="s">
        <v>2957</v>
      </c>
      <c r="H147" s="514" t="s">
        <v>1226</v>
      </c>
      <c r="I147" s="515">
        <v>1</v>
      </c>
      <c r="J147" s="515">
        <v>4</v>
      </c>
    </row>
    <row r="148" spans="1:10" ht="13.8" thickBot="1">
      <c r="A148" s="517"/>
      <c r="B148" s="518" t="s">
        <v>13933</v>
      </c>
      <c r="C148" s="533"/>
      <c r="D148" s="514" t="s">
        <v>13932</v>
      </c>
      <c r="E148" s="515">
        <v>7.25</v>
      </c>
      <c r="F148" s="518" t="s">
        <v>614</v>
      </c>
      <c r="G148" s="515" t="s">
        <v>2032</v>
      </c>
      <c r="H148" s="514" t="s">
        <v>1226</v>
      </c>
      <c r="I148" s="515"/>
      <c r="J148" s="515">
        <v>1</v>
      </c>
    </row>
    <row r="149" spans="1:10" ht="13.8" thickBot="1">
      <c r="A149" s="517"/>
      <c r="B149" s="518" t="s">
        <v>12451</v>
      </c>
      <c r="C149" s="533"/>
      <c r="D149" s="514" t="s">
        <v>1537</v>
      </c>
      <c r="E149" s="515">
        <v>7.25</v>
      </c>
      <c r="F149" s="518" t="s">
        <v>1854</v>
      </c>
      <c r="G149" s="515" t="s">
        <v>4067</v>
      </c>
      <c r="H149" s="514" t="s">
        <v>1226</v>
      </c>
      <c r="I149" s="515">
        <v>2</v>
      </c>
      <c r="J149" s="515">
        <v>6</v>
      </c>
    </row>
    <row r="150" spans="1:10" ht="13.8" thickBot="1">
      <c r="A150" s="517"/>
      <c r="B150" s="518" t="s">
        <v>12261</v>
      </c>
      <c r="C150" s="533"/>
      <c r="D150" s="514" t="s">
        <v>4440</v>
      </c>
      <c r="E150" s="515">
        <v>7.25</v>
      </c>
      <c r="F150" s="514"/>
      <c r="G150" s="515" t="s">
        <v>4438</v>
      </c>
      <c r="H150" s="514" t="s">
        <v>1226</v>
      </c>
      <c r="I150" s="515"/>
      <c r="J150" s="522">
        <v>2</v>
      </c>
    </row>
    <row r="151" spans="1:10" ht="13.8" thickBot="1">
      <c r="A151" s="517"/>
      <c r="B151" s="518" t="s">
        <v>12212</v>
      </c>
      <c r="C151" s="533"/>
      <c r="D151" s="514" t="s">
        <v>4701</v>
      </c>
      <c r="E151" s="515">
        <v>7.25</v>
      </c>
      <c r="F151" s="518" t="s">
        <v>1854</v>
      </c>
      <c r="G151" s="515" t="s">
        <v>4702</v>
      </c>
      <c r="H151" s="514" t="s">
        <v>1226</v>
      </c>
      <c r="I151" s="515">
        <v>1</v>
      </c>
      <c r="J151" s="515">
        <v>1</v>
      </c>
    </row>
    <row r="152" spans="1:10" ht="13.8" thickBot="1">
      <c r="A152" s="517"/>
      <c r="B152" s="518" t="s">
        <v>12400</v>
      </c>
      <c r="C152" s="533"/>
      <c r="D152" s="514" t="s">
        <v>12399</v>
      </c>
      <c r="E152" s="515">
        <v>7.25</v>
      </c>
      <c r="F152" s="518" t="s">
        <v>614</v>
      </c>
      <c r="G152" s="515" t="s">
        <v>4140</v>
      </c>
      <c r="H152" s="514" t="s">
        <v>1224</v>
      </c>
      <c r="I152" s="515">
        <v>1</v>
      </c>
      <c r="J152" s="515">
        <v>4</v>
      </c>
    </row>
    <row r="153" spans="1:10" ht="13.8" thickBot="1">
      <c r="A153" s="517"/>
      <c r="B153" s="518" t="s">
        <v>12143</v>
      </c>
      <c r="C153" s="533"/>
      <c r="D153" s="514" t="s">
        <v>12142</v>
      </c>
      <c r="E153" s="515">
        <v>7.25</v>
      </c>
      <c r="F153" s="518" t="s">
        <v>1854</v>
      </c>
      <c r="G153" s="515" t="s">
        <v>4970</v>
      </c>
      <c r="H153" s="514"/>
      <c r="I153" s="515"/>
      <c r="J153" s="515"/>
    </row>
    <row r="154" spans="1:10" ht="13.8" thickBot="1">
      <c r="A154" s="517"/>
      <c r="B154" s="518" t="s">
        <v>13729</v>
      </c>
      <c r="C154" s="533"/>
      <c r="D154" s="514" t="s">
        <v>13728</v>
      </c>
      <c r="E154" s="515">
        <v>7.25</v>
      </c>
      <c r="F154" s="514"/>
      <c r="G154" s="515" t="s">
        <v>2289</v>
      </c>
      <c r="H154" s="514"/>
      <c r="I154" s="515"/>
      <c r="J154" s="515">
        <v>1</v>
      </c>
    </row>
    <row r="155" spans="1:10" ht="13.8" thickBot="1">
      <c r="A155" s="517"/>
      <c r="B155" s="518" t="s">
        <v>13552</v>
      </c>
      <c r="C155" s="533"/>
      <c r="D155" s="514" t="s">
        <v>13551</v>
      </c>
      <c r="E155" s="515">
        <v>7.25</v>
      </c>
      <c r="F155" s="518" t="s">
        <v>614</v>
      </c>
      <c r="G155" s="515" t="s">
        <v>2523</v>
      </c>
      <c r="H155" s="514"/>
      <c r="I155" s="515"/>
      <c r="J155" s="515">
        <v>1</v>
      </c>
    </row>
    <row r="156" spans="1:10" ht="13.8" thickBot="1">
      <c r="A156" s="517"/>
      <c r="B156" s="518" t="s">
        <v>13550</v>
      </c>
      <c r="C156" s="533"/>
      <c r="D156" s="514" t="s">
        <v>13549</v>
      </c>
      <c r="E156" s="515">
        <v>7.25</v>
      </c>
      <c r="F156" s="518" t="s">
        <v>1854</v>
      </c>
      <c r="G156" s="515" t="s">
        <v>2523</v>
      </c>
      <c r="H156" s="514"/>
      <c r="I156" s="515"/>
      <c r="J156" s="515">
        <v>1</v>
      </c>
    </row>
    <row r="157" spans="1:10" ht="13.8" thickBot="1">
      <c r="A157" s="517"/>
      <c r="B157" s="518" t="s">
        <v>11805</v>
      </c>
      <c r="C157" s="533"/>
      <c r="D157" s="514" t="s">
        <v>11533</v>
      </c>
      <c r="E157" s="515">
        <v>7.25</v>
      </c>
      <c r="F157" s="514"/>
      <c r="G157" s="515" t="s">
        <v>11525</v>
      </c>
      <c r="H157" s="514"/>
      <c r="I157" s="515"/>
      <c r="J157" s="515"/>
    </row>
    <row r="158" spans="1:10" ht="13.8" thickBot="1">
      <c r="A158" s="517"/>
      <c r="B158" s="518" t="s">
        <v>11666</v>
      </c>
      <c r="C158" s="533"/>
      <c r="D158" s="514" t="s">
        <v>11533</v>
      </c>
      <c r="E158" s="515">
        <v>7.25</v>
      </c>
      <c r="F158" s="514"/>
      <c r="G158" s="515" t="s">
        <v>11525</v>
      </c>
      <c r="H158" s="514"/>
      <c r="I158" s="522"/>
      <c r="J158" s="522"/>
    </row>
    <row r="159" spans="1:10" ht="13.8" thickBot="1">
      <c r="A159" s="517"/>
      <c r="B159" s="518" t="s">
        <v>12960</v>
      </c>
      <c r="C159" s="533"/>
      <c r="D159" s="514" t="s">
        <v>12959</v>
      </c>
      <c r="E159" s="515">
        <v>7.25</v>
      </c>
      <c r="F159" s="518" t="s">
        <v>1854</v>
      </c>
      <c r="G159" s="515" t="s">
        <v>3161</v>
      </c>
      <c r="H159" s="514"/>
      <c r="I159" s="515"/>
      <c r="J159" s="515"/>
    </row>
    <row r="160" spans="1:10" ht="13.8" thickBot="1">
      <c r="A160" s="517"/>
      <c r="B160" s="518" t="s">
        <v>12890</v>
      </c>
      <c r="C160" s="533"/>
      <c r="D160" s="514" t="s">
        <v>1440</v>
      </c>
      <c r="E160" s="515">
        <v>7.25</v>
      </c>
      <c r="F160" s="518" t="s">
        <v>1854</v>
      </c>
      <c r="G160" s="515" t="s">
        <v>3351</v>
      </c>
      <c r="H160" s="514"/>
      <c r="I160" s="515"/>
      <c r="J160" s="515"/>
    </row>
    <row r="161" spans="1:10" ht="13.8" thickBot="1">
      <c r="A161" s="517"/>
      <c r="B161" s="518" t="s">
        <v>12877</v>
      </c>
      <c r="C161" s="533"/>
      <c r="D161" s="514" t="s">
        <v>12876</v>
      </c>
      <c r="E161" s="515">
        <v>7.25</v>
      </c>
      <c r="F161" s="514"/>
      <c r="G161" s="515" t="s">
        <v>3414</v>
      </c>
      <c r="H161" s="514"/>
      <c r="I161" s="515"/>
      <c r="J161" s="515"/>
    </row>
    <row r="162" spans="1:10" ht="13.8" thickBot="1">
      <c r="A162" s="517"/>
      <c r="B162" s="518" t="s">
        <v>12821</v>
      </c>
      <c r="C162" s="533"/>
      <c r="D162" s="514" t="s">
        <v>3579</v>
      </c>
      <c r="E162" s="515">
        <v>7.25</v>
      </c>
      <c r="F162" s="514"/>
      <c r="G162" s="515" t="s">
        <v>3517</v>
      </c>
      <c r="H162" s="514"/>
      <c r="I162" s="515"/>
      <c r="J162" s="515"/>
    </row>
    <row r="163" spans="1:10" ht="13.8" thickBot="1">
      <c r="A163" s="517"/>
      <c r="B163" s="518" t="s">
        <v>12693</v>
      </c>
      <c r="C163" s="533"/>
      <c r="D163" s="514" t="s">
        <v>12692</v>
      </c>
      <c r="E163" s="515">
        <v>7.25</v>
      </c>
      <c r="F163" s="518" t="s">
        <v>1854</v>
      </c>
      <c r="G163" s="515" t="s">
        <v>3652</v>
      </c>
      <c r="H163" s="514"/>
      <c r="I163" s="515">
        <v>1</v>
      </c>
      <c r="J163" s="515">
        <v>1</v>
      </c>
    </row>
    <row r="164" spans="1:10" ht="13.8" thickBot="1">
      <c r="A164" s="517"/>
      <c r="B164" s="518" t="s">
        <v>12478</v>
      </c>
      <c r="C164" s="533"/>
      <c r="D164" s="514" t="s">
        <v>12477</v>
      </c>
      <c r="E164" s="515">
        <v>7.25</v>
      </c>
      <c r="F164" s="518" t="s">
        <v>1854</v>
      </c>
      <c r="G164" s="515" t="s">
        <v>3957</v>
      </c>
      <c r="H164" s="514"/>
      <c r="I164" s="515"/>
      <c r="J164" s="515">
        <v>1</v>
      </c>
    </row>
    <row r="165" spans="1:10" ht="13.8" thickBot="1">
      <c r="A165" s="517"/>
      <c r="B165" s="518" t="s">
        <v>12353</v>
      </c>
      <c r="C165" s="533"/>
      <c r="D165" s="514" t="s">
        <v>12352</v>
      </c>
      <c r="E165" s="515">
        <v>7.25</v>
      </c>
      <c r="F165" s="518" t="s">
        <v>1854</v>
      </c>
      <c r="G165" s="515" t="s">
        <v>4214</v>
      </c>
      <c r="H165" s="514"/>
      <c r="I165" s="515"/>
      <c r="J165" s="515">
        <v>1</v>
      </c>
    </row>
    <row r="166" spans="1:10" ht="13.8" thickBot="1">
      <c r="A166" s="517"/>
      <c r="B166" s="518" t="s">
        <v>11839</v>
      </c>
      <c r="C166" s="533"/>
      <c r="D166" s="514" t="s">
        <v>11838</v>
      </c>
      <c r="E166" s="515">
        <v>7.2</v>
      </c>
      <c r="F166" s="518" t="s">
        <v>614</v>
      </c>
      <c r="G166" s="515" t="s">
        <v>5319</v>
      </c>
      <c r="H166" s="514" t="s">
        <v>1226</v>
      </c>
      <c r="I166" s="515"/>
      <c r="J166" s="515">
        <v>2</v>
      </c>
    </row>
    <row r="167" spans="1:10" ht="13.8" thickBot="1">
      <c r="A167" s="517"/>
      <c r="B167" s="518" t="s">
        <v>13548</v>
      </c>
      <c r="C167" s="533"/>
      <c r="D167" s="514" t="s">
        <v>13547</v>
      </c>
      <c r="E167" s="515">
        <v>7.1</v>
      </c>
      <c r="F167" s="518" t="s">
        <v>614</v>
      </c>
      <c r="G167" s="515" t="s">
        <v>2523</v>
      </c>
      <c r="H167" s="514" t="s">
        <v>2319</v>
      </c>
      <c r="I167" s="522">
        <v>1</v>
      </c>
      <c r="J167" s="522">
        <v>12</v>
      </c>
    </row>
    <row r="168" spans="1:10" ht="13.8" thickBot="1">
      <c r="A168" s="517"/>
      <c r="B168" s="518" t="s">
        <v>14281</v>
      </c>
      <c r="C168" s="533"/>
      <c r="D168" s="514" t="s">
        <v>14280</v>
      </c>
      <c r="E168" s="515">
        <v>7.1</v>
      </c>
      <c r="F168" s="518" t="s">
        <v>614</v>
      </c>
      <c r="G168" s="515" t="s">
        <v>1793</v>
      </c>
      <c r="H168" s="514" t="s">
        <v>1251</v>
      </c>
      <c r="I168" s="515">
        <v>2</v>
      </c>
      <c r="J168" s="515">
        <v>6</v>
      </c>
    </row>
    <row r="169" spans="1:10" ht="13.8" thickBot="1">
      <c r="A169" s="517"/>
      <c r="B169" s="518" t="s">
        <v>11973</v>
      </c>
      <c r="C169" s="533"/>
      <c r="D169" s="514" t="s">
        <v>11972</v>
      </c>
      <c r="E169" s="515">
        <v>7.1</v>
      </c>
      <c r="F169" s="518" t="s">
        <v>614</v>
      </c>
      <c r="G169" s="515" t="s">
        <v>5196</v>
      </c>
      <c r="H169" s="514" t="s">
        <v>1251</v>
      </c>
      <c r="I169" s="515"/>
      <c r="J169" s="515">
        <v>3</v>
      </c>
    </row>
    <row r="170" spans="1:10" ht="13.8" thickBot="1">
      <c r="A170" s="517"/>
      <c r="B170" s="518" t="s">
        <v>13727</v>
      </c>
      <c r="C170" s="533"/>
      <c r="D170" s="514" t="s">
        <v>13726</v>
      </c>
      <c r="E170" s="515">
        <v>7.1</v>
      </c>
      <c r="F170" s="518" t="s">
        <v>614</v>
      </c>
      <c r="G170" s="515" t="s">
        <v>2289</v>
      </c>
      <c r="H170" s="514" t="s">
        <v>1251</v>
      </c>
      <c r="I170" s="515">
        <v>3</v>
      </c>
      <c r="J170" s="515">
        <v>8</v>
      </c>
    </row>
    <row r="171" spans="1:10" ht="13.8" thickBot="1">
      <c r="A171" s="517"/>
      <c r="B171" s="518" t="s">
        <v>13725</v>
      </c>
      <c r="C171" s="533"/>
      <c r="D171" s="514" t="s">
        <v>13724</v>
      </c>
      <c r="E171" s="515">
        <v>7.1</v>
      </c>
      <c r="F171" s="518" t="s">
        <v>614</v>
      </c>
      <c r="G171" s="515" t="s">
        <v>2289</v>
      </c>
      <c r="H171" s="514" t="s">
        <v>1251</v>
      </c>
      <c r="I171" s="515">
        <v>1</v>
      </c>
      <c r="J171" s="515">
        <v>6</v>
      </c>
    </row>
    <row r="172" spans="1:10" ht="13.8" thickBot="1">
      <c r="A172" s="517"/>
      <c r="B172" s="518" t="s">
        <v>11881</v>
      </c>
      <c r="C172" s="533"/>
      <c r="D172" s="514" t="s">
        <v>11880</v>
      </c>
      <c r="E172" s="515">
        <v>7.1</v>
      </c>
      <c r="F172" s="518" t="s">
        <v>614</v>
      </c>
      <c r="G172" s="515" t="s">
        <v>5286</v>
      </c>
      <c r="H172" s="514" t="s">
        <v>1251</v>
      </c>
      <c r="I172" s="515">
        <v>1</v>
      </c>
      <c r="J172" s="515">
        <v>11</v>
      </c>
    </row>
    <row r="173" spans="1:10" ht="13.8" thickBot="1">
      <c r="A173" s="517"/>
      <c r="B173" s="518" t="s">
        <v>11879</v>
      </c>
      <c r="C173" s="533"/>
      <c r="D173" s="514" t="s">
        <v>11878</v>
      </c>
      <c r="E173" s="515">
        <v>7.1</v>
      </c>
      <c r="F173" s="518" t="s">
        <v>614</v>
      </c>
      <c r="G173" s="515" t="s">
        <v>5286</v>
      </c>
      <c r="H173" s="514" t="s">
        <v>1251</v>
      </c>
      <c r="I173" s="515">
        <v>1</v>
      </c>
      <c r="J173" s="515">
        <v>5</v>
      </c>
    </row>
    <row r="174" spans="1:10" ht="13.8" thickBot="1">
      <c r="A174" s="517"/>
      <c r="B174" s="518" t="s">
        <v>13158</v>
      </c>
      <c r="C174" s="533"/>
      <c r="D174" s="514" t="s">
        <v>13157</v>
      </c>
      <c r="E174" s="515">
        <v>7.1</v>
      </c>
      <c r="F174" s="518" t="s">
        <v>614</v>
      </c>
      <c r="G174" s="515" t="s">
        <v>2957</v>
      </c>
      <c r="H174" s="514" t="s">
        <v>1251</v>
      </c>
      <c r="I174" s="522"/>
      <c r="J174" s="522">
        <v>8</v>
      </c>
    </row>
    <row r="175" spans="1:10" ht="13.8" thickBot="1">
      <c r="A175" s="517"/>
      <c r="B175" s="518" t="s">
        <v>13156</v>
      </c>
      <c r="C175" s="533"/>
      <c r="D175" s="514" t="s">
        <v>13155</v>
      </c>
      <c r="E175" s="515">
        <v>7.1</v>
      </c>
      <c r="F175" s="518" t="s">
        <v>614</v>
      </c>
      <c r="G175" s="515" t="s">
        <v>2957</v>
      </c>
      <c r="H175" s="514" t="s">
        <v>1251</v>
      </c>
      <c r="I175" s="515"/>
      <c r="J175" s="515">
        <v>8</v>
      </c>
    </row>
    <row r="176" spans="1:10" ht="13.8" thickBot="1">
      <c r="A176" s="517"/>
      <c r="B176" s="518" t="s">
        <v>12820</v>
      </c>
      <c r="C176" s="533"/>
      <c r="D176" s="514" t="s">
        <v>12819</v>
      </c>
      <c r="E176" s="515">
        <v>7.1</v>
      </c>
      <c r="F176" s="518" t="s">
        <v>614</v>
      </c>
      <c r="G176" s="515" t="s">
        <v>3517</v>
      </c>
      <c r="H176" s="514" t="s">
        <v>1251</v>
      </c>
      <c r="I176" s="515"/>
      <c r="J176" s="515">
        <v>7</v>
      </c>
    </row>
    <row r="177" spans="1:10" ht="13.8" thickBot="1">
      <c r="A177" s="517"/>
      <c r="B177" s="518" t="s">
        <v>12398</v>
      </c>
      <c r="C177" s="533"/>
      <c r="D177" s="514" t="s">
        <v>12397</v>
      </c>
      <c r="E177" s="515">
        <v>7.1</v>
      </c>
      <c r="F177" s="518" t="s">
        <v>614</v>
      </c>
      <c r="G177" s="515" t="s">
        <v>4140</v>
      </c>
      <c r="H177" s="514" t="s">
        <v>1251</v>
      </c>
      <c r="I177" s="515"/>
      <c r="J177" s="515">
        <v>4</v>
      </c>
    </row>
    <row r="178" spans="1:10" ht="13.8" thickBot="1">
      <c r="A178" s="517"/>
      <c r="B178" s="518" t="s">
        <v>12266</v>
      </c>
      <c r="C178" s="533"/>
      <c r="D178" s="519" t="s">
        <v>12265</v>
      </c>
      <c r="E178" s="515">
        <v>7.1</v>
      </c>
      <c r="F178" s="518" t="s">
        <v>614</v>
      </c>
      <c r="G178" s="515" t="s">
        <v>4391</v>
      </c>
      <c r="H178" s="514" t="s">
        <v>1251</v>
      </c>
      <c r="I178" s="522">
        <v>2</v>
      </c>
      <c r="J178" s="522">
        <v>6</v>
      </c>
    </row>
    <row r="179" spans="1:10" ht="13.8" thickBot="1">
      <c r="A179" s="517"/>
      <c r="B179" s="518" t="s">
        <v>13546</v>
      </c>
      <c r="C179" s="533"/>
      <c r="D179" s="514" t="s">
        <v>13545</v>
      </c>
      <c r="E179" s="515">
        <v>7.1</v>
      </c>
      <c r="F179" s="518" t="s">
        <v>614</v>
      </c>
      <c r="G179" s="515" t="s">
        <v>2523</v>
      </c>
      <c r="H179" s="514" t="s">
        <v>1226</v>
      </c>
      <c r="I179" s="515">
        <v>2</v>
      </c>
      <c r="J179" s="515">
        <v>12</v>
      </c>
    </row>
    <row r="180" spans="1:10" ht="13.8" thickBot="1">
      <c r="A180" s="517"/>
      <c r="B180" s="518" t="s">
        <v>13246</v>
      </c>
      <c r="C180" s="533"/>
      <c r="D180" s="514" t="s">
        <v>13245</v>
      </c>
      <c r="E180" s="515">
        <v>7.1</v>
      </c>
      <c r="F180" s="518" t="s">
        <v>614</v>
      </c>
      <c r="G180" s="515" t="s">
        <v>2733</v>
      </c>
      <c r="H180" s="514" t="s">
        <v>1226</v>
      </c>
      <c r="I180" s="515">
        <v>1</v>
      </c>
      <c r="J180" s="515">
        <v>6</v>
      </c>
    </row>
    <row r="181" spans="1:10" ht="13.8" thickBot="1">
      <c r="A181" s="517"/>
      <c r="B181" s="518" t="s">
        <v>11679</v>
      </c>
      <c r="C181" s="533"/>
      <c r="D181" s="514" t="s">
        <v>11533</v>
      </c>
      <c r="E181" s="515">
        <v>7.1</v>
      </c>
      <c r="F181" s="514"/>
      <c r="G181" s="515" t="s">
        <v>11525</v>
      </c>
      <c r="H181" s="514" t="s">
        <v>1226</v>
      </c>
      <c r="I181" s="515"/>
      <c r="J181" s="515">
        <v>2</v>
      </c>
    </row>
    <row r="182" spans="1:10" ht="13.8" thickBot="1">
      <c r="A182" s="517"/>
      <c r="B182" s="518" t="s">
        <v>11678</v>
      </c>
      <c r="C182" s="533"/>
      <c r="D182" s="514" t="s">
        <v>11533</v>
      </c>
      <c r="E182" s="515">
        <v>7.1</v>
      </c>
      <c r="F182" s="514"/>
      <c r="G182" s="515" t="s">
        <v>11525</v>
      </c>
      <c r="H182" s="514" t="s">
        <v>1226</v>
      </c>
      <c r="I182" s="515"/>
      <c r="J182" s="515"/>
    </row>
    <row r="183" spans="1:10" ht="13.8" thickBot="1">
      <c r="A183" s="517"/>
      <c r="B183" s="518" t="s">
        <v>13154</v>
      </c>
      <c r="C183" s="533"/>
      <c r="D183" s="514" t="s">
        <v>13153</v>
      </c>
      <c r="E183" s="515">
        <v>7.1</v>
      </c>
      <c r="F183" s="518" t="s">
        <v>614</v>
      </c>
      <c r="G183" s="515" t="s">
        <v>2957</v>
      </c>
      <c r="H183" s="514" t="s">
        <v>1226</v>
      </c>
      <c r="I183" s="515"/>
      <c r="J183" s="515">
        <v>4</v>
      </c>
    </row>
    <row r="184" spans="1:10" ht="13.8" thickBot="1">
      <c r="A184" s="517"/>
      <c r="B184" s="518" t="s">
        <v>12862</v>
      </c>
      <c r="C184" s="533"/>
      <c r="D184" s="514" t="s">
        <v>12861</v>
      </c>
      <c r="E184" s="515">
        <v>7.1</v>
      </c>
      <c r="F184" s="518" t="s">
        <v>614</v>
      </c>
      <c r="G184" s="515" t="s">
        <v>3452</v>
      </c>
      <c r="H184" s="514" t="s">
        <v>1226</v>
      </c>
      <c r="I184" s="515"/>
      <c r="J184" s="515">
        <v>2</v>
      </c>
    </row>
    <row r="185" spans="1:10" ht="13.8" thickBot="1">
      <c r="A185" s="517"/>
      <c r="B185" s="518" t="s">
        <v>12818</v>
      </c>
      <c r="C185" s="533"/>
      <c r="D185" s="514" t="s">
        <v>12817</v>
      </c>
      <c r="E185" s="515">
        <v>7.1</v>
      </c>
      <c r="F185" s="514"/>
      <c r="G185" s="515" t="s">
        <v>3517</v>
      </c>
      <c r="H185" s="514" t="s">
        <v>1226</v>
      </c>
      <c r="I185" s="515">
        <v>1</v>
      </c>
      <c r="J185" s="515">
        <v>7</v>
      </c>
    </row>
    <row r="186" spans="1:10" ht="13.8" thickBot="1">
      <c r="A186" s="517"/>
      <c r="B186" s="518" t="s">
        <v>12816</v>
      </c>
      <c r="C186" s="533"/>
      <c r="D186" s="514" t="s">
        <v>12815</v>
      </c>
      <c r="E186" s="515">
        <v>7.1</v>
      </c>
      <c r="F186" s="518" t="s">
        <v>614</v>
      </c>
      <c r="G186" s="515" t="s">
        <v>3517</v>
      </c>
      <c r="H186" s="514" t="s">
        <v>1226</v>
      </c>
      <c r="I186" s="515"/>
      <c r="J186" s="515">
        <v>4</v>
      </c>
    </row>
    <row r="187" spans="1:10" ht="13.8" thickBot="1">
      <c r="A187" s="517"/>
      <c r="B187" s="518" t="s">
        <v>12542</v>
      </c>
      <c r="C187" s="533"/>
      <c r="D187" s="514" t="s">
        <v>12541</v>
      </c>
      <c r="E187" s="515">
        <v>7.1</v>
      </c>
      <c r="F187" s="518" t="s">
        <v>614</v>
      </c>
      <c r="G187" s="515" t="s">
        <v>3856</v>
      </c>
      <c r="H187" s="514" t="s">
        <v>1226</v>
      </c>
      <c r="I187" s="515">
        <v>2</v>
      </c>
      <c r="J187" s="515">
        <v>10</v>
      </c>
    </row>
    <row r="188" spans="1:10" ht="13.8" thickBot="1">
      <c r="A188" s="517"/>
      <c r="B188" s="518" t="s">
        <v>13244</v>
      </c>
      <c r="C188" s="533"/>
      <c r="D188" s="514" t="s">
        <v>13243</v>
      </c>
      <c r="E188" s="515">
        <v>7.1</v>
      </c>
      <c r="F188" s="518" t="s">
        <v>614</v>
      </c>
      <c r="G188" s="515" t="s">
        <v>2747</v>
      </c>
      <c r="H188" s="514" t="s">
        <v>1224</v>
      </c>
      <c r="I188" s="515"/>
      <c r="J188" s="515">
        <v>3</v>
      </c>
    </row>
    <row r="189" spans="1:10" ht="13.8" thickBot="1">
      <c r="A189" s="517"/>
      <c r="B189" s="518" t="s">
        <v>12022</v>
      </c>
      <c r="C189" s="533"/>
      <c r="D189" s="514" t="s">
        <v>12021</v>
      </c>
      <c r="E189" s="515">
        <v>7.1</v>
      </c>
      <c r="F189" s="518" t="s">
        <v>614</v>
      </c>
      <c r="G189" s="515" t="s">
        <v>5079</v>
      </c>
      <c r="H189" s="514"/>
      <c r="I189" s="515">
        <v>2</v>
      </c>
      <c r="J189" s="515">
        <v>5</v>
      </c>
    </row>
    <row r="190" spans="1:10" ht="13.8" thickBot="1">
      <c r="A190" s="517"/>
      <c r="B190" s="518" t="s">
        <v>13544</v>
      </c>
      <c r="C190" s="533"/>
      <c r="D190" s="514" t="s">
        <v>13543</v>
      </c>
      <c r="E190" s="515">
        <v>7.1</v>
      </c>
      <c r="F190" s="514"/>
      <c r="G190" s="515" t="s">
        <v>2523</v>
      </c>
      <c r="H190" s="514"/>
      <c r="I190" s="515"/>
      <c r="J190" s="515">
        <v>1</v>
      </c>
    </row>
    <row r="191" spans="1:10" ht="13.8" thickBot="1">
      <c r="A191" s="517"/>
      <c r="B191" s="518" t="s">
        <v>13152</v>
      </c>
      <c r="C191" s="533"/>
      <c r="D191" s="514" t="s">
        <v>1552</v>
      </c>
      <c r="E191" s="515">
        <v>7.1</v>
      </c>
      <c r="F191" s="514"/>
      <c r="G191" s="515" t="s">
        <v>2957</v>
      </c>
      <c r="H191" s="514"/>
      <c r="I191" s="515"/>
      <c r="J191" s="515">
        <v>2</v>
      </c>
    </row>
    <row r="192" spans="1:10" ht="13.8" thickBot="1">
      <c r="A192" s="517"/>
      <c r="B192" s="518" t="s">
        <v>12600</v>
      </c>
      <c r="C192" s="533"/>
      <c r="D192" s="514" t="s">
        <v>12599</v>
      </c>
      <c r="E192" s="515">
        <v>7.1</v>
      </c>
      <c r="F192" s="518" t="s">
        <v>1854</v>
      </c>
      <c r="G192" s="515" t="s">
        <v>3807</v>
      </c>
      <c r="H192" s="514"/>
      <c r="I192" s="515">
        <v>2</v>
      </c>
      <c r="J192" s="515">
        <v>3</v>
      </c>
    </row>
    <row r="193" spans="1:10" ht="13.8" thickBot="1">
      <c r="A193" s="517"/>
      <c r="B193" s="518" t="s">
        <v>12656</v>
      </c>
      <c r="C193" s="533"/>
      <c r="D193" s="514" t="s">
        <v>12655</v>
      </c>
      <c r="E193" s="515">
        <v>7</v>
      </c>
      <c r="F193" s="518" t="s">
        <v>614</v>
      </c>
      <c r="G193" s="515" t="s">
        <v>3734</v>
      </c>
      <c r="H193" s="514" t="s">
        <v>1229</v>
      </c>
      <c r="I193" s="515">
        <v>1</v>
      </c>
      <c r="J193" s="515">
        <v>9</v>
      </c>
    </row>
    <row r="194" spans="1:10" ht="13.8" thickBot="1">
      <c r="A194" s="517"/>
      <c r="B194" s="518" t="s">
        <v>12598</v>
      </c>
      <c r="C194" s="533"/>
      <c r="D194" s="514" t="s">
        <v>12597</v>
      </c>
      <c r="E194" s="515">
        <v>7</v>
      </c>
      <c r="F194" s="518" t="s">
        <v>614</v>
      </c>
      <c r="G194" s="515" t="s">
        <v>3807</v>
      </c>
      <c r="H194" s="514" t="s">
        <v>1229</v>
      </c>
      <c r="I194" s="515"/>
      <c r="J194" s="515">
        <v>9</v>
      </c>
    </row>
    <row r="195" spans="1:10" ht="13.8" thickBot="1">
      <c r="A195" s="517"/>
      <c r="B195" s="518" t="s">
        <v>14279</v>
      </c>
      <c r="C195" s="533"/>
      <c r="D195" s="514" t="s">
        <v>14278</v>
      </c>
      <c r="E195" s="515">
        <v>7</v>
      </c>
      <c r="F195" s="518" t="s">
        <v>614</v>
      </c>
      <c r="G195" s="515" t="s">
        <v>1793</v>
      </c>
      <c r="H195" s="514" t="s">
        <v>1251</v>
      </c>
      <c r="I195" s="515"/>
      <c r="J195" s="515">
        <v>14</v>
      </c>
    </row>
    <row r="196" spans="1:10" ht="13.8" thickBot="1">
      <c r="A196" s="517"/>
      <c r="B196" s="518" t="s">
        <v>14277</v>
      </c>
      <c r="C196" s="533"/>
      <c r="D196" s="514" t="s">
        <v>14276</v>
      </c>
      <c r="E196" s="515">
        <v>7</v>
      </c>
      <c r="F196" s="518" t="s">
        <v>614</v>
      </c>
      <c r="G196" s="515" t="s">
        <v>1793</v>
      </c>
      <c r="H196" s="514" t="s">
        <v>1251</v>
      </c>
      <c r="I196" s="522"/>
      <c r="J196" s="515">
        <v>5</v>
      </c>
    </row>
    <row r="197" spans="1:10" ht="13.8" thickBot="1">
      <c r="A197" s="517"/>
      <c r="B197" s="518" t="s">
        <v>11895</v>
      </c>
      <c r="C197" s="533"/>
      <c r="D197" s="514" t="s">
        <v>11894</v>
      </c>
      <c r="E197" s="515">
        <v>7</v>
      </c>
      <c r="F197" s="518" t="s">
        <v>1854</v>
      </c>
      <c r="G197" s="515" t="s">
        <v>11891</v>
      </c>
      <c r="H197" s="514" t="s">
        <v>1251</v>
      </c>
      <c r="I197" s="515">
        <v>3</v>
      </c>
      <c r="J197" s="515">
        <v>7</v>
      </c>
    </row>
    <row r="198" spans="1:10" ht="13.8" thickBot="1">
      <c r="A198" s="517"/>
      <c r="B198" s="518" t="s">
        <v>13174</v>
      </c>
      <c r="C198" s="533"/>
      <c r="D198" s="514" t="s">
        <v>13173</v>
      </c>
      <c r="E198" s="515">
        <v>7</v>
      </c>
      <c r="F198" s="518" t="s">
        <v>13172</v>
      </c>
      <c r="G198" s="515" t="s">
        <v>2943</v>
      </c>
      <c r="H198" s="514" t="s">
        <v>1251</v>
      </c>
      <c r="I198" s="515">
        <v>1</v>
      </c>
      <c r="J198" s="515">
        <v>7</v>
      </c>
    </row>
    <row r="199" spans="1:10" ht="13.8" thickBot="1">
      <c r="A199" s="517"/>
      <c r="B199" s="518" t="s">
        <v>12958</v>
      </c>
      <c r="C199" s="533"/>
      <c r="D199" s="519" t="s">
        <v>12957</v>
      </c>
      <c r="E199" s="515">
        <v>7</v>
      </c>
      <c r="F199" s="518" t="s">
        <v>614</v>
      </c>
      <c r="G199" s="515" t="s">
        <v>3161</v>
      </c>
      <c r="H199" s="514" t="s">
        <v>1251</v>
      </c>
      <c r="I199" s="522"/>
      <c r="J199" s="515">
        <v>5</v>
      </c>
    </row>
    <row r="200" spans="1:10" ht="13.8" thickBot="1">
      <c r="A200" s="517"/>
      <c r="B200" s="518" t="s">
        <v>12814</v>
      </c>
      <c r="C200" s="533"/>
      <c r="D200" s="514" t="s">
        <v>12813</v>
      </c>
      <c r="E200" s="515">
        <v>7</v>
      </c>
      <c r="F200" s="518" t="s">
        <v>614</v>
      </c>
      <c r="G200" s="515" t="s">
        <v>3517</v>
      </c>
      <c r="H200" s="514" t="s">
        <v>1251</v>
      </c>
      <c r="I200" s="515">
        <v>1</v>
      </c>
      <c r="J200" s="515">
        <v>7</v>
      </c>
    </row>
    <row r="201" spans="1:10" ht="13.8" thickBot="1">
      <c r="A201" s="517"/>
      <c r="B201" s="518" t="s">
        <v>12812</v>
      </c>
      <c r="C201" s="533"/>
      <c r="D201" s="514" t="s">
        <v>12811</v>
      </c>
      <c r="E201" s="515">
        <v>7</v>
      </c>
      <c r="F201" s="518" t="s">
        <v>614</v>
      </c>
      <c r="G201" s="515" t="s">
        <v>3517</v>
      </c>
      <c r="H201" s="514" t="s">
        <v>1251</v>
      </c>
      <c r="I201" s="515">
        <v>1</v>
      </c>
      <c r="J201" s="515">
        <v>5</v>
      </c>
    </row>
    <row r="202" spans="1:10" ht="13.8" thickBot="1">
      <c r="A202" s="517"/>
      <c r="B202" s="518" t="s">
        <v>13840</v>
      </c>
      <c r="C202" s="533"/>
      <c r="D202" s="514" t="s">
        <v>13839</v>
      </c>
      <c r="E202" s="515">
        <v>7</v>
      </c>
      <c r="F202" s="518" t="s">
        <v>614</v>
      </c>
      <c r="G202" s="515" t="s">
        <v>2087</v>
      </c>
      <c r="H202" s="514" t="s">
        <v>1251</v>
      </c>
      <c r="I202" s="515">
        <v>2</v>
      </c>
      <c r="J202" s="515">
        <v>7</v>
      </c>
    </row>
    <row r="203" spans="1:10" ht="13.8" thickBot="1">
      <c r="A203" s="517"/>
      <c r="B203" s="518" t="s">
        <v>12476</v>
      </c>
      <c r="C203" s="533"/>
      <c r="D203" s="514" t="s">
        <v>12475</v>
      </c>
      <c r="E203" s="515">
        <v>7</v>
      </c>
      <c r="F203" s="518" t="s">
        <v>614</v>
      </c>
      <c r="G203" s="515" t="s">
        <v>3957</v>
      </c>
      <c r="H203" s="514" t="s">
        <v>1251</v>
      </c>
      <c r="I203" s="515">
        <v>1</v>
      </c>
      <c r="J203" s="515">
        <v>3</v>
      </c>
    </row>
    <row r="204" spans="1:10" ht="13.8" thickBot="1">
      <c r="A204" s="517"/>
      <c r="B204" s="518" t="s">
        <v>12450</v>
      </c>
      <c r="C204" s="533"/>
      <c r="D204" s="514" t="s">
        <v>12449</v>
      </c>
      <c r="E204" s="515">
        <v>7</v>
      </c>
      <c r="F204" s="518" t="s">
        <v>614</v>
      </c>
      <c r="G204" s="515" t="s">
        <v>4067</v>
      </c>
      <c r="H204" s="514" t="s">
        <v>1251</v>
      </c>
      <c r="I204" s="515">
        <v>1</v>
      </c>
      <c r="J204" s="515">
        <v>10</v>
      </c>
    </row>
    <row r="205" spans="1:10" ht="13.8" thickBot="1">
      <c r="A205" s="517"/>
      <c r="B205" s="518" t="s">
        <v>14275</v>
      </c>
      <c r="C205" s="533"/>
      <c r="D205" s="514" t="s">
        <v>14101</v>
      </c>
      <c r="E205" s="515">
        <v>7</v>
      </c>
      <c r="F205" s="518" t="s">
        <v>614</v>
      </c>
      <c r="G205" s="515" t="s">
        <v>1793</v>
      </c>
      <c r="H205" s="514" t="s">
        <v>1226</v>
      </c>
      <c r="I205" s="515">
        <v>1</v>
      </c>
      <c r="J205" s="515">
        <v>2</v>
      </c>
    </row>
    <row r="206" spans="1:10" ht="13.8" thickBot="1">
      <c r="A206" s="517"/>
      <c r="B206" s="518" t="s">
        <v>12203</v>
      </c>
      <c r="C206" s="533"/>
      <c r="D206" s="514" t="s">
        <v>12202</v>
      </c>
      <c r="E206" s="515">
        <v>7</v>
      </c>
      <c r="F206" s="518" t="s">
        <v>614</v>
      </c>
      <c r="G206" s="515" t="s">
        <v>4789</v>
      </c>
      <c r="H206" s="514" t="s">
        <v>1226</v>
      </c>
      <c r="I206" s="522"/>
      <c r="J206" s="515">
        <v>4</v>
      </c>
    </row>
    <row r="207" spans="1:10" ht="13.8" thickBot="1">
      <c r="A207" s="517"/>
      <c r="B207" s="518" t="s">
        <v>11998</v>
      </c>
      <c r="C207" s="533"/>
      <c r="D207" s="514" t="s">
        <v>11997</v>
      </c>
      <c r="E207" s="515">
        <v>7</v>
      </c>
      <c r="F207" s="518" t="s">
        <v>614</v>
      </c>
      <c r="G207" s="515" t="s">
        <v>5155</v>
      </c>
      <c r="H207" s="514" t="s">
        <v>1226</v>
      </c>
      <c r="I207" s="515"/>
      <c r="J207" s="515">
        <v>2</v>
      </c>
    </row>
    <row r="208" spans="1:10" ht="13.8" thickBot="1">
      <c r="A208" s="517"/>
      <c r="B208" s="518" t="s">
        <v>11931</v>
      </c>
      <c r="C208" s="533"/>
      <c r="D208" s="519" t="s">
        <v>11930</v>
      </c>
      <c r="E208" s="515">
        <v>7</v>
      </c>
      <c r="F208" s="518" t="s">
        <v>614</v>
      </c>
      <c r="G208" s="515" t="s">
        <v>5226</v>
      </c>
      <c r="H208" s="514" t="s">
        <v>1226</v>
      </c>
      <c r="I208" s="515"/>
      <c r="J208" s="515">
        <v>5</v>
      </c>
    </row>
    <row r="209" spans="1:10" ht="13.8" thickBot="1">
      <c r="A209" s="517"/>
      <c r="B209" s="518" t="s">
        <v>11877</v>
      </c>
      <c r="C209" s="533"/>
      <c r="D209" s="514" t="s">
        <v>1381</v>
      </c>
      <c r="E209" s="515">
        <v>7</v>
      </c>
      <c r="F209" s="518" t="s">
        <v>614</v>
      </c>
      <c r="G209" s="515" t="s">
        <v>5286</v>
      </c>
      <c r="H209" s="514" t="s">
        <v>1226</v>
      </c>
      <c r="I209" s="515"/>
      <c r="J209" s="515">
        <v>4</v>
      </c>
    </row>
    <row r="210" spans="1:10" ht="13.8" thickBot="1">
      <c r="A210" s="517"/>
      <c r="B210" s="518" t="s">
        <v>13610</v>
      </c>
      <c r="C210" s="533"/>
      <c r="D210" s="514" t="s">
        <v>13609</v>
      </c>
      <c r="E210" s="515">
        <v>7</v>
      </c>
      <c r="F210" s="518" t="s">
        <v>614</v>
      </c>
      <c r="G210" s="515" t="s">
        <v>2449</v>
      </c>
      <c r="H210" s="514" t="s">
        <v>1226</v>
      </c>
      <c r="I210" s="515">
        <v>1</v>
      </c>
      <c r="J210" s="515">
        <v>6</v>
      </c>
    </row>
    <row r="211" spans="1:10" ht="13.8" thickBot="1">
      <c r="A211" s="517"/>
      <c r="B211" s="518" t="s">
        <v>13542</v>
      </c>
      <c r="C211" s="533"/>
      <c r="D211" s="514" t="s">
        <v>1300</v>
      </c>
      <c r="E211" s="515">
        <v>7</v>
      </c>
      <c r="F211" s="518" t="s">
        <v>614</v>
      </c>
      <c r="G211" s="515" t="s">
        <v>2523</v>
      </c>
      <c r="H211" s="514" t="s">
        <v>1226</v>
      </c>
      <c r="I211" s="515">
        <v>2</v>
      </c>
      <c r="J211" s="515">
        <v>5</v>
      </c>
    </row>
    <row r="212" spans="1:10" ht="13.8" thickBot="1">
      <c r="A212" s="517"/>
      <c r="B212" s="518" t="s">
        <v>13541</v>
      </c>
      <c r="C212" s="533"/>
      <c r="D212" s="514" t="s">
        <v>13540</v>
      </c>
      <c r="E212" s="515">
        <v>7</v>
      </c>
      <c r="F212" s="518" t="s">
        <v>614</v>
      </c>
      <c r="G212" s="515" t="s">
        <v>2523</v>
      </c>
      <c r="H212" s="514" t="s">
        <v>1226</v>
      </c>
      <c r="I212" s="515"/>
      <c r="J212" s="515">
        <v>1</v>
      </c>
    </row>
    <row r="213" spans="1:10" ht="13.8" thickBot="1">
      <c r="A213" s="517"/>
      <c r="B213" s="518" t="s">
        <v>13177</v>
      </c>
      <c r="C213" s="533"/>
      <c r="D213" s="514" t="s">
        <v>2923</v>
      </c>
      <c r="E213" s="515">
        <v>7</v>
      </c>
      <c r="F213" s="518" t="s">
        <v>614</v>
      </c>
      <c r="G213" s="515" t="s">
        <v>2922</v>
      </c>
      <c r="H213" s="514" t="s">
        <v>1226</v>
      </c>
      <c r="I213" s="515"/>
      <c r="J213" s="515">
        <v>1</v>
      </c>
    </row>
    <row r="214" spans="1:10" ht="13.8" thickBot="1">
      <c r="A214" s="517"/>
      <c r="B214" s="518" t="s">
        <v>12810</v>
      </c>
      <c r="C214" s="533"/>
      <c r="D214" s="514" t="s">
        <v>12809</v>
      </c>
      <c r="E214" s="515">
        <v>7</v>
      </c>
      <c r="F214" s="518" t="s">
        <v>614</v>
      </c>
      <c r="G214" s="515" t="s">
        <v>3517</v>
      </c>
      <c r="H214" s="514" t="s">
        <v>1226</v>
      </c>
      <c r="I214" s="515">
        <v>1</v>
      </c>
      <c r="J214" s="515">
        <v>5</v>
      </c>
    </row>
    <row r="215" spans="1:10" ht="13.8" thickBot="1">
      <c r="A215" s="517"/>
      <c r="B215" s="518" t="s">
        <v>12663</v>
      </c>
      <c r="C215" s="533"/>
      <c r="D215" s="514" t="s">
        <v>12662</v>
      </c>
      <c r="E215" s="515">
        <v>7</v>
      </c>
      <c r="F215" s="518" t="s">
        <v>614</v>
      </c>
      <c r="G215" s="515" t="s">
        <v>3724</v>
      </c>
      <c r="H215" s="514" t="s">
        <v>1226</v>
      </c>
      <c r="I215" s="515">
        <v>2</v>
      </c>
      <c r="J215" s="515">
        <v>6</v>
      </c>
    </row>
    <row r="216" spans="1:10" ht="13.8" thickBot="1">
      <c r="A216" s="517"/>
      <c r="B216" s="518" t="s">
        <v>12596</v>
      </c>
      <c r="C216" s="533"/>
      <c r="D216" s="514" t="s">
        <v>3849</v>
      </c>
      <c r="E216" s="515">
        <v>7</v>
      </c>
      <c r="F216" s="518" t="s">
        <v>1854</v>
      </c>
      <c r="G216" s="515" t="s">
        <v>3807</v>
      </c>
      <c r="H216" s="514" t="s">
        <v>1226</v>
      </c>
      <c r="I216" s="515"/>
      <c r="J216" s="515">
        <v>2</v>
      </c>
    </row>
    <row r="217" spans="1:10" ht="13.8" thickBot="1">
      <c r="A217" s="517"/>
      <c r="B217" s="518" t="s">
        <v>12473</v>
      </c>
      <c r="C217" s="533"/>
      <c r="D217" s="514" t="s">
        <v>1525</v>
      </c>
      <c r="E217" s="515">
        <v>7</v>
      </c>
      <c r="F217" s="518" t="s">
        <v>614</v>
      </c>
      <c r="G217" s="515" t="s">
        <v>3996</v>
      </c>
      <c r="H217" s="514" t="s">
        <v>1226</v>
      </c>
      <c r="I217" s="522">
        <v>1</v>
      </c>
      <c r="J217" s="522">
        <v>5</v>
      </c>
    </row>
    <row r="218" spans="1:10" ht="13.8" thickBot="1">
      <c r="A218" s="517"/>
      <c r="B218" s="518" t="s">
        <v>12351</v>
      </c>
      <c r="C218" s="533"/>
      <c r="D218" s="519" t="s">
        <v>12350</v>
      </c>
      <c r="E218" s="515">
        <v>7</v>
      </c>
      <c r="F218" s="518" t="s">
        <v>614</v>
      </c>
      <c r="G218" s="515" t="s">
        <v>4214</v>
      </c>
      <c r="H218" s="514" t="s">
        <v>1226</v>
      </c>
      <c r="I218" s="515"/>
      <c r="J218" s="515">
        <v>1</v>
      </c>
    </row>
    <row r="219" spans="1:10" ht="13.8" thickBot="1">
      <c r="A219" s="517"/>
      <c r="B219" s="518" t="s">
        <v>12246</v>
      </c>
      <c r="C219" s="533"/>
      <c r="D219" s="514" t="s">
        <v>12245</v>
      </c>
      <c r="E219" s="515">
        <v>7</v>
      </c>
      <c r="F219" s="518" t="s">
        <v>614</v>
      </c>
      <c r="G219" s="515" t="s">
        <v>4536</v>
      </c>
      <c r="H219" s="514" t="s">
        <v>1226</v>
      </c>
      <c r="I219" s="515"/>
      <c r="J219" s="515">
        <v>3</v>
      </c>
    </row>
    <row r="220" spans="1:10" ht="13.8" thickBot="1">
      <c r="A220" s="517"/>
      <c r="B220" s="518" t="s">
        <v>12236</v>
      </c>
      <c r="C220" s="533"/>
      <c r="D220" s="514" t="s">
        <v>12235</v>
      </c>
      <c r="E220" s="515">
        <v>7</v>
      </c>
      <c r="F220" s="518" t="s">
        <v>614</v>
      </c>
      <c r="G220" s="515" t="s">
        <v>4596</v>
      </c>
      <c r="H220" s="514" t="s">
        <v>1226</v>
      </c>
      <c r="I220" s="515"/>
      <c r="J220" s="515">
        <v>3</v>
      </c>
    </row>
    <row r="221" spans="1:10" ht="13.8" thickBot="1">
      <c r="A221" s="517"/>
      <c r="B221" s="518" t="s">
        <v>13826</v>
      </c>
      <c r="C221" s="533"/>
      <c r="D221" s="514" t="s">
        <v>13825</v>
      </c>
      <c r="E221" s="515">
        <v>7</v>
      </c>
      <c r="F221" s="518" t="s">
        <v>614</v>
      </c>
      <c r="G221" s="515" t="s">
        <v>2152</v>
      </c>
      <c r="H221" s="514" t="s">
        <v>1226</v>
      </c>
      <c r="I221" s="515">
        <v>2</v>
      </c>
      <c r="J221" s="515">
        <v>11</v>
      </c>
    </row>
    <row r="222" spans="1:10" ht="13.8" thickBot="1">
      <c r="A222" s="517"/>
      <c r="B222" s="518" t="s">
        <v>13723</v>
      </c>
      <c r="C222" s="533"/>
      <c r="D222" s="514" t="s">
        <v>13722</v>
      </c>
      <c r="E222" s="515">
        <v>7</v>
      </c>
      <c r="F222" s="518" t="s">
        <v>1854</v>
      </c>
      <c r="G222" s="515" t="s">
        <v>2289</v>
      </c>
      <c r="H222" s="514" t="s">
        <v>1224</v>
      </c>
      <c r="I222" s="515">
        <v>3</v>
      </c>
      <c r="J222" s="515">
        <v>9</v>
      </c>
    </row>
    <row r="223" spans="1:10" ht="13.8" thickBot="1">
      <c r="A223" s="517"/>
      <c r="B223" s="518" t="s">
        <v>13721</v>
      </c>
      <c r="C223" s="533"/>
      <c r="D223" s="519" t="s">
        <v>13720</v>
      </c>
      <c r="E223" s="515">
        <v>7</v>
      </c>
      <c r="F223" s="518" t="s">
        <v>614</v>
      </c>
      <c r="G223" s="515" t="s">
        <v>2289</v>
      </c>
      <c r="H223" s="514" t="s">
        <v>1224</v>
      </c>
      <c r="I223" s="522">
        <v>2</v>
      </c>
      <c r="J223" s="515">
        <v>4</v>
      </c>
    </row>
    <row r="224" spans="1:10" ht="13.8" thickBot="1">
      <c r="A224" s="517"/>
      <c r="B224" s="518" t="s">
        <v>13608</v>
      </c>
      <c r="C224" s="533"/>
      <c r="D224" s="514" t="s">
        <v>13607</v>
      </c>
      <c r="E224" s="515">
        <v>7</v>
      </c>
      <c r="F224" s="518" t="s">
        <v>614</v>
      </c>
      <c r="G224" s="515" t="s">
        <v>2449</v>
      </c>
      <c r="H224" s="514" t="s">
        <v>1224</v>
      </c>
      <c r="I224" s="515"/>
      <c r="J224" s="515">
        <v>2</v>
      </c>
    </row>
    <row r="225" spans="1:10" ht="13.8" thickBot="1">
      <c r="A225" s="517"/>
      <c r="B225" s="518" t="s">
        <v>11698</v>
      </c>
      <c r="C225" s="533"/>
      <c r="D225" s="514" t="s">
        <v>11533</v>
      </c>
      <c r="E225" s="515">
        <v>7</v>
      </c>
      <c r="F225" s="514"/>
      <c r="G225" s="515" t="s">
        <v>11525</v>
      </c>
      <c r="H225" s="514" t="s">
        <v>1224</v>
      </c>
      <c r="I225" s="515"/>
      <c r="J225" s="515">
        <v>1</v>
      </c>
    </row>
    <row r="226" spans="1:10" ht="13.8" thickBot="1">
      <c r="A226" s="517"/>
      <c r="B226" s="518" t="s">
        <v>13238</v>
      </c>
      <c r="C226" s="533"/>
      <c r="D226" s="514" t="s">
        <v>13237</v>
      </c>
      <c r="E226" s="515">
        <v>7</v>
      </c>
      <c r="F226" s="518" t="s">
        <v>614</v>
      </c>
      <c r="G226" s="515" t="s">
        <v>2779</v>
      </c>
      <c r="H226" s="514" t="s">
        <v>1224</v>
      </c>
      <c r="I226" s="515">
        <v>2</v>
      </c>
      <c r="J226" s="515">
        <v>5</v>
      </c>
    </row>
    <row r="227" spans="1:10" ht="13.8" thickBot="1">
      <c r="A227" s="517"/>
      <c r="B227" s="518" t="s">
        <v>13943</v>
      </c>
      <c r="C227" s="533"/>
      <c r="D227" s="514" t="s">
        <v>13942</v>
      </c>
      <c r="E227" s="515">
        <v>7</v>
      </c>
      <c r="F227" s="518" t="s">
        <v>614</v>
      </c>
      <c r="G227" s="515" t="s">
        <v>1997</v>
      </c>
      <c r="H227" s="514" t="s">
        <v>1224</v>
      </c>
      <c r="I227" s="515"/>
      <c r="J227" s="515">
        <v>1</v>
      </c>
    </row>
    <row r="228" spans="1:10" ht="13.8" thickBot="1">
      <c r="A228" s="517"/>
      <c r="B228" s="518" t="s">
        <v>12956</v>
      </c>
      <c r="C228" s="533"/>
      <c r="D228" s="514" t="s">
        <v>12955</v>
      </c>
      <c r="E228" s="515">
        <v>7</v>
      </c>
      <c r="F228" s="518" t="s">
        <v>614</v>
      </c>
      <c r="G228" s="515" t="s">
        <v>3161</v>
      </c>
      <c r="H228" s="514" t="s">
        <v>1224</v>
      </c>
      <c r="I228" s="515"/>
      <c r="J228" s="515">
        <v>1</v>
      </c>
    </row>
    <row r="229" spans="1:10" ht="13.8" thickBot="1">
      <c r="A229" s="517"/>
      <c r="B229" s="518" t="s">
        <v>13931</v>
      </c>
      <c r="C229" s="533"/>
      <c r="D229" s="514" t="s">
        <v>13930</v>
      </c>
      <c r="E229" s="515">
        <v>7</v>
      </c>
      <c r="F229" s="518" t="s">
        <v>1854</v>
      </c>
      <c r="G229" s="515" t="s">
        <v>2032</v>
      </c>
      <c r="H229" s="514" t="s">
        <v>1224</v>
      </c>
      <c r="I229" s="515"/>
      <c r="J229" s="522">
        <v>2</v>
      </c>
    </row>
    <row r="230" spans="1:10" ht="13.8" thickBot="1">
      <c r="A230" s="517"/>
      <c r="B230" s="518" t="s">
        <v>12889</v>
      </c>
      <c r="C230" s="533"/>
      <c r="D230" s="514" t="s">
        <v>12888</v>
      </c>
      <c r="E230" s="515">
        <v>7</v>
      </c>
      <c r="F230" s="518" t="s">
        <v>614</v>
      </c>
      <c r="G230" s="515" t="s">
        <v>3351</v>
      </c>
      <c r="H230" s="514" t="s">
        <v>1224</v>
      </c>
      <c r="I230" s="522"/>
      <c r="J230" s="522">
        <v>1</v>
      </c>
    </row>
    <row r="231" spans="1:10" ht="13.8" thickBot="1">
      <c r="A231" s="517"/>
      <c r="B231" s="518" t="s">
        <v>12808</v>
      </c>
      <c r="C231" s="533"/>
      <c r="D231" s="514" t="s">
        <v>12807</v>
      </c>
      <c r="E231" s="515">
        <v>7</v>
      </c>
      <c r="F231" s="518" t="s">
        <v>614</v>
      </c>
      <c r="G231" s="515" t="s">
        <v>3517</v>
      </c>
      <c r="H231" s="514" t="s">
        <v>1224</v>
      </c>
      <c r="I231" s="515">
        <v>1</v>
      </c>
      <c r="J231" s="515">
        <v>2</v>
      </c>
    </row>
    <row r="232" spans="1:10" ht="13.8" thickBot="1">
      <c r="A232" s="517"/>
      <c r="B232" s="518" t="s">
        <v>12406</v>
      </c>
      <c r="C232" s="533"/>
      <c r="D232" s="514" t="s">
        <v>12405</v>
      </c>
      <c r="E232" s="515">
        <v>7</v>
      </c>
      <c r="F232" s="518" t="s">
        <v>614</v>
      </c>
      <c r="G232" s="515" t="s">
        <v>4134</v>
      </c>
      <c r="H232" s="514" t="s">
        <v>1224</v>
      </c>
      <c r="I232" s="515"/>
      <c r="J232" s="515">
        <v>4</v>
      </c>
    </row>
    <row r="233" spans="1:10" ht="13.8" thickBot="1">
      <c r="A233" s="517"/>
      <c r="B233" s="518" t="s">
        <v>13824</v>
      </c>
      <c r="C233" s="533"/>
      <c r="D233" s="519" t="s">
        <v>1270</v>
      </c>
      <c r="E233" s="515">
        <v>7</v>
      </c>
      <c r="F233" s="518" t="s">
        <v>614</v>
      </c>
      <c r="G233" s="515" t="s">
        <v>2152</v>
      </c>
      <c r="H233" s="514" t="s">
        <v>1224</v>
      </c>
      <c r="I233" s="515">
        <v>1</v>
      </c>
      <c r="J233" s="515">
        <v>2</v>
      </c>
    </row>
    <row r="234" spans="1:10" ht="13.8" thickBot="1">
      <c r="A234" s="517"/>
      <c r="B234" s="518" t="s">
        <v>14274</v>
      </c>
      <c r="C234" s="533"/>
      <c r="D234" s="514" t="s">
        <v>1792</v>
      </c>
      <c r="E234" s="515">
        <v>7</v>
      </c>
      <c r="F234" s="518" t="s">
        <v>1854</v>
      </c>
      <c r="G234" s="515" t="s">
        <v>1793</v>
      </c>
      <c r="H234" s="514"/>
      <c r="I234" s="515"/>
      <c r="J234" s="515">
        <v>5</v>
      </c>
    </row>
    <row r="235" spans="1:10" ht="13.8" thickBot="1">
      <c r="A235" s="517"/>
      <c r="B235" s="518" t="s">
        <v>14273</v>
      </c>
      <c r="C235" s="533"/>
      <c r="D235" s="514" t="s">
        <v>14272</v>
      </c>
      <c r="E235" s="515">
        <v>7</v>
      </c>
      <c r="F235" s="518" t="s">
        <v>1854</v>
      </c>
      <c r="G235" s="515" t="s">
        <v>1793</v>
      </c>
      <c r="H235" s="514"/>
      <c r="I235" s="515">
        <v>2</v>
      </c>
      <c r="J235" s="515">
        <v>3</v>
      </c>
    </row>
    <row r="236" spans="1:10" ht="13.8" thickBot="1">
      <c r="A236" s="517"/>
      <c r="B236" s="518" t="s">
        <v>14271</v>
      </c>
      <c r="C236" s="533"/>
      <c r="D236" s="514" t="s">
        <v>14270</v>
      </c>
      <c r="E236" s="515">
        <v>7</v>
      </c>
      <c r="F236" s="514"/>
      <c r="G236" s="515" t="s">
        <v>1793</v>
      </c>
      <c r="H236" s="514"/>
      <c r="I236" s="515"/>
      <c r="J236" s="515">
        <v>3</v>
      </c>
    </row>
    <row r="237" spans="1:10" ht="13.8" thickBot="1">
      <c r="A237" s="517"/>
      <c r="B237" s="518" t="s">
        <v>14269</v>
      </c>
      <c r="C237" s="533"/>
      <c r="D237" s="514" t="s">
        <v>14268</v>
      </c>
      <c r="E237" s="515">
        <v>7</v>
      </c>
      <c r="F237" s="514"/>
      <c r="G237" s="515" t="s">
        <v>1793</v>
      </c>
      <c r="H237" s="514"/>
      <c r="I237" s="515">
        <v>1</v>
      </c>
      <c r="J237" s="515">
        <v>3</v>
      </c>
    </row>
    <row r="238" spans="1:10" ht="13.8" thickBot="1">
      <c r="A238" s="517"/>
      <c r="B238" s="518" t="s">
        <v>14267</v>
      </c>
      <c r="C238" s="533"/>
      <c r="D238" s="514" t="s">
        <v>1792</v>
      </c>
      <c r="E238" s="515">
        <v>7</v>
      </c>
      <c r="F238" s="518" t="s">
        <v>1854</v>
      </c>
      <c r="G238" s="515" t="s">
        <v>1793</v>
      </c>
      <c r="H238" s="514"/>
      <c r="I238" s="515">
        <v>1</v>
      </c>
      <c r="J238" s="515">
        <v>2</v>
      </c>
    </row>
    <row r="239" spans="1:10" ht="13.8" thickBot="1">
      <c r="A239" s="517"/>
      <c r="B239" s="518" t="s">
        <v>14266</v>
      </c>
      <c r="C239" s="533"/>
      <c r="D239" s="514" t="s">
        <v>14265</v>
      </c>
      <c r="E239" s="515">
        <v>7</v>
      </c>
      <c r="F239" s="518" t="s">
        <v>1854</v>
      </c>
      <c r="G239" s="515" t="s">
        <v>1793</v>
      </c>
      <c r="H239" s="514"/>
      <c r="I239" s="522">
        <v>1</v>
      </c>
      <c r="J239" s="522">
        <v>1</v>
      </c>
    </row>
    <row r="240" spans="1:10" ht="13.8" thickBot="1">
      <c r="A240" s="517"/>
      <c r="B240" s="518" t="s">
        <v>14264</v>
      </c>
      <c r="C240" s="533"/>
      <c r="D240" s="514" t="s">
        <v>14263</v>
      </c>
      <c r="E240" s="515">
        <v>7</v>
      </c>
      <c r="F240" s="514"/>
      <c r="G240" s="515" t="s">
        <v>1793</v>
      </c>
      <c r="H240" s="514"/>
      <c r="I240" s="515"/>
      <c r="J240" s="515">
        <v>1</v>
      </c>
    </row>
    <row r="241" spans="1:10" ht="13.8" thickBot="1">
      <c r="A241" s="517"/>
      <c r="B241" s="518" t="s">
        <v>14262</v>
      </c>
      <c r="C241" s="533"/>
      <c r="D241" s="520" t="s">
        <v>14261</v>
      </c>
      <c r="E241" s="521">
        <v>7</v>
      </c>
      <c r="F241" s="518" t="s">
        <v>1854</v>
      </c>
      <c r="G241" s="515" t="s">
        <v>1793</v>
      </c>
      <c r="H241" s="514"/>
      <c r="I241" s="522"/>
      <c r="J241" s="522"/>
    </row>
    <row r="242" spans="1:10" ht="13.8" thickBot="1">
      <c r="A242" s="517"/>
      <c r="B242" s="518" t="s">
        <v>14260</v>
      </c>
      <c r="C242" s="533"/>
      <c r="D242" s="514" t="s">
        <v>1890</v>
      </c>
      <c r="E242" s="515">
        <v>7</v>
      </c>
      <c r="F242" s="514"/>
      <c r="G242" s="515" t="s">
        <v>1793</v>
      </c>
      <c r="H242" s="514"/>
      <c r="I242" s="515"/>
      <c r="J242" s="515"/>
    </row>
    <row r="243" spans="1:10" ht="13.8" thickBot="1">
      <c r="A243" s="517"/>
      <c r="B243" s="518" t="s">
        <v>14259</v>
      </c>
      <c r="C243" s="533"/>
      <c r="D243" s="514" t="s">
        <v>14258</v>
      </c>
      <c r="E243" s="515">
        <v>7</v>
      </c>
      <c r="F243" s="514"/>
      <c r="G243" s="515" t="s">
        <v>1793</v>
      </c>
      <c r="H243" s="514"/>
      <c r="I243" s="515"/>
      <c r="J243" s="515"/>
    </row>
    <row r="244" spans="1:10" ht="13.8" thickBot="1">
      <c r="A244" s="517"/>
      <c r="B244" s="518" t="s">
        <v>14257</v>
      </c>
      <c r="C244" s="533"/>
      <c r="D244" s="514" t="s">
        <v>14256</v>
      </c>
      <c r="E244" s="515">
        <v>7</v>
      </c>
      <c r="F244" s="514"/>
      <c r="G244" s="515" t="s">
        <v>1793</v>
      </c>
      <c r="H244" s="514"/>
      <c r="I244" s="515"/>
      <c r="J244" s="515"/>
    </row>
    <row r="245" spans="1:10" ht="13.8" thickBot="1">
      <c r="A245" s="517"/>
      <c r="B245" s="518" t="s">
        <v>12201</v>
      </c>
      <c r="C245" s="533"/>
      <c r="D245" s="514" t="s">
        <v>12200</v>
      </c>
      <c r="E245" s="515">
        <v>7</v>
      </c>
      <c r="F245" s="514"/>
      <c r="G245" s="515" t="s">
        <v>4789</v>
      </c>
      <c r="H245" s="514"/>
      <c r="I245" s="515">
        <v>1</v>
      </c>
      <c r="J245" s="515">
        <v>3</v>
      </c>
    </row>
    <row r="246" spans="1:10" ht="13.8" thickBot="1">
      <c r="A246" s="517"/>
      <c r="B246" s="518" t="s">
        <v>12141</v>
      </c>
      <c r="C246" s="533"/>
      <c r="D246" s="514" t="s">
        <v>12140</v>
      </c>
      <c r="E246" s="515">
        <v>7</v>
      </c>
      <c r="F246" s="518" t="s">
        <v>1854</v>
      </c>
      <c r="G246" s="515" t="s">
        <v>4970</v>
      </c>
      <c r="H246" s="514"/>
      <c r="I246" s="515"/>
      <c r="J246" s="515"/>
    </row>
    <row r="247" spans="1:10" ht="13.8" thickBot="1">
      <c r="A247" s="517"/>
      <c r="B247" s="518" t="s">
        <v>12046</v>
      </c>
      <c r="C247" s="533"/>
      <c r="D247" s="514" t="s">
        <v>12045</v>
      </c>
      <c r="E247" s="515">
        <v>7</v>
      </c>
      <c r="F247" s="518" t="s">
        <v>614</v>
      </c>
      <c r="G247" s="515" t="s">
        <v>5031</v>
      </c>
      <c r="H247" s="514"/>
      <c r="I247" s="515"/>
      <c r="J247" s="515">
        <v>1</v>
      </c>
    </row>
    <row r="248" spans="1:10" ht="13.8" thickBot="1">
      <c r="A248" s="517"/>
      <c r="B248" s="518" t="s">
        <v>12015</v>
      </c>
      <c r="C248" s="533"/>
      <c r="D248" s="514" t="s">
        <v>1499</v>
      </c>
      <c r="E248" s="515">
        <v>7</v>
      </c>
      <c r="F248" s="514"/>
      <c r="G248" s="515" t="s">
        <v>5109</v>
      </c>
      <c r="H248" s="514"/>
      <c r="I248" s="515"/>
      <c r="J248" s="515">
        <v>2</v>
      </c>
    </row>
    <row r="249" spans="1:10" ht="13.8" thickBot="1">
      <c r="A249" s="517"/>
      <c r="B249" s="518" t="s">
        <v>11993</v>
      </c>
      <c r="C249" s="533"/>
      <c r="D249" s="514" t="s">
        <v>11992</v>
      </c>
      <c r="E249" s="515">
        <v>7</v>
      </c>
      <c r="F249" s="514"/>
      <c r="G249" s="515" t="s">
        <v>5180</v>
      </c>
      <c r="H249" s="514"/>
      <c r="I249" s="515"/>
      <c r="J249" s="515">
        <v>1</v>
      </c>
    </row>
    <row r="250" spans="1:10" ht="13.8" thickBot="1">
      <c r="A250" s="517"/>
      <c r="B250" s="518" t="s">
        <v>11929</v>
      </c>
      <c r="C250" s="533"/>
      <c r="D250" s="514" t="s">
        <v>11928</v>
      </c>
      <c r="E250" s="515">
        <v>7</v>
      </c>
      <c r="F250" s="518" t="s">
        <v>614</v>
      </c>
      <c r="G250" s="515" t="s">
        <v>5226</v>
      </c>
      <c r="H250" s="514"/>
      <c r="I250" s="515"/>
      <c r="J250" s="515">
        <v>1</v>
      </c>
    </row>
    <row r="251" spans="1:10" ht="13.8" thickBot="1">
      <c r="A251" s="517"/>
      <c r="B251" s="518" t="s">
        <v>13719</v>
      </c>
      <c r="C251" s="533"/>
      <c r="D251" s="514" t="s">
        <v>13718</v>
      </c>
      <c r="E251" s="515">
        <v>7</v>
      </c>
      <c r="F251" s="518" t="s">
        <v>2223</v>
      </c>
      <c r="G251" s="515" t="s">
        <v>2289</v>
      </c>
      <c r="H251" s="514"/>
      <c r="I251" s="515"/>
      <c r="J251" s="515">
        <v>2</v>
      </c>
    </row>
    <row r="252" spans="1:10" ht="13.8" thickBot="1">
      <c r="A252" s="517"/>
      <c r="B252" s="518" t="s">
        <v>13717</v>
      </c>
      <c r="C252" s="533"/>
      <c r="D252" s="514" t="s">
        <v>13716</v>
      </c>
      <c r="E252" s="515">
        <v>7</v>
      </c>
      <c r="F252" s="518" t="s">
        <v>614</v>
      </c>
      <c r="G252" s="515" t="s">
        <v>2289</v>
      </c>
      <c r="H252" s="514"/>
      <c r="I252" s="515"/>
      <c r="J252" s="515">
        <v>1</v>
      </c>
    </row>
    <row r="253" spans="1:10" ht="13.8" thickBot="1">
      <c r="A253" s="517"/>
      <c r="B253" s="518" t="s">
        <v>13715</v>
      </c>
      <c r="C253" s="533"/>
      <c r="D253" s="514" t="s">
        <v>13714</v>
      </c>
      <c r="E253" s="515">
        <v>7</v>
      </c>
      <c r="F253" s="514"/>
      <c r="G253" s="515" t="s">
        <v>2289</v>
      </c>
      <c r="H253" s="514"/>
      <c r="I253" s="515"/>
      <c r="J253" s="515">
        <v>1</v>
      </c>
    </row>
    <row r="254" spans="1:10" ht="13.8" thickBot="1">
      <c r="A254" s="517"/>
      <c r="B254" s="518" t="s">
        <v>13713</v>
      </c>
      <c r="C254" s="533"/>
      <c r="D254" s="514" t="s">
        <v>2308</v>
      </c>
      <c r="E254" s="515">
        <v>7</v>
      </c>
      <c r="F254" s="514"/>
      <c r="G254" s="515" t="s">
        <v>2289</v>
      </c>
      <c r="H254" s="514"/>
      <c r="I254" s="515"/>
      <c r="J254" s="515">
        <v>1</v>
      </c>
    </row>
    <row r="255" spans="1:10" ht="13.8" thickBot="1">
      <c r="A255" s="517"/>
      <c r="B255" s="518" t="s">
        <v>13712</v>
      </c>
      <c r="C255" s="533"/>
      <c r="D255" s="514" t="s">
        <v>13711</v>
      </c>
      <c r="E255" s="515">
        <v>7</v>
      </c>
      <c r="F255" s="518" t="s">
        <v>13710</v>
      </c>
      <c r="G255" s="515" t="s">
        <v>2289</v>
      </c>
      <c r="H255" s="514"/>
      <c r="I255" s="515"/>
      <c r="J255" s="515"/>
    </row>
    <row r="256" spans="1:10" ht="13.8" thickBot="1">
      <c r="A256" s="517"/>
      <c r="B256" s="518" t="s">
        <v>11890</v>
      </c>
      <c r="C256" s="533"/>
      <c r="D256" s="514" t="s">
        <v>11889</v>
      </c>
      <c r="E256" s="515">
        <v>7</v>
      </c>
      <c r="F256" s="514"/>
      <c r="G256" s="515" t="s">
        <v>5269</v>
      </c>
      <c r="H256" s="514"/>
      <c r="I256" s="515"/>
      <c r="J256" s="515">
        <v>1</v>
      </c>
    </row>
    <row r="257" spans="1:10" ht="13.8" thickBot="1">
      <c r="A257" s="517"/>
      <c r="B257" s="518" t="s">
        <v>13606</v>
      </c>
      <c r="C257" s="533"/>
      <c r="D257" s="514" t="s">
        <v>13605</v>
      </c>
      <c r="E257" s="515">
        <v>7</v>
      </c>
      <c r="F257" s="514"/>
      <c r="G257" s="515" t="s">
        <v>2449</v>
      </c>
      <c r="H257" s="514"/>
      <c r="I257" s="515"/>
      <c r="J257" s="515">
        <v>2</v>
      </c>
    </row>
    <row r="258" spans="1:10" ht="13.8" thickBot="1">
      <c r="A258" s="517"/>
      <c r="B258" s="518" t="s">
        <v>13539</v>
      </c>
      <c r="C258" s="533"/>
      <c r="D258" s="514" t="s">
        <v>2559</v>
      </c>
      <c r="E258" s="515">
        <v>7</v>
      </c>
      <c r="F258" s="515" t="s">
        <v>12413</v>
      </c>
      <c r="G258" s="515" t="s">
        <v>2523</v>
      </c>
      <c r="H258" s="514"/>
      <c r="I258" s="522"/>
      <c r="J258" s="522">
        <v>2</v>
      </c>
    </row>
    <row r="259" spans="1:10" ht="13.8" thickBot="1">
      <c r="A259" s="517"/>
      <c r="B259" s="518" t="s">
        <v>13538</v>
      </c>
      <c r="C259" s="533"/>
      <c r="D259" s="514" t="s">
        <v>13537</v>
      </c>
      <c r="E259" s="515">
        <v>7</v>
      </c>
      <c r="F259" s="518" t="s">
        <v>614</v>
      </c>
      <c r="G259" s="515" t="s">
        <v>2523</v>
      </c>
      <c r="H259" s="514"/>
      <c r="I259" s="515"/>
      <c r="J259" s="515">
        <v>2</v>
      </c>
    </row>
    <row r="260" spans="1:10" ht="13.8" thickBot="1">
      <c r="A260" s="517"/>
      <c r="B260" s="518" t="s">
        <v>13536</v>
      </c>
      <c r="C260" s="533"/>
      <c r="D260" s="514" t="s">
        <v>13535</v>
      </c>
      <c r="E260" s="515">
        <v>7</v>
      </c>
      <c r="F260" s="518" t="s">
        <v>614</v>
      </c>
      <c r="G260" s="515" t="s">
        <v>2523</v>
      </c>
      <c r="H260" s="514"/>
      <c r="I260" s="515"/>
      <c r="J260" s="515">
        <v>1</v>
      </c>
    </row>
    <row r="261" spans="1:10" ht="13.8" thickBot="1">
      <c r="A261" s="517"/>
      <c r="B261" s="518" t="s">
        <v>13534</v>
      </c>
      <c r="C261" s="533"/>
      <c r="D261" s="514" t="s">
        <v>13533</v>
      </c>
      <c r="E261" s="515">
        <v>7</v>
      </c>
      <c r="F261" s="518" t="s">
        <v>614</v>
      </c>
      <c r="G261" s="515" t="s">
        <v>2523</v>
      </c>
      <c r="H261" s="514"/>
      <c r="I261" s="515"/>
      <c r="J261" s="515">
        <v>1</v>
      </c>
    </row>
    <row r="262" spans="1:10" ht="13.8" thickBot="1">
      <c r="A262" s="517"/>
      <c r="B262" s="518" t="s">
        <v>13532</v>
      </c>
      <c r="C262" s="533"/>
      <c r="D262" s="514" t="s">
        <v>1300</v>
      </c>
      <c r="E262" s="515">
        <v>7</v>
      </c>
      <c r="F262" s="518" t="s">
        <v>614</v>
      </c>
      <c r="G262" s="515" t="s">
        <v>2523</v>
      </c>
      <c r="H262" s="514"/>
      <c r="I262" s="515"/>
      <c r="J262" s="515">
        <v>1</v>
      </c>
    </row>
    <row r="263" spans="1:10" ht="13.8" thickBot="1">
      <c r="A263" s="517"/>
      <c r="B263" s="518" t="s">
        <v>13982</v>
      </c>
      <c r="C263" s="533"/>
      <c r="D263" s="514" t="s">
        <v>13981</v>
      </c>
      <c r="E263" s="515">
        <v>7</v>
      </c>
      <c r="F263" s="518" t="s">
        <v>614</v>
      </c>
      <c r="G263" s="515" t="s">
        <v>1922</v>
      </c>
      <c r="H263" s="514"/>
      <c r="I263" s="522"/>
      <c r="J263" s="522">
        <v>1</v>
      </c>
    </row>
    <row r="264" spans="1:10" ht="13.8" thickBot="1">
      <c r="A264" s="517"/>
      <c r="B264" s="518" t="s">
        <v>11578</v>
      </c>
      <c r="C264" s="533"/>
      <c r="D264" s="514" t="s">
        <v>11577</v>
      </c>
      <c r="E264" s="515">
        <v>7</v>
      </c>
      <c r="F264" s="518" t="s">
        <v>1854</v>
      </c>
      <c r="G264" s="515" t="s">
        <v>11525</v>
      </c>
      <c r="H264" s="514"/>
      <c r="I264" s="515">
        <v>1</v>
      </c>
      <c r="J264" s="515">
        <v>1</v>
      </c>
    </row>
    <row r="265" spans="1:10" ht="13.8" thickBot="1">
      <c r="A265" s="517"/>
      <c r="B265" s="518" t="s">
        <v>11766</v>
      </c>
      <c r="C265" s="533"/>
      <c r="D265" s="514" t="s">
        <v>11765</v>
      </c>
      <c r="E265" s="515">
        <v>7</v>
      </c>
      <c r="F265" s="518" t="s">
        <v>1854</v>
      </c>
      <c r="G265" s="515" t="s">
        <v>11525</v>
      </c>
      <c r="H265" s="514"/>
      <c r="I265" s="515"/>
      <c r="J265" s="515"/>
    </row>
    <row r="266" spans="1:10" ht="13.8" thickBot="1">
      <c r="A266" s="517"/>
      <c r="B266" s="518" t="s">
        <v>11788</v>
      </c>
      <c r="C266" s="533"/>
      <c r="D266" s="514" t="s">
        <v>11533</v>
      </c>
      <c r="E266" s="515">
        <v>7</v>
      </c>
      <c r="F266" s="514"/>
      <c r="G266" s="515" t="s">
        <v>11525</v>
      </c>
      <c r="H266" s="514"/>
      <c r="I266" s="515"/>
      <c r="J266" s="515"/>
    </row>
    <row r="267" spans="1:10" ht="13.8" thickBot="1">
      <c r="A267" s="517"/>
      <c r="B267" s="518" t="s">
        <v>11787</v>
      </c>
      <c r="C267" s="533"/>
      <c r="D267" s="514" t="s">
        <v>11533</v>
      </c>
      <c r="E267" s="515">
        <v>7</v>
      </c>
      <c r="F267" s="514"/>
      <c r="G267" s="515" t="s">
        <v>11525</v>
      </c>
      <c r="H267" s="514"/>
      <c r="I267" s="515"/>
      <c r="J267" s="515"/>
    </row>
    <row r="268" spans="1:10" ht="13.8" thickBot="1">
      <c r="A268" s="517"/>
      <c r="B268" s="518" t="s">
        <v>11705</v>
      </c>
      <c r="C268" s="533"/>
      <c r="D268" s="514" t="s">
        <v>11704</v>
      </c>
      <c r="E268" s="515">
        <v>7</v>
      </c>
      <c r="F268" s="514"/>
      <c r="G268" s="515" t="s">
        <v>11525</v>
      </c>
      <c r="H268" s="514"/>
      <c r="I268" s="515"/>
      <c r="J268" s="515"/>
    </row>
    <row r="269" spans="1:10" ht="13.8" thickBot="1">
      <c r="A269" s="517"/>
      <c r="B269" s="518" t="s">
        <v>11667</v>
      </c>
      <c r="C269" s="533"/>
      <c r="D269" s="514" t="s">
        <v>11533</v>
      </c>
      <c r="E269" s="515">
        <v>7</v>
      </c>
      <c r="F269" s="514"/>
      <c r="G269" s="515" t="s">
        <v>11525</v>
      </c>
      <c r="H269" s="514"/>
      <c r="I269" s="522"/>
      <c r="J269" s="522"/>
    </row>
    <row r="270" spans="1:10" ht="13.8" thickBot="1">
      <c r="A270" s="517"/>
      <c r="B270" s="518" t="s">
        <v>11648</v>
      </c>
      <c r="C270" s="533"/>
      <c r="D270" s="514" t="s">
        <v>11612</v>
      </c>
      <c r="E270" s="515">
        <v>7</v>
      </c>
      <c r="F270" s="514"/>
      <c r="G270" s="515" t="s">
        <v>11525</v>
      </c>
      <c r="H270" s="514"/>
      <c r="I270" s="515"/>
      <c r="J270" s="515"/>
    </row>
    <row r="271" spans="1:10" ht="13.8" thickBot="1">
      <c r="A271" s="517"/>
      <c r="B271" s="518" t="s">
        <v>11642</v>
      </c>
      <c r="C271" s="533"/>
      <c r="D271" s="514" t="s">
        <v>11612</v>
      </c>
      <c r="E271" s="515">
        <v>7</v>
      </c>
      <c r="F271" s="514"/>
      <c r="G271" s="515" t="s">
        <v>11525</v>
      </c>
      <c r="H271" s="514"/>
      <c r="I271" s="515"/>
      <c r="J271" s="515"/>
    </row>
    <row r="272" spans="1:10" ht="13.8" thickBot="1">
      <c r="A272" s="517"/>
      <c r="B272" s="518" t="s">
        <v>11640</v>
      </c>
      <c r="C272" s="533"/>
      <c r="D272" s="514" t="s">
        <v>11612</v>
      </c>
      <c r="E272" s="515">
        <v>7</v>
      </c>
      <c r="F272" s="514"/>
      <c r="G272" s="515" t="s">
        <v>11525</v>
      </c>
      <c r="H272" s="514"/>
      <c r="I272" s="515"/>
      <c r="J272" s="515"/>
    </row>
    <row r="273" spans="1:10" ht="13.8" thickBot="1">
      <c r="A273" s="517"/>
      <c r="B273" s="518" t="s">
        <v>11625</v>
      </c>
      <c r="C273" s="533"/>
      <c r="D273" s="514" t="s">
        <v>11612</v>
      </c>
      <c r="E273" s="515">
        <v>7</v>
      </c>
      <c r="F273" s="514"/>
      <c r="G273" s="515" t="s">
        <v>11525</v>
      </c>
      <c r="H273" s="514"/>
      <c r="I273" s="515"/>
      <c r="J273" s="515"/>
    </row>
    <row r="274" spans="1:10" ht="13.8" thickBot="1">
      <c r="A274" s="517"/>
      <c r="B274" s="518" t="s">
        <v>11621</v>
      </c>
      <c r="C274" s="533"/>
      <c r="D274" s="514" t="s">
        <v>11612</v>
      </c>
      <c r="E274" s="515">
        <v>7</v>
      </c>
      <c r="F274" s="514"/>
      <c r="G274" s="515" t="s">
        <v>11525</v>
      </c>
      <c r="H274" s="514"/>
      <c r="I274" s="515"/>
      <c r="J274" s="515"/>
    </row>
    <row r="275" spans="1:10" ht="13.8" thickBot="1">
      <c r="A275" s="517"/>
      <c r="B275" s="518" t="s">
        <v>13224</v>
      </c>
      <c r="C275" s="533"/>
      <c r="D275" s="514" t="s">
        <v>13223</v>
      </c>
      <c r="E275" s="515">
        <v>7</v>
      </c>
      <c r="F275" s="518" t="s">
        <v>614</v>
      </c>
      <c r="G275" s="515" t="s">
        <v>2797</v>
      </c>
      <c r="H275" s="514"/>
      <c r="I275" s="515">
        <v>1</v>
      </c>
      <c r="J275" s="515">
        <v>6</v>
      </c>
    </row>
    <row r="276" spans="1:10" ht="13.8" thickBot="1">
      <c r="A276" s="517"/>
      <c r="B276" s="518" t="s">
        <v>13151</v>
      </c>
      <c r="C276" s="533"/>
      <c r="D276" s="514" t="s">
        <v>13150</v>
      </c>
      <c r="E276" s="515">
        <v>7</v>
      </c>
      <c r="F276" s="518" t="s">
        <v>614</v>
      </c>
      <c r="G276" s="515" t="s">
        <v>2957</v>
      </c>
      <c r="H276" s="514"/>
      <c r="I276" s="515"/>
      <c r="J276" s="515">
        <v>1</v>
      </c>
    </row>
    <row r="277" spans="1:10" ht="13.8" thickBot="1">
      <c r="A277" s="517"/>
      <c r="B277" s="518" t="s">
        <v>12954</v>
      </c>
      <c r="C277" s="533"/>
      <c r="D277" s="514" t="s">
        <v>12953</v>
      </c>
      <c r="E277" s="515">
        <v>7</v>
      </c>
      <c r="F277" s="518" t="s">
        <v>614</v>
      </c>
      <c r="G277" s="515" t="s">
        <v>3161</v>
      </c>
      <c r="H277" s="514"/>
      <c r="I277" s="515"/>
      <c r="J277" s="515">
        <v>1</v>
      </c>
    </row>
    <row r="278" spans="1:10" ht="13.8" thickBot="1">
      <c r="A278" s="517"/>
      <c r="B278" s="518" t="s">
        <v>12952</v>
      </c>
      <c r="C278" s="533"/>
      <c r="D278" s="514" t="s">
        <v>12951</v>
      </c>
      <c r="E278" s="515">
        <v>7</v>
      </c>
      <c r="F278" s="518" t="s">
        <v>1854</v>
      </c>
      <c r="G278" s="515" t="s">
        <v>3161</v>
      </c>
      <c r="H278" s="514"/>
      <c r="I278" s="515"/>
      <c r="J278" s="515"/>
    </row>
    <row r="279" spans="1:10" ht="13.8" thickBot="1">
      <c r="A279" s="517"/>
      <c r="B279" s="518" t="s">
        <v>12950</v>
      </c>
      <c r="C279" s="533"/>
      <c r="D279" s="514" t="s">
        <v>12949</v>
      </c>
      <c r="E279" s="515">
        <v>7</v>
      </c>
      <c r="F279" s="518" t="s">
        <v>1854</v>
      </c>
      <c r="G279" s="515" t="s">
        <v>3161</v>
      </c>
      <c r="H279" s="514"/>
      <c r="I279" s="515"/>
      <c r="J279" s="515"/>
    </row>
    <row r="280" spans="1:10" ht="13.8" thickBot="1">
      <c r="A280" s="517"/>
      <c r="B280" s="518" t="s">
        <v>12948</v>
      </c>
      <c r="C280" s="533"/>
      <c r="D280" s="514" t="s">
        <v>1390</v>
      </c>
      <c r="E280" s="515">
        <v>7</v>
      </c>
      <c r="F280" s="518" t="s">
        <v>1854</v>
      </c>
      <c r="G280" s="515" t="s">
        <v>3161</v>
      </c>
      <c r="H280" s="514"/>
      <c r="I280" s="515"/>
      <c r="J280" s="515"/>
    </row>
    <row r="281" spans="1:10" ht="13.8" thickBot="1">
      <c r="A281" s="517"/>
      <c r="B281" s="518" t="s">
        <v>13929</v>
      </c>
      <c r="C281" s="533"/>
      <c r="D281" s="519" t="s">
        <v>13928</v>
      </c>
      <c r="E281" s="515">
        <v>7</v>
      </c>
      <c r="F281" s="518" t="s">
        <v>614</v>
      </c>
      <c r="G281" s="515" t="s">
        <v>2032</v>
      </c>
      <c r="H281" s="514"/>
      <c r="I281" s="515"/>
      <c r="J281" s="515">
        <v>1</v>
      </c>
    </row>
    <row r="282" spans="1:10" ht="13.8" thickBot="1">
      <c r="A282" s="517"/>
      <c r="B282" s="518" t="s">
        <v>12860</v>
      </c>
      <c r="C282" s="533"/>
      <c r="D282" s="514" t="s">
        <v>12859</v>
      </c>
      <c r="E282" s="515">
        <v>7</v>
      </c>
      <c r="F282" s="518" t="s">
        <v>614</v>
      </c>
      <c r="G282" s="515" t="s">
        <v>3452</v>
      </c>
      <c r="H282" s="514"/>
      <c r="I282" s="515"/>
      <c r="J282" s="515">
        <v>3</v>
      </c>
    </row>
    <row r="283" spans="1:10" ht="13.8" thickBot="1">
      <c r="A283" s="517"/>
      <c r="B283" s="518" t="s">
        <v>12858</v>
      </c>
      <c r="C283" s="533"/>
      <c r="D283" s="514" t="s">
        <v>12857</v>
      </c>
      <c r="E283" s="515">
        <v>7</v>
      </c>
      <c r="F283" s="518" t="s">
        <v>614</v>
      </c>
      <c r="G283" s="515" t="s">
        <v>3452</v>
      </c>
      <c r="H283" s="514"/>
      <c r="I283" s="515"/>
      <c r="J283" s="515"/>
    </row>
    <row r="284" spans="1:10" ht="13.8" thickBot="1">
      <c r="A284" s="517"/>
      <c r="B284" s="518" t="s">
        <v>12856</v>
      </c>
      <c r="C284" s="533"/>
      <c r="D284" s="514" t="s">
        <v>3451</v>
      </c>
      <c r="E284" s="515">
        <v>7</v>
      </c>
      <c r="F284" s="518" t="s">
        <v>1854</v>
      </c>
      <c r="G284" s="515" t="s">
        <v>3452</v>
      </c>
      <c r="H284" s="514"/>
      <c r="I284" s="515"/>
      <c r="J284" s="515"/>
    </row>
    <row r="285" spans="1:10" ht="13.8" thickBot="1">
      <c r="A285" s="517"/>
      <c r="B285" s="518" t="s">
        <v>12855</v>
      </c>
      <c r="C285" s="533"/>
      <c r="D285" s="514" t="s">
        <v>12854</v>
      </c>
      <c r="E285" s="515">
        <v>7</v>
      </c>
      <c r="F285" s="514"/>
      <c r="G285" s="515" t="s">
        <v>3452</v>
      </c>
      <c r="H285" s="514"/>
      <c r="I285" s="515"/>
      <c r="J285" s="515"/>
    </row>
    <row r="286" spans="1:10" ht="13.8" thickBot="1">
      <c r="A286" s="517"/>
      <c r="B286" s="518" t="s">
        <v>12806</v>
      </c>
      <c r="C286" s="533"/>
      <c r="D286" s="514" t="s">
        <v>12805</v>
      </c>
      <c r="E286" s="515">
        <v>7</v>
      </c>
      <c r="F286" s="518" t="s">
        <v>1854</v>
      </c>
      <c r="G286" s="515" t="s">
        <v>3517</v>
      </c>
      <c r="H286" s="514"/>
      <c r="I286" s="515"/>
      <c r="J286" s="515">
        <v>1</v>
      </c>
    </row>
    <row r="287" spans="1:10" ht="13.8" thickBot="1">
      <c r="A287" s="517"/>
      <c r="B287" s="518" t="s">
        <v>12804</v>
      </c>
      <c r="C287" s="533"/>
      <c r="D287" s="514" t="s">
        <v>12803</v>
      </c>
      <c r="E287" s="515">
        <v>7</v>
      </c>
      <c r="F287" s="518" t="s">
        <v>2223</v>
      </c>
      <c r="G287" s="515" t="s">
        <v>3517</v>
      </c>
      <c r="H287" s="514"/>
      <c r="I287" s="515"/>
      <c r="J287" s="515"/>
    </row>
    <row r="288" spans="1:10" ht="13.8" thickBot="1">
      <c r="A288" s="517"/>
      <c r="B288" s="518" t="s">
        <v>12802</v>
      </c>
      <c r="C288" s="533"/>
      <c r="D288" s="520" t="s">
        <v>12801</v>
      </c>
      <c r="E288" s="521">
        <v>7</v>
      </c>
      <c r="F288" s="518" t="s">
        <v>1854</v>
      </c>
      <c r="G288" s="515" t="s">
        <v>3517</v>
      </c>
      <c r="H288" s="514"/>
      <c r="I288" s="515"/>
      <c r="J288" s="515"/>
    </row>
    <row r="289" spans="1:10" ht="13.8" thickBot="1">
      <c r="A289" s="517"/>
      <c r="B289" s="518" t="s">
        <v>12654</v>
      </c>
      <c r="C289" s="533"/>
      <c r="D289" s="514" t="s">
        <v>1482</v>
      </c>
      <c r="E289" s="515">
        <v>7</v>
      </c>
      <c r="F289" s="518" t="s">
        <v>1854</v>
      </c>
      <c r="G289" s="515" t="s">
        <v>3734</v>
      </c>
      <c r="H289" s="514"/>
      <c r="I289" s="515"/>
      <c r="J289" s="515"/>
    </row>
    <row r="290" spans="1:10" ht="13.8" thickBot="1">
      <c r="A290" s="517"/>
      <c r="B290" s="518" t="s">
        <v>12595</v>
      </c>
      <c r="C290" s="533"/>
      <c r="D290" s="514" t="s">
        <v>1502</v>
      </c>
      <c r="E290" s="515">
        <v>7</v>
      </c>
      <c r="F290" s="518" t="s">
        <v>1854</v>
      </c>
      <c r="G290" s="515" t="s">
        <v>3807</v>
      </c>
      <c r="H290" s="514"/>
      <c r="I290" s="515">
        <v>2</v>
      </c>
      <c r="J290" s="515">
        <v>2</v>
      </c>
    </row>
    <row r="291" spans="1:10" ht="13.8" thickBot="1">
      <c r="A291" s="517"/>
      <c r="B291" s="518" t="s">
        <v>12540</v>
      </c>
      <c r="C291" s="533"/>
      <c r="D291" s="514" t="s">
        <v>12539</v>
      </c>
      <c r="E291" s="515">
        <v>7</v>
      </c>
      <c r="F291" s="518" t="s">
        <v>614</v>
      </c>
      <c r="G291" s="515" t="s">
        <v>3856</v>
      </c>
      <c r="H291" s="514"/>
      <c r="I291" s="515"/>
      <c r="J291" s="515">
        <v>1</v>
      </c>
    </row>
    <row r="292" spans="1:10" ht="13.8" thickBot="1">
      <c r="A292" s="517"/>
      <c r="B292" s="518" t="s">
        <v>12494</v>
      </c>
      <c r="C292" s="533"/>
      <c r="D292" s="514" t="s">
        <v>3908</v>
      </c>
      <c r="E292" s="515">
        <v>7</v>
      </c>
      <c r="F292" s="514"/>
      <c r="G292" s="515" t="s">
        <v>3903</v>
      </c>
      <c r="H292" s="514"/>
      <c r="I292" s="515"/>
      <c r="J292" s="515">
        <v>1</v>
      </c>
    </row>
    <row r="293" spans="1:10" ht="13.8" thickBot="1">
      <c r="A293" s="517"/>
      <c r="B293" s="518" t="s">
        <v>12428</v>
      </c>
      <c r="C293" s="533"/>
      <c r="D293" s="514" t="s">
        <v>12427</v>
      </c>
      <c r="E293" s="515">
        <v>7</v>
      </c>
      <c r="F293" s="518" t="s">
        <v>614</v>
      </c>
      <c r="G293" s="515" t="s">
        <v>4102</v>
      </c>
      <c r="H293" s="514"/>
      <c r="I293" s="515"/>
      <c r="J293" s="515">
        <v>1</v>
      </c>
    </row>
    <row r="294" spans="1:10" ht="13.8" thickBot="1">
      <c r="A294" s="517"/>
      <c r="B294" s="518" t="s">
        <v>12387</v>
      </c>
      <c r="C294" s="533"/>
      <c r="D294" s="514" t="s">
        <v>12386</v>
      </c>
      <c r="E294" s="515">
        <v>7</v>
      </c>
      <c r="F294" s="514"/>
      <c r="G294" s="515" t="s">
        <v>4160</v>
      </c>
      <c r="H294" s="514"/>
      <c r="I294" s="515"/>
      <c r="J294" s="515"/>
    </row>
    <row r="295" spans="1:10" ht="13.8" thickBot="1">
      <c r="A295" s="517"/>
      <c r="B295" s="518" t="s">
        <v>12211</v>
      </c>
      <c r="C295" s="533"/>
      <c r="D295" s="514" t="s">
        <v>12210</v>
      </c>
      <c r="E295" s="515">
        <v>7</v>
      </c>
      <c r="F295" s="514"/>
      <c r="G295" s="515" t="s">
        <v>4717</v>
      </c>
      <c r="H295" s="514"/>
      <c r="I295" s="515"/>
      <c r="J295" s="515"/>
    </row>
    <row r="296" spans="1:10" ht="13.8" thickBot="1">
      <c r="A296" s="517"/>
      <c r="B296" s="518" t="s">
        <v>14255</v>
      </c>
      <c r="C296" s="533"/>
      <c r="D296" s="514" t="s">
        <v>14254</v>
      </c>
      <c r="E296" s="515">
        <v>6.9</v>
      </c>
      <c r="F296" s="518" t="s">
        <v>614</v>
      </c>
      <c r="G296" s="515" t="s">
        <v>1793</v>
      </c>
      <c r="H296" s="514" t="s">
        <v>1251</v>
      </c>
      <c r="I296" s="515"/>
      <c r="J296" s="515">
        <v>10</v>
      </c>
    </row>
    <row r="297" spans="1:10" ht="13.8" thickBot="1">
      <c r="A297" s="517"/>
      <c r="B297" s="518" t="s">
        <v>11888</v>
      </c>
      <c r="C297" s="533"/>
      <c r="D297" s="514" t="s">
        <v>11887</v>
      </c>
      <c r="E297" s="515">
        <v>6.9</v>
      </c>
      <c r="F297" s="518" t="s">
        <v>614</v>
      </c>
      <c r="G297" s="515" t="s">
        <v>5269</v>
      </c>
      <c r="H297" s="514" t="s">
        <v>1251</v>
      </c>
      <c r="I297" s="515"/>
      <c r="J297" s="515">
        <v>7</v>
      </c>
    </row>
    <row r="298" spans="1:10" ht="13.8" thickBot="1">
      <c r="A298" s="517"/>
      <c r="B298" s="518" t="s">
        <v>13149</v>
      </c>
      <c r="C298" s="533"/>
      <c r="D298" s="514" t="s">
        <v>13148</v>
      </c>
      <c r="E298" s="515">
        <v>6.8</v>
      </c>
      <c r="F298" s="518" t="s">
        <v>614</v>
      </c>
      <c r="G298" s="515" t="s">
        <v>2957</v>
      </c>
      <c r="H298" s="514" t="s">
        <v>1229</v>
      </c>
      <c r="I298" s="515">
        <v>3</v>
      </c>
      <c r="J298" s="515">
        <v>9</v>
      </c>
    </row>
    <row r="299" spans="1:10" ht="13.8" thickBot="1">
      <c r="A299" s="517"/>
      <c r="B299" s="518" t="s">
        <v>12020</v>
      </c>
      <c r="C299" s="533"/>
      <c r="D299" s="514" t="s">
        <v>12019</v>
      </c>
      <c r="E299" s="515">
        <v>6.8</v>
      </c>
      <c r="F299" s="518" t="s">
        <v>614</v>
      </c>
      <c r="G299" s="515" t="s">
        <v>5079</v>
      </c>
      <c r="H299" s="514" t="s">
        <v>1251</v>
      </c>
      <c r="I299" s="515"/>
      <c r="J299" s="515">
        <v>11</v>
      </c>
    </row>
    <row r="300" spans="1:10" ht="13.8" thickBot="1">
      <c r="A300" s="517"/>
      <c r="B300" s="518" t="s">
        <v>13709</v>
      </c>
      <c r="C300" s="533"/>
      <c r="D300" s="514" t="s">
        <v>1726</v>
      </c>
      <c r="E300" s="515">
        <v>6.8</v>
      </c>
      <c r="F300" s="518" t="s">
        <v>614</v>
      </c>
      <c r="G300" s="515" t="s">
        <v>2289</v>
      </c>
      <c r="H300" s="514" t="s">
        <v>1251</v>
      </c>
      <c r="I300" s="522"/>
      <c r="J300" s="522">
        <v>10</v>
      </c>
    </row>
    <row r="301" spans="1:10" ht="13.8" thickBot="1">
      <c r="A301" s="517"/>
      <c r="B301" s="518" t="s">
        <v>13604</v>
      </c>
      <c r="C301" s="533"/>
      <c r="D301" s="514" t="s">
        <v>13603</v>
      </c>
      <c r="E301" s="515">
        <v>6.8</v>
      </c>
      <c r="F301" s="518" t="s">
        <v>614</v>
      </c>
      <c r="G301" s="515" t="s">
        <v>2449</v>
      </c>
      <c r="H301" s="514" t="s">
        <v>1251</v>
      </c>
      <c r="I301" s="515"/>
      <c r="J301" s="515">
        <v>6</v>
      </c>
    </row>
    <row r="302" spans="1:10" ht="13.8" thickBot="1">
      <c r="A302" s="517"/>
      <c r="B302" s="518" t="s">
        <v>13222</v>
      </c>
      <c r="C302" s="533"/>
      <c r="D302" s="514" t="s">
        <v>13221</v>
      </c>
      <c r="E302" s="515">
        <v>6.8</v>
      </c>
      <c r="F302" s="518" t="s">
        <v>614</v>
      </c>
      <c r="G302" s="515" t="s">
        <v>2797</v>
      </c>
      <c r="H302" s="514" t="s">
        <v>1251</v>
      </c>
      <c r="I302" s="515"/>
      <c r="J302" s="515">
        <v>8</v>
      </c>
    </row>
    <row r="303" spans="1:10" ht="13.8" thickBot="1">
      <c r="A303" s="517"/>
      <c r="B303" s="518" t="s">
        <v>12979</v>
      </c>
      <c r="C303" s="533"/>
      <c r="D303" s="514" t="s">
        <v>12978</v>
      </c>
      <c r="E303" s="515">
        <v>6.8</v>
      </c>
      <c r="F303" s="518" t="s">
        <v>614</v>
      </c>
      <c r="G303" s="515" t="s">
        <v>3085</v>
      </c>
      <c r="H303" s="514" t="s">
        <v>1251</v>
      </c>
      <c r="I303" s="515"/>
      <c r="J303" s="515">
        <v>6</v>
      </c>
    </row>
    <row r="304" spans="1:10" ht="13.8" thickBot="1">
      <c r="A304" s="517"/>
      <c r="B304" s="518" t="s">
        <v>12691</v>
      </c>
      <c r="C304" s="533"/>
      <c r="D304" s="514" t="s">
        <v>12690</v>
      </c>
      <c r="E304" s="515">
        <v>6.8</v>
      </c>
      <c r="F304" s="518" t="s">
        <v>614</v>
      </c>
      <c r="G304" s="515" t="s">
        <v>3652</v>
      </c>
      <c r="H304" s="514" t="s">
        <v>1251</v>
      </c>
      <c r="I304" s="515"/>
      <c r="J304" s="515">
        <v>8</v>
      </c>
    </row>
    <row r="305" spans="1:10" ht="13.8" thickBot="1">
      <c r="A305" s="517"/>
      <c r="B305" s="518" t="s">
        <v>12653</v>
      </c>
      <c r="C305" s="533"/>
      <c r="D305" s="514" t="s">
        <v>12652</v>
      </c>
      <c r="E305" s="515">
        <v>6.8</v>
      </c>
      <c r="F305" s="518" t="s">
        <v>614</v>
      </c>
      <c r="G305" s="515" t="s">
        <v>3734</v>
      </c>
      <c r="H305" s="514" t="s">
        <v>1251</v>
      </c>
      <c r="I305" s="515"/>
      <c r="J305" s="515">
        <v>9</v>
      </c>
    </row>
    <row r="306" spans="1:10" ht="13.8" thickBot="1">
      <c r="A306" s="517"/>
      <c r="B306" s="518" t="s">
        <v>12209</v>
      </c>
      <c r="C306" s="533"/>
      <c r="D306" s="514" t="s">
        <v>12208</v>
      </c>
      <c r="E306" s="515">
        <v>6.8</v>
      </c>
      <c r="F306" s="518" t="s">
        <v>614</v>
      </c>
      <c r="G306" s="515" t="s">
        <v>4717</v>
      </c>
      <c r="H306" s="514" t="s">
        <v>1251</v>
      </c>
      <c r="I306" s="515"/>
      <c r="J306" s="515">
        <v>5</v>
      </c>
    </row>
    <row r="307" spans="1:10" ht="13.8" thickBot="1">
      <c r="A307" s="517"/>
      <c r="B307" s="518" t="s">
        <v>11971</v>
      </c>
      <c r="C307" s="533"/>
      <c r="D307" s="514" t="s">
        <v>11970</v>
      </c>
      <c r="E307" s="515">
        <v>6.8</v>
      </c>
      <c r="F307" s="518" t="s">
        <v>614</v>
      </c>
      <c r="G307" s="515" t="s">
        <v>5196</v>
      </c>
      <c r="H307" s="514" t="s">
        <v>1226</v>
      </c>
      <c r="I307" s="515">
        <v>1</v>
      </c>
      <c r="J307" s="515">
        <v>8</v>
      </c>
    </row>
    <row r="308" spans="1:10" ht="13.8" thickBot="1">
      <c r="A308" s="517"/>
      <c r="B308" s="518" t="s">
        <v>11969</v>
      </c>
      <c r="C308" s="533"/>
      <c r="D308" s="514" t="s">
        <v>11968</v>
      </c>
      <c r="E308" s="515">
        <v>6.8</v>
      </c>
      <c r="F308" s="518" t="s">
        <v>614</v>
      </c>
      <c r="G308" s="515" t="s">
        <v>5196</v>
      </c>
      <c r="H308" s="514" t="s">
        <v>1226</v>
      </c>
      <c r="I308" s="515">
        <v>1</v>
      </c>
      <c r="J308" s="515">
        <v>2</v>
      </c>
    </row>
    <row r="309" spans="1:10" ht="13.8" thickBot="1">
      <c r="A309" s="517"/>
      <c r="B309" s="518" t="s">
        <v>13602</v>
      </c>
      <c r="C309" s="533"/>
      <c r="D309" s="514" t="s">
        <v>13601</v>
      </c>
      <c r="E309" s="515">
        <v>6.8</v>
      </c>
      <c r="F309" s="514"/>
      <c r="G309" s="515" t="s">
        <v>2449</v>
      </c>
      <c r="H309" s="514" t="s">
        <v>1226</v>
      </c>
      <c r="I309" s="515">
        <v>3</v>
      </c>
      <c r="J309" s="515">
        <v>7</v>
      </c>
    </row>
    <row r="310" spans="1:10" ht="13.8" thickBot="1">
      <c r="A310" s="517"/>
      <c r="B310" s="518" t="s">
        <v>13531</v>
      </c>
      <c r="C310" s="533"/>
      <c r="D310" s="519" t="s">
        <v>13530</v>
      </c>
      <c r="E310" s="515">
        <v>6.8</v>
      </c>
      <c r="F310" s="518" t="s">
        <v>614</v>
      </c>
      <c r="G310" s="515" t="s">
        <v>2523</v>
      </c>
      <c r="H310" s="514" t="s">
        <v>1226</v>
      </c>
      <c r="I310" s="515">
        <v>1</v>
      </c>
      <c r="J310" s="515">
        <v>9</v>
      </c>
    </row>
    <row r="311" spans="1:10" ht="13.8" thickBot="1">
      <c r="A311" s="517"/>
      <c r="B311" s="518" t="s">
        <v>13529</v>
      </c>
      <c r="C311" s="533"/>
      <c r="D311" s="514" t="s">
        <v>2551</v>
      </c>
      <c r="E311" s="515">
        <v>6.8</v>
      </c>
      <c r="F311" s="518" t="s">
        <v>614</v>
      </c>
      <c r="G311" s="515" t="s">
        <v>2523</v>
      </c>
      <c r="H311" s="514" t="s">
        <v>1226</v>
      </c>
      <c r="I311" s="515"/>
      <c r="J311" s="515">
        <v>5</v>
      </c>
    </row>
    <row r="312" spans="1:10" ht="13.8" thickBot="1">
      <c r="A312" s="517"/>
      <c r="B312" s="518" t="s">
        <v>13197</v>
      </c>
      <c r="C312" s="533"/>
      <c r="D312" s="514" t="s">
        <v>13196</v>
      </c>
      <c r="E312" s="515">
        <v>6.8</v>
      </c>
      <c r="F312" s="518" t="s">
        <v>614</v>
      </c>
      <c r="G312" s="515" t="s">
        <v>2841</v>
      </c>
      <c r="H312" s="514" t="s">
        <v>1226</v>
      </c>
      <c r="I312" s="515"/>
      <c r="J312" s="515">
        <v>4</v>
      </c>
    </row>
    <row r="313" spans="1:10" ht="13.8" thickBot="1">
      <c r="A313" s="517"/>
      <c r="B313" s="518" t="s">
        <v>13927</v>
      </c>
      <c r="C313" s="533"/>
      <c r="D313" s="514" t="s">
        <v>13926</v>
      </c>
      <c r="E313" s="515">
        <v>6.8</v>
      </c>
      <c r="F313" s="518" t="s">
        <v>614</v>
      </c>
      <c r="G313" s="515" t="s">
        <v>2032</v>
      </c>
      <c r="H313" s="514" t="s">
        <v>1226</v>
      </c>
      <c r="I313" s="515">
        <v>2</v>
      </c>
      <c r="J313" s="515">
        <v>6</v>
      </c>
    </row>
    <row r="314" spans="1:10" ht="13.8" thickBot="1">
      <c r="A314" s="517"/>
      <c r="B314" s="518" t="s">
        <v>13925</v>
      </c>
      <c r="C314" s="533"/>
      <c r="D314" s="514" t="s">
        <v>13924</v>
      </c>
      <c r="E314" s="515">
        <v>6.8</v>
      </c>
      <c r="F314" s="518" t="s">
        <v>614</v>
      </c>
      <c r="G314" s="515" t="s">
        <v>2032</v>
      </c>
      <c r="H314" s="514" t="s">
        <v>1226</v>
      </c>
      <c r="I314" s="515"/>
      <c r="J314" s="515">
        <v>5</v>
      </c>
    </row>
    <row r="315" spans="1:10" ht="13.8" thickBot="1">
      <c r="A315" s="517"/>
      <c r="B315" s="518" t="s">
        <v>12800</v>
      </c>
      <c r="C315" s="533"/>
      <c r="D315" s="514" t="s">
        <v>12799</v>
      </c>
      <c r="E315" s="515">
        <v>6.8</v>
      </c>
      <c r="F315" s="518" t="s">
        <v>1854</v>
      </c>
      <c r="G315" s="515" t="s">
        <v>3517</v>
      </c>
      <c r="H315" s="514" t="s">
        <v>1226</v>
      </c>
      <c r="I315" s="515"/>
      <c r="J315" s="515">
        <v>5</v>
      </c>
    </row>
    <row r="316" spans="1:10" ht="13.8" thickBot="1">
      <c r="A316" s="517"/>
      <c r="B316" s="518" t="s">
        <v>12651</v>
      </c>
      <c r="C316" s="533"/>
      <c r="D316" s="514" t="s">
        <v>3782</v>
      </c>
      <c r="E316" s="515">
        <v>6.8</v>
      </c>
      <c r="F316" s="518" t="s">
        <v>614</v>
      </c>
      <c r="G316" s="515" t="s">
        <v>3734</v>
      </c>
      <c r="H316" s="514" t="s">
        <v>1226</v>
      </c>
      <c r="I316" s="515">
        <v>1</v>
      </c>
      <c r="J316" s="515">
        <v>4</v>
      </c>
    </row>
    <row r="317" spans="1:10" ht="13.8" thickBot="1">
      <c r="A317" s="517"/>
      <c r="B317" s="518" t="s">
        <v>12448</v>
      </c>
      <c r="C317" s="533"/>
      <c r="D317" s="514" t="s">
        <v>12447</v>
      </c>
      <c r="E317" s="515">
        <v>6.8</v>
      </c>
      <c r="F317" s="518" t="s">
        <v>614</v>
      </c>
      <c r="G317" s="515" t="s">
        <v>4067</v>
      </c>
      <c r="H317" s="514" t="s">
        <v>1226</v>
      </c>
      <c r="I317" s="515"/>
      <c r="J317" s="515">
        <v>5</v>
      </c>
    </row>
    <row r="318" spans="1:10" ht="13.8" thickBot="1">
      <c r="A318" s="517"/>
      <c r="B318" s="518" t="s">
        <v>13823</v>
      </c>
      <c r="C318" s="533"/>
      <c r="D318" s="514" t="s">
        <v>13822</v>
      </c>
      <c r="E318" s="515">
        <v>6.8</v>
      </c>
      <c r="F318" s="518" t="s">
        <v>614</v>
      </c>
      <c r="G318" s="515" t="s">
        <v>2152</v>
      </c>
      <c r="H318" s="514" t="s">
        <v>1226</v>
      </c>
      <c r="I318" s="515"/>
      <c r="J318" s="515">
        <v>3</v>
      </c>
    </row>
    <row r="319" spans="1:10" ht="13.8" thickBot="1">
      <c r="A319" s="517"/>
      <c r="B319" s="518" t="s">
        <v>13980</v>
      </c>
      <c r="C319" s="533"/>
      <c r="D319" s="514" t="s">
        <v>13979</v>
      </c>
      <c r="E319" s="515">
        <v>6.8</v>
      </c>
      <c r="F319" s="518" t="s">
        <v>1854</v>
      </c>
      <c r="G319" s="515" t="s">
        <v>1922</v>
      </c>
      <c r="H319" s="514" t="s">
        <v>1224</v>
      </c>
      <c r="I319" s="515">
        <v>1</v>
      </c>
      <c r="J319" s="515">
        <v>4</v>
      </c>
    </row>
    <row r="320" spans="1:10" ht="13.8" thickBot="1">
      <c r="A320" s="517"/>
      <c r="B320" s="518" t="s">
        <v>12947</v>
      </c>
      <c r="C320" s="533"/>
      <c r="D320" s="514" t="s">
        <v>1408</v>
      </c>
      <c r="E320" s="515">
        <v>6.8</v>
      </c>
      <c r="F320" s="518" t="s">
        <v>614</v>
      </c>
      <c r="G320" s="515" t="s">
        <v>3161</v>
      </c>
      <c r="H320" s="514" t="s">
        <v>1224</v>
      </c>
      <c r="I320" s="515"/>
      <c r="J320" s="515">
        <v>2</v>
      </c>
    </row>
    <row r="321" spans="1:10" ht="13.8" thickBot="1">
      <c r="A321" s="517"/>
      <c r="B321" s="518" t="s">
        <v>13708</v>
      </c>
      <c r="C321" s="533"/>
      <c r="D321" s="514" t="s">
        <v>13707</v>
      </c>
      <c r="E321" s="515">
        <v>6.75</v>
      </c>
      <c r="F321" s="518" t="s">
        <v>614</v>
      </c>
      <c r="G321" s="515" t="s">
        <v>2289</v>
      </c>
      <c r="H321" s="514" t="s">
        <v>1229</v>
      </c>
      <c r="I321" s="515">
        <v>2</v>
      </c>
      <c r="J321" s="515">
        <v>18</v>
      </c>
    </row>
    <row r="322" spans="1:10" ht="13.8" thickBot="1">
      <c r="A322" s="517"/>
      <c r="B322" s="518" t="s">
        <v>13706</v>
      </c>
      <c r="C322" s="533"/>
      <c r="D322" s="514" t="s">
        <v>13705</v>
      </c>
      <c r="E322" s="515">
        <v>6.75</v>
      </c>
      <c r="F322" s="518" t="s">
        <v>614</v>
      </c>
      <c r="G322" s="515" t="s">
        <v>2289</v>
      </c>
      <c r="H322" s="514" t="s">
        <v>1229</v>
      </c>
      <c r="I322" s="515"/>
      <c r="J322" s="515">
        <v>8</v>
      </c>
    </row>
    <row r="323" spans="1:10" ht="13.8" thickBot="1">
      <c r="A323" s="517"/>
      <c r="B323" s="518" t="s">
        <v>12033</v>
      </c>
      <c r="C323" s="533"/>
      <c r="D323" s="514" t="s">
        <v>5062</v>
      </c>
      <c r="E323" s="515">
        <v>6.75</v>
      </c>
      <c r="F323" s="518" t="s">
        <v>614</v>
      </c>
      <c r="G323" s="515" t="s">
        <v>5059</v>
      </c>
      <c r="H323" s="514" t="s">
        <v>1251</v>
      </c>
      <c r="I323" s="515">
        <v>1</v>
      </c>
      <c r="J323" s="515">
        <v>10</v>
      </c>
    </row>
    <row r="324" spans="1:10" ht="13.8" thickBot="1">
      <c r="A324" s="517"/>
      <c r="B324" s="518" t="s">
        <v>13195</v>
      </c>
      <c r="C324" s="533"/>
      <c r="D324" s="514" t="s">
        <v>13194</v>
      </c>
      <c r="E324" s="515">
        <v>6.75</v>
      </c>
      <c r="F324" s="518" t="s">
        <v>614</v>
      </c>
      <c r="G324" s="515" t="s">
        <v>2841</v>
      </c>
      <c r="H324" s="514" t="s">
        <v>1251</v>
      </c>
      <c r="I324" s="515"/>
      <c r="J324" s="515">
        <v>8</v>
      </c>
    </row>
    <row r="325" spans="1:10" ht="13.8" thickBot="1">
      <c r="A325" s="517"/>
      <c r="B325" s="518" t="s">
        <v>13147</v>
      </c>
      <c r="C325" s="533"/>
      <c r="D325" s="514" t="s">
        <v>13146</v>
      </c>
      <c r="E325" s="515">
        <v>6.75</v>
      </c>
      <c r="F325" s="518" t="s">
        <v>614</v>
      </c>
      <c r="G325" s="515" t="s">
        <v>2957</v>
      </c>
      <c r="H325" s="514" t="s">
        <v>1251</v>
      </c>
      <c r="I325" s="515">
        <v>1</v>
      </c>
      <c r="J325" s="515">
        <v>9</v>
      </c>
    </row>
    <row r="326" spans="1:10" ht="13.8" thickBot="1">
      <c r="A326" s="517"/>
      <c r="B326" s="518" t="s">
        <v>13145</v>
      </c>
      <c r="C326" s="533"/>
      <c r="D326" s="514" t="s">
        <v>13144</v>
      </c>
      <c r="E326" s="515">
        <v>6.75</v>
      </c>
      <c r="F326" s="518" t="s">
        <v>614</v>
      </c>
      <c r="G326" s="515" t="s">
        <v>2957</v>
      </c>
      <c r="H326" s="514" t="s">
        <v>1251</v>
      </c>
      <c r="I326" s="515"/>
      <c r="J326" s="515">
        <v>8</v>
      </c>
    </row>
    <row r="327" spans="1:10" ht="13.8" thickBot="1">
      <c r="A327" s="517"/>
      <c r="B327" s="518" t="s">
        <v>12853</v>
      </c>
      <c r="C327" s="533"/>
      <c r="D327" s="514" t="s">
        <v>12852</v>
      </c>
      <c r="E327" s="515">
        <v>6.75</v>
      </c>
      <c r="F327" s="518" t="s">
        <v>614</v>
      </c>
      <c r="G327" s="515" t="s">
        <v>3452</v>
      </c>
      <c r="H327" s="514" t="s">
        <v>1251</v>
      </c>
      <c r="I327" s="515">
        <v>1</v>
      </c>
      <c r="J327" s="515">
        <v>5</v>
      </c>
    </row>
    <row r="328" spans="1:10" ht="13.8" thickBot="1">
      <c r="A328" s="517"/>
      <c r="B328" s="518" t="s">
        <v>12798</v>
      </c>
      <c r="C328" s="533"/>
      <c r="D328" s="514" t="s">
        <v>1456</v>
      </c>
      <c r="E328" s="515">
        <v>6.75</v>
      </c>
      <c r="F328" s="518" t="s">
        <v>614</v>
      </c>
      <c r="G328" s="515" t="s">
        <v>3517</v>
      </c>
      <c r="H328" s="514" t="s">
        <v>1251</v>
      </c>
      <c r="I328" s="515"/>
      <c r="J328" s="515">
        <v>8</v>
      </c>
    </row>
    <row r="329" spans="1:10" ht="13.8" thickBot="1">
      <c r="A329" s="517"/>
      <c r="B329" s="518" t="s">
        <v>12594</v>
      </c>
      <c r="C329" s="533"/>
      <c r="D329" s="514" t="s">
        <v>12593</v>
      </c>
      <c r="E329" s="515">
        <v>6.75</v>
      </c>
      <c r="F329" s="518" t="s">
        <v>614</v>
      </c>
      <c r="G329" s="515" t="s">
        <v>3807</v>
      </c>
      <c r="H329" s="514" t="s">
        <v>1251</v>
      </c>
      <c r="I329" s="515">
        <v>2</v>
      </c>
      <c r="J329" s="515">
        <v>7</v>
      </c>
    </row>
    <row r="330" spans="1:10" ht="13.8" thickBot="1">
      <c r="A330" s="517"/>
      <c r="B330" s="518" t="s">
        <v>13704</v>
      </c>
      <c r="C330" s="533"/>
      <c r="D330" s="514" t="s">
        <v>13703</v>
      </c>
      <c r="E330" s="515">
        <v>6.75</v>
      </c>
      <c r="F330" s="518" t="s">
        <v>614</v>
      </c>
      <c r="G330" s="515" t="s">
        <v>2289</v>
      </c>
      <c r="H330" s="514" t="s">
        <v>1841</v>
      </c>
      <c r="I330" s="515"/>
      <c r="J330" s="515">
        <v>12</v>
      </c>
    </row>
    <row r="331" spans="1:10" ht="13.8" thickBot="1">
      <c r="A331" s="517"/>
      <c r="B331" s="518" t="s">
        <v>13528</v>
      </c>
      <c r="C331" s="533"/>
      <c r="D331" s="514" t="s">
        <v>13527</v>
      </c>
      <c r="E331" s="515">
        <v>6.75</v>
      </c>
      <c r="F331" s="518" t="s">
        <v>13526</v>
      </c>
      <c r="G331" s="515" t="s">
        <v>2523</v>
      </c>
      <c r="H331" s="514" t="s">
        <v>1841</v>
      </c>
      <c r="I331" s="515">
        <v>1</v>
      </c>
      <c r="J331" s="515">
        <v>5</v>
      </c>
    </row>
    <row r="332" spans="1:10" ht="13.8" thickBot="1">
      <c r="A332" s="517"/>
      <c r="B332" s="518" t="s">
        <v>13923</v>
      </c>
      <c r="C332" s="533"/>
      <c r="D332" s="514" t="s">
        <v>13922</v>
      </c>
      <c r="E332" s="515">
        <v>6.75</v>
      </c>
      <c r="F332" s="518" t="s">
        <v>614</v>
      </c>
      <c r="G332" s="515" t="s">
        <v>2032</v>
      </c>
      <c r="H332" s="514" t="s">
        <v>2374</v>
      </c>
      <c r="I332" s="522">
        <v>1</v>
      </c>
      <c r="J332" s="522">
        <v>10</v>
      </c>
    </row>
    <row r="333" spans="1:10" ht="13.8" thickBot="1">
      <c r="A333" s="517"/>
      <c r="B333" s="518" t="s">
        <v>14253</v>
      </c>
      <c r="C333" s="533"/>
      <c r="D333" s="514" t="s">
        <v>14252</v>
      </c>
      <c r="E333" s="515">
        <v>6.75</v>
      </c>
      <c r="F333" s="518" t="s">
        <v>614</v>
      </c>
      <c r="G333" s="515" t="s">
        <v>1793</v>
      </c>
      <c r="H333" s="514" t="s">
        <v>1226</v>
      </c>
      <c r="I333" s="515"/>
      <c r="J333" s="515">
        <v>11</v>
      </c>
    </row>
    <row r="334" spans="1:10" ht="13.8" thickBot="1">
      <c r="A334" s="517"/>
      <c r="B334" s="518" t="s">
        <v>14251</v>
      </c>
      <c r="C334" s="533"/>
      <c r="D334" s="514" t="s">
        <v>14250</v>
      </c>
      <c r="E334" s="515">
        <v>6.75</v>
      </c>
      <c r="F334" s="518" t="s">
        <v>614</v>
      </c>
      <c r="G334" s="515" t="s">
        <v>1793</v>
      </c>
      <c r="H334" s="514" t="s">
        <v>1226</v>
      </c>
      <c r="I334" s="515"/>
      <c r="J334" s="515">
        <v>7</v>
      </c>
    </row>
    <row r="335" spans="1:10" ht="13.8" thickBot="1">
      <c r="A335" s="517"/>
      <c r="B335" s="518" t="s">
        <v>14249</v>
      </c>
      <c r="C335" s="533"/>
      <c r="D335" s="519" t="s">
        <v>14248</v>
      </c>
      <c r="E335" s="515">
        <v>6.75</v>
      </c>
      <c r="F335" s="518" t="s">
        <v>1854</v>
      </c>
      <c r="G335" s="515" t="s">
        <v>1793</v>
      </c>
      <c r="H335" s="514" t="s">
        <v>1226</v>
      </c>
      <c r="I335" s="515">
        <v>1</v>
      </c>
      <c r="J335" s="515">
        <v>6</v>
      </c>
    </row>
    <row r="336" spans="1:10" ht="13.8" thickBot="1">
      <c r="A336" s="517"/>
      <c r="B336" s="518" t="s">
        <v>14247</v>
      </c>
      <c r="C336" s="533"/>
      <c r="D336" s="514" t="s">
        <v>14246</v>
      </c>
      <c r="E336" s="515">
        <v>6.75</v>
      </c>
      <c r="F336" s="518" t="s">
        <v>614</v>
      </c>
      <c r="G336" s="515" t="s">
        <v>1793</v>
      </c>
      <c r="H336" s="514" t="s">
        <v>1226</v>
      </c>
      <c r="I336" s="515"/>
      <c r="J336" s="515">
        <v>4</v>
      </c>
    </row>
    <row r="337" spans="1:10" ht="13.8" thickBot="1">
      <c r="A337" s="517"/>
      <c r="B337" s="518" t="s">
        <v>12038</v>
      </c>
      <c r="C337" s="533"/>
      <c r="D337" s="514" t="s">
        <v>5044</v>
      </c>
      <c r="E337" s="515">
        <v>6.75</v>
      </c>
      <c r="F337" s="518" t="s">
        <v>614</v>
      </c>
      <c r="G337" s="515" t="s">
        <v>5042</v>
      </c>
      <c r="H337" s="514" t="s">
        <v>1226</v>
      </c>
      <c r="I337" s="515"/>
      <c r="J337" s="515">
        <v>7</v>
      </c>
    </row>
    <row r="338" spans="1:10" ht="13.8" thickBot="1">
      <c r="A338" s="517"/>
      <c r="B338" s="518" t="s">
        <v>11991</v>
      </c>
      <c r="C338" s="533"/>
      <c r="D338" s="514" t="s">
        <v>11990</v>
      </c>
      <c r="E338" s="515">
        <v>6.75</v>
      </c>
      <c r="F338" s="518" t="s">
        <v>614</v>
      </c>
      <c r="G338" s="515" t="s">
        <v>5180</v>
      </c>
      <c r="H338" s="514" t="s">
        <v>1226</v>
      </c>
      <c r="I338" s="515">
        <v>1</v>
      </c>
      <c r="J338" s="515">
        <v>6</v>
      </c>
    </row>
    <row r="339" spans="1:10" ht="13.8" thickBot="1">
      <c r="A339" s="517"/>
      <c r="B339" s="518" t="s">
        <v>11927</v>
      </c>
      <c r="C339" s="533"/>
      <c r="D339" s="514" t="s">
        <v>11926</v>
      </c>
      <c r="E339" s="515">
        <v>6.75</v>
      </c>
      <c r="F339" s="518" t="s">
        <v>614</v>
      </c>
      <c r="G339" s="515" t="s">
        <v>5226</v>
      </c>
      <c r="H339" s="514" t="s">
        <v>1226</v>
      </c>
      <c r="I339" s="515"/>
      <c r="J339" s="515">
        <v>4</v>
      </c>
    </row>
    <row r="340" spans="1:10" ht="13.8" thickBot="1">
      <c r="A340" s="517"/>
      <c r="B340" s="518" t="s">
        <v>11908</v>
      </c>
      <c r="C340" s="533"/>
      <c r="D340" s="514" t="s">
        <v>11907</v>
      </c>
      <c r="E340" s="515">
        <v>6.75</v>
      </c>
      <c r="F340" s="518" t="s">
        <v>614</v>
      </c>
      <c r="G340" s="515" t="s">
        <v>5245</v>
      </c>
      <c r="H340" s="514" t="s">
        <v>1226</v>
      </c>
      <c r="I340" s="515"/>
      <c r="J340" s="515">
        <v>3</v>
      </c>
    </row>
    <row r="341" spans="1:10" ht="13.8" thickBot="1">
      <c r="A341" s="517"/>
      <c r="B341" s="518" t="s">
        <v>13702</v>
      </c>
      <c r="C341" s="533"/>
      <c r="D341" s="514" t="s">
        <v>13701</v>
      </c>
      <c r="E341" s="515">
        <v>6.75</v>
      </c>
      <c r="F341" s="518" t="s">
        <v>614</v>
      </c>
      <c r="G341" s="515" t="s">
        <v>2289</v>
      </c>
      <c r="H341" s="514" t="s">
        <v>1226</v>
      </c>
      <c r="I341" s="515">
        <v>1</v>
      </c>
      <c r="J341" s="515">
        <v>6</v>
      </c>
    </row>
    <row r="342" spans="1:10" ht="13.8" thickBot="1">
      <c r="A342" s="517"/>
      <c r="B342" s="518" t="s">
        <v>13525</v>
      </c>
      <c r="C342" s="533"/>
      <c r="D342" s="514" t="s">
        <v>13524</v>
      </c>
      <c r="E342" s="515">
        <v>6.75</v>
      </c>
      <c r="F342" s="518" t="s">
        <v>614</v>
      </c>
      <c r="G342" s="515" t="s">
        <v>2523</v>
      </c>
      <c r="H342" s="514" t="s">
        <v>1226</v>
      </c>
      <c r="I342" s="515">
        <v>1</v>
      </c>
      <c r="J342" s="515">
        <v>6</v>
      </c>
    </row>
    <row r="343" spans="1:10" ht="13.8" thickBot="1">
      <c r="A343" s="517"/>
      <c r="B343" s="518" t="s">
        <v>13523</v>
      </c>
      <c r="C343" s="533"/>
      <c r="D343" s="514" t="s">
        <v>13522</v>
      </c>
      <c r="E343" s="515">
        <v>6.75</v>
      </c>
      <c r="F343" s="518" t="s">
        <v>614</v>
      </c>
      <c r="G343" s="515" t="s">
        <v>2523</v>
      </c>
      <c r="H343" s="514" t="s">
        <v>1226</v>
      </c>
      <c r="I343" s="515"/>
      <c r="J343" s="515">
        <v>6</v>
      </c>
    </row>
    <row r="344" spans="1:10" ht="13.8" thickBot="1">
      <c r="A344" s="517"/>
      <c r="B344" s="518" t="s">
        <v>13521</v>
      </c>
      <c r="C344" s="533"/>
      <c r="D344" s="514" t="s">
        <v>13520</v>
      </c>
      <c r="E344" s="515">
        <v>6.75</v>
      </c>
      <c r="F344" s="518" t="s">
        <v>614</v>
      </c>
      <c r="G344" s="515" t="s">
        <v>2523</v>
      </c>
      <c r="H344" s="514" t="s">
        <v>1226</v>
      </c>
      <c r="I344" s="515"/>
      <c r="J344" s="515">
        <v>4</v>
      </c>
    </row>
    <row r="345" spans="1:10" ht="13.8" thickBot="1">
      <c r="A345" s="517"/>
      <c r="B345" s="518" t="s">
        <v>13519</v>
      </c>
      <c r="C345" s="533"/>
      <c r="D345" s="514" t="s">
        <v>2571</v>
      </c>
      <c r="E345" s="515">
        <v>6.75</v>
      </c>
      <c r="F345" s="518" t="s">
        <v>614</v>
      </c>
      <c r="G345" s="515" t="s">
        <v>2523</v>
      </c>
      <c r="H345" s="514" t="s">
        <v>1226</v>
      </c>
      <c r="I345" s="515"/>
      <c r="J345" s="515">
        <v>3</v>
      </c>
    </row>
    <row r="346" spans="1:10" ht="13.8" thickBot="1">
      <c r="A346" s="517"/>
      <c r="B346" s="518" t="s">
        <v>13171</v>
      </c>
      <c r="C346" s="533"/>
      <c r="D346" s="514" t="s">
        <v>13170</v>
      </c>
      <c r="E346" s="515">
        <v>6.75</v>
      </c>
      <c r="F346" s="518" t="s">
        <v>614</v>
      </c>
      <c r="G346" s="515" t="s">
        <v>2943</v>
      </c>
      <c r="H346" s="514" t="s">
        <v>1226</v>
      </c>
      <c r="I346" s="515">
        <v>1</v>
      </c>
      <c r="J346" s="515">
        <v>5</v>
      </c>
    </row>
    <row r="347" spans="1:10" ht="13.8" thickBot="1">
      <c r="A347" s="517"/>
      <c r="B347" s="518" t="s">
        <v>13143</v>
      </c>
      <c r="C347" s="533"/>
      <c r="D347" s="514" t="s">
        <v>13142</v>
      </c>
      <c r="E347" s="515">
        <v>6.75</v>
      </c>
      <c r="F347" s="518" t="s">
        <v>614</v>
      </c>
      <c r="G347" s="515" t="s">
        <v>2957</v>
      </c>
      <c r="H347" s="514" t="s">
        <v>1226</v>
      </c>
      <c r="I347" s="522"/>
      <c r="J347" s="522">
        <v>5</v>
      </c>
    </row>
    <row r="348" spans="1:10" ht="13.8" thickBot="1">
      <c r="A348" s="517"/>
      <c r="B348" s="518" t="s">
        <v>12875</v>
      </c>
      <c r="C348" s="533"/>
      <c r="D348" s="514" t="s">
        <v>12874</v>
      </c>
      <c r="E348" s="515">
        <v>6.75</v>
      </c>
      <c r="F348" s="518" t="s">
        <v>614</v>
      </c>
      <c r="G348" s="515" t="s">
        <v>3414</v>
      </c>
      <c r="H348" s="514" t="s">
        <v>1226</v>
      </c>
      <c r="I348" s="515"/>
      <c r="J348" s="515">
        <v>3</v>
      </c>
    </row>
    <row r="349" spans="1:10" ht="13.8" thickBot="1">
      <c r="A349" s="517"/>
      <c r="B349" s="518" t="s">
        <v>12797</v>
      </c>
      <c r="C349" s="533"/>
      <c r="D349" s="514" t="s">
        <v>12796</v>
      </c>
      <c r="E349" s="515">
        <v>6.75</v>
      </c>
      <c r="F349" s="518" t="s">
        <v>614</v>
      </c>
      <c r="G349" s="515" t="s">
        <v>3517</v>
      </c>
      <c r="H349" s="514" t="s">
        <v>1226</v>
      </c>
      <c r="I349" s="515"/>
      <c r="J349" s="515">
        <v>5</v>
      </c>
    </row>
    <row r="350" spans="1:10" ht="13.8" thickBot="1">
      <c r="A350" s="517"/>
      <c r="B350" s="518" t="s">
        <v>12538</v>
      </c>
      <c r="C350" s="533"/>
      <c r="D350" s="514" t="s">
        <v>12537</v>
      </c>
      <c r="E350" s="515">
        <v>6.75</v>
      </c>
      <c r="F350" s="518" t="s">
        <v>614</v>
      </c>
      <c r="G350" s="515" t="s">
        <v>3856</v>
      </c>
      <c r="H350" s="514" t="s">
        <v>1226</v>
      </c>
      <c r="I350" s="515"/>
      <c r="J350" s="515">
        <v>6</v>
      </c>
    </row>
    <row r="351" spans="1:10" ht="13.8" thickBot="1">
      <c r="A351" s="517"/>
      <c r="B351" s="518" t="s">
        <v>12536</v>
      </c>
      <c r="C351" s="533"/>
      <c r="D351" s="514" t="s">
        <v>12535</v>
      </c>
      <c r="E351" s="515">
        <v>6.75</v>
      </c>
      <c r="F351" s="518" t="s">
        <v>614</v>
      </c>
      <c r="G351" s="515" t="s">
        <v>3856</v>
      </c>
      <c r="H351" s="514" t="s">
        <v>1226</v>
      </c>
      <c r="I351" s="515"/>
      <c r="J351" s="515">
        <v>5</v>
      </c>
    </row>
    <row r="352" spans="1:10" ht="13.8" thickBot="1">
      <c r="A352" s="517"/>
      <c r="B352" s="518" t="s">
        <v>12534</v>
      </c>
      <c r="C352" s="533"/>
      <c r="D352" s="514" t="s">
        <v>12533</v>
      </c>
      <c r="E352" s="515">
        <v>6.75</v>
      </c>
      <c r="F352" s="518" t="s">
        <v>614</v>
      </c>
      <c r="G352" s="515" t="s">
        <v>3856</v>
      </c>
      <c r="H352" s="514" t="s">
        <v>1226</v>
      </c>
      <c r="I352" s="515"/>
      <c r="J352" s="515">
        <v>5</v>
      </c>
    </row>
    <row r="353" spans="1:10" ht="13.8" thickBot="1">
      <c r="A353" s="517"/>
      <c r="B353" s="518" t="s">
        <v>12349</v>
      </c>
      <c r="C353" s="533"/>
      <c r="D353" s="514" t="s">
        <v>12348</v>
      </c>
      <c r="E353" s="515">
        <v>6.75</v>
      </c>
      <c r="F353" s="518" t="s">
        <v>614</v>
      </c>
      <c r="G353" s="515" t="s">
        <v>4214</v>
      </c>
      <c r="H353" s="514" t="s">
        <v>1226</v>
      </c>
      <c r="I353" s="515"/>
      <c r="J353" s="515">
        <v>3</v>
      </c>
    </row>
    <row r="354" spans="1:10" ht="13.8" thickBot="1">
      <c r="A354" s="517"/>
      <c r="B354" s="518" t="s">
        <v>12248</v>
      </c>
      <c r="C354" s="533"/>
      <c r="D354" s="514" t="s">
        <v>12247</v>
      </c>
      <c r="E354" s="515">
        <v>6.75</v>
      </c>
      <c r="F354" s="518" t="s">
        <v>614</v>
      </c>
      <c r="G354" s="515" t="s">
        <v>4509</v>
      </c>
      <c r="H354" s="514" t="s">
        <v>1226</v>
      </c>
      <c r="I354" s="515">
        <v>1</v>
      </c>
      <c r="J354" s="515">
        <v>4</v>
      </c>
    </row>
    <row r="355" spans="1:10" ht="13.8" thickBot="1">
      <c r="A355" s="517"/>
      <c r="B355" s="518" t="s">
        <v>12139</v>
      </c>
      <c r="C355" s="533"/>
      <c r="D355" s="514" t="s">
        <v>12138</v>
      </c>
      <c r="E355" s="515">
        <v>6.75</v>
      </c>
      <c r="F355" s="518" t="s">
        <v>614</v>
      </c>
      <c r="G355" s="515" t="s">
        <v>4970</v>
      </c>
      <c r="H355" s="514" t="s">
        <v>1224</v>
      </c>
      <c r="I355" s="515"/>
      <c r="J355" s="515">
        <v>4</v>
      </c>
    </row>
    <row r="356" spans="1:10" ht="13.8" thickBot="1">
      <c r="A356" s="517"/>
      <c r="B356" s="518" t="s">
        <v>13700</v>
      </c>
      <c r="C356" s="533"/>
      <c r="D356" s="514" t="s">
        <v>1732</v>
      </c>
      <c r="E356" s="515">
        <v>6.75</v>
      </c>
      <c r="F356" s="518" t="s">
        <v>614</v>
      </c>
      <c r="G356" s="515" t="s">
        <v>2289</v>
      </c>
      <c r="H356" s="514" t="s">
        <v>1224</v>
      </c>
      <c r="I356" s="515">
        <v>1</v>
      </c>
      <c r="J356" s="515">
        <v>5</v>
      </c>
    </row>
    <row r="357" spans="1:10" ht="13.8" thickBot="1">
      <c r="A357" s="517"/>
      <c r="B357" s="518" t="s">
        <v>13699</v>
      </c>
      <c r="C357" s="533"/>
      <c r="D357" s="514" t="s">
        <v>13698</v>
      </c>
      <c r="E357" s="515">
        <v>6.75</v>
      </c>
      <c r="F357" s="518" t="s">
        <v>614</v>
      </c>
      <c r="G357" s="515" t="s">
        <v>2289</v>
      </c>
      <c r="H357" s="514" t="s">
        <v>1224</v>
      </c>
      <c r="I357" s="515">
        <v>1</v>
      </c>
      <c r="J357" s="515">
        <v>3</v>
      </c>
    </row>
    <row r="358" spans="1:10" ht="13.8" thickBot="1">
      <c r="A358" s="517"/>
      <c r="B358" s="518" t="s">
        <v>12851</v>
      </c>
      <c r="C358" s="533"/>
      <c r="D358" s="514" t="s">
        <v>12850</v>
      </c>
      <c r="E358" s="515">
        <v>6.75</v>
      </c>
      <c r="F358" s="518" t="s">
        <v>614</v>
      </c>
      <c r="G358" s="515" t="s">
        <v>3452</v>
      </c>
      <c r="H358" s="514" t="s">
        <v>1224</v>
      </c>
      <c r="I358" s="515"/>
      <c r="J358" s="515">
        <v>2</v>
      </c>
    </row>
    <row r="359" spans="1:10" ht="13.8" thickBot="1">
      <c r="A359" s="517"/>
      <c r="B359" s="518" t="s">
        <v>12795</v>
      </c>
      <c r="C359" s="533"/>
      <c r="D359" s="514" t="s">
        <v>12794</v>
      </c>
      <c r="E359" s="515">
        <v>6.75</v>
      </c>
      <c r="F359" s="518" t="s">
        <v>614</v>
      </c>
      <c r="G359" s="515" t="s">
        <v>3517</v>
      </c>
      <c r="H359" s="514" t="s">
        <v>1224</v>
      </c>
      <c r="I359" s="515">
        <v>1</v>
      </c>
      <c r="J359" s="515">
        <v>5</v>
      </c>
    </row>
    <row r="360" spans="1:10" ht="13.8" thickBot="1">
      <c r="A360" s="517"/>
      <c r="B360" s="518" t="s">
        <v>13838</v>
      </c>
      <c r="C360" s="533"/>
      <c r="D360" s="519" t="s">
        <v>13837</v>
      </c>
      <c r="E360" s="515">
        <v>6.75</v>
      </c>
      <c r="F360" s="518" t="s">
        <v>1854</v>
      </c>
      <c r="G360" s="515" t="s">
        <v>2087</v>
      </c>
      <c r="H360" s="514" t="s">
        <v>1224</v>
      </c>
      <c r="I360" s="515">
        <v>3</v>
      </c>
      <c r="J360" s="515">
        <v>5</v>
      </c>
    </row>
    <row r="361" spans="1:10" ht="13.8" thickBot="1">
      <c r="A361" s="517"/>
      <c r="B361" s="518" t="s">
        <v>11925</v>
      </c>
      <c r="C361" s="533"/>
      <c r="D361" s="514" t="s">
        <v>11924</v>
      </c>
      <c r="E361" s="515">
        <v>6.75</v>
      </c>
      <c r="F361" s="518" t="s">
        <v>614</v>
      </c>
      <c r="G361" s="515" t="s">
        <v>5226</v>
      </c>
      <c r="H361" s="514" t="s">
        <v>1220</v>
      </c>
      <c r="I361" s="515">
        <v>2</v>
      </c>
      <c r="J361" s="515">
        <v>8</v>
      </c>
    </row>
    <row r="362" spans="1:10" ht="13.8" thickBot="1">
      <c r="A362" s="517"/>
      <c r="B362" s="518" t="s">
        <v>13697</v>
      </c>
      <c r="C362" s="533"/>
      <c r="D362" s="519" t="s">
        <v>13696</v>
      </c>
      <c r="E362" s="515">
        <v>6.75</v>
      </c>
      <c r="F362" s="518" t="s">
        <v>1854</v>
      </c>
      <c r="G362" s="515" t="s">
        <v>2289</v>
      </c>
      <c r="H362" s="514" t="s">
        <v>1220</v>
      </c>
      <c r="I362" s="515">
        <v>1</v>
      </c>
      <c r="J362" s="515">
        <v>4</v>
      </c>
    </row>
    <row r="363" spans="1:10" ht="13.8" thickBot="1">
      <c r="A363" s="517"/>
      <c r="B363" s="518" t="s">
        <v>12472</v>
      </c>
      <c r="C363" s="533"/>
      <c r="D363" s="514" t="s">
        <v>12471</v>
      </c>
      <c r="E363" s="515">
        <v>6.75</v>
      </c>
      <c r="F363" s="518" t="s">
        <v>614</v>
      </c>
      <c r="G363" s="515" t="s">
        <v>3996</v>
      </c>
      <c r="H363" s="514" t="s">
        <v>1220</v>
      </c>
      <c r="I363" s="515"/>
      <c r="J363" s="515">
        <v>2</v>
      </c>
    </row>
    <row r="364" spans="1:10" ht="13.8" thickBot="1">
      <c r="A364" s="517"/>
      <c r="B364" s="518" t="s">
        <v>14245</v>
      </c>
      <c r="C364" s="533"/>
      <c r="D364" s="520" t="s">
        <v>14244</v>
      </c>
      <c r="E364" s="521">
        <v>6.75</v>
      </c>
      <c r="F364" s="518" t="s">
        <v>1854</v>
      </c>
      <c r="G364" s="515" t="s">
        <v>1793</v>
      </c>
      <c r="H364" s="514"/>
      <c r="I364" s="521"/>
      <c r="J364" s="521"/>
    </row>
    <row r="365" spans="1:10" ht="13.8" thickBot="1">
      <c r="A365" s="517"/>
      <c r="B365" s="518" t="s">
        <v>12186</v>
      </c>
      <c r="C365" s="533"/>
      <c r="D365" s="514" t="s">
        <v>12185</v>
      </c>
      <c r="E365" s="515">
        <v>6.75</v>
      </c>
      <c r="F365" s="518" t="s">
        <v>614</v>
      </c>
      <c r="G365" s="515" t="s">
        <v>4822</v>
      </c>
      <c r="H365" s="514"/>
      <c r="I365" s="515"/>
      <c r="J365" s="515">
        <v>2</v>
      </c>
    </row>
    <row r="366" spans="1:10" ht="13.8" thickBot="1">
      <c r="A366" s="517"/>
      <c r="B366" s="518" t="s">
        <v>12184</v>
      </c>
      <c r="C366" s="533"/>
      <c r="D366" s="514" t="s">
        <v>12183</v>
      </c>
      <c r="E366" s="515">
        <v>6.75</v>
      </c>
      <c r="F366" s="518" t="s">
        <v>614</v>
      </c>
      <c r="G366" s="515" t="s">
        <v>4822</v>
      </c>
      <c r="H366" s="514"/>
      <c r="I366" s="515"/>
      <c r="J366" s="515">
        <v>1</v>
      </c>
    </row>
    <row r="367" spans="1:10" ht="13.8" thickBot="1">
      <c r="A367" s="517"/>
      <c r="B367" s="518" t="s">
        <v>12032</v>
      </c>
      <c r="C367" s="533"/>
      <c r="D367" s="514" t="s">
        <v>12031</v>
      </c>
      <c r="E367" s="515">
        <v>6.75</v>
      </c>
      <c r="F367" s="518" t="s">
        <v>614</v>
      </c>
      <c r="G367" s="515" t="s">
        <v>5059</v>
      </c>
      <c r="H367" s="514"/>
      <c r="I367" s="515"/>
      <c r="J367" s="515">
        <v>1</v>
      </c>
    </row>
    <row r="368" spans="1:10" ht="13.8" thickBot="1">
      <c r="A368" s="517"/>
      <c r="B368" s="518" t="s">
        <v>13695</v>
      </c>
      <c r="C368" s="533"/>
      <c r="D368" s="514" t="s">
        <v>1727</v>
      </c>
      <c r="E368" s="515">
        <v>6.75</v>
      </c>
      <c r="F368" s="518" t="s">
        <v>1854</v>
      </c>
      <c r="G368" s="515" t="s">
        <v>2289</v>
      </c>
      <c r="H368" s="514"/>
      <c r="I368" s="522"/>
      <c r="J368" s="522">
        <v>6</v>
      </c>
    </row>
    <row r="369" spans="1:10" ht="13.8" thickBot="1">
      <c r="A369" s="517"/>
      <c r="B369" s="518" t="s">
        <v>11876</v>
      </c>
      <c r="C369" s="533"/>
      <c r="D369" s="514" t="s">
        <v>11875</v>
      </c>
      <c r="E369" s="515">
        <v>6.75</v>
      </c>
      <c r="F369" s="518" t="s">
        <v>1854</v>
      </c>
      <c r="G369" s="515" t="s">
        <v>5286</v>
      </c>
      <c r="H369" s="514"/>
      <c r="I369" s="515">
        <v>1</v>
      </c>
      <c r="J369" s="515">
        <v>2</v>
      </c>
    </row>
    <row r="370" spans="1:10" ht="13.8" thickBot="1">
      <c r="A370" s="517"/>
      <c r="B370" s="518" t="s">
        <v>11837</v>
      </c>
      <c r="C370" s="533"/>
      <c r="D370" s="514" t="s">
        <v>11836</v>
      </c>
      <c r="E370" s="515">
        <v>6.75</v>
      </c>
      <c r="F370" s="518" t="s">
        <v>614</v>
      </c>
      <c r="G370" s="515" t="s">
        <v>5319</v>
      </c>
      <c r="H370" s="514"/>
      <c r="I370" s="515">
        <v>1</v>
      </c>
      <c r="J370" s="515">
        <v>4</v>
      </c>
    </row>
    <row r="371" spans="1:10" ht="13.8" thickBot="1">
      <c r="A371" s="517"/>
      <c r="B371" s="518" t="s">
        <v>13518</v>
      </c>
      <c r="C371" s="533"/>
      <c r="D371" s="514" t="s">
        <v>13517</v>
      </c>
      <c r="E371" s="515">
        <v>6.75</v>
      </c>
      <c r="F371" s="518" t="s">
        <v>13516</v>
      </c>
      <c r="G371" s="515" t="s">
        <v>2523</v>
      </c>
      <c r="H371" s="514"/>
      <c r="I371" s="522"/>
      <c r="J371" s="522">
        <v>5</v>
      </c>
    </row>
    <row r="372" spans="1:10" ht="13.8" thickBot="1">
      <c r="A372" s="517"/>
      <c r="B372" s="518" t="s">
        <v>13515</v>
      </c>
      <c r="C372" s="533"/>
      <c r="D372" s="514" t="s">
        <v>13514</v>
      </c>
      <c r="E372" s="515">
        <v>6.75</v>
      </c>
      <c r="F372" s="518" t="s">
        <v>614</v>
      </c>
      <c r="G372" s="515" t="s">
        <v>2523</v>
      </c>
      <c r="H372" s="514"/>
      <c r="I372" s="515"/>
      <c r="J372" s="515">
        <v>1</v>
      </c>
    </row>
    <row r="373" spans="1:10" ht="13.8" thickBot="1">
      <c r="A373" s="517"/>
      <c r="B373" s="518" t="s">
        <v>13513</v>
      </c>
      <c r="C373" s="533"/>
      <c r="D373" s="514" t="s">
        <v>13512</v>
      </c>
      <c r="E373" s="515">
        <v>6.75</v>
      </c>
      <c r="F373" s="514"/>
      <c r="G373" s="515" t="s">
        <v>2523</v>
      </c>
      <c r="H373" s="514"/>
      <c r="I373" s="515"/>
      <c r="J373" s="515">
        <v>1</v>
      </c>
    </row>
    <row r="374" spans="1:10" ht="13.8" thickBot="1">
      <c r="A374" s="517"/>
      <c r="B374" s="518" t="s">
        <v>13511</v>
      </c>
      <c r="C374" s="533"/>
      <c r="D374" s="514" t="s">
        <v>2534</v>
      </c>
      <c r="E374" s="515">
        <v>6.75</v>
      </c>
      <c r="F374" s="514"/>
      <c r="G374" s="515" t="s">
        <v>2523</v>
      </c>
      <c r="H374" s="514"/>
      <c r="I374" s="522"/>
      <c r="J374" s="522"/>
    </row>
    <row r="375" spans="1:10" ht="13.8" thickBot="1">
      <c r="A375" s="517"/>
      <c r="B375" s="518" t="s">
        <v>11794</v>
      </c>
      <c r="C375" s="533"/>
      <c r="D375" s="514" t="s">
        <v>11533</v>
      </c>
      <c r="E375" s="515">
        <v>6.75</v>
      </c>
      <c r="F375" s="514"/>
      <c r="G375" s="515" t="s">
        <v>11525</v>
      </c>
      <c r="H375" s="514"/>
      <c r="I375" s="515"/>
      <c r="J375" s="515"/>
    </row>
    <row r="376" spans="1:10" ht="13.8" thickBot="1">
      <c r="A376" s="517"/>
      <c r="B376" s="518" t="s">
        <v>11564</v>
      </c>
      <c r="C376" s="533"/>
      <c r="D376" s="514" t="s">
        <v>11533</v>
      </c>
      <c r="E376" s="515">
        <v>6.75</v>
      </c>
      <c r="F376" s="514"/>
      <c r="G376" s="515" t="s">
        <v>11525</v>
      </c>
      <c r="H376" s="514"/>
      <c r="I376" s="515"/>
      <c r="J376" s="515"/>
    </row>
    <row r="377" spans="1:10" ht="13.8" thickBot="1">
      <c r="A377" s="517"/>
      <c r="B377" s="518" t="s">
        <v>13141</v>
      </c>
      <c r="C377" s="533"/>
      <c r="D377" s="519" t="s">
        <v>13140</v>
      </c>
      <c r="E377" s="515">
        <v>6.75</v>
      </c>
      <c r="F377" s="518" t="s">
        <v>614</v>
      </c>
      <c r="G377" s="515" t="s">
        <v>2957</v>
      </c>
      <c r="H377" s="514"/>
      <c r="I377" s="515"/>
      <c r="J377" s="515">
        <v>2</v>
      </c>
    </row>
    <row r="378" spans="1:10" ht="13.8" thickBot="1">
      <c r="A378" s="517"/>
      <c r="B378" s="518" t="s">
        <v>12946</v>
      </c>
      <c r="C378" s="533"/>
      <c r="D378" s="514" t="s">
        <v>3273</v>
      </c>
      <c r="E378" s="515">
        <v>6.75</v>
      </c>
      <c r="F378" s="518" t="s">
        <v>1854</v>
      </c>
      <c r="G378" s="515" t="s">
        <v>3161</v>
      </c>
      <c r="H378" s="514"/>
      <c r="I378" s="515"/>
      <c r="J378" s="515"/>
    </row>
    <row r="379" spans="1:10" ht="13.8" thickBot="1">
      <c r="A379" s="517"/>
      <c r="B379" s="518" t="s">
        <v>12945</v>
      </c>
      <c r="C379" s="533"/>
      <c r="D379" s="514" t="s">
        <v>1390</v>
      </c>
      <c r="E379" s="515">
        <v>6.75</v>
      </c>
      <c r="F379" s="518" t="s">
        <v>1854</v>
      </c>
      <c r="G379" s="515" t="s">
        <v>3161</v>
      </c>
      <c r="H379" s="514"/>
      <c r="I379" s="515"/>
      <c r="J379" s="515"/>
    </row>
    <row r="380" spans="1:10" ht="13.8" thickBot="1">
      <c r="A380" s="517"/>
      <c r="B380" s="518" t="s">
        <v>12944</v>
      </c>
      <c r="C380" s="533"/>
      <c r="D380" s="514" t="s">
        <v>12943</v>
      </c>
      <c r="E380" s="515">
        <v>6.75</v>
      </c>
      <c r="F380" s="518" t="s">
        <v>1854</v>
      </c>
      <c r="G380" s="515" t="s">
        <v>3161</v>
      </c>
      <c r="H380" s="514"/>
      <c r="I380" s="515"/>
      <c r="J380" s="515"/>
    </row>
    <row r="381" spans="1:10" ht="13.8" thickBot="1">
      <c r="A381" s="517"/>
      <c r="B381" s="518" t="s">
        <v>12873</v>
      </c>
      <c r="C381" s="533"/>
      <c r="D381" s="514" t="s">
        <v>12872</v>
      </c>
      <c r="E381" s="515">
        <v>6.75</v>
      </c>
      <c r="F381" s="514"/>
      <c r="G381" s="515" t="s">
        <v>3414</v>
      </c>
      <c r="H381" s="514"/>
      <c r="I381" s="515">
        <v>1</v>
      </c>
      <c r="J381" s="515">
        <v>4</v>
      </c>
    </row>
    <row r="382" spans="1:10" ht="13.8" thickBot="1">
      <c r="A382" s="517"/>
      <c r="B382" s="518" t="s">
        <v>12793</v>
      </c>
      <c r="C382" s="533"/>
      <c r="D382" s="520" t="s">
        <v>12792</v>
      </c>
      <c r="E382" s="521">
        <v>6.75</v>
      </c>
      <c r="F382" s="514"/>
      <c r="G382" s="515" t="s">
        <v>3517</v>
      </c>
      <c r="H382" s="514"/>
      <c r="I382" s="515"/>
      <c r="J382" s="515">
        <v>1</v>
      </c>
    </row>
    <row r="383" spans="1:10" ht="13.8" thickBot="1">
      <c r="A383" s="517"/>
      <c r="B383" s="518" t="s">
        <v>12650</v>
      </c>
      <c r="C383" s="533"/>
      <c r="D383" s="514" t="s">
        <v>3739</v>
      </c>
      <c r="E383" s="515">
        <v>6.75</v>
      </c>
      <c r="F383" s="518" t="s">
        <v>614</v>
      </c>
      <c r="G383" s="515" t="s">
        <v>3734</v>
      </c>
      <c r="H383" s="514"/>
      <c r="I383" s="515"/>
      <c r="J383" s="515">
        <v>2</v>
      </c>
    </row>
    <row r="384" spans="1:10" ht="13.8" thickBot="1">
      <c r="A384" s="517"/>
      <c r="B384" s="518" t="s">
        <v>12649</v>
      </c>
      <c r="C384" s="533"/>
      <c r="D384" s="514" t="s">
        <v>3750</v>
      </c>
      <c r="E384" s="515">
        <v>6.75</v>
      </c>
      <c r="F384" s="518" t="s">
        <v>1854</v>
      </c>
      <c r="G384" s="515" t="s">
        <v>3734</v>
      </c>
      <c r="H384" s="514"/>
      <c r="I384" s="515"/>
      <c r="J384" s="515">
        <v>2</v>
      </c>
    </row>
    <row r="385" spans="1:10" ht="13.8" thickBot="1">
      <c r="A385" s="517"/>
      <c r="B385" s="518" t="s">
        <v>13821</v>
      </c>
      <c r="C385" s="533"/>
      <c r="D385" s="514" t="s">
        <v>1270</v>
      </c>
      <c r="E385" s="515">
        <v>6.75</v>
      </c>
      <c r="F385" s="518" t="s">
        <v>614</v>
      </c>
      <c r="G385" s="515" t="s">
        <v>2152</v>
      </c>
      <c r="H385" s="514"/>
      <c r="I385" s="515">
        <v>2</v>
      </c>
      <c r="J385" s="515">
        <v>10</v>
      </c>
    </row>
    <row r="386" spans="1:10" ht="13.8" thickBot="1">
      <c r="A386" s="517"/>
      <c r="B386" s="518" t="s">
        <v>13820</v>
      </c>
      <c r="C386" s="533"/>
      <c r="D386" s="514" t="s">
        <v>1270</v>
      </c>
      <c r="E386" s="515">
        <v>6.75</v>
      </c>
      <c r="F386" s="514"/>
      <c r="G386" s="515" t="s">
        <v>2152</v>
      </c>
      <c r="H386" s="514"/>
      <c r="I386" s="515"/>
      <c r="J386" s="515">
        <v>1</v>
      </c>
    </row>
    <row r="387" spans="1:10" ht="13.8" thickBot="1">
      <c r="A387" s="517"/>
      <c r="B387" s="518" t="s">
        <v>14243</v>
      </c>
      <c r="C387" s="533"/>
      <c r="D387" s="514" t="s">
        <v>14242</v>
      </c>
      <c r="E387" s="515">
        <v>6.7</v>
      </c>
      <c r="F387" s="518" t="s">
        <v>614</v>
      </c>
      <c r="G387" s="515" t="s">
        <v>1793</v>
      </c>
      <c r="H387" s="514" t="s">
        <v>1229</v>
      </c>
      <c r="I387" s="515"/>
      <c r="J387" s="515">
        <v>7</v>
      </c>
    </row>
    <row r="388" spans="1:10" ht="13.8" thickBot="1">
      <c r="A388" s="517"/>
      <c r="B388" s="518" t="s">
        <v>13694</v>
      </c>
      <c r="C388" s="533"/>
      <c r="D388" s="514" t="s">
        <v>13693</v>
      </c>
      <c r="E388" s="515">
        <v>6.7</v>
      </c>
      <c r="F388" s="518" t="s">
        <v>614</v>
      </c>
      <c r="G388" s="515" t="s">
        <v>2289</v>
      </c>
      <c r="H388" s="514" t="s">
        <v>1251</v>
      </c>
      <c r="I388" s="515"/>
      <c r="J388" s="515">
        <v>7</v>
      </c>
    </row>
    <row r="389" spans="1:10" ht="13.8" thickBot="1">
      <c r="A389" s="517"/>
      <c r="B389" s="518" t="s">
        <v>13600</v>
      </c>
      <c r="C389" s="533"/>
      <c r="D389" s="514" t="s">
        <v>13599</v>
      </c>
      <c r="E389" s="515">
        <v>6.7</v>
      </c>
      <c r="F389" s="518" t="s">
        <v>614</v>
      </c>
      <c r="G389" s="515" t="s">
        <v>2449</v>
      </c>
      <c r="H389" s="514" t="s">
        <v>1251</v>
      </c>
      <c r="I389" s="515"/>
      <c r="J389" s="515">
        <v>8</v>
      </c>
    </row>
    <row r="390" spans="1:10" ht="13.8" thickBot="1">
      <c r="A390" s="517"/>
      <c r="B390" s="518" t="s">
        <v>13510</v>
      </c>
      <c r="C390" s="533"/>
      <c r="D390" s="514" t="s">
        <v>13509</v>
      </c>
      <c r="E390" s="515">
        <v>6.7</v>
      </c>
      <c r="F390" s="518" t="s">
        <v>614</v>
      </c>
      <c r="G390" s="515" t="s">
        <v>2523</v>
      </c>
      <c r="H390" s="514" t="s">
        <v>1251</v>
      </c>
      <c r="I390" s="515"/>
      <c r="J390" s="515">
        <v>7</v>
      </c>
    </row>
    <row r="391" spans="1:10" ht="13.8" thickBot="1">
      <c r="A391" s="517"/>
      <c r="B391" s="518" t="s">
        <v>13508</v>
      </c>
      <c r="C391" s="533"/>
      <c r="D391" s="514" t="s">
        <v>13507</v>
      </c>
      <c r="E391" s="515">
        <v>6.7</v>
      </c>
      <c r="F391" s="518" t="s">
        <v>614</v>
      </c>
      <c r="G391" s="515" t="s">
        <v>2523</v>
      </c>
      <c r="H391" s="514" t="s">
        <v>1251</v>
      </c>
      <c r="I391" s="515">
        <v>1</v>
      </c>
      <c r="J391" s="515">
        <v>6</v>
      </c>
    </row>
    <row r="392" spans="1:10" ht="13.8" thickBot="1">
      <c r="A392" s="517"/>
      <c r="B392" s="518" t="s">
        <v>12485</v>
      </c>
      <c r="C392" s="533"/>
      <c r="D392" s="519" t="s">
        <v>1514</v>
      </c>
      <c r="E392" s="515">
        <v>6.7</v>
      </c>
      <c r="F392" s="518" t="s">
        <v>614</v>
      </c>
      <c r="G392" s="515" t="s">
        <v>3932</v>
      </c>
      <c r="H392" s="514" t="s">
        <v>1251</v>
      </c>
      <c r="I392" s="515"/>
      <c r="J392" s="515">
        <v>11</v>
      </c>
    </row>
    <row r="393" spans="1:10" ht="13.8" thickBot="1">
      <c r="A393" s="517"/>
      <c r="B393" s="518" t="s">
        <v>12234</v>
      </c>
      <c r="C393" s="533"/>
      <c r="D393" s="514" t="s">
        <v>12233</v>
      </c>
      <c r="E393" s="515">
        <v>6.7</v>
      </c>
      <c r="F393" s="518" t="s">
        <v>614</v>
      </c>
      <c r="G393" s="515" t="s">
        <v>4596</v>
      </c>
      <c r="H393" s="514" t="s">
        <v>1251</v>
      </c>
      <c r="I393" s="515"/>
      <c r="J393" s="515">
        <v>9</v>
      </c>
    </row>
    <row r="394" spans="1:10" ht="13.8" thickBot="1">
      <c r="A394" s="517"/>
      <c r="B394" s="518" t="s">
        <v>13819</v>
      </c>
      <c r="C394" s="533"/>
      <c r="D394" s="514" t="s">
        <v>2159</v>
      </c>
      <c r="E394" s="515">
        <v>6.7</v>
      </c>
      <c r="F394" s="514"/>
      <c r="G394" s="515" t="s">
        <v>2152</v>
      </c>
      <c r="H394" s="514" t="s">
        <v>1251</v>
      </c>
      <c r="I394" s="515"/>
      <c r="J394" s="515">
        <v>5</v>
      </c>
    </row>
    <row r="395" spans="1:10" ht="13.8" thickBot="1">
      <c r="A395" s="517"/>
      <c r="B395" s="518" t="s">
        <v>13506</v>
      </c>
      <c r="C395" s="533"/>
      <c r="D395" s="514" t="s">
        <v>13505</v>
      </c>
      <c r="E395" s="515">
        <v>6.7</v>
      </c>
      <c r="F395" s="518" t="s">
        <v>614</v>
      </c>
      <c r="G395" s="515" t="s">
        <v>2523</v>
      </c>
      <c r="H395" s="514" t="s">
        <v>1226</v>
      </c>
      <c r="I395" s="515"/>
      <c r="J395" s="515">
        <v>6</v>
      </c>
    </row>
    <row r="396" spans="1:10" ht="13.8" thickBot="1">
      <c r="A396" s="517"/>
      <c r="B396" s="518" t="s">
        <v>13504</v>
      </c>
      <c r="C396" s="533"/>
      <c r="D396" s="514" t="s">
        <v>13503</v>
      </c>
      <c r="E396" s="515">
        <v>6.7</v>
      </c>
      <c r="F396" s="518" t="s">
        <v>614</v>
      </c>
      <c r="G396" s="515" t="s">
        <v>2523</v>
      </c>
      <c r="H396" s="514" t="s">
        <v>1226</v>
      </c>
      <c r="I396" s="515">
        <v>1</v>
      </c>
      <c r="J396" s="515">
        <v>5</v>
      </c>
    </row>
    <row r="397" spans="1:10" ht="13.8" thickBot="1">
      <c r="A397" s="517"/>
      <c r="B397" s="518" t="s">
        <v>13502</v>
      </c>
      <c r="C397" s="533"/>
      <c r="D397" s="514" t="s">
        <v>13501</v>
      </c>
      <c r="E397" s="515">
        <v>6.7</v>
      </c>
      <c r="F397" s="518" t="s">
        <v>614</v>
      </c>
      <c r="G397" s="515" t="s">
        <v>2523</v>
      </c>
      <c r="H397" s="514" t="s">
        <v>1226</v>
      </c>
      <c r="I397" s="515">
        <v>1</v>
      </c>
      <c r="J397" s="515">
        <v>5</v>
      </c>
    </row>
    <row r="398" spans="1:10" ht="13.8" thickBot="1">
      <c r="A398" s="517"/>
      <c r="B398" s="518" t="s">
        <v>13139</v>
      </c>
      <c r="C398" s="533"/>
      <c r="D398" s="514" t="s">
        <v>13138</v>
      </c>
      <c r="E398" s="515">
        <v>6.7</v>
      </c>
      <c r="F398" s="518" t="s">
        <v>614</v>
      </c>
      <c r="G398" s="515" t="s">
        <v>2957</v>
      </c>
      <c r="H398" s="514" t="s">
        <v>1226</v>
      </c>
      <c r="I398" s="515">
        <v>2</v>
      </c>
      <c r="J398" s="515">
        <v>8</v>
      </c>
    </row>
    <row r="399" spans="1:10" ht="13.8" thickBot="1">
      <c r="A399" s="517"/>
      <c r="B399" s="518" t="s">
        <v>14241</v>
      </c>
      <c r="C399" s="533"/>
      <c r="D399" s="514" t="s">
        <v>14240</v>
      </c>
      <c r="E399" s="515">
        <v>6.7</v>
      </c>
      <c r="F399" s="518" t="s">
        <v>614</v>
      </c>
      <c r="G399" s="515" t="s">
        <v>1793</v>
      </c>
      <c r="H399" s="514" t="s">
        <v>1224</v>
      </c>
      <c r="I399" s="515"/>
      <c r="J399" s="515">
        <v>4</v>
      </c>
    </row>
    <row r="400" spans="1:10" ht="13.8" thickBot="1">
      <c r="A400" s="517"/>
      <c r="B400" s="518" t="s">
        <v>12227</v>
      </c>
      <c r="C400" s="533"/>
      <c r="D400" s="514" t="s">
        <v>12226</v>
      </c>
      <c r="E400" s="515">
        <v>6.7</v>
      </c>
      <c r="F400" s="518" t="s">
        <v>614</v>
      </c>
      <c r="G400" s="515" t="s">
        <v>4672</v>
      </c>
      <c r="H400" s="514" t="s">
        <v>1224</v>
      </c>
      <c r="I400" s="515"/>
      <c r="J400" s="515">
        <v>5</v>
      </c>
    </row>
    <row r="401" spans="1:10" ht="13.8" thickBot="1">
      <c r="A401" s="517"/>
      <c r="B401" s="518" t="s">
        <v>12484</v>
      </c>
      <c r="C401" s="533"/>
      <c r="D401" s="514" t="s">
        <v>12483</v>
      </c>
      <c r="E401" s="515">
        <v>6.7</v>
      </c>
      <c r="F401" s="518" t="s">
        <v>614</v>
      </c>
      <c r="G401" s="515" t="s">
        <v>3932</v>
      </c>
      <c r="H401" s="514"/>
      <c r="I401" s="515">
        <v>5</v>
      </c>
      <c r="J401" s="515">
        <v>9</v>
      </c>
    </row>
    <row r="402" spans="1:10" ht="13.8" thickBot="1">
      <c r="A402" s="517"/>
      <c r="B402" s="518" t="s">
        <v>13692</v>
      </c>
      <c r="C402" s="533"/>
      <c r="D402" s="514" t="s">
        <v>13691</v>
      </c>
      <c r="E402" s="515">
        <v>6.6</v>
      </c>
      <c r="F402" s="518" t="s">
        <v>614</v>
      </c>
      <c r="G402" s="515" t="s">
        <v>2289</v>
      </c>
      <c r="H402" s="514" t="s">
        <v>1251</v>
      </c>
      <c r="I402" s="515"/>
      <c r="J402" s="515">
        <v>14</v>
      </c>
    </row>
    <row r="403" spans="1:10" ht="13.8" thickBot="1">
      <c r="A403" s="517"/>
      <c r="B403" s="518" t="s">
        <v>13220</v>
      </c>
      <c r="C403" s="533"/>
      <c r="D403" s="514" t="s">
        <v>13219</v>
      </c>
      <c r="E403" s="515">
        <v>6.6</v>
      </c>
      <c r="F403" s="518" t="s">
        <v>614</v>
      </c>
      <c r="G403" s="515" t="s">
        <v>2797</v>
      </c>
      <c r="H403" s="514" t="s">
        <v>1251</v>
      </c>
      <c r="I403" s="515"/>
      <c r="J403" s="515">
        <v>11</v>
      </c>
    </row>
    <row r="404" spans="1:10" ht="13.8" thickBot="1">
      <c r="A404" s="517"/>
      <c r="B404" s="518" t="s">
        <v>13137</v>
      </c>
      <c r="C404" s="533"/>
      <c r="D404" s="514" t="s">
        <v>13136</v>
      </c>
      <c r="E404" s="515">
        <v>6.6</v>
      </c>
      <c r="F404" s="518" t="s">
        <v>614</v>
      </c>
      <c r="G404" s="515" t="s">
        <v>2957</v>
      </c>
      <c r="H404" s="514" t="s">
        <v>1251</v>
      </c>
      <c r="I404" s="515">
        <v>3</v>
      </c>
      <c r="J404" s="515">
        <v>8</v>
      </c>
    </row>
    <row r="405" spans="1:10" ht="13.8" thickBot="1">
      <c r="A405" s="517"/>
      <c r="B405" s="518" t="s">
        <v>12493</v>
      </c>
      <c r="C405" s="533"/>
      <c r="D405" s="514" t="s">
        <v>3908</v>
      </c>
      <c r="E405" s="515">
        <v>6.6</v>
      </c>
      <c r="F405" s="518" t="s">
        <v>614</v>
      </c>
      <c r="G405" s="515" t="s">
        <v>3903</v>
      </c>
      <c r="H405" s="514" t="s">
        <v>1251</v>
      </c>
      <c r="I405" s="515"/>
      <c r="J405" s="515">
        <v>4</v>
      </c>
    </row>
    <row r="406" spans="1:10" ht="13.8" thickBot="1">
      <c r="A406" s="517"/>
      <c r="B406" s="518" t="s">
        <v>13135</v>
      </c>
      <c r="C406" s="533"/>
      <c r="D406" s="514" t="s">
        <v>13134</v>
      </c>
      <c r="E406" s="515">
        <v>6.6</v>
      </c>
      <c r="F406" s="518" t="s">
        <v>614</v>
      </c>
      <c r="G406" s="515" t="s">
        <v>2957</v>
      </c>
      <c r="H406" s="514" t="s">
        <v>2417</v>
      </c>
      <c r="I406" s="515">
        <v>2</v>
      </c>
      <c r="J406" s="515">
        <v>7</v>
      </c>
    </row>
    <row r="407" spans="1:10" ht="13.8" thickBot="1">
      <c r="A407" s="517"/>
      <c r="B407" s="518" t="s">
        <v>14239</v>
      </c>
      <c r="C407" s="533"/>
      <c r="D407" s="514" t="s">
        <v>14238</v>
      </c>
      <c r="E407" s="515">
        <v>6.6</v>
      </c>
      <c r="F407" s="518" t="s">
        <v>614</v>
      </c>
      <c r="G407" s="515" t="s">
        <v>1793</v>
      </c>
      <c r="H407" s="514" t="s">
        <v>1841</v>
      </c>
      <c r="I407" s="522"/>
      <c r="J407" s="515">
        <v>9</v>
      </c>
    </row>
    <row r="408" spans="1:10" ht="13.8" thickBot="1">
      <c r="A408" s="517"/>
      <c r="B408" s="518" t="s">
        <v>11874</v>
      </c>
      <c r="C408" s="533"/>
      <c r="D408" s="514" t="s">
        <v>11873</v>
      </c>
      <c r="E408" s="515">
        <v>6.6</v>
      </c>
      <c r="F408" s="518" t="s">
        <v>614</v>
      </c>
      <c r="G408" s="515" t="s">
        <v>5286</v>
      </c>
      <c r="H408" s="514" t="s">
        <v>1841</v>
      </c>
      <c r="I408" s="515"/>
      <c r="J408" s="515">
        <v>13</v>
      </c>
    </row>
    <row r="409" spans="1:10" ht="13.8" thickBot="1">
      <c r="A409" s="517"/>
      <c r="B409" s="518" t="s">
        <v>11835</v>
      </c>
      <c r="C409" s="533"/>
      <c r="D409" s="514" t="s">
        <v>11834</v>
      </c>
      <c r="E409" s="515">
        <v>6.6</v>
      </c>
      <c r="F409" s="518" t="s">
        <v>614</v>
      </c>
      <c r="G409" s="515" t="s">
        <v>5319</v>
      </c>
      <c r="H409" s="514" t="s">
        <v>1226</v>
      </c>
      <c r="I409" s="515">
        <v>1</v>
      </c>
      <c r="J409" s="515">
        <v>6</v>
      </c>
    </row>
    <row r="410" spans="1:10" ht="13.8" thickBot="1">
      <c r="A410" s="517"/>
      <c r="B410" s="518" t="s">
        <v>13242</v>
      </c>
      <c r="C410" s="533"/>
      <c r="D410" s="514" t="s">
        <v>13241</v>
      </c>
      <c r="E410" s="515">
        <v>6.6</v>
      </c>
      <c r="F410" s="518" t="s">
        <v>614</v>
      </c>
      <c r="G410" s="515" t="s">
        <v>2747</v>
      </c>
      <c r="H410" s="514" t="s">
        <v>1226</v>
      </c>
      <c r="I410" s="515"/>
      <c r="J410" s="515">
        <v>6</v>
      </c>
    </row>
    <row r="411" spans="1:10" ht="13.8" thickBot="1">
      <c r="A411" s="517"/>
      <c r="B411" s="518" t="s">
        <v>12791</v>
      </c>
      <c r="C411" s="533"/>
      <c r="D411" s="514" t="s">
        <v>12790</v>
      </c>
      <c r="E411" s="515">
        <v>6.6</v>
      </c>
      <c r="F411" s="518" t="s">
        <v>614</v>
      </c>
      <c r="G411" s="515" t="s">
        <v>3517</v>
      </c>
      <c r="H411" s="514" t="s">
        <v>1226</v>
      </c>
      <c r="I411" s="522"/>
      <c r="J411" s="522">
        <v>11</v>
      </c>
    </row>
    <row r="412" spans="1:10" ht="13.8" thickBot="1">
      <c r="A412" s="517"/>
      <c r="B412" s="518" t="s">
        <v>12648</v>
      </c>
      <c r="C412" s="533"/>
      <c r="D412" s="514" t="s">
        <v>12647</v>
      </c>
      <c r="E412" s="515">
        <v>6.6</v>
      </c>
      <c r="F412" s="518" t="s">
        <v>614</v>
      </c>
      <c r="G412" s="515" t="s">
        <v>3734</v>
      </c>
      <c r="H412" s="514" t="s">
        <v>1226</v>
      </c>
      <c r="I412" s="515">
        <v>1</v>
      </c>
      <c r="J412" s="515">
        <v>6</v>
      </c>
    </row>
    <row r="413" spans="1:10" ht="13.8" thickBot="1">
      <c r="A413" s="517"/>
      <c r="B413" s="518" t="s">
        <v>12470</v>
      </c>
      <c r="C413" s="533"/>
      <c r="D413" s="514" t="s">
        <v>12469</v>
      </c>
      <c r="E413" s="515">
        <v>6.6</v>
      </c>
      <c r="F413" s="518" t="s">
        <v>614</v>
      </c>
      <c r="G413" s="515" t="s">
        <v>3996</v>
      </c>
      <c r="H413" s="514" t="s">
        <v>1226</v>
      </c>
      <c r="I413" s="515">
        <v>2</v>
      </c>
      <c r="J413" s="515">
        <v>5</v>
      </c>
    </row>
    <row r="414" spans="1:10" ht="13.8" thickBot="1">
      <c r="A414" s="517"/>
      <c r="B414" s="518" t="s">
        <v>13978</v>
      </c>
      <c r="C414" s="533"/>
      <c r="D414" s="514" t="s">
        <v>13977</v>
      </c>
      <c r="E414" s="515">
        <v>6.6</v>
      </c>
      <c r="F414" s="518" t="s">
        <v>614</v>
      </c>
      <c r="G414" s="515" t="s">
        <v>1922</v>
      </c>
      <c r="H414" s="514" t="s">
        <v>1224</v>
      </c>
      <c r="I414" s="522">
        <v>3</v>
      </c>
      <c r="J414" s="515">
        <v>7</v>
      </c>
    </row>
    <row r="415" spans="1:10" ht="13.8" thickBot="1">
      <c r="A415" s="517"/>
      <c r="B415" s="518" t="s">
        <v>13818</v>
      </c>
      <c r="C415" s="533"/>
      <c r="D415" s="514" t="s">
        <v>13817</v>
      </c>
      <c r="E415" s="515">
        <v>6.6</v>
      </c>
      <c r="F415" s="518" t="s">
        <v>614</v>
      </c>
      <c r="G415" s="515" t="s">
        <v>2152</v>
      </c>
      <c r="H415" s="514" t="s">
        <v>1224</v>
      </c>
      <c r="I415" s="515">
        <v>2</v>
      </c>
      <c r="J415" s="515">
        <v>6</v>
      </c>
    </row>
    <row r="416" spans="1:10" ht="13.8" thickBot="1">
      <c r="A416" s="517"/>
      <c r="B416" s="518" t="s">
        <v>13921</v>
      </c>
      <c r="C416" s="533"/>
      <c r="D416" s="514" t="s">
        <v>13920</v>
      </c>
      <c r="E416" s="515">
        <v>6.6</v>
      </c>
      <c r="F416" s="518" t="s">
        <v>13919</v>
      </c>
      <c r="G416" s="515" t="s">
        <v>2032</v>
      </c>
      <c r="H416" s="514"/>
      <c r="I416" s="522">
        <v>1</v>
      </c>
      <c r="J416" s="522">
        <v>2</v>
      </c>
    </row>
    <row r="417" spans="1:10" ht="13.8" thickBot="1">
      <c r="A417" s="517"/>
      <c r="B417" s="518" t="s">
        <v>12592</v>
      </c>
      <c r="C417" s="533"/>
      <c r="D417" s="514" t="s">
        <v>12591</v>
      </c>
      <c r="E417" s="515">
        <v>6.5</v>
      </c>
      <c r="F417" s="518" t="s">
        <v>614</v>
      </c>
      <c r="G417" s="515" t="s">
        <v>3807</v>
      </c>
      <c r="H417" s="514" t="s">
        <v>1865</v>
      </c>
      <c r="I417" s="515">
        <v>1</v>
      </c>
      <c r="J417" s="515">
        <v>5</v>
      </c>
    </row>
    <row r="418" spans="1:10" ht="13.8" thickBot="1">
      <c r="A418" s="517"/>
      <c r="B418" s="518" t="s">
        <v>12014</v>
      </c>
      <c r="C418" s="533"/>
      <c r="D418" s="514" t="s">
        <v>12013</v>
      </c>
      <c r="E418" s="515">
        <v>6.5</v>
      </c>
      <c r="F418" s="518" t="s">
        <v>614</v>
      </c>
      <c r="G418" s="515" t="s">
        <v>5109</v>
      </c>
      <c r="H418" s="514" t="s">
        <v>2319</v>
      </c>
      <c r="I418" s="515">
        <v>1</v>
      </c>
      <c r="J418" s="515">
        <v>20</v>
      </c>
    </row>
    <row r="419" spans="1:10" ht="13.8" thickBot="1">
      <c r="A419" s="517"/>
      <c r="B419" s="518" t="s">
        <v>13918</v>
      </c>
      <c r="C419" s="533"/>
      <c r="D419" s="514" t="s">
        <v>13917</v>
      </c>
      <c r="E419" s="515">
        <v>6.5</v>
      </c>
      <c r="F419" s="518" t="s">
        <v>614</v>
      </c>
      <c r="G419" s="515" t="s">
        <v>2032</v>
      </c>
      <c r="H419" s="514" t="s">
        <v>2319</v>
      </c>
      <c r="I419" s="515"/>
      <c r="J419" s="515">
        <v>12</v>
      </c>
    </row>
    <row r="420" spans="1:10" ht="13.8" thickBot="1">
      <c r="A420" s="517"/>
      <c r="B420" s="518" t="s">
        <v>14237</v>
      </c>
      <c r="C420" s="533"/>
      <c r="D420" s="514" t="s">
        <v>14236</v>
      </c>
      <c r="E420" s="515">
        <v>6.5</v>
      </c>
      <c r="F420" s="518" t="s">
        <v>614</v>
      </c>
      <c r="G420" s="515" t="s">
        <v>1793</v>
      </c>
      <c r="H420" s="514" t="s">
        <v>1251</v>
      </c>
      <c r="I420" s="522"/>
      <c r="J420" s="522">
        <v>6</v>
      </c>
    </row>
    <row r="421" spans="1:10" ht="13.8" thickBot="1">
      <c r="A421" s="517"/>
      <c r="B421" s="518" t="s">
        <v>12182</v>
      </c>
      <c r="C421" s="533"/>
      <c r="D421" s="514" t="s">
        <v>12181</v>
      </c>
      <c r="E421" s="515">
        <v>6.5</v>
      </c>
      <c r="F421" s="518" t="s">
        <v>614</v>
      </c>
      <c r="G421" s="515" t="s">
        <v>4822</v>
      </c>
      <c r="H421" s="514" t="s">
        <v>1251</v>
      </c>
      <c r="I421" s="515"/>
      <c r="J421" s="515">
        <v>3</v>
      </c>
    </row>
    <row r="422" spans="1:10" ht="13.8" thickBot="1">
      <c r="A422" s="517"/>
      <c r="B422" s="518" t="s">
        <v>11893</v>
      </c>
      <c r="C422" s="533"/>
      <c r="D422" s="514" t="s">
        <v>11892</v>
      </c>
      <c r="E422" s="515">
        <v>6.5</v>
      </c>
      <c r="F422" s="518" t="s">
        <v>614</v>
      </c>
      <c r="G422" s="515" t="s">
        <v>11891</v>
      </c>
      <c r="H422" s="514" t="s">
        <v>1251</v>
      </c>
      <c r="I422" s="522">
        <v>6</v>
      </c>
      <c r="J422" s="522">
        <v>22</v>
      </c>
    </row>
    <row r="423" spans="1:10" ht="13.8" thickBot="1">
      <c r="A423" s="517"/>
      <c r="B423" s="518" t="s">
        <v>11872</v>
      </c>
      <c r="C423" s="533"/>
      <c r="D423" s="514" t="s">
        <v>11871</v>
      </c>
      <c r="E423" s="515">
        <v>6.5</v>
      </c>
      <c r="F423" s="518" t="s">
        <v>614</v>
      </c>
      <c r="G423" s="515" t="s">
        <v>5286</v>
      </c>
      <c r="H423" s="514" t="s">
        <v>1251</v>
      </c>
      <c r="I423" s="522">
        <v>1</v>
      </c>
      <c r="J423" s="522">
        <v>9</v>
      </c>
    </row>
    <row r="424" spans="1:10" ht="13.8" thickBot="1">
      <c r="A424" s="517"/>
      <c r="B424" s="518" t="s">
        <v>13500</v>
      </c>
      <c r="C424" s="533"/>
      <c r="D424" s="514" t="s">
        <v>13499</v>
      </c>
      <c r="E424" s="515">
        <v>6.5</v>
      </c>
      <c r="F424" s="518" t="s">
        <v>614</v>
      </c>
      <c r="G424" s="515" t="s">
        <v>2523</v>
      </c>
      <c r="H424" s="514" t="s">
        <v>1251</v>
      </c>
      <c r="I424" s="515">
        <v>1</v>
      </c>
      <c r="J424" s="515">
        <v>10</v>
      </c>
    </row>
    <row r="425" spans="1:10" ht="13.8" thickBot="1">
      <c r="A425" s="517"/>
      <c r="B425" s="518" t="s">
        <v>13916</v>
      </c>
      <c r="C425" s="533"/>
      <c r="D425" s="514" t="s">
        <v>13915</v>
      </c>
      <c r="E425" s="515">
        <v>6.5</v>
      </c>
      <c r="F425" s="514"/>
      <c r="G425" s="515" t="s">
        <v>2032</v>
      </c>
      <c r="H425" s="514" t="s">
        <v>1251</v>
      </c>
      <c r="I425" s="515"/>
      <c r="J425" s="515">
        <v>10</v>
      </c>
    </row>
    <row r="426" spans="1:10" ht="13.8" thickBot="1">
      <c r="A426" s="517"/>
      <c r="B426" s="518" t="s">
        <v>12426</v>
      </c>
      <c r="C426" s="533"/>
      <c r="D426" s="514" t="s">
        <v>12425</v>
      </c>
      <c r="E426" s="515">
        <v>6.5</v>
      </c>
      <c r="F426" s="518" t="s">
        <v>614</v>
      </c>
      <c r="G426" s="515" t="s">
        <v>4102</v>
      </c>
      <c r="H426" s="514" t="s">
        <v>1251</v>
      </c>
      <c r="I426" s="522">
        <v>1</v>
      </c>
      <c r="J426" s="522">
        <v>13</v>
      </c>
    </row>
    <row r="427" spans="1:10" ht="13.8" thickBot="1">
      <c r="A427" s="517"/>
      <c r="B427" s="518" t="s">
        <v>12689</v>
      </c>
      <c r="C427" s="533"/>
      <c r="D427" s="514" t="s">
        <v>12688</v>
      </c>
      <c r="E427" s="515">
        <v>6.5</v>
      </c>
      <c r="F427" s="518" t="s">
        <v>614</v>
      </c>
      <c r="G427" s="515" t="s">
        <v>3652</v>
      </c>
      <c r="H427" s="514" t="s">
        <v>1841</v>
      </c>
      <c r="I427" s="515">
        <v>3</v>
      </c>
      <c r="J427" s="515">
        <v>11</v>
      </c>
    </row>
    <row r="428" spans="1:10" ht="13.8" thickBot="1">
      <c r="A428" s="517"/>
      <c r="B428" s="518" t="s">
        <v>14235</v>
      </c>
      <c r="C428" s="533"/>
      <c r="D428" s="514" t="s">
        <v>14234</v>
      </c>
      <c r="E428" s="515">
        <v>6.5</v>
      </c>
      <c r="F428" s="518" t="s">
        <v>614</v>
      </c>
      <c r="G428" s="515" t="s">
        <v>1793</v>
      </c>
      <c r="H428" s="514" t="s">
        <v>1226</v>
      </c>
      <c r="I428" s="515">
        <v>1</v>
      </c>
      <c r="J428" s="515">
        <v>8</v>
      </c>
    </row>
    <row r="429" spans="1:10" ht="13.8" thickBot="1">
      <c r="A429" s="517"/>
      <c r="B429" s="518" t="s">
        <v>14233</v>
      </c>
      <c r="C429" s="533"/>
      <c r="D429" s="514" t="s">
        <v>14232</v>
      </c>
      <c r="E429" s="515">
        <v>6.5</v>
      </c>
      <c r="F429" s="518" t="s">
        <v>1854</v>
      </c>
      <c r="G429" s="515" t="s">
        <v>1793</v>
      </c>
      <c r="H429" s="514" t="s">
        <v>1226</v>
      </c>
      <c r="I429" s="515">
        <v>1</v>
      </c>
      <c r="J429" s="515">
        <v>7</v>
      </c>
    </row>
    <row r="430" spans="1:10" ht="13.8" thickBot="1">
      <c r="A430" s="517"/>
      <c r="B430" s="518" t="s">
        <v>14231</v>
      </c>
      <c r="C430" s="533"/>
      <c r="D430" s="514" t="s">
        <v>14230</v>
      </c>
      <c r="E430" s="515">
        <v>6.5</v>
      </c>
      <c r="F430" s="518" t="s">
        <v>614</v>
      </c>
      <c r="G430" s="515" t="s">
        <v>1793</v>
      </c>
      <c r="H430" s="514" t="s">
        <v>1226</v>
      </c>
      <c r="I430" s="522"/>
      <c r="J430" s="515">
        <v>6</v>
      </c>
    </row>
    <row r="431" spans="1:10" ht="13.8" thickBot="1">
      <c r="A431" s="517"/>
      <c r="B431" s="518" t="s">
        <v>14229</v>
      </c>
      <c r="C431" s="533"/>
      <c r="D431" s="514" t="s">
        <v>14228</v>
      </c>
      <c r="E431" s="515">
        <v>6.5</v>
      </c>
      <c r="F431" s="518" t="s">
        <v>614</v>
      </c>
      <c r="G431" s="515" t="s">
        <v>1793</v>
      </c>
      <c r="H431" s="514" t="s">
        <v>1226</v>
      </c>
      <c r="I431" s="515">
        <v>1</v>
      </c>
      <c r="J431" s="515">
        <v>2</v>
      </c>
    </row>
    <row r="432" spans="1:10" ht="13.8" thickBot="1">
      <c r="A432" s="517"/>
      <c r="B432" s="518" t="s">
        <v>14227</v>
      </c>
      <c r="C432" s="533"/>
      <c r="D432" s="514" t="s">
        <v>14226</v>
      </c>
      <c r="E432" s="515">
        <v>6.5</v>
      </c>
      <c r="F432" s="518" t="s">
        <v>614</v>
      </c>
      <c r="G432" s="515" t="s">
        <v>1793</v>
      </c>
      <c r="H432" s="514" t="s">
        <v>1226</v>
      </c>
      <c r="I432" s="515"/>
      <c r="J432" s="515">
        <v>2</v>
      </c>
    </row>
    <row r="433" spans="1:10" ht="13.8" thickBot="1">
      <c r="A433" s="517"/>
      <c r="B433" s="518" t="s">
        <v>11996</v>
      </c>
      <c r="C433" s="533"/>
      <c r="D433" s="514" t="s">
        <v>11995</v>
      </c>
      <c r="E433" s="515">
        <v>6.5</v>
      </c>
      <c r="F433" s="518" t="s">
        <v>614</v>
      </c>
      <c r="G433" s="515" t="s">
        <v>5155</v>
      </c>
      <c r="H433" s="514" t="s">
        <v>1226</v>
      </c>
      <c r="I433" s="515">
        <v>1</v>
      </c>
      <c r="J433" s="515">
        <v>3</v>
      </c>
    </row>
    <row r="434" spans="1:10" ht="13.8" thickBot="1">
      <c r="A434" s="517"/>
      <c r="B434" s="518" t="s">
        <v>13690</v>
      </c>
      <c r="C434" s="533"/>
      <c r="D434" s="514" t="s">
        <v>2308</v>
      </c>
      <c r="E434" s="515">
        <v>6.5</v>
      </c>
      <c r="F434" s="518" t="s">
        <v>614</v>
      </c>
      <c r="G434" s="515" t="s">
        <v>2289</v>
      </c>
      <c r="H434" s="514" t="s">
        <v>1226</v>
      </c>
      <c r="I434" s="522">
        <v>1</v>
      </c>
      <c r="J434" s="522">
        <v>11</v>
      </c>
    </row>
    <row r="435" spans="1:10" ht="13.8" thickBot="1">
      <c r="A435" s="517"/>
      <c r="B435" s="518" t="s">
        <v>13689</v>
      </c>
      <c r="C435" s="533"/>
      <c r="D435" s="514" t="s">
        <v>13688</v>
      </c>
      <c r="E435" s="515">
        <v>6.5</v>
      </c>
      <c r="F435" s="518" t="s">
        <v>614</v>
      </c>
      <c r="G435" s="515" t="s">
        <v>2289</v>
      </c>
      <c r="H435" s="514" t="s">
        <v>1226</v>
      </c>
      <c r="I435" s="515"/>
      <c r="J435" s="515">
        <v>10</v>
      </c>
    </row>
    <row r="436" spans="1:10" ht="13.8" thickBot="1">
      <c r="A436" s="517"/>
      <c r="B436" s="518" t="s">
        <v>13687</v>
      </c>
      <c r="C436" s="533"/>
      <c r="D436" s="514" t="s">
        <v>13686</v>
      </c>
      <c r="E436" s="515">
        <v>6.5</v>
      </c>
      <c r="F436" s="518" t="s">
        <v>614</v>
      </c>
      <c r="G436" s="515" t="s">
        <v>2289</v>
      </c>
      <c r="H436" s="514" t="s">
        <v>1226</v>
      </c>
      <c r="I436" s="515">
        <v>1</v>
      </c>
      <c r="J436" s="515">
        <v>6</v>
      </c>
    </row>
    <row r="437" spans="1:10" ht="13.8" thickBot="1">
      <c r="A437" s="517"/>
      <c r="B437" s="518" t="s">
        <v>11870</v>
      </c>
      <c r="C437" s="533"/>
      <c r="D437" s="514" t="s">
        <v>11869</v>
      </c>
      <c r="E437" s="515">
        <v>6.5</v>
      </c>
      <c r="F437" s="518" t="s">
        <v>614</v>
      </c>
      <c r="G437" s="515" t="s">
        <v>5286</v>
      </c>
      <c r="H437" s="514" t="s">
        <v>1226</v>
      </c>
      <c r="I437" s="515"/>
      <c r="J437" s="515">
        <v>6</v>
      </c>
    </row>
    <row r="438" spans="1:10" ht="13.8" thickBot="1">
      <c r="A438" s="517"/>
      <c r="B438" s="518" t="s">
        <v>11868</v>
      </c>
      <c r="C438" s="533"/>
      <c r="D438" s="514" t="s">
        <v>11867</v>
      </c>
      <c r="E438" s="515">
        <v>6.5</v>
      </c>
      <c r="F438" s="518" t="s">
        <v>614</v>
      </c>
      <c r="G438" s="515" t="s">
        <v>5286</v>
      </c>
      <c r="H438" s="514" t="s">
        <v>1226</v>
      </c>
      <c r="I438" s="515">
        <v>1</v>
      </c>
      <c r="J438" s="515">
        <v>5</v>
      </c>
    </row>
    <row r="439" spans="1:10" ht="13.8" thickBot="1">
      <c r="A439" s="517"/>
      <c r="B439" s="518" t="s">
        <v>13498</v>
      </c>
      <c r="C439" s="533"/>
      <c r="D439" s="514" t="s">
        <v>13497</v>
      </c>
      <c r="E439" s="515">
        <v>6.5</v>
      </c>
      <c r="F439" s="518" t="s">
        <v>614</v>
      </c>
      <c r="G439" s="515" t="s">
        <v>2523</v>
      </c>
      <c r="H439" s="514" t="s">
        <v>1226</v>
      </c>
      <c r="I439" s="515">
        <v>3</v>
      </c>
      <c r="J439" s="515">
        <v>6</v>
      </c>
    </row>
    <row r="440" spans="1:10" ht="13.8" thickBot="1">
      <c r="A440" s="517"/>
      <c r="B440" s="518" t="s">
        <v>13496</v>
      </c>
      <c r="C440" s="533"/>
      <c r="D440" s="514" t="s">
        <v>13495</v>
      </c>
      <c r="E440" s="515">
        <v>6.5</v>
      </c>
      <c r="F440" s="518" t="s">
        <v>614</v>
      </c>
      <c r="G440" s="515" t="s">
        <v>2523</v>
      </c>
      <c r="H440" s="514" t="s">
        <v>1226</v>
      </c>
      <c r="I440" s="515">
        <v>1</v>
      </c>
      <c r="J440" s="515">
        <v>6</v>
      </c>
    </row>
    <row r="441" spans="1:10" ht="13.8" thickBot="1">
      <c r="A441" s="517"/>
      <c r="B441" s="518" t="s">
        <v>13494</v>
      </c>
      <c r="C441" s="533"/>
      <c r="D441" s="514" t="s">
        <v>13493</v>
      </c>
      <c r="E441" s="515">
        <v>6.5</v>
      </c>
      <c r="F441" s="518" t="s">
        <v>614</v>
      </c>
      <c r="G441" s="515" t="s">
        <v>2523</v>
      </c>
      <c r="H441" s="514" t="s">
        <v>1226</v>
      </c>
      <c r="I441" s="515"/>
      <c r="J441" s="515">
        <v>5</v>
      </c>
    </row>
    <row r="442" spans="1:10" ht="13.8" thickBot="1">
      <c r="A442" s="517"/>
      <c r="B442" s="518" t="s">
        <v>13492</v>
      </c>
      <c r="C442" s="533"/>
      <c r="D442" s="514" t="s">
        <v>13491</v>
      </c>
      <c r="E442" s="515">
        <v>6.5</v>
      </c>
      <c r="F442" s="518" t="s">
        <v>614</v>
      </c>
      <c r="G442" s="515" t="s">
        <v>2523</v>
      </c>
      <c r="H442" s="514" t="s">
        <v>1226</v>
      </c>
      <c r="I442" s="515"/>
      <c r="J442" s="515">
        <v>5</v>
      </c>
    </row>
    <row r="443" spans="1:10" ht="13.8" thickBot="1">
      <c r="A443" s="517"/>
      <c r="B443" s="518" t="s">
        <v>13490</v>
      </c>
      <c r="C443" s="533"/>
      <c r="D443" s="514" t="s">
        <v>13489</v>
      </c>
      <c r="E443" s="515">
        <v>6.5</v>
      </c>
      <c r="F443" s="518" t="s">
        <v>614</v>
      </c>
      <c r="G443" s="515" t="s">
        <v>2523</v>
      </c>
      <c r="H443" s="514" t="s">
        <v>1226</v>
      </c>
      <c r="I443" s="515"/>
      <c r="J443" s="515">
        <v>3</v>
      </c>
    </row>
    <row r="444" spans="1:10" ht="13.8" thickBot="1">
      <c r="A444" s="517"/>
      <c r="B444" s="518" t="s">
        <v>13976</v>
      </c>
      <c r="C444" s="533"/>
      <c r="D444" s="514" t="s">
        <v>13975</v>
      </c>
      <c r="E444" s="515">
        <v>6.5</v>
      </c>
      <c r="F444" s="518" t="s">
        <v>614</v>
      </c>
      <c r="G444" s="515" t="s">
        <v>1922</v>
      </c>
      <c r="H444" s="514" t="s">
        <v>1226</v>
      </c>
      <c r="I444" s="515"/>
      <c r="J444" s="515">
        <v>6</v>
      </c>
    </row>
    <row r="445" spans="1:10" ht="13.8" thickBot="1">
      <c r="A445" s="517"/>
      <c r="B445" s="518" t="s">
        <v>13179</v>
      </c>
      <c r="C445" s="533"/>
      <c r="D445" s="514" t="s">
        <v>13178</v>
      </c>
      <c r="E445" s="515">
        <v>6.5</v>
      </c>
      <c r="F445" s="518" t="s">
        <v>614</v>
      </c>
      <c r="G445" s="515" t="s">
        <v>2884</v>
      </c>
      <c r="H445" s="514" t="s">
        <v>1226</v>
      </c>
      <c r="I445" s="515"/>
      <c r="J445" s="515">
        <v>4</v>
      </c>
    </row>
    <row r="446" spans="1:10" ht="13.8" thickBot="1">
      <c r="A446" s="517"/>
      <c r="B446" s="518" t="s">
        <v>13133</v>
      </c>
      <c r="C446" s="533"/>
      <c r="D446" s="514" t="s">
        <v>13132</v>
      </c>
      <c r="E446" s="515">
        <v>6.5</v>
      </c>
      <c r="F446" s="518" t="s">
        <v>614</v>
      </c>
      <c r="G446" s="515" t="s">
        <v>2957</v>
      </c>
      <c r="H446" s="514" t="s">
        <v>1226</v>
      </c>
      <c r="I446" s="515">
        <v>1</v>
      </c>
      <c r="J446" s="515">
        <v>7</v>
      </c>
    </row>
    <row r="447" spans="1:10" ht="13.8" thickBot="1">
      <c r="A447" s="517"/>
      <c r="B447" s="518" t="s">
        <v>13131</v>
      </c>
      <c r="C447" s="533"/>
      <c r="D447" s="514" t="s">
        <v>1571</v>
      </c>
      <c r="E447" s="515">
        <v>6.5</v>
      </c>
      <c r="F447" s="518" t="s">
        <v>614</v>
      </c>
      <c r="G447" s="515" t="s">
        <v>2957</v>
      </c>
      <c r="H447" s="514" t="s">
        <v>1226</v>
      </c>
      <c r="I447" s="515"/>
      <c r="J447" s="515">
        <v>7</v>
      </c>
    </row>
    <row r="448" spans="1:10" ht="13.8" thickBot="1">
      <c r="A448" s="517"/>
      <c r="B448" s="518" t="s">
        <v>12970</v>
      </c>
      <c r="C448" s="533"/>
      <c r="D448" s="514" t="s">
        <v>3122</v>
      </c>
      <c r="E448" s="515">
        <v>6.5</v>
      </c>
      <c r="F448" s="518" t="s">
        <v>614</v>
      </c>
      <c r="G448" s="515" t="s">
        <v>3116</v>
      </c>
      <c r="H448" s="514" t="s">
        <v>1226</v>
      </c>
      <c r="I448" s="515"/>
      <c r="J448" s="515">
        <v>2</v>
      </c>
    </row>
    <row r="449" spans="1:10" ht="13.8" thickBot="1">
      <c r="A449" s="517"/>
      <c r="B449" s="518" t="s">
        <v>12942</v>
      </c>
      <c r="C449" s="533"/>
      <c r="D449" s="514" t="s">
        <v>12941</v>
      </c>
      <c r="E449" s="515">
        <v>6.5</v>
      </c>
      <c r="F449" s="518" t="s">
        <v>614</v>
      </c>
      <c r="G449" s="515" t="s">
        <v>3161</v>
      </c>
      <c r="H449" s="514" t="s">
        <v>1226</v>
      </c>
      <c r="I449" s="515">
        <v>1</v>
      </c>
      <c r="J449" s="515">
        <v>4</v>
      </c>
    </row>
    <row r="450" spans="1:10" ht="13.8" thickBot="1">
      <c r="A450" s="517"/>
      <c r="B450" s="518" t="s">
        <v>12940</v>
      </c>
      <c r="C450" s="533"/>
      <c r="D450" s="514" t="s">
        <v>12939</v>
      </c>
      <c r="E450" s="515">
        <v>6.5</v>
      </c>
      <c r="F450" s="518" t="s">
        <v>1854</v>
      </c>
      <c r="G450" s="515" t="s">
        <v>3161</v>
      </c>
      <c r="H450" s="514" t="s">
        <v>1226</v>
      </c>
      <c r="I450" s="515"/>
      <c r="J450" s="515">
        <v>2</v>
      </c>
    </row>
    <row r="451" spans="1:10" ht="13.8" thickBot="1">
      <c r="A451" s="517"/>
      <c r="B451" s="518" t="s">
        <v>12938</v>
      </c>
      <c r="C451" s="533"/>
      <c r="D451" s="514" t="s">
        <v>1390</v>
      </c>
      <c r="E451" s="515">
        <v>6.5</v>
      </c>
      <c r="F451" s="514"/>
      <c r="G451" s="515" t="s">
        <v>3161</v>
      </c>
      <c r="H451" s="514" t="s">
        <v>1226</v>
      </c>
      <c r="I451" s="515"/>
      <c r="J451" s="515">
        <v>2</v>
      </c>
    </row>
    <row r="452" spans="1:10" ht="13.8" thickBot="1">
      <c r="A452" s="517"/>
      <c r="B452" s="518" t="s">
        <v>12895</v>
      </c>
      <c r="C452" s="533"/>
      <c r="D452" s="514" t="s">
        <v>1433</v>
      </c>
      <c r="E452" s="515">
        <v>6.5</v>
      </c>
      <c r="F452" s="518" t="s">
        <v>614</v>
      </c>
      <c r="G452" s="515" t="s">
        <v>3315</v>
      </c>
      <c r="H452" s="514" t="s">
        <v>1226</v>
      </c>
      <c r="I452" s="515"/>
      <c r="J452" s="515">
        <v>2</v>
      </c>
    </row>
    <row r="453" spans="1:10" ht="13.8" thickBot="1">
      <c r="A453" s="517"/>
      <c r="B453" s="518" t="s">
        <v>12871</v>
      </c>
      <c r="C453" s="533"/>
      <c r="D453" s="514" t="s">
        <v>12870</v>
      </c>
      <c r="E453" s="515">
        <v>6.5</v>
      </c>
      <c r="F453" s="518" t="s">
        <v>614</v>
      </c>
      <c r="G453" s="515" t="s">
        <v>3414</v>
      </c>
      <c r="H453" s="514" t="s">
        <v>1226</v>
      </c>
      <c r="I453" s="515"/>
      <c r="J453" s="515">
        <v>2</v>
      </c>
    </row>
    <row r="454" spans="1:10" ht="13.8" thickBot="1">
      <c r="A454" s="517"/>
      <c r="B454" s="518" t="s">
        <v>12849</v>
      </c>
      <c r="C454" s="533"/>
      <c r="D454" s="514" t="s">
        <v>12848</v>
      </c>
      <c r="E454" s="515">
        <v>6.5</v>
      </c>
      <c r="F454" s="518" t="s">
        <v>614</v>
      </c>
      <c r="G454" s="515" t="s">
        <v>3452</v>
      </c>
      <c r="H454" s="514" t="s">
        <v>1226</v>
      </c>
      <c r="I454" s="515">
        <v>2</v>
      </c>
      <c r="J454" s="515">
        <v>6</v>
      </c>
    </row>
    <row r="455" spans="1:10" ht="13.8" thickBot="1">
      <c r="A455" s="517"/>
      <c r="B455" s="518" t="s">
        <v>12847</v>
      </c>
      <c r="C455" s="533"/>
      <c r="D455" s="519" t="s">
        <v>12846</v>
      </c>
      <c r="E455" s="515">
        <v>6.5</v>
      </c>
      <c r="F455" s="518" t="s">
        <v>614</v>
      </c>
      <c r="G455" s="515" t="s">
        <v>3452</v>
      </c>
      <c r="H455" s="514" t="s">
        <v>1226</v>
      </c>
      <c r="I455" s="515"/>
      <c r="J455" s="515">
        <v>3</v>
      </c>
    </row>
    <row r="456" spans="1:10" ht="13.8" thickBot="1">
      <c r="A456" s="517"/>
      <c r="B456" s="518" t="s">
        <v>12789</v>
      </c>
      <c r="C456" s="533"/>
      <c r="D456" s="519" t="s">
        <v>12788</v>
      </c>
      <c r="E456" s="515">
        <v>6.5</v>
      </c>
      <c r="F456" s="518" t="s">
        <v>614</v>
      </c>
      <c r="G456" s="515" t="s">
        <v>3517</v>
      </c>
      <c r="H456" s="514" t="s">
        <v>1226</v>
      </c>
      <c r="I456" s="515">
        <v>3</v>
      </c>
      <c r="J456" s="515">
        <v>10</v>
      </c>
    </row>
    <row r="457" spans="1:10" ht="13.8" thickBot="1">
      <c r="A457" s="517"/>
      <c r="B457" s="518" t="s">
        <v>12787</v>
      </c>
      <c r="C457" s="533"/>
      <c r="D457" s="514" t="s">
        <v>12786</v>
      </c>
      <c r="E457" s="515">
        <v>6.5</v>
      </c>
      <c r="F457" s="518" t="s">
        <v>614</v>
      </c>
      <c r="G457" s="515" t="s">
        <v>3517</v>
      </c>
      <c r="H457" s="514" t="s">
        <v>1226</v>
      </c>
      <c r="I457" s="515"/>
      <c r="J457" s="515">
        <v>6</v>
      </c>
    </row>
    <row r="458" spans="1:10" ht="13.8" thickBot="1">
      <c r="A458" s="517"/>
      <c r="B458" s="518" t="s">
        <v>12785</v>
      </c>
      <c r="C458" s="533"/>
      <c r="D458" s="514" t="s">
        <v>12784</v>
      </c>
      <c r="E458" s="515">
        <v>6.5</v>
      </c>
      <c r="F458" s="518" t="s">
        <v>614</v>
      </c>
      <c r="G458" s="515" t="s">
        <v>3517</v>
      </c>
      <c r="H458" s="514" t="s">
        <v>1226</v>
      </c>
      <c r="I458" s="522">
        <v>1</v>
      </c>
      <c r="J458" s="515">
        <v>6</v>
      </c>
    </row>
    <row r="459" spans="1:10" ht="13.8" thickBot="1">
      <c r="A459" s="517"/>
      <c r="B459" s="518" t="s">
        <v>12783</v>
      </c>
      <c r="C459" s="533"/>
      <c r="D459" s="514" t="s">
        <v>12782</v>
      </c>
      <c r="E459" s="515">
        <v>6.5</v>
      </c>
      <c r="F459" s="518" t="s">
        <v>614</v>
      </c>
      <c r="G459" s="515" t="s">
        <v>3517</v>
      </c>
      <c r="H459" s="514" t="s">
        <v>1226</v>
      </c>
      <c r="I459" s="515"/>
      <c r="J459" s="515">
        <v>6</v>
      </c>
    </row>
    <row r="460" spans="1:10" ht="13.8" thickBot="1">
      <c r="A460" s="517"/>
      <c r="B460" s="518" t="s">
        <v>12687</v>
      </c>
      <c r="C460" s="533"/>
      <c r="D460" s="514" t="s">
        <v>12686</v>
      </c>
      <c r="E460" s="515">
        <v>6.5</v>
      </c>
      <c r="F460" s="518" t="s">
        <v>614</v>
      </c>
      <c r="G460" s="515" t="s">
        <v>3652</v>
      </c>
      <c r="H460" s="514" t="s">
        <v>1226</v>
      </c>
      <c r="I460" s="515"/>
      <c r="J460" s="515">
        <v>6</v>
      </c>
    </row>
    <row r="461" spans="1:10" ht="13.8" thickBot="1">
      <c r="A461" s="517"/>
      <c r="B461" s="518" t="s">
        <v>12646</v>
      </c>
      <c r="C461" s="533"/>
      <c r="D461" s="514" t="s">
        <v>3785</v>
      </c>
      <c r="E461" s="515">
        <v>6.5</v>
      </c>
      <c r="F461" s="518" t="s">
        <v>614</v>
      </c>
      <c r="G461" s="515" t="s">
        <v>3734</v>
      </c>
      <c r="H461" s="514" t="s">
        <v>1226</v>
      </c>
      <c r="I461" s="515">
        <v>1</v>
      </c>
      <c r="J461" s="515">
        <v>7</v>
      </c>
    </row>
    <row r="462" spans="1:10" ht="13.8" thickBot="1">
      <c r="A462" s="517"/>
      <c r="B462" s="518" t="s">
        <v>12590</v>
      </c>
      <c r="C462" s="533"/>
      <c r="D462" s="514" t="s">
        <v>12589</v>
      </c>
      <c r="E462" s="515">
        <v>6.5</v>
      </c>
      <c r="F462" s="518" t="s">
        <v>614</v>
      </c>
      <c r="G462" s="515" t="s">
        <v>3807</v>
      </c>
      <c r="H462" s="514" t="s">
        <v>1226</v>
      </c>
      <c r="I462" s="515"/>
      <c r="J462" s="515">
        <v>3</v>
      </c>
    </row>
    <row r="463" spans="1:10" ht="13.8" thickBot="1">
      <c r="A463" s="517"/>
      <c r="B463" s="518" t="s">
        <v>12492</v>
      </c>
      <c r="C463" s="533"/>
      <c r="D463" s="514" t="s">
        <v>3908</v>
      </c>
      <c r="E463" s="515">
        <v>6.5</v>
      </c>
      <c r="F463" s="518" t="s">
        <v>614</v>
      </c>
      <c r="G463" s="515" t="s">
        <v>3903</v>
      </c>
      <c r="H463" s="514" t="s">
        <v>1226</v>
      </c>
      <c r="I463" s="515">
        <v>1</v>
      </c>
      <c r="J463" s="515">
        <v>9</v>
      </c>
    </row>
    <row r="464" spans="1:10" ht="13.8" thickBot="1">
      <c r="A464" s="517"/>
      <c r="B464" s="518" t="s">
        <v>12474</v>
      </c>
      <c r="C464" s="533"/>
      <c r="D464" s="514" t="s">
        <v>1519</v>
      </c>
      <c r="E464" s="515">
        <v>6.5</v>
      </c>
      <c r="F464" s="518" t="s">
        <v>614</v>
      </c>
      <c r="G464" s="515" t="s">
        <v>3957</v>
      </c>
      <c r="H464" s="514" t="s">
        <v>1226</v>
      </c>
      <c r="I464" s="515"/>
      <c r="J464" s="515">
        <v>3</v>
      </c>
    </row>
    <row r="465" spans="1:10" ht="13.8" thickBot="1">
      <c r="A465" s="517"/>
      <c r="B465" s="518" t="s">
        <v>12385</v>
      </c>
      <c r="C465" s="533"/>
      <c r="D465" s="514" t="s">
        <v>12384</v>
      </c>
      <c r="E465" s="515">
        <v>6.5</v>
      </c>
      <c r="F465" s="518" t="s">
        <v>614</v>
      </c>
      <c r="G465" s="515" t="s">
        <v>4160</v>
      </c>
      <c r="H465" s="514" t="s">
        <v>1226</v>
      </c>
      <c r="I465" s="515"/>
      <c r="J465" s="515">
        <v>6</v>
      </c>
    </row>
    <row r="466" spans="1:10" ht="13.8" thickBot="1">
      <c r="A466" s="517"/>
      <c r="B466" s="514" t="s">
        <v>12383</v>
      </c>
      <c r="C466" s="533"/>
      <c r="D466" s="514" t="s">
        <v>12382</v>
      </c>
      <c r="E466" s="515">
        <v>6.5</v>
      </c>
      <c r="F466" s="518" t="s">
        <v>614</v>
      </c>
      <c r="G466" s="515" t="s">
        <v>4160</v>
      </c>
      <c r="H466" s="514" t="s">
        <v>1226</v>
      </c>
      <c r="I466" s="515"/>
      <c r="J466" s="515">
        <v>1</v>
      </c>
    </row>
    <row r="467" spans="1:10" ht="13.8" thickBot="1">
      <c r="A467" s="517"/>
      <c r="B467" s="518" t="s">
        <v>12347</v>
      </c>
      <c r="C467" s="533"/>
      <c r="D467" s="514" t="s">
        <v>12346</v>
      </c>
      <c r="E467" s="515">
        <v>6.5</v>
      </c>
      <c r="F467" s="518" t="s">
        <v>614</v>
      </c>
      <c r="G467" s="515" t="s">
        <v>4214</v>
      </c>
      <c r="H467" s="514" t="s">
        <v>1226</v>
      </c>
      <c r="I467" s="515"/>
      <c r="J467" s="515">
        <v>2</v>
      </c>
    </row>
    <row r="468" spans="1:10" ht="13.8" thickBot="1">
      <c r="A468" s="517"/>
      <c r="B468" s="518" t="s">
        <v>12260</v>
      </c>
      <c r="C468" s="533"/>
      <c r="D468" s="514" t="s">
        <v>12259</v>
      </c>
      <c r="E468" s="515">
        <v>6.5</v>
      </c>
      <c r="F468" s="518" t="s">
        <v>614</v>
      </c>
      <c r="G468" s="515" t="s">
        <v>4438</v>
      </c>
      <c r="H468" s="514" t="s">
        <v>1226</v>
      </c>
      <c r="I468" s="515">
        <v>3</v>
      </c>
      <c r="J468" s="515">
        <v>7</v>
      </c>
    </row>
    <row r="469" spans="1:10" ht="13.8" thickBot="1">
      <c r="A469" s="517"/>
      <c r="B469" s="518" t="s">
        <v>12225</v>
      </c>
      <c r="C469" s="533"/>
      <c r="D469" s="514" t="s">
        <v>12224</v>
      </c>
      <c r="E469" s="515">
        <v>6.5</v>
      </c>
      <c r="F469" s="518" t="s">
        <v>614</v>
      </c>
      <c r="G469" s="515" t="s">
        <v>4672</v>
      </c>
      <c r="H469" s="514" t="s">
        <v>1226</v>
      </c>
      <c r="I469" s="515"/>
      <c r="J469" s="515">
        <v>5</v>
      </c>
    </row>
    <row r="470" spans="1:10" ht="13.8" thickBot="1">
      <c r="A470" s="517"/>
      <c r="B470" s="518" t="s">
        <v>12207</v>
      </c>
      <c r="C470" s="533"/>
      <c r="D470" s="514" t="s">
        <v>12206</v>
      </c>
      <c r="E470" s="515">
        <v>6.5</v>
      </c>
      <c r="F470" s="518" t="s">
        <v>614</v>
      </c>
      <c r="G470" s="515" t="s">
        <v>4717</v>
      </c>
      <c r="H470" s="514" t="s">
        <v>1226</v>
      </c>
      <c r="I470" s="515"/>
      <c r="J470" s="515">
        <v>2</v>
      </c>
    </row>
    <row r="471" spans="1:10" ht="13.8" thickBot="1">
      <c r="A471" s="517"/>
      <c r="B471" s="518" t="s">
        <v>13193</v>
      </c>
      <c r="C471" s="533"/>
      <c r="D471" s="514" t="s">
        <v>13192</v>
      </c>
      <c r="E471" s="515">
        <v>6.5</v>
      </c>
      <c r="F471" s="518" t="s">
        <v>614</v>
      </c>
      <c r="G471" s="515" t="s">
        <v>2841</v>
      </c>
      <c r="H471" s="514" t="s">
        <v>2067</v>
      </c>
      <c r="I471" s="515">
        <v>3</v>
      </c>
      <c r="J471" s="515">
        <v>21</v>
      </c>
    </row>
    <row r="472" spans="1:10" ht="13.8" thickBot="1">
      <c r="A472" s="517"/>
      <c r="B472" s="518" t="s">
        <v>12645</v>
      </c>
      <c r="C472" s="533"/>
      <c r="D472" s="514" t="s">
        <v>12644</v>
      </c>
      <c r="E472" s="515">
        <v>6.5</v>
      </c>
      <c r="F472" s="518" t="s">
        <v>614</v>
      </c>
      <c r="G472" s="515" t="s">
        <v>3734</v>
      </c>
      <c r="H472" s="514" t="s">
        <v>2067</v>
      </c>
      <c r="I472" s="515"/>
      <c r="J472" s="515">
        <v>5</v>
      </c>
    </row>
    <row r="473" spans="1:10" ht="13.8" thickBot="1">
      <c r="A473" s="517"/>
      <c r="B473" s="518" t="s">
        <v>14225</v>
      </c>
      <c r="C473" s="533"/>
      <c r="D473" s="514" t="s">
        <v>14224</v>
      </c>
      <c r="E473" s="515">
        <v>6.5</v>
      </c>
      <c r="F473" s="518" t="s">
        <v>614</v>
      </c>
      <c r="G473" s="515" t="s">
        <v>1793</v>
      </c>
      <c r="H473" s="514" t="s">
        <v>1224</v>
      </c>
      <c r="I473" s="515">
        <v>3</v>
      </c>
      <c r="J473" s="515">
        <v>11</v>
      </c>
    </row>
    <row r="474" spans="1:10" ht="13.8" thickBot="1">
      <c r="A474" s="517"/>
      <c r="B474" s="518" t="s">
        <v>12137</v>
      </c>
      <c r="C474" s="533"/>
      <c r="D474" s="514" t="s">
        <v>12136</v>
      </c>
      <c r="E474" s="515">
        <v>6.5</v>
      </c>
      <c r="F474" s="518" t="s">
        <v>1854</v>
      </c>
      <c r="G474" s="515" t="s">
        <v>4970</v>
      </c>
      <c r="H474" s="514" t="s">
        <v>1224</v>
      </c>
      <c r="I474" s="515"/>
      <c r="J474" s="515">
        <v>1</v>
      </c>
    </row>
    <row r="475" spans="1:10" ht="13.8" thickBot="1">
      <c r="A475" s="517"/>
      <c r="B475" s="518" t="s">
        <v>12037</v>
      </c>
      <c r="C475" s="533"/>
      <c r="D475" s="514" t="s">
        <v>12036</v>
      </c>
      <c r="E475" s="515">
        <v>6.5</v>
      </c>
      <c r="F475" s="518" t="s">
        <v>614</v>
      </c>
      <c r="G475" s="515" t="s">
        <v>5042</v>
      </c>
      <c r="H475" s="514" t="s">
        <v>1224</v>
      </c>
      <c r="I475" s="515"/>
      <c r="J475" s="515">
        <v>4</v>
      </c>
    </row>
    <row r="476" spans="1:10" ht="13.8" thickBot="1">
      <c r="A476" s="517"/>
      <c r="B476" s="518" t="s">
        <v>12018</v>
      </c>
      <c r="C476" s="533"/>
      <c r="D476" s="514" t="s">
        <v>12017</v>
      </c>
      <c r="E476" s="515">
        <v>6.5</v>
      </c>
      <c r="F476" s="518" t="s">
        <v>614</v>
      </c>
      <c r="G476" s="515" t="s">
        <v>5086</v>
      </c>
      <c r="H476" s="514" t="s">
        <v>1224</v>
      </c>
      <c r="I476" s="515">
        <v>1</v>
      </c>
      <c r="J476" s="522">
        <v>3</v>
      </c>
    </row>
    <row r="477" spans="1:10" ht="13.8" thickBot="1">
      <c r="A477" s="517"/>
      <c r="B477" s="518" t="s">
        <v>11923</v>
      </c>
      <c r="C477" s="533"/>
      <c r="D477" s="514" t="s">
        <v>11922</v>
      </c>
      <c r="E477" s="515">
        <v>6.5</v>
      </c>
      <c r="F477" s="518" t="s">
        <v>614</v>
      </c>
      <c r="G477" s="515" t="s">
        <v>5226</v>
      </c>
      <c r="H477" s="514" t="s">
        <v>1224</v>
      </c>
      <c r="I477" s="515"/>
      <c r="J477" s="515">
        <v>3</v>
      </c>
    </row>
    <row r="478" spans="1:10" ht="13.8" thickBot="1">
      <c r="A478" s="517"/>
      <c r="B478" s="518" t="s">
        <v>11833</v>
      </c>
      <c r="C478" s="533"/>
      <c r="D478" s="514" t="s">
        <v>11832</v>
      </c>
      <c r="E478" s="515">
        <v>6.5</v>
      </c>
      <c r="F478" s="518" t="s">
        <v>614</v>
      </c>
      <c r="G478" s="515" t="s">
        <v>5319</v>
      </c>
      <c r="H478" s="514" t="s">
        <v>1224</v>
      </c>
      <c r="I478" s="522"/>
      <c r="J478" s="515">
        <v>2</v>
      </c>
    </row>
    <row r="479" spans="1:10" ht="13.8" thickBot="1">
      <c r="A479" s="517"/>
      <c r="B479" s="518" t="s">
        <v>13598</v>
      </c>
      <c r="C479" s="533"/>
      <c r="D479" s="514" t="s">
        <v>13597</v>
      </c>
      <c r="E479" s="515">
        <v>6.5</v>
      </c>
      <c r="F479" s="518" t="s">
        <v>1854</v>
      </c>
      <c r="G479" s="515" t="s">
        <v>2449</v>
      </c>
      <c r="H479" s="514" t="s">
        <v>1224</v>
      </c>
      <c r="I479" s="515">
        <v>2</v>
      </c>
      <c r="J479" s="515">
        <v>6</v>
      </c>
    </row>
    <row r="480" spans="1:10" ht="13.8" thickBot="1">
      <c r="A480" s="517"/>
      <c r="B480" s="518" t="s">
        <v>13488</v>
      </c>
      <c r="C480" s="533"/>
      <c r="D480" s="519" t="s">
        <v>13487</v>
      </c>
      <c r="E480" s="515">
        <v>6.5</v>
      </c>
      <c r="F480" s="514"/>
      <c r="G480" s="515" t="s">
        <v>2523</v>
      </c>
      <c r="H480" s="514" t="s">
        <v>1224</v>
      </c>
      <c r="I480" s="515"/>
      <c r="J480" s="515">
        <v>5</v>
      </c>
    </row>
    <row r="481" spans="1:10" ht="13.8" thickBot="1">
      <c r="A481" s="517"/>
      <c r="B481" s="518" t="s">
        <v>13486</v>
      </c>
      <c r="C481" s="533"/>
      <c r="D481" s="514" t="s">
        <v>13485</v>
      </c>
      <c r="E481" s="515">
        <v>6.5</v>
      </c>
      <c r="F481" s="518" t="s">
        <v>614</v>
      </c>
      <c r="G481" s="515" t="s">
        <v>2523</v>
      </c>
      <c r="H481" s="514" t="s">
        <v>1224</v>
      </c>
      <c r="I481" s="515"/>
      <c r="J481" s="522">
        <v>3</v>
      </c>
    </row>
    <row r="482" spans="1:10" ht="13.8" thickBot="1">
      <c r="A482" s="517"/>
      <c r="B482" s="518" t="s">
        <v>13484</v>
      </c>
      <c r="C482" s="533"/>
      <c r="D482" s="514" t="s">
        <v>2552</v>
      </c>
      <c r="E482" s="515">
        <v>6.5</v>
      </c>
      <c r="F482" s="514"/>
      <c r="G482" s="515" t="s">
        <v>2523</v>
      </c>
      <c r="H482" s="514" t="s">
        <v>1224</v>
      </c>
      <c r="I482" s="515"/>
      <c r="J482" s="515">
        <v>2</v>
      </c>
    </row>
    <row r="483" spans="1:10" ht="13.8" thickBot="1">
      <c r="A483" s="517"/>
      <c r="B483" s="518" t="s">
        <v>13483</v>
      </c>
      <c r="C483" s="533"/>
      <c r="D483" s="514" t="s">
        <v>13482</v>
      </c>
      <c r="E483" s="515">
        <v>6.5</v>
      </c>
      <c r="F483" s="518" t="s">
        <v>614</v>
      </c>
      <c r="G483" s="515" t="s">
        <v>2523</v>
      </c>
      <c r="H483" s="514" t="s">
        <v>1224</v>
      </c>
      <c r="I483" s="515"/>
      <c r="J483" s="515">
        <v>1</v>
      </c>
    </row>
    <row r="484" spans="1:10" ht="13.8" thickBot="1">
      <c r="A484" s="517"/>
      <c r="B484" s="518" t="s">
        <v>13130</v>
      </c>
      <c r="C484" s="533"/>
      <c r="D484" s="514" t="s">
        <v>13129</v>
      </c>
      <c r="E484" s="515">
        <v>6.5</v>
      </c>
      <c r="F484" s="518" t="s">
        <v>614</v>
      </c>
      <c r="G484" s="515" t="s">
        <v>2957</v>
      </c>
      <c r="H484" s="514" t="s">
        <v>1224</v>
      </c>
      <c r="I484" s="515"/>
      <c r="J484" s="515">
        <v>4</v>
      </c>
    </row>
    <row r="485" spans="1:10" ht="13.8" thickBot="1">
      <c r="A485" s="517"/>
      <c r="B485" s="518" t="s">
        <v>12887</v>
      </c>
      <c r="C485" s="533"/>
      <c r="D485" s="514" t="s">
        <v>12886</v>
      </c>
      <c r="E485" s="515">
        <v>6.5</v>
      </c>
      <c r="F485" s="518" t="s">
        <v>614</v>
      </c>
      <c r="G485" s="515" t="s">
        <v>3351</v>
      </c>
      <c r="H485" s="514" t="s">
        <v>1224</v>
      </c>
      <c r="I485" s="515"/>
      <c r="J485" s="515">
        <v>3</v>
      </c>
    </row>
    <row r="486" spans="1:10" ht="13.8" thickBot="1">
      <c r="A486" s="517"/>
      <c r="B486" s="518" t="s">
        <v>12491</v>
      </c>
      <c r="C486" s="533"/>
      <c r="D486" s="514" t="s">
        <v>12490</v>
      </c>
      <c r="E486" s="515">
        <v>6.5</v>
      </c>
      <c r="F486" s="514"/>
      <c r="G486" s="515" t="s">
        <v>3903</v>
      </c>
      <c r="H486" s="514" t="s">
        <v>1224</v>
      </c>
      <c r="I486" s="515"/>
      <c r="J486" s="515">
        <v>4</v>
      </c>
    </row>
    <row r="487" spans="1:10" ht="13.8" thickBot="1">
      <c r="A487" s="517"/>
      <c r="B487" s="518" t="s">
        <v>13169</v>
      </c>
      <c r="C487" s="533"/>
      <c r="D487" s="514" t="s">
        <v>1365</v>
      </c>
      <c r="E487" s="515">
        <v>6.5</v>
      </c>
      <c r="F487" s="518" t="s">
        <v>614</v>
      </c>
      <c r="G487" s="515" t="s">
        <v>2943</v>
      </c>
      <c r="H487" s="514" t="s">
        <v>1975</v>
      </c>
      <c r="I487" s="515"/>
      <c r="J487" s="515">
        <v>4</v>
      </c>
    </row>
    <row r="488" spans="1:10" ht="13.8" thickBot="1">
      <c r="A488" s="517"/>
      <c r="B488" s="518" t="s">
        <v>12199</v>
      </c>
      <c r="C488" s="533"/>
      <c r="D488" s="514" t="s">
        <v>12198</v>
      </c>
      <c r="E488" s="515">
        <v>6.5</v>
      </c>
      <c r="F488" s="518" t="s">
        <v>614</v>
      </c>
      <c r="G488" s="515" t="s">
        <v>4789</v>
      </c>
      <c r="H488" s="514" t="s">
        <v>1220</v>
      </c>
      <c r="I488" s="515"/>
      <c r="J488" s="515">
        <v>2</v>
      </c>
    </row>
    <row r="489" spans="1:10" ht="13.8" thickBot="1">
      <c r="A489" s="517"/>
      <c r="B489" s="518" t="s">
        <v>12532</v>
      </c>
      <c r="C489" s="533"/>
      <c r="D489" s="519" t="s">
        <v>12531</v>
      </c>
      <c r="E489" s="515">
        <v>6.5</v>
      </c>
      <c r="F489" s="518" t="s">
        <v>614</v>
      </c>
      <c r="G489" s="515" t="s">
        <v>3856</v>
      </c>
      <c r="H489" s="514" t="s">
        <v>1220</v>
      </c>
      <c r="I489" s="515">
        <v>2</v>
      </c>
      <c r="J489" s="515">
        <v>7</v>
      </c>
    </row>
    <row r="490" spans="1:10" ht="13.8" thickBot="1">
      <c r="A490" s="517"/>
      <c r="B490" s="518" t="s">
        <v>14223</v>
      </c>
      <c r="C490" s="533"/>
      <c r="D490" s="519" t="s">
        <v>14222</v>
      </c>
      <c r="E490" s="515">
        <v>6.5</v>
      </c>
      <c r="F490" s="518" t="s">
        <v>1854</v>
      </c>
      <c r="G490" s="515" t="s">
        <v>1793</v>
      </c>
      <c r="H490" s="514"/>
      <c r="I490" s="515">
        <v>1</v>
      </c>
      <c r="J490" s="515">
        <v>4</v>
      </c>
    </row>
    <row r="491" spans="1:10" ht="13.8" thickBot="1">
      <c r="A491" s="517"/>
      <c r="B491" s="518" t="s">
        <v>14221</v>
      </c>
      <c r="C491" s="533"/>
      <c r="D491" s="514" t="s">
        <v>1792</v>
      </c>
      <c r="E491" s="515">
        <v>6.5</v>
      </c>
      <c r="F491" s="518" t="s">
        <v>13841</v>
      </c>
      <c r="G491" s="515" t="s">
        <v>1793</v>
      </c>
      <c r="H491" s="514"/>
      <c r="I491" s="515"/>
      <c r="J491" s="515">
        <v>3</v>
      </c>
    </row>
    <row r="492" spans="1:10" ht="13.8" thickBot="1">
      <c r="A492" s="517"/>
      <c r="B492" s="518" t="s">
        <v>14220</v>
      </c>
      <c r="C492" s="533"/>
      <c r="D492" s="514" t="s">
        <v>14219</v>
      </c>
      <c r="E492" s="515">
        <v>6.5</v>
      </c>
      <c r="F492" s="518" t="s">
        <v>614</v>
      </c>
      <c r="G492" s="515" t="s">
        <v>1793</v>
      </c>
      <c r="H492" s="514"/>
      <c r="I492" s="515"/>
      <c r="J492" s="515">
        <v>3</v>
      </c>
    </row>
    <row r="493" spans="1:10" ht="13.8" thickBot="1">
      <c r="A493" s="517"/>
      <c r="B493" s="518" t="s">
        <v>14218</v>
      </c>
      <c r="C493" s="533"/>
      <c r="D493" s="514" t="s">
        <v>1797</v>
      </c>
      <c r="E493" s="515">
        <v>6.5</v>
      </c>
      <c r="F493" s="518" t="s">
        <v>614</v>
      </c>
      <c r="G493" s="515" t="s">
        <v>1793</v>
      </c>
      <c r="H493" s="514"/>
      <c r="I493" s="522"/>
      <c r="J493" s="522">
        <v>2</v>
      </c>
    </row>
    <row r="494" spans="1:10" ht="13.8" thickBot="1">
      <c r="A494" s="517"/>
      <c r="B494" s="518" t="s">
        <v>14217</v>
      </c>
      <c r="C494" s="533"/>
      <c r="D494" s="514" t="s">
        <v>14216</v>
      </c>
      <c r="E494" s="515">
        <v>6.5</v>
      </c>
      <c r="F494" s="518" t="s">
        <v>1854</v>
      </c>
      <c r="G494" s="515" t="s">
        <v>1793</v>
      </c>
      <c r="H494" s="514"/>
      <c r="I494" s="522">
        <v>1</v>
      </c>
      <c r="J494" s="522">
        <v>2</v>
      </c>
    </row>
    <row r="495" spans="1:10" ht="13.8" thickBot="1">
      <c r="A495" s="517"/>
      <c r="B495" s="518" t="s">
        <v>14215</v>
      </c>
      <c r="C495" s="533"/>
      <c r="D495" s="514" t="s">
        <v>1899</v>
      </c>
      <c r="E495" s="515">
        <v>6.5</v>
      </c>
      <c r="F495" s="514"/>
      <c r="G495" s="515" t="s">
        <v>1793</v>
      </c>
      <c r="H495" s="514"/>
      <c r="I495" s="515">
        <v>1</v>
      </c>
      <c r="J495" s="515">
        <v>2</v>
      </c>
    </row>
    <row r="496" spans="1:10" ht="13.8" thickBot="1">
      <c r="A496" s="517"/>
      <c r="B496" s="518" t="s">
        <v>14214</v>
      </c>
      <c r="C496" s="533"/>
      <c r="D496" s="514" t="s">
        <v>14213</v>
      </c>
      <c r="E496" s="515">
        <v>6.5</v>
      </c>
      <c r="F496" s="514"/>
      <c r="G496" s="515" t="s">
        <v>1793</v>
      </c>
      <c r="H496" s="514"/>
      <c r="I496" s="515"/>
      <c r="J496" s="515"/>
    </row>
    <row r="497" spans="1:10" ht="13.8" thickBot="1">
      <c r="A497" s="517"/>
      <c r="B497" s="518" t="s">
        <v>14212</v>
      </c>
      <c r="C497" s="533"/>
      <c r="D497" s="514" t="s">
        <v>14211</v>
      </c>
      <c r="E497" s="515">
        <v>6.5</v>
      </c>
      <c r="F497" s="514"/>
      <c r="G497" s="515" t="s">
        <v>1793</v>
      </c>
      <c r="H497" s="514"/>
      <c r="I497" s="515"/>
      <c r="J497" s="515"/>
    </row>
    <row r="498" spans="1:10" ht="13.8" thickBot="1">
      <c r="A498" s="517"/>
      <c r="B498" s="518" t="s">
        <v>14210</v>
      </c>
      <c r="C498" s="533"/>
      <c r="D498" s="514" t="s">
        <v>14209</v>
      </c>
      <c r="E498" s="515">
        <v>6.5</v>
      </c>
      <c r="F498" s="514"/>
      <c r="G498" s="515" t="s">
        <v>1793</v>
      </c>
      <c r="H498" s="514"/>
      <c r="I498" s="515"/>
      <c r="J498" s="515"/>
    </row>
    <row r="499" spans="1:10" ht="13.8" thickBot="1">
      <c r="A499" s="517"/>
      <c r="B499" s="514" t="s">
        <v>12197</v>
      </c>
      <c r="C499" s="533"/>
      <c r="D499" s="514" t="s">
        <v>12196</v>
      </c>
      <c r="E499" s="515">
        <v>6.5</v>
      </c>
      <c r="F499" s="514"/>
      <c r="G499" s="515" t="s">
        <v>4789</v>
      </c>
      <c r="H499" s="514"/>
      <c r="I499" s="515"/>
      <c r="J499" s="515">
        <v>1</v>
      </c>
    </row>
    <row r="500" spans="1:10" ht="13.8" thickBot="1">
      <c r="A500" s="517"/>
      <c r="B500" s="518" t="s">
        <v>12173</v>
      </c>
      <c r="C500" s="533"/>
      <c r="D500" s="514" t="s">
        <v>12172</v>
      </c>
      <c r="E500" s="515">
        <v>6.5</v>
      </c>
      <c r="F500" s="518" t="s">
        <v>2223</v>
      </c>
      <c r="G500" s="515" t="s">
        <v>4865</v>
      </c>
      <c r="H500" s="514"/>
      <c r="I500" s="515"/>
      <c r="J500" s="515"/>
    </row>
    <row r="501" spans="1:10" ht="13.8" thickBot="1">
      <c r="A501" s="517"/>
      <c r="B501" s="518" t="s">
        <v>12156</v>
      </c>
      <c r="C501" s="533"/>
      <c r="D501" s="514" t="s">
        <v>12155</v>
      </c>
      <c r="E501" s="515">
        <v>6.5</v>
      </c>
      <c r="F501" s="514"/>
      <c r="G501" s="515" t="s">
        <v>4963</v>
      </c>
      <c r="H501" s="514"/>
      <c r="I501" s="515"/>
      <c r="J501" s="515">
        <v>1</v>
      </c>
    </row>
    <row r="502" spans="1:10" ht="13.8" thickBot="1">
      <c r="A502" s="517"/>
      <c r="B502" s="518" t="s">
        <v>12135</v>
      </c>
      <c r="C502" s="533"/>
      <c r="D502" s="514" t="s">
        <v>12134</v>
      </c>
      <c r="E502" s="515">
        <v>6.5</v>
      </c>
      <c r="F502" s="518" t="s">
        <v>614</v>
      </c>
      <c r="G502" s="515" t="s">
        <v>4970</v>
      </c>
      <c r="H502" s="514"/>
      <c r="I502" s="522"/>
      <c r="J502" s="522">
        <v>2</v>
      </c>
    </row>
    <row r="503" spans="1:10" ht="13.8" thickBot="1">
      <c r="A503" s="517"/>
      <c r="B503" s="518" t="s">
        <v>12077</v>
      </c>
      <c r="C503" s="533"/>
      <c r="D503" s="520" t="s">
        <v>12076</v>
      </c>
      <c r="E503" s="521">
        <v>6.5</v>
      </c>
      <c r="F503" s="514"/>
      <c r="G503" s="515" t="s">
        <v>5010</v>
      </c>
      <c r="H503" s="514"/>
      <c r="I503" s="521"/>
      <c r="J503" s="521">
        <v>1</v>
      </c>
    </row>
    <row r="504" spans="1:10" ht="13.8" thickBot="1">
      <c r="A504" s="517"/>
      <c r="B504" s="518" t="s">
        <v>12016</v>
      </c>
      <c r="C504" s="533"/>
      <c r="D504" s="514" t="s">
        <v>5088</v>
      </c>
      <c r="E504" s="515">
        <v>6.5</v>
      </c>
      <c r="F504" s="518" t="s">
        <v>614</v>
      </c>
      <c r="G504" s="515" t="s">
        <v>5086</v>
      </c>
      <c r="H504" s="514"/>
      <c r="I504" s="515"/>
      <c r="J504" s="515">
        <v>2</v>
      </c>
    </row>
    <row r="505" spans="1:10" ht="13.8" thickBot="1">
      <c r="A505" s="517"/>
      <c r="B505" s="518" t="s">
        <v>13685</v>
      </c>
      <c r="C505" s="533"/>
      <c r="D505" s="514" t="s">
        <v>1732</v>
      </c>
      <c r="E505" s="515">
        <v>6.5</v>
      </c>
      <c r="F505" s="518" t="s">
        <v>614</v>
      </c>
      <c r="G505" s="515" t="s">
        <v>2289</v>
      </c>
      <c r="H505" s="514"/>
      <c r="I505" s="515">
        <v>1</v>
      </c>
      <c r="J505" s="515">
        <v>3</v>
      </c>
    </row>
    <row r="506" spans="1:10" ht="13.8" thickBot="1">
      <c r="A506" s="517"/>
      <c r="B506" s="518" t="s">
        <v>13684</v>
      </c>
      <c r="C506" s="533"/>
      <c r="D506" s="514" t="s">
        <v>13683</v>
      </c>
      <c r="E506" s="515">
        <v>6.5</v>
      </c>
      <c r="F506" s="518" t="s">
        <v>614</v>
      </c>
      <c r="G506" s="515" t="s">
        <v>2289</v>
      </c>
      <c r="H506" s="514"/>
      <c r="I506" s="515">
        <v>1</v>
      </c>
      <c r="J506" s="515">
        <v>3</v>
      </c>
    </row>
    <row r="507" spans="1:10" ht="13.8" thickBot="1">
      <c r="A507" s="517"/>
      <c r="B507" s="518" t="s">
        <v>13682</v>
      </c>
      <c r="C507" s="533"/>
      <c r="D507" s="514" t="s">
        <v>13681</v>
      </c>
      <c r="E507" s="515">
        <v>6.5</v>
      </c>
      <c r="F507" s="518" t="s">
        <v>1854</v>
      </c>
      <c r="G507" s="515" t="s">
        <v>2289</v>
      </c>
      <c r="H507" s="514"/>
      <c r="I507" s="515"/>
      <c r="J507" s="515">
        <v>2</v>
      </c>
    </row>
    <row r="508" spans="1:10" ht="13.8" thickBot="1">
      <c r="A508" s="517"/>
      <c r="B508" s="518" t="s">
        <v>13596</v>
      </c>
      <c r="C508" s="533"/>
      <c r="D508" s="514" t="s">
        <v>13595</v>
      </c>
      <c r="E508" s="515">
        <v>6.5</v>
      </c>
      <c r="F508" s="518" t="s">
        <v>12586</v>
      </c>
      <c r="G508" s="515" t="s">
        <v>2449</v>
      </c>
      <c r="H508" s="514"/>
      <c r="I508" s="515"/>
      <c r="J508" s="515"/>
    </row>
    <row r="509" spans="1:10" ht="13.8" thickBot="1">
      <c r="A509" s="517"/>
      <c r="B509" s="518" t="s">
        <v>13594</v>
      </c>
      <c r="C509" s="533"/>
      <c r="D509" s="514" t="s">
        <v>13593</v>
      </c>
      <c r="E509" s="515">
        <v>6.5</v>
      </c>
      <c r="F509" s="514"/>
      <c r="G509" s="515" t="s">
        <v>2449</v>
      </c>
      <c r="H509" s="514"/>
      <c r="I509" s="515"/>
      <c r="J509" s="515"/>
    </row>
    <row r="510" spans="1:10" ht="13.8" thickBot="1">
      <c r="A510" s="517"/>
      <c r="B510" s="518" t="s">
        <v>13481</v>
      </c>
      <c r="C510" s="533"/>
      <c r="D510" s="514" t="s">
        <v>1300</v>
      </c>
      <c r="E510" s="515">
        <v>6.5</v>
      </c>
      <c r="F510" s="518" t="s">
        <v>1854</v>
      </c>
      <c r="G510" s="515" t="s">
        <v>2523</v>
      </c>
      <c r="H510" s="514"/>
      <c r="I510" s="522"/>
      <c r="J510" s="522">
        <v>2</v>
      </c>
    </row>
    <row r="511" spans="1:10" ht="13.8" thickBot="1">
      <c r="A511" s="517"/>
      <c r="B511" s="518" t="s">
        <v>13480</v>
      </c>
      <c r="C511" s="533"/>
      <c r="D511" s="514" t="s">
        <v>1300</v>
      </c>
      <c r="E511" s="515">
        <v>6.5</v>
      </c>
      <c r="F511" s="518" t="s">
        <v>614</v>
      </c>
      <c r="G511" s="515" t="s">
        <v>2523</v>
      </c>
      <c r="H511" s="514"/>
      <c r="I511" s="515">
        <v>1</v>
      </c>
      <c r="J511" s="515">
        <v>2</v>
      </c>
    </row>
    <row r="512" spans="1:10" ht="13.8" thickBot="1">
      <c r="A512" s="517"/>
      <c r="B512" s="518" t="s">
        <v>13479</v>
      </c>
      <c r="C512" s="533"/>
      <c r="D512" s="514" t="s">
        <v>13352</v>
      </c>
      <c r="E512" s="515">
        <v>6.5</v>
      </c>
      <c r="F512" s="518" t="s">
        <v>614</v>
      </c>
      <c r="G512" s="515" t="s">
        <v>2523</v>
      </c>
      <c r="H512" s="514"/>
      <c r="I512" s="515"/>
      <c r="J512" s="515">
        <v>1</v>
      </c>
    </row>
    <row r="513" spans="1:10" ht="13.8" thickBot="1">
      <c r="A513" s="517"/>
      <c r="B513" s="518" t="s">
        <v>13478</v>
      </c>
      <c r="C513" s="533"/>
      <c r="D513" s="514" t="s">
        <v>13477</v>
      </c>
      <c r="E513" s="515">
        <v>6.5</v>
      </c>
      <c r="F513" s="518" t="s">
        <v>614</v>
      </c>
      <c r="G513" s="515" t="s">
        <v>2523</v>
      </c>
      <c r="H513" s="514"/>
      <c r="I513" s="515"/>
      <c r="J513" s="515">
        <v>1</v>
      </c>
    </row>
    <row r="514" spans="1:10" ht="13.8" thickBot="1">
      <c r="A514" s="517"/>
      <c r="B514" s="518" t="s">
        <v>13476</v>
      </c>
      <c r="C514" s="533"/>
      <c r="D514" s="514" t="s">
        <v>2534</v>
      </c>
      <c r="E514" s="515">
        <v>6.5</v>
      </c>
      <c r="F514" s="514"/>
      <c r="G514" s="515" t="s">
        <v>2523</v>
      </c>
      <c r="H514" s="514"/>
      <c r="I514" s="515"/>
      <c r="J514" s="515"/>
    </row>
    <row r="515" spans="1:10" ht="13.8" thickBot="1">
      <c r="A515" s="517"/>
      <c r="B515" s="518" t="s">
        <v>11796</v>
      </c>
      <c r="C515" s="533"/>
      <c r="D515" s="514" t="s">
        <v>11533</v>
      </c>
      <c r="E515" s="515">
        <v>6.5</v>
      </c>
      <c r="F515" s="514"/>
      <c r="G515" s="515" t="s">
        <v>11525</v>
      </c>
      <c r="H515" s="514"/>
      <c r="I515" s="515"/>
      <c r="J515" s="515"/>
    </row>
    <row r="516" spans="1:10" ht="13.8" thickBot="1">
      <c r="A516" s="517"/>
      <c r="B516" s="518" t="s">
        <v>11792</v>
      </c>
      <c r="C516" s="533"/>
      <c r="D516" s="514" t="s">
        <v>11791</v>
      </c>
      <c r="E516" s="515">
        <v>6.5</v>
      </c>
      <c r="F516" s="514"/>
      <c r="G516" s="515" t="s">
        <v>11525</v>
      </c>
      <c r="H516" s="514"/>
      <c r="I516" s="515"/>
      <c r="J516" s="515"/>
    </row>
    <row r="517" spans="1:10" ht="13.8" thickBot="1">
      <c r="A517" s="517"/>
      <c r="B517" s="518" t="s">
        <v>11790</v>
      </c>
      <c r="C517" s="533"/>
      <c r="D517" s="514" t="s">
        <v>11789</v>
      </c>
      <c r="E517" s="515">
        <v>6.5</v>
      </c>
      <c r="F517" s="514"/>
      <c r="G517" s="515" t="s">
        <v>11525</v>
      </c>
      <c r="H517" s="514"/>
      <c r="I517" s="515"/>
      <c r="J517" s="515"/>
    </row>
    <row r="518" spans="1:10" ht="13.8" thickBot="1">
      <c r="A518" s="517"/>
      <c r="B518" s="518" t="s">
        <v>11786</v>
      </c>
      <c r="C518" s="533"/>
      <c r="D518" s="514" t="s">
        <v>11533</v>
      </c>
      <c r="E518" s="515">
        <v>6.5</v>
      </c>
      <c r="F518" s="514"/>
      <c r="G518" s="515" t="s">
        <v>11525</v>
      </c>
      <c r="H518" s="514"/>
      <c r="I518" s="515"/>
      <c r="J518" s="515"/>
    </row>
    <row r="519" spans="1:10" ht="13.8" thickBot="1">
      <c r="A519" s="517"/>
      <c r="B519" s="518" t="s">
        <v>11569</v>
      </c>
      <c r="C519" s="533"/>
      <c r="D519" s="514" t="s">
        <v>11568</v>
      </c>
      <c r="E519" s="515">
        <v>6.5</v>
      </c>
      <c r="F519" s="514"/>
      <c r="G519" s="515" t="s">
        <v>11525</v>
      </c>
      <c r="H519" s="514"/>
      <c r="I519" s="515"/>
      <c r="J519" s="515"/>
    </row>
    <row r="520" spans="1:10" ht="13.8" thickBot="1">
      <c r="A520" s="517"/>
      <c r="B520" s="518" t="s">
        <v>11530</v>
      </c>
      <c r="C520" s="533"/>
      <c r="D520" s="514" t="s">
        <v>11529</v>
      </c>
      <c r="E520" s="515">
        <v>6.5</v>
      </c>
      <c r="F520" s="514"/>
      <c r="G520" s="515" t="s">
        <v>11525</v>
      </c>
      <c r="H520" s="514"/>
      <c r="I520" s="515"/>
      <c r="J520" s="515"/>
    </row>
    <row r="521" spans="1:10" ht="13.8" thickBot="1">
      <c r="A521" s="517"/>
      <c r="B521" s="518" t="s">
        <v>13128</v>
      </c>
      <c r="C521" s="533"/>
      <c r="D521" s="514" t="s">
        <v>13127</v>
      </c>
      <c r="E521" s="515">
        <v>6.5</v>
      </c>
      <c r="F521" s="518" t="s">
        <v>614</v>
      </c>
      <c r="G521" s="515" t="s">
        <v>2957</v>
      </c>
      <c r="H521" s="514"/>
      <c r="I521" s="522"/>
      <c r="J521" s="522">
        <v>8</v>
      </c>
    </row>
    <row r="522" spans="1:10" ht="13.8" thickBot="1">
      <c r="A522" s="517"/>
      <c r="B522" s="518" t="s">
        <v>13126</v>
      </c>
      <c r="C522" s="533"/>
      <c r="D522" s="514" t="s">
        <v>13125</v>
      </c>
      <c r="E522" s="515">
        <v>6.5</v>
      </c>
      <c r="F522" s="518" t="s">
        <v>614</v>
      </c>
      <c r="G522" s="515" t="s">
        <v>2957</v>
      </c>
      <c r="H522" s="514"/>
      <c r="I522" s="515"/>
      <c r="J522" s="515">
        <v>5</v>
      </c>
    </row>
    <row r="523" spans="1:10" ht="13.8" thickBot="1">
      <c r="A523" s="517"/>
      <c r="B523" s="518" t="s">
        <v>13124</v>
      </c>
      <c r="C523" s="533"/>
      <c r="D523" s="514" t="s">
        <v>13123</v>
      </c>
      <c r="E523" s="515">
        <v>6.5</v>
      </c>
      <c r="F523" s="518" t="s">
        <v>1854</v>
      </c>
      <c r="G523" s="515" t="s">
        <v>2957</v>
      </c>
      <c r="H523" s="514"/>
      <c r="I523" s="515">
        <v>1</v>
      </c>
      <c r="J523" s="515">
        <v>5</v>
      </c>
    </row>
    <row r="524" spans="1:10" ht="13.8" thickBot="1">
      <c r="A524" s="517"/>
      <c r="B524" s="518" t="s">
        <v>13122</v>
      </c>
      <c r="C524" s="533"/>
      <c r="D524" s="514" t="s">
        <v>13121</v>
      </c>
      <c r="E524" s="515">
        <v>6.5</v>
      </c>
      <c r="F524" s="518" t="s">
        <v>614</v>
      </c>
      <c r="G524" s="515" t="s">
        <v>2957</v>
      </c>
      <c r="H524" s="514"/>
      <c r="I524" s="515">
        <v>1</v>
      </c>
      <c r="J524" s="515">
        <v>2</v>
      </c>
    </row>
    <row r="525" spans="1:10" ht="13.8" thickBot="1">
      <c r="A525" s="517"/>
      <c r="B525" s="518" t="s">
        <v>13120</v>
      </c>
      <c r="C525" s="533"/>
      <c r="D525" s="514" t="s">
        <v>13119</v>
      </c>
      <c r="E525" s="515">
        <v>6.5</v>
      </c>
      <c r="F525" s="514"/>
      <c r="G525" s="515" t="s">
        <v>2957</v>
      </c>
      <c r="H525" s="514"/>
      <c r="I525" s="515"/>
      <c r="J525" s="515">
        <v>1</v>
      </c>
    </row>
    <row r="526" spans="1:10" ht="13.8" thickBot="1">
      <c r="A526" s="517"/>
      <c r="B526" s="518" t="s">
        <v>12977</v>
      </c>
      <c r="C526" s="533"/>
      <c r="D526" s="514" t="s">
        <v>12976</v>
      </c>
      <c r="E526" s="515">
        <v>6.5</v>
      </c>
      <c r="F526" s="518" t="s">
        <v>614</v>
      </c>
      <c r="G526" s="515" t="s">
        <v>3085</v>
      </c>
      <c r="H526" s="514"/>
      <c r="I526" s="515"/>
      <c r="J526" s="515">
        <v>2</v>
      </c>
    </row>
    <row r="527" spans="1:10" ht="13.8" thickBot="1">
      <c r="A527" s="517"/>
      <c r="B527" s="518" t="s">
        <v>12937</v>
      </c>
      <c r="C527" s="533"/>
      <c r="D527" s="514" t="s">
        <v>12936</v>
      </c>
      <c r="E527" s="515">
        <v>6.5</v>
      </c>
      <c r="F527" s="514"/>
      <c r="G527" s="515" t="s">
        <v>3161</v>
      </c>
      <c r="H527" s="514"/>
      <c r="I527" s="515"/>
      <c r="J527" s="515">
        <v>1</v>
      </c>
    </row>
    <row r="528" spans="1:10" ht="13.8" thickBot="1">
      <c r="A528" s="517"/>
      <c r="B528" s="518" t="s">
        <v>12935</v>
      </c>
      <c r="C528" s="533"/>
      <c r="D528" s="514" t="s">
        <v>1390</v>
      </c>
      <c r="E528" s="515">
        <v>6.5</v>
      </c>
      <c r="F528" s="518" t="s">
        <v>1854</v>
      </c>
      <c r="G528" s="515" t="s">
        <v>3161</v>
      </c>
      <c r="H528" s="514"/>
      <c r="I528" s="515"/>
      <c r="J528" s="515"/>
    </row>
    <row r="529" spans="1:10" ht="13.8" thickBot="1">
      <c r="A529" s="517"/>
      <c r="B529" s="518" t="s">
        <v>13914</v>
      </c>
      <c r="C529" s="533"/>
      <c r="D529" s="514" t="s">
        <v>13913</v>
      </c>
      <c r="E529" s="515">
        <v>6.5</v>
      </c>
      <c r="F529" s="518" t="s">
        <v>1854</v>
      </c>
      <c r="G529" s="515" t="s">
        <v>2032</v>
      </c>
      <c r="H529" s="514"/>
      <c r="I529" s="515">
        <v>2</v>
      </c>
      <c r="J529" s="515">
        <v>10</v>
      </c>
    </row>
    <row r="530" spans="1:10" ht="13.8" thickBot="1">
      <c r="A530" s="517"/>
      <c r="B530" s="518" t="s">
        <v>13912</v>
      </c>
      <c r="C530" s="533"/>
      <c r="D530" s="519" t="s">
        <v>2057</v>
      </c>
      <c r="E530" s="515">
        <v>6.5</v>
      </c>
      <c r="F530" s="518" t="s">
        <v>614</v>
      </c>
      <c r="G530" s="515" t="s">
        <v>2032</v>
      </c>
      <c r="H530" s="514"/>
      <c r="I530" s="515"/>
      <c r="J530" s="515">
        <v>2</v>
      </c>
    </row>
    <row r="531" spans="1:10" ht="13.8" thickBot="1">
      <c r="A531" s="517"/>
      <c r="B531" s="518" t="s">
        <v>13911</v>
      </c>
      <c r="C531" s="533"/>
      <c r="D531" s="514" t="s">
        <v>13910</v>
      </c>
      <c r="E531" s="515">
        <v>6.5</v>
      </c>
      <c r="F531" s="518" t="s">
        <v>614</v>
      </c>
      <c r="G531" s="515" t="s">
        <v>2032</v>
      </c>
      <c r="H531" s="514"/>
      <c r="I531" s="515"/>
      <c r="J531" s="515">
        <v>2</v>
      </c>
    </row>
    <row r="532" spans="1:10" ht="13.8" thickBot="1">
      <c r="A532" s="517"/>
      <c r="B532" s="518" t="s">
        <v>13909</v>
      </c>
      <c r="C532" s="533"/>
      <c r="D532" s="514" t="s">
        <v>2044</v>
      </c>
      <c r="E532" s="515">
        <v>6.5</v>
      </c>
      <c r="F532" s="514"/>
      <c r="G532" s="515" t="s">
        <v>2032</v>
      </c>
      <c r="H532" s="514"/>
      <c r="I532" s="515"/>
      <c r="J532" s="515">
        <v>2</v>
      </c>
    </row>
    <row r="533" spans="1:10" ht="13.8" thickBot="1">
      <c r="A533" s="517"/>
      <c r="B533" s="518" t="s">
        <v>13908</v>
      </c>
      <c r="C533" s="533"/>
      <c r="D533" s="514" t="s">
        <v>13907</v>
      </c>
      <c r="E533" s="515">
        <v>6.5</v>
      </c>
      <c r="F533" s="518" t="s">
        <v>1854</v>
      </c>
      <c r="G533" s="515" t="s">
        <v>2032</v>
      </c>
      <c r="H533" s="514"/>
      <c r="I533" s="515"/>
      <c r="J533" s="515">
        <v>1</v>
      </c>
    </row>
    <row r="534" spans="1:10" ht="13.8" thickBot="1">
      <c r="A534" s="517"/>
      <c r="B534" s="518" t="s">
        <v>12885</v>
      </c>
      <c r="C534" s="533"/>
      <c r="D534" s="514" t="s">
        <v>12884</v>
      </c>
      <c r="E534" s="515">
        <v>6.5</v>
      </c>
      <c r="F534" s="518" t="s">
        <v>1854</v>
      </c>
      <c r="G534" s="515" t="s">
        <v>3351</v>
      </c>
      <c r="H534" s="514"/>
      <c r="I534" s="515">
        <v>1</v>
      </c>
      <c r="J534" s="515">
        <v>1</v>
      </c>
    </row>
    <row r="535" spans="1:10" ht="13.8" thickBot="1">
      <c r="A535" s="517"/>
      <c r="B535" s="518" t="s">
        <v>12883</v>
      </c>
      <c r="C535" s="533"/>
      <c r="D535" s="514" t="s">
        <v>12882</v>
      </c>
      <c r="E535" s="515">
        <v>6.5</v>
      </c>
      <c r="F535" s="518" t="s">
        <v>614</v>
      </c>
      <c r="G535" s="515" t="s">
        <v>3351</v>
      </c>
      <c r="H535" s="514"/>
      <c r="I535" s="515"/>
      <c r="J535" s="515">
        <v>1</v>
      </c>
    </row>
    <row r="536" spans="1:10" ht="13.8" thickBot="1">
      <c r="A536" s="517"/>
      <c r="B536" s="518" t="s">
        <v>12869</v>
      </c>
      <c r="C536" s="533"/>
      <c r="D536" s="514" t="s">
        <v>12868</v>
      </c>
      <c r="E536" s="515">
        <v>6.5</v>
      </c>
      <c r="F536" s="518" t="s">
        <v>2223</v>
      </c>
      <c r="G536" s="515" t="s">
        <v>3414</v>
      </c>
      <c r="H536" s="514"/>
      <c r="I536" s="515"/>
      <c r="J536" s="515"/>
    </row>
    <row r="537" spans="1:10" ht="13.8" thickBot="1">
      <c r="A537" s="517"/>
      <c r="B537" s="518" t="s">
        <v>12867</v>
      </c>
      <c r="C537" s="533"/>
      <c r="D537" s="514" t="s">
        <v>3421</v>
      </c>
      <c r="E537" s="515">
        <v>6.5</v>
      </c>
      <c r="F537" s="518" t="s">
        <v>1854</v>
      </c>
      <c r="G537" s="515" t="s">
        <v>3414</v>
      </c>
      <c r="H537" s="514"/>
      <c r="I537" s="515"/>
      <c r="J537" s="515"/>
    </row>
    <row r="538" spans="1:10" ht="13.8" thickBot="1">
      <c r="A538" s="517"/>
      <c r="B538" s="518" t="s">
        <v>12866</v>
      </c>
      <c r="C538" s="533"/>
      <c r="D538" s="514" t="s">
        <v>3421</v>
      </c>
      <c r="E538" s="515">
        <v>6.5</v>
      </c>
      <c r="F538" s="514"/>
      <c r="G538" s="515" t="s">
        <v>3414</v>
      </c>
      <c r="H538" s="514"/>
      <c r="I538" s="515"/>
      <c r="J538" s="515"/>
    </row>
    <row r="539" spans="1:10" ht="13.8" thickBot="1">
      <c r="A539" s="517"/>
      <c r="B539" s="518" t="s">
        <v>12781</v>
      </c>
      <c r="C539" s="533"/>
      <c r="D539" s="514" t="s">
        <v>12780</v>
      </c>
      <c r="E539" s="515">
        <v>6.5</v>
      </c>
      <c r="F539" s="518" t="s">
        <v>614</v>
      </c>
      <c r="G539" s="515" t="s">
        <v>3517</v>
      </c>
      <c r="H539" s="514"/>
      <c r="I539" s="522">
        <v>1</v>
      </c>
      <c r="J539" s="522">
        <v>4</v>
      </c>
    </row>
    <row r="540" spans="1:10" ht="13.8" thickBot="1">
      <c r="A540" s="517"/>
      <c r="B540" s="518" t="s">
        <v>12779</v>
      </c>
      <c r="C540" s="533"/>
      <c r="D540" s="514" t="s">
        <v>1452</v>
      </c>
      <c r="E540" s="515">
        <v>6.5</v>
      </c>
      <c r="F540" s="518" t="s">
        <v>1854</v>
      </c>
      <c r="G540" s="515" t="s">
        <v>3517</v>
      </c>
      <c r="H540" s="514"/>
      <c r="I540" s="515"/>
      <c r="J540" s="515">
        <v>1</v>
      </c>
    </row>
    <row r="541" spans="1:10" ht="13.8" thickBot="1">
      <c r="A541" s="517"/>
      <c r="B541" s="518" t="s">
        <v>12588</v>
      </c>
      <c r="C541" s="533"/>
      <c r="D541" s="514" t="s">
        <v>12587</v>
      </c>
      <c r="E541" s="515">
        <v>6.5</v>
      </c>
      <c r="F541" s="518" t="s">
        <v>12586</v>
      </c>
      <c r="G541" s="515" t="s">
        <v>3807</v>
      </c>
      <c r="H541" s="514"/>
      <c r="I541" s="515">
        <v>1</v>
      </c>
      <c r="J541" s="515">
        <v>1</v>
      </c>
    </row>
    <row r="542" spans="1:10" ht="13.8" thickBot="1">
      <c r="A542" s="517"/>
      <c r="B542" s="518" t="s">
        <v>12585</v>
      </c>
      <c r="C542" s="533"/>
      <c r="D542" s="514" t="s">
        <v>12584</v>
      </c>
      <c r="E542" s="515">
        <v>6.5</v>
      </c>
      <c r="F542" s="514"/>
      <c r="G542" s="515" t="s">
        <v>3807</v>
      </c>
      <c r="H542" s="514"/>
      <c r="I542" s="515"/>
      <c r="J542" s="515"/>
    </row>
    <row r="543" spans="1:10" ht="13.8" thickBot="1">
      <c r="A543" s="517"/>
      <c r="B543" s="518" t="s">
        <v>12530</v>
      </c>
      <c r="C543" s="533"/>
      <c r="D543" s="514" t="s">
        <v>1507</v>
      </c>
      <c r="E543" s="515">
        <v>6.5</v>
      </c>
      <c r="F543" s="514"/>
      <c r="G543" s="515" t="s">
        <v>3856</v>
      </c>
      <c r="H543" s="514"/>
      <c r="I543" s="515"/>
      <c r="J543" s="515">
        <v>1</v>
      </c>
    </row>
    <row r="544" spans="1:10" ht="13.8" thickBot="1">
      <c r="A544" s="517"/>
      <c r="B544" s="518" t="s">
        <v>12529</v>
      </c>
      <c r="C544" s="533"/>
      <c r="D544" s="514" t="s">
        <v>12528</v>
      </c>
      <c r="E544" s="515">
        <v>6.5</v>
      </c>
      <c r="F544" s="514"/>
      <c r="G544" s="515" t="s">
        <v>3856</v>
      </c>
      <c r="H544" s="514"/>
      <c r="I544" s="515"/>
      <c r="J544" s="515"/>
    </row>
    <row r="545" spans="1:10" ht="13.8" thickBot="1">
      <c r="A545" s="517"/>
      <c r="B545" s="518" t="s">
        <v>12489</v>
      </c>
      <c r="C545" s="533"/>
      <c r="D545" s="514" t="s">
        <v>12488</v>
      </c>
      <c r="E545" s="515">
        <v>6.5</v>
      </c>
      <c r="F545" s="518" t="s">
        <v>614</v>
      </c>
      <c r="G545" s="515" t="s">
        <v>3903</v>
      </c>
      <c r="H545" s="514"/>
      <c r="I545" s="515"/>
      <c r="J545" s="515">
        <v>1</v>
      </c>
    </row>
    <row r="546" spans="1:10" ht="13.8" thickBot="1">
      <c r="A546" s="517"/>
      <c r="B546" s="518" t="s">
        <v>12424</v>
      </c>
      <c r="C546" s="533"/>
      <c r="D546" s="514" t="s">
        <v>12423</v>
      </c>
      <c r="E546" s="515">
        <v>6.5</v>
      </c>
      <c r="F546" s="518" t="s">
        <v>614</v>
      </c>
      <c r="G546" s="515" t="s">
        <v>4102</v>
      </c>
      <c r="H546" s="514"/>
      <c r="I546" s="515">
        <v>1</v>
      </c>
      <c r="J546" s="515">
        <v>4</v>
      </c>
    </row>
    <row r="547" spans="1:10" ht="13.8" thickBot="1">
      <c r="A547" s="517"/>
      <c r="B547" s="518" t="s">
        <v>12396</v>
      </c>
      <c r="C547" s="533"/>
      <c r="D547" s="514" t="s">
        <v>12395</v>
      </c>
      <c r="E547" s="515">
        <v>6.5</v>
      </c>
      <c r="F547" s="518" t="s">
        <v>614</v>
      </c>
      <c r="G547" s="515" t="s">
        <v>4140</v>
      </c>
      <c r="H547" s="514"/>
      <c r="I547" s="515">
        <v>1</v>
      </c>
      <c r="J547" s="515">
        <v>2</v>
      </c>
    </row>
    <row r="548" spans="1:10" ht="13.8" thickBot="1">
      <c r="A548" s="517"/>
      <c r="B548" s="518" t="s">
        <v>12394</v>
      </c>
      <c r="C548" s="533"/>
      <c r="D548" s="514" t="s">
        <v>12393</v>
      </c>
      <c r="E548" s="515">
        <v>6.5</v>
      </c>
      <c r="F548" s="514"/>
      <c r="G548" s="515" t="s">
        <v>4140</v>
      </c>
      <c r="H548" s="514"/>
      <c r="I548" s="515"/>
      <c r="J548" s="515">
        <v>2</v>
      </c>
    </row>
    <row r="549" spans="1:10" ht="13.8" thickBot="1">
      <c r="A549" s="517"/>
      <c r="B549" s="518" t="s">
        <v>12381</v>
      </c>
      <c r="C549" s="533"/>
      <c r="D549" s="514" t="s">
        <v>12380</v>
      </c>
      <c r="E549" s="515">
        <v>6.5</v>
      </c>
      <c r="F549" s="518" t="s">
        <v>614</v>
      </c>
      <c r="G549" s="515" t="s">
        <v>4160</v>
      </c>
      <c r="H549" s="514"/>
      <c r="I549" s="515">
        <v>1</v>
      </c>
      <c r="J549" s="515">
        <v>2</v>
      </c>
    </row>
    <row r="550" spans="1:10" ht="13.8" thickBot="1">
      <c r="A550" s="517"/>
      <c r="B550" s="518" t="s">
        <v>13816</v>
      </c>
      <c r="C550" s="533"/>
      <c r="D550" s="514" t="s">
        <v>13815</v>
      </c>
      <c r="E550" s="515">
        <v>6.5</v>
      </c>
      <c r="F550" s="514"/>
      <c r="G550" s="515" t="s">
        <v>2152</v>
      </c>
      <c r="H550" s="514"/>
      <c r="I550" s="522"/>
      <c r="J550" s="522">
        <v>6</v>
      </c>
    </row>
    <row r="551" spans="1:10" ht="13.8" thickBot="1">
      <c r="A551" s="517"/>
      <c r="B551" s="518" t="s">
        <v>13680</v>
      </c>
      <c r="C551" s="533"/>
      <c r="D551" s="514" t="s">
        <v>13679</v>
      </c>
      <c r="E551" s="515">
        <v>6.4</v>
      </c>
      <c r="F551" s="518" t="s">
        <v>614</v>
      </c>
      <c r="G551" s="515" t="s">
        <v>2289</v>
      </c>
      <c r="H551" s="514" t="s">
        <v>1251</v>
      </c>
      <c r="I551" s="515">
        <v>2</v>
      </c>
      <c r="J551" s="515">
        <v>18</v>
      </c>
    </row>
    <row r="552" spans="1:10" ht="13.8" thickBot="1">
      <c r="A552" s="517"/>
      <c r="B552" s="518" t="s">
        <v>13475</v>
      </c>
      <c r="C552" s="533"/>
      <c r="D552" s="514" t="s">
        <v>13474</v>
      </c>
      <c r="E552" s="515">
        <v>6.4</v>
      </c>
      <c r="F552" s="518" t="s">
        <v>614</v>
      </c>
      <c r="G552" s="515" t="s">
        <v>2523</v>
      </c>
      <c r="H552" s="514" t="s">
        <v>1251</v>
      </c>
      <c r="I552" s="515"/>
      <c r="J552" s="515">
        <v>7</v>
      </c>
    </row>
    <row r="553" spans="1:10" ht="13.8" thickBot="1">
      <c r="A553" s="517"/>
      <c r="B553" s="518" t="s">
        <v>12527</v>
      </c>
      <c r="C553" s="533"/>
      <c r="D553" s="519" t="s">
        <v>12526</v>
      </c>
      <c r="E553" s="515">
        <v>6.4</v>
      </c>
      <c r="F553" s="518" t="s">
        <v>614</v>
      </c>
      <c r="G553" s="515" t="s">
        <v>3856</v>
      </c>
      <c r="H553" s="514" t="s">
        <v>1251</v>
      </c>
      <c r="I553" s="515"/>
      <c r="J553" s="515">
        <v>9</v>
      </c>
    </row>
    <row r="554" spans="1:10" ht="13.8" thickBot="1">
      <c r="A554" s="517"/>
      <c r="B554" s="518" t="s">
        <v>12278</v>
      </c>
      <c r="C554" s="533"/>
      <c r="D554" s="514" t="s">
        <v>12277</v>
      </c>
      <c r="E554" s="515">
        <v>6.4</v>
      </c>
      <c r="F554" s="518" t="s">
        <v>614</v>
      </c>
      <c r="G554" s="515" t="s">
        <v>4354</v>
      </c>
      <c r="H554" s="514" t="s">
        <v>1251</v>
      </c>
      <c r="I554" s="515">
        <v>4</v>
      </c>
      <c r="J554" s="515">
        <v>8</v>
      </c>
    </row>
    <row r="555" spans="1:10" ht="13.8" thickBot="1">
      <c r="A555" s="517"/>
      <c r="B555" s="518" t="s">
        <v>12075</v>
      </c>
      <c r="C555" s="533"/>
      <c r="D555" s="514" t="s">
        <v>12074</v>
      </c>
      <c r="E555" s="515">
        <v>6.4</v>
      </c>
      <c r="F555" s="518" t="s">
        <v>614</v>
      </c>
      <c r="G555" s="515" t="s">
        <v>5010</v>
      </c>
      <c r="H555" s="514" t="s">
        <v>1841</v>
      </c>
      <c r="I555" s="515">
        <v>1</v>
      </c>
      <c r="J555" s="522">
        <v>8</v>
      </c>
    </row>
    <row r="556" spans="1:10" ht="13.8" thickBot="1">
      <c r="A556" s="517"/>
      <c r="B556" s="518" t="s">
        <v>13473</v>
      </c>
      <c r="C556" s="533"/>
      <c r="D556" s="514" t="s">
        <v>13472</v>
      </c>
      <c r="E556" s="515">
        <v>6.4</v>
      </c>
      <c r="F556" s="518" t="s">
        <v>614</v>
      </c>
      <c r="G556" s="515" t="s">
        <v>2523</v>
      </c>
      <c r="H556" s="514" t="s">
        <v>1841</v>
      </c>
      <c r="I556" s="515"/>
      <c r="J556" s="515">
        <v>7</v>
      </c>
    </row>
    <row r="557" spans="1:10" ht="13.8" thickBot="1">
      <c r="A557" s="517"/>
      <c r="B557" s="518" t="s">
        <v>13118</v>
      </c>
      <c r="C557" s="533"/>
      <c r="D557" s="514" t="s">
        <v>13117</v>
      </c>
      <c r="E557" s="515">
        <v>6.4</v>
      </c>
      <c r="F557" s="518" t="s">
        <v>614</v>
      </c>
      <c r="G557" s="515" t="s">
        <v>2957</v>
      </c>
      <c r="H557" s="514" t="s">
        <v>1841</v>
      </c>
      <c r="I557" s="515">
        <v>1</v>
      </c>
      <c r="J557" s="515">
        <v>6</v>
      </c>
    </row>
    <row r="558" spans="1:10" ht="13.8" thickBot="1">
      <c r="A558" s="517"/>
      <c r="B558" s="518" t="s">
        <v>13116</v>
      </c>
      <c r="C558" s="533"/>
      <c r="D558" s="514" t="s">
        <v>1562</v>
      </c>
      <c r="E558" s="515">
        <v>6.4</v>
      </c>
      <c r="F558" s="518" t="s">
        <v>614</v>
      </c>
      <c r="G558" s="515" t="s">
        <v>2957</v>
      </c>
      <c r="H558" s="514" t="s">
        <v>1841</v>
      </c>
      <c r="I558" s="515"/>
      <c r="J558" s="515">
        <v>6</v>
      </c>
    </row>
    <row r="559" spans="1:10" ht="13.8" thickBot="1">
      <c r="A559" s="517"/>
      <c r="B559" s="518" t="s">
        <v>11904</v>
      </c>
      <c r="C559" s="533"/>
      <c r="D559" s="514" t="s">
        <v>11903</v>
      </c>
      <c r="E559" s="515">
        <v>6.4</v>
      </c>
      <c r="F559" s="518" t="s">
        <v>614</v>
      </c>
      <c r="G559" s="515" t="s">
        <v>5248</v>
      </c>
      <c r="H559" s="514" t="s">
        <v>1226</v>
      </c>
      <c r="I559" s="515"/>
      <c r="J559" s="515">
        <v>7</v>
      </c>
    </row>
    <row r="560" spans="1:10" ht="13.8" thickBot="1">
      <c r="A560" s="517"/>
      <c r="B560" s="518" t="s">
        <v>13191</v>
      </c>
      <c r="C560" s="533"/>
      <c r="D560" s="514" t="s">
        <v>13190</v>
      </c>
      <c r="E560" s="515">
        <v>6.4</v>
      </c>
      <c r="F560" s="518" t="s">
        <v>614</v>
      </c>
      <c r="G560" s="515" t="s">
        <v>2841</v>
      </c>
      <c r="H560" s="514" t="s">
        <v>1226</v>
      </c>
      <c r="I560" s="515"/>
      <c r="J560" s="515">
        <v>14</v>
      </c>
    </row>
    <row r="561" spans="1:10" ht="13.8" thickBot="1">
      <c r="A561" s="517"/>
      <c r="B561" s="518" t="s">
        <v>12934</v>
      </c>
      <c r="C561" s="533"/>
      <c r="D561" s="514" t="s">
        <v>12933</v>
      </c>
      <c r="E561" s="515">
        <v>6.4</v>
      </c>
      <c r="F561" s="518" t="s">
        <v>614</v>
      </c>
      <c r="G561" s="515" t="s">
        <v>3161</v>
      </c>
      <c r="H561" s="514" t="s">
        <v>1226</v>
      </c>
      <c r="I561" s="515"/>
      <c r="J561" s="515">
        <v>1</v>
      </c>
    </row>
    <row r="562" spans="1:10" ht="13.8" thickBot="1">
      <c r="A562" s="517"/>
      <c r="B562" s="518" t="s">
        <v>12778</v>
      </c>
      <c r="C562" s="533"/>
      <c r="D562" s="514" t="s">
        <v>1457</v>
      </c>
      <c r="E562" s="515">
        <v>6.4</v>
      </c>
      <c r="F562" s="518" t="s">
        <v>614</v>
      </c>
      <c r="G562" s="515" t="s">
        <v>3517</v>
      </c>
      <c r="H562" s="514" t="s">
        <v>1226</v>
      </c>
      <c r="I562" s="515"/>
      <c r="J562" s="515">
        <v>9</v>
      </c>
    </row>
    <row r="563" spans="1:10" ht="13.8" thickBot="1">
      <c r="A563" s="517"/>
      <c r="B563" s="518" t="s">
        <v>12643</v>
      </c>
      <c r="C563" s="533"/>
      <c r="D563" s="514" t="s">
        <v>12642</v>
      </c>
      <c r="E563" s="515">
        <v>6.4</v>
      </c>
      <c r="F563" s="518" t="s">
        <v>614</v>
      </c>
      <c r="G563" s="515" t="s">
        <v>3734</v>
      </c>
      <c r="H563" s="514" t="s">
        <v>1226</v>
      </c>
      <c r="I563" s="515"/>
      <c r="J563" s="515">
        <v>9</v>
      </c>
    </row>
    <row r="564" spans="1:10" ht="13.8" thickBot="1">
      <c r="A564" s="517"/>
      <c r="B564" s="518" t="s">
        <v>12583</v>
      </c>
      <c r="C564" s="533"/>
      <c r="D564" s="514" t="s">
        <v>3822</v>
      </c>
      <c r="E564" s="515">
        <v>6.4</v>
      </c>
      <c r="F564" s="518" t="s">
        <v>614</v>
      </c>
      <c r="G564" s="515" t="s">
        <v>3807</v>
      </c>
      <c r="H564" s="514" t="s">
        <v>1226</v>
      </c>
      <c r="I564" s="515"/>
      <c r="J564" s="515">
        <v>11</v>
      </c>
    </row>
    <row r="565" spans="1:10" ht="13.8" thickBot="1">
      <c r="A565" s="517"/>
      <c r="B565" s="518" t="s">
        <v>12422</v>
      </c>
      <c r="C565" s="533"/>
      <c r="D565" s="514" t="s">
        <v>12421</v>
      </c>
      <c r="E565" s="515">
        <v>6.4</v>
      </c>
      <c r="F565" s="518" t="s">
        <v>614</v>
      </c>
      <c r="G565" s="515" t="s">
        <v>4102</v>
      </c>
      <c r="H565" s="514" t="s">
        <v>1226</v>
      </c>
      <c r="I565" s="515">
        <v>1</v>
      </c>
      <c r="J565" s="515">
        <v>7</v>
      </c>
    </row>
    <row r="566" spans="1:10" ht="13.8" thickBot="1">
      <c r="A566" s="517"/>
      <c r="B566" s="518" t="s">
        <v>11921</v>
      </c>
      <c r="C566" s="533"/>
      <c r="D566" s="514" t="s">
        <v>11920</v>
      </c>
      <c r="E566" s="515">
        <v>6.4</v>
      </c>
      <c r="F566" s="518" t="s">
        <v>614</v>
      </c>
      <c r="G566" s="515" t="s">
        <v>5226</v>
      </c>
      <c r="H566" s="514" t="s">
        <v>1224</v>
      </c>
      <c r="I566" s="515"/>
      <c r="J566" s="515">
        <v>6</v>
      </c>
    </row>
    <row r="567" spans="1:10" ht="13.8" thickBot="1">
      <c r="A567" s="517"/>
      <c r="B567" s="518" t="s">
        <v>12468</v>
      </c>
      <c r="C567" s="533"/>
      <c r="D567" s="514" t="s">
        <v>1525</v>
      </c>
      <c r="E567" s="515">
        <v>6.4</v>
      </c>
      <c r="F567" s="518" t="s">
        <v>614</v>
      </c>
      <c r="G567" s="515" t="s">
        <v>3996</v>
      </c>
      <c r="H567" s="514" t="s">
        <v>1224</v>
      </c>
      <c r="I567" s="515"/>
      <c r="J567" s="515">
        <v>7</v>
      </c>
    </row>
    <row r="568" spans="1:10" ht="13.8" thickBot="1">
      <c r="A568" s="517"/>
      <c r="B568" s="518" t="s">
        <v>11866</v>
      </c>
      <c r="C568" s="533"/>
      <c r="D568" s="514" t="s">
        <v>11865</v>
      </c>
      <c r="E568" s="515">
        <v>6.3</v>
      </c>
      <c r="F568" s="518" t="s">
        <v>614</v>
      </c>
      <c r="G568" s="515" t="s">
        <v>5286</v>
      </c>
      <c r="H568" s="514" t="s">
        <v>2319</v>
      </c>
      <c r="I568" s="522"/>
      <c r="J568" s="515">
        <v>9</v>
      </c>
    </row>
    <row r="569" spans="1:10" ht="13.8" thickBot="1">
      <c r="A569" s="517"/>
      <c r="B569" s="518" t="s">
        <v>13471</v>
      </c>
      <c r="C569" s="533"/>
      <c r="D569" s="514" t="s">
        <v>13470</v>
      </c>
      <c r="E569" s="515">
        <v>6.3</v>
      </c>
      <c r="F569" s="518" t="s">
        <v>614</v>
      </c>
      <c r="G569" s="515" t="s">
        <v>2523</v>
      </c>
      <c r="H569" s="514" t="s">
        <v>2319</v>
      </c>
      <c r="I569" s="515">
        <v>2</v>
      </c>
      <c r="J569" s="515">
        <v>21</v>
      </c>
    </row>
    <row r="570" spans="1:10" ht="13.8" thickBot="1">
      <c r="A570" s="517"/>
      <c r="B570" s="518" t="s">
        <v>11989</v>
      </c>
      <c r="C570" s="533"/>
      <c r="D570" s="514" t="s">
        <v>11988</v>
      </c>
      <c r="E570" s="515">
        <v>6.3</v>
      </c>
      <c r="F570" s="518" t="s">
        <v>614</v>
      </c>
      <c r="G570" s="515" t="s">
        <v>5180</v>
      </c>
      <c r="H570" s="514" t="s">
        <v>1251</v>
      </c>
      <c r="I570" s="515">
        <v>1</v>
      </c>
      <c r="J570" s="515">
        <v>6</v>
      </c>
    </row>
    <row r="571" spans="1:10" ht="13.8" thickBot="1">
      <c r="A571" s="517"/>
      <c r="B571" s="518" t="s">
        <v>13115</v>
      </c>
      <c r="C571" s="533"/>
      <c r="D571" s="514" t="s">
        <v>13114</v>
      </c>
      <c r="E571" s="515">
        <v>6.3</v>
      </c>
      <c r="F571" s="518" t="s">
        <v>614</v>
      </c>
      <c r="G571" s="515" t="s">
        <v>2957</v>
      </c>
      <c r="H571" s="514" t="s">
        <v>1251</v>
      </c>
      <c r="I571" s="515"/>
      <c r="J571" s="515">
        <v>3</v>
      </c>
    </row>
    <row r="572" spans="1:10" ht="13.8" thickBot="1">
      <c r="A572" s="517"/>
      <c r="B572" s="518" t="s">
        <v>12467</v>
      </c>
      <c r="C572" s="533"/>
      <c r="D572" s="514" t="s">
        <v>1525</v>
      </c>
      <c r="E572" s="515">
        <v>6.3</v>
      </c>
      <c r="F572" s="518" t="s">
        <v>1854</v>
      </c>
      <c r="G572" s="515" t="s">
        <v>3996</v>
      </c>
      <c r="H572" s="514" t="s">
        <v>1251</v>
      </c>
      <c r="I572" s="515"/>
      <c r="J572" s="515">
        <v>5</v>
      </c>
    </row>
    <row r="573" spans="1:10" ht="13.8" thickBot="1">
      <c r="A573" s="517"/>
      <c r="B573" s="518" t="s">
        <v>12044</v>
      </c>
      <c r="C573" s="533"/>
      <c r="D573" s="514" t="s">
        <v>12043</v>
      </c>
      <c r="E573" s="515">
        <v>6.3</v>
      </c>
      <c r="F573" s="518" t="s">
        <v>614</v>
      </c>
      <c r="G573" s="515" t="s">
        <v>5031</v>
      </c>
      <c r="H573" s="514" t="s">
        <v>1841</v>
      </c>
      <c r="I573" s="515"/>
      <c r="J573" s="515">
        <v>8</v>
      </c>
    </row>
    <row r="574" spans="1:10" ht="13.8" thickBot="1">
      <c r="A574" s="517"/>
      <c r="B574" s="518" t="s">
        <v>13218</v>
      </c>
      <c r="C574" s="533"/>
      <c r="D574" s="514" t="s">
        <v>13217</v>
      </c>
      <c r="E574" s="515">
        <v>6.3</v>
      </c>
      <c r="F574" s="518" t="s">
        <v>614</v>
      </c>
      <c r="G574" s="515" t="s">
        <v>2797</v>
      </c>
      <c r="H574" s="514" t="s">
        <v>1841</v>
      </c>
      <c r="I574" s="515">
        <v>1</v>
      </c>
      <c r="J574" s="515">
        <v>6</v>
      </c>
    </row>
    <row r="575" spans="1:10" ht="13.8" thickBot="1">
      <c r="A575" s="517"/>
      <c r="B575" s="518" t="s">
        <v>12345</v>
      </c>
      <c r="C575" s="533"/>
      <c r="D575" s="514" t="s">
        <v>12344</v>
      </c>
      <c r="E575" s="515">
        <v>6.3</v>
      </c>
      <c r="F575" s="518" t="s">
        <v>614</v>
      </c>
      <c r="G575" s="515" t="s">
        <v>4214</v>
      </c>
      <c r="H575" s="514" t="s">
        <v>1841</v>
      </c>
      <c r="I575" s="515"/>
      <c r="J575" s="515">
        <v>8</v>
      </c>
    </row>
    <row r="576" spans="1:10" ht="13.8" thickBot="1">
      <c r="A576" s="517"/>
      <c r="B576" s="518" t="s">
        <v>11987</v>
      </c>
      <c r="C576" s="533"/>
      <c r="D576" s="514" t="s">
        <v>11986</v>
      </c>
      <c r="E576" s="515">
        <v>6.3</v>
      </c>
      <c r="F576" s="518" t="s">
        <v>614</v>
      </c>
      <c r="G576" s="515" t="s">
        <v>5180</v>
      </c>
      <c r="H576" s="514" t="s">
        <v>1226</v>
      </c>
      <c r="I576" s="515"/>
      <c r="J576" s="515">
        <v>5</v>
      </c>
    </row>
    <row r="577" spans="1:10" ht="13.8" thickBot="1">
      <c r="A577" s="517"/>
      <c r="B577" s="518" t="s">
        <v>13678</v>
      </c>
      <c r="C577" s="533"/>
      <c r="D577" s="514" t="s">
        <v>13677</v>
      </c>
      <c r="E577" s="515">
        <v>6.3</v>
      </c>
      <c r="F577" s="518" t="s">
        <v>614</v>
      </c>
      <c r="G577" s="515" t="s">
        <v>2289</v>
      </c>
      <c r="H577" s="514" t="s">
        <v>1226</v>
      </c>
      <c r="I577" s="515">
        <v>1</v>
      </c>
      <c r="J577" s="515">
        <v>6</v>
      </c>
    </row>
    <row r="578" spans="1:10" ht="13.8" thickBot="1">
      <c r="A578" s="517"/>
      <c r="B578" s="518" t="s">
        <v>13676</v>
      </c>
      <c r="C578" s="533"/>
      <c r="D578" s="514" t="s">
        <v>13675</v>
      </c>
      <c r="E578" s="515">
        <v>6.3</v>
      </c>
      <c r="F578" s="518" t="s">
        <v>614</v>
      </c>
      <c r="G578" s="515" t="s">
        <v>2289</v>
      </c>
      <c r="H578" s="514" t="s">
        <v>1226</v>
      </c>
      <c r="I578" s="515"/>
      <c r="J578" s="515">
        <v>6</v>
      </c>
    </row>
    <row r="579" spans="1:10" ht="13.8" thickBot="1">
      <c r="A579" s="517"/>
      <c r="B579" s="518" t="s">
        <v>13469</v>
      </c>
      <c r="C579" s="533"/>
      <c r="D579" s="514" t="s">
        <v>13468</v>
      </c>
      <c r="E579" s="515">
        <v>6.3</v>
      </c>
      <c r="F579" s="518" t="s">
        <v>614</v>
      </c>
      <c r="G579" s="515" t="s">
        <v>2523</v>
      </c>
      <c r="H579" s="514" t="s">
        <v>1226</v>
      </c>
      <c r="I579" s="515"/>
      <c r="J579" s="515">
        <v>9</v>
      </c>
    </row>
    <row r="580" spans="1:10" ht="13.8" thickBot="1">
      <c r="A580" s="517"/>
      <c r="B580" s="518" t="s">
        <v>13113</v>
      </c>
      <c r="C580" s="533"/>
      <c r="D580" s="514" t="s">
        <v>13112</v>
      </c>
      <c r="E580" s="515">
        <v>6.3</v>
      </c>
      <c r="F580" s="518" t="s">
        <v>614</v>
      </c>
      <c r="G580" s="515" t="s">
        <v>2957</v>
      </c>
      <c r="H580" s="514" t="s">
        <v>1226</v>
      </c>
      <c r="I580" s="515"/>
      <c r="J580" s="515">
        <v>6</v>
      </c>
    </row>
    <row r="581" spans="1:10" ht="13.8" thickBot="1">
      <c r="A581" s="517"/>
      <c r="B581" s="518" t="s">
        <v>13111</v>
      </c>
      <c r="C581" s="533"/>
      <c r="D581" s="514" t="s">
        <v>13110</v>
      </c>
      <c r="E581" s="515">
        <v>6.3</v>
      </c>
      <c r="F581" s="518" t="s">
        <v>614</v>
      </c>
      <c r="G581" s="515" t="s">
        <v>2957</v>
      </c>
      <c r="H581" s="514" t="s">
        <v>1226</v>
      </c>
      <c r="I581" s="515"/>
      <c r="J581" s="515">
        <v>5</v>
      </c>
    </row>
    <row r="582" spans="1:10" ht="13.8" thickBot="1">
      <c r="A582" s="517"/>
      <c r="B582" s="518" t="s">
        <v>12975</v>
      </c>
      <c r="C582" s="533"/>
      <c r="D582" s="514" t="s">
        <v>12974</v>
      </c>
      <c r="E582" s="522">
        <v>6.3</v>
      </c>
      <c r="F582" s="518" t="s">
        <v>614</v>
      </c>
      <c r="G582" s="515" t="s">
        <v>3085</v>
      </c>
      <c r="H582" s="514" t="s">
        <v>1226</v>
      </c>
      <c r="I582" s="515"/>
      <c r="J582" s="515">
        <v>7</v>
      </c>
    </row>
    <row r="583" spans="1:10" ht="13.8" thickBot="1">
      <c r="A583" s="517"/>
      <c r="B583" s="518" t="s">
        <v>12777</v>
      </c>
      <c r="C583" s="533"/>
      <c r="D583" s="514" t="s">
        <v>12776</v>
      </c>
      <c r="E583" s="515">
        <v>6.3</v>
      </c>
      <c r="F583" s="518" t="s">
        <v>614</v>
      </c>
      <c r="G583" s="515" t="s">
        <v>3517</v>
      </c>
      <c r="H583" s="514" t="s">
        <v>1226</v>
      </c>
      <c r="I583" s="515"/>
      <c r="J583" s="515">
        <v>7</v>
      </c>
    </row>
    <row r="584" spans="1:10" ht="13.8" thickBot="1">
      <c r="A584" s="517"/>
      <c r="B584" s="518" t="s">
        <v>12775</v>
      </c>
      <c r="C584" s="533"/>
      <c r="D584" s="514" t="s">
        <v>12774</v>
      </c>
      <c r="E584" s="515">
        <v>6.3</v>
      </c>
      <c r="F584" s="518" t="s">
        <v>614</v>
      </c>
      <c r="G584" s="515" t="s">
        <v>3517</v>
      </c>
      <c r="H584" s="514" t="s">
        <v>1226</v>
      </c>
      <c r="I584" s="515">
        <v>1</v>
      </c>
      <c r="J584" s="515">
        <v>5</v>
      </c>
    </row>
    <row r="585" spans="1:10" ht="13.8" thickBot="1">
      <c r="A585" s="517"/>
      <c r="B585" s="518" t="s">
        <v>12641</v>
      </c>
      <c r="C585" s="533"/>
      <c r="D585" s="514" t="s">
        <v>12640</v>
      </c>
      <c r="E585" s="515">
        <v>6.3</v>
      </c>
      <c r="F585" s="518" t="s">
        <v>614</v>
      </c>
      <c r="G585" s="515" t="s">
        <v>3734</v>
      </c>
      <c r="H585" s="514" t="s">
        <v>1226</v>
      </c>
      <c r="I585" s="515">
        <v>2</v>
      </c>
      <c r="J585" s="515">
        <v>15</v>
      </c>
    </row>
    <row r="586" spans="1:10" ht="13.8" thickBot="1">
      <c r="A586" s="517"/>
      <c r="B586" s="518" t="s">
        <v>12582</v>
      </c>
      <c r="C586" s="533"/>
      <c r="D586" s="514" t="s">
        <v>12581</v>
      </c>
      <c r="E586" s="515">
        <v>6.3</v>
      </c>
      <c r="F586" s="518" t="s">
        <v>614</v>
      </c>
      <c r="G586" s="515" t="s">
        <v>3807</v>
      </c>
      <c r="H586" s="514" t="s">
        <v>1226</v>
      </c>
      <c r="I586" s="515"/>
      <c r="J586" s="515">
        <v>7</v>
      </c>
    </row>
    <row r="587" spans="1:10" ht="13.8" thickBot="1">
      <c r="A587" s="517"/>
      <c r="B587" s="518" t="s">
        <v>12525</v>
      </c>
      <c r="C587" s="533"/>
      <c r="D587" s="514" t="s">
        <v>12524</v>
      </c>
      <c r="E587" s="515">
        <v>6.3</v>
      </c>
      <c r="F587" s="518" t="s">
        <v>614</v>
      </c>
      <c r="G587" s="515" t="s">
        <v>3856</v>
      </c>
      <c r="H587" s="514" t="s">
        <v>1226</v>
      </c>
      <c r="I587" s="515"/>
      <c r="J587" s="515">
        <v>8</v>
      </c>
    </row>
    <row r="588" spans="1:10" ht="13.8" thickBot="1">
      <c r="A588" s="517"/>
      <c r="B588" s="518" t="s">
        <v>12379</v>
      </c>
      <c r="C588" s="533"/>
      <c r="D588" s="514" t="s">
        <v>12378</v>
      </c>
      <c r="E588" s="515">
        <v>6.3</v>
      </c>
      <c r="F588" s="518" t="s">
        <v>614</v>
      </c>
      <c r="G588" s="515" t="s">
        <v>4160</v>
      </c>
      <c r="H588" s="514" t="s">
        <v>1226</v>
      </c>
      <c r="I588" s="515"/>
      <c r="J588" s="515">
        <v>11</v>
      </c>
    </row>
    <row r="589" spans="1:10" ht="13.8" thickBot="1">
      <c r="A589" s="517"/>
      <c r="B589" s="518" t="s">
        <v>12343</v>
      </c>
      <c r="C589" s="533"/>
      <c r="D589" s="519" t="s">
        <v>12342</v>
      </c>
      <c r="E589" s="515">
        <v>6.3</v>
      </c>
      <c r="F589" s="518" t="s">
        <v>614</v>
      </c>
      <c r="G589" s="515" t="s">
        <v>4214</v>
      </c>
      <c r="H589" s="514" t="s">
        <v>1226</v>
      </c>
      <c r="I589" s="515">
        <v>1</v>
      </c>
      <c r="J589" s="515">
        <v>6</v>
      </c>
    </row>
    <row r="590" spans="1:10" ht="13.8" thickBot="1">
      <c r="A590" s="517"/>
      <c r="B590" s="518" t="s">
        <v>12244</v>
      </c>
      <c r="C590" s="533"/>
      <c r="D590" s="514" t="s">
        <v>12243</v>
      </c>
      <c r="E590" s="515">
        <v>6.3</v>
      </c>
      <c r="F590" s="518" t="s">
        <v>614</v>
      </c>
      <c r="G590" s="515" t="s">
        <v>4536</v>
      </c>
      <c r="H590" s="514" t="s">
        <v>1226</v>
      </c>
      <c r="I590" s="515">
        <v>1</v>
      </c>
      <c r="J590" s="515">
        <v>5</v>
      </c>
    </row>
    <row r="591" spans="1:10" ht="13.8" thickBot="1">
      <c r="A591" s="517"/>
      <c r="B591" s="518" t="s">
        <v>13814</v>
      </c>
      <c r="C591" s="533"/>
      <c r="D591" s="519" t="s">
        <v>13813</v>
      </c>
      <c r="E591" s="515">
        <v>6.3</v>
      </c>
      <c r="F591" s="518" t="s">
        <v>614</v>
      </c>
      <c r="G591" s="515" t="s">
        <v>2152</v>
      </c>
      <c r="H591" s="514" t="s">
        <v>1226</v>
      </c>
      <c r="I591" s="515"/>
      <c r="J591" s="515">
        <v>7</v>
      </c>
    </row>
    <row r="592" spans="1:10" ht="13.8" thickBot="1">
      <c r="A592" s="517"/>
      <c r="B592" s="518" t="s">
        <v>13812</v>
      </c>
      <c r="C592" s="533"/>
      <c r="D592" s="514" t="s">
        <v>13811</v>
      </c>
      <c r="E592" s="515">
        <v>6.3</v>
      </c>
      <c r="F592" s="518" t="s">
        <v>614</v>
      </c>
      <c r="G592" s="515" t="s">
        <v>2152</v>
      </c>
      <c r="H592" s="514" t="s">
        <v>1226</v>
      </c>
      <c r="I592" s="515"/>
      <c r="J592" s="515">
        <v>6</v>
      </c>
    </row>
    <row r="593" spans="1:10" ht="13.8" thickBot="1">
      <c r="A593" s="517"/>
      <c r="B593" s="518" t="s">
        <v>12773</v>
      </c>
      <c r="C593" s="533"/>
      <c r="D593" s="514" t="s">
        <v>12772</v>
      </c>
      <c r="E593" s="515">
        <v>6.3</v>
      </c>
      <c r="F593" s="518" t="s">
        <v>1854</v>
      </c>
      <c r="G593" s="515" t="s">
        <v>3517</v>
      </c>
      <c r="H593" s="514" t="s">
        <v>1224</v>
      </c>
      <c r="I593" s="515"/>
      <c r="J593" s="515">
        <v>1</v>
      </c>
    </row>
    <row r="594" spans="1:10" ht="13.8" thickBot="1">
      <c r="A594" s="517"/>
      <c r="B594" s="518" t="s">
        <v>14208</v>
      </c>
      <c r="C594" s="533"/>
      <c r="D594" s="514" t="s">
        <v>14207</v>
      </c>
      <c r="E594" s="515">
        <v>6.3</v>
      </c>
      <c r="F594" s="518" t="s">
        <v>1978</v>
      </c>
      <c r="G594" s="515" t="s">
        <v>1793</v>
      </c>
      <c r="H594" s="514"/>
      <c r="I594" s="515"/>
      <c r="J594" s="515">
        <v>5</v>
      </c>
    </row>
    <row r="595" spans="1:10" ht="13.8" thickBot="1">
      <c r="A595" s="517"/>
      <c r="B595" s="518" t="s">
        <v>12932</v>
      </c>
      <c r="C595" s="533"/>
      <c r="D595" s="514" t="s">
        <v>12931</v>
      </c>
      <c r="E595" s="515">
        <v>6.3</v>
      </c>
      <c r="F595" s="518" t="s">
        <v>1854</v>
      </c>
      <c r="G595" s="515" t="s">
        <v>3161</v>
      </c>
      <c r="H595" s="514"/>
      <c r="I595" s="515"/>
      <c r="J595" s="515">
        <v>1</v>
      </c>
    </row>
    <row r="596" spans="1:10" ht="13.8" thickBot="1">
      <c r="A596" s="517"/>
      <c r="B596" s="518" t="s">
        <v>12771</v>
      </c>
      <c r="C596" s="533"/>
      <c r="D596" s="514" t="s">
        <v>12770</v>
      </c>
      <c r="E596" s="515">
        <v>6.3</v>
      </c>
      <c r="F596" s="518" t="s">
        <v>614</v>
      </c>
      <c r="G596" s="515" t="s">
        <v>3517</v>
      </c>
      <c r="H596" s="514"/>
      <c r="I596" s="515"/>
      <c r="J596" s="515">
        <v>2</v>
      </c>
    </row>
    <row r="597" spans="1:10" ht="13.8" thickBot="1">
      <c r="A597" s="517"/>
      <c r="B597" s="518" t="s">
        <v>13467</v>
      </c>
      <c r="C597" s="533"/>
      <c r="D597" s="514" t="s">
        <v>13466</v>
      </c>
      <c r="E597" s="515">
        <v>6.25</v>
      </c>
      <c r="F597" s="518" t="s">
        <v>614</v>
      </c>
      <c r="G597" s="515" t="s">
        <v>2523</v>
      </c>
      <c r="H597" s="514" t="s">
        <v>1229</v>
      </c>
      <c r="I597" s="515"/>
      <c r="J597" s="515">
        <v>8</v>
      </c>
    </row>
    <row r="598" spans="1:10" ht="13.8" thickBot="1">
      <c r="A598" s="517"/>
      <c r="B598" s="518" t="s">
        <v>13810</v>
      </c>
      <c r="C598" s="533"/>
      <c r="D598" s="514" t="s">
        <v>13809</v>
      </c>
      <c r="E598" s="515">
        <v>6.25</v>
      </c>
      <c r="F598" s="518" t="s">
        <v>614</v>
      </c>
      <c r="G598" s="515" t="s">
        <v>2152</v>
      </c>
      <c r="H598" s="514" t="s">
        <v>1229</v>
      </c>
      <c r="I598" s="515">
        <v>2</v>
      </c>
      <c r="J598" s="515">
        <v>15</v>
      </c>
    </row>
    <row r="599" spans="1:10" ht="13.8" thickBot="1">
      <c r="A599" s="517"/>
      <c r="B599" s="518" t="s">
        <v>12580</v>
      </c>
      <c r="C599" s="533"/>
      <c r="D599" s="514" t="s">
        <v>12579</v>
      </c>
      <c r="E599" s="515">
        <v>6.25</v>
      </c>
      <c r="F599" s="518" t="s">
        <v>614</v>
      </c>
      <c r="G599" s="515" t="s">
        <v>3807</v>
      </c>
      <c r="H599" s="514" t="s">
        <v>3306</v>
      </c>
      <c r="I599" s="515">
        <v>2</v>
      </c>
      <c r="J599" s="515">
        <v>30</v>
      </c>
    </row>
    <row r="600" spans="1:10" ht="13.8" thickBot="1">
      <c r="A600" s="517"/>
      <c r="B600" s="518" t="s">
        <v>13189</v>
      </c>
      <c r="C600" s="533"/>
      <c r="D600" s="514" t="s">
        <v>13188</v>
      </c>
      <c r="E600" s="515">
        <v>6.25</v>
      </c>
      <c r="F600" s="518" t="s">
        <v>614</v>
      </c>
      <c r="G600" s="515" t="s">
        <v>2841</v>
      </c>
      <c r="H600" s="514" t="s">
        <v>2319</v>
      </c>
      <c r="I600" s="515">
        <v>1</v>
      </c>
      <c r="J600" s="515">
        <v>19</v>
      </c>
    </row>
    <row r="601" spans="1:10" ht="13.8" thickBot="1">
      <c r="A601" s="517"/>
      <c r="B601" s="518" t="s">
        <v>12769</v>
      </c>
      <c r="C601" s="533"/>
      <c r="D601" s="514" t="s">
        <v>12768</v>
      </c>
      <c r="E601" s="515">
        <v>6.25</v>
      </c>
      <c r="F601" s="518" t="s">
        <v>614</v>
      </c>
      <c r="G601" s="515" t="s">
        <v>3517</v>
      </c>
      <c r="H601" s="514" t="s">
        <v>2319</v>
      </c>
      <c r="I601" s="522">
        <v>3</v>
      </c>
      <c r="J601" s="522">
        <v>18</v>
      </c>
    </row>
    <row r="602" spans="1:10" ht="13.8" thickBot="1">
      <c r="A602" s="517"/>
      <c r="B602" s="518" t="s">
        <v>14206</v>
      </c>
      <c r="C602" s="533"/>
      <c r="D602" s="514" t="s">
        <v>14205</v>
      </c>
      <c r="E602" s="515">
        <v>6.25</v>
      </c>
      <c r="F602" s="514"/>
      <c r="G602" s="515" t="s">
        <v>1793</v>
      </c>
      <c r="H602" s="514" t="s">
        <v>1251</v>
      </c>
      <c r="I602" s="515"/>
      <c r="J602" s="515">
        <v>4</v>
      </c>
    </row>
    <row r="603" spans="1:10" ht="13.8" thickBot="1">
      <c r="A603" s="517"/>
      <c r="B603" s="518" t="s">
        <v>12171</v>
      </c>
      <c r="C603" s="533"/>
      <c r="D603" s="514" t="s">
        <v>4867</v>
      </c>
      <c r="E603" s="515">
        <v>6.25</v>
      </c>
      <c r="F603" s="514"/>
      <c r="G603" s="515" t="s">
        <v>4865</v>
      </c>
      <c r="H603" s="514" t="s">
        <v>1251</v>
      </c>
      <c r="I603" s="515"/>
      <c r="J603" s="515">
        <v>5</v>
      </c>
    </row>
    <row r="604" spans="1:10" ht="13.8" thickBot="1">
      <c r="A604" s="517"/>
      <c r="B604" s="518" t="s">
        <v>11967</v>
      </c>
      <c r="C604" s="533"/>
      <c r="D604" s="514" t="s">
        <v>11966</v>
      </c>
      <c r="E604" s="515">
        <v>6.25</v>
      </c>
      <c r="F604" s="518" t="s">
        <v>614</v>
      </c>
      <c r="G604" s="515" t="s">
        <v>5196</v>
      </c>
      <c r="H604" s="514" t="s">
        <v>1251</v>
      </c>
      <c r="I604" s="515"/>
      <c r="J604" s="515">
        <v>10</v>
      </c>
    </row>
    <row r="605" spans="1:10" ht="13.8" thickBot="1">
      <c r="A605" s="517"/>
      <c r="B605" s="518" t="s">
        <v>11864</v>
      </c>
      <c r="C605" s="533"/>
      <c r="D605" s="514" t="s">
        <v>11863</v>
      </c>
      <c r="E605" s="515">
        <v>6.25</v>
      </c>
      <c r="F605" s="518" t="s">
        <v>614</v>
      </c>
      <c r="G605" s="515" t="s">
        <v>5286</v>
      </c>
      <c r="H605" s="514" t="s">
        <v>1251</v>
      </c>
      <c r="I605" s="515"/>
      <c r="J605" s="515">
        <v>6</v>
      </c>
    </row>
    <row r="606" spans="1:10" ht="13.8" thickBot="1">
      <c r="A606" s="517"/>
      <c r="B606" s="518" t="s">
        <v>13465</v>
      </c>
      <c r="C606" s="533"/>
      <c r="D606" s="514" t="s">
        <v>13464</v>
      </c>
      <c r="E606" s="515">
        <v>6.25</v>
      </c>
      <c r="F606" s="518" t="s">
        <v>614</v>
      </c>
      <c r="G606" s="515" t="s">
        <v>2523</v>
      </c>
      <c r="H606" s="514" t="s">
        <v>1251</v>
      </c>
      <c r="I606" s="515">
        <v>1</v>
      </c>
      <c r="J606" s="515">
        <v>13</v>
      </c>
    </row>
    <row r="607" spans="1:10" ht="13.8" thickBot="1">
      <c r="A607" s="517"/>
      <c r="B607" s="518" t="s">
        <v>13463</v>
      </c>
      <c r="C607" s="533"/>
      <c r="D607" s="514" t="s">
        <v>13462</v>
      </c>
      <c r="E607" s="515">
        <v>6.25</v>
      </c>
      <c r="F607" s="518" t="s">
        <v>614</v>
      </c>
      <c r="G607" s="515" t="s">
        <v>2523</v>
      </c>
      <c r="H607" s="514" t="s">
        <v>1251</v>
      </c>
      <c r="I607" s="515">
        <v>1</v>
      </c>
      <c r="J607" s="515">
        <v>3</v>
      </c>
    </row>
    <row r="608" spans="1:10" ht="13.8" thickBot="1">
      <c r="A608" s="517"/>
      <c r="B608" s="518" t="s">
        <v>12881</v>
      </c>
      <c r="C608" s="533"/>
      <c r="D608" s="514" t="s">
        <v>12880</v>
      </c>
      <c r="E608" s="515">
        <v>6.25</v>
      </c>
      <c r="F608" s="518" t="s">
        <v>614</v>
      </c>
      <c r="G608" s="515" t="s">
        <v>3351</v>
      </c>
      <c r="H608" s="514" t="s">
        <v>1251</v>
      </c>
      <c r="I608" s="522"/>
      <c r="J608" s="515">
        <v>1</v>
      </c>
    </row>
    <row r="609" spans="1:10" ht="13.8" thickBot="1">
      <c r="A609" s="517"/>
      <c r="B609" s="518" t="s">
        <v>11862</v>
      </c>
      <c r="C609" s="533"/>
      <c r="D609" s="514" t="s">
        <v>1381</v>
      </c>
      <c r="E609" s="515">
        <v>6.25</v>
      </c>
      <c r="F609" s="518" t="s">
        <v>614</v>
      </c>
      <c r="G609" s="515" t="s">
        <v>5286</v>
      </c>
      <c r="H609" s="514" t="s">
        <v>1841</v>
      </c>
      <c r="I609" s="522">
        <v>1</v>
      </c>
      <c r="J609" s="522">
        <v>13</v>
      </c>
    </row>
    <row r="610" spans="1:10" ht="13.8" thickBot="1">
      <c r="A610" s="517"/>
      <c r="B610" s="518" t="s">
        <v>13808</v>
      </c>
      <c r="C610" s="533"/>
      <c r="D610" s="514" t="s">
        <v>13807</v>
      </c>
      <c r="E610" s="515">
        <v>6.25</v>
      </c>
      <c r="F610" s="518" t="s">
        <v>614</v>
      </c>
      <c r="G610" s="515" t="s">
        <v>2152</v>
      </c>
      <c r="H610" s="514" t="s">
        <v>1841</v>
      </c>
      <c r="I610" s="522">
        <v>1</v>
      </c>
      <c r="J610" s="522">
        <v>10</v>
      </c>
    </row>
    <row r="611" spans="1:10" ht="13.8" thickBot="1">
      <c r="A611" s="517"/>
      <c r="B611" s="518" t="s">
        <v>14204</v>
      </c>
      <c r="C611" s="533"/>
      <c r="D611" s="514" t="s">
        <v>1792</v>
      </c>
      <c r="E611" s="515">
        <v>6.25</v>
      </c>
      <c r="F611" s="518" t="s">
        <v>614</v>
      </c>
      <c r="G611" s="515" t="s">
        <v>1793</v>
      </c>
      <c r="H611" s="514" t="s">
        <v>1226</v>
      </c>
      <c r="I611" s="515"/>
      <c r="J611" s="515">
        <v>4</v>
      </c>
    </row>
    <row r="612" spans="1:10" ht="13.8" thickBot="1">
      <c r="A612" s="517"/>
      <c r="B612" s="518" t="s">
        <v>12195</v>
      </c>
      <c r="C612" s="533"/>
      <c r="D612" s="514" t="s">
        <v>4796</v>
      </c>
      <c r="E612" s="515">
        <v>6.25</v>
      </c>
      <c r="F612" s="518" t="s">
        <v>1854</v>
      </c>
      <c r="G612" s="515" t="s">
        <v>4789</v>
      </c>
      <c r="H612" s="514" t="s">
        <v>1226</v>
      </c>
      <c r="I612" s="515"/>
      <c r="J612" s="515">
        <v>6</v>
      </c>
    </row>
    <row r="613" spans="1:10" ht="13.8" thickBot="1">
      <c r="A613" s="517"/>
      <c r="B613" s="518" t="s">
        <v>11919</v>
      </c>
      <c r="C613" s="533"/>
      <c r="D613" s="514" t="s">
        <v>11918</v>
      </c>
      <c r="E613" s="515">
        <v>6.25</v>
      </c>
      <c r="F613" s="518" t="s">
        <v>614</v>
      </c>
      <c r="G613" s="515" t="s">
        <v>5226</v>
      </c>
      <c r="H613" s="514" t="s">
        <v>1226</v>
      </c>
      <c r="I613" s="515">
        <v>1</v>
      </c>
      <c r="J613" s="515">
        <v>5</v>
      </c>
    </row>
    <row r="614" spans="1:10" ht="13.8" thickBot="1">
      <c r="A614" s="517"/>
      <c r="B614" s="518" t="s">
        <v>11917</v>
      </c>
      <c r="C614" s="533"/>
      <c r="D614" s="514" t="s">
        <v>5227</v>
      </c>
      <c r="E614" s="515">
        <v>6.25</v>
      </c>
      <c r="F614" s="518" t="s">
        <v>614</v>
      </c>
      <c r="G614" s="515" t="s">
        <v>5226</v>
      </c>
      <c r="H614" s="514" t="s">
        <v>1226</v>
      </c>
      <c r="I614" s="515">
        <v>1</v>
      </c>
      <c r="J614" s="515">
        <v>3</v>
      </c>
    </row>
    <row r="615" spans="1:10" ht="13.8" thickBot="1">
      <c r="A615" s="517"/>
      <c r="B615" s="518" t="s">
        <v>11902</v>
      </c>
      <c r="C615" s="533"/>
      <c r="D615" s="514" t="s">
        <v>11901</v>
      </c>
      <c r="E615" s="515">
        <v>6.25</v>
      </c>
      <c r="F615" s="518" t="s">
        <v>11900</v>
      </c>
      <c r="G615" s="515" t="s">
        <v>5248</v>
      </c>
      <c r="H615" s="514" t="s">
        <v>1226</v>
      </c>
      <c r="I615" s="515"/>
      <c r="J615" s="515">
        <v>8</v>
      </c>
    </row>
    <row r="616" spans="1:10" ht="13.8" thickBot="1">
      <c r="A616" s="517"/>
      <c r="B616" s="518" t="s">
        <v>11861</v>
      </c>
      <c r="C616" s="533"/>
      <c r="D616" s="514" t="s">
        <v>11860</v>
      </c>
      <c r="E616" s="515">
        <v>6.25</v>
      </c>
      <c r="F616" s="518" t="s">
        <v>614</v>
      </c>
      <c r="G616" s="515" t="s">
        <v>5286</v>
      </c>
      <c r="H616" s="514" t="s">
        <v>1226</v>
      </c>
      <c r="I616" s="515">
        <v>1</v>
      </c>
      <c r="J616" s="515">
        <v>14</v>
      </c>
    </row>
    <row r="617" spans="1:10" ht="13.8" thickBot="1">
      <c r="A617" s="517"/>
      <c r="B617" s="518" t="s">
        <v>11859</v>
      </c>
      <c r="C617" s="533"/>
      <c r="D617" s="514" t="s">
        <v>1381</v>
      </c>
      <c r="E617" s="515">
        <v>6.25</v>
      </c>
      <c r="F617" s="518" t="s">
        <v>614</v>
      </c>
      <c r="G617" s="515" t="s">
        <v>5286</v>
      </c>
      <c r="H617" s="514" t="s">
        <v>1226</v>
      </c>
      <c r="I617" s="515">
        <v>1</v>
      </c>
      <c r="J617" s="515">
        <v>7</v>
      </c>
    </row>
    <row r="618" spans="1:10" ht="13.8" thickBot="1">
      <c r="A618" s="517"/>
      <c r="B618" s="518" t="s">
        <v>13592</v>
      </c>
      <c r="C618" s="533"/>
      <c r="D618" s="514" t="s">
        <v>13591</v>
      </c>
      <c r="E618" s="515">
        <v>6.25</v>
      </c>
      <c r="F618" s="514"/>
      <c r="G618" s="515" t="s">
        <v>2449</v>
      </c>
      <c r="H618" s="514" t="s">
        <v>1226</v>
      </c>
      <c r="I618" s="515"/>
      <c r="J618" s="515">
        <v>6</v>
      </c>
    </row>
    <row r="619" spans="1:10" ht="13.8" thickBot="1">
      <c r="A619" s="517"/>
      <c r="B619" s="518" t="s">
        <v>13590</v>
      </c>
      <c r="C619" s="533"/>
      <c r="D619" s="514" t="s">
        <v>13589</v>
      </c>
      <c r="E619" s="515">
        <v>6.25</v>
      </c>
      <c r="F619" s="514"/>
      <c r="G619" s="515" t="s">
        <v>2449</v>
      </c>
      <c r="H619" s="514" t="s">
        <v>1226</v>
      </c>
      <c r="I619" s="515"/>
      <c r="J619" s="515">
        <v>2</v>
      </c>
    </row>
    <row r="620" spans="1:10" ht="13.8" thickBot="1">
      <c r="A620" s="517"/>
      <c r="B620" s="518" t="s">
        <v>13461</v>
      </c>
      <c r="C620" s="533"/>
      <c r="D620" s="519" t="s">
        <v>13460</v>
      </c>
      <c r="E620" s="515">
        <v>6.25</v>
      </c>
      <c r="F620" s="518" t="s">
        <v>614</v>
      </c>
      <c r="G620" s="515" t="s">
        <v>2523</v>
      </c>
      <c r="H620" s="514" t="s">
        <v>1226</v>
      </c>
      <c r="I620" s="515">
        <v>1</v>
      </c>
      <c r="J620" s="515">
        <v>9</v>
      </c>
    </row>
    <row r="621" spans="1:10" ht="13.8" thickBot="1">
      <c r="A621" s="517"/>
      <c r="B621" s="518" t="s">
        <v>13459</v>
      </c>
      <c r="C621" s="533"/>
      <c r="D621" s="514" t="s">
        <v>13458</v>
      </c>
      <c r="E621" s="515">
        <v>6.25</v>
      </c>
      <c r="F621" s="518" t="s">
        <v>614</v>
      </c>
      <c r="G621" s="515" t="s">
        <v>2523</v>
      </c>
      <c r="H621" s="514" t="s">
        <v>1226</v>
      </c>
      <c r="I621" s="515"/>
      <c r="J621" s="515">
        <v>8</v>
      </c>
    </row>
    <row r="622" spans="1:10" ht="13.8" thickBot="1">
      <c r="A622" s="517"/>
      <c r="B622" s="518" t="s">
        <v>13457</v>
      </c>
      <c r="C622" s="533"/>
      <c r="D622" s="514" t="s">
        <v>13456</v>
      </c>
      <c r="E622" s="515">
        <v>6.25</v>
      </c>
      <c r="F622" s="518" t="s">
        <v>614</v>
      </c>
      <c r="G622" s="515" t="s">
        <v>2523</v>
      </c>
      <c r="H622" s="514" t="s">
        <v>1226</v>
      </c>
      <c r="I622" s="515">
        <v>1</v>
      </c>
      <c r="J622" s="515">
        <v>6</v>
      </c>
    </row>
    <row r="623" spans="1:10" ht="13.8" thickBot="1">
      <c r="A623" s="517"/>
      <c r="B623" s="518" t="s">
        <v>13455</v>
      </c>
      <c r="C623" s="533"/>
      <c r="D623" s="514" t="s">
        <v>13454</v>
      </c>
      <c r="E623" s="515">
        <v>6.25</v>
      </c>
      <c r="F623" s="518" t="s">
        <v>614</v>
      </c>
      <c r="G623" s="515" t="s">
        <v>2523</v>
      </c>
      <c r="H623" s="514" t="s">
        <v>1226</v>
      </c>
      <c r="I623" s="515"/>
      <c r="J623" s="515">
        <v>6</v>
      </c>
    </row>
    <row r="624" spans="1:10" ht="13.8" thickBot="1">
      <c r="A624" s="517"/>
      <c r="B624" s="518" t="s">
        <v>13453</v>
      </c>
      <c r="C624" s="533"/>
      <c r="D624" s="519" t="s">
        <v>13452</v>
      </c>
      <c r="E624" s="515">
        <v>6.25</v>
      </c>
      <c r="F624" s="518" t="s">
        <v>1854</v>
      </c>
      <c r="G624" s="515" t="s">
        <v>2523</v>
      </c>
      <c r="H624" s="514" t="s">
        <v>1226</v>
      </c>
      <c r="I624" s="515">
        <v>1</v>
      </c>
      <c r="J624" s="515">
        <v>4</v>
      </c>
    </row>
    <row r="625" spans="1:10" ht="13.8" thickBot="1">
      <c r="A625" s="517"/>
      <c r="B625" s="518" t="s">
        <v>13451</v>
      </c>
      <c r="C625" s="533"/>
      <c r="D625" s="514" t="s">
        <v>13450</v>
      </c>
      <c r="E625" s="515">
        <v>6.25</v>
      </c>
      <c r="F625" s="518" t="s">
        <v>614</v>
      </c>
      <c r="G625" s="515" t="s">
        <v>2523</v>
      </c>
      <c r="H625" s="514" t="s">
        <v>1226</v>
      </c>
      <c r="I625" s="515"/>
      <c r="J625" s="515">
        <v>4</v>
      </c>
    </row>
    <row r="626" spans="1:10" ht="13.8" thickBot="1">
      <c r="A626" s="517"/>
      <c r="B626" s="518" t="s">
        <v>13449</v>
      </c>
      <c r="C626" s="533"/>
      <c r="D626" s="514" t="s">
        <v>13448</v>
      </c>
      <c r="E626" s="515">
        <v>6.25</v>
      </c>
      <c r="F626" s="518" t="s">
        <v>614</v>
      </c>
      <c r="G626" s="515" t="s">
        <v>2523</v>
      </c>
      <c r="H626" s="514" t="s">
        <v>1226</v>
      </c>
      <c r="I626" s="515"/>
      <c r="J626" s="515">
        <v>3</v>
      </c>
    </row>
    <row r="627" spans="1:10" ht="13.8" thickBot="1">
      <c r="A627" s="517"/>
      <c r="B627" s="518" t="s">
        <v>13447</v>
      </c>
      <c r="C627" s="533"/>
      <c r="D627" s="514" t="s">
        <v>13446</v>
      </c>
      <c r="E627" s="515">
        <v>6.25</v>
      </c>
      <c r="F627" s="518" t="s">
        <v>614</v>
      </c>
      <c r="G627" s="515" t="s">
        <v>2523</v>
      </c>
      <c r="H627" s="514" t="s">
        <v>1226</v>
      </c>
      <c r="I627" s="515"/>
      <c r="J627" s="515">
        <v>3</v>
      </c>
    </row>
    <row r="628" spans="1:10" ht="13.8" thickBot="1">
      <c r="A628" s="517"/>
      <c r="B628" s="518" t="s">
        <v>13109</v>
      </c>
      <c r="C628" s="533"/>
      <c r="D628" s="514" t="s">
        <v>13108</v>
      </c>
      <c r="E628" s="515">
        <v>6.25</v>
      </c>
      <c r="F628" s="518" t="s">
        <v>614</v>
      </c>
      <c r="G628" s="515" t="s">
        <v>2957</v>
      </c>
      <c r="H628" s="514" t="s">
        <v>1226</v>
      </c>
      <c r="I628" s="515">
        <v>1</v>
      </c>
      <c r="J628" s="515">
        <v>5</v>
      </c>
    </row>
    <row r="629" spans="1:10" ht="13.8" thickBot="1">
      <c r="A629" s="517"/>
      <c r="B629" s="518" t="s">
        <v>12930</v>
      </c>
      <c r="C629" s="533"/>
      <c r="D629" s="514" t="s">
        <v>12929</v>
      </c>
      <c r="E629" s="515">
        <v>6.25</v>
      </c>
      <c r="F629" s="518" t="s">
        <v>614</v>
      </c>
      <c r="G629" s="515" t="s">
        <v>3161</v>
      </c>
      <c r="H629" s="514" t="s">
        <v>1226</v>
      </c>
      <c r="I629" s="515"/>
      <c r="J629" s="515">
        <v>5</v>
      </c>
    </row>
    <row r="630" spans="1:10" ht="13.8" thickBot="1">
      <c r="A630" s="517"/>
      <c r="B630" s="518" t="s">
        <v>13906</v>
      </c>
      <c r="C630" s="533"/>
      <c r="D630" s="514" t="s">
        <v>13905</v>
      </c>
      <c r="E630" s="515">
        <v>6.25</v>
      </c>
      <c r="F630" s="518" t="s">
        <v>614</v>
      </c>
      <c r="G630" s="515" t="s">
        <v>2032</v>
      </c>
      <c r="H630" s="514" t="s">
        <v>1226</v>
      </c>
      <c r="I630" s="515"/>
      <c r="J630" s="515">
        <v>11</v>
      </c>
    </row>
    <row r="631" spans="1:10" ht="13.8" thickBot="1">
      <c r="A631" s="517"/>
      <c r="B631" s="518" t="s">
        <v>13904</v>
      </c>
      <c r="C631" s="533"/>
      <c r="D631" s="514" t="s">
        <v>13903</v>
      </c>
      <c r="E631" s="515">
        <v>6.25</v>
      </c>
      <c r="F631" s="518" t="s">
        <v>614</v>
      </c>
      <c r="G631" s="515" t="s">
        <v>2032</v>
      </c>
      <c r="H631" s="514" t="s">
        <v>1226</v>
      </c>
      <c r="I631" s="515">
        <v>1</v>
      </c>
      <c r="J631" s="515">
        <v>6</v>
      </c>
    </row>
    <row r="632" spans="1:10" ht="13.8" thickBot="1">
      <c r="A632" s="517"/>
      <c r="B632" s="518" t="s">
        <v>12767</v>
      </c>
      <c r="C632" s="533"/>
      <c r="D632" s="514" t="s">
        <v>12766</v>
      </c>
      <c r="E632" s="515">
        <v>6.25</v>
      </c>
      <c r="F632" s="518" t="s">
        <v>614</v>
      </c>
      <c r="G632" s="515" t="s">
        <v>3517</v>
      </c>
      <c r="H632" s="514" t="s">
        <v>1226</v>
      </c>
      <c r="I632" s="515"/>
      <c r="J632" s="515">
        <v>8</v>
      </c>
    </row>
    <row r="633" spans="1:10" ht="13.8" thickBot="1">
      <c r="A633" s="517"/>
      <c r="B633" s="518" t="s">
        <v>12765</v>
      </c>
      <c r="C633" s="533"/>
      <c r="D633" s="514" t="s">
        <v>12764</v>
      </c>
      <c r="E633" s="515">
        <v>6.25</v>
      </c>
      <c r="F633" s="518" t="s">
        <v>614</v>
      </c>
      <c r="G633" s="515" t="s">
        <v>3517</v>
      </c>
      <c r="H633" s="514" t="s">
        <v>1226</v>
      </c>
      <c r="I633" s="515"/>
      <c r="J633" s="515">
        <v>3</v>
      </c>
    </row>
    <row r="634" spans="1:10" ht="13.8" thickBot="1">
      <c r="A634" s="517"/>
      <c r="B634" s="518" t="s">
        <v>12763</v>
      </c>
      <c r="C634" s="533"/>
      <c r="D634" s="514" t="s">
        <v>12762</v>
      </c>
      <c r="E634" s="515">
        <v>6.25</v>
      </c>
      <c r="F634" s="518" t="s">
        <v>614</v>
      </c>
      <c r="G634" s="515" t="s">
        <v>3517</v>
      </c>
      <c r="H634" s="514" t="s">
        <v>1226</v>
      </c>
      <c r="I634" s="515"/>
      <c r="J634" s="515">
        <v>2</v>
      </c>
    </row>
    <row r="635" spans="1:10" ht="13.8" thickBot="1">
      <c r="A635" s="517"/>
      <c r="B635" s="518" t="s">
        <v>12446</v>
      </c>
      <c r="C635" s="533"/>
      <c r="D635" s="514" t="s">
        <v>12445</v>
      </c>
      <c r="E635" s="515">
        <v>6.25</v>
      </c>
      <c r="F635" s="514"/>
      <c r="G635" s="515" t="s">
        <v>4067</v>
      </c>
      <c r="H635" s="514" t="s">
        <v>1226</v>
      </c>
      <c r="I635" s="515"/>
      <c r="J635" s="515">
        <v>1</v>
      </c>
    </row>
    <row r="636" spans="1:10" ht="13.8" thickBot="1">
      <c r="A636" s="517"/>
      <c r="B636" s="518" t="s">
        <v>12420</v>
      </c>
      <c r="C636" s="533"/>
      <c r="D636" s="514" t="s">
        <v>12419</v>
      </c>
      <c r="E636" s="515">
        <v>6.25</v>
      </c>
      <c r="F636" s="518" t="s">
        <v>614</v>
      </c>
      <c r="G636" s="515" t="s">
        <v>4102</v>
      </c>
      <c r="H636" s="514" t="s">
        <v>1226</v>
      </c>
      <c r="I636" s="515">
        <v>1</v>
      </c>
      <c r="J636" s="515">
        <v>6</v>
      </c>
    </row>
    <row r="637" spans="1:10" ht="13.8" thickBot="1">
      <c r="A637" s="517"/>
      <c r="B637" s="518" t="s">
        <v>12341</v>
      </c>
      <c r="C637" s="533"/>
      <c r="D637" s="514" t="s">
        <v>12340</v>
      </c>
      <c r="E637" s="515">
        <v>6.25</v>
      </c>
      <c r="F637" s="518" t="s">
        <v>614</v>
      </c>
      <c r="G637" s="515" t="s">
        <v>4214</v>
      </c>
      <c r="H637" s="514" t="s">
        <v>1226</v>
      </c>
      <c r="I637" s="515"/>
      <c r="J637" s="515">
        <v>5</v>
      </c>
    </row>
    <row r="638" spans="1:10" ht="13.8" thickBot="1">
      <c r="A638" s="517"/>
      <c r="B638" s="518" t="s">
        <v>12252</v>
      </c>
      <c r="C638" s="533"/>
      <c r="D638" s="514" t="s">
        <v>12251</v>
      </c>
      <c r="E638" s="515">
        <v>6.25</v>
      </c>
      <c r="F638" s="518" t="s">
        <v>614</v>
      </c>
      <c r="G638" s="515" t="s">
        <v>4491</v>
      </c>
      <c r="H638" s="514" t="s">
        <v>1226</v>
      </c>
      <c r="I638" s="515"/>
      <c r="J638" s="515">
        <v>7</v>
      </c>
    </row>
    <row r="639" spans="1:10" ht="13.8" thickBot="1">
      <c r="A639" s="517"/>
      <c r="B639" s="518" t="s">
        <v>12578</v>
      </c>
      <c r="C639" s="533"/>
      <c r="D639" s="514" t="s">
        <v>1502</v>
      </c>
      <c r="E639" s="515">
        <v>6.25</v>
      </c>
      <c r="F639" s="518" t="s">
        <v>1854</v>
      </c>
      <c r="G639" s="515" t="s">
        <v>3807</v>
      </c>
      <c r="H639" s="514" t="s">
        <v>2067</v>
      </c>
      <c r="I639" s="515"/>
      <c r="J639" s="515">
        <v>9</v>
      </c>
    </row>
    <row r="640" spans="1:10" ht="13.8" thickBot="1">
      <c r="A640" s="517"/>
      <c r="B640" s="518" t="s">
        <v>14203</v>
      </c>
      <c r="C640" s="533"/>
      <c r="D640" s="514" t="s">
        <v>14202</v>
      </c>
      <c r="E640" s="515">
        <v>6.25</v>
      </c>
      <c r="F640" s="518" t="s">
        <v>614</v>
      </c>
      <c r="G640" s="515" t="s">
        <v>1793</v>
      </c>
      <c r="H640" s="514" t="s">
        <v>1224</v>
      </c>
      <c r="I640" s="515">
        <v>1</v>
      </c>
      <c r="J640" s="515">
        <v>12</v>
      </c>
    </row>
    <row r="641" spans="1:10" ht="13.8" thickBot="1">
      <c r="A641" s="517"/>
      <c r="B641" s="518" t="s">
        <v>14201</v>
      </c>
      <c r="C641" s="533"/>
      <c r="D641" s="514" t="s">
        <v>14200</v>
      </c>
      <c r="E641" s="515">
        <v>6.25</v>
      </c>
      <c r="F641" s="518" t="s">
        <v>614</v>
      </c>
      <c r="G641" s="515" t="s">
        <v>1793</v>
      </c>
      <c r="H641" s="514" t="s">
        <v>1224</v>
      </c>
      <c r="I641" s="515"/>
      <c r="J641" s="515">
        <v>3</v>
      </c>
    </row>
    <row r="642" spans="1:10" ht="13.8" thickBot="1">
      <c r="A642" s="517"/>
      <c r="B642" s="518" t="s">
        <v>11985</v>
      </c>
      <c r="C642" s="533"/>
      <c r="D642" s="514" t="s">
        <v>11984</v>
      </c>
      <c r="E642" s="515">
        <v>6.25</v>
      </c>
      <c r="F642" s="514"/>
      <c r="G642" s="515" t="s">
        <v>5180</v>
      </c>
      <c r="H642" s="514" t="s">
        <v>1224</v>
      </c>
      <c r="I642" s="515"/>
      <c r="J642" s="515">
        <v>7</v>
      </c>
    </row>
    <row r="643" spans="1:10" ht="13.8" thickBot="1">
      <c r="A643" s="517"/>
      <c r="B643" s="518" t="s">
        <v>13445</v>
      </c>
      <c r="C643" s="533"/>
      <c r="D643" s="514" t="s">
        <v>13444</v>
      </c>
      <c r="E643" s="515">
        <v>6.25</v>
      </c>
      <c r="F643" s="518" t="s">
        <v>614</v>
      </c>
      <c r="G643" s="515" t="s">
        <v>2523</v>
      </c>
      <c r="H643" s="514" t="s">
        <v>1224</v>
      </c>
      <c r="I643" s="515"/>
      <c r="J643" s="515">
        <v>2</v>
      </c>
    </row>
    <row r="644" spans="1:10" ht="13.8" thickBot="1">
      <c r="A644" s="517"/>
      <c r="B644" s="518" t="s">
        <v>13443</v>
      </c>
      <c r="C644" s="533"/>
      <c r="D644" s="514" t="s">
        <v>13442</v>
      </c>
      <c r="E644" s="515">
        <v>6.25</v>
      </c>
      <c r="F644" s="518" t="s">
        <v>1854</v>
      </c>
      <c r="G644" s="515" t="s">
        <v>2523</v>
      </c>
      <c r="H644" s="514" t="s">
        <v>1224</v>
      </c>
      <c r="I644" s="515">
        <v>1</v>
      </c>
      <c r="J644" s="515">
        <v>2</v>
      </c>
    </row>
    <row r="645" spans="1:10" ht="13.8" thickBot="1">
      <c r="A645" s="517"/>
      <c r="B645" s="518" t="s">
        <v>13107</v>
      </c>
      <c r="C645" s="533"/>
      <c r="D645" s="514" t="s">
        <v>1552</v>
      </c>
      <c r="E645" s="515">
        <v>6.25</v>
      </c>
      <c r="F645" s="518" t="s">
        <v>1854</v>
      </c>
      <c r="G645" s="515" t="s">
        <v>2957</v>
      </c>
      <c r="H645" s="514" t="s">
        <v>1224</v>
      </c>
      <c r="I645" s="522"/>
      <c r="J645" s="522">
        <v>4</v>
      </c>
    </row>
    <row r="646" spans="1:10" ht="13.8" thickBot="1">
      <c r="A646" s="517"/>
      <c r="B646" s="518" t="s">
        <v>12928</v>
      </c>
      <c r="C646" s="533"/>
      <c r="D646" s="514" t="s">
        <v>12927</v>
      </c>
      <c r="E646" s="515">
        <v>6.25</v>
      </c>
      <c r="F646" s="518" t="s">
        <v>614</v>
      </c>
      <c r="G646" s="515" t="s">
        <v>3161</v>
      </c>
      <c r="H646" s="514" t="s">
        <v>1224</v>
      </c>
      <c r="I646" s="515"/>
      <c r="J646" s="515">
        <v>2</v>
      </c>
    </row>
    <row r="647" spans="1:10" ht="13.8" thickBot="1">
      <c r="A647" s="517"/>
      <c r="B647" s="518" t="s">
        <v>12761</v>
      </c>
      <c r="C647" s="533"/>
      <c r="D647" s="514" t="s">
        <v>12760</v>
      </c>
      <c r="E647" s="515">
        <v>6.25</v>
      </c>
      <c r="F647" s="518" t="s">
        <v>614</v>
      </c>
      <c r="G647" s="515" t="s">
        <v>3517</v>
      </c>
      <c r="H647" s="514" t="s">
        <v>1224</v>
      </c>
      <c r="I647" s="515"/>
      <c r="J647" s="515">
        <v>1</v>
      </c>
    </row>
    <row r="648" spans="1:10" ht="13.8" thickBot="1">
      <c r="A648" s="517"/>
      <c r="B648" s="518" t="s">
        <v>12639</v>
      </c>
      <c r="C648" s="533"/>
      <c r="D648" s="514" t="s">
        <v>12638</v>
      </c>
      <c r="E648" s="515">
        <v>6.25</v>
      </c>
      <c r="F648" s="518" t="s">
        <v>1854</v>
      </c>
      <c r="G648" s="515" t="s">
        <v>3734</v>
      </c>
      <c r="H648" s="514" t="s">
        <v>1224</v>
      </c>
      <c r="I648" s="515">
        <v>2</v>
      </c>
      <c r="J648" s="515">
        <v>8</v>
      </c>
    </row>
    <row r="649" spans="1:10" ht="13.8" thickBot="1">
      <c r="A649" s="517"/>
      <c r="B649" s="518" t="s">
        <v>12523</v>
      </c>
      <c r="C649" s="533"/>
      <c r="D649" s="514" t="s">
        <v>12522</v>
      </c>
      <c r="E649" s="515">
        <v>6.25</v>
      </c>
      <c r="F649" s="518" t="s">
        <v>614</v>
      </c>
      <c r="G649" s="515" t="s">
        <v>3856</v>
      </c>
      <c r="H649" s="514" t="s">
        <v>1224</v>
      </c>
      <c r="I649" s="522"/>
      <c r="J649" s="522">
        <v>20</v>
      </c>
    </row>
    <row r="650" spans="1:10" ht="13.8" thickBot="1">
      <c r="A650" s="517"/>
      <c r="B650" s="518" t="s">
        <v>12487</v>
      </c>
      <c r="C650" s="533"/>
      <c r="D650" s="514" t="s">
        <v>12486</v>
      </c>
      <c r="E650" s="515">
        <v>6.25</v>
      </c>
      <c r="F650" s="518" t="s">
        <v>614</v>
      </c>
      <c r="G650" s="515" t="s">
        <v>3903</v>
      </c>
      <c r="H650" s="514" t="s">
        <v>1224</v>
      </c>
      <c r="I650" s="515"/>
      <c r="J650" s="515">
        <v>2</v>
      </c>
    </row>
    <row r="651" spans="1:10" ht="13.8" thickBot="1">
      <c r="A651" s="517"/>
      <c r="B651" s="518" t="s">
        <v>12339</v>
      </c>
      <c r="C651" s="533"/>
      <c r="D651" s="514" t="s">
        <v>12338</v>
      </c>
      <c r="E651" s="515">
        <v>6.25</v>
      </c>
      <c r="F651" s="518" t="s">
        <v>614</v>
      </c>
      <c r="G651" s="515" t="s">
        <v>4214</v>
      </c>
      <c r="H651" s="514" t="s">
        <v>1224</v>
      </c>
      <c r="I651" s="515">
        <v>2</v>
      </c>
      <c r="J651" s="515">
        <v>3</v>
      </c>
    </row>
    <row r="652" spans="1:10" ht="13.8" thickBot="1">
      <c r="A652" s="517"/>
      <c r="B652" s="518" t="s">
        <v>14199</v>
      </c>
      <c r="C652" s="533"/>
      <c r="D652" s="514" t="s">
        <v>1792</v>
      </c>
      <c r="E652" s="515">
        <v>6.25</v>
      </c>
      <c r="F652" s="518" t="s">
        <v>614</v>
      </c>
      <c r="G652" s="515" t="s">
        <v>1793</v>
      </c>
      <c r="H652" s="514"/>
      <c r="I652" s="515">
        <v>1</v>
      </c>
      <c r="J652" s="515">
        <v>2</v>
      </c>
    </row>
    <row r="653" spans="1:10" ht="13.8" thickBot="1">
      <c r="A653" s="517"/>
      <c r="B653" s="518" t="s">
        <v>14198</v>
      </c>
      <c r="C653" s="533"/>
      <c r="D653" s="514" t="s">
        <v>14197</v>
      </c>
      <c r="E653" s="515">
        <v>6.25</v>
      </c>
      <c r="F653" s="514"/>
      <c r="G653" s="515" t="s">
        <v>1793</v>
      </c>
      <c r="H653" s="514"/>
      <c r="I653" s="515"/>
      <c r="J653" s="515"/>
    </row>
    <row r="654" spans="1:10" ht="13.8" thickBot="1">
      <c r="A654" s="517"/>
      <c r="B654" s="518" t="s">
        <v>12133</v>
      </c>
      <c r="C654" s="533"/>
      <c r="D654" s="514" t="s">
        <v>12132</v>
      </c>
      <c r="E654" s="515">
        <v>6.25</v>
      </c>
      <c r="F654" s="514"/>
      <c r="G654" s="515" t="s">
        <v>4970</v>
      </c>
      <c r="H654" s="514"/>
      <c r="I654" s="515"/>
      <c r="J654" s="515">
        <v>2</v>
      </c>
    </row>
    <row r="655" spans="1:10" ht="13.8" thickBot="1">
      <c r="A655" s="517"/>
      <c r="B655" s="518" t="s">
        <v>11983</v>
      </c>
      <c r="C655" s="533"/>
      <c r="D655" s="514" t="s">
        <v>11982</v>
      </c>
      <c r="E655" s="515">
        <v>6.25</v>
      </c>
      <c r="F655" s="518" t="s">
        <v>614</v>
      </c>
      <c r="G655" s="515" t="s">
        <v>5180</v>
      </c>
      <c r="H655" s="514"/>
      <c r="I655" s="515"/>
      <c r="J655" s="515">
        <v>4</v>
      </c>
    </row>
    <row r="656" spans="1:10" ht="13.8" thickBot="1">
      <c r="A656" s="517"/>
      <c r="B656" s="518" t="s">
        <v>11965</v>
      </c>
      <c r="C656" s="533"/>
      <c r="D656" s="514" t="s">
        <v>11964</v>
      </c>
      <c r="E656" s="515">
        <v>6.25</v>
      </c>
      <c r="F656" s="518" t="s">
        <v>614</v>
      </c>
      <c r="G656" s="515" t="s">
        <v>5196</v>
      </c>
      <c r="H656" s="514"/>
      <c r="I656" s="522">
        <v>1</v>
      </c>
      <c r="J656" s="522">
        <v>13</v>
      </c>
    </row>
    <row r="657" spans="1:10" ht="13.8" thickBot="1">
      <c r="A657" s="517"/>
      <c r="B657" s="518" t="s">
        <v>11963</v>
      </c>
      <c r="C657" s="533"/>
      <c r="D657" s="514" t="s">
        <v>11962</v>
      </c>
      <c r="E657" s="515">
        <v>6.25</v>
      </c>
      <c r="F657" s="518" t="s">
        <v>614</v>
      </c>
      <c r="G657" s="515" t="s">
        <v>5196</v>
      </c>
      <c r="H657" s="514"/>
      <c r="I657" s="515"/>
      <c r="J657" s="515">
        <v>9</v>
      </c>
    </row>
    <row r="658" spans="1:10" ht="13.8" thickBot="1">
      <c r="A658" s="517"/>
      <c r="B658" s="518" t="s">
        <v>13674</v>
      </c>
      <c r="C658" s="533"/>
      <c r="D658" s="514" t="s">
        <v>13673</v>
      </c>
      <c r="E658" s="515">
        <v>6.25</v>
      </c>
      <c r="F658" s="518" t="s">
        <v>614</v>
      </c>
      <c r="G658" s="515" t="s">
        <v>2289</v>
      </c>
      <c r="H658" s="514"/>
      <c r="I658" s="522"/>
      <c r="J658" s="522">
        <v>3</v>
      </c>
    </row>
    <row r="659" spans="1:10" ht="13.8" thickBot="1">
      <c r="A659" s="517"/>
      <c r="B659" s="518" t="s">
        <v>13672</v>
      </c>
      <c r="C659" s="533"/>
      <c r="D659" s="514" t="s">
        <v>13671</v>
      </c>
      <c r="E659" s="515">
        <v>6.25</v>
      </c>
      <c r="F659" s="518" t="s">
        <v>1854</v>
      </c>
      <c r="G659" s="515" t="s">
        <v>2289</v>
      </c>
      <c r="H659" s="514"/>
      <c r="I659" s="515"/>
      <c r="J659" s="515">
        <v>2</v>
      </c>
    </row>
    <row r="660" spans="1:10" ht="13.8" thickBot="1">
      <c r="A660" s="517"/>
      <c r="B660" s="518" t="s">
        <v>13670</v>
      </c>
      <c r="C660" s="533"/>
      <c r="D660" s="514" t="s">
        <v>1726</v>
      </c>
      <c r="E660" s="515">
        <v>6.25</v>
      </c>
      <c r="F660" s="518" t="s">
        <v>1854</v>
      </c>
      <c r="G660" s="515" t="s">
        <v>2289</v>
      </c>
      <c r="H660" s="514"/>
      <c r="I660" s="515"/>
      <c r="J660" s="515">
        <v>1</v>
      </c>
    </row>
    <row r="661" spans="1:10" ht="13.8" thickBot="1">
      <c r="A661" s="517"/>
      <c r="B661" s="518" t="s">
        <v>13669</v>
      </c>
      <c r="C661" s="533"/>
      <c r="D661" s="514" t="s">
        <v>13668</v>
      </c>
      <c r="E661" s="515">
        <v>6.25</v>
      </c>
      <c r="F661" s="518" t="s">
        <v>1854</v>
      </c>
      <c r="G661" s="515" t="s">
        <v>2289</v>
      </c>
      <c r="H661" s="514"/>
      <c r="I661" s="515"/>
      <c r="J661" s="515">
        <v>1</v>
      </c>
    </row>
    <row r="662" spans="1:10" ht="13.8" thickBot="1">
      <c r="A662" s="517"/>
      <c r="B662" s="518" t="s">
        <v>13667</v>
      </c>
      <c r="C662" s="533"/>
      <c r="D662" s="520" t="s">
        <v>13666</v>
      </c>
      <c r="E662" s="521">
        <v>6.25</v>
      </c>
      <c r="F662" s="518" t="s">
        <v>1854</v>
      </c>
      <c r="G662" s="515" t="s">
        <v>2289</v>
      </c>
      <c r="H662" s="514"/>
      <c r="I662" s="521"/>
      <c r="J662" s="521">
        <v>1</v>
      </c>
    </row>
    <row r="663" spans="1:10" ht="13.8" thickBot="1">
      <c r="A663" s="517"/>
      <c r="B663" s="518" t="s">
        <v>11823</v>
      </c>
      <c r="C663" s="533"/>
      <c r="D663" s="514" t="s">
        <v>5328</v>
      </c>
      <c r="E663" s="515">
        <v>6.25</v>
      </c>
      <c r="F663" s="518" t="s">
        <v>614</v>
      </c>
      <c r="G663" s="515" t="s">
        <v>5325</v>
      </c>
      <c r="H663" s="514"/>
      <c r="I663" s="515"/>
      <c r="J663" s="515">
        <v>1</v>
      </c>
    </row>
    <row r="664" spans="1:10" ht="13.8" thickBot="1">
      <c r="A664" s="517"/>
      <c r="B664" s="518" t="s">
        <v>13441</v>
      </c>
      <c r="C664" s="533"/>
      <c r="D664" s="514" t="s">
        <v>13440</v>
      </c>
      <c r="E664" s="515">
        <v>6.25</v>
      </c>
      <c r="F664" s="518" t="s">
        <v>614</v>
      </c>
      <c r="G664" s="515" t="s">
        <v>2523</v>
      </c>
      <c r="H664" s="514"/>
      <c r="I664" s="515">
        <v>2</v>
      </c>
      <c r="J664" s="515">
        <v>3</v>
      </c>
    </row>
    <row r="665" spans="1:10" ht="13.8" thickBot="1">
      <c r="A665" s="517"/>
      <c r="B665" s="518" t="s">
        <v>13439</v>
      </c>
      <c r="C665" s="533"/>
      <c r="D665" s="514" t="s">
        <v>13438</v>
      </c>
      <c r="E665" s="515">
        <v>6.25</v>
      </c>
      <c r="F665" s="518" t="s">
        <v>1854</v>
      </c>
      <c r="G665" s="515" t="s">
        <v>2523</v>
      </c>
      <c r="H665" s="514"/>
      <c r="I665" s="522">
        <v>1</v>
      </c>
      <c r="J665" s="522">
        <v>2</v>
      </c>
    </row>
    <row r="666" spans="1:10" ht="13.8" thickBot="1">
      <c r="A666" s="517"/>
      <c r="B666" s="518" t="s">
        <v>13437</v>
      </c>
      <c r="C666" s="533"/>
      <c r="D666" s="514" t="s">
        <v>13436</v>
      </c>
      <c r="E666" s="515">
        <v>6.25</v>
      </c>
      <c r="F666" s="518" t="s">
        <v>614</v>
      </c>
      <c r="G666" s="515" t="s">
        <v>2523</v>
      </c>
      <c r="H666" s="514"/>
      <c r="I666" s="515"/>
      <c r="J666" s="515">
        <v>1</v>
      </c>
    </row>
    <row r="667" spans="1:10" ht="13.8" thickBot="1">
      <c r="A667" s="517"/>
      <c r="B667" s="518" t="s">
        <v>13435</v>
      </c>
      <c r="C667" s="533"/>
      <c r="D667" s="514" t="s">
        <v>13434</v>
      </c>
      <c r="E667" s="515">
        <v>6.25</v>
      </c>
      <c r="F667" s="518" t="s">
        <v>1854</v>
      </c>
      <c r="G667" s="515" t="s">
        <v>2523</v>
      </c>
      <c r="H667" s="514"/>
      <c r="I667" s="522"/>
      <c r="J667" s="515">
        <v>1</v>
      </c>
    </row>
    <row r="668" spans="1:10" ht="13.8" thickBot="1">
      <c r="A668" s="517"/>
      <c r="B668" s="518" t="s">
        <v>11567</v>
      </c>
      <c r="C668" s="533"/>
      <c r="D668" s="514" t="s">
        <v>11566</v>
      </c>
      <c r="E668" s="515">
        <v>6.25</v>
      </c>
      <c r="F668" s="514"/>
      <c r="G668" s="515" t="s">
        <v>11525</v>
      </c>
      <c r="H668" s="514"/>
      <c r="I668" s="515"/>
      <c r="J668" s="515">
        <v>1</v>
      </c>
    </row>
    <row r="669" spans="1:10" ht="13.8" thickBot="1">
      <c r="A669" s="517"/>
      <c r="B669" s="518" t="s">
        <v>11795</v>
      </c>
      <c r="C669" s="533"/>
      <c r="D669" s="514" t="s">
        <v>11533</v>
      </c>
      <c r="E669" s="515">
        <v>6.25</v>
      </c>
      <c r="F669" s="514"/>
      <c r="G669" s="515" t="s">
        <v>11525</v>
      </c>
      <c r="H669" s="514"/>
      <c r="I669" s="515"/>
      <c r="J669" s="515"/>
    </row>
    <row r="670" spans="1:10" ht="13.8" thickBot="1">
      <c r="A670" s="517"/>
      <c r="B670" s="518" t="s">
        <v>11636</v>
      </c>
      <c r="C670" s="533"/>
      <c r="D670" s="514" t="s">
        <v>11612</v>
      </c>
      <c r="E670" s="515">
        <v>6.25</v>
      </c>
      <c r="F670" s="514"/>
      <c r="G670" s="515" t="s">
        <v>11525</v>
      </c>
      <c r="H670" s="514"/>
      <c r="I670" s="515"/>
      <c r="J670" s="515"/>
    </row>
    <row r="671" spans="1:10" ht="13.8" thickBot="1">
      <c r="A671" s="517"/>
      <c r="B671" s="518" t="s">
        <v>11619</v>
      </c>
      <c r="C671" s="533"/>
      <c r="D671" s="514" t="s">
        <v>11612</v>
      </c>
      <c r="E671" s="515">
        <v>6.25</v>
      </c>
      <c r="F671" s="514"/>
      <c r="G671" s="515" t="s">
        <v>11525</v>
      </c>
      <c r="H671" s="514"/>
      <c r="I671" s="515"/>
      <c r="J671" s="515"/>
    </row>
    <row r="672" spans="1:10" ht="13.8" thickBot="1">
      <c r="A672" s="517"/>
      <c r="B672" s="518" t="s">
        <v>11618</v>
      </c>
      <c r="C672" s="533"/>
      <c r="D672" s="514" t="s">
        <v>11612</v>
      </c>
      <c r="E672" s="515">
        <v>6.25</v>
      </c>
      <c r="F672" s="514"/>
      <c r="G672" s="515" t="s">
        <v>11525</v>
      </c>
      <c r="H672" s="514"/>
      <c r="I672" s="515"/>
      <c r="J672" s="515"/>
    </row>
    <row r="673" spans="1:10" ht="13.8" thickBot="1">
      <c r="A673" s="517"/>
      <c r="B673" s="518" t="s">
        <v>11616</v>
      </c>
      <c r="C673" s="533"/>
      <c r="D673" s="514" t="s">
        <v>11612</v>
      </c>
      <c r="E673" s="515">
        <v>6.25</v>
      </c>
      <c r="F673" s="514"/>
      <c r="G673" s="515" t="s">
        <v>11525</v>
      </c>
      <c r="H673" s="514"/>
      <c r="I673" s="515"/>
      <c r="J673" s="515"/>
    </row>
    <row r="674" spans="1:10" ht="13.8" thickBot="1">
      <c r="A674" s="517"/>
      <c r="B674" s="518" t="s">
        <v>11615</v>
      </c>
      <c r="C674" s="533"/>
      <c r="D674" s="514" t="s">
        <v>11612</v>
      </c>
      <c r="E674" s="515">
        <v>6.25</v>
      </c>
      <c r="F674" s="514"/>
      <c r="G674" s="515" t="s">
        <v>11525</v>
      </c>
      <c r="H674" s="514"/>
      <c r="I674" s="515"/>
      <c r="J674" s="515"/>
    </row>
    <row r="675" spans="1:10" ht="13.8" thickBot="1">
      <c r="A675" s="517"/>
      <c r="B675" s="518" t="s">
        <v>11613</v>
      </c>
      <c r="C675" s="533"/>
      <c r="D675" s="514" t="s">
        <v>11612</v>
      </c>
      <c r="E675" s="515">
        <v>6.25</v>
      </c>
      <c r="F675" s="514"/>
      <c r="G675" s="515" t="s">
        <v>11525</v>
      </c>
      <c r="H675" s="514"/>
      <c r="I675" s="515"/>
      <c r="J675" s="515"/>
    </row>
    <row r="676" spans="1:10" ht="13.8" thickBot="1">
      <c r="A676" s="517"/>
      <c r="B676" s="518" t="s">
        <v>13236</v>
      </c>
      <c r="C676" s="533"/>
      <c r="D676" s="514" t="s">
        <v>13235</v>
      </c>
      <c r="E676" s="515">
        <v>6.25</v>
      </c>
      <c r="F676" s="518" t="s">
        <v>614</v>
      </c>
      <c r="G676" s="515" t="s">
        <v>2779</v>
      </c>
      <c r="H676" s="514"/>
      <c r="I676" s="515"/>
      <c r="J676" s="515">
        <v>1</v>
      </c>
    </row>
    <row r="677" spans="1:10" ht="13.8" thickBot="1">
      <c r="A677" s="517"/>
      <c r="B677" s="518" t="s">
        <v>13106</v>
      </c>
      <c r="C677" s="533"/>
      <c r="D677" s="514" t="s">
        <v>13105</v>
      </c>
      <c r="E677" s="515">
        <v>6.25</v>
      </c>
      <c r="F677" s="518" t="s">
        <v>614</v>
      </c>
      <c r="G677" s="515" t="s">
        <v>2957</v>
      </c>
      <c r="H677" s="514"/>
      <c r="I677" s="515">
        <v>1</v>
      </c>
      <c r="J677" s="515">
        <v>3</v>
      </c>
    </row>
    <row r="678" spans="1:10" ht="13.8" thickBot="1">
      <c r="A678" s="517"/>
      <c r="B678" s="518" t="s">
        <v>13104</v>
      </c>
      <c r="C678" s="533"/>
      <c r="D678" s="514" t="s">
        <v>13103</v>
      </c>
      <c r="E678" s="515">
        <v>6.25</v>
      </c>
      <c r="F678" s="518" t="s">
        <v>1854</v>
      </c>
      <c r="G678" s="515" t="s">
        <v>2957</v>
      </c>
      <c r="H678" s="514"/>
      <c r="I678" s="515"/>
      <c r="J678" s="515">
        <v>1</v>
      </c>
    </row>
    <row r="679" spans="1:10" ht="13.8" thickBot="1">
      <c r="A679" s="517"/>
      <c r="B679" s="518" t="s">
        <v>13902</v>
      </c>
      <c r="C679" s="533"/>
      <c r="D679" s="514" t="s">
        <v>13901</v>
      </c>
      <c r="E679" s="515">
        <v>6.25</v>
      </c>
      <c r="F679" s="518" t="s">
        <v>1854</v>
      </c>
      <c r="G679" s="515" t="s">
        <v>2032</v>
      </c>
      <c r="H679" s="514"/>
      <c r="I679" s="515"/>
      <c r="J679" s="515">
        <v>1</v>
      </c>
    </row>
    <row r="680" spans="1:10" ht="13.8" thickBot="1">
      <c r="A680" s="517"/>
      <c r="B680" s="518" t="s">
        <v>12521</v>
      </c>
      <c r="C680" s="533"/>
      <c r="D680" s="514" t="s">
        <v>12520</v>
      </c>
      <c r="E680" s="515">
        <v>6.25</v>
      </c>
      <c r="F680" s="514"/>
      <c r="G680" s="515" t="s">
        <v>3856</v>
      </c>
      <c r="H680" s="514"/>
      <c r="I680" s="515"/>
      <c r="J680" s="515"/>
    </row>
    <row r="681" spans="1:10" ht="13.8" thickBot="1">
      <c r="A681" s="517"/>
      <c r="B681" s="518" t="s">
        <v>12337</v>
      </c>
      <c r="C681" s="533"/>
      <c r="D681" s="514" t="s">
        <v>12336</v>
      </c>
      <c r="E681" s="515">
        <v>6.25</v>
      </c>
      <c r="F681" s="518" t="s">
        <v>614</v>
      </c>
      <c r="G681" s="515" t="s">
        <v>4214</v>
      </c>
      <c r="H681" s="514"/>
      <c r="I681" s="515"/>
      <c r="J681" s="515">
        <v>1</v>
      </c>
    </row>
    <row r="682" spans="1:10" ht="13.8" thickBot="1">
      <c r="A682" s="517"/>
      <c r="B682" s="518" t="s">
        <v>12335</v>
      </c>
      <c r="C682" s="533"/>
      <c r="D682" s="514" t="s">
        <v>12334</v>
      </c>
      <c r="E682" s="515">
        <v>6.25</v>
      </c>
      <c r="F682" s="518" t="s">
        <v>614</v>
      </c>
      <c r="G682" s="515" t="s">
        <v>4214</v>
      </c>
      <c r="H682" s="514"/>
      <c r="I682" s="515"/>
      <c r="J682" s="515">
        <v>1</v>
      </c>
    </row>
    <row r="683" spans="1:10" ht="13.8" thickBot="1">
      <c r="A683" s="517"/>
      <c r="B683" s="518" t="s">
        <v>12276</v>
      </c>
      <c r="C683" s="533"/>
      <c r="D683" s="519" t="s">
        <v>12275</v>
      </c>
      <c r="E683" s="515">
        <v>6.25</v>
      </c>
      <c r="F683" s="514"/>
      <c r="G683" s="515" t="s">
        <v>4354</v>
      </c>
      <c r="H683" s="514"/>
      <c r="I683" s="515"/>
      <c r="J683" s="515">
        <v>1</v>
      </c>
    </row>
    <row r="684" spans="1:10" ht="13.8" thickBot="1">
      <c r="A684" s="517"/>
      <c r="B684" s="518" t="s">
        <v>13102</v>
      </c>
      <c r="C684" s="533"/>
      <c r="D684" s="519" t="s">
        <v>13101</v>
      </c>
      <c r="E684" s="515">
        <v>6.1</v>
      </c>
      <c r="F684" s="518" t="s">
        <v>614</v>
      </c>
      <c r="G684" s="515" t="s">
        <v>2957</v>
      </c>
      <c r="H684" s="514" t="s">
        <v>1251</v>
      </c>
      <c r="I684" s="515"/>
      <c r="J684" s="515">
        <v>8</v>
      </c>
    </row>
    <row r="685" spans="1:10" ht="13.8" thickBot="1">
      <c r="A685" s="517"/>
      <c r="B685" s="518" t="s">
        <v>12333</v>
      </c>
      <c r="C685" s="533"/>
      <c r="D685" s="514" t="s">
        <v>12332</v>
      </c>
      <c r="E685" s="515">
        <v>6.1</v>
      </c>
      <c r="F685" s="518" t="s">
        <v>614</v>
      </c>
      <c r="G685" s="515" t="s">
        <v>4214</v>
      </c>
      <c r="H685" s="514" t="s">
        <v>1251</v>
      </c>
      <c r="I685" s="522"/>
      <c r="J685" s="522">
        <v>8</v>
      </c>
    </row>
    <row r="686" spans="1:10" ht="13.8" thickBot="1">
      <c r="A686" s="517"/>
      <c r="B686" s="518" t="s">
        <v>12577</v>
      </c>
      <c r="C686" s="533"/>
      <c r="D686" s="514" t="s">
        <v>12576</v>
      </c>
      <c r="E686" s="515">
        <v>6.1</v>
      </c>
      <c r="F686" s="518" t="s">
        <v>614</v>
      </c>
      <c r="G686" s="515" t="s">
        <v>3807</v>
      </c>
      <c r="H686" s="514" t="s">
        <v>1841</v>
      </c>
      <c r="I686" s="522">
        <v>1</v>
      </c>
      <c r="J686" s="522">
        <v>16</v>
      </c>
    </row>
    <row r="687" spans="1:10" ht="13.8" thickBot="1">
      <c r="A687" s="517"/>
      <c r="B687" s="518" t="s">
        <v>14196</v>
      </c>
      <c r="C687" s="533"/>
      <c r="D687" s="514" t="s">
        <v>14195</v>
      </c>
      <c r="E687" s="515">
        <v>6.1</v>
      </c>
      <c r="F687" s="518" t="s">
        <v>614</v>
      </c>
      <c r="G687" s="515" t="s">
        <v>1793</v>
      </c>
      <c r="H687" s="514" t="s">
        <v>1226</v>
      </c>
      <c r="I687" s="515"/>
      <c r="J687" s="515">
        <v>9</v>
      </c>
    </row>
    <row r="688" spans="1:10" ht="13.8" thickBot="1">
      <c r="A688" s="517"/>
      <c r="B688" s="518" t="s">
        <v>14194</v>
      </c>
      <c r="C688" s="533"/>
      <c r="D688" s="514" t="s">
        <v>14193</v>
      </c>
      <c r="E688" s="515">
        <v>6.1</v>
      </c>
      <c r="F688" s="514"/>
      <c r="G688" s="515" t="s">
        <v>1793</v>
      </c>
      <c r="H688" s="514" t="s">
        <v>1226</v>
      </c>
      <c r="I688" s="515">
        <v>1</v>
      </c>
      <c r="J688" s="515">
        <v>6</v>
      </c>
    </row>
    <row r="689" spans="1:10" ht="13.8" thickBot="1">
      <c r="A689" s="517"/>
      <c r="B689" s="518" t="s">
        <v>13433</v>
      </c>
      <c r="C689" s="533"/>
      <c r="D689" s="514" t="s">
        <v>13432</v>
      </c>
      <c r="E689" s="515">
        <v>6.1</v>
      </c>
      <c r="F689" s="518" t="s">
        <v>614</v>
      </c>
      <c r="G689" s="515" t="s">
        <v>2523</v>
      </c>
      <c r="H689" s="514" t="s">
        <v>1226</v>
      </c>
      <c r="I689" s="522"/>
      <c r="J689" s="522">
        <v>4</v>
      </c>
    </row>
    <row r="690" spans="1:10" ht="13.8" thickBot="1">
      <c r="A690" s="517"/>
      <c r="B690" s="518" t="s">
        <v>12926</v>
      </c>
      <c r="C690" s="533"/>
      <c r="D690" s="514" t="s">
        <v>12925</v>
      </c>
      <c r="E690" s="515">
        <v>6.1</v>
      </c>
      <c r="F690" s="518" t="s">
        <v>614</v>
      </c>
      <c r="G690" s="515" t="s">
        <v>3161</v>
      </c>
      <c r="H690" s="514" t="s">
        <v>1226</v>
      </c>
      <c r="I690" s="515"/>
      <c r="J690" s="515">
        <v>2</v>
      </c>
    </row>
    <row r="691" spans="1:10" ht="13.8" thickBot="1">
      <c r="A691" s="517"/>
      <c r="B691" s="518" t="s">
        <v>12377</v>
      </c>
      <c r="C691" s="533"/>
      <c r="D691" s="519" t="s">
        <v>12376</v>
      </c>
      <c r="E691" s="515">
        <v>6.1</v>
      </c>
      <c r="F691" s="514"/>
      <c r="G691" s="515" t="s">
        <v>4160</v>
      </c>
      <c r="H691" s="514" t="s">
        <v>1226</v>
      </c>
      <c r="I691" s="515"/>
      <c r="J691" s="515">
        <v>8</v>
      </c>
    </row>
    <row r="692" spans="1:10" ht="13.8" thickBot="1">
      <c r="A692" s="517"/>
      <c r="B692" s="518" t="s">
        <v>12845</v>
      </c>
      <c r="C692" s="533"/>
      <c r="D692" s="514" t="s">
        <v>3451</v>
      </c>
      <c r="E692" s="515">
        <v>6.1</v>
      </c>
      <c r="F692" s="518" t="s">
        <v>614</v>
      </c>
      <c r="G692" s="515" t="s">
        <v>3452</v>
      </c>
      <c r="H692" s="514" t="s">
        <v>1220</v>
      </c>
      <c r="I692" s="515"/>
      <c r="J692" s="515">
        <v>2</v>
      </c>
    </row>
    <row r="693" spans="1:10" ht="13.8" thickBot="1">
      <c r="A693" s="517"/>
      <c r="B693" s="518" t="s">
        <v>13665</v>
      </c>
      <c r="C693" s="533"/>
      <c r="D693" s="514" t="s">
        <v>2418</v>
      </c>
      <c r="E693" s="515">
        <v>6.1</v>
      </c>
      <c r="F693" s="514"/>
      <c r="G693" s="515" t="s">
        <v>2289</v>
      </c>
      <c r="H693" s="514"/>
      <c r="I693" s="515"/>
      <c r="J693" s="515">
        <v>2</v>
      </c>
    </row>
    <row r="694" spans="1:10" ht="13.8" thickBot="1">
      <c r="A694" s="517"/>
      <c r="B694" s="518" t="s">
        <v>13431</v>
      </c>
      <c r="C694" s="533"/>
      <c r="D694" s="514" t="s">
        <v>13430</v>
      </c>
      <c r="E694" s="515">
        <v>6.1</v>
      </c>
      <c r="F694" s="514"/>
      <c r="G694" s="515" t="s">
        <v>2523</v>
      </c>
      <c r="H694" s="514"/>
      <c r="I694" s="515"/>
      <c r="J694" s="515">
        <v>3</v>
      </c>
    </row>
    <row r="695" spans="1:10" ht="13.8" thickBot="1">
      <c r="A695" s="517"/>
      <c r="B695" s="518" t="s">
        <v>13216</v>
      </c>
      <c r="C695" s="533"/>
      <c r="D695" s="514" t="s">
        <v>13215</v>
      </c>
      <c r="E695" s="515">
        <v>6.1</v>
      </c>
      <c r="F695" s="518" t="s">
        <v>614</v>
      </c>
      <c r="G695" s="515" t="s">
        <v>2797</v>
      </c>
      <c r="H695" s="514"/>
      <c r="I695" s="515">
        <v>2</v>
      </c>
      <c r="J695" s="515">
        <v>4</v>
      </c>
    </row>
    <row r="696" spans="1:10" ht="13.8" thickBot="1">
      <c r="A696" s="517"/>
      <c r="B696" s="518" t="s">
        <v>12759</v>
      </c>
      <c r="C696" s="533"/>
      <c r="D696" s="514" t="s">
        <v>12758</v>
      </c>
      <c r="E696" s="515">
        <v>6.1</v>
      </c>
      <c r="F696" s="518" t="s">
        <v>614</v>
      </c>
      <c r="G696" s="515" t="s">
        <v>3517</v>
      </c>
      <c r="H696" s="514"/>
      <c r="I696" s="515">
        <v>1</v>
      </c>
      <c r="J696" s="515">
        <v>7</v>
      </c>
    </row>
    <row r="697" spans="1:10" ht="13.8" thickBot="1">
      <c r="A697" s="517"/>
      <c r="B697" s="518" t="s">
        <v>12331</v>
      </c>
      <c r="C697" s="533"/>
      <c r="D697" s="514" t="s">
        <v>1617</v>
      </c>
      <c r="E697" s="515">
        <v>6.1</v>
      </c>
      <c r="F697" s="518" t="s">
        <v>614</v>
      </c>
      <c r="G697" s="515" t="s">
        <v>4214</v>
      </c>
      <c r="H697" s="514"/>
      <c r="I697" s="515"/>
      <c r="J697" s="515">
        <v>1</v>
      </c>
    </row>
    <row r="698" spans="1:10" ht="13.8" thickBot="1">
      <c r="A698" s="517"/>
      <c r="B698" s="518" t="s">
        <v>13900</v>
      </c>
      <c r="C698" s="533"/>
      <c r="D698" s="514" t="s">
        <v>13899</v>
      </c>
      <c r="E698" s="515">
        <v>6</v>
      </c>
      <c r="F698" s="518" t="s">
        <v>614</v>
      </c>
      <c r="G698" s="515" t="s">
        <v>2032</v>
      </c>
      <c r="H698" s="514" t="s">
        <v>3556</v>
      </c>
      <c r="I698" s="515"/>
      <c r="J698" s="515">
        <v>17</v>
      </c>
    </row>
    <row r="699" spans="1:10" ht="13.8" thickBot="1">
      <c r="A699" s="517"/>
      <c r="B699" s="518" t="s">
        <v>12170</v>
      </c>
      <c r="C699" s="533"/>
      <c r="D699" s="514" t="s">
        <v>12169</v>
      </c>
      <c r="E699" s="515">
        <v>6</v>
      </c>
      <c r="F699" s="518" t="s">
        <v>614</v>
      </c>
      <c r="G699" s="515" t="s">
        <v>4905</v>
      </c>
      <c r="H699" s="514" t="s">
        <v>1251</v>
      </c>
      <c r="I699" s="515"/>
      <c r="J699" s="515">
        <v>7</v>
      </c>
    </row>
    <row r="700" spans="1:10" ht="13.8" thickBot="1">
      <c r="A700" s="517"/>
      <c r="B700" s="518" t="s">
        <v>12160</v>
      </c>
      <c r="C700" s="533"/>
      <c r="D700" s="514" t="s">
        <v>12159</v>
      </c>
      <c r="E700" s="515">
        <v>6</v>
      </c>
      <c r="F700" s="518" t="s">
        <v>614</v>
      </c>
      <c r="G700" s="515" t="s">
        <v>4943</v>
      </c>
      <c r="H700" s="514" t="s">
        <v>1251</v>
      </c>
      <c r="I700" s="515">
        <v>1</v>
      </c>
      <c r="J700" s="515">
        <v>9</v>
      </c>
    </row>
    <row r="701" spans="1:10" ht="13.8" thickBot="1">
      <c r="A701" s="517"/>
      <c r="B701" s="518" t="s">
        <v>12012</v>
      </c>
      <c r="C701" s="533"/>
      <c r="D701" s="514" t="s">
        <v>12011</v>
      </c>
      <c r="E701" s="515">
        <v>6</v>
      </c>
      <c r="F701" s="518" t="s">
        <v>614</v>
      </c>
      <c r="G701" s="515" t="s">
        <v>5109</v>
      </c>
      <c r="H701" s="514" t="s">
        <v>1251</v>
      </c>
      <c r="I701" s="515">
        <v>3</v>
      </c>
      <c r="J701" s="515">
        <v>19</v>
      </c>
    </row>
    <row r="702" spans="1:10" ht="13.8" thickBot="1">
      <c r="A702" s="517"/>
      <c r="B702" s="518" t="s">
        <v>13588</v>
      </c>
      <c r="C702" s="533"/>
      <c r="D702" s="514" t="s">
        <v>13587</v>
      </c>
      <c r="E702" s="515">
        <v>6</v>
      </c>
      <c r="F702" s="518" t="s">
        <v>614</v>
      </c>
      <c r="G702" s="515" t="s">
        <v>2449</v>
      </c>
      <c r="H702" s="514" t="s">
        <v>1251</v>
      </c>
      <c r="I702" s="515"/>
      <c r="J702" s="515">
        <v>9</v>
      </c>
    </row>
    <row r="703" spans="1:10" ht="13.8" thickBot="1">
      <c r="A703" s="517"/>
      <c r="B703" s="518" t="s">
        <v>13214</v>
      </c>
      <c r="C703" s="533"/>
      <c r="D703" s="514" t="s">
        <v>13213</v>
      </c>
      <c r="E703" s="515">
        <v>6</v>
      </c>
      <c r="F703" s="518" t="s">
        <v>614</v>
      </c>
      <c r="G703" s="515" t="s">
        <v>2797</v>
      </c>
      <c r="H703" s="514" t="s">
        <v>1251</v>
      </c>
      <c r="I703" s="515">
        <v>1</v>
      </c>
      <c r="J703" s="515">
        <v>13</v>
      </c>
    </row>
    <row r="704" spans="1:10" ht="13.8" thickBot="1">
      <c r="A704" s="517"/>
      <c r="B704" s="518" t="s">
        <v>13100</v>
      </c>
      <c r="C704" s="533"/>
      <c r="D704" s="514" t="s">
        <v>13099</v>
      </c>
      <c r="E704" s="515">
        <v>6</v>
      </c>
      <c r="F704" s="518" t="s">
        <v>614</v>
      </c>
      <c r="G704" s="515" t="s">
        <v>2957</v>
      </c>
      <c r="H704" s="514" t="s">
        <v>1251</v>
      </c>
      <c r="I704" s="515">
        <v>1</v>
      </c>
      <c r="J704" s="515">
        <v>14</v>
      </c>
    </row>
    <row r="705" spans="1:10" ht="13.8" thickBot="1">
      <c r="A705" s="517"/>
      <c r="B705" s="518" t="s">
        <v>12973</v>
      </c>
      <c r="C705" s="533"/>
      <c r="D705" s="514" t="s">
        <v>3103</v>
      </c>
      <c r="E705" s="515">
        <v>6</v>
      </c>
      <c r="F705" s="518" t="s">
        <v>614</v>
      </c>
      <c r="G705" s="515" t="s">
        <v>3085</v>
      </c>
      <c r="H705" s="514" t="s">
        <v>1251</v>
      </c>
      <c r="I705" s="515">
        <v>1</v>
      </c>
      <c r="J705" s="515">
        <v>6</v>
      </c>
    </row>
    <row r="706" spans="1:10" ht="13.8" thickBot="1">
      <c r="A706" s="517"/>
      <c r="B706" s="518" t="s">
        <v>12519</v>
      </c>
      <c r="C706" s="533"/>
      <c r="D706" s="514" t="s">
        <v>3855</v>
      </c>
      <c r="E706" s="515">
        <v>6</v>
      </c>
      <c r="F706" s="518" t="s">
        <v>614</v>
      </c>
      <c r="G706" s="515" t="s">
        <v>3856</v>
      </c>
      <c r="H706" s="514" t="s">
        <v>1251</v>
      </c>
      <c r="I706" s="515"/>
      <c r="J706" s="515">
        <v>7</v>
      </c>
    </row>
    <row r="707" spans="1:10" ht="13.8" thickBot="1">
      <c r="A707" s="517"/>
      <c r="B707" s="518" t="s">
        <v>12444</v>
      </c>
      <c r="C707" s="533"/>
      <c r="D707" s="514" t="s">
        <v>12443</v>
      </c>
      <c r="E707" s="515">
        <v>6</v>
      </c>
      <c r="F707" s="518" t="s">
        <v>614</v>
      </c>
      <c r="G707" s="515" t="s">
        <v>4067</v>
      </c>
      <c r="H707" s="514" t="s">
        <v>1251</v>
      </c>
      <c r="I707" s="515"/>
      <c r="J707" s="515">
        <v>10</v>
      </c>
    </row>
    <row r="708" spans="1:10" ht="13.8" thickBot="1">
      <c r="A708" s="517"/>
      <c r="B708" s="518" t="s">
        <v>12375</v>
      </c>
      <c r="C708" s="533"/>
      <c r="D708" s="514" t="s">
        <v>12374</v>
      </c>
      <c r="E708" s="515">
        <v>6</v>
      </c>
      <c r="F708" s="518" t="s">
        <v>614</v>
      </c>
      <c r="G708" s="515" t="s">
        <v>4160</v>
      </c>
      <c r="H708" s="514" t="s">
        <v>1251</v>
      </c>
      <c r="I708" s="515"/>
      <c r="J708" s="515">
        <v>11</v>
      </c>
    </row>
    <row r="709" spans="1:10" ht="13.8" thickBot="1">
      <c r="A709" s="517"/>
      <c r="B709" s="518" t="s">
        <v>13168</v>
      </c>
      <c r="C709" s="533"/>
      <c r="D709" s="514" t="s">
        <v>13167</v>
      </c>
      <c r="E709" s="515">
        <v>6</v>
      </c>
      <c r="F709" s="518" t="s">
        <v>614</v>
      </c>
      <c r="G709" s="515" t="s">
        <v>2943</v>
      </c>
      <c r="H709" s="514" t="s">
        <v>1841</v>
      </c>
      <c r="I709" s="515"/>
      <c r="J709" s="515">
        <v>14</v>
      </c>
    </row>
    <row r="710" spans="1:10" ht="13.8" thickBot="1">
      <c r="A710" s="517"/>
      <c r="B710" s="518" t="s">
        <v>13098</v>
      </c>
      <c r="C710" s="533"/>
      <c r="D710" s="514" t="s">
        <v>13097</v>
      </c>
      <c r="E710" s="515">
        <v>6</v>
      </c>
      <c r="F710" s="518" t="s">
        <v>614</v>
      </c>
      <c r="G710" s="515" t="s">
        <v>2957</v>
      </c>
      <c r="H710" s="514" t="s">
        <v>1841</v>
      </c>
      <c r="I710" s="515"/>
      <c r="J710" s="515">
        <v>6</v>
      </c>
    </row>
    <row r="711" spans="1:10" ht="13.8" thickBot="1">
      <c r="A711" s="517"/>
      <c r="B711" s="518" t="s">
        <v>13096</v>
      </c>
      <c r="C711" s="533"/>
      <c r="D711" s="514" t="s">
        <v>3057</v>
      </c>
      <c r="E711" s="515">
        <v>6</v>
      </c>
      <c r="F711" s="518" t="s">
        <v>614</v>
      </c>
      <c r="G711" s="515" t="s">
        <v>2957</v>
      </c>
      <c r="H711" s="514" t="s">
        <v>1841</v>
      </c>
      <c r="I711" s="515"/>
      <c r="J711" s="515">
        <v>5</v>
      </c>
    </row>
    <row r="712" spans="1:10" ht="13.8" thickBot="1">
      <c r="A712" s="517"/>
      <c r="B712" s="518" t="s">
        <v>12757</v>
      </c>
      <c r="C712" s="533"/>
      <c r="D712" s="514" t="s">
        <v>12756</v>
      </c>
      <c r="E712" s="515">
        <v>6</v>
      </c>
      <c r="F712" s="518" t="s">
        <v>614</v>
      </c>
      <c r="G712" s="515" t="s">
        <v>3517</v>
      </c>
      <c r="H712" s="514" t="s">
        <v>1841</v>
      </c>
      <c r="I712" s="522">
        <v>1</v>
      </c>
      <c r="J712" s="522">
        <v>13</v>
      </c>
    </row>
    <row r="713" spans="1:10" ht="13.8" thickBot="1">
      <c r="A713" s="517"/>
      <c r="B713" s="518" t="s">
        <v>14192</v>
      </c>
      <c r="C713" s="533"/>
      <c r="D713" s="514" t="s">
        <v>14191</v>
      </c>
      <c r="E713" s="515">
        <v>6</v>
      </c>
      <c r="F713" s="518" t="s">
        <v>614</v>
      </c>
      <c r="G713" s="515" t="s">
        <v>1793</v>
      </c>
      <c r="H713" s="514" t="s">
        <v>1226</v>
      </c>
      <c r="I713" s="515"/>
      <c r="J713" s="515">
        <v>4</v>
      </c>
    </row>
    <row r="714" spans="1:10" ht="13.8" thickBot="1">
      <c r="A714" s="517"/>
      <c r="B714" s="518" t="s">
        <v>12180</v>
      </c>
      <c r="C714" s="533"/>
      <c r="D714" s="514" t="s">
        <v>12179</v>
      </c>
      <c r="E714" s="515">
        <v>6</v>
      </c>
      <c r="F714" s="518" t="s">
        <v>614</v>
      </c>
      <c r="G714" s="515" t="s">
        <v>4822</v>
      </c>
      <c r="H714" s="514" t="s">
        <v>1226</v>
      </c>
      <c r="I714" s="515">
        <v>1</v>
      </c>
      <c r="J714" s="515">
        <v>4</v>
      </c>
    </row>
    <row r="715" spans="1:10" ht="13.8" thickBot="1">
      <c r="A715" s="517"/>
      <c r="B715" s="518" t="s">
        <v>12030</v>
      </c>
      <c r="C715" s="533"/>
      <c r="D715" s="514" t="s">
        <v>12029</v>
      </c>
      <c r="E715" s="515">
        <v>6</v>
      </c>
      <c r="F715" s="518" t="s">
        <v>614</v>
      </c>
      <c r="G715" s="515" t="s">
        <v>5059</v>
      </c>
      <c r="H715" s="514" t="s">
        <v>1226</v>
      </c>
      <c r="I715" s="515">
        <v>1</v>
      </c>
      <c r="J715" s="515">
        <v>6</v>
      </c>
    </row>
    <row r="716" spans="1:10" ht="13.8" thickBot="1">
      <c r="A716" s="517"/>
      <c r="B716" s="518" t="s">
        <v>11981</v>
      </c>
      <c r="C716" s="533"/>
      <c r="D716" s="514" t="s">
        <v>11980</v>
      </c>
      <c r="E716" s="515">
        <v>6</v>
      </c>
      <c r="F716" s="518" t="s">
        <v>614</v>
      </c>
      <c r="G716" s="515" t="s">
        <v>5180</v>
      </c>
      <c r="H716" s="514" t="s">
        <v>1226</v>
      </c>
      <c r="I716" s="522"/>
      <c r="J716" s="522">
        <v>7</v>
      </c>
    </row>
    <row r="717" spans="1:10" ht="13.8" thickBot="1">
      <c r="A717" s="517"/>
      <c r="B717" s="518" t="s">
        <v>11961</v>
      </c>
      <c r="C717" s="533"/>
      <c r="D717" s="514" t="s">
        <v>11960</v>
      </c>
      <c r="E717" s="515">
        <v>6</v>
      </c>
      <c r="F717" s="518" t="s">
        <v>614</v>
      </c>
      <c r="G717" s="515" t="s">
        <v>5196</v>
      </c>
      <c r="H717" s="514" t="s">
        <v>1226</v>
      </c>
      <c r="I717" s="515"/>
      <c r="J717" s="515">
        <v>4</v>
      </c>
    </row>
    <row r="718" spans="1:10" ht="13.8" thickBot="1">
      <c r="A718" s="517"/>
      <c r="B718" s="518" t="s">
        <v>13664</v>
      </c>
      <c r="C718" s="533"/>
      <c r="D718" s="514" t="s">
        <v>13663</v>
      </c>
      <c r="E718" s="515">
        <v>6</v>
      </c>
      <c r="F718" s="518" t="s">
        <v>614</v>
      </c>
      <c r="G718" s="515" t="s">
        <v>2289</v>
      </c>
      <c r="H718" s="514" t="s">
        <v>1226</v>
      </c>
      <c r="I718" s="515">
        <v>3</v>
      </c>
      <c r="J718" s="515">
        <v>9</v>
      </c>
    </row>
    <row r="719" spans="1:10" ht="13.8" thickBot="1">
      <c r="A719" s="517"/>
      <c r="B719" s="518" t="s">
        <v>13662</v>
      </c>
      <c r="C719" s="533"/>
      <c r="D719" s="519" t="s">
        <v>13661</v>
      </c>
      <c r="E719" s="515">
        <v>6</v>
      </c>
      <c r="F719" s="518" t="s">
        <v>614</v>
      </c>
      <c r="G719" s="515" t="s">
        <v>2289</v>
      </c>
      <c r="H719" s="514" t="s">
        <v>1226</v>
      </c>
      <c r="I719" s="522"/>
      <c r="J719" s="522">
        <v>8</v>
      </c>
    </row>
    <row r="720" spans="1:10" ht="13.8" thickBot="1">
      <c r="A720" s="517"/>
      <c r="B720" s="518" t="s">
        <v>13660</v>
      </c>
      <c r="C720" s="533"/>
      <c r="D720" s="514" t="s">
        <v>13659</v>
      </c>
      <c r="E720" s="515">
        <v>6</v>
      </c>
      <c r="F720" s="518" t="s">
        <v>614</v>
      </c>
      <c r="G720" s="515" t="s">
        <v>2289</v>
      </c>
      <c r="H720" s="514" t="s">
        <v>1226</v>
      </c>
      <c r="I720" s="515"/>
      <c r="J720" s="515">
        <v>5</v>
      </c>
    </row>
    <row r="721" spans="1:10" ht="13.8" thickBot="1">
      <c r="A721" s="517"/>
      <c r="B721" s="518" t="s">
        <v>11858</v>
      </c>
      <c r="C721" s="533"/>
      <c r="D721" s="514" t="s">
        <v>11857</v>
      </c>
      <c r="E721" s="515">
        <v>6</v>
      </c>
      <c r="F721" s="518" t="s">
        <v>614</v>
      </c>
      <c r="G721" s="515" t="s">
        <v>5286</v>
      </c>
      <c r="H721" s="514" t="s">
        <v>1226</v>
      </c>
      <c r="I721" s="515"/>
      <c r="J721" s="515">
        <v>5</v>
      </c>
    </row>
    <row r="722" spans="1:10" ht="13.8" thickBot="1">
      <c r="A722" s="517"/>
      <c r="B722" s="518" t="s">
        <v>11856</v>
      </c>
      <c r="C722" s="533"/>
      <c r="D722" s="514" t="s">
        <v>11855</v>
      </c>
      <c r="E722" s="515">
        <v>6</v>
      </c>
      <c r="F722" s="518" t="s">
        <v>614</v>
      </c>
      <c r="G722" s="515" t="s">
        <v>5286</v>
      </c>
      <c r="H722" s="514" t="s">
        <v>1226</v>
      </c>
      <c r="I722" s="515"/>
      <c r="J722" s="515">
        <v>4</v>
      </c>
    </row>
    <row r="723" spans="1:10" ht="13.8" thickBot="1">
      <c r="A723" s="517"/>
      <c r="B723" s="518" t="s">
        <v>11831</v>
      </c>
      <c r="C723" s="533"/>
      <c r="D723" s="514" t="s">
        <v>11830</v>
      </c>
      <c r="E723" s="515">
        <v>6</v>
      </c>
      <c r="F723" s="518" t="s">
        <v>614</v>
      </c>
      <c r="G723" s="515" t="s">
        <v>5319</v>
      </c>
      <c r="H723" s="514" t="s">
        <v>1226</v>
      </c>
      <c r="I723" s="515"/>
      <c r="J723" s="515">
        <v>9</v>
      </c>
    </row>
    <row r="724" spans="1:10" ht="13.8" thickBot="1">
      <c r="A724" s="517"/>
      <c r="B724" s="518" t="s">
        <v>13586</v>
      </c>
      <c r="C724" s="533"/>
      <c r="D724" s="514" t="s">
        <v>13585</v>
      </c>
      <c r="E724" s="515">
        <v>6</v>
      </c>
      <c r="F724" s="518" t="s">
        <v>614</v>
      </c>
      <c r="G724" s="515" t="s">
        <v>2449</v>
      </c>
      <c r="H724" s="514" t="s">
        <v>1226</v>
      </c>
      <c r="I724" s="515"/>
      <c r="J724" s="515">
        <v>4</v>
      </c>
    </row>
    <row r="725" spans="1:10" ht="13.8" thickBot="1">
      <c r="A725" s="517"/>
      <c r="B725" s="518" t="s">
        <v>13429</v>
      </c>
      <c r="C725" s="533"/>
      <c r="D725" s="514" t="s">
        <v>13428</v>
      </c>
      <c r="E725" s="515">
        <v>6</v>
      </c>
      <c r="F725" s="518" t="s">
        <v>614</v>
      </c>
      <c r="G725" s="515" t="s">
        <v>2523</v>
      </c>
      <c r="H725" s="514" t="s">
        <v>1226</v>
      </c>
      <c r="I725" s="515"/>
      <c r="J725" s="515">
        <v>6</v>
      </c>
    </row>
    <row r="726" spans="1:10" ht="13.8" thickBot="1">
      <c r="A726" s="517"/>
      <c r="B726" s="518" t="s">
        <v>13427</v>
      </c>
      <c r="C726" s="533"/>
      <c r="D726" s="514" t="s">
        <v>13426</v>
      </c>
      <c r="E726" s="515">
        <v>6</v>
      </c>
      <c r="F726" s="518" t="s">
        <v>614</v>
      </c>
      <c r="G726" s="515" t="s">
        <v>2523</v>
      </c>
      <c r="H726" s="514" t="s">
        <v>1226</v>
      </c>
      <c r="I726" s="515">
        <v>1</v>
      </c>
      <c r="J726" s="515">
        <v>5</v>
      </c>
    </row>
    <row r="727" spans="1:10" ht="13.8" thickBot="1">
      <c r="A727" s="517"/>
      <c r="B727" s="518" t="s">
        <v>13425</v>
      </c>
      <c r="C727" s="533"/>
      <c r="D727" s="514" t="s">
        <v>13424</v>
      </c>
      <c r="E727" s="515">
        <v>6</v>
      </c>
      <c r="F727" s="518" t="s">
        <v>614</v>
      </c>
      <c r="G727" s="515" t="s">
        <v>2523</v>
      </c>
      <c r="H727" s="514" t="s">
        <v>1226</v>
      </c>
      <c r="I727" s="515"/>
      <c r="J727" s="515">
        <v>5</v>
      </c>
    </row>
    <row r="728" spans="1:10" ht="13.8" thickBot="1">
      <c r="A728" s="517"/>
      <c r="B728" s="518" t="s">
        <v>13423</v>
      </c>
      <c r="C728" s="533"/>
      <c r="D728" s="514" t="s">
        <v>1300</v>
      </c>
      <c r="E728" s="515">
        <v>6</v>
      </c>
      <c r="F728" s="514"/>
      <c r="G728" s="515" t="s">
        <v>2523</v>
      </c>
      <c r="H728" s="514" t="s">
        <v>1226</v>
      </c>
      <c r="I728" s="515"/>
      <c r="J728" s="515">
        <v>3</v>
      </c>
    </row>
    <row r="729" spans="1:10" ht="13.8" thickBot="1">
      <c r="A729" s="517"/>
      <c r="B729" s="514" t="s">
        <v>13422</v>
      </c>
      <c r="C729" s="533"/>
      <c r="D729" s="514" t="s">
        <v>13421</v>
      </c>
      <c r="E729" s="515">
        <v>6</v>
      </c>
      <c r="F729" s="518" t="s">
        <v>614</v>
      </c>
      <c r="G729" s="515" t="s">
        <v>2523</v>
      </c>
      <c r="H729" s="514" t="s">
        <v>1226</v>
      </c>
      <c r="I729" s="515"/>
      <c r="J729" s="515">
        <v>1</v>
      </c>
    </row>
    <row r="730" spans="1:10" ht="13.8" thickBot="1">
      <c r="A730" s="517"/>
      <c r="B730" s="518" t="s">
        <v>13234</v>
      </c>
      <c r="C730" s="533"/>
      <c r="D730" s="514" t="s">
        <v>13233</v>
      </c>
      <c r="E730" s="515">
        <v>6</v>
      </c>
      <c r="F730" s="518" t="s">
        <v>614</v>
      </c>
      <c r="G730" s="515" t="s">
        <v>2779</v>
      </c>
      <c r="H730" s="514" t="s">
        <v>1226</v>
      </c>
      <c r="I730" s="515"/>
      <c r="J730" s="515">
        <v>8</v>
      </c>
    </row>
    <row r="731" spans="1:10" ht="13.8" thickBot="1">
      <c r="A731" s="517"/>
      <c r="B731" s="518" t="s">
        <v>13166</v>
      </c>
      <c r="C731" s="533"/>
      <c r="D731" s="514" t="s">
        <v>13165</v>
      </c>
      <c r="E731" s="515">
        <v>6</v>
      </c>
      <c r="F731" s="518" t="s">
        <v>614</v>
      </c>
      <c r="G731" s="515" t="s">
        <v>2943</v>
      </c>
      <c r="H731" s="514" t="s">
        <v>1226</v>
      </c>
      <c r="I731" s="515">
        <v>2</v>
      </c>
      <c r="J731" s="515">
        <v>7</v>
      </c>
    </row>
    <row r="732" spans="1:10" ht="13.8" thickBot="1">
      <c r="A732" s="517"/>
      <c r="B732" s="518" t="s">
        <v>13095</v>
      </c>
      <c r="C732" s="533"/>
      <c r="D732" s="514" t="s">
        <v>13094</v>
      </c>
      <c r="E732" s="515">
        <v>6</v>
      </c>
      <c r="F732" s="518" t="s">
        <v>614</v>
      </c>
      <c r="G732" s="515" t="s">
        <v>2957</v>
      </c>
      <c r="H732" s="514" t="s">
        <v>1226</v>
      </c>
      <c r="I732" s="515">
        <v>1</v>
      </c>
      <c r="J732" s="515">
        <v>8</v>
      </c>
    </row>
    <row r="733" spans="1:10" ht="13.8" thickBot="1">
      <c r="A733" s="517"/>
      <c r="B733" s="518" t="s">
        <v>13093</v>
      </c>
      <c r="C733" s="533"/>
      <c r="D733" s="514" t="s">
        <v>13092</v>
      </c>
      <c r="E733" s="515">
        <v>6</v>
      </c>
      <c r="F733" s="518" t="s">
        <v>614</v>
      </c>
      <c r="G733" s="515" t="s">
        <v>2957</v>
      </c>
      <c r="H733" s="514" t="s">
        <v>1226</v>
      </c>
      <c r="I733" s="515">
        <v>1</v>
      </c>
      <c r="J733" s="515">
        <v>3</v>
      </c>
    </row>
    <row r="734" spans="1:10" ht="13.8" thickBot="1">
      <c r="A734" s="517"/>
      <c r="B734" s="518" t="s">
        <v>13898</v>
      </c>
      <c r="C734" s="533"/>
      <c r="D734" s="514" t="s">
        <v>13897</v>
      </c>
      <c r="E734" s="515">
        <v>6</v>
      </c>
      <c r="F734" s="518" t="s">
        <v>614</v>
      </c>
      <c r="G734" s="515" t="s">
        <v>2032</v>
      </c>
      <c r="H734" s="514" t="s">
        <v>1226</v>
      </c>
      <c r="I734" s="522">
        <v>1</v>
      </c>
      <c r="J734" s="522">
        <v>8</v>
      </c>
    </row>
    <row r="735" spans="1:10" ht="13.8" thickBot="1">
      <c r="A735" s="517"/>
      <c r="B735" s="518" t="s">
        <v>13896</v>
      </c>
      <c r="C735" s="533"/>
      <c r="D735" s="514" t="s">
        <v>2082</v>
      </c>
      <c r="E735" s="515">
        <v>6</v>
      </c>
      <c r="F735" s="518" t="s">
        <v>614</v>
      </c>
      <c r="G735" s="515" t="s">
        <v>2032</v>
      </c>
      <c r="H735" s="514" t="s">
        <v>1226</v>
      </c>
      <c r="I735" s="515"/>
      <c r="J735" s="515">
        <v>6</v>
      </c>
    </row>
    <row r="736" spans="1:10" ht="13.8" thickBot="1">
      <c r="A736" s="517"/>
      <c r="B736" s="518" t="s">
        <v>13895</v>
      </c>
      <c r="C736" s="533"/>
      <c r="D736" s="514" t="s">
        <v>13894</v>
      </c>
      <c r="E736" s="515">
        <v>6</v>
      </c>
      <c r="F736" s="518" t="s">
        <v>614</v>
      </c>
      <c r="G736" s="515" t="s">
        <v>2032</v>
      </c>
      <c r="H736" s="514" t="s">
        <v>1226</v>
      </c>
      <c r="I736" s="515"/>
      <c r="J736" s="515">
        <v>5</v>
      </c>
    </row>
    <row r="737" spans="1:10" ht="13.8" thickBot="1">
      <c r="A737" s="517"/>
      <c r="B737" s="518" t="s">
        <v>12755</v>
      </c>
      <c r="C737" s="533"/>
      <c r="D737" s="514" t="s">
        <v>12754</v>
      </c>
      <c r="E737" s="515">
        <v>6</v>
      </c>
      <c r="F737" s="518" t="s">
        <v>614</v>
      </c>
      <c r="G737" s="515" t="s">
        <v>3517</v>
      </c>
      <c r="H737" s="514" t="s">
        <v>1226</v>
      </c>
      <c r="I737" s="515"/>
      <c r="J737" s="515">
        <v>13</v>
      </c>
    </row>
    <row r="738" spans="1:10" ht="13.8" thickBot="1">
      <c r="A738" s="517"/>
      <c r="B738" s="518" t="s">
        <v>12685</v>
      </c>
      <c r="C738" s="533"/>
      <c r="D738" s="514" t="s">
        <v>12684</v>
      </c>
      <c r="E738" s="515">
        <v>6</v>
      </c>
      <c r="F738" s="518" t="s">
        <v>614</v>
      </c>
      <c r="G738" s="515" t="s">
        <v>3652</v>
      </c>
      <c r="H738" s="514" t="s">
        <v>1226</v>
      </c>
      <c r="I738" s="515"/>
      <c r="J738" s="515">
        <v>4</v>
      </c>
    </row>
    <row r="739" spans="1:10" ht="13.8" thickBot="1">
      <c r="A739" s="517"/>
      <c r="B739" s="518" t="s">
        <v>12575</v>
      </c>
      <c r="C739" s="533"/>
      <c r="D739" s="514" t="s">
        <v>12574</v>
      </c>
      <c r="E739" s="515">
        <v>6</v>
      </c>
      <c r="F739" s="518" t="s">
        <v>614</v>
      </c>
      <c r="G739" s="515" t="s">
        <v>3807</v>
      </c>
      <c r="H739" s="514" t="s">
        <v>1226</v>
      </c>
      <c r="I739" s="515">
        <v>1</v>
      </c>
      <c r="J739" s="515">
        <v>4</v>
      </c>
    </row>
    <row r="740" spans="1:10" ht="13.8" thickBot="1">
      <c r="A740" s="517"/>
      <c r="B740" s="518" t="s">
        <v>12518</v>
      </c>
      <c r="C740" s="533"/>
      <c r="D740" s="514" t="s">
        <v>12517</v>
      </c>
      <c r="E740" s="515">
        <v>6</v>
      </c>
      <c r="F740" s="518" t="s">
        <v>614</v>
      </c>
      <c r="G740" s="515" t="s">
        <v>3856</v>
      </c>
      <c r="H740" s="514" t="s">
        <v>1226</v>
      </c>
      <c r="I740" s="515"/>
      <c r="J740" s="515">
        <v>3</v>
      </c>
    </row>
    <row r="741" spans="1:10" ht="13.8" thickBot="1">
      <c r="A741" s="517"/>
      <c r="B741" s="518" t="s">
        <v>12442</v>
      </c>
      <c r="C741" s="533"/>
      <c r="D741" s="514" t="s">
        <v>12441</v>
      </c>
      <c r="E741" s="515">
        <v>6</v>
      </c>
      <c r="F741" s="518" t="s">
        <v>614</v>
      </c>
      <c r="G741" s="515" t="s">
        <v>4067</v>
      </c>
      <c r="H741" s="514" t="s">
        <v>1226</v>
      </c>
      <c r="I741" s="515"/>
      <c r="J741" s="515">
        <v>7</v>
      </c>
    </row>
    <row r="742" spans="1:10" ht="13.8" thickBot="1">
      <c r="A742" s="517"/>
      <c r="B742" s="518" t="s">
        <v>12418</v>
      </c>
      <c r="C742" s="533"/>
      <c r="D742" s="514" t="s">
        <v>12417</v>
      </c>
      <c r="E742" s="515">
        <v>6</v>
      </c>
      <c r="F742" s="518" t="s">
        <v>614</v>
      </c>
      <c r="G742" s="515" t="s">
        <v>4102</v>
      </c>
      <c r="H742" s="514" t="s">
        <v>1226</v>
      </c>
      <c r="I742" s="522"/>
      <c r="J742" s="522">
        <v>5</v>
      </c>
    </row>
    <row r="743" spans="1:10" ht="13.8" thickBot="1">
      <c r="A743" s="517"/>
      <c r="B743" s="518" t="s">
        <v>12373</v>
      </c>
      <c r="C743" s="533"/>
      <c r="D743" s="514" t="s">
        <v>12372</v>
      </c>
      <c r="E743" s="515">
        <v>6</v>
      </c>
      <c r="F743" s="518" t="s">
        <v>614</v>
      </c>
      <c r="G743" s="515" t="s">
        <v>4160</v>
      </c>
      <c r="H743" s="514" t="s">
        <v>1226</v>
      </c>
      <c r="I743" s="522">
        <v>2</v>
      </c>
      <c r="J743" s="522">
        <v>9</v>
      </c>
    </row>
    <row r="744" spans="1:10" ht="13.8" thickBot="1">
      <c r="A744" s="517"/>
      <c r="B744" s="518" t="s">
        <v>12330</v>
      </c>
      <c r="C744" s="533"/>
      <c r="D744" s="519" t="s">
        <v>12329</v>
      </c>
      <c r="E744" s="515">
        <v>6</v>
      </c>
      <c r="F744" s="514"/>
      <c r="G744" s="515" t="s">
        <v>4214</v>
      </c>
      <c r="H744" s="514" t="s">
        <v>1226</v>
      </c>
      <c r="I744" s="515"/>
      <c r="J744" s="515">
        <v>5</v>
      </c>
    </row>
    <row r="745" spans="1:10" ht="13.8" thickBot="1">
      <c r="A745" s="517"/>
      <c r="B745" s="518" t="s">
        <v>12328</v>
      </c>
      <c r="C745" s="533"/>
      <c r="D745" s="514" t="s">
        <v>12327</v>
      </c>
      <c r="E745" s="515">
        <v>6</v>
      </c>
      <c r="F745" s="518" t="s">
        <v>1978</v>
      </c>
      <c r="G745" s="515" t="s">
        <v>4214</v>
      </c>
      <c r="H745" s="514" t="s">
        <v>1226</v>
      </c>
      <c r="I745" s="515"/>
      <c r="J745" s="515">
        <v>1</v>
      </c>
    </row>
    <row r="746" spans="1:10" ht="13.8" thickBot="1">
      <c r="A746" s="517"/>
      <c r="B746" s="518" t="s">
        <v>13091</v>
      </c>
      <c r="C746" s="533"/>
      <c r="D746" s="514" t="s">
        <v>3066</v>
      </c>
      <c r="E746" s="515">
        <v>6</v>
      </c>
      <c r="F746" s="518" t="s">
        <v>614</v>
      </c>
      <c r="G746" s="515" t="s">
        <v>2957</v>
      </c>
      <c r="H746" s="514" t="s">
        <v>2067</v>
      </c>
      <c r="I746" s="515">
        <v>1</v>
      </c>
      <c r="J746" s="515">
        <v>6</v>
      </c>
    </row>
    <row r="747" spans="1:10" ht="13.8" thickBot="1">
      <c r="A747" s="517"/>
      <c r="B747" s="518" t="s">
        <v>12753</v>
      </c>
      <c r="C747" s="533"/>
      <c r="D747" s="514" t="s">
        <v>12752</v>
      </c>
      <c r="E747" s="515">
        <v>6</v>
      </c>
      <c r="F747" s="518" t="s">
        <v>614</v>
      </c>
      <c r="G747" s="515" t="s">
        <v>3517</v>
      </c>
      <c r="H747" s="514" t="s">
        <v>2067</v>
      </c>
      <c r="I747" s="515"/>
      <c r="J747" s="515">
        <v>8</v>
      </c>
    </row>
    <row r="748" spans="1:10" ht="13.8" thickBot="1">
      <c r="A748" s="517"/>
      <c r="B748" s="518" t="s">
        <v>14190</v>
      </c>
      <c r="C748" s="533"/>
      <c r="D748" s="514" t="s">
        <v>14189</v>
      </c>
      <c r="E748" s="515">
        <v>6</v>
      </c>
      <c r="F748" s="518" t="s">
        <v>614</v>
      </c>
      <c r="G748" s="515" t="s">
        <v>1793</v>
      </c>
      <c r="H748" s="514" t="s">
        <v>1224</v>
      </c>
      <c r="I748" s="515">
        <v>1</v>
      </c>
      <c r="J748" s="515">
        <v>5</v>
      </c>
    </row>
    <row r="749" spans="1:10" ht="13.8" thickBot="1">
      <c r="A749" s="517"/>
      <c r="B749" s="518" t="s">
        <v>14188</v>
      </c>
      <c r="C749" s="533"/>
      <c r="D749" s="514" t="s">
        <v>1850</v>
      </c>
      <c r="E749" s="515">
        <v>6</v>
      </c>
      <c r="F749" s="518" t="s">
        <v>614</v>
      </c>
      <c r="G749" s="515" t="s">
        <v>1793</v>
      </c>
      <c r="H749" s="514" t="s">
        <v>1224</v>
      </c>
      <c r="I749" s="515"/>
      <c r="J749" s="515">
        <v>2</v>
      </c>
    </row>
    <row r="750" spans="1:10" ht="13.8" thickBot="1">
      <c r="A750" s="517"/>
      <c r="B750" s="518" t="s">
        <v>11949</v>
      </c>
      <c r="C750" s="533"/>
      <c r="D750" s="514" t="s">
        <v>11948</v>
      </c>
      <c r="E750" s="515">
        <v>6</v>
      </c>
      <c r="F750" s="518" t="s">
        <v>614</v>
      </c>
      <c r="G750" s="515" t="s">
        <v>5219</v>
      </c>
      <c r="H750" s="514" t="s">
        <v>1224</v>
      </c>
      <c r="I750" s="515"/>
      <c r="J750" s="515">
        <v>15</v>
      </c>
    </row>
    <row r="751" spans="1:10" ht="13.8" thickBot="1">
      <c r="A751" s="517"/>
      <c r="B751" s="518" t="s">
        <v>11916</v>
      </c>
      <c r="C751" s="533"/>
      <c r="D751" s="514" t="s">
        <v>11915</v>
      </c>
      <c r="E751" s="515">
        <v>6</v>
      </c>
      <c r="F751" s="518" t="s">
        <v>614</v>
      </c>
      <c r="G751" s="515" t="s">
        <v>5226</v>
      </c>
      <c r="H751" s="514" t="s">
        <v>1224</v>
      </c>
      <c r="I751" s="515"/>
      <c r="J751" s="515">
        <v>2</v>
      </c>
    </row>
    <row r="752" spans="1:10" ht="13.8" thickBot="1">
      <c r="A752" s="517"/>
      <c r="B752" s="518" t="s">
        <v>13658</v>
      </c>
      <c r="C752" s="533"/>
      <c r="D752" s="514" t="s">
        <v>13657</v>
      </c>
      <c r="E752" s="515">
        <v>6</v>
      </c>
      <c r="F752" s="518" t="s">
        <v>614</v>
      </c>
      <c r="G752" s="515" t="s">
        <v>2289</v>
      </c>
      <c r="H752" s="514" t="s">
        <v>1224</v>
      </c>
      <c r="I752" s="515"/>
      <c r="J752" s="515">
        <v>12</v>
      </c>
    </row>
    <row r="753" spans="1:10" ht="13.8" thickBot="1">
      <c r="A753" s="517"/>
      <c r="B753" s="518" t="s">
        <v>13656</v>
      </c>
      <c r="C753" s="533"/>
      <c r="D753" s="514" t="s">
        <v>13655</v>
      </c>
      <c r="E753" s="515">
        <v>6</v>
      </c>
      <c r="F753" s="518" t="s">
        <v>614</v>
      </c>
      <c r="G753" s="515" t="s">
        <v>2289</v>
      </c>
      <c r="H753" s="514" t="s">
        <v>1224</v>
      </c>
      <c r="I753" s="515"/>
      <c r="J753" s="515">
        <v>3</v>
      </c>
    </row>
    <row r="754" spans="1:10" ht="13.8" thickBot="1">
      <c r="A754" s="517"/>
      <c r="B754" s="518" t="s">
        <v>13654</v>
      </c>
      <c r="C754" s="533"/>
      <c r="D754" s="514" t="s">
        <v>13653</v>
      </c>
      <c r="E754" s="515">
        <v>6</v>
      </c>
      <c r="F754" s="518" t="s">
        <v>614</v>
      </c>
      <c r="G754" s="515" t="s">
        <v>2289</v>
      </c>
      <c r="H754" s="514" t="s">
        <v>1224</v>
      </c>
      <c r="I754" s="515"/>
      <c r="J754" s="515">
        <v>2</v>
      </c>
    </row>
    <row r="755" spans="1:10" ht="13.8" thickBot="1">
      <c r="A755" s="517"/>
      <c r="B755" s="518" t="s">
        <v>13652</v>
      </c>
      <c r="C755" s="533"/>
      <c r="D755" s="514" t="s">
        <v>1726</v>
      </c>
      <c r="E755" s="515">
        <v>6</v>
      </c>
      <c r="F755" s="518" t="s">
        <v>614</v>
      </c>
      <c r="G755" s="515" t="s">
        <v>2289</v>
      </c>
      <c r="H755" s="514" t="s">
        <v>1224</v>
      </c>
      <c r="I755" s="515"/>
      <c r="J755" s="515">
        <v>1</v>
      </c>
    </row>
    <row r="756" spans="1:10" ht="13.8" thickBot="1">
      <c r="A756" s="517"/>
      <c r="B756" s="518" t="s">
        <v>11854</v>
      </c>
      <c r="C756" s="533"/>
      <c r="D756" s="514" t="s">
        <v>11853</v>
      </c>
      <c r="E756" s="515">
        <v>6</v>
      </c>
      <c r="F756" s="518" t="s">
        <v>614</v>
      </c>
      <c r="G756" s="515" t="s">
        <v>5286</v>
      </c>
      <c r="H756" s="514" t="s">
        <v>1224</v>
      </c>
      <c r="I756" s="522"/>
      <c r="J756" s="522">
        <v>11</v>
      </c>
    </row>
    <row r="757" spans="1:10" ht="13.8" thickBot="1">
      <c r="A757" s="517"/>
      <c r="B757" s="518" t="s">
        <v>11829</v>
      </c>
      <c r="C757" s="533"/>
      <c r="D757" s="514" t="s">
        <v>11828</v>
      </c>
      <c r="E757" s="515">
        <v>6</v>
      </c>
      <c r="F757" s="518" t="s">
        <v>614</v>
      </c>
      <c r="G757" s="515" t="s">
        <v>5319</v>
      </c>
      <c r="H757" s="514" t="s">
        <v>1224</v>
      </c>
      <c r="I757" s="515"/>
      <c r="J757" s="515">
        <v>4</v>
      </c>
    </row>
    <row r="758" spans="1:10" ht="13.8" thickBot="1">
      <c r="A758" s="517"/>
      <c r="B758" s="518" t="s">
        <v>13420</v>
      </c>
      <c r="C758" s="533"/>
      <c r="D758" s="514" t="s">
        <v>1328</v>
      </c>
      <c r="E758" s="515">
        <v>6</v>
      </c>
      <c r="F758" s="518" t="s">
        <v>614</v>
      </c>
      <c r="G758" s="515" t="s">
        <v>2523</v>
      </c>
      <c r="H758" s="514" t="s">
        <v>1224</v>
      </c>
      <c r="I758" s="515">
        <v>1</v>
      </c>
      <c r="J758" s="515">
        <v>13</v>
      </c>
    </row>
    <row r="759" spans="1:10" ht="13.8" thickBot="1">
      <c r="A759" s="517"/>
      <c r="B759" s="518" t="s">
        <v>13419</v>
      </c>
      <c r="C759" s="533"/>
      <c r="D759" s="514" t="s">
        <v>13418</v>
      </c>
      <c r="E759" s="515">
        <v>6</v>
      </c>
      <c r="F759" s="518" t="s">
        <v>614</v>
      </c>
      <c r="G759" s="515" t="s">
        <v>2523</v>
      </c>
      <c r="H759" s="514" t="s">
        <v>1224</v>
      </c>
      <c r="I759" s="515"/>
      <c r="J759" s="515">
        <v>5</v>
      </c>
    </row>
    <row r="760" spans="1:10" ht="13.8" thickBot="1">
      <c r="A760" s="517"/>
      <c r="B760" s="518" t="s">
        <v>13417</v>
      </c>
      <c r="C760" s="533"/>
      <c r="D760" s="514" t="s">
        <v>1302</v>
      </c>
      <c r="E760" s="515">
        <v>6</v>
      </c>
      <c r="F760" s="518" t="s">
        <v>614</v>
      </c>
      <c r="G760" s="515" t="s">
        <v>2523</v>
      </c>
      <c r="H760" s="514" t="s">
        <v>1224</v>
      </c>
      <c r="I760" s="515"/>
      <c r="J760" s="515">
        <v>4</v>
      </c>
    </row>
    <row r="761" spans="1:10" ht="13.8" thickBot="1">
      <c r="A761" s="517"/>
      <c r="B761" s="518" t="s">
        <v>13416</v>
      </c>
      <c r="C761" s="533"/>
      <c r="D761" s="514" t="s">
        <v>13415</v>
      </c>
      <c r="E761" s="515">
        <v>6</v>
      </c>
      <c r="F761" s="518" t="s">
        <v>614</v>
      </c>
      <c r="G761" s="515" t="s">
        <v>2523</v>
      </c>
      <c r="H761" s="514" t="s">
        <v>1224</v>
      </c>
      <c r="I761" s="515"/>
      <c r="J761" s="515">
        <v>2</v>
      </c>
    </row>
    <row r="762" spans="1:10" ht="13.8" thickBot="1">
      <c r="A762" s="517"/>
      <c r="B762" s="518" t="s">
        <v>13974</v>
      </c>
      <c r="C762" s="533"/>
      <c r="D762" s="514" t="s">
        <v>13973</v>
      </c>
      <c r="E762" s="515">
        <v>6</v>
      </c>
      <c r="F762" s="518" t="s">
        <v>614</v>
      </c>
      <c r="G762" s="515" t="s">
        <v>1922</v>
      </c>
      <c r="H762" s="514" t="s">
        <v>1224</v>
      </c>
      <c r="I762" s="515"/>
      <c r="J762" s="515">
        <v>4</v>
      </c>
    </row>
    <row r="763" spans="1:10" ht="13.8" thickBot="1">
      <c r="A763" s="517"/>
      <c r="B763" s="518" t="s">
        <v>13212</v>
      </c>
      <c r="C763" s="533"/>
      <c r="D763" s="514" t="s">
        <v>1331</v>
      </c>
      <c r="E763" s="515">
        <v>6</v>
      </c>
      <c r="F763" s="514"/>
      <c r="G763" s="515" t="s">
        <v>2797</v>
      </c>
      <c r="H763" s="514" t="s">
        <v>1224</v>
      </c>
      <c r="I763" s="515"/>
      <c r="J763" s="515">
        <v>3</v>
      </c>
    </row>
    <row r="764" spans="1:10" ht="13.8" thickBot="1">
      <c r="A764" s="517"/>
      <c r="B764" s="518" t="s">
        <v>13187</v>
      </c>
      <c r="C764" s="533"/>
      <c r="D764" s="514" t="s">
        <v>13186</v>
      </c>
      <c r="E764" s="515">
        <v>6</v>
      </c>
      <c r="F764" s="518" t="s">
        <v>614</v>
      </c>
      <c r="G764" s="515" t="s">
        <v>2841</v>
      </c>
      <c r="H764" s="514" t="s">
        <v>1224</v>
      </c>
      <c r="I764" s="515">
        <v>1</v>
      </c>
      <c r="J764" s="515">
        <v>9</v>
      </c>
    </row>
    <row r="765" spans="1:10" ht="13.8" thickBot="1">
      <c r="A765" s="517"/>
      <c r="B765" s="518" t="s">
        <v>13090</v>
      </c>
      <c r="C765" s="533"/>
      <c r="D765" s="514" t="s">
        <v>13089</v>
      </c>
      <c r="E765" s="515">
        <v>6</v>
      </c>
      <c r="F765" s="518" t="s">
        <v>614</v>
      </c>
      <c r="G765" s="515" t="s">
        <v>2957</v>
      </c>
      <c r="H765" s="514" t="s">
        <v>1224</v>
      </c>
      <c r="I765" s="515">
        <v>1</v>
      </c>
      <c r="J765" s="515">
        <v>10</v>
      </c>
    </row>
    <row r="766" spans="1:10" ht="13.8" thickBot="1">
      <c r="A766" s="517"/>
      <c r="B766" s="518" t="s">
        <v>13088</v>
      </c>
      <c r="C766" s="533"/>
      <c r="D766" s="514" t="s">
        <v>1576</v>
      </c>
      <c r="E766" s="515">
        <v>6</v>
      </c>
      <c r="F766" s="518" t="s">
        <v>614</v>
      </c>
      <c r="G766" s="515" t="s">
        <v>2957</v>
      </c>
      <c r="H766" s="514" t="s">
        <v>1224</v>
      </c>
      <c r="I766" s="515"/>
      <c r="J766" s="515">
        <v>2</v>
      </c>
    </row>
    <row r="767" spans="1:10" ht="13.8" thickBot="1">
      <c r="A767" s="517"/>
      <c r="B767" s="518" t="s">
        <v>13087</v>
      </c>
      <c r="C767" s="533"/>
      <c r="D767" s="514" t="s">
        <v>13086</v>
      </c>
      <c r="E767" s="515">
        <v>6</v>
      </c>
      <c r="F767" s="518" t="s">
        <v>614</v>
      </c>
      <c r="G767" s="515" t="s">
        <v>2957</v>
      </c>
      <c r="H767" s="514" t="s">
        <v>1224</v>
      </c>
      <c r="I767" s="515"/>
      <c r="J767" s="515">
        <v>2</v>
      </c>
    </row>
    <row r="768" spans="1:10" ht="13.8" thickBot="1">
      <c r="A768" s="517"/>
      <c r="B768" s="518" t="s">
        <v>12905</v>
      </c>
      <c r="C768" s="533"/>
      <c r="D768" s="514" t="s">
        <v>12904</v>
      </c>
      <c r="E768" s="515">
        <v>6</v>
      </c>
      <c r="F768" s="515" t="s">
        <v>12413</v>
      </c>
      <c r="G768" s="515" t="s">
        <v>3285</v>
      </c>
      <c r="H768" s="514" t="s">
        <v>1224</v>
      </c>
      <c r="I768" s="522">
        <v>1</v>
      </c>
      <c r="J768" s="522">
        <v>2</v>
      </c>
    </row>
    <row r="769" spans="1:10" ht="13.8" thickBot="1">
      <c r="A769" s="517"/>
      <c r="B769" s="518" t="s">
        <v>13893</v>
      </c>
      <c r="C769" s="533"/>
      <c r="D769" s="514" t="s">
        <v>2065</v>
      </c>
      <c r="E769" s="515">
        <v>6</v>
      </c>
      <c r="F769" s="514"/>
      <c r="G769" s="515" t="s">
        <v>2032</v>
      </c>
      <c r="H769" s="514" t="s">
        <v>1224</v>
      </c>
      <c r="I769" s="515"/>
      <c r="J769" s="515">
        <v>2</v>
      </c>
    </row>
    <row r="770" spans="1:10" ht="13.8" thickBot="1">
      <c r="A770" s="517"/>
      <c r="B770" s="518" t="s">
        <v>12844</v>
      </c>
      <c r="C770" s="533"/>
      <c r="D770" s="514" t="s">
        <v>3457</v>
      </c>
      <c r="E770" s="515">
        <v>6</v>
      </c>
      <c r="F770" s="514"/>
      <c r="G770" s="515" t="s">
        <v>3452</v>
      </c>
      <c r="H770" s="514" t="s">
        <v>1224</v>
      </c>
      <c r="I770" s="515"/>
      <c r="J770" s="515">
        <v>2</v>
      </c>
    </row>
    <row r="771" spans="1:10" ht="13.8" thickBot="1">
      <c r="A771" s="517"/>
      <c r="B771" s="518" t="s">
        <v>12751</v>
      </c>
      <c r="C771" s="533"/>
      <c r="D771" s="514" t="s">
        <v>12750</v>
      </c>
      <c r="E771" s="515">
        <v>6</v>
      </c>
      <c r="F771" s="518" t="s">
        <v>614</v>
      </c>
      <c r="G771" s="515" t="s">
        <v>3517</v>
      </c>
      <c r="H771" s="514" t="s">
        <v>1224</v>
      </c>
      <c r="I771" s="522"/>
      <c r="J771" s="522">
        <v>6</v>
      </c>
    </row>
    <row r="772" spans="1:10" ht="13.8" thickBot="1">
      <c r="A772" s="517"/>
      <c r="B772" s="518" t="s">
        <v>12749</v>
      </c>
      <c r="C772" s="533"/>
      <c r="D772" s="514" t="s">
        <v>12748</v>
      </c>
      <c r="E772" s="515">
        <v>6</v>
      </c>
      <c r="F772" s="518" t="s">
        <v>2223</v>
      </c>
      <c r="G772" s="515" t="s">
        <v>3517</v>
      </c>
      <c r="H772" s="514" t="s">
        <v>1224</v>
      </c>
      <c r="I772" s="515"/>
      <c r="J772" s="515">
        <v>1</v>
      </c>
    </row>
    <row r="773" spans="1:10" ht="13.8" thickBot="1">
      <c r="A773" s="517"/>
      <c r="B773" s="518" t="s">
        <v>12516</v>
      </c>
      <c r="C773" s="533"/>
      <c r="D773" s="514" t="s">
        <v>12515</v>
      </c>
      <c r="E773" s="515">
        <v>6</v>
      </c>
      <c r="F773" s="518" t="s">
        <v>614</v>
      </c>
      <c r="G773" s="515" t="s">
        <v>3856</v>
      </c>
      <c r="H773" s="514" t="s">
        <v>1224</v>
      </c>
      <c r="I773" s="515"/>
      <c r="J773" s="515">
        <v>4</v>
      </c>
    </row>
    <row r="774" spans="1:10" ht="13.8" thickBot="1">
      <c r="A774" s="517"/>
      <c r="B774" s="518" t="s">
        <v>12514</v>
      </c>
      <c r="C774" s="533"/>
      <c r="D774" s="514" t="s">
        <v>12513</v>
      </c>
      <c r="E774" s="515">
        <v>6</v>
      </c>
      <c r="F774" s="518" t="s">
        <v>614</v>
      </c>
      <c r="G774" s="515" t="s">
        <v>3856</v>
      </c>
      <c r="H774" s="514" t="s">
        <v>1224</v>
      </c>
      <c r="I774" s="515"/>
      <c r="J774" s="515">
        <v>1</v>
      </c>
    </row>
    <row r="775" spans="1:10" ht="13.8" thickBot="1">
      <c r="A775" s="517"/>
      <c r="B775" s="518" t="s">
        <v>12371</v>
      </c>
      <c r="C775" s="533"/>
      <c r="D775" s="514" t="s">
        <v>4185</v>
      </c>
      <c r="E775" s="515">
        <v>6</v>
      </c>
      <c r="F775" s="518" t="s">
        <v>614</v>
      </c>
      <c r="G775" s="515" t="s">
        <v>4160</v>
      </c>
      <c r="H775" s="514" t="s">
        <v>1224</v>
      </c>
      <c r="I775" s="515"/>
      <c r="J775" s="515">
        <v>4</v>
      </c>
    </row>
    <row r="776" spans="1:10" ht="13.8" thickBot="1">
      <c r="A776" s="517"/>
      <c r="B776" s="518" t="s">
        <v>12326</v>
      </c>
      <c r="C776" s="533"/>
      <c r="D776" s="514" t="s">
        <v>12325</v>
      </c>
      <c r="E776" s="515">
        <v>6</v>
      </c>
      <c r="F776" s="518" t="s">
        <v>614</v>
      </c>
      <c r="G776" s="515" t="s">
        <v>4214</v>
      </c>
      <c r="H776" s="514" t="s">
        <v>1224</v>
      </c>
      <c r="I776" s="515"/>
      <c r="J776" s="515">
        <v>1</v>
      </c>
    </row>
    <row r="777" spans="1:10" ht="13.8" thickBot="1">
      <c r="A777" s="517"/>
      <c r="B777" s="518" t="s">
        <v>13806</v>
      </c>
      <c r="C777" s="533"/>
      <c r="D777" s="514" t="s">
        <v>13805</v>
      </c>
      <c r="E777" s="515">
        <v>6</v>
      </c>
      <c r="F777" s="514"/>
      <c r="G777" s="515" t="s">
        <v>2152</v>
      </c>
      <c r="H777" s="514" t="s">
        <v>1224</v>
      </c>
      <c r="I777" s="515"/>
      <c r="J777" s="515">
        <v>2</v>
      </c>
    </row>
    <row r="778" spans="1:10" ht="13.8" thickBot="1">
      <c r="A778" s="517"/>
      <c r="B778" s="518" t="s">
        <v>14187</v>
      </c>
      <c r="C778" s="533"/>
      <c r="D778" s="514" t="s">
        <v>1874</v>
      </c>
      <c r="E778" s="515">
        <v>6</v>
      </c>
      <c r="F778" s="514"/>
      <c r="G778" s="515" t="s">
        <v>1793</v>
      </c>
      <c r="H778" s="514" t="s">
        <v>1220</v>
      </c>
      <c r="I778" s="515"/>
      <c r="J778" s="515">
        <v>2</v>
      </c>
    </row>
    <row r="779" spans="1:10" ht="13.8" thickBot="1">
      <c r="A779" s="517"/>
      <c r="B779" s="518" t="s">
        <v>11979</v>
      </c>
      <c r="C779" s="533"/>
      <c r="D779" s="514" t="s">
        <v>11978</v>
      </c>
      <c r="E779" s="515">
        <v>6</v>
      </c>
      <c r="F779" s="518" t="s">
        <v>614</v>
      </c>
      <c r="G779" s="515" t="s">
        <v>5180</v>
      </c>
      <c r="H779" s="514" t="s">
        <v>1220</v>
      </c>
      <c r="I779" s="515">
        <v>1</v>
      </c>
      <c r="J779" s="515">
        <v>6</v>
      </c>
    </row>
    <row r="780" spans="1:10" ht="13.8" thickBot="1">
      <c r="A780" s="517"/>
      <c r="B780" s="518" t="s">
        <v>13651</v>
      </c>
      <c r="C780" s="533"/>
      <c r="D780" s="514" t="s">
        <v>13650</v>
      </c>
      <c r="E780" s="515">
        <v>6</v>
      </c>
      <c r="F780" s="514"/>
      <c r="G780" s="515" t="s">
        <v>2289</v>
      </c>
      <c r="H780" s="514" t="s">
        <v>1220</v>
      </c>
      <c r="I780" s="515"/>
      <c r="J780" s="515">
        <v>4</v>
      </c>
    </row>
    <row r="781" spans="1:10" ht="13.8" thickBot="1">
      <c r="A781" s="517"/>
      <c r="B781" s="518" t="s">
        <v>13414</v>
      </c>
      <c r="C781" s="533"/>
      <c r="D781" s="514" t="s">
        <v>1300</v>
      </c>
      <c r="E781" s="515">
        <v>6</v>
      </c>
      <c r="F781" s="518" t="s">
        <v>614</v>
      </c>
      <c r="G781" s="515" t="s">
        <v>2523</v>
      </c>
      <c r="H781" s="514" t="s">
        <v>1220</v>
      </c>
      <c r="I781" s="515"/>
      <c r="J781" s="515">
        <v>2</v>
      </c>
    </row>
    <row r="782" spans="1:10" ht="13.8" thickBot="1">
      <c r="A782" s="517"/>
      <c r="B782" s="518" t="s">
        <v>13413</v>
      </c>
      <c r="C782" s="533"/>
      <c r="D782" s="514" t="s">
        <v>1300</v>
      </c>
      <c r="E782" s="515">
        <v>6</v>
      </c>
      <c r="F782" s="518" t="s">
        <v>1854</v>
      </c>
      <c r="G782" s="515" t="s">
        <v>2523</v>
      </c>
      <c r="H782" s="514" t="s">
        <v>13412</v>
      </c>
      <c r="I782" s="515">
        <v>1</v>
      </c>
      <c r="J782" s="515">
        <v>2</v>
      </c>
    </row>
    <row r="783" spans="1:10" ht="13.8" thickBot="1">
      <c r="A783" s="517"/>
      <c r="B783" s="518" t="s">
        <v>14186</v>
      </c>
      <c r="C783" s="533"/>
      <c r="D783" s="514" t="s">
        <v>14185</v>
      </c>
      <c r="E783" s="515">
        <v>6</v>
      </c>
      <c r="F783" s="518" t="s">
        <v>614</v>
      </c>
      <c r="G783" s="515" t="s">
        <v>1793</v>
      </c>
      <c r="H783" s="514"/>
      <c r="I783" s="515">
        <v>1</v>
      </c>
      <c r="J783" s="515">
        <v>4</v>
      </c>
    </row>
    <row r="784" spans="1:10" ht="13.8" thickBot="1">
      <c r="A784" s="517"/>
      <c r="B784" s="518" t="s">
        <v>14184</v>
      </c>
      <c r="C784" s="533"/>
      <c r="D784" s="514" t="s">
        <v>14127</v>
      </c>
      <c r="E784" s="515">
        <v>6</v>
      </c>
      <c r="F784" s="518" t="s">
        <v>614</v>
      </c>
      <c r="G784" s="515" t="s">
        <v>1793</v>
      </c>
      <c r="H784" s="514"/>
      <c r="I784" s="515"/>
      <c r="J784" s="515">
        <v>1</v>
      </c>
    </row>
    <row r="785" spans="1:10" ht="13.8" thickBot="1">
      <c r="A785" s="517"/>
      <c r="B785" s="518" t="s">
        <v>14183</v>
      </c>
      <c r="C785" s="533"/>
      <c r="D785" s="514" t="s">
        <v>14182</v>
      </c>
      <c r="E785" s="515">
        <v>6</v>
      </c>
      <c r="F785" s="518" t="s">
        <v>614</v>
      </c>
      <c r="G785" s="515" t="s">
        <v>1793</v>
      </c>
      <c r="H785" s="514"/>
      <c r="I785" s="522">
        <v>1</v>
      </c>
      <c r="J785" s="515">
        <v>1</v>
      </c>
    </row>
    <row r="786" spans="1:10" ht="13.8" thickBot="1">
      <c r="A786" s="517"/>
      <c r="B786" s="518" t="s">
        <v>14181</v>
      </c>
      <c r="C786" s="533"/>
      <c r="D786" s="514" t="s">
        <v>1874</v>
      </c>
      <c r="E786" s="515">
        <v>6</v>
      </c>
      <c r="F786" s="514"/>
      <c r="G786" s="515" t="s">
        <v>1793</v>
      </c>
      <c r="H786" s="514"/>
      <c r="I786" s="515"/>
      <c r="J786" s="515">
        <v>1</v>
      </c>
    </row>
    <row r="787" spans="1:10" ht="13.8" thickBot="1">
      <c r="A787" s="517"/>
      <c r="B787" s="518" t="s">
        <v>14180</v>
      </c>
      <c r="C787" s="533"/>
      <c r="D787" s="514" t="s">
        <v>14179</v>
      </c>
      <c r="E787" s="515">
        <v>6</v>
      </c>
      <c r="F787" s="514"/>
      <c r="G787" s="515" t="s">
        <v>1793</v>
      </c>
      <c r="H787" s="514"/>
      <c r="I787" s="515"/>
      <c r="J787" s="515"/>
    </row>
    <row r="788" spans="1:10" ht="13.8" thickBot="1">
      <c r="A788" s="517"/>
      <c r="B788" s="518" t="s">
        <v>12194</v>
      </c>
      <c r="C788" s="533"/>
      <c r="D788" s="514" t="s">
        <v>12193</v>
      </c>
      <c r="E788" s="515">
        <v>6</v>
      </c>
      <c r="F788" s="518" t="s">
        <v>614</v>
      </c>
      <c r="G788" s="515" t="s">
        <v>4789</v>
      </c>
      <c r="H788" s="514"/>
      <c r="I788" s="515"/>
      <c r="J788" s="515">
        <v>13</v>
      </c>
    </row>
    <row r="789" spans="1:10" ht="13.8" thickBot="1">
      <c r="A789" s="517"/>
      <c r="B789" s="518" t="s">
        <v>12178</v>
      </c>
      <c r="C789" s="533"/>
      <c r="D789" s="514" t="s">
        <v>1755</v>
      </c>
      <c r="E789" s="515">
        <v>6</v>
      </c>
      <c r="F789" s="518" t="s">
        <v>1854</v>
      </c>
      <c r="G789" s="515" t="s">
        <v>4822</v>
      </c>
      <c r="H789" s="514"/>
      <c r="I789" s="522">
        <v>1</v>
      </c>
      <c r="J789" s="522">
        <v>1</v>
      </c>
    </row>
    <row r="790" spans="1:10" ht="13.8" thickBot="1">
      <c r="A790" s="517"/>
      <c r="B790" s="518" t="s">
        <v>12158</v>
      </c>
      <c r="C790" s="533"/>
      <c r="D790" s="514" t="s">
        <v>4959</v>
      </c>
      <c r="E790" s="515">
        <v>6</v>
      </c>
      <c r="F790" s="518" t="s">
        <v>614</v>
      </c>
      <c r="G790" s="515" t="s">
        <v>4943</v>
      </c>
      <c r="H790" s="514"/>
      <c r="I790" s="515"/>
      <c r="J790" s="515">
        <v>2</v>
      </c>
    </row>
    <row r="791" spans="1:10" ht="13.8" thickBot="1">
      <c r="A791" s="517"/>
      <c r="B791" s="518" t="s">
        <v>12157</v>
      </c>
      <c r="C791" s="533"/>
      <c r="D791" s="514" t="s">
        <v>4942</v>
      </c>
      <c r="E791" s="515">
        <v>6</v>
      </c>
      <c r="F791" s="514"/>
      <c r="G791" s="515" t="s">
        <v>4943</v>
      </c>
      <c r="H791" s="514"/>
      <c r="I791" s="515"/>
      <c r="J791" s="515">
        <v>1</v>
      </c>
    </row>
    <row r="792" spans="1:10" ht="13.8" thickBot="1">
      <c r="A792" s="517"/>
      <c r="B792" s="518" t="s">
        <v>12131</v>
      </c>
      <c r="C792" s="533"/>
      <c r="D792" s="514" t="s">
        <v>1593</v>
      </c>
      <c r="E792" s="515">
        <v>6</v>
      </c>
      <c r="F792" s="518" t="s">
        <v>614</v>
      </c>
      <c r="G792" s="515" t="s">
        <v>4970</v>
      </c>
      <c r="H792" s="514"/>
      <c r="I792" s="515"/>
      <c r="J792" s="515">
        <v>2</v>
      </c>
    </row>
    <row r="793" spans="1:10" ht="13.8" thickBot="1">
      <c r="A793" s="517"/>
      <c r="B793" s="518" t="s">
        <v>12130</v>
      </c>
      <c r="C793" s="533"/>
      <c r="D793" s="514" t="s">
        <v>1598</v>
      </c>
      <c r="E793" s="515">
        <v>6</v>
      </c>
      <c r="F793" s="514"/>
      <c r="G793" s="515" t="s">
        <v>4970</v>
      </c>
      <c r="H793" s="514"/>
      <c r="I793" s="515"/>
      <c r="J793" s="515">
        <v>2</v>
      </c>
    </row>
    <row r="794" spans="1:10" ht="13.8" thickBot="1">
      <c r="A794" s="517"/>
      <c r="B794" s="518" t="s">
        <v>12129</v>
      </c>
      <c r="C794" s="533"/>
      <c r="D794" s="514" t="s">
        <v>12128</v>
      </c>
      <c r="E794" s="515">
        <v>6</v>
      </c>
      <c r="F794" s="518" t="s">
        <v>614</v>
      </c>
      <c r="G794" s="515" t="s">
        <v>4970</v>
      </c>
      <c r="H794" s="514"/>
      <c r="I794" s="515"/>
      <c r="J794" s="515">
        <v>1</v>
      </c>
    </row>
    <row r="795" spans="1:10" ht="13.8" thickBot="1">
      <c r="A795" s="517"/>
      <c r="B795" s="518" t="s">
        <v>12035</v>
      </c>
      <c r="C795" s="533"/>
      <c r="D795" s="514" t="s">
        <v>12034</v>
      </c>
      <c r="E795" s="515">
        <v>6</v>
      </c>
      <c r="F795" s="514"/>
      <c r="G795" s="515" t="s">
        <v>5042</v>
      </c>
      <c r="H795" s="514"/>
      <c r="I795" s="515">
        <v>1</v>
      </c>
      <c r="J795" s="515">
        <v>2</v>
      </c>
    </row>
    <row r="796" spans="1:10" ht="13.8" thickBot="1">
      <c r="A796" s="517"/>
      <c r="B796" s="518" t="s">
        <v>11977</v>
      </c>
      <c r="C796" s="533"/>
      <c r="D796" s="514" t="s">
        <v>5184</v>
      </c>
      <c r="E796" s="515">
        <v>6</v>
      </c>
      <c r="F796" s="518" t="s">
        <v>614</v>
      </c>
      <c r="G796" s="515" t="s">
        <v>5180</v>
      </c>
      <c r="H796" s="514"/>
      <c r="I796" s="515"/>
      <c r="J796" s="515">
        <v>1</v>
      </c>
    </row>
    <row r="797" spans="1:10" ht="13.8" thickBot="1">
      <c r="A797" s="517"/>
      <c r="B797" s="518" t="s">
        <v>11959</v>
      </c>
      <c r="C797" s="533"/>
      <c r="D797" s="514" t="s">
        <v>11958</v>
      </c>
      <c r="E797" s="515">
        <v>6</v>
      </c>
      <c r="F797" s="518" t="s">
        <v>614</v>
      </c>
      <c r="G797" s="515" t="s">
        <v>5196</v>
      </c>
      <c r="H797" s="514"/>
      <c r="I797" s="522"/>
      <c r="J797" s="515">
        <v>1</v>
      </c>
    </row>
    <row r="798" spans="1:10" ht="13.8" thickBot="1">
      <c r="A798" s="517"/>
      <c r="B798" s="518" t="s">
        <v>11957</v>
      </c>
      <c r="C798" s="533"/>
      <c r="D798" s="514" t="s">
        <v>11956</v>
      </c>
      <c r="E798" s="515">
        <v>6</v>
      </c>
      <c r="F798" s="518" t="s">
        <v>614</v>
      </c>
      <c r="G798" s="515" t="s">
        <v>5196</v>
      </c>
      <c r="H798" s="514"/>
      <c r="I798" s="515"/>
      <c r="J798" s="515">
        <v>1</v>
      </c>
    </row>
    <row r="799" spans="1:10" ht="13.8" thickBot="1">
      <c r="A799" s="517"/>
      <c r="B799" s="518" t="s">
        <v>11906</v>
      </c>
      <c r="C799" s="533"/>
      <c r="D799" s="514" t="s">
        <v>11905</v>
      </c>
      <c r="E799" s="515">
        <v>6</v>
      </c>
      <c r="F799" s="518" t="s">
        <v>614</v>
      </c>
      <c r="G799" s="515" t="s">
        <v>5245</v>
      </c>
      <c r="H799" s="514"/>
      <c r="I799" s="515"/>
      <c r="J799" s="515">
        <v>1</v>
      </c>
    </row>
    <row r="800" spans="1:10" ht="13.8" thickBot="1">
      <c r="A800" s="517"/>
      <c r="B800" s="518" t="s">
        <v>13649</v>
      </c>
      <c r="C800" s="533"/>
      <c r="D800" s="514" t="s">
        <v>13648</v>
      </c>
      <c r="E800" s="515">
        <v>6</v>
      </c>
      <c r="F800" s="514"/>
      <c r="G800" s="515" t="s">
        <v>2289</v>
      </c>
      <c r="H800" s="514"/>
      <c r="I800" s="515"/>
      <c r="J800" s="515">
        <v>2</v>
      </c>
    </row>
    <row r="801" spans="1:10" ht="13.8" thickBot="1">
      <c r="A801" s="517"/>
      <c r="B801" s="518" t="s">
        <v>13647</v>
      </c>
      <c r="C801" s="533"/>
      <c r="D801" s="514" t="s">
        <v>13646</v>
      </c>
      <c r="E801" s="515">
        <v>6</v>
      </c>
      <c r="F801" s="518" t="s">
        <v>614</v>
      </c>
      <c r="G801" s="515" t="s">
        <v>2289</v>
      </c>
      <c r="H801" s="514"/>
      <c r="I801" s="515"/>
      <c r="J801" s="515">
        <v>1</v>
      </c>
    </row>
    <row r="802" spans="1:10" ht="13.8" thickBot="1">
      <c r="A802" s="517"/>
      <c r="B802" s="518" t="s">
        <v>13645</v>
      </c>
      <c r="C802" s="533"/>
      <c r="D802" s="519" t="s">
        <v>13644</v>
      </c>
      <c r="E802" s="515">
        <v>6</v>
      </c>
      <c r="F802" s="514"/>
      <c r="G802" s="515" t="s">
        <v>2289</v>
      </c>
      <c r="H802" s="514"/>
      <c r="I802" s="515"/>
      <c r="J802" s="515">
        <v>1</v>
      </c>
    </row>
    <row r="803" spans="1:10" ht="13.8" thickBot="1">
      <c r="A803" s="517"/>
      <c r="B803" s="518" t="s">
        <v>11852</v>
      </c>
      <c r="C803" s="533"/>
      <c r="D803" s="514" t="s">
        <v>11851</v>
      </c>
      <c r="E803" s="515">
        <v>6</v>
      </c>
      <c r="F803" s="518" t="s">
        <v>614</v>
      </c>
      <c r="G803" s="515" t="s">
        <v>5286</v>
      </c>
      <c r="H803" s="514"/>
      <c r="I803" s="515">
        <v>1</v>
      </c>
      <c r="J803" s="515">
        <v>6</v>
      </c>
    </row>
    <row r="804" spans="1:10" ht="13.8" thickBot="1">
      <c r="A804" s="517"/>
      <c r="B804" s="518" t="s">
        <v>11850</v>
      </c>
      <c r="C804" s="533"/>
      <c r="D804" s="514" t="s">
        <v>11849</v>
      </c>
      <c r="E804" s="515">
        <v>6</v>
      </c>
      <c r="F804" s="518" t="s">
        <v>614</v>
      </c>
      <c r="G804" s="515" t="s">
        <v>5286</v>
      </c>
      <c r="H804" s="514"/>
      <c r="I804" s="515"/>
      <c r="J804" s="515">
        <v>5</v>
      </c>
    </row>
    <row r="805" spans="1:10" ht="13.8" thickBot="1">
      <c r="A805" s="517"/>
      <c r="B805" s="518" t="s">
        <v>11848</v>
      </c>
      <c r="C805" s="533"/>
      <c r="D805" s="514" t="s">
        <v>11847</v>
      </c>
      <c r="E805" s="515">
        <v>6</v>
      </c>
      <c r="F805" s="518" t="s">
        <v>614</v>
      </c>
      <c r="G805" s="515" t="s">
        <v>5286</v>
      </c>
      <c r="H805" s="514"/>
      <c r="I805" s="515"/>
      <c r="J805" s="515">
        <v>2</v>
      </c>
    </row>
    <row r="806" spans="1:10" ht="13.8" thickBot="1">
      <c r="A806" s="517"/>
      <c r="B806" s="518" t="s">
        <v>13411</v>
      </c>
      <c r="C806" s="533"/>
      <c r="D806" s="514" t="s">
        <v>2712</v>
      </c>
      <c r="E806" s="515">
        <v>6</v>
      </c>
      <c r="F806" s="518" t="s">
        <v>1854</v>
      </c>
      <c r="G806" s="515" t="s">
        <v>2523</v>
      </c>
      <c r="H806" s="514"/>
      <c r="I806" s="522">
        <v>1</v>
      </c>
      <c r="J806" s="522">
        <v>6</v>
      </c>
    </row>
    <row r="807" spans="1:10" ht="13.8" thickBot="1">
      <c r="A807" s="517"/>
      <c r="B807" s="518" t="s">
        <v>13410</v>
      </c>
      <c r="C807" s="533"/>
      <c r="D807" s="514" t="s">
        <v>1313</v>
      </c>
      <c r="E807" s="515">
        <v>6</v>
      </c>
      <c r="F807" s="518" t="s">
        <v>614</v>
      </c>
      <c r="G807" s="515" t="s">
        <v>2523</v>
      </c>
      <c r="H807" s="514"/>
      <c r="I807" s="515"/>
      <c r="J807" s="515">
        <v>6</v>
      </c>
    </row>
    <row r="808" spans="1:10" ht="13.8" thickBot="1">
      <c r="A808" s="517"/>
      <c r="B808" s="518" t="s">
        <v>13409</v>
      </c>
      <c r="C808" s="533"/>
      <c r="D808" s="514" t="s">
        <v>13408</v>
      </c>
      <c r="E808" s="515">
        <v>6</v>
      </c>
      <c r="F808" s="518" t="s">
        <v>1854</v>
      </c>
      <c r="G808" s="515" t="s">
        <v>2523</v>
      </c>
      <c r="H808" s="514"/>
      <c r="I808" s="515"/>
      <c r="J808" s="515">
        <v>2</v>
      </c>
    </row>
    <row r="809" spans="1:10" ht="13.8" thickBot="1">
      <c r="A809" s="517"/>
      <c r="B809" s="518" t="s">
        <v>13407</v>
      </c>
      <c r="C809" s="533"/>
      <c r="D809" s="514" t="s">
        <v>13406</v>
      </c>
      <c r="E809" s="515">
        <v>6</v>
      </c>
      <c r="F809" s="514"/>
      <c r="G809" s="515" t="s">
        <v>2523</v>
      </c>
      <c r="H809" s="514"/>
      <c r="I809" s="515">
        <v>1</v>
      </c>
      <c r="J809" s="515">
        <v>2</v>
      </c>
    </row>
    <row r="810" spans="1:10" ht="13.8" thickBot="1">
      <c r="A810" s="517"/>
      <c r="B810" s="518" t="s">
        <v>13405</v>
      </c>
      <c r="C810" s="533"/>
      <c r="D810" s="514" t="s">
        <v>1300</v>
      </c>
      <c r="E810" s="515">
        <v>6</v>
      </c>
      <c r="F810" s="514"/>
      <c r="G810" s="515" t="s">
        <v>2523</v>
      </c>
      <c r="H810" s="514"/>
      <c r="I810" s="515"/>
      <c r="J810" s="515">
        <v>2</v>
      </c>
    </row>
    <row r="811" spans="1:10" ht="13.8" thickBot="1">
      <c r="A811" s="517"/>
      <c r="B811" s="518" t="s">
        <v>13404</v>
      </c>
      <c r="C811" s="533"/>
      <c r="D811" s="514" t="s">
        <v>13403</v>
      </c>
      <c r="E811" s="515">
        <v>6</v>
      </c>
      <c r="F811" s="518" t="s">
        <v>614</v>
      </c>
      <c r="G811" s="515" t="s">
        <v>2523</v>
      </c>
      <c r="H811" s="514"/>
      <c r="I811" s="515"/>
      <c r="J811" s="515">
        <v>1</v>
      </c>
    </row>
    <row r="812" spans="1:10" ht="13.8" thickBot="1">
      <c r="A812" s="517"/>
      <c r="B812" s="518" t="s">
        <v>11722</v>
      </c>
      <c r="C812" s="533"/>
      <c r="D812" s="514" t="s">
        <v>11721</v>
      </c>
      <c r="E812" s="515">
        <v>6</v>
      </c>
      <c r="F812" s="514"/>
      <c r="G812" s="515" t="s">
        <v>11525</v>
      </c>
      <c r="H812" s="514"/>
      <c r="I812" s="515"/>
      <c r="J812" s="515">
        <v>1</v>
      </c>
    </row>
    <row r="813" spans="1:10" ht="13.8" thickBot="1">
      <c r="A813" s="517"/>
      <c r="B813" s="518" t="s">
        <v>11651</v>
      </c>
      <c r="C813" s="533"/>
      <c r="D813" s="514" t="s">
        <v>11650</v>
      </c>
      <c r="E813" s="515">
        <v>6</v>
      </c>
      <c r="F813" s="514"/>
      <c r="G813" s="515" t="s">
        <v>11525</v>
      </c>
      <c r="H813" s="514"/>
      <c r="I813" s="522"/>
      <c r="J813" s="522">
        <v>1</v>
      </c>
    </row>
    <row r="814" spans="1:10" ht="13.8" thickBot="1">
      <c r="A814" s="517"/>
      <c r="B814" s="518" t="s">
        <v>11735</v>
      </c>
      <c r="C814" s="533"/>
      <c r="D814" s="514" t="s">
        <v>11533</v>
      </c>
      <c r="E814" s="515">
        <v>6</v>
      </c>
      <c r="F814" s="514"/>
      <c r="G814" s="515" t="s">
        <v>11525</v>
      </c>
      <c r="H814" s="514"/>
      <c r="I814" s="515"/>
      <c r="J814" s="515"/>
    </row>
    <row r="815" spans="1:10" ht="13.8" thickBot="1">
      <c r="A815" s="517"/>
      <c r="B815" s="518" t="s">
        <v>11647</v>
      </c>
      <c r="C815" s="533"/>
      <c r="D815" s="514" t="s">
        <v>11612</v>
      </c>
      <c r="E815" s="515">
        <v>6</v>
      </c>
      <c r="F815" s="514"/>
      <c r="G815" s="515" t="s">
        <v>11525</v>
      </c>
      <c r="H815" s="514"/>
      <c r="I815" s="515"/>
      <c r="J815" s="515"/>
    </row>
    <row r="816" spans="1:10" ht="13.8" thickBot="1">
      <c r="A816" s="517"/>
      <c r="B816" s="518" t="s">
        <v>11641</v>
      </c>
      <c r="C816" s="533"/>
      <c r="D816" s="514" t="s">
        <v>11612</v>
      </c>
      <c r="E816" s="515">
        <v>6</v>
      </c>
      <c r="F816" s="514"/>
      <c r="G816" s="515" t="s">
        <v>11525</v>
      </c>
      <c r="H816" s="514"/>
      <c r="I816" s="515"/>
      <c r="J816" s="515"/>
    </row>
    <row r="817" spans="1:10" ht="13.8" thickBot="1">
      <c r="A817" s="517"/>
      <c r="B817" s="518" t="s">
        <v>11639</v>
      </c>
      <c r="C817" s="533"/>
      <c r="D817" s="514" t="s">
        <v>11612</v>
      </c>
      <c r="E817" s="515">
        <v>6</v>
      </c>
      <c r="F817" s="514"/>
      <c r="G817" s="515" t="s">
        <v>11525</v>
      </c>
      <c r="H817" s="514"/>
      <c r="I817" s="515"/>
      <c r="J817" s="515"/>
    </row>
    <row r="818" spans="1:10" ht="13.8" thickBot="1">
      <c r="A818" s="517"/>
      <c r="B818" s="518" t="s">
        <v>11634</v>
      </c>
      <c r="C818" s="533"/>
      <c r="D818" s="514" t="s">
        <v>11612</v>
      </c>
      <c r="E818" s="515">
        <v>6</v>
      </c>
      <c r="F818" s="514"/>
      <c r="G818" s="515" t="s">
        <v>11525</v>
      </c>
      <c r="H818" s="514"/>
      <c r="I818" s="515"/>
      <c r="J818" s="515"/>
    </row>
    <row r="819" spans="1:10" ht="13.8" thickBot="1">
      <c r="A819" s="517"/>
      <c r="B819" s="518" t="s">
        <v>11633</v>
      </c>
      <c r="C819" s="533"/>
      <c r="D819" s="514" t="s">
        <v>11612</v>
      </c>
      <c r="E819" s="515">
        <v>6</v>
      </c>
      <c r="F819" s="514"/>
      <c r="G819" s="515" t="s">
        <v>11525</v>
      </c>
      <c r="H819" s="514"/>
      <c r="I819" s="515"/>
      <c r="J819" s="515"/>
    </row>
    <row r="820" spans="1:10" ht="13.8" thickBot="1">
      <c r="A820" s="517"/>
      <c r="B820" s="518" t="s">
        <v>11626</v>
      </c>
      <c r="C820" s="533"/>
      <c r="D820" s="514" t="s">
        <v>11612</v>
      </c>
      <c r="E820" s="515">
        <v>6</v>
      </c>
      <c r="F820" s="514"/>
      <c r="G820" s="515" t="s">
        <v>11525</v>
      </c>
      <c r="H820" s="514"/>
      <c r="I820" s="515"/>
      <c r="J820" s="515"/>
    </row>
    <row r="821" spans="1:10" ht="13.8" thickBot="1">
      <c r="A821" s="517"/>
      <c r="B821" s="518" t="s">
        <v>11623</v>
      </c>
      <c r="C821" s="533"/>
      <c r="D821" s="514" t="s">
        <v>11612</v>
      </c>
      <c r="E821" s="515">
        <v>6</v>
      </c>
      <c r="F821" s="514"/>
      <c r="G821" s="515" t="s">
        <v>11525</v>
      </c>
      <c r="H821" s="514"/>
      <c r="I821" s="515"/>
      <c r="J821" s="515"/>
    </row>
    <row r="822" spans="1:10" ht="13.8" thickBot="1">
      <c r="A822" s="517"/>
      <c r="B822" s="518" t="s">
        <v>11622</v>
      </c>
      <c r="C822" s="533"/>
      <c r="D822" s="514" t="s">
        <v>11612</v>
      </c>
      <c r="E822" s="515">
        <v>6</v>
      </c>
      <c r="F822" s="514"/>
      <c r="G822" s="515" t="s">
        <v>11525</v>
      </c>
      <c r="H822" s="514"/>
      <c r="I822" s="515"/>
      <c r="J822" s="515"/>
    </row>
    <row r="823" spans="1:10" ht="13.8" thickBot="1">
      <c r="A823" s="517"/>
      <c r="B823" s="518" t="s">
        <v>11620</v>
      </c>
      <c r="C823" s="533"/>
      <c r="D823" s="514" t="s">
        <v>11612</v>
      </c>
      <c r="E823" s="515">
        <v>6</v>
      </c>
      <c r="F823" s="514"/>
      <c r="G823" s="515" t="s">
        <v>11525</v>
      </c>
      <c r="H823" s="514"/>
      <c r="I823" s="515"/>
      <c r="J823" s="515"/>
    </row>
    <row r="824" spans="1:10" ht="13.8" thickBot="1">
      <c r="A824" s="517"/>
      <c r="B824" s="518" t="s">
        <v>11614</v>
      </c>
      <c r="C824" s="533"/>
      <c r="D824" s="514" t="s">
        <v>11612</v>
      </c>
      <c r="E824" s="515">
        <v>6</v>
      </c>
      <c r="F824" s="514"/>
      <c r="G824" s="515" t="s">
        <v>11525</v>
      </c>
      <c r="H824" s="514"/>
      <c r="I824" s="515"/>
      <c r="J824" s="515"/>
    </row>
    <row r="825" spans="1:10" ht="13.8" thickBot="1">
      <c r="A825" s="517"/>
      <c r="B825" s="518" t="s">
        <v>11565</v>
      </c>
      <c r="C825" s="533"/>
      <c r="D825" s="514" t="s">
        <v>11533</v>
      </c>
      <c r="E825" s="515">
        <v>6</v>
      </c>
      <c r="F825" s="514"/>
      <c r="G825" s="515" t="s">
        <v>11525</v>
      </c>
      <c r="H825" s="514"/>
      <c r="I825" s="515"/>
      <c r="J825" s="515"/>
    </row>
    <row r="826" spans="1:10" ht="13.8" thickBot="1">
      <c r="A826" s="517"/>
      <c r="B826" s="518" t="s">
        <v>13232</v>
      </c>
      <c r="C826" s="533"/>
      <c r="D826" s="514" t="s">
        <v>13231</v>
      </c>
      <c r="E826" s="515">
        <v>6</v>
      </c>
      <c r="F826" s="518" t="s">
        <v>614</v>
      </c>
      <c r="G826" s="515" t="s">
        <v>2779</v>
      </c>
      <c r="H826" s="514"/>
      <c r="I826" s="515"/>
      <c r="J826" s="515">
        <v>1</v>
      </c>
    </row>
    <row r="827" spans="1:10" ht="13.8" thickBot="1">
      <c r="A827" s="517"/>
      <c r="B827" s="518" t="s">
        <v>13211</v>
      </c>
      <c r="C827" s="533"/>
      <c r="D827" s="514" t="s">
        <v>13210</v>
      </c>
      <c r="E827" s="515">
        <v>6</v>
      </c>
      <c r="F827" s="514"/>
      <c r="G827" s="515" t="s">
        <v>2797</v>
      </c>
      <c r="H827" s="514"/>
      <c r="I827" s="515"/>
      <c r="J827" s="515">
        <v>6</v>
      </c>
    </row>
    <row r="828" spans="1:10" ht="13.8" thickBot="1">
      <c r="A828" s="517"/>
      <c r="B828" s="518" t="s">
        <v>13209</v>
      </c>
      <c r="C828" s="533"/>
      <c r="D828" s="520" t="s">
        <v>13208</v>
      </c>
      <c r="E828" s="521">
        <v>6</v>
      </c>
      <c r="F828" s="518" t="s">
        <v>614</v>
      </c>
      <c r="G828" s="515" t="s">
        <v>2797</v>
      </c>
      <c r="H828" s="514"/>
      <c r="I828" s="521"/>
      <c r="J828" s="521">
        <v>5</v>
      </c>
    </row>
    <row r="829" spans="1:10" ht="13.8" thickBot="1">
      <c r="A829" s="517"/>
      <c r="B829" s="518" t="s">
        <v>12924</v>
      </c>
      <c r="C829" s="533"/>
      <c r="D829" s="514" t="s">
        <v>12923</v>
      </c>
      <c r="E829" s="515">
        <v>6</v>
      </c>
      <c r="F829" s="518" t="s">
        <v>614</v>
      </c>
      <c r="G829" s="515" t="s">
        <v>3161</v>
      </c>
      <c r="H829" s="514"/>
      <c r="I829" s="522"/>
      <c r="J829" s="515">
        <v>2</v>
      </c>
    </row>
    <row r="830" spans="1:10" ht="13.8" thickBot="1">
      <c r="A830" s="517"/>
      <c r="B830" s="518" t="s">
        <v>12922</v>
      </c>
      <c r="C830" s="533"/>
      <c r="D830" s="514" t="s">
        <v>12921</v>
      </c>
      <c r="E830" s="515">
        <v>6</v>
      </c>
      <c r="F830" s="518" t="s">
        <v>614</v>
      </c>
      <c r="G830" s="515" t="s">
        <v>3161</v>
      </c>
      <c r="H830" s="514"/>
      <c r="I830" s="515"/>
      <c r="J830" s="515">
        <v>1</v>
      </c>
    </row>
    <row r="831" spans="1:10" ht="13.8" thickBot="1">
      <c r="A831" s="517"/>
      <c r="B831" s="518" t="s">
        <v>13892</v>
      </c>
      <c r="C831" s="533"/>
      <c r="D831" s="520" t="s">
        <v>13891</v>
      </c>
      <c r="E831" s="521">
        <v>6</v>
      </c>
      <c r="F831" s="518" t="s">
        <v>1854</v>
      </c>
      <c r="G831" s="515" t="s">
        <v>2032</v>
      </c>
      <c r="H831" s="514"/>
      <c r="I831" s="521"/>
      <c r="J831" s="521">
        <v>3</v>
      </c>
    </row>
    <row r="832" spans="1:10" ht="13.8" thickBot="1">
      <c r="A832" s="517"/>
      <c r="B832" s="518" t="s">
        <v>13890</v>
      </c>
      <c r="C832" s="533"/>
      <c r="D832" s="514" t="s">
        <v>13889</v>
      </c>
      <c r="E832" s="515">
        <v>6</v>
      </c>
      <c r="F832" s="518" t="s">
        <v>614</v>
      </c>
      <c r="G832" s="515" t="s">
        <v>2032</v>
      </c>
      <c r="H832" s="514"/>
      <c r="I832" s="515"/>
      <c r="J832" s="515">
        <v>1</v>
      </c>
    </row>
    <row r="833" spans="1:10" ht="13.8" thickBot="1">
      <c r="A833" s="517"/>
      <c r="B833" s="518" t="s">
        <v>13888</v>
      </c>
      <c r="C833" s="533"/>
      <c r="D833" s="514" t="s">
        <v>2044</v>
      </c>
      <c r="E833" s="515">
        <v>6</v>
      </c>
      <c r="F833" s="518" t="s">
        <v>614</v>
      </c>
      <c r="G833" s="515" t="s">
        <v>2032</v>
      </c>
      <c r="H833" s="514"/>
      <c r="I833" s="515"/>
      <c r="J833" s="515">
        <v>1</v>
      </c>
    </row>
    <row r="834" spans="1:10" ht="13.8" thickBot="1">
      <c r="A834" s="517"/>
      <c r="B834" s="518" t="s">
        <v>13887</v>
      </c>
      <c r="C834" s="533"/>
      <c r="D834" s="514" t="s">
        <v>2044</v>
      </c>
      <c r="E834" s="515">
        <v>6</v>
      </c>
      <c r="F834" s="518" t="s">
        <v>1854</v>
      </c>
      <c r="G834" s="515" t="s">
        <v>2032</v>
      </c>
      <c r="H834" s="514"/>
      <c r="I834" s="515"/>
      <c r="J834" s="515">
        <v>1</v>
      </c>
    </row>
    <row r="835" spans="1:10" ht="13.8" thickBot="1">
      <c r="A835" s="517"/>
      <c r="B835" s="518" t="s">
        <v>12865</v>
      </c>
      <c r="C835" s="533"/>
      <c r="D835" s="514" t="s">
        <v>1447</v>
      </c>
      <c r="E835" s="515">
        <v>6</v>
      </c>
      <c r="F835" s="518" t="s">
        <v>614</v>
      </c>
      <c r="G835" s="515" t="s">
        <v>3448</v>
      </c>
      <c r="H835" s="514"/>
      <c r="I835" s="515"/>
      <c r="J835" s="515">
        <v>1</v>
      </c>
    </row>
    <row r="836" spans="1:10" ht="13.8" thickBot="1">
      <c r="A836" s="517"/>
      <c r="B836" s="518" t="s">
        <v>12747</v>
      </c>
      <c r="C836" s="533"/>
      <c r="D836" s="514" t="s">
        <v>12746</v>
      </c>
      <c r="E836" s="515">
        <v>6</v>
      </c>
      <c r="F836" s="518" t="s">
        <v>614</v>
      </c>
      <c r="G836" s="515" t="s">
        <v>3517</v>
      </c>
      <c r="H836" s="514"/>
      <c r="I836" s="515">
        <v>2</v>
      </c>
      <c r="J836" s="515">
        <v>4</v>
      </c>
    </row>
    <row r="837" spans="1:10" ht="13.8" thickBot="1">
      <c r="A837" s="517"/>
      <c r="B837" s="518" t="s">
        <v>12745</v>
      </c>
      <c r="C837" s="533"/>
      <c r="D837" s="514" t="s">
        <v>12744</v>
      </c>
      <c r="E837" s="515">
        <v>6</v>
      </c>
      <c r="F837" s="514"/>
      <c r="G837" s="515" t="s">
        <v>3517</v>
      </c>
      <c r="H837" s="514"/>
      <c r="I837" s="515"/>
      <c r="J837" s="515"/>
    </row>
    <row r="838" spans="1:10" ht="13.8" thickBot="1">
      <c r="A838" s="517"/>
      <c r="B838" s="518" t="s">
        <v>12683</v>
      </c>
      <c r="C838" s="533"/>
      <c r="D838" s="514" t="s">
        <v>12682</v>
      </c>
      <c r="E838" s="515">
        <v>6</v>
      </c>
      <c r="F838" s="518" t="s">
        <v>1854</v>
      </c>
      <c r="G838" s="515" t="s">
        <v>3652</v>
      </c>
      <c r="H838" s="514"/>
      <c r="I838" s="515"/>
      <c r="J838" s="515">
        <v>1</v>
      </c>
    </row>
    <row r="839" spans="1:10" ht="13.8" thickBot="1">
      <c r="A839" s="517"/>
      <c r="B839" s="518" t="s">
        <v>12637</v>
      </c>
      <c r="C839" s="533"/>
      <c r="D839" s="514" t="s">
        <v>12636</v>
      </c>
      <c r="E839" s="515">
        <v>6</v>
      </c>
      <c r="F839" s="518" t="s">
        <v>614</v>
      </c>
      <c r="G839" s="515" t="s">
        <v>3734</v>
      </c>
      <c r="H839" s="514"/>
      <c r="I839" s="515"/>
      <c r="J839" s="515">
        <v>5</v>
      </c>
    </row>
    <row r="840" spans="1:10" ht="13.8" thickBot="1">
      <c r="A840" s="517"/>
      <c r="B840" s="518" t="s">
        <v>12635</v>
      </c>
      <c r="C840" s="533"/>
      <c r="D840" s="514" t="s">
        <v>12634</v>
      </c>
      <c r="E840" s="515">
        <v>6</v>
      </c>
      <c r="F840" s="518" t="s">
        <v>1854</v>
      </c>
      <c r="G840" s="515" t="s">
        <v>3734</v>
      </c>
      <c r="H840" s="514"/>
      <c r="I840" s="515">
        <v>1</v>
      </c>
      <c r="J840" s="515">
        <v>4</v>
      </c>
    </row>
    <row r="841" spans="1:10" ht="13.8" thickBot="1">
      <c r="A841" s="517"/>
      <c r="B841" s="518" t="s">
        <v>12633</v>
      </c>
      <c r="C841" s="533"/>
      <c r="D841" s="514" t="s">
        <v>12632</v>
      </c>
      <c r="E841" s="515">
        <v>6</v>
      </c>
      <c r="F841" s="518" t="s">
        <v>614</v>
      </c>
      <c r="G841" s="515" t="s">
        <v>3734</v>
      </c>
      <c r="H841" s="514"/>
      <c r="I841" s="522">
        <v>1</v>
      </c>
      <c r="J841" s="522">
        <v>3</v>
      </c>
    </row>
    <row r="842" spans="1:10" ht="13.8" thickBot="1">
      <c r="A842" s="517"/>
      <c r="B842" s="518" t="s">
        <v>12631</v>
      </c>
      <c r="C842" s="533"/>
      <c r="D842" s="514" t="s">
        <v>12630</v>
      </c>
      <c r="E842" s="515">
        <v>6</v>
      </c>
      <c r="F842" s="518" t="s">
        <v>614</v>
      </c>
      <c r="G842" s="515" t="s">
        <v>3734</v>
      </c>
      <c r="H842" s="514"/>
      <c r="I842" s="515"/>
      <c r="J842" s="515">
        <v>1</v>
      </c>
    </row>
    <row r="843" spans="1:10" ht="13.8" thickBot="1">
      <c r="A843" s="517"/>
      <c r="B843" s="518" t="s">
        <v>12573</v>
      </c>
      <c r="C843" s="533"/>
      <c r="D843" s="514" t="s">
        <v>3849</v>
      </c>
      <c r="E843" s="515">
        <v>6</v>
      </c>
      <c r="F843" s="518" t="s">
        <v>614</v>
      </c>
      <c r="G843" s="515" t="s">
        <v>3807</v>
      </c>
      <c r="H843" s="514"/>
      <c r="I843" s="515"/>
      <c r="J843" s="515">
        <v>2</v>
      </c>
    </row>
    <row r="844" spans="1:10" ht="13.8" thickBot="1">
      <c r="A844" s="517"/>
      <c r="B844" s="518" t="s">
        <v>12572</v>
      </c>
      <c r="C844" s="533"/>
      <c r="D844" s="514" t="s">
        <v>12571</v>
      </c>
      <c r="E844" s="515">
        <v>6</v>
      </c>
      <c r="F844" s="514"/>
      <c r="G844" s="515" t="s">
        <v>3807</v>
      </c>
      <c r="H844" s="514"/>
      <c r="I844" s="515"/>
      <c r="J844" s="515"/>
    </row>
    <row r="845" spans="1:10" ht="13.8" thickBot="1">
      <c r="A845" s="517"/>
      <c r="B845" s="518" t="s">
        <v>12512</v>
      </c>
      <c r="C845" s="533"/>
      <c r="D845" s="514" t="s">
        <v>12511</v>
      </c>
      <c r="E845" s="515">
        <v>6</v>
      </c>
      <c r="F845" s="518" t="s">
        <v>614</v>
      </c>
      <c r="G845" s="515" t="s">
        <v>3856</v>
      </c>
      <c r="H845" s="514"/>
      <c r="I845" s="515"/>
      <c r="J845" s="515">
        <v>1</v>
      </c>
    </row>
    <row r="846" spans="1:10" ht="13.8" thickBot="1">
      <c r="A846" s="517"/>
      <c r="B846" s="518" t="s">
        <v>12466</v>
      </c>
      <c r="C846" s="533"/>
      <c r="D846" s="514" t="s">
        <v>12465</v>
      </c>
      <c r="E846" s="515">
        <v>6</v>
      </c>
      <c r="F846" s="514"/>
      <c r="G846" s="515" t="s">
        <v>3996</v>
      </c>
      <c r="H846" s="514"/>
      <c r="I846" s="515"/>
      <c r="J846" s="515">
        <v>1</v>
      </c>
    </row>
    <row r="847" spans="1:10" ht="13.8" thickBot="1">
      <c r="A847" s="517"/>
      <c r="B847" s="518" t="s">
        <v>12440</v>
      </c>
      <c r="C847" s="533"/>
      <c r="D847" s="514" t="s">
        <v>1537</v>
      </c>
      <c r="E847" s="515">
        <v>6</v>
      </c>
      <c r="F847" s="518" t="s">
        <v>614</v>
      </c>
      <c r="G847" s="515" t="s">
        <v>4067</v>
      </c>
      <c r="H847" s="514"/>
      <c r="I847" s="522"/>
      <c r="J847" s="522">
        <v>4</v>
      </c>
    </row>
    <row r="848" spans="1:10" ht="13.8" thickBot="1">
      <c r="A848" s="517"/>
      <c r="B848" s="518" t="s">
        <v>12439</v>
      </c>
      <c r="C848" s="533"/>
      <c r="D848" s="514" t="s">
        <v>12438</v>
      </c>
      <c r="E848" s="515">
        <v>6</v>
      </c>
      <c r="F848" s="514"/>
      <c r="G848" s="515" t="s">
        <v>4067</v>
      </c>
      <c r="H848" s="514"/>
      <c r="I848" s="515"/>
      <c r="J848" s="515">
        <v>1</v>
      </c>
    </row>
    <row r="849" spans="1:10" ht="13.8" thickBot="1">
      <c r="A849" s="517"/>
      <c r="B849" s="518" t="s">
        <v>12416</v>
      </c>
      <c r="C849" s="533"/>
      <c r="D849" s="514" t="s">
        <v>1544</v>
      </c>
      <c r="E849" s="515">
        <v>6</v>
      </c>
      <c r="F849" s="518" t="s">
        <v>1854</v>
      </c>
      <c r="G849" s="515" t="s">
        <v>4102</v>
      </c>
      <c r="H849" s="514"/>
      <c r="I849" s="515"/>
      <c r="J849" s="515">
        <v>1</v>
      </c>
    </row>
    <row r="850" spans="1:10" ht="13.8" thickBot="1">
      <c r="A850" s="517"/>
      <c r="B850" s="518" t="s">
        <v>12415</v>
      </c>
      <c r="C850" s="533"/>
      <c r="D850" s="514" t="s">
        <v>12414</v>
      </c>
      <c r="E850" s="515">
        <v>6</v>
      </c>
      <c r="F850" s="515" t="s">
        <v>12413</v>
      </c>
      <c r="G850" s="515" t="s">
        <v>4102</v>
      </c>
      <c r="H850" s="514"/>
      <c r="I850" s="515"/>
      <c r="J850" s="515">
        <v>1</v>
      </c>
    </row>
    <row r="851" spans="1:10" ht="13.8" thickBot="1">
      <c r="A851" s="517"/>
      <c r="B851" s="518" t="s">
        <v>12409</v>
      </c>
      <c r="C851" s="533"/>
      <c r="D851" s="514" t="s">
        <v>4125</v>
      </c>
      <c r="E851" s="515">
        <v>6</v>
      </c>
      <c r="F851" s="518" t="s">
        <v>614</v>
      </c>
      <c r="G851" s="515" t="s">
        <v>4121</v>
      </c>
      <c r="H851" s="514"/>
      <c r="I851" s="515"/>
      <c r="J851" s="515">
        <v>1</v>
      </c>
    </row>
    <row r="852" spans="1:10" ht="13.8" thickBot="1">
      <c r="A852" s="517"/>
      <c r="B852" s="518" t="s">
        <v>12408</v>
      </c>
      <c r="C852" s="533"/>
      <c r="D852" s="514" t="s">
        <v>12407</v>
      </c>
      <c r="E852" s="515">
        <v>6</v>
      </c>
      <c r="F852" s="518" t="s">
        <v>614</v>
      </c>
      <c r="G852" s="515" t="s">
        <v>4121</v>
      </c>
      <c r="H852" s="514"/>
      <c r="I852" s="515"/>
      <c r="J852" s="515">
        <v>1</v>
      </c>
    </row>
    <row r="853" spans="1:10" ht="13.8" thickBot="1">
      <c r="A853" s="517"/>
      <c r="B853" s="514" t="s">
        <v>12324</v>
      </c>
      <c r="C853" s="533"/>
      <c r="D853" s="514" t="s">
        <v>12323</v>
      </c>
      <c r="E853" s="515">
        <v>6</v>
      </c>
      <c r="F853" s="518" t="s">
        <v>614</v>
      </c>
      <c r="G853" s="515" t="s">
        <v>4214</v>
      </c>
      <c r="H853" s="514"/>
      <c r="I853" s="515"/>
      <c r="J853" s="515">
        <v>1</v>
      </c>
    </row>
    <row r="854" spans="1:10" ht="13.8" thickBot="1">
      <c r="A854" s="517"/>
      <c r="B854" s="518" t="s">
        <v>12322</v>
      </c>
      <c r="C854" s="533"/>
      <c r="D854" s="514" t="s">
        <v>12321</v>
      </c>
      <c r="E854" s="515">
        <v>6</v>
      </c>
      <c r="F854" s="518" t="s">
        <v>614</v>
      </c>
      <c r="G854" s="515" t="s">
        <v>4214</v>
      </c>
      <c r="H854" s="514"/>
      <c r="I854" s="515"/>
      <c r="J854" s="515">
        <v>1</v>
      </c>
    </row>
    <row r="855" spans="1:10" ht="13.8" thickBot="1">
      <c r="A855" s="517"/>
      <c r="B855" s="518" t="s">
        <v>12320</v>
      </c>
      <c r="C855" s="533"/>
      <c r="D855" s="514" t="s">
        <v>12319</v>
      </c>
      <c r="E855" s="515">
        <v>6</v>
      </c>
      <c r="F855" s="518" t="s">
        <v>614</v>
      </c>
      <c r="G855" s="515" t="s">
        <v>4214</v>
      </c>
      <c r="H855" s="514"/>
      <c r="I855" s="515"/>
      <c r="J855" s="515">
        <v>1</v>
      </c>
    </row>
    <row r="856" spans="1:10" ht="13.8" thickBot="1">
      <c r="A856" s="517"/>
      <c r="B856" s="518" t="s">
        <v>12262</v>
      </c>
      <c r="C856" s="533"/>
      <c r="D856" s="514" t="s">
        <v>4426</v>
      </c>
      <c r="E856" s="515">
        <v>6</v>
      </c>
      <c r="F856" s="514"/>
      <c r="G856" s="515" t="s">
        <v>4425</v>
      </c>
      <c r="H856" s="514"/>
      <c r="I856" s="515"/>
      <c r="J856" s="515"/>
    </row>
    <row r="857" spans="1:10" ht="13.8" thickBot="1">
      <c r="A857" s="517"/>
      <c r="B857" s="518" t="s">
        <v>12242</v>
      </c>
      <c r="C857" s="533"/>
      <c r="D857" s="514" t="s">
        <v>12241</v>
      </c>
      <c r="E857" s="515">
        <v>6</v>
      </c>
      <c r="F857" s="518" t="s">
        <v>614</v>
      </c>
      <c r="G857" s="515" t="s">
        <v>4536</v>
      </c>
      <c r="H857" s="514"/>
      <c r="I857" s="515"/>
      <c r="J857" s="515">
        <v>1</v>
      </c>
    </row>
    <row r="858" spans="1:10" ht="13.8" thickBot="1">
      <c r="A858" s="517"/>
      <c r="B858" s="518" t="s">
        <v>13804</v>
      </c>
      <c r="C858" s="533"/>
      <c r="D858" s="514" t="s">
        <v>13803</v>
      </c>
      <c r="E858" s="515">
        <v>6</v>
      </c>
      <c r="F858" s="518" t="s">
        <v>614</v>
      </c>
      <c r="G858" s="515" t="s">
        <v>2152</v>
      </c>
      <c r="H858" s="514"/>
      <c r="I858" s="515">
        <v>1</v>
      </c>
      <c r="J858" s="515">
        <v>10</v>
      </c>
    </row>
    <row r="859" spans="1:10" ht="13.8" thickBot="1">
      <c r="A859" s="517"/>
      <c r="B859" s="518" t="s">
        <v>13802</v>
      </c>
      <c r="C859" s="533"/>
      <c r="D859" s="514" t="s">
        <v>13801</v>
      </c>
      <c r="E859" s="515">
        <v>6</v>
      </c>
      <c r="F859" s="518" t="s">
        <v>614</v>
      </c>
      <c r="G859" s="515" t="s">
        <v>2152</v>
      </c>
      <c r="H859" s="514"/>
      <c r="I859" s="515">
        <v>1</v>
      </c>
      <c r="J859" s="515">
        <v>4</v>
      </c>
    </row>
    <row r="860" spans="1:10" ht="13.8" thickBot="1">
      <c r="A860" s="517"/>
      <c r="B860" s="518" t="s">
        <v>13800</v>
      </c>
      <c r="C860" s="533"/>
      <c r="D860" s="514" t="s">
        <v>13799</v>
      </c>
      <c r="E860" s="515">
        <v>6</v>
      </c>
      <c r="F860" s="518" t="s">
        <v>13798</v>
      </c>
      <c r="G860" s="515" t="s">
        <v>2152</v>
      </c>
      <c r="H860" s="514"/>
      <c r="I860" s="515"/>
      <c r="J860" s="515">
        <v>3</v>
      </c>
    </row>
    <row r="861" spans="1:10" ht="13.8" thickBot="1">
      <c r="A861" s="517"/>
      <c r="B861" s="518" t="s">
        <v>13797</v>
      </c>
      <c r="C861" s="533"/>
      <c r="D861" s="514" t="s">
        <v>13796</v>
      </c>
      <c r="E861" s="515">
        <v>6</v>
      </c>
      <c r="F861" s="518" t="s">
        <v>614</v>
      </c>
      <c r="G861" s="515" t="s">
        <v>2152</v>
      </c>
      <c r="H861" s="514"/>
      <c r="I861" s="515"/>
      <c r="J861" s="515">
        <v>1</v>
      </c>
    </row>
    <row r="862" spans="1:10" ht="13.8" thickBot="1">
      <c r="A862" s="517"/>
      <c r="B862" s="518" t="s">
        <v>12229</v>
      </c>
      <c r="C862" s="533"/>
      <c r="D862" s="514" t="s">
        <v>12228</v>
      </c>
      <c r="E862" s="515">
        <v>6</v>
      </c>
      <c r="F862" s="518" t="s">
        <v>2223</v>
      </c>
      <c r="G862" s="515" t="s">
        <v>4644</v>
      </c>
      <c r="H862" s="514"/>
      <c r="I862" s="515"/>
      <c r="J862" s="515"/>
    </row>
    <row r="863" spans="1:10" ht="13.8" thickBot="1">
      <c r="A863" s="517"/>
      <c r="B863" s="518" t="s">
        <v>12205</v>
      </c>
      <c r="C863" s="533"/>
      <c r="D863" s="514" t="s">
        <v>12204</v>
      </c>
      <c r="E863" s="515">
        <v>6</v>
      </c>
      <c r="F863" s="518" t="s">
        <v>1854</v>
      </c>
      <c r="G863" s="515" t="s">
        <v>4717</v>
      </c>
      <c r="H863" s="514"/>
      <c r="I863" s="515"/>
      <c r="J863" s="515">
        <v>1</v>
      </c>
    </row>
    <row r="864" spans="1:10" ht="13.8" thickBot="1">
      <c r="A864" s="517"/>
      <c r="B864" s="518" t="s">
        <v>13164</v>
      </c>
      <c r="C864" s="533"/>
      <c r="D864" s="514" t="s">
        <v>1365</v>
      </c>
      <c r="E864" s="515">
        <v>5.75</v>
      </c>
      <c r="F864" s="518" t="s">
        <v>614</v>
      </c>
      <c r="G864" s="515" t="s">
        <v>2943</v>
      </c>
      <c r="H864" s="514" t="s">
        <v>1251</v>
      </c>
      <c r="I864" s="515">
        <v>1</v>
      </c>
      <c r="J864" s="515">
        <v>6</v>
      </c>
    </row>
    <row r="865" spans="1:10" ht="13.8" thickBot="1">
      <c r="A865" s="517"/>
      <c r="B865" s="518" t="s">
        <v>13085</v>
      </c>
      <c r="C865" s="533"/>
      <c r="D865" s="514" t="s">
        <v>13084</v>
      </c>
      <c r="E865" s="515">
        <v>5.75</v>
      </c>
      <c r="F865" s="518" t="s">
        <v>614</v>
      </c>
      <c r="G865" s="515" t="s">
        <v>2957</v>
      </c>
      <c r="H865" s="514" t="s">
        <v>1251</v>
      </c>
      <c r="I865" s="515"/>
      <c r="J865" s="515">
        <v>3</v>
      </c>
    </row>
    <row r="866" spans="1:10" ht="13.8" thickBot="1">
      <c r="A866" s="517"/>
      <c r="B866" s="518" t="s">
        <v>12681</v>
      </c>
      <c r="C866" s="533"/>
      <c r="D866" s="514" t="s">
        <v>1466</v>
      </c>
      <c r="E866" s="515">
        <v>5.75</v>
      </c>
      <c r="F866" s="518" t="s">
        <v>1854</v>
      </c>
      <c r="G866" s="515" t="s">
        <v>3652</v>
      </c>
      <c r="H866" s="514" t="s">
        <v>1251</v>
      </c>
      <c r="I866" s="515"/>
      <c r="J866" s="515">
        <v>2</v>
      </c>
    </row>
    <row r="867" spans="1:10" ht="13.8" thickBot="1">
      <c r="A867" s="517"/>
      <c r="B867" s="518" t="s">
        <v>13402</v>
      </c>
      <c r="C867" s="533"/>
      <c r="D867" s="514" t="s">
        <v>13401</v>
      </c>
      <c r="E867" s="515">
        <v>5.75</v>
      </c>
      <c r="F867" s="518" t="s">
        <v>614</v>
      </c>
      <c r="G867" s="515" t="s">
        <v>2523</v>
      </c>
      <c r="H867" s="514" t="s">
        <v>1841</v>
      </c>
      <c r="I867" s="515">
        <v>1</v>
      </c>
      <c r="J867" s="515">
        <v>12</v>
      </c>
    </row>
    <row r="868" spans="1:10" ht="13.8" thickBot="1">
      <c r="A868" s="517"/>
      <c r="B868" s="518" t="s">
        <v>13083</v>
      </c>
      <c r="C868" s="533"/>
      <c r="D868" s="514" t="s">
        <v>13082</v>
      </c>
      <c r="E868" s="515">
        <v>5.75</v>
      </c>
      <c r="F868" s="518" t="s">
        <v>614</v>
      </c>
      <c r="G868" s="515" t="s">
        <v>2957</v>
      </c>
      <c r="H868" s="514" t="s">
        <v>1841</v>
      </c>
      <c r="I868" s="522">
        <v>3</v>
      </c>
      <c r="J868" s="522">
        <v>8</v>
      </c>
    </row>
    <row r="869" spans="1:10" ht="13.8" thickBot="1">
      <c r="A869" s="517"/>
      <c r="B869" s="518" t="s">
        <v>12042</v>
      </c>
      <c r="C869" s="533"/>
      <c r="D869" s="514" t="s">
        <v>12041</v>
      </c>
      <c r="E869" s="515">
        <v>5.75</v>
      </c>
      <c r="F869" s="518" t="s">
        <v>614</v>
      </c>
      <c r="G869" s="515" t="s">
        <v>5031</v>
      </c>
      <c r="H869" s="514" t="s">
        <v>1226</v>
      </c>
      <c r="I869" s="515">
        <v>1</v>
      </c>
      <c r="J869" s="515">
        <v>10</v>
      </c>
    </row>
    <row r="870" spans="1:10" ht="13.8" thickBot="1">
      <c r="A870" s="517"/>
      <c r="B870" s="518" t="s">
        <v>11955</v>
      </c>
      <c r="C870" s="533"/>
      <c r="D870" s="514" t="s">
        <v>11954</v>
      </c>
      <c r="E870" s="515">
        <v>5.75</v>
      </c>
      <c r="F870" s="518" t="s">
        <v>614</v>
      </c>
      <c r="G870" s="515" t="s">
        <v>5196</v>
      </c>
      <c r="H870" s="514" t="s">
        <v>1226</v>
      </c>
      <c r="I870" s="522"/>
      <c r="J870" s="522">
        <v>12</v>
      </c>
    </row>
    <row r="871" spans="1:10" ht="13.8" thickBot="1">
      <c r="A871" s="517"/>
      <c r="B871" s="518" t="s">
        <v>13400</v>
      </c>
      <c r="C871" s="533"/>
      <c r="D871" s="514" t="s">
        <v>1300</v>
      </c>
      <c r="E871" s="515">
        <v>5.75</v>
      </c>
      <c r="F871" s="514"/>
      <c r="G871" s="515" t="s">
        <v>2523</v>
      </c>
      <c r="H871" s="514" t="s">
        <v>1226</v>
      </c>
      <c r="I871" s="515"/>
      <c r="J871" s="515">
        <v>13</v>
      </c>
    </row>
    <row r="872" spans="1:10" ht="13.8" thickBot="1">
      <c r="A872" s="517"/>
      <c r="B872" s="518" t="s">
        <v>13399</v>
      </c>
      <c r="C872" s="533"/>
      <c r="D872" s="514" t="s">
        <v>13398</v>
      </c>
      <c r="E872" s="515">
        <v>5.75</v>
      </c>
      <c r="F872" s="518" t="s">
        <v>614</v>
      </c>
      <c r="G872" s="515" t="s">
        <v>2523</v>
      </c>
      <c r="H872" s="514" t="s">
        <v>1226</v>
      </c>
      <c r="I872" s="515"/>
      <c r="J872" s="515">
        <v>8</v>
      </c>
    </row>
    <row r="873" spans="1:10" ht="13.8" thickBot="1">
      <c r="A873" s="517"/>
      <c r="B873" s="518" t="s">
        <v>13397</v>
      </c>
      <c r="C873" s="533"/>
      <c r="D873" s="519" t="s">
        <v>13396</v>
      </c>
      <c r="E873" s="515">
        <v>5.75</v>
      </c>
      <c r="F873" s="518" t="s">
        <v>614</v>
      </c>
      <c r="G873" s="515" t="s">
        <v>2523</v>
      </c>
      <c r="H873" s="514" t="s">
        <v>1226</v>
      </c>
      <c r="I873" s="515"/>
      <c r="J873" s="515">
        <v>5</v>
      </c>
    </row>
    <row r="874" spans="1:10" ht="13.8" thickBot="1">
      <c r="A874" s="517"/>
      <c r="B874" s="518" t="s">
        <v>13395</v>
      </c>
      <c r="C874" s="533"/>
      <c r="D874" s="519" t="s">
        <v>13394</v>
      </c>
      <c r="E874" s="515">
        <v>5.75</v>
      </c>
      <c r="F874" s="518" t="s">
        <v>614</v>
      </c>
      <c r="G874" s="515" t="s">
        <v>2523</v>
      </c>
      <c r="H874" s="514" t="s">
        <v>1226</v>
      </c>
      <c r="I874" s="515">
        <v>1</v>
      </c>
      <c r="J874" s="515">
        <v>4</v>
      </c>
    </row>
    <row r="875" spans="1:10" ht="13.8" thickBot="1">
      <c r="A875" s="517"/>
      <c r="B875" s="518" t="s">
        <v>13393</v>
      </c>
      <c r="C875" s="533"/>
      <c r="D875" s="514" t="s">
        <v>13392</v>
      </c>
      <c r="E875" s="515">
        <v>5.75</v>
      </c>
      <c r="F875" s="518" t="s">
        <v>614</v>
      </c>
      <c r="G875" s="515" t="s">
        <v>2523</v>
      </c>
      <c r="H875" s="514" t="s">
        <v>1226</v>
      </c>
      <c r="I875" s="515"/>
      <c r="J875" s="515">
        <v>4</v>
      </c>
    </row>
    <row r="876" spans="1:10" ht="13.8" thickBot="1">
      <c r="A876" s="517"/>
      <c r="B876" s="518" t="s">
        <v>13391</v>
      </c>
      <c r="C876" s="533"/>
      <c r="D876" s="514" t="s">
        <v>2533</v>
      </c>
      <c r="E876" s="515">
        <v>5.75</v>
      </c>
      <c r="F876" s="518" t="s">
        <v>614</v>
      </c>
      <c r="G876" s="515" t="s">
        <v>2523</v>
      </c>
      <c r="H876" s="514" t="s">
        <v>1226</v>
      </c>
      <c r="I876" s="515">
        <v>1</v>
      </c>
      <c r="J876" s="515">
        <v>2</v>
      </c>
    </row>
    <row r="877" spans="1:10" ht="13.8" thickBot="1">
      <c r="A877" s="517"/>
      <c r="B877" s="518" t="s">
        <v>13081</v>
      </c>
      <c r="C877" s="533"/>
      <c r="D877" s="514" t="s">
        <v>13080</v>
      </c>
      <c r="E877" s="515">
        <v>5.75</v>
      </c>
      <c r="F877" s="518" t="s">
        <v>11671</v>
      </c>
      <c r="G877" s="515" t="s">
        <v>2957</v>
      </c>
      <c r="H877" s="514" t="s">
        <v>1226</v>
      </c>
      <c r="I877" s="515"/>
      <c r="J877" s="515">
        <v>4</v>
      </c>
    </row>
    <row r="878" spans="1:10" ht="13.8" thickBot="1">
      <c r="A878" s="517"/>
      <c r="B878" s="518" t="s">
        <v>13886</v>
      </c>
      <c r="C878" s="533"/>
      <c r="D878" s="514" t="s">
        <v>13885</v>
      </c>
      <c r="E878" s="515">
        <v>5.75</v>
      </c>
      <c r="F878" s="518" t="s">
        <v>614</v>
      </c>
      <c r="G878" s="515" t="s">
        <v>2032</v>
      </c>
      <c r="H878" s="514" t="s">
        <v>1226</v>
      </c>
      <c r="I878" s="515"/>
      <c r="J878" s="515">
        <v>5</v>
      </c>
    </row>
    <row r="879" spans="1:10" ht="13.8" thickBot="1">
      <c r="A879" s="517"/>
      <c r="B879" s="518" t="s">
        <v>12661</v>
      </c>
      <c r="C879" s="533"/>
      <c r="D879" s="514" t="s">
        <v>12660</v>
      </c>
      <c r="E879" s="515">
        <v>5.75</v>
      </c>
      <c r="F879" s="518" t="s">
        <v>614</v>
      </c>
      <c r="G879" s="515" t="s">
        <v>3724</v>
      </c>
      <c r="H879" s="514" t="s">
        <v>1226</v>
      </c>
      <c r="I879" s="515"/>
      <c r="J879" s="515">
        <v>12</v>
      </c>
    </row>
    <row r="880" spans="1:10" ht="13.8" thickBot="1">
      <c r="A880" s="517"/>
      <c r="B880" s="518" t="s">
        <v>12570</v>
      </c>
      <c r="C880" s="533"/>
      <c r="D880" s="514" t="s">
        <v>12569</v>
      </c>
      <c r="E880" s="515">
        <v>5.75</v>
      </c>
      <c r="F880" s="518" t="s">
        <v>614</v>
      </c>
      <c r="G880" s="515" t="s">
        <v>3807</v>
      </c>
      <c r="H880" s="514" t="s">
        <v>1226</v>
      </c>
      <c r="I880" s="515"/>
      <c r="J880" s="515">
        <v>4</v>
      </c>
    </row>
    <row r="881" spans="1:10" ht="13.8" thickBot="1">
      <c r="A881" s="517"/>
      <c r="B881" s="518" t="s">
        <v>12568</v>
      </c>
      <c r="C881" s="533"/>
      <c r="D881" s="514" t="s">
        <v>12567</v>
      </c>
      <c r="E881" s="515">
        <v>5.75</v>
      </c>
      <c r="F881" s="514"/>
      <c r="G881" s="515" t="s">
        <v>3807</v>
      </c>
      <c r="H881" s="514" t="s">
        <v>1226</v>
      </c>
      <c r="I881" s="515">
        <v>2</v>
      </c>
      <c r="J881" s="515">
        <v>3</v>
      </c>
    </row>
    <row r="882" spans="1:10" ht="13.8" thickBot="1">
      <c r="A882" s="517"/>
      <c r="B882" s="518" t="s">
        <v>13795</v>
      </c>
      <c r="C882" s="533"/>
      <c r="D882" s="514" t="s">
        <v>2188</v>
      </c>
      <c r="E882" s="515">
        <v>5.75</v>
      </c>
      <c r="F882" s="518" t="s">
        <v>614</v>
      </c>
      <c r="G882" s="515" t="s">
        <v>2152</v>
      </c>
      <c r="H882" s="514" t="s">
        <v>1226</v>
      </c>
      <c r="I882" s="515"/>
      <c r="J882" s="515">
        <v>2</v>
      </c>
    </row>
    <row r="883" spans="1:10" ht="13.8" thickBot="1">
      <c r="A883" s="517"/>
      <c r="B883" s="518" t="s">
        <v>12010</v>
      </c>
      <c r="C883" s="533"/>
      <c r="D883" s="514" t="s">
        <v>12009</v>
      </c>
      <c r="E883" s="515">
        <v>5.75</v>
      </c>
      <c r="F883" s="518" t="s">
        <v>614</v>
      </c>
      <c r="G883" s="515" t="s">
        <v>5109</v>
      </c>
      <c r="H883" s="514" t="s">
        <v>1224</v>
      </c>
      <c r="I883" s="515">
        <v>2</v>
      </c>
      <c r="J883" s="515">
        <v>8</v>
      </c>
    </row>
    <row r="884" spans="1:10" ht="13.8" thickBot="1">
      <c r="A884" s="517"/>
      <c r="B884" s="518" t="s">
        <v>12004</v>
      </c>
      <c r="C884" s="533"/>
      <c r="D884" s="514" t="s">
        <v>12003</v>
      </c>
      <c r="E884" s="515">
        <v>5.75</v>
      </c>
      <c r="F884" s="518" t="s">
        <v>614</v>
      </c>
      <c r="G884" s="515" t="s">
        <v>5125</v>
      </c>
      <c r="H884" s="514" t="s">
        <v>1224</v>
      </c>
      <c r="I884" s="515"/>
      <c r="J884" s="515">
        <v>1</v>
      </c>
    </row>
    <row r="885" spans="1:10" ht="13.8" thickBot="1">
      <c r="A885" s="517"/>
      <c r="B885" s="518" t="s">
        <v>13390</v>
      </c>
      <c r="C885" s="533"/>
      <c r="D885" s="514" t="s">
        <v>13389</v>
      </c>
      <c r="E885" s="515">
        <v>5.75</v>
      </c>
      <c r="F885" s="514"/>
      <c r="G885" s="515" t="s">
        <v>2523</v>
      </c>
      <c r="H885" s="514" t="s">
        <v>1224</v>
      </c>
      <c r="I885" s="515"/>
      <c r="J885" s="515">
        <v>5</v>
      </c>
    </row>
    <row r="886" spans="1:10" ht="13.8" thickBot="1">
      <c r="A886" s="517"/>
      <c r="B886" s="518" t="s">
        <v>13388</v>
      </c>
      <c r="C886" s="533"/>
      <c r="D886" s="514" t="s">
        <v>13387</v>
      </c>
      <c r="E886" s="515">
        <v>5.75</v>
      </c>
      <c r="F886" s="518" t="s">
        <v>614</v>
      </c>
      <c r="G886" s="515" t="s">
        <v>2523</v>
      </c>
      <c r="H886" s="514" t="s">
        <v>1224</v>
      </c>
      <c r="I886" s="515">
        <v>1</v>
      </c>
      <c r="J886" s="515">
        <v>2</v>
      </c>
    </row>
    <row r="887" spans="1:10" ht="13.8" thickBot="1">
      <c r="A887" s="517"/>
      <c r="B887" s="518" t="s">
        <v>13240</v>
      </c>
      <c r="C887" s="533"/>
      <c r="D887" s="514" t="s">
        <v>13239</v>
      </c>
      <c r="E887" s="515">
        <v>5.75</v>
      </c>
      <c r="F887" s="518" t="s">
        <v>1854</v>
      </c>
      <c r="G887" s="515" t="s">
        <v>2747</v>
      </c>
      <c r="H887" s="514" t="s">
        <v>1224</v>
      </c>
      <c r="I887" s="515">
        <v>1</v>
      </c>
      <c r="J887" s="515">
        <v>5</v>
      </c>
    </row>
    <row r="888" spans="1:10" ht="13.8" thickBot="1">
      <c r="A888" s="517"/>
      <c r="B888" s="518" t="s">
        <v>12566</v>
      </c>
      <c r="C888" s="533"/>
      <c r="D888" s="514" t="s">
        <v>1502</v>
      </c>
      <c r="E888" s="515">
        <v>5.75</v>
      </c>
      <c r="F888" s="514"/>
      <c r="G888" s="515" t="s">
        <v>3807</v>
      </c>
      <c r="H888" s="514" t="s">
        <v>1224</v>
      </c>
      <c r="I888" s="515"/>
      <c r="J888" s="515">
        <v>3</v>
      </c>
    </row>
    <row r="889" spans="1:10" ht="13.8" thickBot="1">
      <c r="A889" s="517"/>
      <c r="B889" s="518" t="s">
        <v>12073</v>
      </c>
      <c r="C889" s="533"/>
      <c r="D889" s="514" t="s">
        <v>12072</v>
      </c>
      <c r="E889" s="515">
        <v>5.75</v>
      </c>
      <c r="F889" s="518" t="s">
        <v>614</v>
      </c>
      <c r="G889" s="515" t="s">
        <v>5010</v>
      </c>
      <c r="H889" s="514" t="s">
        <v>1220</v>
      </c>
      <c r="I889" s="515"/>
      <c r="J889" s="515">
        <v>3</v>
      </c>
    </row>
    <row r="890" spans="1:10" ht="13.8" thickBot="1">
      <c r="A890" s="517"/>
      <c r="B890" s="518" t="s">
        <v>14178</v>
      </c>
      <c r="C890" s="533"/>
      <c r="D890" s="514" t="s">
        <v>14177</v>
      </c>
      <c r="E890" s="515">
        <v>5.75</v>
      </c>
      <c r="F890" s="518" t="s">
        <v>614</v>
      </c>
      <c r="G890" s="515" t="s">
        <v>1793</v>
      </c>
      <c r="H890" s="514"/>
      <c r="I890" s="515"/>
      <c r="J890" s="515">
        <v>2</v>
      </c>
    </row>
    <row r="891" spans="1:10" ht="13.8" thickBot="1">
      <c r="A891" s="517"/>
      <c r="B891" s="518" t="s">
        <v>12192</v>
      </c>
      <c r="C891" s="533"/>
      <c r="D891" s="514" t="s">
        <v>12191</v>
      </c>
      <c r="E891" s="515">
        <v>5.75</v>
      </c>
      <c r="F891" s="514"/>
      <c r="G891" s="515" t="s">
        <v>4789</v>
      </c>
      <c r="H891" s="514"/>
      <c r="I891" s="515"/>
      <c r="J891" s="515">
        <v>1</v>
      </c>
    </row>
    <row r="892" spans="1:10" ht="13.8" thickBot="1">
      <c r="A892" s="517"/>
      <c r="B892" s="518" t="s">
        <v>13386</v>
      </c>
      <c r="C892" s="533"/>
      <c r="D892" s="514" t="s">
        <v>13385</v>
      </c>
      <c r="E892" s="515">
        <v>5.75</v>
      </c>
      <c r="F892" s="518" t="s">
        <v>1854</v>
      </c>
      <c r="G892" s="515" t="s">
        <v>2523</v>
      </c>
      <c r="H892" s="514"/>
      <c r="I892" s="515">
        <v>1</v>
      </c>
      <c r="J892" s="515">
        <v>2</v>
      </c>
    </row>
    <row r="893" spans="1:10" ht="13.8" thickBot="1">
      <c r="A893" s="517"/>
      <c r="B893" s="518" t="s">
        <v>13185</v>
      </c>
      <c r="C893" s="533"/>
      <c r="D893" s="514" t="s">
        <v>13184</v>
      </c>
      <c r="E893" s="515">
        <v>5.75</v>
      </c>
      <c r="F893" s="518" t="s">
        <v>614</v>
      </c>
      <c r="G893" s="515" t="s">
        <v>2841</v>
      </c>
      <c r="H893" s="514"/>
      <c r="I893" s="515"/>
      <c r="J893" s="515">
        <v>2</v>
      </c>
    </row>
    <row r="894" spans="1:10" ht="13.8" thickBot="1">
      <c r="A894" s="517"/>
      <c r="B894" s="518" t="s">
        <v>12743</v>
      </c>
      <c r="C894" s="533"/>
      <c r="D894" s="514" t="s">
        <v>3579</v>
      </c>
      <c r="E894" s="515">
        <v>5.75</v>
      </c>
      <c r="F894" s="518" t="s">
        <v>1854</v>
      </c>
      <c r="G894" s="515" t="s">
        <v>3517</v>
      </c>
      <c r="H894" s="514"/>
      <c r="I894" s="515"/>
      <c r="J894" s="515">
        <v>1</v>
      </c>
    </row>
    <row r="895" spans="1:10" ht="13.8" thickBot="1">
      <c r="A895" s="517"/>
      <c r="B895" s="518" t="s">
        <v>12318</v>
      </c>
      <c r="C895" s="533"/>
      <c r="D895" s="514" t="s">
        <v>12317</v>
      </c>
      <c r="E895" s="515">
        <v>5.75</v>
      </c>
      <c r="F895" s="518" t="s">
        <v>1854</v>
      </c>
      <c r="G895" s="515" t="s">
        <v>4214</v>
      </c>
      <c r="H895" s="514"/>
      <c r="I895" s="515">
        <v>1</v>
      </c>
      <c r="J895" s="515">
        <v>2</v>
      </c>
    </row>
    <row r="896" spans="1:10" ht="13.8" thickBot="1">
      <c r="A896" s="517"/>
      <c r="B896" s="518" t="s">
        <v>12629</v>
      </c>
      <c r="C896" s="533"/>
      <c r="D896" s="514" t="s">
        <v>1488</v>
      </c>
      <c r="E896" s="515">
        <v>5.5</v>
      </c>
      <c r="F896" s="518" t="s">
        <v>614</v>
      </c>
      <c r="G896" s="515" t="s">
        <v>3734</v>
      </c>
      <c r="H896" s="514" t="s">
        <v>1251</v>
      </c>
      <c r="I896" s="515"/>
      <c r="J896" s="515">
        <v>1</v>
      </c>
    </row>
    <row r="897" spans="1:10" ht="13.8" thickBot="1">
      <c r="A897" s="517"/>
      <c r="B897" s="518" t="s">
        <v>12316</v>
      </c>
      <c r="C897" s="533"/>
      <c r="D897" s="514" t="s">
        <v>4220</v>
      </c>
      <c r="E897" s="515">
        <v>5.5</v>
      </c>
      <c r="F897" s="518" t="s">
        <v>614</v>
      </c>
      <c r="G897" s="515" t="s">
        <v>4214</v>
      </c>
      <c r="H897" s="514" t="s">
        <v>1251</v>
      </c>
      <c r="I897" s="515">
        <v>1</v>
      </c>
      <c r="J897" s="515">
        <v>2</v>
      </c>
    </row>
    <row r="898" spans="1:10" ht="13.8" thickBot="1">
      <c r="A898" s="517"/>
      <c r="B898" s="518" t="s">
        <v>13794</v>
      </c>
      <c r="C898" s="533"/>
      <c r="D898" s="514" t="s">
        <v>13793</v>
      </c>
      <c r="E898" s="515">
        <v>5.5</v>
      </c>
      <c r="F898" s="518" t="s">
        <v>614</v>
      </c>
      <c r="G898" s="515" t="s">
        <v>2152</v>
      </c>
      <c r="H898" s="514" t="s">
        <v>1251</v>
      </c>
      <c r="I898" s="515">
        <v>1</v>
      </c>
      <c r="J898" s="515">
        <v>7</v>
      </c>
    </row>
    <row r="899" spans="1:10" ht="13.8" thickBot="1">
      <c r="A899" s="517"/>
      <c r="B899" s="518" t="s">
        <v>13792</v>
      </c>
      <c r="C899" s="533"/>
      <c r="D899" s="514" t="s">
        <v>2153</v>
      </c>
      <c r="E899" s="515">
        <v>5.5</v>
      </c>
      <c r="F899" s="518" t="s">
        <v>614</v>
      </c>
      <c r="G899" s="515" t="s">
        <v>2152</v>
      </c>
      <c r="H899" s="514" t="s">
        <v>1251</v>
      </c>
      <c r="I899" s="515"/>
      <c r="J899" s="515">
        <v>5</v>
      </c>
    </row>
    <row r="900" spans="1:10" ht="13.8" thickBot="1">
      <c r="A900" s="517"/>
      <c r="B900" s="518" t="s">
        <v>13884</v>
      </c>
      <c r="C900" s="533"/>
      <c r="D900" s="514" t="s">
        <v>13883</v>
      </c>
      <c r="E900" s="515">
        <v>5.5</v>
      </c>
      <c r="F900" s="518" t="s">
        <v>614</v>
      </c>
      <c r="G900" s="515" t="s">
        <v>2032</v>
      </c>
      <c r="H900" s="514" t="s">
        <v>1841</v>
      </c>
      <c r="I900" s="522">
        <v>1</v>
      </c>
      <c r="J900" s="522">
        <v>8</v>
      </c>
    </row>
    <row r="901" spans="1:10" ht="13.8" thickBot="1">
      <c r="A901" s="517"/>
      <c r="B901" s="518" t="s">
        <v>13882</v>
      </c>
      <c r="C901" s="533"/>
      <c r="D901" s="514" t="s">
        <v>13881</v>
      </c>
      <c r="E901" s="515">
        <v>5.5</v>
      </c>
      <c r="F901" s="518" t="s">
        <v>614</v>
      </c>
      <c r="G901" s="515" t="s">
        <v>2032</v>
      </c>
      <c r="H901" s="514" t="s">
        <v>1841</v>
      </c>
      <c r="I901" s="515"/>
      <c r="J901" s="515">
        <v>4</v>
      </c>
    </row>
    <row r="902" spans="1:10" ht="13.8" thickBot="1">
      <c r="A902" s="517"/>
      <c r="B902" s="518" t="s">
        <v>14176</v>
      </c>
      <c r="C902" s="533"/>
      <c r="D902" s="514" t="s">
        <v>14175</v>
      </c>
      <c r="E902" s="515">
        <v>5.5</v>
      </c>
      <c r="F902" s="518" t="s">
        <v>614</v>
      </c>
      <c r="G902" s="515" t="s">
        <v>1793</v>
      </c>
      <c r="H902" s="514" t="s">
        <v>1226</v>
      </c>
      <c r="I902" s="515">
        <v>1</v>
      </c>
      <c r="J902" s="515">
        <v>12</v>
      </c>
    </row>
    <row r="903" spans="1:10" ht="13.8" thickBot="1">
      <c r="A903" s="517"/>
      <c r="B903" s="518" t="s">
        <v>14174</v>
      </c>
      <c r="C903" s="533"/>
      <c r="D903" s="514" t="s">
        <v>14101</v>
      </c>
      <c r="E903" s="515">
        <v>5.5</v>
      </c>
      <c r="F903" s="518" t="s">
        <v>614</v>
      </c>
      <c r="G903" s="515" t="s">
        <v>1793</v>
      </c>
      <c r="H903" s="514" t="s">
        <v>1226</v>
      </c>
      <c r="I903" s="515"/>
      <c r="J903" s="515">
        <v>9</v>
      </c>
    </row>
    <row r="904" spans="1:10" ht="13.8" thickBot="1">
      <c r="A904" s="517"/>
      <c r="B904" s="518" t="s">
        <v>14173</v>
      </c>
      <c r="C904" s="533"/>
      <c r="D904" s="514" t="s">
        <v>14172</v>
      </c>
      <c r="E904" s="515">
        <v>5.5</v>
      </c>
      <c r="F904" s="518" t="s">
        <v>614</v>
      </c>
      <c r="G904" s="515" t="s">
        <v>1793</v>
      </c>
      <c r="H904" s="514" t="s">
        <v>1226</v>
      </c>
      <c r="I904" s="515"/>
      <c r="J904" s="515">
        <v>4</v>
      </c>
    </row>
    <row r="905" spans="1:10" ht="13.8" thickBot="1">
      <c r="A905" s="517"/>
      <c r="B905" s="518" t="s">
        <v>14171</v>
      </c>
      <c r="C905" s="533"/>
      <c r="D905" s="514" t="s">
        <v>14170</v>
      </c>
      <c r="E905" s="515">
        <v>5.5</v>
      </c>
      <c r="F905" s="518" t="s">
        <v>614</v>
      </c>
      <c r="G905" s="515" t="s">
        <v>1793</v>
      </c>
      <c r="H905" s="514" t="s">
        <v>1226</v>
      </c>
      <c r="I905" s="522">
        <v>1</v>
      </c>
      <c r="J905" s="522">
        <v>3</v>
      </c>
    </row>
    <row r="906" spans="1:10" ht="13.8" thickBot="1">
      <c r="A906" s="517"/>
      <c r="B906" s="518" t="s">
        <v>14169</v>
      </c>
      <c r="C906" s="533"/>
      <c r="D906" s="514" t="s">
        <v>1852</v>
      </c>
      <c r="E906" s="515">
        <v>5.5</v>
      </c>
      <c r="F906" s="518" t="s">
        <v>1854</v>
      </c>
      <c r="G906" s="515" t="s">
        <v>1793</v>
      </c>
      <c r="H906" s="514" t="s">
        <v>1226</v>
      </c>
      <c r="I906" s="515"/>
      <c r="J906" s="515">
        <v>2</v>
      </c>
    </row>
    <row r="907" spans="1:10" ht="13.8" thickBot="1">
      <c r="A907" s="517"/>
      <c r="B907" s="518" t="s">
        <v>14168</v>
      </c>
      <c r="C907" s="533"/>
      <c r="D907" s="514" t="s">
        <v>1902</v>
      </c>
      <c r="E907" s="515">
        <v>5.5</v>
      </c>
      <c r="F907" s="518" t="s">
        <v>614</v>
      </c>
      <c r="G907" s="515" t="s">
        <v>1793</v>
      </c>
      <c r="H907" s="514" t="s">
        <v>1226</v>
      </c>
      <c r="I907" s="515"/>
      <c r="J907" s="515">
        <v>1</v>
      </c>
    </row>
    <row r="908" spans="1:10" ht="13.8" thickBot="1">
      <c r="A908" s="517"/>
      <c r="B908" s="518" t="s">
        <v>13759</v>
      </c>
      <c r="C908" s="533"/>
      <c r="D908" s="519" t="s">
        <v>13758</v>
      </c>
      <c r="E908" s="515">
        <v>5.5</v>
      </c>
      <c r="F908" s="518" t="s">
        <v>614</v>
      </c>
      <c r="G908" s="515" t="s">
        <v>2216</v>
      </c>
      <c r="H908" s="514" t="s">
        <v>1226</v>
      </c>
      <c r="I908" s="522"/>
      <c r="J908" s="522">
        <v>12</v>
      </c>
    </row>
    <row r="909" spans="1:10" ht="13.8" thickBot="1">
      <c r="A909" s="517"/>
      <c r="B909" s="518" t="s">
        <v>13757</v>
      </c>
      <c r="C909" s="533"/>
      <c r="D909" s="514" t="s">
        <v>13756</v>
      </c>
      <c r="E909" s="515">
        <v>5.5</v>
      </c>
      <c r="F909" s="518" t="s">
        <v>151</v>
      </c>
      <c r="G909" s="515" t="s">
        <v>2242</v>
      </c>
      <c r="H909" s="514" t="s">
        <v>1226</v>
      </c>
      <c r="I909" s="515"/>
      <c r="J909" s="515">
        <v>8</v>
      </c>
    </row>
    <row r="910" spans="1:10" ht="13.8" thickBot="1">
      <c r="A910" s="517"/>
      <c r="B910" s="518" t="s">
        <v>13755</v>
      </c>
      <c r="C910" s="533"/>
      <c r="D910" s="519" t="s">
        <v>2246</v>
      </c>
      <c r="E910" s="515">
        <v>5.5</v>
      </c>
      <c r="F910" s="518" t="s">
        <v>1854</v>
      </c>
      <c r="G910" s="515" t="s">
        <v>2242</v>
      </c>
      <c r="H910" s="514" t="s">
        <v>1226</v>
      </c>
      <c r="I910" s="515"/>
      <c r="J910" s="515">
        <v>6</v>
      </c>
    </row>
    <row r="911" spans="1:10" ht="13.8" thickBot="1">
      <c r="A911" s="517"/>
      <c r="B911" s="518" t="s">
        <v>12071</v>
      </c>
      <c r="C911" s="533"/>
      <c r="D911" s="514" t="s">
        <v>12070</v>
      </c>
      <c r="E911" s="515">
        <v>5.5</v>
      </c>
      <c r="F911" s="518" t="s">
        <v>614</v>
      </c>
      <c r="G911" s="515" t="s">
        <v>5010</v>
      </c>
      <c r="H911" s="514" t="s">
        <v>1226</v>
      </c>
      <c r="I911" s="515"/>
      <c r="J911" s="515">
        <v>2</v>
      </c>
    </row>
    <row r="912" spans="1:10" ht="13.8" thickBot="1">
      <c r="A912" s="517"/>
      <c r="B912" s="518" t="s">
        <v>12069</v>
      </c>
      <c r="C912" s="533"/>
      <c r="D912" s="514" t="s">
        <v>12068</v>
      </c>
      <c r="E912" s="515">
        <v>5.5</v>
      </c>
      <c r="F912" s="518" t="s">
        <v>614</v>
      </c>
      <c r="G912" s="515" t="s">
        <v>5010</v>
      </c>
      <c r="H912" s="514" t="s">
        <v>1226</v>
      </c>
      <c r="I912" s="515"/>
      <c r="J912" s="515">
        <v>1</v>
      </c>
    </row>
    <row r="913" spans="1:10" ht="13.8" thickBot="1">
      <c r="A913" s="517"/>
      <c r="B913" s="518" t="s">
        <v>11953</v>
      </c>
      <c r="C913" s="533"/>
      <c r="D913" s="514" t="s">
        <v>11952</v>
      </c>
      <c r="E913" s="515">
        <v>5.5</v>
      </c>
      <c r="F913" s="518" t="s">
        <v>614</v>
      </c>
      <c r="G913" s="515" t="s">
        <v>5196</v>
      </c>
      <c r="H913" s="514" t="s">
        <v>1226</v>
      </c>
      <c r="I913" s="515"/>
      <c r="J913" s="515">
        <v>3</v>
      </c>
    </row>
    <row r="914" spans="1:10" ht="13.8" thickBot="1">
      <c r="A914" s="517"/>
      <c r="B914" s="518" t="s">
        <v>13643</v>
      </c>
      <c r="C914" s="533"/>
      <c r="D914" s="514" t="s">
        <v>13642</v>
      </c>
      <c r="E914" s="515">
        <v>5.5</v>
      </c>
      <c r="F914" s="518" t="s">
        <v>614</v>
      </c>
      <c r="G914" s="515" t="s">
        <v>2289</v>
      </c>
      <c r="H914" s="514" t="s">
        <v>1226</v>
      </c>
      <c r="I914" s="515"/>
      <c r="J914" s="515">
        <v>7</v>
      </c>
    </row>
    <row r="915" spans="1:10" ht="13.8" thickBot="1">
      <c r="A915" s="517"/>
      <c r="B915" s="518" t="s">
        <v>13641</v>
      </c>
      <c r="C915" s="533"/>
      <c r="D915" s="514" t="s">
        <v>13640</v>
      </c>
      <c r="E915" s="515">
        <v>5.5</v>
      </c>
      <c r="F915" s="518" t="s">
        <v>614</v>
      </c>
      <c r="G915" s="515" t="s">
        <v>2289</v>
      </c>
      <c r="H915" s="514" t="s">
        <v>1226</v>
      </c>
      <c r="I915" s="515"/>
      <c r="J915" s="515">
        <v>1</v>
      </c>
    </row>
    <row r="916" spans="1:10" ht="13.8" thickBot="1">
      <c r="A916" s="517"/>
      <c r="B916" s="518" t="s">
        <v>13639</v>
      </c>
      <c r="C916" s="533"/>
      <c r="D916" s="514" t="s">
        <v>1726</v>
      </c>
      <c r="E916" s="515">
        <v>5.5</v>
      </c>
      <c r="F916" s="518" t="s">
        <v>614</v>
      </c>
      <c r="G916" s="515" t="s">
        <v>2289</v>
      </c>
      <c r="H916" s="514" t="s">
        <v>1226</v>
      </c>
      <c r="I916" s="515"/>
      <c r="J916" s="515">
        <v>1</v>
      </c>
    </row>
    <row r="917" spans="1:10" ht="13.8" thickBot="1">
      <c r="A917" s="517"/>
      <c r="B917" s="518" t="s">
        <v>11886</v>
      </c>
      <c r="C917" s="533"/>
      <c r="D917" s="514" t="s">
        <v>5272</v>
      </c>
      <c r="E917" s="515">
        <v>5.5</v>
      </c>
      <c r="F917" s="514"/>
      <c r="G917" s="515" t="s">
        <v>5269</v>
      </c>
      <c r="H917" s="514" t="s">
        <v>1226</v>
      </c>
      <c r="I917" s="515"/>
      <c r="J917" s="515">
        <v>3</v>
      </c>
    </row>
    <row r="918" spans="1:10" ht="13.8" thickBot="1">
      <c r="A918" s="517"/>
      <c r="B918" s="518" t="s">
        <v>11885</v>
      </c>
      <c r="C918" s="533"/>
      <c r="D918" s="514" t="s">
        <v>5272</v>
      </c>
      <c r="E918" s="515">
        <v>5.5</v>
      </c>
      <c r="F918" s="518" t="s">
        <v>614</v>
      </c>
      <c r="G918" s="515" t="s">
        <v>5269</v>
      </c>
      <c r="H918" s="514" t="s">
        <v>1226</v>
      </c>
      <c r="I918" s="515"/>
      <c r="J918" s="515">
        <v>2</v>
      </c>
    </row>
    <row r="919" spans="1:10" ht="13.8" thickBot="1">
      <c r="A919" s="517"/>
      <c r="B919" s="518" t="s">
        <v>13384</v>
      </c>
      <c r="C919" s="533"/>
      <c r="D919" s="514" t="s">
        <v>1300</v>
      </c>
      <c r="E919" s="515">
        <v>5.5</v>
      </c>
      <c r="F919" s="518" t="s">
        <v>1854</v>
      </c>
      <c r="G919" s="515" t="s">
        <v>2523</v>
      </c>
      <c r="H919" s="514" t="s">
        <v>1226</v>
      </c>
      <c r="I919" s="515"/>
      <c r="J919" s="515">
        <v>3</v>
      </c>
    </row>
    <row r="920" spans="1:10" ht="13.8" thickBot="1">
      <c r="A920" s="517"/>
      <c r="B920" s="518" t="s">
        <v>13383</v>
      </c>
      <c r="C920" s="533"/>
      <c r="D920" s="514" t="s">
        <v>13382</v>
      </c>
      <c r="E920" s="515">
        <v>5.5</v>
      </c>
      <c r="F920" s="518" t="s">
        <v>614</v>
      </c>
      <c r="G920" s="515" t="s">
        <v>2523</v>
      </c>
      <c r="H920" s="514" t="s">
        <v>1226</v>
      </c>
      <c r="I920" s="515"/>
      <c r="J920" s="515">
        <v>3</v>
      </c>
    </row>
    <row r="921" spans="1:10" ht="13.8" thickBot="1">
      <c r="A921" s="517"/>
      <c r="B921" s="518" t="s">
        <v>13381</v>
      </c>
      <c r="C921" s="533"/>
      <c r="D921" s="514" t="s">
        <v>1304</v>
      </c>
      <c r="E921" s="515">
        <v>5.5</v>
      </c>
      <c r="F921" s="514"/>
      <c r="G921" s="515" t="s">
        <v>2523</v>
      </c>
      <c r="H921" s="514" t="s">
        <v>1226</v>
      </c>
      <c r="I921" s="515"/>
      <c r="J921" s="515">
        <v>3</v>
      </c>
    </row>
    <row r="922" spans="1:10" ht="13.8" thickBot="1">
      <c r="A922" s="517"/>
      <c r="B922" s="518" t="s">
        <v>13380</v>
      </c>
      <c r="C922" s="533"/>
      <c r="D922" s="514" t="s">
        <v>13379</v>
      </c>
      <c r="E922" s="515">
        <v>5.5</v>
      </c>
      <c r="F922" s="518" t="s">
        <v>614</v>
      </c>
      <c r="G922" s="515" t="s">
        <v>2523</v>
      </c>
      <c r="H922" s="514" t="s">
        <v>1226</v>
      </c>
      <c r="I922" s="515"/>
      <c r="J922" s="515">
        <v>2</v>
      </c>
    </row>
    <row r="923" spans="1:10" ht="13.8" thickBot="1">
      <c r="A923" s="517"/>
      <c r="B923" s="518" t="s">
        <v>13378</v>
      </c>
      <c r="C923" s="533"/>
      <c r="D923" s="514" t="s">
        <v>1300</v>
      </c>
      <c r="E923" s="515">
        <v>5.5</v>
      </c>
      <c r="F923" s="518" t="s">
        <v>614</v>
      </c>
      <c r="G923" s="515" t="s">
        <v>2523</v>
      </c>
      <c r="H923" s="514" t="s">
        <v>1226</v>
      </c>
      <c r="I923" s="515"/>
      <c r="J923" s="515">
        <v>2</v>
      </c>
    </row>
    <row r="924" spans="1:10" ht="13.8" thickBot="1">
      <c r="A924" s="517"/>
      <c r="B924" s="518" t="s">
        <v>13377</v>
      </c>
      <c r="C924" s="533"/>
      <c r="D924" s="514" t="s">
        <v>13376</v>
      </c>
      <c r="E924" s="515">
        <v>5.5</v>
      </c>
      <c r="F924" s="518" t="s">
        <v>614</v>
      </c>
      <c r="G924" s="515" t="s">
        <v>2523</v>
      </c>
      <c r="H924" s="514" t="s">
        <v>1226</v>
      </c>
      <c r="I924" s="515"/>
      <c r="J924" s="515">
        <v>1</v>
      </c>
    </row>
    <row r="925" spans="1:10" ht="13.8" thickBot="1">
      <c r="A925" s="517"/>
      <c r="B925" s="518" t="s">
        <v>13375</v>
      </c>
      <c r="C925" s="533"/>
      <c r="D925" s="514" t="s">
        <v>13374</v>
      </c>
      <c r="E925" s="515">
        <v>5.5</v>
      </c>
      <c r="F925" s="518" t="s">
        <v>614</v>
      </c>
      <c r="G925" s="515" t="s">
        <v>2523</v>
      </c>
      <c r="H925" s="514" t="s">
        <v>1226</v>
      </c>
      <c r="I925" s="515"/>
      <c r="J925" s="515">
        <v>1</v>
      </c>
    </row>
    <row r="926" spans="1:10" ht="13.8" thickBot="1">
      <c r="A926" s="517"/>
      <c r="B926" s="518" t="s">
        <v>13373</v>
      </c>
      <c r="C926" s="533"/>
      <c r="D926" s="514" t="s">
        <v>2656</v>
      </c>
      <c r="E926" s="515">
        <v>5.5</v>
      </c>
      <c r="F926" s="518" t="s">
        <v>614</v>
      </c>
      <c r="G926" s="515" t="s">
        <v>2523</v>
      </c>
      <c r="H926" s="514" t="s">
        <v>1226</v>
      </c>
      <c r="I926" s="515"/>
      <c r="J926" s="515">
        <v>1</v>
      </c>
    </row>
    <row r="927" spans="1:10" ht="13.8" thickBot="1">
      <c r="A927" s="517"/>
      <c r="B927" s="518" t="s">
        <v>13207</v>
      </c>
      <c r="C927" s="533"/>
      <c r="D927" s="514" t="s">
        <v>2837</v>
      </c>
      <c r="E927" s="515">
        <v>5.5</v>
      </c>
      <c r="F927" s="518" t="s">
        <v>614</v>
      </c>
      <c r="G927" s="515" t="s">
        <v>2797</v>
      </c>
      <c r="H927" s="514" t="s">
        <v>1226</v>
      </c>
      <c r="I927" s="515"/>
      <c r="J927" s="515">
        <v>2</v>
      </c>
    </row>
    <row r="928" spans="1:10" ht="13.8" thickBot="1">
      <c r="A928" s="517"/>
      <c r="B928" s="518" t="s">
        <v>13941</v>
      </c>
      <c r="C928" s="533"/>
      <c r="D928" s="514" t="s">
        <v>1752</v>
      </c>
      <c r="E928" s="515">
        <v>5.5</v>
      </c>
      <c r="F928" s="518" t="s">
        <v>614</v>
      </c>
      <c r="G928" s="515" t="s">
        <v>1997</v>
      </c>
      <c r="H928" s="514" t="s">
        <v>1226</v>
      </c>
      <c r="I928" s="515"/>
      <c r="J928" s="515">
        <v>2</v>
      </c>
    </row>
    <row r="929" spans="1:10" ht="13.8" thickBot="1">
      <c r="A929" s="517"/>
      <c r="B929" s="518" t="s">
        <v>13079</v>
      </c>
      <c r="C929" s="533"/>
      <c r="D929" s="514" t="s">
        <v>1554</v>
      </c>
      <c r="E929" s="515">
        <v>5.5</v>
      </c>
      <c r="F929" s="518" t="s">
        <v>614</v>
      </c>
      <c r="G929" s="515" t="s">
        <v>2957</v>
      </c>
      <c r="H929" s="514" t="s">
        <v>1226</v>
      </c>
      <c r="I929" s="515"/>
      <c r="J929" s="515">
        <v>5</v>
      </c>
    </row>
    <row r="930" spans="1:10" ht="13.8" thickBot="1">
      <c r="A930" s="517"/>
      <c r="B930" s="518" t="s">
        <v>13078</v>
      </c>
      <c r="C930" s="533"/>
      <c r="D930" s="519" t="s">
        <v>13077</v>
      </c>
      <c r="E930" s="515">
        <v>5.5</v>
      </c>
      <c r="F930" s="518" t="s">
        <v>614</v>
      </c>
      <c r="G930" s="515" t="s">
        <v>2957</v>
      </c>
      <c r="H930" s="514" t="s">
        <v>1226</v>
      </c>
      <c r="I930" s="515"/>
      <c r="J930" s="515">
        <v>3</v>
      </c>
    </row>
    <row r="931" spans="1:10" ht="13.8" thickBot="1">
      <c r="A931" s="517"/>
      <c r="B931" s="518" t="s">
        <v>13076</v>
      </c>
      <c r="C931" s="533"/>
      <c r="D931" s="514" t="s">
        <v>1552</v>
      </c>
      <c r="E931" s="515">
        <v>5.5</v>
      </c>
      <c r="F931" s="518" t="s">
        <v>614</v>
      </c>
      <c r="G931" s="515" t="s">
        <v>2957</v>
      </c>
      <c r="H931" s="514" t="s">
        <v>1226</v>
      </c>
      <c r="I931" s="522"/>
      <c r="J931" s="522">
        <v>3</v>
      </c>
    </row>
    <row r="932" spans="1:10" ht="13.8" thickBot="1">
      <c r="A932" s="517"/>
      <c r="B932" s="518" t="s">
        <v>13880</v>
      </c>
      <c r="C932" s="533"/>
      <c r="D932" s="514" t="s">
        <v>13879</v>
      </c>
      <c r="E932" s="515">
        <v>5.5</v>
      </c>
      <c r="F932" s="518" t="s">
        <v>614</v>
      </c>
      <c r="G932" s="515" t="s">
        <v>2032</v>
      </c>
      <c r="H932" s="514" t="s">
        <v>1226</v>
      </c>
      <c r="I932" s="515"/>
      <c r="J932" s="515">
        <v>14</v>
      </c>
    </row>
    <row r="933" spans="1:10" ht="13.8" thickBot="1">
      <c r="A933" s="517"/>
      <c r="B933" s="518" t="s">
        <v>13878</v>
      </c>
      <c r="C933" s="533"/>
      <c r="D933" s="514" t="s">
        <v>2044</v>
      </c>
      <c r="E933" s="515">
        <v>5.5</v>
      </c>
      <c r="F933" s="518" t="s">
        <v>614</v>
      </c>
      <c r="G933" s="515" t="s">
        <v>2032</v>
      </c>
      <c r="H933" s="514" t="s">
        <v>1226</v>
      </c>
      <c r="I933" s="515"/>
      <c r="J933" s="515">
        <v>3</v>
      </c>
    </row>
    <row r="934" spans="1:10" ht="13.8" thickBot="1">
      <c r="A934" s="517"/>
      <c r="B934" s="518" t="s">
        <v>12843</v>
      </c>
      <c r="C934" s="533"/>
      <c r="D934" s="514" t="s">
        <v>12842</v>
      </c>
      <c r="E934" s="515">
        <v>5.5</v>
      </c>
      <c r="F934" s="518" t="s">
        <v>614</v>
      </c>
      <c r="G934" s="515" t="s">
        <v>3452</v>
      </c>
      <c r="H934" s="514" t="s">
        <v>1226</v>
      </c>
      <c r="I934" s="515"/>
      <c r="J934" s="515">
        <v>2</v>
      </c>
    </row>
    <row r="935" spans="1:10" ht="13.8" thickBot="1">
      <c r="A935" s="517"/>
      <c r="B935" s="518" t="s">
        <v>12742</v>
      </c>
      <c r="C935" s="533"/>
      <c r="D935" s="519" t="s">
        <v>12741</v>
      </c>
      <c r="E935" s="515">
        <v>5.5</v>
      </c>
      <c r="F935" s="518" t="s">
        <v>614</v>
      </c>
      <c r="G935" s="515" t="s">
        <v>3517</v>
      </c>
      <c r="H935" s="514" t="s">
        <v>1226</v>
      </c>
      <c r="I935" s="515"/>
      <c r="J935" s="515">
        <v>6</v>
      </c>
    </row>
    <row r="936" spans="1:10" ht="13.8" thickBot="1">
      <c r="A936" s="517"/>
      <c r="B936" s="518" t="s">
        <v>12482</v>
      </c>
      <c r="C936" s="533"/>
      <c r="D936" s="514" t="s">
        <v>12481</v>
      </c>
      <c r="E936" s="515">
        <v>5.5</v>
      </c>
      <c r="F936" s="514"/>
      <c r="G936" s="515" t="s">
        <v>3932</v>
      </c>
      <c r="H936" s="514" t="s">
        <v>1226</v>
      </c>
      <c r="I936" s="515">
        <v>1</v>
      </c>
      <c r="J936" s="515">
        <v>1</v>
      </c>
    </row>
    <row r="937" spans="1:10" ht="13.8" thickBot="1">
      <c r="A937" s="517"/>
      <c r="B937" s="518" t="s">
        <v>12315</v>
      </c>
      <c r="C937" s="533"/>
      <c r="D937" s="514" t="s">
        <v>4216</v>
      </c>
      <c r="E937" s="515">
        <v>5.5</v>
      </c>
      <c r="F937" s="518" t="s">
        <v>614</v>
      </c>
      <c r="G937" s="515" t="s">
        <v>4214</v>
      </c>
      <c r="H937" s="514" t="s">
        <v>1226</v>
      </c>
      <c r="I937" s="515"/>
      <c r="J937" s="515">
        <v>3</v>
      </c>
    </row>
    <row r="938" spans="1:10" ht="13.8" thickBot="1">
      <c r="A938" s="517"/>
      <c r="B938" s="518" t="s">
        <v>12274</v>
      </c>
      <c r="C938" s="533"/>
      <c r="D938" s="514" t="s">
        <v>12273</v>
      </c>
      <c r="E938" s="515">
        <v>5.5</v>
      </c>
      <c r="F938" s="518" t="s">
        <v>614</v>
      </c>
      <c r="G938" s="515" t="s">
        <v>4364</v>
      </c>
      <c r="H938" s="514" t="s">
        <v>1226</v>
      </c>
      <c r="I938" s="515"/>
      <c r="J938" s="515">
        <v>3</v>
      </c>
    </row>
    <row r="939" spans="1:10" ht="13.8" thickBot="1">
      <c r="A939" s="517"/>
      <c r="B939" s="518" t="s">
        <v>13791</v>
      </c>
      <c r="C939" s="533"/>
      <c r="D939" s="514" t="s">
        <v>13790</v>
      </c>
      <c r="E939" s="515">
        <v>5.5</v>
      </c>
      <c r="F939" s="518" t="s">
        <v>614</v>
      </c>
      <c r="G939" s="515" t="s">
        <v>2152</v>
      </c>
      <c r="H939" s="514" t="s">
        <v>1226</v>
      </c>
      <c r="I939" s="515">
        <v>1</v>
      </c>
      <c r="J939" s="515">
        <v>6</v>
      </c>
    </row>
    <row r="940" spans="1:10" ht="13.8" thickBot="1">
      <c r="A940" s="517"/>
      <c r="B940" s="518" t="s">
        <v>13789</v>
      </c>
      <c r="C940" s="533"/>
      <c r="D940" s="514" t="s">
        <v>13788</v>
      </c>
      <c r="E940" s="515">
        <v>5.5</v>
      </c>
      <c r="F940" s="518" t="s">
        <v>614</v>
      </c>
      <c r="G940" s="515" t="s">
        <v>2152</v>
      </c>
      <c r="H940" s="514" t="s">
        <v>1226</v>
      </c>
      <c r="I940" s="515"/>
      <c r="J940" s="515">
        <v>1</v>
      </c>
    </row>
    <row r="941" spans="1:10" ht="13.8" thickBot="1">
      <c r="A941" s="517"/>
      <c r="B941" s="518" t="s">
        <v>12190</v>
      </c>
      <c r="C941" s="533"/>
      <c r="D941" s="514" t="s">
        <v>12189</v>
      </c>
      <c r="E941" s="515">
        <v>5.5</v>
      </c>
      <c r="F941" s="518" t="s">
        <v>614</v>
      </c>
      <c r="G941" s="515" t="s">
        <v>4789</v>
      </c>
      <c r="H941" s="514" t="s">
        <v>1224</v>
      </c>
      <c r="I941" s="515"/>
      <c r="J941" s="515">
        <v>9</v>
      </c>
    </row>
    <row r="942" spans="1:10" ht="13.8" thickBot="1">
      <c r="A942" s="517"/>
      <c r="B942" s="518" t="s">
        <v>12168</v>
      </c>
      <c r="C942" s="533"/>
      <c r="D942" s="514" t="s">
        <v>12167</v>
      </c>
      <c r="E942" s="515">
        <v>5.5</v>
      </c>
      <c r="F942" s="518" t="s">
        <v>614</v>
      </c>
      <c r="G942" s="515" t="s">
        <v>4905</v>
      </c>
      <c r="H942" s="514" t="s">
        <v>1224</v>
      </c>
      <c r="I942" s="515">
        <v>1</v>
      </c>
      <c r="J942" s="515">
        <v>7</v>
      </c>
    </row>
    <row r="943" spans="1:10" ht="13.8" thickBot="1">
      <c r="A943" s="517"/>
      <c r="B943" s="518" t="s">
        <v>12154</v>
      </c>
      <c r="C943" s="533"/>
      <c r="D943" s="514" t="s">
        <v>4966</v>
      </c>
      <c r="E943" s="515">
        <v>5.5</v>
      </c>
      <c r="F943" s="518" t="s">
        <v>614</v>
      </c>
      <c r="G943" s="515" t="s">
        <v>4963</v>
      </c>
      <c r="H943" s="514" t="s">
        <v>1224</v>
      </c>
      <c r="I943" s="515"/>
      <c r="J943" s="515">
        <v>1</v>
      </c>
    </row>
    <row r="944" spans="1:10" ht="13.8" thickBot="1">
      <c r="A944" s="517"/>
      <c r="B944" s="518" t="s">
        <v>12067</v>
      </c>
      <c r="C944" s="533"/>
      <c r="D944" s="514" t="s">
        <v>5017</v>
      </c>
      <c r="E944" s="515">
        <v>5.5</v>
      </c>
      <c r="F944" s="518" t="s">
        <v>1854</v>
      </c>
      <c r="G944" s="515" t="s">
        <v>5010</v>
      </c>
      <c r="H944" s="514" t="s">
        <v>1224</v>
      </c>
      <c r="I944" s="515"/>
      <c r="J944" s="515">
        <v>13</v>
      </c>
    </row>
    <row r="945" spans="1:10" ht="13.8" thickBot="1">
      <c r="A945" s="517"/>
      <c r="B945" s="518" t="s">
        <v>12066</v>
      </c>
      <c r="C945" s="533"/>
      <c r="D945" s="514" t="s">
        <v>1767</v>
      </c>
      <c r="E945" s="515">
        <v>5.5</v>
      </c>
      <c r="F945" s="518" t="s">
        <v>614</v>
      </c>
      <c r="G945" s="515" t="s">
        <v>5010</v>
      </c>
      <c r="H945" s="514" t="s">
        <v>1224</v>
      </c>
      <c r="I945" s="515"/>
      <c r="J945" s="515">
        <v>1</v>
      </c>
    </row>
    <row r="946" spans="1:10" ht="13.8" thickBot="1">
      <c r="A946" s="517"/>
      <c r="B946" s="518" t="s">
        <v>12040</v>
      </c>
      <c r="C946" s="533"/>
      <c r="D946" s="514" t="s">
        <v>12039</v>
      </c>
      <c r="E946" s="515">
        <v>5.5</v>
      </c>
      <c r="F946" s="518" t="s">
        <v>1854</v>
      </c>
      <c r="G946" s="515" t="s">
        <v>5031</v>
      </c>
      <c r="H946" s="514" t="s">
        <v>1224</v>
      </c>
      <c r="I946" s="515"/>
      <c r="J946" s="515">
        <v>1</v>
      </c>
    </row>
    <row r="947" spans="1:10" ht="13.8" thickBot="1">
      <c r="A947" s="517"/>
      <c r="B947" s="518" t="s">
        <v>12028</v>
      </c>
      <c r="C947" s="533"/>
      <c r="D947" s="514" t="s">
        <v>12027</v>
      </c>
      <c r="E947" s="515">
        <v>5.5</v>
      </c>
      <c r="F947" s="518" t="s">
        <v>614</v>
      </c>
      <c r="G947" s="515" t="s">
        <v>5059</v>
      </c>
      <c r="H947" s="514" t="s">
        <v>1224</v>
      </c>
      <c r="I947" s="515"/>
      <c r="J947" s="515">
        <v>5</v>
      </c>
    </row>
    <row r="948" spans="1:10" ht="13.8" thickBot="1">
      <c r="A948" s="517"/>
      <c r="B948" s="518" t="s">
        <v>12026</v>
      </c>
      <c r="C948" s="533"/>
      <c r="D948" s="514" t="s">
        <v>5062</v>
      </c>
      <c r="E948" s="515">
        <v>5.5</v>
      </c>
      <c r="F948" s="518" t="s">
        <v>614</v>
      </c>
      <c r="G948" s="515" t="s">
        <v>5059</v>
      </c>
      <c r="H948" s="514" t="s">
        <v>1224</v>
      </c>
      <c r="I948" s="515"/>
      <c r="J948" s="515">
        <v>1</v>
      </c>
    </row>
    <row r="949" spans="1:10" ht="13.8" thickBot="1">
      <c r="A949" s="517"/>
      <c r="B949" s="518" t="s">
        <v>12025</v>
      </c>
      <c r="C949" s="533"/>
      <c r="D949" s="514" t="s">
        <v>5062</v>
      </c>
      <c r="E949" s="515">
        <v>5.5</v>
      </c>
      <c r="F949" s="518" t="s">
        <v>1854</v>
      </c>
      <c r="G949" s="515" t="s">
        <v>5059</v>
      </c>
      <c r="H949" s="514" t="s">
        <v>1224</v>
      </c>
      <c r="I949" s="515"/>
      <c r="J949" s="515">
        <v>1</v>
      </c>
    </row>
    <row r="950" spans="1:10" ht="13.8" thickBot="1">
      <c r="A950" s="517"/>
      <c r="B950" s="518" t="s">
        <v>13638</v>
      </c>
      <c r="C950" s="533"/>
      <c r="D950" s="514" t="s">
        <v>2308</v>
      </c>
      <c r="E950" s="515">
        <v>5.5</v>
      </c>
      <c r="F950" s="514"/>
      <c r="G950" s="515" t="s">
        <v>2289</v>
      </c>
      <c r="H950" s="514" t="s">
        <v>1224</v>
      </c>
      <c r="I950" s="515"/>
      <c r="J950" s="515">
        <v>6</v>
      </c>
    </row>
    <row r="951" spans="1:10" ht="13.8" thickBot="1">
      <c r="A951" s="517"/>
      <c r="B951" s="518" t="s">
        <v>13637</v>
      </c>
      <c r="C951" s="533"/>
      <c r="D951" s="514" t="s">
        <v>13636</v>
      </c>
      <c r="E951" s="515">
        <v>5.5</v>
      </c>
      <c r="F951" s="518" t="s">
        <v>1854</v>
      </c>
      <c r="G951" s="515" t="s">
        <v>2289</v>
      </c>
      <c r="H951" s="514" t="s">
        <v>1224</v>
      </c>
      <c r="I951" s="515"/>
      <c r="J951" s="515">
        <v>4</v>
      </c>
    </row>
    <row r="952" spans="1:10" ht="13.8" thickBot="1">
      <c r="A952" s="517"/>
      <c r="B952" s="518" t="s">
        <v>13372</v>
      </c>
      <c r="C952" s="533"/>
      <c r="D952" s="514" t="s">
        <v>13371</v>
      </c>
      <c r="E952" s="515">
        <v>5.5</v>
      </c>
      <c r="F952" s="518" t="s">
        <v>614</v>
      </c>
      <c r="G952" s="515" t="s">
        <v>2523</v>
      </c>
      <c r="H952" s="514" t="s">
        <v>1224</v>
      </c>
      <c r="I952" s="515"/>
      <c r="J952" s="515">
        <v>2</v>
      </c>
    </row>
    <row r="953" spans="1:10" ht="13.8" thickBot="1">
      <c r="A953" s="517"/>
      <c r="B953" s="518" t="s">
        <v>13370</v>
      </c>
      <c r="C953" s="533"/>
      <c r="D953" s="514" t="s">
        <v>13369</v>
      </c>
      <c r="E953" s="515">
        <v>5.5</v>
      </c>
      <c r="F953" s="518" t="s">
        <v>614</v>
      </c>
      <c r="G953" s="515" t="s">
        <v>2523</v>
      </c>
      <c r="H953" s="514" t="s">
        <v>1224</v>
      </c>
      <c r="I953" s="515"/>
      <c r="J953" s="515">
        <v>2</v>
      </c>
    </row>
    <row r="954" spans="1:10" ht="13.8" thickBot="1">
      <c r="A954" s="517"/>
      <c r="B954" s="518" t="s">
        <v>13368</v>
      </c>
      <c r="C954" s="533"/>
      <c r="D954" s="514" t="s">
        <v>13367</v>
      </c>
      <c r="E954" s="515">
        <v>5.5</v>
      </c>
      <c r="F954" s="518" t="s">
        <v>614</v>
      </c>
      <c r="G954" s="515" t="s">
        <v>2523</v>
      </c>
      <c r="H954" s="514" t="s">
        <v>1224</v>
      </c>
      <c r="I954" s="515"/>
      <c r="J954" s="515">
        <v>1</v>
      </c>
    </row>
    <row r="955" spans="1:10" ht="13.8" thickBot="1">
      <c r="A955" s="517"/>
      <c r="B955" s="518" t="s">
        <v>13075</v>
      </c>
      <c r="C955" s="533"/>
      <c r="D955" s="514" t="s">
        <v>1576</v>
      </c>
      <c r="E955" s="515">
        <v>5.5</v>
      </c>
      <c r="F955" s="514"/>
      <c r="G955" s="515" t="s">
        <v>2957</v>
      </c>
      <c r="H955" s="514" t="s">
        <v>1224</v>
      </c>
      <c r="I955" s="515"/>
      <c r="J955" s="515">
        <v>5</v>
      </c>
    </row>
    <row r="956" spans="1:10" ht="13.8" thickBot="1">
      <c r="A956" s="517"/>
      <c r="B956" s="518" t="s">
        <v>13074</v>
      </c>
      <c r="C956" s="533"/>
      <c r="D956" s="514" t="s">
        <v>1571</v>
      </c>
      <c r="E956" s="515">
        <v>5.5</v>
      </c>
      <c r="F956" s="518" t="s">
        <v>614</v>
      </c>
      <c r="G956" s="515" t="s">
        <v>2957</v>
      </c>
      <c r="H956" s="514" t="s">
        <v>1224</v>
      </c>
      <c r="I956" s="522"/>
      <c r="J956" s="522">
        <v>4</v>
      </c>
    </row>
    <row r="957" spans="1:10" ht="13.8" thickBot="1">
      <c r="A957" s="517"/>
      <c r="B957" s="518" t="s">
        <v>13073</v>
      </c>
      <c r="C957" s="533"/>
      <c r="D957" s="514" t="s">
        <v>13072</v>
      </c>
      <c r="E957" s="515">
        <v>5.5</v>
      </c>
      <c r="F957" s="518" t="s">
        <v>614</v>
      </c>
      <c r="G957" s="515" t="s">
        <v>2957</v>
      </c>
      <c r="H957" s="514" t="s">
        <v>1224</v>
      </c>
      <c r="I957" s="515"/>
      <c r="J957" s="515">
        <v>3</v>
      </c>
    </row>
    <row r="958" spans="1:10" ht="13.8" thickBot="1">
      <c r="A958" s="517"/>
      <c r="B958" s="518" t="s">
        <v>13071</v>
      </c>
      <c r="C958" s="533"/>
      <c r="D958" s="514" t="s">
        <v>13070</v>
      </c>
      <c r="E958" s="515">
        <v>5.5</v>
      </c>
      <c r="F958" s="518" t="s">
        <v>614</v>
      </c>
      <c r="G958" s="515" t="s">
        <v>2957</v>
      </c>
      <c r="H958" s="514" t="s">
        <v>1224</v>
      </c>
      <c r="I958" s="515"/>
      <c r="J958" s="515">
        <v>3</v>
      </c>
    </row>
    <row r="959" spans="1:10" ht="13.8" thickBot="1">
      <c r="A959" s="517"/>
      <c r="B959" s="518" t="s">
        <v>13069</v>
      </c>
      <c r="C959" s="533"/>
      <c r="D959" s="514" t="s">
        <v>13068</v>
      </c>
      <c r="E959" s="515">
        <v>5.5</v>
      </c>
      <c r="F959" s="514"/>
      <c r="G959" s="515" t="s">
        <v>2957</v>
      </c>
      <c r="H959" s="514" t="s">
        <v>1224</v>
      </c>
      <c r="I959" s="515"/>
      <c r="J959" s="515">
        <v>3</v>
      </c>
    </row>
    <row r="960" spans="1:10" ht="13.8" thickBot="1">
      <c r="A960" s="517"/>
      <c r="B960" s="518" t="s">
        <v>13067</v>
      </c>
      <c r="C960" s="533"/>
      <c r="D960" s="514" t="s">
        <v>13066</v>
      </c>
      <c r="E960" s="515">
        <v>5.5</v>
      </c>
      <c r="F960" s="518" t="s">
        <v>614</v>
      </c>
      <c r="G960" s="515" t="s">
        <v>2957</v>
      </c>
      <c r="H960" s="514" t="s">
        <v>1224</v>
      </c>
      <c r="I960" s="515">
        <v>1</v>
      </c>
      <c r="J960" s="515">
        <v>2</v>
      </c>
    </row>
    <row r="961" spans="1:10" ht="13.8" thickBot="1">
      <c r="A961" s="517"/>
      <c r="B961" s="518" t="s">
        <v>13065</v>
      </c>
      <c r="C961" s="533"/>
      <c r="D961" s="514" t="s">
        <v>13064</v>
      </c>
      <c r="E961" s="515">
        <v>5.5</v>
      </c>
      <c r="F961" s="518" t="s">
        <v>614</v>
      </c>
      <c r="G961" s="515" t="s">
        <v>2957</v>
      </c>
      <c r="H961" s="514" t="s">
        <v>1224</v>
      </c>
      <c r="I961" s="515"/>
      <c r="J961" s="515">
        <v>2</v>
      </c>
    </row>
    <row r="962" spans="1:10" ht="13.8" thickBot="1">
      <c r="A962" s="517"/>
      <c r="B962" s="518" t="s">
        <v>13063</v>
      </c>
      <c r="C962" s="533"/>
      <c r="D962" s="514" t="s">
        <v>13062</v>
      </c>
      <c r="E962" s="515">
        <v>5.5</v>
      </c>
      <c r="F962" s="518" t="s">
        <v>614</v>
      </c>
      <c r="G962" s="515" t="s">
        <v>2957</v>
      </c>
      <c r="H962" s="514" t="s">
        <v>1224</v>
      </c>
      <c r="I962" s="515"/>
      <c r="J962" s="515">
        <v>1</v>
      </c>
    </row>
    <row r="963" spans="1:10" ht="13.8" thickBot="1">
      <c r="A963" s="517"/>
      <c r="B963" s="518" t="s">
        <v>13061</v>
      </c>
      <c r="C963" s="533"/>
      <c r="D963" s="514" t="s">
        <v>1552</v>
      </c>
      <c r="E963" s="515">
        <v>5.5</v>
      </c>
      <c r="F963" s="514"/>
      <c r="G963" s="515" t="s">
        <v>2957</v>
      </c>
      <c r="H963" s="514" t="s">
        <v>1224</v>
      </c>
      <c r="I963" s="515"/>
      <c r="J963" s="515">
        <v>1</v>
      </c>
    </row>
    <row r="964" spans="1:10" ht="13.8" thickBot="1">
      <c r="A964" s="517"/>
      <c r="B964" s="518" t="s">
        <v>13877</v>
      </c>
      <c r="C964" s="533"/>
      <c r="D964" s="514" t="s">
        <v>13876</v>
      </c>
      <c r="E964" s="515">
        <v>5.5</v>
      </c>
      <c r="F964" s="518" t="s">
        <v>2419</v>
      </c>
      <c r="G964" s="515" t="s">
        <v>2032</v>
      </c>
      <c r="H964" s="514" t="s">
        <v>1224</v>
      </c>
      <c r="I964" s="515"/>
      <c r="J964" s="515">
        <v>2</v>
      </c>
    </row>
    <row r="965" spans="1:10" ht="13.8" thickBot="1">
      <c r="A965" s="517"/>
      <c r="B965" s="518" t="s">
        <v>13875</v>
      </c>
      <c r="C965" s="533"/>
      <c r="D965" s="514" t="s">
        <v>1287</v>
      </c>
      <c r="E965" s="515">
        <v>5.5</v>
      </c>
      <c r="F965" s="518" t="s">
        <v>614</v>
      </c>
      <c r="G965" s="515" t="s">
        <v>2032</v>
      </c>
      <c r="H965" s="514" t="s">
        <v>1224</v>
      </c>
      <c r="I965" s="515"/>
      <c r="J965" s="515">
        <v>1</v>
      </c>
    </row>
    <row r="966" spans="1:10" ht="13.8" thickBot="1">
      <c r="A966" s="517"/>
      <c r="B966" s="518" t="s">
        <v>12841</v>
      </c>
      <c r="C966" s="533"/>
      <c r="D966" s="514" t="s">
        <v>3451</v>
      </c>
      <c r="E966" s="515">
        <v>5.5</v>
      </c>
      <c r="F966" s="514"/>
      <c r="G966" s="515" t="s">
        <v>3452</v>
      </c>
      <c r="H966" s="514" t="s">
        <v>1224</v>
      </c>
      <c r="I966" s="515"/>
      <c r="J966" s="515">
        <v>1</v>
      </c>
    </row>
    <row r="967" spans="1:10" ht="13.8" thickBot="1">
      <c r="A967" s="517"/>
      <c r="B967" s="518" t="s">
        <v>12740</v>
      </c>
      <c r="C967" s="533"/>
      <c r="D967" s="514" t="s">
        <v>3621</v>
      </c>
      <c r="E967" s="515">
        <v>5.5</v>
      </c>
      <c r="F967" s="514"/>
      <c r="G967" s="515" t="s">
        <v>3517</v>
      </c>
      <c r="H967" s="514" t="s">
        <v>1224</v>
      </c>
      <c r="I967" s="515"/>
      <c r="J967" s="515">
        <v>1</v>
      </c>
    </row>
    <row r="968" spans="1:10" ht="13.8" thickBot="1">
      <c r="A968" s="517"/>
      <c r="B968" s="518" t="s">
        <v>12565</v>
      </c>
      <c r="C968" s="533"/>
      <c r="D968" s="514" t="s">
        <v>12564</v>
      </c>
      <c r="E968" s="515">
        <v>5.5</v>
      </c>
      <c r="F968" s="518" t="s">
        <v>614</v>
      </c>
      <c r="G968" s="515" t="s">
        <v>3807</v>
      </c>
      <c r="H968" s="514" t="s">
        <v>1224</v>
      </c>
      <c r="I968" s="515"/>
      <c r="J968" s="515">
        <v>3</v>
      </c>
    </row>
    <row r="969" spans="1:10" ht="13.8" thickBot="1">
      <c r="A969" s="517"/>
      <c r="B969" s="518" t="s">
        <v>12510</v>
      </c>
      <c r="C969" s="533"/>
      <c r="D969" s="514" t="s">
        <v>12509</v>
      </c>
      <c r="E969" s="515">
        <v>5.5</v>
      </c>
      <c r="F969" s="518" t="s">
        <v>151</v>
      </c>
      <c r="G969" s="515" t="s">
        <v>3856</v>
      </c>
      <c r="H969" s="514" t="s">
        <v>1224</v>
      </c>
      <c r="I969" s="515"/>
      <c r="J969" s="515">
        <v>4</v>
      </c>
    </row>
    <row r="970" spans="1:10" ht="13.8" thickBot="1">
      <c r="A970" s="517"/>
      <c r="B970" s="518" t="s">
        <v>12464</v>
      </c>
      <c r="C970" s="533"/>
      <c r="D970" s="514" t="s">
        <v>4025</v>
      </c>
      <c r="E970" s="515">
        <v>5.5</v>
      </c>
      <c r="F970" s="518" t="s">
        <v>614</v>
      </c>
      <c r="G970" s="515" t="s">
        <v>3996</v>
      </c>
      <c r="H970" s="514" t="s">
        <v>1224</v>
      </c>
      <c r="I970" s="515"/>
      <c r="J970" s="515">
        <v>4</v>
      </c>
    </row>
    <row r="971" spans="1:10" ht="13.8" thickBot="1">
      <c r="A971" s="517"/>
      <c r="B971" s="518" t="s">
        <v>12412</v>
      </c>
      <c r="C971" s="533"/>
      <c r="D971" s="514" t="s">
        <v>1544</v>
      </c>
      <c r="E971" s="515">
        <v>5.5</v>
      </c>
      <c r="F971" s="518" t="s">
        <v>614</v>
      </c>
      <c r="G971" s="515" t="s">
        <v>4102</v>
      </c>
      <c r="H971" s="514" t="s">
        <v>1224</v>
      </c>
      <c r="I971" s="515"/>
      <c r="J971" s="515">
        <v>4</v>
      </c>
    </row>
    <row r="972" spans="1:10" ht="13.8" thickBot="1">
      <c r="A972" s="517"/>
      <c r="B972" s="518" t="s">
        <v>12258</v>
      </c>
      <c r="C972" s="533"/>
      <c r="D972" s="514" t="s">
        <v>1638</v>
      </c>
      <c r="E972" s="515">
        <v>5.5</v>
      </c>
      <c r="F972" s="518" t="s">
        <v>614</v>
      </c>
      <c r="G972" s="515" t="s">
        <v>4438</v>
      </c>
      <c r="H972" s="514" t="s">
        <v>1224</v>
      </c>
      <c r="I972" s="515"/>
      <c r="J972" s="515">
        <v>3</v>
      </c>
    </row>
    <row r="973" spans="1:10" ht="13.8" thickBot="1">
      <c r="A973" s="517"/>
      <c r="B973" s="518" t="s">
        <v>12240</v>
      </c>
      <c r="C973" s="533"/>
      <c r="D973" s="514" t="s">
        <v>12239</v>
      </c>
      <c r="E973" s="515">
        <v>5.5</v>
      </c>
      <c r="F973" s="514"/>
      <c r="G973" s="515" t="s">
        <v>4536</v>
      </c>
      <c r="H973" s="514" t="s">
        <v>1224</v>
      </c>
      <c r="I973" s="515"/>
      <c r="J973" s="515">
        <v>2</v>
      </c>
    </row>
    <row r="974" spans="1:10" ht="13.8" thickBot="1">
      <c r="A974" s="517"/>
      <c r="B974" s="518" t="s">
        <v>13787</v>
      </c>
      <c r="C974" s="533"/>
      <c r="D974" s="514" t="s">
        <v>13786</v>
      </c>
      <c r="E974" s="515">
        <v>5.5</v>
      </c>
      <c r="F974" s="518" t="s">
        <v>614</v>
      </c>
      <c r="G974" s="515" t="s">
        <v>2152</v>
      </c>
      <c r="H974" s="514" t="s">
        <v>1224</v>
      </c>
      <c r="I974" s="515"/>
      <c r="J974" s="515">
        <v>3</v>
      </c>
    </row>
    <row r="975" spans="1:10" ht="13.8" thickBot="1">
      <c r="A975" s="517"/>
      <c r="B975" s="518" t="s">
        <v>12223</v>
      </c>
      <c r="C975" s="533"/>
      <c r="D975" s="514" t="s">
        <v>12222</v>
      </c>
      <c r="E975" s="515">
        <v>5.5</v>
      </c>
      <c r="F975" s="514"/>
      <c r="G975" s="515" t="s">
        <v>4672</v>
      </c>
      <c r="H975" s="514" t="s">
        <v>1224</v>
      </c>
      <c r="I975" s="515"/>
      <c r="J975" s="515">
        <v>1</v>
      </c>
    </row>
    <row r="976" spans="1:10" ht="13.8" thickBot="1">
      <c r="A976" s="517"/>
      <c r="B976" s="518" t="s">
        <v>14167</v>
      </c>
      <c r="C976" s="533"/>
      <c r="D976" s="514" t="s">
        <v>1792</v>
      </c>
      <c r="E976" s="515">
        <v>5.5</v>
      </c>
      <c r="F976" s="514"/>
      <c r="G976" s="515" t="s">
        <v>1793</v>
      </c>
      <c r="H976" s="514" t="s">
        <v>1220</v>
      </c>
      <c r="I976" s="515"/>
      <c r="J976" s="515">
        <v>2</v>
      </c>
    </row>
    <row r="977" spans="1:10" ht="13.8" thickBot="1">
      <c r="A977" s="517"/>
      <c r="B977" s="518" t="s">
        <v>12127</v>
      </c>
      <c r="C977" s="533"/>
      <c r="D977" s="514" t="s">
        <v>1593</v>
      </c>
      <c r="E977" s="515">
        <v>5.5</v>
      </c>
      <c r="F977" s="518" t="s">
        <v>614</v>
      </c>
      <c r="G977" s="515" t="s">
        <v>4970</v>
      </c>
      <c r="H977" s="514" t="s">
        <v>1220</v>
      </c>
      <c r="I977" s="515"/>
      <c r="J977" s="515">
        <v>3</v>
      </c>
    </row>
    <row r="978" spans="1:10" ht="13.8" thickBot="1">
      <c r="A978" s="517"/>
      <c r="B978" s="518" t="s">
        <v>11827</v>
      </c>
      <c r="C978" s="533"/>
      <c r="D978" s="514" t="s">
        <v>11826</v>
      </c>
      <c r="E978" s="515">
        <v>5.5</v>
      </c>
      <c r="F978" s="518" t="s">
        <v>614</v>
      </c>
      <c r="G978" s="515" t="s">
        <v>5319</v>
      </c>
      <c r="H978" s="514" t="s">
        <v>1220</v>
      </c>
      <c r="I978" s="515"/>
      <c r="J978" s="515">
        <v>2</v>
      </c>
    </row>
    <row r="979" spans="1:10" ht="13.8" thickBot="1">
      <c r="A979" s="517"/>
      <c r="B979" s="518" t="s">
        <v>14166</v>
      </c>
      <c r="C979" s="533"/>
      <c r="D979" s="514" t="s">
        <v>14165</v>
      </c>
      <c r="E979" s="515">
        <v>5.5</v>
      </c>
      <c r="F979" s="518" t="s">
        <v>614</v>
      </c>
      <c r="G979" s="515" t="s">
        <v>1793</v>
      </c>
      <c r="H979" s="514"/>
      <c r="I979" s="515"/>
      <c r="J979" s="515">
        <v>4</v>
      </c>
    </row>
    <row r="980" spans="1:10" ht="13.8" thickBot="1">
      <c r="A980" s="517"/>
      <c r="B980" s="518" t="s">
        <v>14164</v>
      </c>
      <c r="C980" s="533"/>
      <c r="D980" s="514" t="s">
        <v>14163</v>
      </c>
      <c r="E980" s="515">
        <v>5.5</v>
      </c>
      <c r="F980" s="518" t="s">
        <v>614</v>
      </c>
      <c r="G980" s="515" t="s">
        <v>1793</v>
      </c>
      <c r="H980" s="514"/>
      <c r="I980" s="515"/>
      <c r="J980" s="515">
        <v>1</v>
      </c>
    </row>
    <row r="981" spans="1:10" ht="13.8" thickBot="1">
      <c r="A981" s="517"/>
      <c r="B981" s="518" t="s">
        <v>14162</v>
      </c>
      <c r="C981" s="533"/>
      <c r="D981" s="514" t="s">
        <v>14161</v>
      </c>
      <c r="E981" s="515">
        <v>5.5</v>
      </c>
      <c r="F981" s="514"/>
      <c r="G981" s="515" t="s">
        <v>1793</v>
      </c>
      <c r="H981" s="514"/>
      <c r="I981" s="515"/>
      <c r="J981" s="515"/>
    </row>
    <row r="982" spans="1:10" ht="13.8" thickBot="1">
      <c r="A982" s="517"/>
      <c r="B982" s="518" t="s">
        <v>12126</v>
      </c>
      <c r="C982" s="533"/>
      <c r="D982" s="514" t="s">
        <v>12125</v>
      </c>
      <c r="E982" s="515">
        <v>5.5</v>
      </c>
      <c r="F982" s="514"/>
      <c r="G982" s="515" t="s">
        <v>4970</v>
      </c>
      <c r="H982" s="514"/>
      <c r="I982" s="522">
        <v>1</v>
      </c>
      <c r="J982" s="522">
        <v>2</v>
      </c>
    </row>
    <row r="983" spans="1:10" ht="13.8" thickBot="1">
      <c r="A983" s="517"/>
      <c r="B983" s="518" t="s">
        <v>12124</v>
      </c>
      <c r="C983" s="533"/>
      <c r="D983" s="514" t="s">
        <v>12123</v>
      </c>
      <c r="E983" s="515">
        <v>5.5</v>
      </c>
      <c r="F983" s="518" t="s">
        <v>151</v>
      </c>
      <c r="G983" s="515" t="s">
        <v>4970</v>
      </c>
      <c r="H983" s="514"/>
      <c r="I983" s="515"/>
      <c r="J983" s="515">
        <v>1</v>
      </c>
    </row>
    <row r="984" spans="1:10" ht="13.8" thickBot="1">
      <c r="A984" s="517"/>
      <c r="B984" s="518" t="s">
        <v>12122</v>
      </c>
      <c r="C984" s="533"/>
      <c r="D984" s="514" t="s">
        <v>12121</v>
      </c>
      <c r="E984" s="515">
        <v>5.5</v>
      </c>
      <c r="F984" s="518" t="s">
        <v>614</v>
      </c>
      <c r="G984" s="515" t="s">
        <v>4970</v>
      </c>
      <c r="H984" s="514"/>
      <c r="I984" s="515"/>
      <c r="J984" s="515">
        <v>1</v>
      </c>
    </row>
    <row r="985" spans="1:10" ht="13.8" thickBot="1">
      <c r="A985" s="517"/>
      <c r="B985" s="518" t="s">
        <v>12120</v>
      </c>
      <c r="C985" s="533"/>
      <c r="D985" s="514" t="s">
        <v>12108</v>
      </c>
      <c r="E985" s="515">
        <v>5.5</v>
      </c>
      <c r="F985" s="514"/>
      <c r="G985" s="515" t="s">
        <v>4970</v>
      </c>
      <c r="H985" s="514"/>
      <c r="I985" s="515"/>
      <c r="J985" s="515"/>
    </row>
    <row r="986" spans="1:10" ht="13.8" thickBot="1">
      <c r="A986" s="517"/>
      <c r="B986" s="518" t="s">
        <v>12119</v>
      </c>
      <c r="C986" s="533"/>
      <c r="D986" s="514" t="s">
        <v>1593</v>
      </c>
      <c r="E986" s="515">
        <v>5.5</v>
      </c>
      <c r="F986" s="514"/>
      <c r="G986" s="515" t="s">
        <v>4970</v>
      </c>
      <c r="H986" s="514"/>
      <c r="I986" s="515"/>
      <c r="J986" s="515"/>
    </row>
    <row r="987" spans="1:10" ht="13.8" thickBot="1">
      <c r="A987" s="517"/>
      <c r="B987" s="518" t="s">
        <v>12065</v>
      </c>
      <c r="C987" s="533"/>
      <c r="D987" s="514" t="s">
        <v>12064</v>
      </c>
      <c r="E987" s="515">
        <v>5.5</v>
      </c>
      <c r="F987" s="514"/>
      <c r="G987" s="515" t="s">
        <v>5010</v>
      </c>
      <c r="H987" s="514"/>
      <c r="I987" s="515"/>
      <c r="J987" s="515">
        <v>1</v>
      </c>
    </row>
    <row r="988" spans="1:10" ht="13.8" thickBot="1">
      <c r="A988" s="517"/>
      <c r="B988" s="518" t="s">
        <v>11976</v>
      </c>
      <c r="C988" s="533"/>
      <c r="D988" s="514" t="s">
        <v>11975</v>
      </c>
      <c r="E988" s="515">
        <v>5.5</v>
      </c>
      <c r="F988" s="518" t="s">
        <v>614</v>
      </c>
      <c r="G988" s="515" t="s">
        <v>5180</v>
      </c>
      <c r="H988" s="514"/>
      <c r="I988" s="515"/>
      <c r="J988" s="515">
        <v>2</v>
      </c>
    </row>
    <row r="989" spans="1:10" ht="13.8" thickBot="1">
      <c r="A989" s="517"/>
      <c r="B989" s="518" t="s">
        <v>11947</v>
      </c>
      <c r="C989" s="533"/>
      <c r="D989" s="514" t="s">
        <v>11946</v>
      </c>
      <c r="E989" s="515">
        <v>5.5</v>
      </c>
      <c r="F989" s="518" t="s">
        <v>11945</v>
      </c>
      <c r="G989" s="515" t="s">
        <v>5219</v>
      </c>
      <c r="H989" s="514"/>
      <c r="I989" s="515"/>
      <c r="J989" s="515"/>
    </row>
    <row r="990" spans="1:10" ht="13.8" thickBot="1">
      <c r="A990" s="517"/>
      <c r="B990" s="518" t="s">
        <v>13635</v>
      </c>
      <c r="C990" s="533"/>
      <c r="D990" s="514" t="s">
        <v>13634</v>
      </c>
      <c r="E990" s="515">
        <v>5.5</v>
      </c>
      <c r="F990" s="514"/>
      <c r="G990" s="515" t="s">
        <v>2289</v>
      </c>
      <c r="H990" s="514"/>
      <c r="I990" s="515"/>
      <c r="J990" s="515"/>
    </row>
    <row r="991" spans="1:10" ht="13.8" thickBot="1">
      <c r="A991" s="517"/>
      <c r="B991" s="518" t="s">
        <v>11846</v>
      </c>
      <c r="C991" s="533"/>
      <c r="D991" s="514" t="s">
        <v>1381</v>
      </c>
      <c r="E991" s="515">
        <v>5.5</v>
      </c>
      <c r="F991" s="518" t="s">
        <v>614</v>
      </c>
      <c r="G991" s="515" t="s">
        <v>5286</v>
      </c>
      <c r="H991" s="514"/>
      <c r="I991" s="515"/>
      <c r="J991" s="515">
        <v>2</v>
      </c>
    </row>
    <row r="992" spans="1:10" ht="13.8" thickBot="1">
      <c r="A992" s="517"/>
      <c r="B992" s="518" t="s">
        <v>11845</v>
      </c>
      <c r="C992" s="533"/>
      <c r="D992" s="514" t="s">
        <v>1381</v>
      </c>
      <c r="E992" s="515">
        <v>5.5</v>
      </c>
      <c r="F992" s="514"/>
      <c r="G992" s="515" t="s">
        <v>5286</v>
      </c>
      <c r="H992" s="514"/>
      <c r="I992" s="515"/>
      <c r="J992" s="515">
        <v>1</v>
      </c>
    </row>
    <row r="993" spans="1:10" ht="13.8" thickBot="1">
      <c r="A993" s="517"/>
      <c r="B993" s="518" t="s">
        <v>13584</v>
      </c>
      <c r="C993" s="533"/>
      <c r="D993" s="514" t="s">
        <v>13583</v>
      </c>
      <c r="E993" s="515">
        <v>5.5</v>
      </c>
      <c r="F993" s="514"/>
      <c r="G993" s="515" t="s">
        <v>2449</v>
      </c>
      <c r="H993" s="514"/>
      <c r="I993" s="515"/>
      <c r="J993" s="515">
        <v>2</v>
      </c>
    </row>
    <row r="994" spans="1:10" ht="13.8" thickBot="1">
      <c r="A994" s="517"/>
      <c r="B994" s="518" t="s">
        <v>13582</v>
      </c>
      <c r="C994" s="533"/>
      <c r="D994" s="514" t="s">
        <v>2448</v>
      </c>
      <c r="E994" s="515">
        <v>5.5</v>
      </c>
      <c r="F994" s="514"/>
      <c r="G994" s="515" t="s">
        <v>2449</v>
      </c>
      <c r="H994" s="514"/>
      <c r="I994" s="515"/>
      <c r="J994" s="515">
        <v>1</v>
      </c>
    </row>
    <row r="995" spans="1:10" ht="13.8" thickBot="1">
      <c r="A995" s="517"/>
      <c r="B995" s="518" t="s">
        <v>13366</v>
      </c>
      <c r="C995" s="533"/>
      <c r="D995" s="514" t="s">
        <v>13365</v>
      </c>
      <c r="E995" s="515">
        <v>5.5</v>
      </c>
      <c r="F995" s="518" t="s">
        <v>614</v>
      </c>
      <c r="G995" s="515" t="s">
        <v>2523</v>
      </c>
      <c r="H995" s="514"/>
      <c r="I995" s="515"/>
      <c r="J995" s="515">
        <v>4</v>
      </c>
    </row>
    <row r="996" spans="1:10" ht="13.8" thickBot="1">
      <c r="A996" s="517"/>
      <c r="B996" s="518" t="s">
        <v>13364</v>
      </c>
      <c r="C996" s="533"/>
      <c r="D996" s="514" t="s">
        <v>13363</v>
      </c>
      <c r="E996" s="515">
        <v>5.5</v>
      </c>
      <c r="F996" s="518" t="s">
        <v>614</v>
      </c>
      <c r="G996" s="515" t="s">
        <v>2523</v>
      </c>
      <c r="H996" s="514"/>
      <c r="I996" s="522">
        <v>1</v>
      </c>
      <c r="J996" s="522">
        <v>3</v>
      </c>
    </row>
    <row r="997" spans="1:10" ht="13.8" thickBot="1">
      <c r="A997" s="517"/>
      <c r="B997" s="518" t="s">
        <v>13362</v>
      </c>
      <c r="C997" s="533"/>
      <c r="D997" s="514" t="s">
        <v>1300</v>
      </c>
      <c r="E997" s="515">
        <v>5.5</v>
      </c>
      <c r="F997" s="514"/>
      <c r="G997" s="515" t="s">
        <v>2523</v>
      </c>
      <c r="H997" s="514"/>
      <c r="I997" s="515">
        <v>1</v>
      </c>
      <c r="J997" s="515">
        <v>3</v>
      </c>
    </row>
    <row r="998" spans="1:10" ht="13.8" thickBot="1">
      <c r="A998" s="517"/>
      <c r="B998" s="518" t="s">
        <v>13361</v>
      </c>
      <c r="C998" s="533"/>
      <c r="D998" s="514" t="s">
        <v>13360</v>
      </c>
      <c r="E998" s="515">
        <v>5.5</v>
      </c>
      <c r="F998" s="518" t="s">
        <v>614</v>
      </c>
      <c r="G998" s="515" t="s">
        <v>2523</v>
      </c>
      <c r="H998" s="514"/>
      <c r="I998" s="515"/>
      <c r="J998" s="515">
        <v>2</v>
      </c>
    </row>
    <row r="999" spans="1:10" ht="13.8" thickBot="1">
      <c r="A999" s="517"/>
      <c r="B999" s="518" t="s">
        <v>13359</v>
      </c>
      <c r="C999" s="533"/>
      <c r="D999" s="514" t="s">
        <v>13358</v>
      </c>
      <c r="E999" s="515">
        <v>5.5</v>
      </c>
      <c r="F999" s="518" t="s">
        <v>614</v>
      </c>
      <c r="G999" s="515" t="s">
        <v>2523</v>
      </c>
      <c r="H999" s="514"/>
      <c r="I999" s="522"/>
      <c r="J999" s="522">
        <v>2</v>
      </c>
    </row>
    <row r="1000" spans="1:10" ht="13.8" thickBot="1">
      <c r="A1000" s="517"/>
      <c r="B1000" s="518" t="s">
        <v>13357</v>
      </c>
      <c r="C1000" s="533"/>
      <c r="D1000" s="514" t="s">
        <v>13356</v>
      </c>
      <c r="E1000" s="515">
        <v>5.5</v>
      </c>
      <c r="F1000" s="518" t="s">
        <v>614</v>
      </c>
      <c r="G1000" s="515" t="s">
        <v>2523</v>
      </c>
      <c r="H1000" s="514"/>
      <c r="I1000" s="515"/>
      <c r="J1000" s="515">
        <v>1</v>
      </c>
    </row>
    <row r="1001" spans="1:10" ht="13.8" thickBot="1">
      <c r="A1001" s="517"/>
      <c r="B1001" s="518" t="s">
        <v>13355</v>
      </c>
      <c r="C1001" s="533"/>
      <c r="D1001" s="514" t="s">
        <v>13354</v>
      </c>
      <c r="E1001" s="515">
        <v>5.5</v>
      </c>
      <c r="F1001" s="518" t="s">
        <v>614</v>
      </c>
      <c r="G1001" s="515" t="s">
        <v>2523</v>
      </c>
      <c r="H1001" s="514"/>
      <c r="I1001" s="515"/>
      <c r="J1001" s="515">
        <v>1</v>
      </c>
    </row>
    <row r="1002" spans="1:10" ht="13.8" thickBot="1">
      <c r="A1002" s="517"/>
      <c r="B1002" s="518" t="s">
        <v>13353</v>
      </c>
      <c r="C1002" s="533"/>
      <c r="D1002" s="514" t="s">
        <v>13352</v>
      </c>
      <c r="E1002" s="515">
        <v>5.5</v>
      </c>
      <c r="F1002" s="518" t="s">
        <v>614</v>
      </c>
      <c r="G1002" s="515" t="s">
        <v>2523</v>
      </c>
      <c r="H1002" s="514"/>
      <c r="I1002" s="515"/>
      <c r="J1002" s="515">
        <v>1</v>
      </c>
    </row>
    <row r="1003" spans="1:10" ht="13.8" thickBot="1">
      <c r="A1003" s="517"/>
      <c r="B1003" s="518" t="s">
        <v>13351</v>
      </c>
      <c r="C1003" s="533"/>
      <c r="D1003" s="514" t="s">
        <v>13350</v>
      </c>
      <c r="E1003" s="515">
        <v>5.5</v>
      </c>
      <c r="F1003" s="518" t="s">
        <v>614</v>
      </c>
      <c r="G1003" s="515" t="s">
        <v>2523</v>
      </c>
      <c r="H1003" s="514"/>
      <c r="I1003" s="515"/>
      <c r="J1003" s="515">
        <v>1</v>
      </c>
    </row>
    <row r="1004" spans="1:10" ht="13.8" thickBot="1">
      <c r="A1004" s="517"/>
      <c r="B1004" s="518" t="s">
        <v>13349</v>
      </c>
      <c r="C1004" s="533"/>
      <c r="D1004" s="514" t="s">
        <v>13348</v>
      </c>
      <c r="E1004" s="515">
        <v>5.5</v>
      </c>
      <c r="F1004" s="518" t="s">
        <v>614</v>
      </c>
      <c r="G1004" s="515" t="s">
        <v>2523</v>
      </c>
      <c r="H1004" s="514"/>
      <c r="I1004" s="515"/>
      <c r="J1004" s="515">
        <v>1</v>
      </c>
    </row>
    <row r="1005" spans="1:10" ht="13.8" thickBot="1">
      <c r="A1005" s="517"/>
      <c r="B1005" s="518" t="s">
        <v>13347</v>
      </c>
      <c r="C1005" s="533"/>
      <c r="D1005" s="514" t="s">
        <v>1300</v>
      </c>
      <c r="E1005" s="515">
        <v>5.5</v>
      </c>
      <c r="F1005" s="514"/>
      <c r="G1005" s="515" t="s">
        <v>2523</v>
      </c>
      <c r="H1005" s="514"/>
      <c r="I1005" s="515"/>
      <c r="J1005" s="515">
        <v>1</v>
      </c>
    </row>
    <row r="1006" spans="1:10" ht="13.8" thickBot="1">
      <c r="A1006" s="517"/>
      <c r="B1006" s="518" t="s">
        <v>13346</v>
      </c>
      <c r="C1006" s="533"/>
      <c r="D1006" s="514" t="s">
        <v>13345</v>
      </c>
      <c r="E1006" s="515">
        <v>5.5</v>
      </c>
      <c r="F1006" s="514"/>
      <c r="G1006" s="515" t="s">
        <v>2523</v>
      </c>
      <c r="H1006" s="514"/>
      <c r="I1006" s="515"/>
      <c r="J1006" s="515"/>
    </row>
    <row r="1007" spans="1:10" ht="13.8" thickBot="1">
      <c r="A1007" s="517"/>
      <c r="B1007" s="518" t="s">
        <v>11576</v>
      </c>
      <c r="C1007" s="533"/>
      <c r="D1007" s="514" t="s">
        <v>11533</v>
      </c>
      <c r="E1007" s="515">
        <v>5.5</v>
      </c>
      <c r="F1007" s="518" t="s">
        <v>1854</v>
      </c>
      <c r="G1007" s="515" t="s">
        <v>11525</v>
      </c>
      <c r="H1007" s="514"/>
      <c r="I1007" s="515"/>
      <c r="J1007" s="515">
        <v>2</v>
      </c>
    </row>
    <row r="1008" spans="1:10" ht="13.8" thickBot="1">
      <c r="A1008" s="517"/>
      <c r="B1008" s="518" t="s">
        <v>11703</v>
      </c>
      <c r="C1008" s="533"/>
      <c r="D1008" s="514" t="s">
        <v>11533</v>
      </c>
      <c r="E1008" s="515">
        <v>5.5</v>
      </c>
      <c r="F1008" s="514"/>
      <c r="G1008" s="515" t="s">
        <v>11525</v>
      </c>
      <c r="H1008" s="514"/>
      <c r="I1008" s="515"/>
      <c r="J1008" s="515">
        <v>1</v>
      </c>
    </row>
    <row r="1009" spans="1:10" ht="13.8" thickBot="1">
      <c r="A1009" s="517"/>
      <c r="B1009" s="518" t="s">
        <v>11701</v>
      </c>
      <c r="C1009" s="533"/>
      <c r="D1009" s="514" t="s">
        <v>11533</v>
      </c>
      <c r="E1009" s="515">
        <v>5.5</v>
      </c>
      <c r="F1009" s="514"/>
      <c r="G1009" s="515" t="s">
        <v>11525</v>
      </c>
      <c r="H1009" s="514"/>
      <c r="I1009" s="515"/>
      <c r="J1009" s="515">
        <v>1</v>
      </c>
    </row>
    <row r="1010" spans="1:10" ht="13.8" thickBot="1">
      <c r="A1010" s="517"/>
      <c r="B1010" s="518" t="s">
        <v>11697</v>
      </c>
      <c r="C1010" s="533"/>
      <c r="D1010" s="514" t="s">
        <v>11533</v>
      </c>
      <c r="E1010" s="515">
        <v>5.5</v>
      </c>
      <c r="F1010" s="514"/>
      <c r="G1010" s="515" t="s">
        <v>11525</v>
      </c>
      <c r="H1010" s="514"/>
      <c r="I1010" s="515"/>
      <c r="J1010" s="515">
        <v>1</v>
      </c>
    </row>
    <row r="1011" spans="1:10" ht="13.8" thickBot="1">
      <c r="A1011" s="517"/>
      <c r="B1011" s="518" t="s">
        <v>11528</v>
      </c>
      <c r="C1011" s="533"/>
      <c r="D1011" s="514" t="s">
        <v>11526</v>
      </c>
      <c r="E1011" s="515">
        <v>5.5</v>
      </c>
      <c r="F1011" s="514"/>
      <c r="G1011" s="515" t="s">
        <v>11525</v>
      </c>
      <c r="H1011" s="514"/>
      <c r="I1011" s="515"/>
      <c r="J1011" s="515">
        <v>1</v>
      </c>
    </row>
    <row r="1012" spans="1:10" ht="13.8" thickBot="1">
      <c r="A1012" s="517"/>
      <c r="B1012" s="518" t="s">
        <v>11527</v>
      </c>
      <c r="C1012" s="533"/>
      <c r="D1012" s="514" t="s">
        <v>11526</v>
      </c>
      <c r="E1012" s="515">
        <v>5.5</v>
      </c>
      <c r="F1012" s="514"/>
      <c r="G1012" s="515" t="s">
        <v>11525</v>
      </c>
      <c r="H1012" s="514"/>
      <c r="I1012" s="515"/>
      <c r="J1012" s="515">
        <v>1</v>
      </c>
    </row>
    <row r="1013" spans="1:10" ht="13.8" thickBot="1">
      <c r="A1013" s="517"/>
      <c r="B1013" s="518" t="s">
        <v>11563</v>
      </c>
      <c r="C1013" s="533"/>
      <c r="D1013" s="514" t="s">
        <v>11533</v>
      </c>
      <c r="E1013" s="515">
        <v>5.5</v>
      </c>
      <c r="F1013" s="518" t="s">
        <v>1854</v>
      </c>
      <c r="G1013" s="515" t="s">
        <v>11525</v>
      </c>
      <c r="H1013" s="514"/>
      <c r="I1013" s="515"/>
      <c r="J1013" s="515"/>
    </row>
    <row r="1014" spans="1:10" ht="13.8" thickBot="1">
      <c r="A1014" s="517"/>
      <c r="B1014" s="518" t="s">
        <v>11644</v>
      </c>
      <c r="C1014" s="533"/>
      <c r="D1014" s="514" t="s">
        <v>11612</v>
      </c>
      <c r="E1014" s="515">
        <v>5.5</v>
      </c>
      <c r="F1014" s="514"/>
      <c r="G1014" s="515" t="s">
        <v>11525</v>
      </c>
      <c r="H1014" s="514"/>
      <c r="I1014" s="515"/>
      <c r="J1014" s="515"/>
    </row>
    <row r="1015" spans="1:10" ht="13.8" thickBot="1">
      <c r="A1015" s="517"/>
      <c r="B1015" s="518" t="s">
        <v>11632</v>
      </c>
      <c r="C1015" s="533"/>
      <c r="D1015" s="514" t="s">
        <v>11612</v>
      </c>
      <c r="E1015" s="515">
        <v>5.5</v>
      </c>
      <c r="F1015" s="514"/>
      <c r="G1015" s="515" t="s">
        <v>11525</v>
      </c>
      <c r="H1015" s="514"/>
      <c r="I1015" s="515"/>
      <c r="J1015" s="515"/>
    </row>
    <row r="1016" spans="1:10" ht="13.8" thickBot="1">
      <c r="A1016" s="517"/>
      <c r="B1016" s="518" t="s">
        <v>11627</v>
      </c>
      <c r="C1016" s="533"/>
      <c r="D1016" s="514" t="s">
        <v>11612</v>
      </c>
      <c r="E1016" s="515">
        <v>5.5</v>
      </c>
      <c r="F1016" s="514"/>
      <c r="G1016" s="515" t="s">
        <v>11525</v>
      </c>
      <c r="H1016" s="514"/>
      <c r="I1016" s="515"/>
      <c r="J1016" s="515"/>
    </row>
    <row r="1017" spans="1:10" ht="13.8" thickBot="1">
      <c r="A1017" s="517"/>
      <c r="B1017" s="518" t="s">
        <v>11608</v>
      </c>
      <c r="C1017" s="533"/>
      <c r="D1017" s="514" t="s">
        <v>11533</v>
      </c>
      <c r="E1017" s="515">
        <v>5.5</v>
      </c>
      <c r="F1017" s="514"/>
      <c r="G1017" s="515" t="s">
        <v>11525</v>
      </c>
      <c r="H1017" s="514"/>
      <c r="I1017" s="515"/>
      <c r="J1017" s="515"/>
    </row>
    <row r="1018" spans="1:10" ht="13.8" thickBot="1">
      <c r="A1018" s="517"/>
      <c r="B1018" s="518" t="s">
        <v>13206</v>
      </c>
      <c r="C1018" s="533"/>
      <c r="D1018" s="514" t="s">
        <v>1331</v>
      </c>
      <c r="E1018" s="515">
        <v>5.5</v>
      </c>
      <c r="F1018" s="518" t="s">
        <v>614</v>
      </c>
      <c r="G1018" s="515" t="s">
        <v>2797</v>
      </c>
      <c r="H1018" s="514"/>
      <c r="I1018" s="515"/>
      <c r="J1018" s="515">
        <v>2</v>
      </c>
    </row>
    <row r="1019" spans="1:10" ht="13.8" thickBot="1">
      <c r="A1019" s="517"/>
      <c r="B1019" s="518" t="s">
        <v>13183</v>
      </c>
      <c r="C1019" s="533"/>
      <c r="D1019" s="514" t="s">
        <v>1340</v>
      </c>
      <c r="E1019" s="515">
        <v>5.5</v>
      </c>
      <c r="F1019" s="518" t="s">
        <v>1854</v>
      </c>
      <c r="G1019" s="515" t="s">
        <v>2841</v>
      </c>
      <c r="H1019" s="514"/>
      <c r="I1019" s="515"/>
      <c r="J1019" s="515">
        <v>2</v>
      </c>
    </row>
    <row r="1020" spans="1:10" ht="13.8" thickBot="1">
      <c r="A1020" s="517"/>
      <c r="B1020" s="518" t="s">
        <v>13060</v>
      </c>
      <c r="C1020" s="533"/>
      <c r="D1020" s="519" t="s">
        <v>1552</v>
      </c>
      <c r="E1020" s="515">
        <v>5.5</v>
      </c>
      <c r="F1020" s="518" t="s">
        <v>614</v>
      </c>
      <c r="G1020" s="515" t="s">
        <v>2957</v>
      </c>
      <c r="H1020" s="514"/>
      <c r="I1020" s="515">
        <v>1</v>
      </c>
      <c r="J1020" s="515">
        <v>8</v>
      </c>
    </row>
    <row r="1021" spans="1:10" ht="13.8" thickBot="1">
      <c r="A1021" s="517"/>
      <c r="B1021" s="518" t="s">
        <v>13059</v>
      </c>
      <c r="C1021" s="533"/>
      <c r="D1021" s="514" t="s">
        <v>13058</v>
      </c>
      <c r="E1021" s="515">
        <v>5.5</v>
      </c>
      <c r="F1021" s="518" t="s">
        <v>614</v>
      </c>
      <c r="G1021" s="515" t="s">
        <v>2957</v>
      </c>
      <c r="H1021" s="514"/>
      <c r="I1021" s="515"/>
      <c r="J1021" s="515">
        <v>2</v>
      </c>
    </row>
    <row r="1022" spans="1:10" ht="13.8" thickBot="1">
      <c r="A1022" s="517"/>
      <c r="B1022" s="518" t="s">
        <v>13057</v>
      </c>
      <c r="C1022" s="533"/>
      <c r="D1022" s="514" t="s">
        <v>1555</v>
      </c>
      <c r="E1022" s="515">
        <v>5.5</v>
      </c>
      <c r="F1022" s="518" t="s">
        <v>614</v>
      </c>
      <c r="G1022" s="515" t="s">
        <v>2957</v>
      </c>
      <c r="H1022" s="514"/>
      <c r="I1022" s="515"/>
      <c r="J1022" s="515">
        <v>2</v>
      </c>
    </row>
    <row r="1023" spans="1:10" ht="13.8" thickBot="1">
      <c r="A1023" s="517"/>
      <c r="B1023" s="518" t="s">
        <v>13056</v>
      </c>
      <c r="C1023" s="533"/>
      <c r="D1023" s="514" t="s">
        <v>13055</v>
      </c>
      <c r="E1023" s="515">
        <v>5.5</v>
      </c>
      <c r="F1023" s="518" t="s">
        <v>614</v>
      </c>
      <c r="G1023" s="515" t="s">
        <v>2957</v>
      </c>
      <c r="H1023" s="514"/>
      <c r="I1023" s="515"/>
      <c r="J1023" s="515">
        <v>1</v>
      </c>
    </row>
    <row r="1024" spans="1:10" ht="13.8" thickBot="1">
      <c r="A1024" s="517"/>
      <c r="B1024" s="518" t="s">
        <v>13054</v>
      </c>
      <c r="C1024" s="533"/>
      <c r="D1024" s="514" t="s">
        <v>13053</v>
      </c>
      <c r="E1024" s="515">
        <v>5.5</v>
      </c>
      <c r="F1024" s="518" t="s">
        <v>1854</v>
      </c>
      <c r="G1024" s="515" t="s">
        <v>2957</v>
      </c>
      <c r="H1024" s="514"/>
      <c r="I1024" s="515"/>
      <c r="J1024" s="515">
        <v>1</v>
      </c>
    </row>
    <row r="1025" spans="1:10" ht="13.8" thickBot="1">
      <c r="A1025" s="517"/>
      <c r="B1025" s="518" t="s">
        <v>12972</v>
      </c>
      <c r="C1025" s="533"/>
      <c r="D1025" s="514" t="s">
        <v>12971</v>
      </c>
      <c r="E1025" s="515">
        <v>5.5</v>
      </c>
      <c r="F1025" s="518" t="s">
        <v>614</v>
      </c>
      <c r="G1025" s="515" t="s">
        <v>3085</v>
      </c>
      <c r="H1025" s="514"/>
      <c r="I1025" s="522"/>
      <c r="J1025" s="522">
        <v>2</v>
      </c>
    </row>
    <row r="1026" spans="1:10" ht="13.8" thickBot="1">
      <c r="A1026" s="517"/>
      <c r="B1026" s="518" t="s">
        <v>12920</v>
      </c>
      <c r="C1026" s="533"/>
      <c r="D1026" s="514" t="s">
        <v>12919</v>
      </c>
      <c r="E1026" s="515">
        <v>5.5</v>
      </c>
      <c r="F1026" s="518" t="s">
        <v>614</v>
      </c>
      <c r="G1026" s="515" t="s">
        <v>3161</v>
      </c>
      <c r="H1026" s="514"/>
      <c r="I1026" s="515"/>
      <c r="J1026" s="515">
        <v>1</v>
      </c>
    </row>
    <row r="1027" spans="1:10" ht="13.8" thickBot="1">
      <c r="A1027" s="517"/>
      <c r="B1027" s="518" t="s">
        <v>13874</v>
      </c>
      <c r="C1027" s="533"/>
      <c r="D1027" s="514" t="s">
        <v>13873</v>
      </c>
      <c r="E1027" s="515">
        <v>5.5</v>
      </c>
      <c r="F1027" s="518" t="s">
        <v>614</v>
      </c>
      <c r="G1027" s="515" t="s">
        <v>2032</v>
      </c>
      <c r="H1027" s="514"/>
      <c r="I1027" s="515"/>
      <c r="J1027" s="515">
        <v>3</v>
      </c>
    </row>
    <row r="1028" spans="1:10" ht="13.8" thickBot="1">
      <c r="A1028" s="517"/>
      <c r="B1028" s="518" t="s">
        <v>13872</v>
      </c>
      <c r="C1028" s="533"/>
      <c r="D1028" s="514" t="s">
        <v>13871</v>
      </c>
      <c r="E1028" s="515">
        <v>5.5</v>
      </c>
      <c r="F1028" s="518" t="s">
        <v>614</v>
      </c>
      <c r="G1028" s="515" t="s">
        <v>2032</v>
      </c>
      <c r="H1028" s="514"/>
      <c r="I1028" s="515"/>
      <c r="J1028" s="515">
        <v>1</v>
      </c>
    </row>
    <row r="1029" spans="1:10" ht="13.8" thickBot="1">
      <c r="A1029" s="517"/>
      <c r="B1029" s="518" t="s">
        <v>13870</v>
      </c>
      <c r="C1029" s="533"/>
      <c r="D1029" s="514" t="s">
        <v>13869</v>
      </c>
      <c r="E1029" s="515">
        <v>5.5</v>
      </c>
      <c r="F1029" s="518" t="s">
        <v>614</v>
      </c>
      <c r="G1029" s="515" t="s">
        <v>2032</v>
      </c>
      <c r="H1029" s="514"/>
      <c r="I1029" s="515"/>
      <c r="J1029" s="515">
        <v>1</v>
      </c>
    </row>
    <row r="1030" spans="1:10" ht="13.8" thickBot="1">
      <c r="A1030" s="517"/>
      <c r="B1030" s="518" t="s">
        <v>12739</v>
      </c>
      <c r="C1030" s="533"/>
      <c r="D1030" s="514" t="s">
        <v>12738</v>
      </c>
      <c r="E1030" s="515">
        <v>5.5</v>
      </c>
      <c r="F1030" s="518" t="s">
        <v>1854</v>
      </c>
      <c r="G1030" s="515" t="s">
        <v>3517</v>
      </c>
      <c r="H1030" s="514"/>
      <c r="I1030" s="522"/>
      <c r="J1030" s="515">
        <v>2</v>
      </c>
    </row>
    <row r="1031" spans="1:10" ht="13.8" thickBot="1">
      <c r="A1031" s="517"/>
      <c r="B1031" s="518" t="s">
        <v>12680</v>
      </c>
      <c r="C1031" s="533"/>
      <c r="D1031" s="514" t="s">
        <v>12679</v>
      </c>
      <c r="E1031" s="515">
        <v>5.5</v>
      </c>
      <c r="F1031" s="518" t="s">
        <v>614</v>
      </c>
      <c r="G1031" s="515" t="s">
        <v>3652</v>
      </c>
      <c r="H1031" s="514"/>
      <c r="I1031" s="515"/>
      <c r="J1031" s="515">
        <v>1</v>
      </c>
    </row>
    <row r="1032" spans="1:10" ht="13.8" thickBot="1">
      <c r="A1032" s="517"/>
      <c r="B1032" s="518" t="s">
        <v>12678</v>
      </c>
      <c r="C1032" s="533"/>
      <c r="D1032" s="514" t="s">
        <v>1468</v>
      </c>
      <c r="E1032" s="515">
        <v>5.5</v>
      </c>
      <c r="F1032" s="518" t="s">
        <v>1854</v>
      </c>
      <c r="G1032" s="515" t="s">
        <v>3652</v>
      </c>
      <c r="H1032" s="514"/>
      <c r="I1032" s="515"/>
      <c r="J1032" s="515">
        <v>1</v>
      </c>
    </row>
    <row r="1033" spans="1:10" ht="13.8" thickBot="1">
      <c r="A1033" s="517"/>
      <c r="B1033" s="518" t="s">
        <v>12677</v>
      </c>
      <c r="C1033" s="533"/>
      <c r="D1033" s="514" t="s">
        <v>1466</v>
      </c>
      <c r="E1033" s="515">
        <v>5.5</v>
      </c>
      <c r="F1033" s="518" t="s">
        <v>1854</v>
      </c>
      <c r="G1033" s="515" t="s">
        <v>3652</v>
      </c>
      <c r="H1033" s="514"/>
      <c r="I1033" s="515"/>
      <c r="J1033" s="515"/>
    </row>
    <row r="1034" spans="1:10" ht="13.8" thickBot="1">
      <c r="A1034" s="517"/>
      <c r="B1034" s="518" t="s">
        <v>12628</v>
      </c>
      <c r="C1034" s="533"/>
      <c r="D1034" s="514" t="s">
        <v>12627</v>
      </c>
      <c r="E1034" s="515">
        <v>5.5</v>
      </c>
      <c r="F1034" s="514"/>
      <c r="G1034" s="515" t="s">
        <v>3734</v>
      </c>
      <c r="H1034" s="514"/>
      <c r="I1034" s="515"/>
      <c r="J1034" s="515"/>
    </row>
    <row r="1035" spans="1:10" ht="13.8" thickBot="1">
      <c r="A1035" s="517"/>
      <c r="B1035" s="518" t="s">
        <v>12626</v>
      </c>
      <c r="C1035" s="533"/>
      <c r="D1035" s="514" t="s">
        <v>12625</v>
      </c>
      <c r="E1035" s="515">
        <v>5.5</v>
      </c>
      <c r="F1035" s="514"/>
      <c r="G1035" s="515" t="s">
        <v>3734</v>
      </c>
      <c r="H1035" s="514"/>
      <c r="I1035" s="515"/>
      <c r="J1035" s="515"/>
    </row>
    <row r="1036" spans="1:10" ht="13.8" thickBot="1">
      <c r="A1036" s="517"/>
      <c r="B1036" s="518" t="s">
        <v>12563</v>
      </c>
      <c r="C1036" s="533"/>
      <c r="D1036" s="514" t="s">
        <v>12562</v>
      </c>
      <c r="E1036" s="515">
        <v>5.5</v>
      </c>
      <c r="F1036" s="514"/>
      <c r="G1036" s="515" t="s">
        <v>3807</v>
      </c>
      <c r="H1036" s="514"/>
      <c r="I1036" s="515"/>
      <c r="J1036" s="515"/>
    </row>
    <row r="1037" spans="1:10" ht="13.8" thickBot="1">
      <c r="A1037" s="517"/>
      <c r="B1037" s="518" t="s">
        <v>12437</v>
      </c>
      <c r="C1037" s="533"/>
      <c r="D1037" s="514" t="s">
        <v>1537</v>
      </c>
      <c r="E1037" s="515">
        <v>5.5</v>
      </c>
      <c r="F1037" s="518" t="s">
        <v>1854</v>
      </c>
      <c r="G1037" s="515" t="s">
        <v>4067</v>
      </c>
      <c r="H1037" s="514"/>
      <c r="I1037" s="515"/>
      <c r="J1037" s="515">
        <v>1</v>
      </c>
    </row>
    <row r="1038" spans="1:10" ht="13.8" thickBot="1">
      <c r="A1038" s="517"/>
      <c r="B1038" s="518" t="s">
        <v>12392</v>
      </c>
      <c r="C1038" s="533"/>
      <c r="D1038" s="514" t="s">
        <v>12391</v>
      </c>
      <c r="E1038" s="515">
        <v>5.5</v>
      </c>
      <c r="F1038" s="518" t="s">
        <v>614</v>
      </c>
      <c r="G1038" s="515" t="s">
        <v>4140</v>
      </c>
      <c r="H1038" s="514"/>
      <c r="I1038" s="515"/>
      <c r="J1038" s="515">
        <v>1</v>
      </c>
    </row>
    <row r="1039" spans="1:10" ht="13.8" thickBot="1">
      <c r="A1039" s="517"/>
      <c r="B1039" s="518" t="s">
        <v>12370</v>
      </c>
      <c r="C1039" s="533"/>
      <c r="D1039" s="514" t="s">
        <v>12369</v>
      </c>
      <c r="E1039" s="515">
        <v>5.5</v>
      </c>
      <c r="F1039" s="514"/>
      <c r="G1039" s="515" t="s">
        <v>4160</v>
      </c>
      <c r="H1039" s="514"/>
      <c r="I1039" s="515"/>
      <c r="J1039" s="515">
        <v>2</v>
      </c>
    </row>
    <row r="1040" spans="1:10" ht="13.8" thickBot="1">
      <c r="A1040" s="517"/>
      <c r="B1040" s="518" t="s">
        <v>13785</v>
      </c>
      <c r="C1040" s="533"/>
      <c r="D1040" s="514" t="s">
        <v>13784</v>
      </c>
      <c r="E1040" s="515">
        <v>5.5</v>
      </c>
      <c r="F1040" s="518" t="s">
        <v>1854</v>
      </c>
      <c r="G1040" s="515" t="s">
        <v>2152</v>
      </c>
      <c r="H1040" s="514"/>
      <c r="I1040" s="522">
        <v>1</v>
      </c>
      <c r="J1040" s="522">
        <v>2</v>
      </c>
    </row>
    <row r="1041" spans="1:10" ht="13.8" thickBot="1">
      <c r="A1041" s="517"/>
      <c r="B1041" s="518" t="s">
        <v>13783</v>
      </c>
      <c r="C1041" s="533"/>
      <c r="D1041" s="514" t="s">
        <v>13782</v>
      </c>
      <c r="E1041" s="515">
        <v>5.5</v>
      </c>
      <c r="F1041" s="514"/>
      <c r="G1041" s="515" t="s">
        <v>2152</v>
      </c>
      <c r="H1041" s="514"/>
      <c r="I1041" s="515"/>
      <c r="J1041" s="515"/>
    </row>
    <row r="1042" spans="1:10" ht="13.8" thickBot="1">
      <c r="A1042" s="517"/>
      <c r="B1042" s="518" t="s">
        <v>13781</v>
      </c>
      <c r="C1042" s="533"/>
      <c r="D1042" s="514" t="s">
        <v>13780</v>
      </c>
      <c r="E1042" s="515">
        <v>5.5</v>
      </c>
      <c r="F1042" s="514"/>
      <c r="G1042" s="515" t="s">
        <v>2152</v>
      </c>
      <c r="H1042" s="514"/>
      <c r="I1042" s="515"/>
      <c r="J1042" s="515"/>
    </row>
    <row r="1043" spans="1:10" ht="13.8" thickBot="1">
      <c r="A1043" s="517"/>
      <c r="B1043" s="518" t="s">
        <v>14160</v>
      </c>
      <c r="C1043" s="533"/>
      <c r="D1043" s="514" t="s">
        <v>14159</v>
      </c>
      <c r="E1043" s="515">
        <v>5.25</v>
      </c>
      <c r="F1043" s="518" t="s">
        <v>614</v>
      </c>
      <c r="G1043" s="515" t="s">
        <v>1793</v>
      </c>
      <c r="H1043" s="514" t="s">
        <v>1226</v>
      </c>
      <c r="I1043" s="515"/>
      <c r="J1043" s="515">
        <v>3</v>
      </c>
    </row>
    <row r="1044" spans="1:10" ht="13.8" thickBot="1">
      <c r="A1044" s="517"/>
      <c r="B1044" s="518" t="s">
        <v>13581</v>
      </c>
      <c r="C1044" s="533"/>
      <c r="D1044" s="514" t="s">
        <v>2448</v>
      </c>
      <c r="E1044" s="515">
        <v>5.25</v>
      </c>
      <c r="F1044" s="518" t="s">
        <v>1854</v>
      </c>
      <c r="G1044" s="515" t="s">
        <v>2449</v>
      </c>
      <c r="H1044" s="514" t="s">
        <v>1226</v>
      </c>
      <c r="I1044" s="515"/>
      <c r="J1044" s="515">
        <v>2</v>
      </c>
    </row>
    <row r="1045" spans="1:10" ht="13.8" thickBot="1">
      <c r="A1045" s="517"/>
      <c r="B1045" s="518" t="s">
        <v>13344</v>
      </c>
      <c r="C1045" s="533"/>
      <c r="D1045" s="514" t="s">
        <v>1300</v>
      </c>
      <c r="E1045" s="515">
        <v>5.25</v>
      </c>
      <c r="F1045" s="518" t="s">
        <v>1854</v>
      </c>
      <c r="G1045" s="515" t="s">
        <v>2523</v>
      </c>
      <c r="H1045" s="514" t="s">
        <v>1226</v>
      </c>
      <c r="I1045" s="515"/>
      <c r="J1045" s="515">
        <v>3</v>
      </c>
    </row>
    <row r="1046" spans="1:10" ht="13.8" thickBot="1">
      <c r="A1046" s="517"/>
      <c r="B1046" s="518" t="s">
        <v>13343</v>
      </c>
      <c r="C1046" s="533"/>
      <c r="D1046" s="514" t="s">
        <v>1300</v>
      </c>
      <c r="E1046" s="515">
        <v>5.25</v>
      </c>
      <c r="F1046" s="518" t="s">
        <v>1854</v>
      </c>
      <c r="G1046" s="515" t="s">
        <v>2523</v>
      </c>
      <c r="H1046" s="514" t="s">
        <v>1226</v>
      </c>
      <c r="I1046" s="522"/>
      <c r="J1046" s="522">
        <v>3</v>
      </c>
    </row>
    <row r="1047" spans="1:10" ht="13.8" thickBot="1">
      <c r="A1047" s="517"/>
      <c r="B1047" s="518" t="s">
        <v>13342</v>
      </c>
      <c r="C1047" s="533"/>
      <c r="D1047" s="519" t="s">
        <v>1316</v>
      </c>
      <c r="E1047" s="515">
        <v>5.25</v>
      </c>
      <c r="F1047" s="518" t="s">
        <v>1854</v>
      </c>
      <c r="G1047" s="515" t="s">
        <v>2523</v>
      </c>
      <c r="H1047" s="514" t="s">
        <v>1226</v>
      </c>
      <c r="I1047" s="522"/>
      <c r="J1047" s="522">
        <v>2</v>
      </c>
    </row>
    <row r="1048" spans="1:10" ht="13.8" thickBot="1">
      <c r="A1048" s="517"/>
      <c r="B1048" s="518" t="s">
        <v>13972</v>
      </c>
      <c r="C1048" s="533"/>
      <c r="D1048" s="514" t="s">
        <v>13971</v>
      </c>
      <c r="E1048" s="515">
        <v>5.25</v>
      </c>
      <c r="F1048" s="515" t="s">
        <v>12413</v>
      </c>
      <c r="G1048" s="515" t="s">
        <v>1922</v>
      </c>
      <c r="H1048" s="514" t="s">
        <v>1226</v>
      </c>
      <c r="I1048" s="515"/>
      <c r="J1048" s="515">
        <v>1</v>
      </c>
    </row>
    <row r="1049" spans="1:10" ht="13.8" thickBot="1">
      <c r="A1049" s="517"/>
      <c r="B1049" s="518" t="s">
        <v>12918</v>
      </c>
      <c r="C1049" s="533"/>
      <c r="D1049" s="514" t="s">
        <v>3164</v>
      </c>
      <c r="E1049" s="515">
        <v>5.25</v>
      </c>
      <c r="F1049" s="518" t="s">
        <v>1854</v>
      </c>
      <c r="G1049" s="515" t="s">
        <v>3161</v>
      </c>
      <c r="H1049" s="514" t="s">
        <v>1226</v>
      </c>
      <c r="I1049" s="515"/>
      <c r="J1049" s="515">
        <v>1</v>
      </c>
    </row>
    <row r="1050" spans="1:10" ht="13.8" thickBot="1">
      <c r="A1050" s="517"/>
      <c r="B1050" s="518" t="s">
        <v>12737</v>
      </c>
      <c r="C1050" s="533"/>
      <c r="D1050" s="514" t="s">
        <v>3523</v>
      </c>
      <c r="E1050" s="515">
        <v>5.25</v>
      </c>
      <c r="F1050" s="518" t="s">
        <v>614</v>
      </c>
      <c r="G1050" s="515" t="s">
        <v>3517</v>
      </c>
      <c r="H1050" s="514" t="s">
        <v>1226</v>
      </c>
      <c r="I1050" s="515"/>
      <c r="J1050" s="515">
        <v>4</v>
      </c>
    </row>
    <row r="1051" spans="1:10" ht="13.8" thickBot="1">
      <c r="A1051" s="517"/>
      <c r="B1051" s="518" t="s">
        <v>12676</v>
      </c>
      <c r="C1051" s="533"/>
      <c r="D1051" s="514" t="s">
        <v>12675</v>
      </c>
      <c r="E1051" s="515">
        <v>5.25</v>
      </c>
      <c r="F1051" s="518" t="s">
        <v>614</v>
      </c>
      <c r="G1051" s="515" t="s">
        <v>3652</v>
      </c>
      <c r="H1051" s="514" t="s">
        <v>1226</v>
      </c>
      <c r="I1051" s="515"/>
      <c r="J1051" s="515">
        <v>3</v>
      </c>
    </row>
    <row r="1052" spans="1:10" ht="13.8" thickBot="1">
      <c r="A1052" s="517"/>
      <c r="B1052" s="518" t="s">
        <v>12624</v>
      </c>
      <c r="C1052" s="533"/>
      <c r="D1052" s="514" t="s">
        <v>1480</v>
      </c>
      <c r="E1052" s="515">
        <v>5.25</v>
      </c>
      <c r="F1052" s="518" t="s">
        <v>614</v>
      </c>
      <c r="G1052" s="515" t="s">
        <v>3734</v>
      </c>
      <c r="H1052" s="514" t="s">
        <v>1226</v>
      </c>
      <c r="I1052" s="515">
        <v>1</v>
      </c>
      <c r="J1052" s="515">
        <v>2</v>
      </c>
    </row>
    <row r="1053" spans="1:10" ht="13.8" thickBot="1">
      <c r="A1053" s="517"/>
      <c r="B1053" s="518" t="s">
        <v>12623</v>
      </c>
      <c r="C1053" s="533"/>
      <c r="D1053" s="514" t="s">
        <v>3739</v>
      </c>
      <c r="E1053" s="515">
        <v>5.25</v>
      </c>
      <c r="F1053" s="518" t="s">
        <v>614</v>
      </c>
      <c r="G1053" s="515" t="s">
        <v>3734</v>
      </c>
      <c r="H1053" s="514" t="s">
        <v>1226</v>
      </c>
      <c r="I1053" s="515"/>
      <c r="J1053" s="515">
        <v>2</v>
      </c>
    </row>
    <row r="1054" spans="1:10" ht="13.8" thickBot="1">
      <c r="A1054" s="517"/>
      <c r="B1054" s="518" t="s">
        <v>12257</v>
      </c>
      <c r="C1054" s="533"/>
      <c r="D1054" s="514" t="s">
        <v>12256</v>
      </c>
      <c r="E1054" s="515">
        <v>5.25</v>
      </c>
      <c r="F1054" s="514"/>
      <c r="G1054" s="515" t="s">
        <v>4438</v>
      </c>
      <c r="H1054" s="514" t="s">
        <v>1226</v>
      </c>
      <c r="I1054" s="515"/>
      <c r="J1054" s="515">
        <v>3</v>
      </c>
    </row>
    <row r="1055" spans="1:10" ht="13.8" thickBot="1">
      <c r="A1055" s="517"/>
      <c r="B1055" s="518" t="s">
        <v>13341</v>
      </c>
      <c r="C1055" s="533"/>
      <c r="D1055" s="514" t="s">
        <v>13340</v>
      </c>
      <c r="E1055" s="515">
        <v>5.25</v>
      </c>
      <c r="F1055" s="518" t="s">
        <v>614</v>
      </c>
      <c r="G1055" s="515" t="s">
        <v>2523</v>
      </c>
      <c r="H1055" s="514" t="s">
        <v>1224</v>
      </c>
      <c r="I1055" s="515"/>
      <c r="J1055" s="515">
        <v>1</v>
      </c>
    </row>
    <row r="1056" spans="1:10" ht="13.8" thickBot="1">
      <c r="A1056" s="517"/>
      <c r="B1056" s="518" t="s">
        <v>14158</v>
      </c>
      <c r="C1056" s="533"/>
      <c r="D1056" s="514" t="s">
        <v>1899</v>
      </c>
      <c r="E1056" s="515">
        <v>5.25</v>
      </c>
      <c r="F1056" s="518" t="s">
        <v>1854</v>
      </c>
      <c r="G1056" s="515" t="s">
        <v>1793</v>
      </c>
      <c r="H1056" s="514"/>
      <c r="I1056" s="515"/>
      <c r="J1056" s="515">
        <v>2</v>
      </c>
    </row>
    <row r="1057" spans="1:10" ht="13.8" thickBot="1">
      <c r="A1057" s="517"/>
      <c r="B1057" s="518" t="s">
        <v>13339</v>
      </c>
      <c r="C1057" s="533"/>
      <c r="D1057" s="514" t="s">
        <v>13338</v>
      </c>
      <c r="E1057" s="515">
        <v>5.25</v>
      </c>
      <c r="F1057" s="514"/>
      <c r="G1057" s="515" t="s">
        <v>2523</v>
      </c>
      <c r="H1057" s="514"/>
      <c r="I1057" s="515">
        <v>1</v>
      </c>
      <c r="J1057" s="515">
        <v>3</v>
      </c>
    </row>
    <row r="1058" spans="1:10" ht="13.8" thickBot="1">
      <c r="A1058" s="517"/>
      <c r="B1058" s="518" t="s">
        <v>13337</v>
      </c>
      <c r="C1058" s="533"/>
      <c r="D1058" s="514" t="s">
        <v>13336</v>
      </c>
      <c r="E1058" s="515">
        <v>5.25</v>
      </c>
      <c r="F1058" s="518" t="s">
        <v>1854</v>
      </c>
      <c r="G1058" s="515" t="s">
        <v>2523</v>
      </c>
      <c r="H1058" s="514"/>
      <c r="I1058" s="515">
        <v>1</v>
      </c>
      <c r="J1058" s="515">
        <v>2</v>
      </c>
    </row>
    <row r="1059" spans="1:10" ht="13.8" thickBot="1">
      <c r="A1059" s="517"/>
      <c r="B1059" s="518" t="s">
        <v>13335</v>
      </c>
      <c r="C1059" s="533"/>
      <c r="D1059" s="514" t="s">
        <v>2537</v>
      </c>
      <c r="E1059" s="515">
        <v>5.25</v>
      </c>
      <c r="F1059" s="514"/>
      <c r="G1059" s="515" t="s">
        <v>2523</v>
      </c>
      <c r="H1059" s="514"/>
      <c r="I1059" s="515"/>
      <c r="J1059" s="515"/>
    </row>
    <row r="1060" spans="1:10" ht="13.8" thickBot="1">
      <c r="A1060" s="517"/>
      <c r="B1060" s="518" t="s">
        <v>11674</v>
      </c>
      <c r="C1060" s="533"/>
      <c r="D1060" s="514" t="s">
        <v>11533</v>
      </c>
      <c r="E1060" s="515">
        <v>5.25</v>
      </c>
      <c r="F1060" s="518" t="s">
        <v>1854</v>
      </c>
      <c r="G1060" s="515" t="s">
        <v>11525</v>
      </c>
      <c r="H1060" s="514"/>
      <c r="I1060" s="522"/>
      <c r="J1060" s="522">
        <v>2</v>
      </c>
    </row>
    <row r="1061" spans="1:10" ht="13.8" thickBot="1">
      <c r="A1061" s="517"/>
      <c r="B1061" s="518" t="s">
        <v>13779</v>
      </c>
      <c r="C1061" s="533"/>
      <c r="D1061" s="514" t="s">
        <v>1270</v>
      </c>
      <c r="E1061" s="515">
        <v>5.25</v>
      </c>
      <c r="F1061" s="518" t="s">
        <v>1854</v>
      </c>
      <c r="G1061" s="515" t="s">
        <v>2152</v>
      </c>
      <c r="H1061" s="514"/>
      <c r="I1061" s="515"/>
      <c r="J1061" s="515">
        <v>1</v>
      </c>
    </row>
    <row r="1062" spans="1:10" ht="13.8" thickBot="1">
      <c r="A1062" s="517"/>
      <c r="B1062" s="518" t="s">
        <v>12736</v>
      </c>
      <c r="C1062" s="533"/>
      <c r="D1062" s="514" t="s">
        <v>12735</v>
      </c>
      <c r="E1062" s="515">
        <v>5.0999999999999996</v>
      </c>
      <c r="F1062" s="518" t="s">
        <v>614</v>
      </c>
      <c r="G1062" s="515" t="s">
        <v>3517</v>
      </c>
      <c r="H1062" s="514" t="s">
        <v>1226</v>
      </c>
      <c r="I1062" s="515"/>
      <c r="J1062" s="515">
        <v>2</v>
      </c>
    </row>
    <row r="1063" spans="1:10" ht="13.8" thickBot="1">
      <c r="A1063" s="517"/>
      <c r="B1063" s="518" t="s">
        <v>12734</v>
      </c>
      <c r="C1063" s="533"/>
      <c r="D1063" s="514" t="s">
        <v>3579</v>
      </c>
      <c r="E1063" s="515">
        <v>5</v>
      </c>
      <c r="F1063" s="518" t="s">
        <v>1854</v>
      </c>
      <c r="G1063" s="515" t="s">
        <v>3517</v>
      </c>
      <c r="H1063" s="514" t="s">
        <v>1251</v>
      </c>
      <c r="I1063" s="515"/>
      <c r="J1063" s="515">
        <v>1</v>
      </c>
    </row>
    <row r="1064" spans="1:10" ht="13.8" thickBot="1">
      <c r="A1064" s="517"/>
      <c r="B1064" s="518" t="s">
        <v>12622</v>
      </c>
      <c r="C1064" s="533"/>
      <c r="D1064" s="514" t="s">
        <v>3750</v>
      </c>
      <c r="E1064" s="515">
        <v>5</v>
      </c>
      <c r="F1064" s="518" t="s">
        <v>1854</v>
      </c>
      <c r="G1064" s="515" t="s">
        <v>3734</v>
      </c>
      <c r="H1064" s="514" t="s">
        <v>1251</v>
      </c>
      <c r="I1064" s="515"/>
      <c r="J1064" s="515">
        <v>1</v>
      </c>
    </row>
    <row r="1065" spans="1:10" ht="13.8" thickBot="1">
      <c r="A1065" s="517"/>
      <c r="B1065" s="518" t="s">
        <v>14157</v>
      </c>
      <c r="C1065" s="533"/>
      <c r="D1065" s="514" t="s">
        <v>14156</v>
      </c>
      <c r="E1065" s="515">
        <v>5</v>
      </c>
      <c r="F1065" s="518" t="s">
        <v>614</v>
      </c>
      <c r="G1065" s="515" t="s">
        <v>1793</v>
      </c>
      <c r="H1065" s="514" t="s">
        <v>1841</v>
      </c>
      <c r="I1065" s="522"/>
      <c r="J1065" s="522">
        <v>10</v>
      </c>
    </row>
    <row r="1066" spans="1:10" ht="13.8" thickBot="1">
      <c r="A1066" s="517"/>
      <c r="B1066" s="518" t="s">
        <v>13052</v>
      </c>
      <c r="C1066" s="533"/>
      <c r="D1066" s="519" t="s">
        <v>13051</v>
      </c>
      <c r="E1066" s="515">
        <v>5</v>
      </c>
      <c r="F1066" s="518" t="s">
        <v>614</v>
      </c>
      <c r="G1066" s="515" t="s">
        <v>2957</v>
      </c>
      <c r="H1066" s="514" t="s">
        <v>1841</v>
      </c>
      <c r="I1066" s="515">
        <v>2</v>
      </c>
      <c r="J1066" s="515">
        <v>17</v>
      </c>
    </row>
    <row r="1067" spans="1:10" ht="13.8" thickBot="1">
      <c r="A1067" s="517"/>
      <c r="B1067" s="518" t="s">
        <v>13778</v>
      </c>
      <c r="C1067" s="533"/>
      <c r="D1067" s="514" t="s">
        <v>13777</v>
      </c>
      <c r="E1067" s="515">
        <v>5</v>
      </c>
      <c r="F1067" s="518" t="s">
        <v>614</v>
      </c>
      <c r="G1067" s="515" t="s">
        <v>2152</v>
      </c>
      <c r="H1067" s="514" t="s">
        <v>1841</v>
      </c>
      <c r="I1067" s="515"/>
      <c r="J1067" s="515">
        <v>13</v>
      </c>
    </row>
    <row r="1068" spans="1:10" ht="13.8" thickBot="1">
      <c r="A1068" s="517"/>
      <c r="B1068" s="518" t="s">
        <v>13050</v>
      </c>
      <c r="C1068" s="533"/>
      <c r="D1068" s="514" t="s">
        <v>13049</v>
      </c>
      <c r="E1068" s="515">
        <v>5</v>
      </c>
      <c r="F1068" s="518" t="s">
        <v>614</v>
      </c>
      <c r="G1068" s="515" t="s">
        <v>2957</v>
      </c>
      <c r="H1068" s="514" t="s">
        <v>2374</v>
      </c>
      <c r="I1068" s="515"/>
      <c r="J1068" s="515">
        <v>5</v>
      </c>
    </row>
    <row r="1069" spans="1:10" ht="13.8" thickBot="1">
      <c r="A1069" s="517"/>
      <c r="B1069" s="518" t="s">
        <v>14155</v>
      </c>
      <c r="C1069" s="533"/>
      <c r="D1069" s="514" t="s">
        <v>14154</v>
      </c>
      <c r="E1069" s="515">
        <v>5</v>
      </c>
      <c r="F1069" s="514"/>
      <c r="G1069" s="515" t="s">
        <v>1793</v>
      </c>
      <c r="H1069" s="514" t="s">
        <v>1226</v>
      </c>
      <c r="I1069" s="515">
        <v>2</v>
      </c>
      <c r="J1069" s="515">
        <v>5</v>
      </c>
    </row>
    <row r="1070" spans="1:10" ht="13.8" thickBot="1">
      <c r="A1070" s="517"/>
      <c r="B1070" s="518" t="s">
        <v>14153</v>
      </c>
      <c r="C1070" s="533"/>
      <c r="D1070" s="514" t="s">
        <v>1792</v>
      </c>
      <c r="E1070" s="515">
        <v>5</v>
      </c>
      <c r="F1070" s="518" t="s">
        <v>1854</v>
      </c>
      <c r="G1070" s="515" t="s">
        <v>1793</v>
      </c>
      <c r="H1070" s="514" t="s">
        <v>1226</v>
      </c>
      <c r="I1070" s="515">
        <v>2</v>
      </c>
      <c r="J1070" s="515">
        <v>4</v>
      </c>
    </row>
    <row r="1071" spans="1:10" ht="13.8" thickBot="1">
      <c r="A1071" s="517"/>
      <c r="B1071" s="518" t="s">
        <v>14152</v>
      </c>
      <c r="C1071" s="533"/>
      <c r="D1071" s="514" t="s">
        <v>1792</v>
      </c>
      <c r="E1071" s="515">
        <v>5</v>
      </c>
      <c r="F1071" s="518" t="s">
        <v>614</v>
      </c>
      <c r="G1071" s="515" t="s">
        <v>1793</v>
      </c>
      <c r="H1071" s="514" t="s">
        <v>1226</v>
      </c>
      <c r="I1071" s="515"/>
      <c r="J1071" s="515">
        <v>2</v>
      </c>
    </row>
    <row r="1072" spans="1:10" ht="13.8" thickBot="1">
      <c r="A1072" s="517"/>
      <c r="B1072" s="518" t="s">
        <v>14151</v>
      </c>
      <c r="C1072" s="533"/>
      <c r="D1072" s="514" t="s">
        <v>14150</v>
      </c>
      <c r="E1072" s="515">
        <v>5</v>
      </c>
      <c r="F1072" s="518" t="s">
        <v>614</v>
      </c>
      <c r="G1072" s="515" t="s">
        <v>1793</v>
      </c>
      <c r="H1072" s="514" t="s">
        <v>1226</v>
      </c>
      <c r="I1072" s="515"/>
      <c r="J1072" s="515">
        <v>1</v>
      </c>
    </row>
    <row r="1073" spans="1:10" ht="13.8" thickBot="1">
      <c r="A1073" s="517"/>
      <c r="B1073" s="518" t="s">
        <v>12118</v>
      </c>
      <c r="C1073" s="533"/>
      <c r="D1073" s="514" t="s">
        <v>4995</v>
      </c>
      <c r="E1073" s="515">
        <v>5</v>
      </c>
      <c r="F1073" s="518" t="s">
        <v>614</v>
      </c>
      <c r="G1073" s="515" t="s">
        <v>4970</v>
      </c>
      <c r="H1073" s="514" t="s">
        <v>1226</v>
      </c>
      <c r="I1073" s="515"/>
      <c r="J1073" s="515">
        <v>5</v>
      </c>
    </row>
    <row r="1074" spans="1:10" ht="13.8" thickBot="1">
      <c r="A1074" s="517"/>
      <c r="B1074" s="518" t="s">
        <v>12063</v>
      </c>
      <c r="C1074" s="533"/>
      <c r="D1074" s="514" t="s">
        <v>12052</v>
      </c>
      <c r="E1074" s="515">
        <v>5</v>
      </c>
      <c r="F1074" s="518" t="s">
        <v>614</v>
      </c>
      <c r="G1074" s="515" t="s">
        <v>5010</v>
      </c>
      <c r="H1074" s="514" t="s">
        <v>1226</v>
      </c>
      <c r="I1074" s="522">
        <v>1</v>
      </c>
      <c r="J1074" s="522">
        <v>7</v>
      </c>
    </row>
    <row r="1075" spans="1:10" ht="13.8" thickBot="1">
      <c r="A1075" s="517"/>
      <c r="B1075" s="518" t="s">
        <v>12062</v>
      </c>
      <c r="C1075" s="533"/>
      <c r="D1075" s="514" t="s">
        <v>1767</v>
      </c>
      <c r="E1075" s="515">
        <v>5</v>
      </c>
      <c r="F1075" s="518" t="s">
        <v>614</v>
      </c>
      <c r="G1075" s="515" t="s">
        <v>5010</v>
      </c>
      <c r="H1075" s="514" t="s">
        <v>1226</v>
      </c>
      <c r="I1075" s="515">
        <v>1</v>
      </c>
      <c r="J1075" s="515">
        <v>4</v>
      </c>
    </row>
    <row r="1076" spans="1:10" ht="13.8" thickBot="1">
      <c r="A1076" s="517"/>
      <c r="B1076" s="518" t="s">
        <v>12061</v>
      </c>
      <c r="C1076" s="533"/>
      <c r="D1076" s="519" t="s">
        <v>12060</v>
      </c>
      <c r="E1076" s="515">
        <v>5</v>
      </c>
      <c r="F1076" s="518" t="s">
        <v>614</v>
      </c>
      <c r="G1076" s="515" t="s">
        <v>5010</v>
      </c>
      <c r="H1076" s="514" t="s">
        <v>1226</v>
      </c>
      <c r="I1076" s="515"/>
      <c r="J1076" s="515">
        <v>2</v>
      </c>
    </row>
    <row r="1077" spans="1:10" ht="13.8" thickBot="1">
      <c r="A1077" s="517"/>
      <c r="B1077" s="518" t="s">
        <v>13633</v>
      </c>
      <c r="C1077" s="533"/>
      <c r="D1077" s="519" t="s">
        <v>2297</v>
      </c>
      <c r="E1077" s="515">
        <v>5</v>
      </c>
      <c r="F1077" s="518" t="s">
        <v>614</v>
      </c>
      <c r="G1077" s="515" t="s">
        <v>2289</v>
      </c>
      <c r="H1077" s="514" t="s">
        <v>1226</v>
      </c>
      <c r="I1077" s="515"/>
      <c r="J1077" s="515">
        <v>5</v>
      </c>
    </row>
    <row r="1078" spans="1:10" ht="13.8" thickBot="1">
      <c r="A1078" s="517"/>
      <c r="B1078" s="518" t="s">
        <v>13580</v>
      </c>
      <c r="C1078" s="533"/>
      <c r="D1078" s="514" t="s">
        <v>13579</v>
      </c>
      <c r="E1078" s="515">
        <v>5</v>
      </c>
      <c r="F1078" s="514"/>
      <c r="G1078" s="515" t="s">
        <v>2449</v>
      </c>
      <c r="H1078" s="514" t="s">
        <v>1226</v>
      </c>
      <c r="I1078" s="515"/>
      <c r="J1078" s="515">
        <v>1</v>
      </c>
    </row>
    <row r="1079" spans="1:10" ht="13.8" thickBot="1">
      <c r="A1079" s="517"/>
      <c r="B1079" s="518" t="s">
        <v>13334</v>
      </c>
      <c r="C1079" s="533"/>
      <c r="D1079" s="514" t="s">
        <v>13333</v>
      </c>
      <c r="E1079" s="515">
        <v>5</v>
      </c>
      <c r="F1079" s="518" t="s">
        <v>614</v>
      </c>
      <c r="G1079" s="515" t="s">
        <v>2523</v>
      </c>
      <c r="H1079" s="514" t="s">
        <v>1226</v>
      </c>
      <c r="I1079" s="515"/>
      <c r="J1079" s="515">
        <v>2</v>
      </c>
    </row>
    <row r="1080" spans="1:10" ht="13.8" thickBot="1">
      <c r="A1080" s="517"/>
      <c r="B1080" s="518" t="s">
        <v>13332</v>
      </c>
      <c r="C1080" s="533"/>
      <c r="D1080" s="514" t="s">
        <v>13331</v>
      </c>
      <c r="E1080" s="515">
        <v>5</v>
      </c>
      <c r="F1080" s="518" t="s">
        <v>1854</v>
      </c>
      <c r="G1080" s="515" t="s">
        <v>2523</v>
      </c>
      <c r="H1080" s="514" t="s">
        <v>1226</v>
      </c>
      <c r="I1080" s="515">
        <v>1</v>
      </c>
      <c r="J1080" s="515">
        <v>2</v>
      </c>
    </row>
    <row r="1081" spans="1:10" ht="13.8" thickBot="1">
      <c r="A1081" s="517"/>
      <c r="B1081" s="518" t="s">
        <v>13970</v>
      </c>
      <c r="C1081" s="533"/>
      <c r="D1081" s="514" t="s">
        <v>13969</v>
      </c>
      <c r="E1081" s="515">
        <v>5</v>
      </c>
      <c r="F1081" s="518" t="s">
        <v>614</v>
      </c>
      <c r="G1081" s="515" t="s">
        <v>1922</v>
      </c>
      <c r="H1081" s="514" t="s">
        <v>1226</v>
      </c>
      <c r="I1081" s="515"/>
      <c r="J1081" s="515">
        <v>4</v>
      </c>
    </row>
    <row r="1082" spans="1:10" ht="13.8" thickBot="1">
      <c r="A1082" s="517"/>
      <c r="B1082" s="518" t="s">
        <v>11801</v>
      </c>
      <c r="C1082" s="533"/>
      <c r="D1082" s="514" t="s">
        <v>11533</v>
      </c>
      <c r="E1082" s="515">
        <v>5</v>
      </c>
      <c r="F1082" s="514"/>
      <c r="G1082" s="515" t="s">
        <v>11525</v>
      </c>
      <c r="H1082" s="514" t="s">
        <v>1226</v>
      </c>
      <c r="I1082" s="515"/>
      <c r="J1082" s="515">
        <v>1</v>
      </c>
    </row>
    <row r="1083" spans="1:10" ht="13.8" thickBot="1">
      <c r="A1083" s="517"/>
      <c r="B1083" s="518" t="s">
        <v>11700</v>
      </c>
      <c r="C1083" s="533"/>
      <c r="D1083" s="514" t="s">
        <v>11533</v>
      </c>
      <c r="E1083" s="515">
        <v>5</v>
      </c>
      <c r="F1083" s="514"/>
      <c r="G1083" s="515" t="s">
        <v>11525</v>
      </c>
      <c r="H1083" s="514" t="s">
        <v>1226</v>
      </c>
      <c r="I1083" s="515"/>
      <c r="J1083" s="515">
        <v>1</v>
      </c>
    </row>
    <row r="1084" spans="1:10" ht="13.8" thickBot="1">
      <c r="A1084" s="517"/>
      <c r="B1084" s="518" t="s">
        <v>11699</v>
      </c>
      <c r="C1084" s="533"/>
      <c r="D1084" s="514" t="s">
        <v>11533</v>
      </c>
      <c r="E1084" s="515">
        <v>5</v>
      </c>
      <c r="F1084" s="514"/>
      <c r="G1084" s="515" t="s">
        <v>11525</v>
      </c>
      <c r="H1084" s="514" t="s">
        <v>1226</v>
      </c>
      <c r="I1084" s="515"/>
      <c r="J1084" s="515">
        <v>1</v>
      </c>
    </row>
    <row r="1085" spans="1:10" ht="13.8" thickBot="1">
      <c r="A1085" s="517"/>
      <c r="B1085" s="518" t="s">
        <v>13205</v>
      </c>
      <c r="C1085" s="533"/>
      <c r="D1085" s="514" t="s">
        <v>1331</v>
      </c>
      <c r="E1085" s="515">
        <v>5</v>
      </c>
      <c r="F1085" s="518" t="s">
        <v>614</v>
      </c>
      <c r="G1085" s="515" t="s">
        <v>2797</v>
      </c>
      <c r="H1085" s="514" t="s">
        <v>1226</v>
      </c>
      <c r="I1085" s="515"/>
      <c r="J1085" s="515">
        <v>5</v>
      </c>
    </row>
    <row r="1086" spans="1:10" ht="13.8" thickBot="1">
      <c r="A1086" s="517"/>
      <c r="B1086" s="518" t="s">
        <v>13182</v>
      </c>
      <c r="C1086" s="533"/>
      <c r="D1086" s="514" t="s">
        <v>1340</v>
      </c>
      <c r="E1086" s="515">
        <v>5</v>
      </c>
      <c r="F1086" s="518" t="s">
        <v>614</v>
      </c>
      <c r="G1086" s="515" t="s">
        <v>2841</v>
      </c>
      <c r="H1086" s="514" t="s">
        <v>1226</v>
      </c>
      <c r="I1086" s="515"/>
      <c r="J1086" s="515">
        <v>2</v>
      </c>
    </row>
    <row r="1087" spans="1:10" ht="13.8" thickBot="1">
      <c r="A1087" s="517"/>
      <c r="B1087" s="518" t="s">
        <v>13181</v>
      </c>
      <c r="C1087" s="533"/>
      <c r="D1087" s="514" t="s">
        <v>13180</v>
      </c>
      <c r="E1087" s="515">
        <v>5</v>
      </c>
      <c r="F1087" s="518" t="s">
        <v>614</v>
      </c>
      <c r="G1087" s="515" t="s">
        <v>2841</v>
      </c>
      <c r="H1087" s="514" t="s">
        <v>1226</v>
      </c>
      <c r="I1087" s="522"/>
      <c r="J1087" s="522">
        <v>1</v>
      </c>
    </row>
    <row r="1088" spans="1:10" ht="13.8" thickBot="1">
      <c r="A1088" s="517"/>
      <c r="B1088" s="518" t="s">
        <v>13163</v>
      </c>
      <c r="C1088" s="533"/>
      <c r="D1088" s="514" t="s">
        <v>1365</v>
      </c>
      <c r="E1088" s="515">
        <v>5</v>
      </c>
      <c r="F1088" s="518" t="s">
        <v>614</v>
      </c>
      <c r="G1088" s="515" t="s">
        <v>2943</v>
      </c>
      <c r="H1088" s="514" t="s">
        <v>1226</v>
      </c>
      <c r="I1088" s="515">
        <v>1</v>
      </c>
      <c r="J1088" s="515">
        <v>6</v>
      </c>
    </row>
    <row r="1089" spans="1:10" ht="13.8" thickBot="1">
      <c r="A1089" s="517"/>
      <c r="B1089" s="518" t="s">
        <v>13048</v>
      </c>
      <c r="C1089" s="533"/>
      <c r="D1089" s="514" t="s">
        <v>13047</v>
      </c>
      <c r="E1089" s="515">
        <v>5</v>
      </c>
      <c r="F1089" s="518" t="s">
        <v>614</v>
      </c>
      <c r="G1089" s="515" t="s">
        <v>2957</v>
      </c>
      <c r="H1089" s="514" t="s">
        <v>1226</v>
      </c>
      <c r="I1089" s="515"/>
      <c r="J1089" s="515">
        <v>5</v>
      </c>
    </row>
    <row r="1090" spans="1:10" ht="13.8" thickBot="1">
      <c r="A1090" s="517"/>
      <c r="B1090" s="518" t="s">
        <v>13046</v>
      </c>
      <c r="C1090" s="533"/>
      <c r="D1090" s="514" t="s">
        <v>13045</v>
      </c>
      <c r="E1090" s="515">
        <v>5</v>
      </c>
      <c r="F1090" s="518" t="s">
        <v>614</v>
      </c>
      <c r="G1090" s="515" t="s">
        <v>2957</v>
      </c>
      <c r="H1090" s="514" t="s">
        <v>1226</v>
      </c>
      <c r="I1090" s="515">
        <v>1</v>
      </c>
      <c r="J1090" s="515">
        <v>2</v>
      </c>
    </row>
    <row r="1091" spans="1:10" ht="13.8" thickBot="1">
      <c r="A1091" s="517"/>
      <c r="B1091" s="518" t="s">
        <v>13044</v>
      </c>
      <c r="C1091" s="533"/>
      <c r="D1091" s="514" t="s">
        <v>1552</v>
      </c>
      <c r="E1091" s="515">
        <v>5</v>
      </c>
      <c r="F1091" s="518" t="s">
        <v>1854</v>
      </c>
      <c r="G1091" s="515" t="s">
        <v>2957</v>
      </c>
      <c r="H1091" s="514" t="s">
        <v>1226</v>
      </c>
      <c r="I1091" s="515"/>
      <c r="J1091" s="515">
        <v>1</v>
      </c>
    </row>
    <row r="1092" spans="1:10" ht="13.8" thickBot="1">
      <c r="A1092" s="517"/>
      <c r="B1092" s="518" t="s">
        <v>13043</v>
      </c>
      <c r="C1092" s="533"/>
      <c r="D1092" s="514" t="s">
        <v>13042</v>
      </c>
      <c r="E1092" s="515">
        <v>5</v>
      </c>
      <c r="F1092" s="518" t="s">
        <v>614</v>
      </c>
      <c r="G1092" s="515" t="s">
        <v>2957</v>
      </c>
      <c r="H1092" s="514" t="s">
        <v>1226</v>
      </c>
      <c r="I1092" s="515"/>
      <c r="J1092" s="515">
        <v>1</v>
      </c>
    </row>
    <row r="1093" spans="1:10" ht="13.8" thickBot="1">
      <c r="A1093" s="517"/>
      <c r="B1093" s="518" t="s">
        <v>12903</v>
      </c>
      <c r="C1093" s="533"/>
      <c r="D1093" s="514" t="s">
        <v>12902</v>
      </c>
      <c r="E1093" s="515">
        <v>5</v>
      </c>
      <c r="F1093" s="518" t="s">
        <v>1854</v>
      </c>
      <c r="G1093" s="515" t="s">
        <v>3285</v>
      </c>
      <c r="H1093" s="514" t="s">
        <v>1226</v>
      </c>
      <c r="I1093" s="515"/>
      <c r="J1093" s="515">
        <v>3</v>
      </c>
    </row>
    <row r="1094" spans="1:10" ht="13.8" thickBot="1">
      <c r="A1094" s="517"/>
      <c r="B1094" s="518" t="s">
        <v>12733</v>
      </c>
      <c r="C1094" s="533"/>
      <c r="D1094" s="514" t="s">
        <v>12732</v>
      </c>
      <c r="E1094" s="515">
        <v>5</v>
      </c>
      <c r="F1094" s="518" t="s">
        <v>614</v>
      </c>
      <c r="G1094" s="515" t="s">
        <v>3517</v>
      </c>
      <c r="H1094" s="514" t="s">
        <v>1226</v>
      </c>
      <c r="I1094" s="515"/>
      <c r="J1094" s="515">
        <v>1</v>
      </c>
    </row>
    <row r="1095" spans="1:10" ht="13.8" thickBot="1">
      <c r="A1095" s="517"/>
      <c r="B1095" s="518" t="s">
        <v>12621</v>
      </c>
      <c r="C1095" s="533"/>
      <c r="D1095" s="514" t="s">
        <v>3795</v>
      </c>
      <c r="E1095" s="515">
        <v>5</v>
      </c>
      <c r="F1095" s="518" t="s">
        <v>1854</v>
      </c>
      <c r="G1095" s="515" t="s">
        <v>3734</v>
      </c>
      <c r="H1095" s="514" t="s">
        <v>1226</v>
      </c>
      <c r="I1095" s="515">
        <v>1</v>
      </c>
      <c r="J1095" s="515">
        <v>5</v>
      </c>
    </row>
    <row r="1096" spans="1:10" ht="13.8" thickBot="1">
      <c r="A1096" s="517"/>
      <c r="B1096" s="518" t="s">
        <v>12561</v>
      </c>
      <c r="C1096" s="533"/>
      <c r="D1096" s="514" t="s">
        <v>3833</v>
      </c>
      <c r="E1096" s="515">
        <v>5</v>
      </c>
      <c r="F1096" s="518" t="s">
        <v>1854</v>
      </c>
      <c r="G1096" s="515" t="s">
        <v>3807</v>
      </c>
      <c r="H1096" s="514" t="s">
        <v>1226</v>
      </c>
      <c r="I1096" s="515"/>
      <c r="J1096" s="515">
        <v>2</v>
      </c>
    </row>
    <row r="1097" spans="1:10" ht="13.8" thickBot="1">
      <c r="A1097" s="517"/>
      <c r="B1097" s="518" t="s">
        <v>12508</v>
      </c>
      <c r="C1097" s="533"/>
      <c r="D1097" s="514" t="s">
        <v>12507</v>
      </c>
      <c r="E1097" s="515">
        <v>5</v>
      </c>
      <c r="F1097" s="518" t="s">
        <v>614</v>
      </c>
      <c r="G1097" s="515" t="s">
        <v>3856</v>
      </c>
      <c r="H1097" s="514" t="s">
        <v>1226</v>
      </c>
      <c r="I1097" s="515"/>
      <c r="J1097" s="515">
        <v>2</v>
      </c>
    </row>
    <row r="1098" spans="1:10" ht="13.8" thickBot="1">
      <c r="A1098" s="517"/>
      <c r="B1098" s="518" t="s">
        <v>12506</v>
      </c>
      <c r="C1098" s="533"/>
      <c r="D1098" s="514" t="s">
        <v>12505</v>
      </c>
      <c r="E1098" s="515">
        <v>5</v>
      </c>
      <c r="F1098" s="518" t="s">
        <v>614</v>
      </c>
      <c r="G1098" s="515" t="s">
        <v>3856</v>
      </c>
      <c r="H1098" s="514" t="s">
        <v>1226</v>
      </c>
      <c r="I1098" s="515"/>
      <c r="J1098" s="515">
        <v>2</v>
      </c>
    </row>
    <row r="1099" spans="1:10" ht="13.8" thickBot="1">
      <c r="A1099" s="517"/>
      <c r="B1099" s="518" t="s">
        <v>12504</v>
      </c>
      <c r="C1099" s="533"/>
      <c r="D1099" s="514" t="s">
        <v>12503</v>
      </c>
      <c r="E1099" s="515">
        <v>5</v>
      </c>
      <c r="F1099" s="514"/>
      <c r="G1099" s="515" t="s">
        <v>3856</v>
      </c>
      <c r="H1099" s="514" t="s">
        <v>1226</v>
      </c>
      <c r="I1099" s="515"/>
      <c r="J1099" s="515">
        <v>2</v>
      </c>
    </row>
    <row r="1100" spans="1:10" ht="13.8" thickBot="1">
      <c r="A1100" s="517"/>
      <c r="B1100" s="518" t="s">
        <v>12463</v>
      </c>
      <c r="C1100" s="533"/>
      <c r="D1100" s="514" t="s">
        <v>12462</v>
      </c>
      <c r="E1100" s="515">
        <v>5</v>
      </c>
      <c r="F1100" s="518" t="s">
        <v>614</v>
      </c>
      <c r="G1100" s="515" t="s">
        <v>3996</v>
      </c>
      <c r="H1100" s="514" t="s">
        <v>1226</v>
      </c>
      <c r="I1100" s="522"/>
      <c r="J1100" s="522">
        <v>2</v>
      </c>
    </row>
    <row r="1101" spans="1:10" ht="13.8" thickBot="1">
      <c r="A1101" s="517"/>
      <c r="B1101" s="518" t="s">
        <v>12436</v>
      </c>
      <c r="C1101" s="533"/>
      <c r="D1101" s="514" t="s">
        <v>12435</v>
      </c>
      <c r="E1101" s="515">
        <v>5</v>
      </c>
      <c r="F1101" s="518" t="s">
        <v>614</v>
      </c>
      <c r="G1101" s="515" t="s">
        <v>4067</v>
      </c>
      <c r="H1101" s="514" t="s">
        <v>1226</v>
      </c>
      <c r="I1101" s="515"/>
      <c r="J1101" s="515">
        <v>1</v>
      </c>
    </row>
    <row r="1102" spans="1:10" ht="13.8" thickBot="1">
      <c r="A1102" s="517"/>
      <c r="B1102" s="518" t="s">
        <v>12368</v>
      </c>
      <c r="C1102" s="533"/>
      <c r="D1102" s="519" t="s">
        <v>12367</v>
      </c>
      <c r="E1102" s="515">
        <v>5</v>
      </c>
      <c r="F1102" s="518" t="s">
        <v>614</v>
      </c>
      <c r="G1102" s="515" t="s">
        <v>4160</v>
      </c>
      <c r="H1102" s="514" t="s">
        <v>1226</v>
      </c>
      <c r="I1102" s="515"/>
      <c r="J1102" s="515">
        <v>3</v>
      </c>
    </row>
    <row r="1103" spans="1:10" ht="13.8" thickBot="1">
      <c r="A1103" s="517"/>
      <c r="B1103" s="518" t="s">
        <v>12366</v>
      </c>
      <c r="C1103" s="533"/>
      <c r="D1103" s="519" t="s">
        <v>4161</v>
      </c>
      <c r="E1103" s="515">
        <v>5</v>
      </c>
      <c r="F1103" s="518" t="s">
        <v>614</v>
      </c>
      <c r="G1103" s="515" t="s">
        <v>4160</v>
      </c>
      <c r="H1103" s="514" t="s">
        <v>1226</v>
      </c>
      <c r="I1103" s="515"/>
      <c r="J1103" s="515">
        <v>2</v>
      </c>
    </row>
    <row r="1104" spans="1:10" ht="13.8" thickBot="1">
      <c r="A1104" s="517"/>
      <c r="B1104" s="518" t="s">
        <v>12314</v>
      </c>
      <c r="C1104" s="533"/>
      <c r="D1104" s="514" t="s">
        <v>12313</v>
      </c>
      <c r="E1104" s="515">
        <v>5</v>
      </c>
      <c r="F1104" s="518" t="s">
        <v>614</v>
      </c>
      <c r="G1104" s="515" t="s">
        <v>4214</v>
      </c>
      <c r="H1104" s="514" t="s">
        <v>1226</v>
      </c>
      <c r="I1104" s="515">
        <v>1</v>
      </c>
      <c r="J1104" s="515">
        <v>3</v>
      </c>
    </row>
    <row r="1105" spans="1:10" ht="13.8" thickBot="1">
      <c r="A1105" s="517"/>
      <c r="B1105" s="518" t="s">
        <v>13776</v>
      </c>
      <c r="C1105" s="533"/>
      <c r="D1105" s="514" t="s">
        <v>13775</v>
      </c>
      <c r="E1105" s="515">
        <v>5</v>
      </c>
      <c r="F1105" s="518" t="s">
        <v>614</v>
      </c>
      <c r="G1105" s="515" t="s">
        <v>2152</v>
      </c>
      <c r="H1105" s="514" t="s">
        <v>1226</v>
      </c>
      <c r="I1105" s="515"/>
      <c r="J1105" s="515">
        <v>11</v>
      </c>
    </row>
    <row r="1106" spans="1:10" ht="13.8" thickBot="1">
      <c r="A1106" s="517"/>
      <c r="B1106" s="518" t="s">
        <v>13774</v>
      </c>
      <c r="C1106" s="533"/>
      <c r="D1106" s="514" t="s">
        <v>1270</v>
      </c>
      <c r="E1106" s="515">
        <v>5</v>
      </c>
      <c r="F1106" s="518" t="s">
        <v>1854</v>
      </c>
      <c r="G1106" s="515" t="s">
        <v>2152</v>
      </c>
      <c r="H1106" s="514" t="s">
        <v>1226</v>
      </c>
      <c r="I1106" s="515"/>
      <c r="J1106" s="515">
        <v>2</v>
      </c>
    </row>
    <row r="1107" spans="1:10" ht="13.8" thickBot="1">
      <c r="A1107" s="517"/>
      <c r="B1107" s="518" t="s">
        <v>13773</v>
      </c>
      <c r="C1107" s="533"/>
      <c r="D1107" s="519" t="s">
        <v>13772</v>
      </c>
      <c r="E1107" s="515">
        <v>5</v>
      </c>
      <c r="F1107" s="518" t="s">
        <v>1854</v>
      </c>
      <c r="G1107" s="515" t="s">
        <v>2152</v>
      </c>
      <c r="H1107" s="514" t="s">
        <v>2067</v>
      </c>
      <c r="I1107" s="515">
        <v>1</v>
      </c>
      <c r="J1107" s="515">
        <v>6</v>
      </c>
    </row>
    <row r="1108" spans="1:10" ht="13.8" thickBot="1">
      <c r="A1108" s="517"/>
      <c r="B1108" s="518" t="s">
        <v>14149</v>
      </c>
      <c r="C1108" s="533"/>
      <c r="D1108" s="514" t="s">
        <v>14148</v>
      </c>
      <c r="E1108" s="515">
        <v>5</v>
      </c>
      <c r="F1108" s="518" t="s">
        <v>614</v>
      </c>
      <c r="G1108" s="515" t="s">
        <v>1793</v>
      </c>
      <c r="H1108" s="514" t="s">
        <v>1224</v>
      </c>
      <c r="I1108" s="515"/>
      <c r="J1108" s="515">
        <v>4</v>
      </c>
    </row>
    <row r="1109" spans="1:10" ht="13.8" thickBot="1">
      <c r="A1109" s="517"/>
      <c r="B1109" s="518" t="s">
        <v>14147</v>
      </c>
      <c r="C1109" s="533"/>
      <c r="D1109" s="514" t="s">
        <v>14146</v>
      </c>
      <c r="E1109" s="515">
        <v>5</v>
      </c>
      <c r="F1109" s="518" t="s">
        <v>1854</v>
      </c>
      <c r="G1109" s="515" t="s">
        <v>1793</v>
      </c>
      <c r="H1109" s="514" t="s">
        <v>1224</v>
      </c>
      <c r="I1109" s="515"/>
      <c r="J1109" s="515">
        <v>2</v>
      </c>
    </row>
    <row r="1110" spans="1:10" ht="13.8" thickBot="1">
      <c r="A1110" s="517"/>
      <c r="B1110" s="518" t="s">
        <v>14145</v>
      </c>
      <c r="C1110" s="533"/>
      <c r="D1110" s="514" t="s">
        <v>1792</v>
      </c>
      <c r="E1110" s="515">
        <v>5</v>
      </c>
      <c r="F1110" s="518" t="s">
        <v>1854</v>
      </c>
      <c r="G1110" s="515" t="s">
        <v>1793</v>
      </c>
      <c r="H1110" s="514" t="s">
        <v>1224</v>
      </c>
      <c r="I1110" s="515"/>
      <c r="J1110" s="515">
        <v>1</v>
      </c>
    </row>
    <row r="1111" spans="1:10" ht="13.8" thickBot="1">
      <c r="A1111" s="517"/>
      <c r="B1111" s="518" t="s">
        <v>14144</v>
      </c>
      <c r="C1111" s="533"/>
      <c r="D1111" s="514" t="s">
        <v>14143</v>
      </c>
      <c r="E1111" s="515">
        <v>5</v>
      </c>
      <c r="F1111" s="518" t="s">
        <v>1854</v>
      </c>
      <c r="G1111" s="515" t="s">
        <v>1793</v>
      </c>
      <c r="H1111" s="514" t="s">
        <v>1224</v>
      </c>
      <c r="I1111" s="515"/>
      <c r="J1111" s="515">
        <v>1</v>
      </c>
    </row>
    <row r="1112" spans="1:10" ht="13.8" thickBot="1">
      <c r="A1112" s="517"/>
      <c r="B1112" s="518" t="s">
        <v>14142</v>
      </c>
      <c r="C1112" s="533"/>
      <c r="D1112" s="514" t="s">
        <v>1874</v>
      </c>
      <c r="E1112" s="515">
        <v>5</v>
      </c>
      <c r="F1112" s="514"/>
      <c r="G1112" s="515" t="s">
        <v>1793</v>
      </c>
      <c r="H1112" s="514" t="s">
        <v>1224</v>
      </c>
      <c r="I1112" s="515"/>
      <c r="J1112" s="515">
        <v>1</v>
      </c>
    </row>
    <row r="1113" spans="1:10" ht="13.8" thickBot="1">
      <c r="A1113" s="517"/>
      <c r="B1113" s="518" t="s">
        <v>12117</v>
      </c>
      <c r="C1113" s="533"/>
      <c r="D1113" s="514" t="s">
        <v>12116</v>
      </c>
      <c r="E1113" s="515">
        <v>5</v>
      </c>
      <c r="F1113" s="518" t="s">
        <v>1854</v>
      </c>
      <c r="G1113" s="515" t="s">
        <v>4970</v>
      </c>
      <c r="H1113" s="514" t="s">
        <v>1224</v>
      </c>
      <c r="I1113" s="515"/>
      <c r="J1113" s="515">
        <v>1</v>
      </c>
    </row>
    <row r="1114" spans="1:10" ht="13.8" thickBot="1">
      <c r="A1114" s="517"/>
      <c r="B1114" s="518" t="s">
        <v>12059</v>
      </c>
      <c r="C1114" s="533"/>
      <c r="D1114" s="519" t="s">
        <v>12058</v>
      </c>
      <c r="E1114" s="515">
        <v>5</v>
      </c>
      <c r="F1114" s="514"/>
      <c r="G1114" s="515" t="s">
        <v>5010</v>
      </c>
      <c r="H1114" s="514" t="s">
        <v>1224</v>
      </c>
      <c r="I1114" s="515"/>
      <c r="J1114" s="515">
        <v>1</v>
      </c>
    </row>
    <row r="1115" spans="1:10" ht="13.8" thickBot="1">
      <c r="A1115" s="517"/>
      <c r="B1115" s="518" t="s">
        <v>11951</v>
      </c>
      <c r="C1115" s="533"/>
      <c r="D1115" s="514" t="s">
        <v>11950</v>
      </c>
      <c r="E1115" s="515">
        <v>5</v>
      </c>
      <c r="F1115" s="518" t="s">
        <v>614</v>
      </c>
      <c r="G1115" s="515" t="s">
        <v>5196</v>
      </c>
      <c r="H1115" s="514" t="s">
        <v>1224</v>
      </c>
      <c r="I1115" s="515"/>
      <c r="J1115" s="515">
        <v>2</v>
      </c>
    </row>
    <row r="1116" spans="1:10" ht="13.8" thickBot="1">
      <c r="A1116" s="517"/>
      <c r="B1116" s="518" t="s">
        <v>11944</v>
      </c>
      <c r="C1116" s="533"/>
      <c r="D1116" s="514" t="s">
        <v>11943</v>
      </c>
      <c r="E1116" s="515">
        <v>5</v>
      </c>
      <c r="F1116" s="518" t="s">
        <v>1854</v>
      </c>
      <c r="G1116" s="515" t="s">
        <v>5219</v>
      </c>
      <c r="H1116" s="514" t="s">
        <v>1224</v>
      </c>
      <c r="I1116" s="515"/>
      <c r="J1116" s="515">
        <v>1</v>
      </c>
    </row>
    <row r="1117" spans="1:10" ht="13.8" thickBot="1">
      <c r="A1117" s="517"/>
      <c r="B1117" s="518" t="s">
        <v>11914</v>
      </c>
      <c r="C1117" s="533"/>
      <c r="D1117" s="514" t="s">
        <v>11913</v>
      </c>
      <c r="E1117" s="515">
        <v>5</v>
      </c>
      <c r="F1117" s="514"/>
      <c r="G1117" s="515" t="s">
        <v>5226</v>
      </c>
      <c r="H1117" s="514" t="s">
        <v>1224</v>
      </c>
      <c r="I1117" s="515"/>
      <c r="J1117" s="515">
        <v>3</v>
      </c>
    </row>
    <row r="1118" spans="1:10" ht="13.8" thickBot="1">
      <c r="A1118" s="517"/>
      <c r="B1118" s="518" t="s">
        <v>13632</v>
      </c>
      <c r="C1118" s="533"/>
      <c r="D1118" s="514" t="s">
        <v>2297</v>
      </c>
      <c r="E1118" s="515">
        <v>5</v>
      </c>
      <c r="F1118" s="518" t="s">
        <v>614</v>
      </c>
      <c r="G1118" s="515" t="s">
        <v>2289</v>
      </c>
      <c r="H1118" s="514" t="s">
        <v>1224</v>
      </c>
      <c r="I1118" s="515"/>
      <c r="J1118" s="515">
        <v>7</v>
      </c>
    </row>
    <row r="1119" spans="1:10" ht="13.8" thickBot="1">
      <c r="A1119" s="517"/>
      <c r="B1119" s="518" t="s">
        <v>13631</v>
      </c>
      <c r="C1119" s="533"/>
      <c r="D1119" s="519" t="s">
        <v>1726</v>
      </c>
      <c r="E1119" s="515">
        <v>5</v>
      </c>
      <c r="F1119" s="518" t="s">
        <v>614</v>
      </c>
      <c r="G1119" s="515" t="s">
        <v>2289</v>
      </c>
      <c r="H1119" s="514" t="s">
        <v>1224</v>
      </c>
      <c r="I1119" s="522"/>
      <c r="J1119" s="522">
        <v>4</v>
      </c>
    </row>
    <row r="1120" spans="1:10" ht="13.8" thickBot="1">
      <c r="A1120" s="517"/>
      <c r="B1120" s="518" t="s">
        <v>13630</v>
      </c>
      <c r="C1120" s="533"/>
      <c r="D1120" s="514" t="s">
        <v>13629</v>
      </c>
      <c r="E1120" s="515">
        <v>5</v>
      </c>
      <c r="F1120" s="518" t="s">
        <v>2223</v>
      </c>
      <c r="G1120" s="515" t="s">
        <v>2289</v>
      </c>
      <c r="H1120" s="514" t="s">
        <v>1224</v>
      </c>
      <c r="I1120" s="515"/>
      <c r="J1120" s="515">
        <v>2</v>
      </c>
    </row>
    <row r="1121" spans="1:10" ht="13.8" thickBot="1">
      <c r="A1121" s="517"/>
      <c r="B1121" s="518" t="s">
        <v>13578</v>
      </c>
      <c r="C1121" s="533"/>
      <c r="D1121" s="514" t="s">
        <v>13577</v>
      </c>
      <c r="E1121" s="515">
        <v>5</v>
      </c>
      <c r="F1121" s="514"/>
      <c r="G1121" s="515" t="s">
        <v>2449</v>
      </c>
      <c r="H1121" s="514" t="s">
        <v>1224</v>
      </c>
      <c r="I1121" s="515"/>
      <c r="J1121" s="515">
        <v>2</v>
      </c>
    </row>
    <row r="1122" spans="1:10" ht="13.8" thickBot="1">
      <c r="A1122" s="517"/>
      <c r="B1122" s="518" t="s">
        <v>13576</v>
      </c>
      <c r="C1122" s="533"/>
      <c r="D1122" s="514" t="s">
        <v>13575</v>
      </c>
      <c r="E1122" s="515">
        <v>5</v>
      </c>
      <c r="F1122" s="518" t="s">
        <v>614</v>
      </c>
      <c r="G1122" s="515" t="s">
        <v>2449</v>
      </c>
      <c r="H1122" s="514" t="s">
        <v>1224</v>
      </c>
      <c r="I1122" s="515"/>
      <c r="J1122" s="515">
        <v>1</v>
      </c>
    </row>
    <row r="1123" spans="1:10" ht="13.8" thickBot="1">
      <c r="A1123" s="517"/>
      <c r="B1123" s="518" t="s">
        <v>13330</v>
      </c>
      <c r="C1123" s="533"/>
      <c r="D1123" s="514" t="s">
        <v>1300</v>
      </c>
      <c r="E1123" s="515">
        <v>5</v>
      </c>
      <c r="F1123" s="518" t="s">
        <v>614</v>
      </c>
      <c r="G1123" s="515" t="s">
        <v>2523</v>
      </c>
      <c r="H1123" s="514" t="s">
        <v>1224</v>
      </c>
      <c r="I1123" s="515"/>
      <c r="J1123" s="515">
        <v>2</v>
      </c>
    </row>
    <row r="1124" spans="1:10" ht="13.8" thickBot="1">
      <c r="A1124" s="517"/>
      <c r="B1124" s="518" t="s">
        <v>13329</v>
      </c>
      <c r="C1124" s="533"/>
      <c r="D1124" s="514" t="s">
        <v>1300</v>
      </c>
      <c r="E1124" s="515">
        <v>5</v>
      </c>
      <c r="F1124" s="518" t="s">
        <v>1854</v>
      </c>
      <c r="G1124" s="515" t="s">
        <v>2523</v>
      </c>
      <c r="H1124" s="514" t="s">
        <v>1224</v>
      </c>
      <c r="I1124" s="515"/>
      <c r="J1124" s="515">
        <v>2</v>
      </c>
    </row>
    <row r="1125" spans="1:10" ht="13.8" thickBot="1">
      <c r="A1125" s="517"/>
      <c r="B1125" s="518" t="s">
        <v>13328</v>
      </c>
      <c r="C1125" s="533"/>
      <c r="D1125" s="514" t="s">
        <v>1300</v>
      </c>
      <c r="E1125" s="515">
        <v>5</v>
      </c>
      <c r="F1125" s="514"/>
      <c r="G1125" s="515" t="s">
        <v>2523</v>
      </c>
      <c r="H1125" s="514" t="s">
        <v>1224</v>
      </c>
      <c r="I1125" s="515"/>
      <c r="J1125" s="515">
        <v>2</v>
      </c>
    </row>
    <row r="1126" spans="1:10" ht="13.8" thickBot="1">
      <c r="A1126" s="517"/>
      <c r="B1126" s="518" t="s">
        <v>13327</v>
      </c>
      <c r="C1126" s="533"/>
      <c r="D1126" s="514" t="s">
        <v>1300</v>
      </c>
      <c r="E1126" s="515">
        <v>5</v>
      </c>
      <c r="F1126" s="518" t="s">
        <v>614</v>
      </c>
      <c r="G1126" s="515" t="s">
        <v>2523</v>
      </c>
      <c r="H1126" s="514" t="s">
        <v>1224</v>
      </c>
      <c r="I1126" s="515"/>
      <c r="J1126" s="515">
        <v>1</v>
      </c>
    </row>
    <row r="1127" spans="1:10" ht="13.8" thickBot="1">
      <c r="A1127" s="517"/>
      <c r="B1127" s="518" t="s">
        <v>13326</v>
      </c>
      <c r="C1127" s="533"/>
      <c r="D1127" s="514" t="s">
        <v>1300</v>
      </c>
      <c r="E1127" s="515">
        <v>5</v>
      </c>
      <c r="F1127" s="514"/>
      <c r="G1127" s="515" t="s">
        <v>2523</v>
      </c>
      <c r="H1127" s="514" t="s">
        <v>1224</v>
      </c>
      <c r="I1127" s="515"/>
      <c r="J1127" s="515">
        <v>1</v>
      </c>
    </row>
    <row r="1128" spans="1:10" ht="13.8" thickBot="1">
      <c r="A1128" s="517"/>
      <c r="B1128" s="518" t="s">
        <v>13325</v>
      </c>
      <c r="C1128" s="533"/>
      <c r="D1128" s="514" t="s">
        <v>1300</v>
      </c>
      <c r="E1128" s="515">
        <v>5</v>
      </c>
      <c r="F1128" s="514"/>
      <c r="G1128" s="515" t="s">
        <v>2523</v>
      </c>
      <c r="H1128" s="514" t="s">
        <v>1224</v>
      </c>
      <c r="I1128" s="515"/>
      <c r="J1128" s="515">
        <v>1</v>
      </c>
    </row>
    <row r="1129" spans="1:10" ht="13.8" thickBot="1">
      <c r="A1129" s="517"/>
      <c r="B1129" s="518" t="s">
        <v>13162</v>
      </c>
      <c r="C1129" s="533"/>
      <c r="D1129" s="514" t="s">
        <v>1365</v>
      </c>
      <c r="E1129" s="515">
        <v>5</v>
      </c>
      <c r="F1129" s="518" t="s">
        <v>13161</v>
      </c>
      <c r="G1129" s="515" t="s">
        <v>2943</v>
      </c>
      <c r="H1129" s="514" t="s">
        <v>1224</v>
      </c>
      <c r="I1129" s="522"/>
      <c r="J1129" s="522">
        <v>2</v>
      </c>
    </row>
    <row r="1130" spans="1:10" ht="13.8" thickBot="1">
      <c r="A1130" s="517"/>
      <c r="B1130" s="518" t="s">
        <v>13041</v>
      </c>
      <c r="C1130" s="533"/>
      <c r="D1130" s="514" t="s">
        <v>1552</v>
      </c>
      <c r="E1130" s="515">
        <v>5</v>
      </c>
      <c r="F1130" s="514"/>
      <c r="G1130" s="515" t="s">
        <v>2957</v>
      </c>
      <c r="H1130" s="514" t="s">
        <v>1224</v>
      </c>
      <c r="I1130" s="515"/>
      <c r="J1130" s="515">
        <v>4</v>
      </c>
    </row>
    <row r="1131" spans="1:10" ht="13.8" thickBot="1">
      <c r="A1131" s="517"/>
      <c r="B1131" s="518" t="s">
        <v>13040</v>
      </c>
      <c r="C1131" s="533"/>
      <c r="D1131" s="514" t="s">
        <v>1554</v>
      </c>
      <c r="E1131" s="515">
        <v>5</v>
      </c>
      <c r="F1131" s="514"/>
      <c r="G1131" s="515" t="s">
        <v>2957</v>
      </c>
      <c r="H1131" s="514" t="s">
        <v>1224</v>
      </c>
      <c r="I1131" s="515"/>
      <c r="J1131" s="515">
        <v>1</v>
      </c>
    </row>
    <row r="1132" spans="1:10" ht="13.8" thickBot="1">
      <c r="A1132" s="517"/>
      <c r="B1132" s="518" t="s">
        <v>12901</v>
      </c>
      <c r="C1132" s="533"/>
      <c r="D1132" s="514" t="s">
        <v>12900</v>
      </c>
      <c r="E1132" s="515">
        <v>5</v>
      </c>
      <c r="F1132" s="518" t="s">
        <v>614</v>
      </c>
      <c r="G1132" s="515" t="s">
        <v>3285</v>
      </c>
      <c r="H1132" s="514" t="s">
        <v>1224</v>
      </c>
      <c r="I1132" s="515"/>
      <c r="J1132" s="515">
        <v>3</v>
      </c>
    </row>
    <row r="1133" spans="1:10" ht="13.8" thickBot="1">
      <c r="A1133" s="517"/>
      <c r="B1133" s="518" t="s">
        <v>12899</v>
      </c>
      <c r="C1133" s="533"/>
      <c r="D1133" s="514" t="s">
        <v>12898</v>
      </c>
      <c r="E1133" s="515">
        <v>5</v>
      </c>
      <c r="F1133" s="518" t="s">
        <v>614</v>
      </c>
      <c r="G1133" s="515" t="s">
        <v>3285</v>
      </c>
      <c r="H1133" s="514" t="s">
        <v>1224</v>
      </c>
      <c r="I1133" s="515"/>
      <c r="J1133" s="515">
        <v>1</v>
      </c>
    </row>
    <row r="1134" spans="1:10" ht="13.8" thickBot="1">
      <c r="A1134" s="517"/>
      <c r="B1134" s="518" t="s">
        <v>12731</v>
      </c>
      <c r="C1134" s="533"/>
      <c r="D1134" s="514" t="s">
        <v>12730</v>
      </c>
      <c r="E1134" s="515">
        <v>5</v>
      </c>
      <c r="F1134" s="518" t="s">
        <v>1854</v>
      </c>
      <c r="G1134" s="515" t="s">
        <v>3517</v>
      </c>
      <c r="H1134" s="514" t="s">
        <v>1224</v>
      </c>
      <c r="I1134" s="515"/>
      <c r="J1134" s="515">
        <v>1</v>
      </c>
    </row>
    <row r="1135" spans="1:10" ht="13.8" thickBot="1">
      <c r="A1135" s="517"/>
      <c r="B1135" s="518" t="s">
        <v>12729</v>
      </c>
      <c r="C1135" s="533"/>
      <c r="D1135" s="514" t="s">
        <v>12728</v>
      </c>
      <c r="E1135" s="515">
        <v>5</v>
      </c>
      <c r="F1135" s="518" t="s">
        <v>1854</v>
      </c>
      <c r="G1135" s="515" t="s">
        <v>3517</v>
      </c>
      <c r="H1135" s="514" t="s">
        <v>1224</v>
      </c>
      <c r="I1135" s="515"/>
      <c r="J1135" s="515">
        <v>1</v>
      </c>
    </row>
    <row r="1136" spans="1:10" ht="13.8" thickBot="1">
      <c r="A1136" s="517"/>
      <c r="B1136" s="518" t="s">
        <v>12560</v>
      </c>
      <c r="C1136" s="533"/>
      <c r="D1136" s="514" t="s">
        <v>12559</v>
      </c>
      <c r="E1136" s="515">
        <v>5</v>
      </c>
      <c r="F1136" s="518" t="s">
        <v>1854</v>
      </c>
      <c r="G1136" s="515" t="s">
        <v>3807</v>
      </c>
      <c r="H1136" s="514" t="s">
        <v>1224</v>
      </c>
      <c r="I1136" s="515"/>
      <c r="J1136" s="515">
        <v>1</v>
      </c>
    </row>
    <row r="1137" spans="1:10" ht="13.8" thickBot="1">
      <c r="A1137" s="517"/>
      <c r="B1137" s="518" t="s">
        <v>12312</v>
      </c>
      <c r="C1137" s="533"/>
      <c r="D1137" s="514" t="s">
        <v>4292</v>
      </c>
      <c r="E1137" s="515">
        <v>5</v>
      </c>
      <c r="F1137" s="518" t="s">
        <v>1854</v>
      </c>
      <c r="G1137" s="515" t="s">
        <v>4214</v>
      </c>
      <c r="H1137" s="514" t="s">
        <v>1224</v>
      </c>
      <c r="I1137" s="515">
        <v>2</v>
      </c>
      <c r="J1137" s="515">
        <v>3</v>
      </c>
    </row>
    <row r="1138" spans="1:10" ht="13.8" thickBot="1">
      <c r="A1138" s="517"/>
      <c r="B1138" s="518" t="s">
        <v>12311</v>
      </c>
      <c r="C1138" s="533"/>
      <c r="D1138" s="514" t="s">
        <v>1607</v>
      </c>
      <c r="E1138" s="515">
        <v>5</v>
      </c>
      <c r="F1138" s="514"/>
      <c r="G1138" s="515" t="s">
        <v>4214</v>
      </c>
      <c r="H1138" s="514" t="s">
        <v>1224</v>
      </c>
      <c r="I1138" s="515">
        <v>1</v>
      </c>
      <c r="J1138" s="515">
        <v>2</v>
      </c>
    </row>
    <row r="1139" spans="1:10" ht="13.8" thickBot="1">
      <c r="A1139" s="517"/>
      <c r="B1139" s="518" t="s">
        <v>12310</v>
      </c>
      <c r="C1139" s="533"/>
      <c r="D1139" s="514" t="s">
        <v>4292</v>
      </c>
      <c r="E1139" s="515">
        <v>5</v>
      </c>
      <c r="F1139" s="514"/>
      <c r="G1139" s="515" t="s">
        <v>4214</v>
      </c>
      <c r="H1139" s="514" t="s">
        <v>1224</v>
      </c>
      <c r="I1139" s="515"/>
      <c r="J1139" s="515">
        <v>2</v>
      </c>
    </row>
    <row r="1140" spans="1:10" ht="13.8" thickBot="1">
      <c r="A1140" s="517"/>
      <c r="B1140" s="518" t="s">
        <v>12309</v>
      </c>
      <c r="C1140" s="533"/>
      <c r="D1140" s="514" t="s">
        <v>12308</v>
      </c>
      <c r="E1140" s="515">
        <v>5</v>
      </c>
      <c r="F1140" s="518" t="s">
        <v>614</v>
      </c>
      <c r="G1140" s="515" t="s">
        <v>4214</v>
      </c>
      <c r="H1140" s="514" t="s">
        <v>1224</v>
      </c>
      <c r="I1140" s="515"/>
      <c r="J1140" s="515">
        <v>1</v>
      </c>
    </row>
    <row r="1141" spans="1:10" ht="13.8" thickBot="1">
      <c r="A1141" s="517"/>
      <c r="B1141" s="518" t="s">
        <v>13771</v>
      </c>
      <c r="C1141" s="533"/>
      <c r="D1141" s="514" t="s">
        <v>1270</v>
      </c>
      <c r="E1141" s="515">
        <v>5</v>
      </c>
      <c r="F1141" s="518" t="s">
        <v>614</v>
      </c>
      <c r="G1141" s="515" t="s">
        <v>2152</v>
      </c>
      <c r="H1141" s="514" t="s">
        <v>1224</v>
      </c>
      <c r="I1141" s="515"/>
      <c r="J1141" s="515">
        <v>1</v>
      </c>
    </row>
    <row r="1142" spans="1:10" ht="13.8" thickBot="1">
      <c r="A1142" s="517"/>
      <c r="B1142" s="518" t="s">
        <v>11912</v>
      </c>
      <c r="C1142" s="533"/>
      <c r="D1142" s="514" t="s">
        <v>11911</v>
      </c>
      <c r="E1142" s="515">
        <v>5</v>
      </c>
      <c r="F1142" s="518" t="s">
        <v>614</v>
      </c>
      <c r="G1142" s="515" t="s">
        <v>5226</v>
      </c>
      <c r="H1142" s="514" t="s">
        <v>1220</v>
      </c>
      <c r="I1142" s="515"/>
      <c r="J1142" s="515">
        <v>4</v>
      </c>
    </row>
    <row r="1143" spans="1:10" ht="13.8" thickBot="1">
      <c r="A1143" s="517"/>
      <c r="B1143" s="518" t="s">
        <v>12480</v>
      </c>
      <c r="C1143" s="533"/>
      <c r="D1143" s="514" t="s">
        <v>12479</v>
      </c>
      <c r="E1143" s="515">
        <v>5</v>
      </c>
      <c r="F1143" s="518" t="s">
        <v>614</v>
      </c>
      <c r="G1143" s="515" t="s">
        <v>3932</v>
      </c>
      <c r="H1143" s="514" t="s">
        <v>1220</v>
      </c>
      <c r="I1143" s="522">
        <v>1</v>
      </c>
      <c r="J1143" s="522">
        <v>2</v>
      </c>
    </row>
    <row r="1144" spans="1:10" ht="13.8" thickBot="1">
      <c r="A1144" s="517"/>
      <c r="B1144" s="518" t="s">
        <v>12390</v>
      </c>
      <c r="C1144" s="533"/>
      <c r="D1144" s="514" t="s">
        <v>4142</v>
      </c>
      <c r="E1144" s="515">
        <v>5</v>
      </c>
      <c r="F1144" s="518" t="s">
        <v>614</v>
      </c>
      <c r="G1144" s="515" t="s">
        <v>4140</v>
      </c>
      <c r="H1144" s="514" t="s">
        <v>1220</v>
      </c>
      <c r="I1144" s="515"/>
      <c r="J1144" s="515">
        <v>2</v>
      </c>
    </row>
    <row r="1145" spans="1:10" ht="13.8" thickBot="1">
      <c r="A1145" s="517"/>
      <c r="B1145" s="518" t="s">
        <v>14141</v>
      </c>
      <c r="C1145" s="533"/>
      <c r="D1145" s="514" t="s">
        <v>14140</v>
      </c>
      <c r="E1145" s="515">
        <v>5</v>
      </c>
      <c r="F1145" s="518" t="s">
        <v>1854</v>
      </c>
      <c r="G1145" s="515" t="s">
        <v>1793</v>
      </c>
      <c r="H1145" s="514"/>
      <c r="I1145" s="522"/>
      <c r="J1145" s="522">
        <v>13</v>
      </c>
    </row>
    <row r="1146" spans="1:10" ht="13.8" thickBot="1">
      <c r="A1146" s="517"/>
      <c r="B1146" s="518" t="s">
        <v>14139</v>
      </c>
      <c r="C1146" s="533"/>
      <c r="D1146" s="514" t="s">
        <v>1850</v>
      </c>
      <c r="E1146" s="515">
        <v>5</v>
      </c>
      <c r="F1146" s="518" t="s">
        <v>614</v>
      </c>
      <c r="G1146" s="515" t="s">
        <v>1793</v>
      </c>
      <c r="H1146" s="514"/>
      <c r="I1146" s="522">
        <v>1</v>
      </c>
      <c r="J1146" s="522">
        <v>5</v>
      </c>
    </row>
    <row r="1147" spans="1:10" ht="13.8" thickBot="1">
      <c r="A1147" s="517"/>
      <c r="B1147" s="518" t="s">
        <v>14138</v>
      </c>
      <c r="C1147" s="533"/>
      <c r="D1147" s="514" t="s">
        <v>14137</v>
      </c>
      <c r="E1147" s="515">
        <v>5</v>
      </c>
      <c r="F1147" s="518" t="s">
        <v>614</v>
      </c>
      <c r="G1147" s="515" t="s">
        <v>1793</v>
      </c>
      <c r="H1147" s="514"/>
      <c r="I1147" s="515"/>
      <c r="J1147" s="515">
        <v>3</v>
      </c>
    </row>
    <row r="1148" spans="1:10" ht="13.8" thickBot="1">
      <c r="A1148" s="517"/>
      <c r="B1148" s="518" t="s">
        <v>14136</v>
      </c>
      <c r="C1148" s="533"/>
      <c r="D1148" s="514" t="s">
        <v>14135</v>
      </c>
      <c r="E1148" s="515">
        <v>5</v>
      </c>
      <c r="F1148" s="518" t="s">
        <v>614</v>
      </c>
      <c r="G1148" s="515" t="s">
        <v>1793</v>
      </c>
      <c r="H1148" s="514"/>
      <c r="I1148" s="522"/>
      <c r="J1148" s="522">
        <v>2</v>
      </c>
    </row>
    <row r="1149" spans="1:10" ht="13.8" thickBot="1">
      <c r="A1149" s="517"/>
      <c r="B1149" s="518" t="s">
        <v>14134</v>
      </c>
      <c r="C1149" s="533"/>
      <c r="D1149" s="514" t="s">
        <v>14133</v>
      </c>
      <c r="E1149" s="515">
        <v>5</v>
      </c>
      <c r="F1149" s="514"/>
      <c r="G1149" s="515" t="s">
        <v>1793</v>
      </c>
      <c r="H1149" s="514"/>
      <c r="I1149" s="515"/>
      <c r="J1149" s="515">
        <v>2</v>
      </c>
    </row>
    <row r="1150" spans="1:10" ht="13.8" thickBot="1">
      <c r="A1150" s="517"/>
      <c r="B1150" s="518" t="s">
        <v>14132</v>
      </c>
      <c r="C1150" s="533"/>
      <c r="D1150" s="514" t="s">
        <v>14131</v>
      </c>
      <c r="E1150" s="515">
        <v>5</v>
      </c>
      <c r="F1150" s="518" t="s">
        <v>614</v>
      </c>
      <c r="G1150" s="515" t="s">
        <v>1793</v>
      </c>
      <c r="H1150" s="514"/>
      <c r="I1150" s="515"/>
      <c r="J1150" s="515">
        <v>1</v>
      </c>
    </row>
    <row r="1151" spans="1:10" ht="13.8" thickBot="1">
      <c r="A1151" s="517"/>
      <c r="B1151" s="518" t="s">
        <v>14130</v>
      </c>
      <c r="C1151" s="533"/>
      <c r="D1151" s="514" t="s">
        <v>14129</v>
      </c>
      <c r="E1151" s="515">
        <v>5</v>
      </c>
      <c r="F1151" s="518" t="s">
        <v>614</v>
      </c>
      <c r="G1151" s="515" t="s">
        <v>1793</v>
      </c>
      <c r="H1151" s="514"/>
      <c r="I1151" s="515"/>
      <c r="J1151" s="515">
        <v>1</v>
      </c>
    </row>
    <row r="1152" spans="1:10" ht="13.8" thickBot="1">
      <c r="A1152" s="517"/>
      <c r="B1152" s="518" t="s">
        <v>14128</v>
      </c>
      <c r="C1152" s="533"/>
      <c r="D1152" s="514" t="s">
        <v>14127</v>
      </c>
      <c r="E1152" s="515">
        <v>5</v>
      </c>
      <c r="F1152" s="518" t="s">
        <v>614</v>
      </c>
      <c r="G1152" s="515" t="s">
        <v>1793</v>
      </c>
      <c r="H1152" s="514"/>
      <c r="I1152" s="515"/>
      <c r="J1152" s="515">
        <v>1</v>
      </c>
    </row>
    <row r="1153" spans="1:10" ht="13.8" thickBot="1">
      <c r="A1153" s="517"/>
      <c r="B1153" s="518" t="s">
        <v>14126</v>
      </c>
      <c r="C1153" s="533"/>
      <c r="D1153" s="514" t="s">
        <v>14125</v>
      </c>
      <c r="E1153" s="515">
        <v>5</v>
      </c>
      <c r="F1153" s="518" t="s">
        <v>1854</v>
      </c>
      <c r="G1153" s="515" t="s">
        <v>1793</v>
      </c>
      <c r="H1153" s="514"/>
      <c r="I1153" s="515"/>
      <c r="J1153" s="515">
        <v>1</v>
      </c>
    </row>
    <row r="1154" spans="1:10" ht="13.8" thickBot="1">
      <c r="A1154" s="517"/>
      <c r="B1154" s="518" t="s">
        <v>14124</v>
      </c>
      <c r="C1154" s="533"/>
      <c r="D1154" s="514" t="s">
        <v>1792</v>
      </c>
      <c r="E1154" s="515">
        <v>5</v>
      </c>
      <c r="F1154" s="518" t="s">
        <v>1854</v>
      </c>
      <c r="G1154" s="515" t="s">
        <v>1793</v>
      </c>
      <c r="H1154" s="514"/>
      <c r="I1154" s="515"/>
      <c r="J1154" s="515">
        <v>1</v>
      </c>
    </row>
    <row r="1155" spans="1:10" ht="13.8" thickBot="1">
      <c r="A1155" s="517"/>
      <c r="B1155" s="518" t="s">
        <v>14123</v>
      </c>
      <c r="C1155" s="533"/>
      <c r="D1155" s="514" t="s">
        <v>1792</v>
      </c>
      <c r="E1155" s="515">
        <v>5</v>
      </c>
      <c r="F1155" s="518" t="s">
        <v>1854</v>
      </c>
      <c r="G1155" s="515" t="s">
        <v>1793</v>
      </c>
      <c r="H1155" s="514"/>
      <c r="I1155" s="515">
        <v>1</v>
      </c>
      <c r="J1155" s="515">
        <v>1</v>
      </c>
    </row>
    <row r="1156" spans="1:10" ht="13.8" thickBot="1">
      <c r="A1156" s="517"/>
      <c r="B1156" s="518" t="s">
        <v>14122</v>
      </c>
      <c r="C1156" s="533"/>
      <c r="D1156" s="514" t="s">
        <v>1792</v>
      </c>
      <c r="E1156" s="515">
        <v>5</v>
      </c>
      <c r="F1156" s="518" t="s">
        <v>1854</v>
      </c>
      <c r="G1156" s="515" t="s">
        <v>1793</v>
      </c>
      <c r="H1156" s="514"/>
      <c r="I1156" s="515"/>
      <c r="J1156" s="515">
        <v>1</v>
      </c>
    </row>
    <row r="1157" spans="1:10" ht="13.8" thickBot="1">
      <c r="A1157" s="517"/>
      <c r="B1157" s="518" t="s">
        <v>14121</v>
      </c>
      <c r="C1157" s="533"/>
      <c r="D1157" s="514" t="s">
        <v>1792</v>
      </c>
      <c r="E1157" s="515">
        <v>5</v>
      </c>
      <c r="F1157" s="518" t="s">
        <v>614</v>
      </c>
      <c r="G1157" s="515" t="s">
        <v>1793</v>
      </c>
      <c r="H1157" s="514"/>
      <c r="I1157" s="515"/>
      <c r="J1157" s="515">
        <v>1</v>
      </c>
    </row>
    <row r="1158" spans="1:10" ht="13.8" thickBot="1">
      <c r="A1158" s="517"/>
      <c r="B1158" s="518" t="s">
        <v>14120</v>
      </c>
      <c r="C1158" s="533"/>
      <c r="D1158" s="514" t="s">
        <v>1792</v>
      </c>
      <c r="E1158" s="515">
        <v>5</v>
      </c>
      <c r="F1158" s="514"/>
      <c r="G1158" s="515" t="s">
        <v>1793</v>
      </c>
      <c r="H1158" s="514"/>
      <c r="I1158" s="515"/>
      <c r="J1158" s="515">
        <v>1</v>
      </c>
    </row>
    <row r="1159" spans="1:10" ht="13.8" thickBot="1">
      <c r="A1159" s="517"/>
      <c r="B1159" s="518" t="s">
        <v>14119</v>
      </c>
      <c r="C1159" s="533"/>
      <c r="D1159" s="514" t="s">
        <v>1792</v>
      </c>
      <c r="E1159" s="515">
        <v>5</v>
      </c>
      <c r="F1159" s="514"/>
      <c r="G1159" s="515" t="s">
        <v>1793</v>
      </c>
      <c r="H1159" s="514"/>
      <c r="I1159" s="515"/>
      <c r="J1159" s="515">
        <v>1</v>
      </c>
    </row>
    <row r="1160" spans="1:10" ht="13.8" thickBot="1">
      <c r="A1160" s="517"/>
      <c r="B1160" s="518" t="s">
        <v>14118</v>
      </c>
      <c r="C1160" s="533"/>
      <c r="D1160" s="514" t="s">
        <v>1802</v>
      </c>
      <c r="E1160" s="515">
        <v>5</v>
      </c>
      <c r="F1160" s="518" t="s">
        <v>1854</v>
      </c>
      <c r="G1160" s="515" t="s">
        <v>1793</v>
      </c>
      <c r="H1160" s="514"/>
      <c r="I1160" s="515"/>
      <c r="J1160" s="515"/>
    </row>
    <row r="1161" spans="1:10" ht="13.8" thickBot="1">
      <c r="A1161" s="517"/>
      <c r="B1161" s="518" t="s">
        <v>14117</v>
      </c>
      <c r="C1161" s="533"/>
      <c r="D1161" s="514" t="s">
        <v>1792</v>
      </c>
      <c r="E1161" s="515">
        <v>5</v>
      </c>
      <c r="F1161" s="518" t="s">
        <v>1854</v>
      </c>
      <c r="G1161" s="515" t="s">
        <v>1793</v>
      </c>
      <c r="H1161" s="514"/>
      <c r="I1161" s="515"/>
      <c r="J1161" s="515"/>
    </row>
    <row r="1162" spans="1:10" ht="13.8" thickBot="1">
      <c r="A1162" s="517"/>
      <c r="B1162" s="518" t="s">
        <v>14116</v>
      </c>
      <c r="C1162" s="533"/>
      <c r="D1162" s="514" t="s">
        <v>14115</v>
      </c>
      <c r="E1162" s="515">
        <v>5</v>
      </c>
      <c r="F1162" s="518" t="s">
        <v>11609</v>
      </c>
      <c r="G1162" s="515" t="s">
        <v>1793</v>
      </c>
      <c r="H1162" s="514"/>
      <c r="I1162" s="515"/>
      <c r="J1162" s="515"/>
    </row>
    <row r="1163" spans="1:10" ht="13.8" thickBot="1">
      <c r="A1163" s="517"/>
      <c r="B1163" s="518" t="s">
        <v>14114</v>
      </c>
      <c r="C1163" s="533"/>
      <c r="D1163" s="514" t="s">
        <v>14113</v>
      </c>
      <c r="E1163" s="515">
        <v>5</v>
      </c>
      <c r="F1163" s="514"/>
      <c r="G1163" s="515" t="s">
        <v>1793</v>
      </c>
      <c r="H1163" s="514"/>
      <c r="I1163" s="515"/>
      <c r="J1163" s="515"/>
    </row>
    <row r="1164" spans="1:10" ht="13.8" thickBot="1">
      <c r="A1164" s="517"/>
      <c r="B1164" s="518" t="s">
        <v>12164</v>
      </c>
      <c r="C1164" s="533"/>
      <c r="D1164" s="514" t="s">
        <v>12163</v>
      </c>
      <c r="E1164" s="515">
        <v>5</v>
      </c>
      <c r="F1164" s="518" t="s">
        <v>614</v>
      </c>
      <c r="G1164" s="515" t="s">
        <v>4918</v>
      </c>
      <c r="H1164" s="514"/>
      <c r="I1164" s="515"/>
      <c r="J1164" s="515">
        <v>1</v>
      </c>
    </row>
    <row r="1165" spans="1:10" ht="13.8" thickBot="1">
      <c r="A1165" s="517"/>
      <c r="B1165" s="518" t="s">
        <v>12162</v>
      </c>
      <c r="C1165" s="533"/>
      <c r="D1165" s="514" t="s">
        <v>12161</v>
      </c>
      <c r="E1165" s="515">
        <v>5</v>
      </c>
      <c r="F1165" s="514"/>
      <c r="G1165" s="515" t="s">
        <v>4918</v>
      </c>
      <c r="H1165" s="514"/>
      <c r="I1165" s="515"/>
      <c r="J1165" s="515"/>
    </row>
    <row r="1166" spans="1:10" ht="13.8" thickBot="1">
      <c r="A1166" s="517"/>
      <c r="B1166" s="518" t="s">
        <v>12115</v>
      </c>
      <c r="C1166" s="533"/>
      <c r="D1166" s="514" t="s">
        <v>12114</v>
      </c>
      <c r="E1166" s="515">
        <v>5</v>
      </c>
      <c r="F1166" s="518" t="s">
        <v>614</v>
      </c>
      <c r="G1166" s="515" t="s">
        <v>4970</v>
      </c>
      <c r="H1166" s="514"/>
      <c r="I1166" s="515"/>
      <c r="J1166" s="515">
        <v>1</v>
      </c>
    </row>
    <row r="1167" spans="1:10" ht="13.8" thickBot="1">
      <c r="A1167" s="517"/>
      <c r="B1167" s="518" t="s">
        <v>12113</v>
      </c>
      <c r="C1167" s="533"/>
      <c r="D1167" s="514" t="s">
        <v>1593</v>
      </c>
      <c r="E1167" s="515">
        <v>5</v>
      </c>
      <c r="F1167" s="514"/>
      <c r="G1167" s="515" t="s">
        <v>4970</v>
      </c>
      <c r="H1167" s="514"/>
      <c r="I1167" s="515"/>
      <c r="J1167" s="515">
        <v>1</v>
      </c>
    </row>
    <row r="1168" spans="1:10" ht="13.8" thickBot="1">
      <c r="A1168" s="517"/>
      <c r="B1168" s="518" t="s">
        <v>12112</v>
      </c>
      <c r="C1168" s="533"/>
      <c r="D1168" s="514" t="s">
        <v>1593</v>
      </c>
      <c r="E1168" s="515">
        <v>5</v>
      </c>
      <c r="F1168" s="518" t="s">
        <v>1854</v>
      </c>
      <c r="G1168" s="515" t="s">
        <v>4970</v>
      </c>
      <c r="H1168" s="514"/>
      <c r="I1168" s="515"/>
      <c r="J1168" s="515"/>
    </row>
    <row r="1169" spans="1:10" ht="13.8" thickBot="1">
      <c r="A1169" s="517"/>
      <c r="B1169" s="518" t="s">
        <v>12111</v>
      </c>
      <c r="C1169" s="533"/>
      <c r="D1169" s="514" t="s">
        <v>1593</v>
      </c>
      <c r="E1169" s="515">
        <v>5</v>
      </c>
      <c r="F1169" s="518" t="s">
        <v>1854</v>
      </c>
      <c r="G1169" s="515" t="s">
        <v>4970</v>
      </c>
      <c r="H1169" s="514"/>
      <c r="I1169" s="515"/>
      <c r="J1169" s="515"/>
    </row>
    <row r="1170" spans="1:10" ht="13.8" thickBot="1">
      <c r="A1170" s="517"/>
      <c r="B1170" s="518" t="s">
        <v>12110</v>
      </c>
      <c r="C1170" s="533"/>
      <c r="D1170" s="514" t="s">
        <v>1593</v>
      </c>
      <c r="E1170" s="515">
        <v>5</v>
      </c>
      <c r="F1170" s="514"/>
      <c r="G1170" s="515" t="s">
        <v>4970</v>
      </c>
      <c r="H1170" s="514"/>
      <c r="I1170" s="515"/>
      <c r="J1170" s="515"/>
    </row>
    <row r="1171" spans="1:10" ht="13.8" thickBot="1">
      <c r="A1171" s="517"/>
      <c r="B1171" s="518" t="s">
        <v>12109</v>
      </c>
      <c r="C1171" s="533"/>
      <c r="D1171" s="514" t="s">
        <v>12108</v>
      </c>
      <c r="E1171" s="515">
        <v>5</v>
      </c>
      <c r="F1171" s="514"/>
      <c r="G1171" s="515" t="s">
        <v>4970</v>
      </c>
      <c r="H1171" s="514"/>
      <c r="I1171" s="515"/>
      <c r="J1171" s="515"/>
    </row>
    <row r="1172" spans="1:10" ht="13.8" thickBot="1">
      <c r="A1172" s="517"/>
      <c r="B1172" s="518" t="s">
        <v>12057</v>
      </c>
      <c r="C1172" s="533"/>
      <c r="D1172" s="514" t="s">
        <v>12056</v>
      </c>
      <c r="E1172" s="515">
        <v>5</v>
      </c>
      <c r="F1172" s="514"/>
      <c r="G1172" s="515" t="s">
        <v>5010</v>
      </c>
      <c r="H1172" s="514"/>
      <c r="I1172" s="515"/>
      <c r="J1172" s="515">
        <v>5</v>
      </c>
    </row>
    <row r="1173" spans="1:10" ht="13.8" thickBot="1">
      <c r="A1173" s="517"/>
      <c r="B1173" s="518" t="s">
        <v>12055</v>
      </c>
      <c r="C1173" s="533"/>
      <c r="D1173" s="514" t="s">
        <v>1767</v>
      </c>
      <c r="E1173" s="515">
        <v>5</v>
      </c>
      <c r="F1173" s="518" t="s">
        <v>614</v>
      </c>
      <c r="G1173" s="515" t="s">
        <v>5010</v>
      </c>
      <c r="H1173" s="514"/>
      <c r="I1173" s="515"/>
      <c r="J1173" s="515">
        <v>4</v>
      </c>
    </row>
    <row r="1174" spans="1:10" ht="13.8" thickBot="1">
      <c r="A1174" s="517"/>
      <c r="B1174" s="518" t="s">
        <v>12054</v>
      </c>
      <c r="C1174" s="533"/>
      <c r="D1174" s="514" t="s">
        <v>1767</v>
      </c>
      <c r="E1174" s="515">
        <v>5</v>
      </c>
      <c r="F1174" s="518" t="s">
        <v>1854</v>
      </c>
      <c r="G1174" s="515" t="s">
        <v>5010</v>
      </c>
      <c r="H1174" s="514"/>
      <c r="I1174" s="515"/>
      <c r="J1174" s="515">
        <v>1</v>
      </c>
    </row>
    <row r="1175" spans="1:10" ht="13.8" thickBot="1">
      <c r="A1175" s="517"/>
      <c r="B1175" s="518" t="s">
        <v>12024</v>
      </c>
      <c r="C1175" s="533"/>
      <c r="D1175" s="514" t="s">
        <v>12023</v>
      </c>
      <c r="E1175" s="515">
        <v>5</v>
      </c>
      <c r="F1175" s="518" t="s">
        <v>614</v>
      </c>
      <c r="G1175" s="515" t="s">
        <v>5059</v>
      </c>
      <c r="H1175" s="514"/>
      <c r="I1175" s="515"/>
      <c r="J1175" s="515">
        <v>1</v>
      </c>
    </row>
    <row r="1176" spans="1:10" ht="13.8" thickBot="1">
      <c r="A1176" s="517"/>
      <c r="B1176" s="518" t="s">
        <v>11994</v>
      </c>
      <c r="C1176" s="533"/>
      <c r="D1176" s="514" t="s">
        <v>5163</v>
      </c>
      <c r="E1176" s="515">
        <v>5</v>
      </c>
      <c r="F1176" s="514"/>
      <c r="G1176" s="515" t="s">
        <v>5155</v>
      </c>
      <c r="H1176" s="514"/>
      <c r="I1176" s="515"/>
      <c r="J1176" s="515">
        <v>1</v>
      </c>
    </row>
    <row r="1177" spans="1:10" ht="13.8" thickBot="1">
      <c r="A1177" s="517"/>
      <c r="B1177" s="518" t="s">
        <v>11910</v>
      </c>
      <c r="C1177" s="533"/>
      <c r="D1177" s="514" t="s">
        <v>5227</v>
      </c>
      <c r="E1177" s="515">
        <v>5</v>
      </c>
      <c r="F1177" s="514"/>
      <c r="G1177" s="515" t="s">
        <v>5226</v>
      </c>
      <c r="H1177" s="514"/>
      <c r="I1177" s="515"/>
      <c r="J1177" s="515">
        <v>1</v>
      </c>
    </row>
    <row r="1178" spans="1:10" ht="13.8" thickBot="1">
      <c r="A1178" s="517"/>
      <c r="B1178" s="518" t="s">
        <v>13628</v>
      </c>
      <c r="C1178" s="533"/>
      <c r="D1178" s="514" t="s">
        <v>1727</v>
      </c>
      <c r="E1178" s="515">
        <v>5</v>
      </c>
      <c r="F1178" s="518" t="s">
        <v>614</v>
      </c>
      <c r="G1178" s="515" t="s">
        <v>2289</v>
      </c>
      <c r="H1178" s="514"/>
      <c r="I1178" s="515"/>
      <c r="J1178" s="515">
        <v>3</v>
      </c>
    </row>
    <row r="1179" spans="1:10" ht="13.8" thickBot="1">
      <c r="A1179" s="517"/>
      <c r="B1179" s="518" t="s">
        <v>13627</v>
      </c>
      <c r="C1179" s="533"/>
      <c r="D1179" s="514" t="s">
        <v>13626</v>
      </c>
      <c r="E1179" s="515">
        <v>5</v>
      </c>
      <c r="F1179" s="514"/>
      <c r="G1179" s="515" t="s">
        <v>2289</v>
      </c>
      <c r="H1179" s="514"/>
      <c r="I1179" s="515"/>
      <c r="J1179" s="515">
        <v>2</v>
      </c>
    </row>
    <row r="1180" spans="1:10" ht="13.8" thickBot="1">
      <c r="A1180" s="517"/>
      <c r="B1180" s="518" t="s">
        <v>13625</v>
      </c>
      <c r="C1180" s="533"/>
      <c r="D1180" s="514" t="s">
        <v>13624</v>
      </c>
      <c r="E1180" s="515">
        <v>5</v>
      </c>
      <c r="F1180" s="518" t="s">
        <v>614</v>
      </c>
      <c r="G1180" s="515" t="s">
        <v>2289</v>
      </c>
      <c r="H1180" s="514"/>
      <c r="I1180" s="515"/>
      <c r="J1180" s="515">
        <v>1</v>
      </c>
    </row>
    <row r="1181" spans="1:10" ht="13.8" thickBot="1">
      <c r="A1181" s="517"/>
      <c r="B1181" s="518" t="s">
        <v>13623</v>
      </c>
      <c r="C1181" s="533"/>
      <c r="D1181" s="514" t="s">
        <v>13622</v>
      </c>
      <c r="E1181" s="515">
        <v>5</v>
      </c>
      <c r="F1181" s="518" t="s">
        <v>614</v>
      </c>
      <c r="G1181" s="515" t="s">
        <v>2289</v>
      </c>
      <c r="H1181" s="514"/>
      <c r="I1181" s="515"/>
      <c r="J1181" s="515">
        <v>1</v>
      </c>
    </row>
    <row r="1182" spans="1:10" ht="13.8" thickBot="1">
      <c r="A1182" s="517"/>
      <c r="B1182" s="518" t="s">
        <v>13621</v>
      </c>
      <c r="C1182" s="533"/>
      <c r="D1182" s="514" t="s">
        <v>1726</v>
      </c>
      <c r="E1182" s="515">
        <v>5</v>
      </c>
      <c r="F1182" s="514"/>
      <c r="G1182" s="515" t="s">
        <v>2289</v>
      </c>
      <c r="H1182" s="514"/>
      <c r="I1182" s="515"/>
      <c r="J1182" s="515">
        <v>1</v>
      </c>
    </row>
    <row r="1183" spans="1:10" ht="13.8" thickBot="1">
      <c r="A1183" s="517"/>
      <c r="B1183" s="518" t="s">
        <v>13620</v>
      </c>
      <c r="C1183" s="533"/>
      <c r="D1183" s="514" t="s">
        <v>1726</v>
      </c>
      <c r="E1183" s="515">
        <v>5</v>
      </c>
      <c r="F1183" s="514"/>
      <c r="G1183" s="515" t="s">
        <v>2289</v>
      </c>
      <c r="H1183" s="514"/>
      <c r="I1183" s="515"/>
      <c r="J1183" s="515">
        <v>1</v>
      </c>
    </row>
    <row r="1184" spans="1:10" ht="13.8" thickBot="1">
      <c r="A1184" s="517"/>
      <c r="B1184" s="518" t="s">
        <v>13619</v>
      </c>
      <c r="C1184" s="533"/>
      <c r="D1184" s="514" t="s">
        <v>1726</v>
      </c>
      <c r="E1184" s="515">
        <v>5</v>
      </c>
      <c r="F1184" s="514"/>
      <c r="G1184" s="515" t="s">
        <v>2289</v>
      </c>
      <c r="H1184" s="514"/>
      <c r="I1184" s="515"/>
      <c r="J1184" s="515">
        <v>1</v>
      </c>
    </row>
    <row r="1185" spans="1:10" ht="13.8" thickBot="1">
      <c r="A1185" s="517"/>
      <c r="B1185" s="518" t="s">
        <v>11884</v>
      </c>
      <c r="C1185" s="533"/>
      <c r="D1185" s="520" t="s">
        <v>11883</v>
      </c>
      <c r="E1185" s="521">
        <v>5</v>
      </c>
      <c r="F1185" s="518" t="s">
        <v>1854</v>
      </c>
      <c r="G1185" s="515" t="s">
        <v>5269</v>
      </c>
      <c r="H1185" s="514"/>
      <c r="I1185" s="520"/>
      <c r="J1185" s="530">
        <v>1</v>
      </c>
    </row>
    <row r="1186" spans="1:10" ht="13.8" thickBot="1">
      <c r="A1186" s="517"/>
      <c r="B1186" s="518" t="s">
        <v>11844</v>
      </c>
      <c r="C1186" s="533"/>
      <c r="D1186" s="514" t="s">
        <v>1381</v>
      </c>
      <c r="E1186" s="515">
        <v>5</v>
      </c>
      <c r="F1186" s="518" t="s">
        <v>614</v>
      </c>
      <c r="G1186" s="515" t="s">
        <v>5286</v>
      </c>
      <c r="H1186" s="514"/>
      <c r="I1186" s="515"/>
      <c r="J1186" s="515">
        <v>1</v>
      </c>
    </row>
    <row r="1187" spans="1:10" ht="13.8" thickBot="1">
      <c r="A1187" s="517"/>
      <c r="B1187" s="518" t="s">
        <v>11843</v>
      </c>
      <c r="C1187" s="533"/>
      <c r="D1187" s="514" t="s">
        <v>11842</v>
      </c>
      <c r="E1187" s="515">
        <v>5</v>
      </c>
      <c r="F1187" s="518" t="s">
        <v>614</v>
      </c>
      <c r="G1187" s="515" t="s">
        <v>5286</v>
      </c>
      <c r="H1187" s="514"/>
      <c r="I1187" s="515"/>
      <c r="J1187" s="515">
        <v>1</v>
      </c>
    </row>
    <row r="1188" spans="1:10" ht="13.8" thickBot="1">
      <c r="A1188" s="517"/>
      <c r="B1188" s="518" t="s">
        <v>11841</v>
      </c>
      <c r="C1188" s="533"/>
      <c r="D1188" s="514" t="s">
        <v>11840</v>
      </c>
      <c r="E1188" s="515">
        <v>5</v>
      </c>
      <c r="F1188" s="514"/>
      <c r="G1188" s="515" t="s">
        <v>5286</v>
      </c>
      <c r="H1188" s="514"/>
      <c r="I1188" s="515"/>
      <c r="J1188" s="515">
        <v>1</v>
      </c>
    </row>
    <row r="1189" spans="1:10" ht="13.8" thickBot="1">
      <c r="A1189" s="517"/>
      <c r="B1189" s="518" t="s">
        <v>11825</v>
      </c>
      <c r="C1189" s="533"/>
      <c r="D1189" s="514" t="s">
        <v>11824</v>
      </c>
      <c r="E1189" s="515">
        <v>5</v>
      </c>
      <c r="F1189" s="518" t="s">
        <v>11609</v>
      </c>
      <c r="G1189" s="515" t="s">
        <v>5319</v>
      </c>
      <c r="H1189" s="514"/>
      <c r="I1189" s="515"/>
      <c r="J1189" s="515"/>
    </row>
    <row r="1190" spans="1:10" ht="13.8" thickBot="1">
      <c r="A1190" s="517"/>
      <c r="B1190" s="518" t="s">
        <v>13574</v>
      </c>
      <c r="C1190" s="533"/>
      <c r="D1190" s="514" t="s">
        <v>2448</v>
      </c>
      <c r="E1190" s="515">
        <v>5</v>
      </c>
      <c r="F1190" s="514"/>
      <c r="G1190" s="515" t="s">
        <v>2449</v>
      </c>
      <c r="H1190" s="514"/>
      <c r="I1190" s="515"/>
      <c r="J1190" s="515">
        <v>2</v>
      </c>
    </row>
    <row r="1191" spans="1:10" ht="13.8" thickBot="1">
      <c r="A1191" s="517"/>
      <c r="B1191" s="518" t="s">
        <v>13573</v>
      </c>
      <c r="C1191" s="533"/>
      <c r="D1191" s="514" t="s">
        <v>13572</v>
      </c>
      <c r="E1191" s="515">
        <v>5</v>
      </c>
      <c r="F1191" s="514"/>
      <c r="G1191" s="515" t="s">
        <v>2449</v>
      </c>
      <c r="H1191" s="514"/>
      <c r="I1191" s="515"/>
      <c r="J1191" s="515">
        <v>1</v>
      </c>
    </row>
    <row r="1192" spans="1:10" ht="13.8" thickBot="1">
      <c r="A1192" s="517"/>
      <c r="B1192" s="518" t="s">
        <v>13571</v>
      </c>
      <c r="C1192" s="533"/>
      <c r="D1192" s="514" t="s">
        <v>2448</v>
      </c>
      <c r="E1192" s="515">
        <v>5</v>
      </c>
      <c r="F1192" s="514"/>
      <c r="G1192" s="515" t="s">
        <v>2449</v>
      </c>
      <c r="H1192" s="514"/>
      <c r="I1192" s="515"/>
      <c r="J1192" s="515"/>
    </row>
    <row r="1193" spans="1:10" ht="13.8" thickBot="1">
      <c r="A1193" s="517"/>
      <c r="B1193" s="518" t="s">
        <v>13324</v>
      </c>
      <c r="C1193" s="533"/>
      <c r="D1193" s="514" t="s">
        <v>13323</v>
      </c>
      <c r="E1193" s="515">
        <v>5</v>
      </c>
      <c r="F1193" s="518" t="s">
        <v>614</v>
      </c>
      <c r="G1193" s="515" t="s">
        <v>2523</v>
      </c>
      <c r="H1193" s="514"/>
      <c r="I1193" s="515"/>
      <c r="J1193" s="515">
        <v>12</v>
      </c>
    </row>
    <row r="1194" spans="1:10" ht="13.8" thickBot="1">
      <c r="A1194" s="517"/>
      <c r="B1194" s="518" t="s">
        <v>13322</v>
      </c>
      <c r="C1194" s="533"/>
      <c r="D1194" s="514" t="s">
        <v>13321</v>
      </c>
      <c r="E1194" s="515">
        <v>5</v>
      </c>
      <c r="F1194" s="518" t="s">
        <v>614</v>
      </c>
      <c r="G1194" s="515" t="s">
        <v>2523</v>
      </c>
      <c r="H1194" s="514"/>
      <c r="I1194" s="522">
        <v>1</v>
      </c>
      <c r="J1194" s="522">
        <v>8</v>
      </c>
    </row>
    <row r="1195" spans="1:10" ht="13.8" thickBot="1">
      <c r="A1195" s="517"/>
      <c r="B1195" s="518" t="s">
        <v>13320</v>
      </c>
      <c r="C1195" s="533"/>
      <c r="D1195" s="514" t="s">
        <v>2551</v>
      </c>
      <c r="E1195" s="515">
        <v>5</v>
      </c>
      <c r="F1195" s="518" t="s">
        <v>614</v>
      </c>
      <c r="G1195" s="515" t="s">
        <v>2523</v>
      </c>
      <c r="H1195" s="514"/>
      <c r="I1195" s="522"/>
      <c r="J1195" s="522">
        <v>8</v>
      </c>
    </row>
    <row r="1196" spans="1:10" ht="13.8" thickBot="1">
      <c r="A1196" s="517"/>
      <c r="B1196" s="518" t="s">
        <v>13319</v>
      </c>
      <c r="C1196" s="533"/>
      <c r="D1196" s="514" t="s">
        <v>13318</v>
      </c>
      <c r="E1196" s="515">
        <v>5</v>
      </c>
      <c r="F1196" s="518" t="s">
        <v>614</v>
      </c>
      <c r="G1196" s="515" t="s">
        <v>2523</v>
      </c>
      <c r="H1196" s="514"/>
      <c r="I1196" s="515"/>
      <c r="J1196" s="515">
        <v>6</v>
      </c>
    </row>
    <row r="1197" spans="1:10" ht="13.8" thickBot="1">
      <c r="A1197" s="517"/>
      <c r="B1197" s="518" t="s">
        <v>13317</v>
      </c>
      <c r="C1197" s="533"/>
      <c r="D1197" s="514" t="s">
        <v>13316</v>
      </c>
      <c r="E1197" s="515">
        <v>5</v>
      </c>
      <c r="F1197" s="518" t="s">
        <v>614</v>
      </c>
      <c r="G1197" s="515" t="s">
        <v>2523</v>
      </c>
      <c r="H1197" s="514"/>
      <c r="I1197" s="522"/>
      <c r="J1197" s="522">
        <v>3</v>
      </c>
    </row>
    <row r="1198" spans="1:10" ht="13.8" thickBot="1">
      <c r="A1198" s="517"/>
      <c r="B1198" s="518" t="s">
        <v>13315</v>
      </c>
      <c r="C1198" s="533"/>
      <c r="D1198" s="514" t="s">
        <v>13314</v>
      </c>
      <c r="E1198" s="515">
        <v>5</v>
      </c>
      <c r="F1198" s="518" t="s">
        <v>614</v>
      </c>
      <c r="G1198" s="515" t="s">
        <v>2523</v>
      </c>
      <c r="H1198" s="514"/>
      <c r="I1198" s="515"/>
      <c r="J1198" s="515">
        <v>2</v>
      </c>
    </row>
    <row r="1199" spans="1:10" ht="13.8" thickBot="1">
      <c r="A1199" s="517"/>
      <c r="B1199" s="518" t="s">
        <v>13313</v>
      </c>
      <c r="C1199" s="533"/>
      <c r="D1199" s="514" t="s">
        <v>1300</v>
      </c>
      <c r="E1199" s="515">
        <v>5</v>
      </c>
      <c r="F1199" s="518" t="s">
        <v>1854</v>
      </c>
      <c r="G1199" s="515" t="s">
        <v>2523</v>
      </c>
      <c r="H1199" s="514"/>
      <c r="I1199" s="515"/>
      <c r="J1199" s="515">
        <v>2</v>
      </c>
    </row>
    <row r="1200" spans="1:10" ht="13.8" thickBot="1">
      <c r="A1200" s="517"/>
      <c r="B1200" s="518" t="s">
        <v>13312</v>
      </c>
      <c r="C1200" s="533"/>
      <c r="D1200" s="514" t="s">
        <v>1300</v>
      </c>
      <c r="E1200" s="515">
        <v>5</v>
      </c>
      <c r="F1200" s="514"/>
      <c r="G1200" s="515" t="s">
        <v>2523</v>
      </c>
      <c r="H1200" s="514"/>
      <c r="I1200" s="515"/>
      <c r="J1200" s="515">
        <v>2</v>
      </c>
    </row>
    <row r="1201" spans="1:10" ht="13.8" thickBot="1">
      <c r="A1201" s="517"/>
      <c r="B1201" s="518" t="s">
        <v>13311</v>
      </c>
      <c r="C1201" s="533"/>
      <c r="D1201" s="514" t="s">
        <v>13310</v>
      </c>
      <c r="E1201" s="515">
        <v>5</v>
      </c>
      <c r="F1201" s="518" t="s">
        <v>614</v>
      </c>
      <c r="G1201" s="515" t="s">
        <v>2523</v>
      </c>
      <c r="H1201" s="514"/>
      <c r="I1201" s="515"/>
      <c r="J1201" s="515">
        <v>1</v>
      </c>
    </row>
    <row r="1202" spans="1:10" ht="13.8" thickBot="1">
      <c r="A1202" s="517"/>
      <c r="B1202" s="518" t="s">
        <v>13309</v>
      </c>
      <c r="C1202" s="533"/>
      <c r="D1202" s="514" t="s">
        <v>1328</v>
      </c>
      <c r="E1202" s="515">
        <v>5</v>
      </c>
      <c r="F1202" s="518" t="s">
        <v>1854</v>
      </c>
      <c r="G1202" s="515" t="s">
        <v>2523</v>
      </c>
      <c r="H1202" s="514"/>
      <c r="I1202" s="515"/>
      <c r="J1202" s="515">
        <v>1</v>
      </c>
    </row>
    <row r="1203" spans="1:10" ht="13.8" thickBot="1">
      <c r="A1203" s="517"/>
      <c r="B1203" s="518" t="s">
        <v>13308</v>
      </c>
      <c r="C1203" s="533"/>
      <c r="D1203" s="514" t="s">
        <v>13307</v>
      </c>
      <c r="E1203" s="515">
        <v>5</v>
      </c>
      <c r="F1203" s="518" t="s">
        <v>1854</v>
      </c>
      <c r="G1203" s="515" t="s">
        <v>2523</v>
      </c>
      <c r="H1203" s="514"/>
      <c r="I1203" s="515"/>
      <c r="J1203" s="515">
        <v>1</v>
      </c>
    </row>
    <row r="1204" spans="1:10" ht="13.8" thickBot="1">
      <c r="A1204" s="517"/>
      <c r="B1204" s="518" t="s">
        <v>13306</v>
      </c>
      <c r="C1204" s="533"/>
      <c r="D1204" s="514" t="s">
        <v>1300</v>
      </c>
      <c r="E1204" s="515">
        <v>5</v>
      </c>
      <c r="F1204" s="518" t="s">
        <v>1854</v>
      </c>
      <c r="G1204" s="515" t="s">
        <v>2523</v>
      </c>
      <c r="H1204" s="514"/>
      <c r="I1204" s="515"/>
      <c r="J1204" s="515">
        <v>1</v>
      </c>
    </row>
    <row r="1205" spans="1:10" ht="13.8" thickBot="1">
      <c r="A1205" s="517"/>
      <c r="B1205" s="518" t="s">
        <v>13305</v>
      </c>
      <c r="C1205" s="533"/>
      <c r="D1205" s="514" t="s">
        <v>1300</v>
      </c>
      <c r="E1205" s="515">
        <v>5</v>
      </c>
      <c r="F1205" s="518" t="s">
        <v>1854</v>
      </c>
      <c r="G1205" s="515" t="s">
        <v>2523</v>
      </c>
      <c r="H1205" s="514"/>
      <c r="I1205" s="515"/>
      <c r="J1205" s="515">
        <v>1</v>
      </c>
    </row>
    <row r="1206" spans="1:10" ht="13.8" thickBot="1">
      <c r="A1206" s="517"/>
      <c r="B1206" s="518" t="s">
        <v>13304</v>
      </c>
      <c r="C1206" s="533"/>
      <c r="D1206" s="514" t="s">
        <v>1300</v>
      </c>
      <c r="E1206" s="515">
        <v>5</v>
      </c>
      <c r="F1206" s="518" t="s">
        <v>1854</v>
      </c>
      <c r="G1206" s="515" t="s">
        <v>2523</v>
      </c>
      <c r="H1206" s="514"/>
      <c r="I1206" s="515"/>
      <c r="J1206" s="515">
        <v>1</v>
      </c>
    </row>
    <row r="1207" spans="1:10" ht="13.8" thickBot="1">
      <c r="A1207" s="517"/>
      <c r="B1207" s="518" t="s">
        <v>13303</v>
      </c>
      <c r="C1207" s="533"/>
      <c r="D1207" s="514" t="s">
        <v>1300</v>
      </c>
      <c r="E1207" s="515">
        <v>5</v>
      </c>
      <c r="F1207" s="514"/>
      <c r="G1207" s="515" t="s">
        <v>2523</v>
      </c>
      <c r="H1207" s="514"/>
      <c r="I1207" s="515"/>
      <c r="J1207" s="515">
        <v>1</v>
      </c>
    </row>
    <row r="1208" spans="1:10" ht="13.8" thickBot="1">
      <c r="A1208" s="517"/>
      <c r="B1208" s="518" t="s">
        <v>13302</v>
      </c>
      <c r="C1208" s="533"/>
      <c r="D1208" s="514" t="s">
        <v>1300</v>
      </c>
      <c r="E1208" s="515">
        <v>5</v>
      </c>
      <c r="F1208" s="514"/>
      <c r="G1208" s="515" t="s">
        <v>2523</v>
      </c>
      <c r="H1208" s="514"/>
      <c r="I1208" s="515"/>
      <c r="J1208" s="515">
        <v>1</v>
      </c>
    </row>
    <row r="1209" spans="1:10" ht="13.8" thickBot="1">
      <c r="A1209" s="517"/>
      <c r="B1209" s="518" t="s">
        <v>13301</v>
      </c>
      <c r="C1209" s="533"/>
      <c r="D1209" s="514" t="s">
        <v>1300</v>
      </c>
      <c r="E1209" s="515">
        <v>5</v>
      </c>
      <c r="F1209" s="514"/>
      <c r="G1209" s="515" t="s">
        <v>2523</v>
      </c>
      <c r="H1209" s="514"/>
      <c r="I1209" s="515"/>
      <c r="J1209" s="515">
        <v>1</v>
      </c>
    </row>
    <row r="1210" spans="1:10" ht="13.8" thickBot="1">
      <c r="A1210" s="517"/>
      <c r="B1210" s="518" t="s">
        <v>13300</v>
      </c>
      <c r="C1210" s="533"/>
      <c r="D1210" s="520" t="s">
        <v>13299</v>
      </c>
      <c r="E1210" s="521">
        <v>5</v>
      </c>
      <c r="F1210" s="518" t="s">
        <v>1854</v>
      </c>
      <c r="G1210" s="515" t="s">
        <v>2523</v>
      </c>
      <c r="H1210" s="514"/>
      <c r="I1210" s="515"/>
      <c r="J1210" s="515"/>
    </row>
    <row r="1211" spans="1:10" ht="13.8" thickBot="1">
      <c r="A1211" s="517"/>
      <c r="B1211" s="518" t="s">
        <v>13298</v>
      </c>
      <c r="C1211" s="533"/>
      <c r="D1211" s="514" t="s">
        <v>1300</v>
      </c>
      <c r="E1211" s="515">
        <v>5</v>
      </c>
      <c r="F1211" s="518" t="s">
        <v>1854</v>
      </c>
      <c r="G1211" s="515" t="s">
        <v>2523</v>
      </c>
      <c r="H1211" s="514"/>
      <c r="I1211" s="515"/>
      <c r="J1211" s="515"/>
    </row>
    <row r="1212" spans="1:10" ht="13.8" thickBot="1">
      <c r="A1212" s="517"/>
      <c r="B1212" s="518" t="s">
        <v>13297</v>
      </c>
      <c r="C1212" s="533"/>
      <c r="D1212" s="514" t="s">
        <v>1300</v>
      </c>
      <c r="E1212" s="515">
        <v>5</v>
      </c>
      <c r="F1212" s="518" t="s">
        <v>1854</v>
      </c>
      <c r="G1212" s="515" t="s">
        <v>2523</v>
      </c>
      <c r="H1212" s="514"/>
      <c r="I1212" s="515"/>
      <c r="J1212" s="515"/>
    </row>
    <row r="1213" spans="1:10" ht="13.8" thickBot="1">
      <c r="A1213" s="517"/>
      <c r="B1213" s="518" t="s">
        <v>13296</v>
      </c>
      <c r="C1213" s="533"/>
      <c r="D1213" s="514" t="s">
        <v>13295</v>
      </c>
      <c r="E1213" s="515">
        <v>5</v>
      </c>
      <c r="F1213" s="518" t="s">
        <v>1854</v>
      </c>
      <c r="G1213" s="515" t="s">
        <v>2523</v>
      </c>
      <c r="H1213" s="514"/>
      <c r="I1213" s="515"/>
      <c r="J1213" s="515"/>
    </row>
    <row r="1214" spans="1:10" ht="13.8" thickBot="1">
      <c r="A1214" s="517"/>
      <c r="B1214" s="518" t="s">
        <v>13294</v>
      </c>
      <c r="C1214" s="533"/>
      <c r="D1214" s="514" t="s">
        <v>1302</v>
      </c>
      <c r="E1214" s="515">
        <v>5</v>
      </c>
      <c r="F1214" s="518" t="s">
        <v>1854</v>
      </c>
      <c r="G1214" s="515" t="s">
        <v>2523</v>
      </c>
      <c r="H1214" s="514"/>
      <c r="I1214" s="515"/>
      <c r="J1214" s="515"/>
    </row>
    <row r="1215" spans="1:10" ht="13.8" thickBot="1">
      <c r="A1215" s="517"/>
      <c r="B1215" s="518" t="s">
        <v>13293</v>
      </c>
      <c r="C1215" s="533"/>
      <c r="D1215" s="514" t="s">
        <v>1300</v>
      </c>
      <c r="E1215" s="515">
        <v>5</v>
      </c>
      <c r="F1215" s="518" t="s">
        <v>1854</v>
      </c>
      <c r="G1215" s="515" t="s">
        <v>2523</v>
      </c>
      <c r="H1215" s="514"/>
      <c r="I1215" s="515"/>
      <c r="J1215" s="515"/>
    </row>
    <row r="1216" spans="1:10" ht="13.8" thickBot="1">
      <c r="A1216" s="517"/>
      <c r="B1216" s="518" t="s">
        <v>13292</v>
      </c>
      <c r="C1216" s="533"/>
      <c r="D1216" s="514" t="s">
        <v>13291</v>
      </c>
      <c r="E1216" s="515">
        <v>5</v>
      </c>
      <c r="F1216" s="514"/>
      <c r="G1216" s="515" t="s">
        <v>2523</v>
      </c>
      <c r="H1216" s="514"/>
      <c r="I1216" s="515"/>
      <c r="J1216" s="515"/>
    </row>
    <row r="1217" spans="1:10" ht="13.8" thickBot="1">
      <c r="A1217" s="517"/>
      <c r="B1217" s="518" t="s">
        <v>13290</v>
      </c>
      <c r="C1217" s="533"/>
      <c r="D1217" s="514" t="s">
        <v>1300</v>
      </c>
      <c r="E1217" s="515">
        <v>5</v>
      </c>
      <c r="F1217" s="514"/>
      <c r="G1217" s="515" t="s">
        <v>2523</v>
      </c>
      <c r="H1217" s="514"/>
      <c r="I1217" s="515"/>
      <c r="J1217" s="515"/>
    </row>
    <row r="1218" spans="1:10" ht="13.8" thickBot="1">
      <c r="A1218" s="517"/>
      <c r="B1218" s="518" t="s">
        <v>13968</v>
      </c>
      <c r="C1218" s="533"/>
      <c r="D1218" s="514" t="s">
        <v>13967</v>
      </c>
      <c r="E1218" s="515">
        <v>5</v>
      </c>
      <c r="F1218" s="518" t="s">
        <v>614</v>
      </c>
      <c r="G1218" s="515" t="s">
        <v>1922</v>
      </c>
      <c r="H1218" s="514"/>
      <c r="I1218" s="515"/>
      <c r="J1218" s="515">
        <v>1</v>
      </c>
    </row>
    <row r="1219" spans="1:10" ht="13.8" thickBot="1">
      <c r="A1219" s="517"/>
      <c r="B1219" s="518" t="s">
        <v>13966</v>
      </c>
      <c r="C1219" s="533"/>
      <c r="D1219" s="514" t="s">
        <v>13965</v>
      </c>
      <c r="E1219" s="515">
        <v>5</v>
      </c>
      <c r="F1219" s="518" t="s">
        <v>1854</v>
      </c>
      <c r="G1219" s="515" t="s">
        <v>1922</v>
      </c>
      <c r="H1219" s="514"/>
      <c r="I1219" s="515"/>
      <c r="J1219" s="515">
        <v>1</v>
      </c>
    </row>
    <row r="1220" spans="1:10" ht="13.8" thickBot="1">
      <c r="A1220" s="517"/>
      <c r="B1220" s="518" t="s">
        <v>13964</v>
      </c>
      <c r="C1220" s="533"/>
      <c r="D1220" s="514" t="s">
        <v>1252</v>
      </c>
      <c r="E1220" s="515">
        <v>5</v>
      </c>
      <c r="F1220" s="518" t="s">
        <v>1854</v>
      </c>
      <c r="G1220" s="515" t="s">
        <v>1922</v>
      </c>
      <c r="H1220" s="514"/>
      <c r="I1220" s="515"/>
      <c r="J1220" s="515">
        <v>1</v>
      </c>
    </row>
    <row r="1221" spans="1:10" ht="13.8" thickBot="1">
      <c r="A1221" s="517"/>
      <c r="B1221" s="518" t="s">
        <v>13963</v>
      </c>
      <c r="C1221" s="533"/>
      <c r="D1221" s="514" t="s">
        <v>13962</v>
      </c>
      <c r="E1221" s="515">
        <v>5</v>
      </c>
      <c r="F1221" s="514"/>
      <c r="G1221" s="515" t="s">
        <v>1922</v>
      </c>
      <c r="H1221" s="514"/>
      <c r="I1221" s="515"/>
      <c r="J1221" s="515">
        <v>1</v>
      </c>
    </row>
    <row r="1222" spans="1:10" ht="13.8" thickBot="1">
      <c r="A1222" s="517"/>
      <c r="B1222" s="518" t="s">
        <v>11754</v>
      </c>
      <c r="C1222" s="533"/>
      <c r="D1222" s="514" t="s">
        <v>11533</v>
      </c>
      <c r="E1222" s="515">
        <v>5</v>
      </c>
      <c r="F1222" s="518" t="s">
        <v>1854</v>
      </c>
      <c r="G1222" s="515" t="s">
        <v>11525</v>
      </c>
      <c r="H1222" s="514"/>
      <c r="I1222" s="515">
        <v>1</v>
      </c>
      <c r="J1222" s="515">
        <v>1</v>
      </c>
    </row>
    <row r="1223" spans="1:10" ht="13.8" thickBot="1">
      <c r="A1223" s="517"/>
      <c r="B1223" s="518" t="s">
        <v>11744</v>
      </c>
      <c r="C1223" s="533"/>
      <c r="D1223" s="514" t="s">
        <v>11533</v>
      </c>
      <c r="E1223" s="515">
        <v>5</v>
      </c>
      <c r="F1223" s="518" t="s">
        <v>1854</v>
      </c>
      <c r="G1223" s="515" t="s">
        <v>11525</v>
      </c>
      <c r="H1223" s="514"/>
      <c r="I1223" s="515"/>
      <c r="J1223" s="515">
        <v>1</v>
      </c>
    </row>
    <row r="1224" spans="1:10" ht="13.8" thickBot="1">
      <c r="A1224" s="517"/>
      <c r="B1224" s="518" t="s">
        <v>11751</v>
      </c>
      <c r="C1224" s="533"/>
      <c r="D1224" s="514" t="s">
        <v>11533</v>
      </c>
      <c r="E1224" s="515">
        <v>5</v>
      </c>
      <c r="F1224" s="518" t="s">
        <v>1854</v>
      </c>
      <c r="G1224" s="515" t="s">
        <v>11525</v>
      </c>
      <c r="H1224" s="514"/>
      <c r="I1224" s="515"/>
      <c r="J1224" s="515">
        <v>1</v>
      </c>
    </row>
    <row r="1225" spans="1:10" ht="13.8" thickBot="1">
      <c r="A1225" s="517"/>
      <c r="B1225" s="518" t="s">
        <v>11729</v>
      </c>
      <c r="C1225" s="533"/>
      <c r="D1225" s="514" t="s">
        <v>11533</v>
      </c>
      <c r="E1225" s="515">
        <v>5</v>
      </c>
      <c r="F1225" s="518" t="s">
        <v>1854</v>
      </c>
      <c r="G1225" s="515" t="s">
        <v>11525</v>
      </c>
      <c r="H1225" s="514"/>
      <c r="I1225" s="515"/>
      <c r="J1225" s="515">
        <v>1</v>
      </c>
    </row>
    <row r="1226" spans="1:10" ht="13.8" thickBot="1">
      <c r="A1226" s="517"/>
      <c r="B1226" s="518" t="s">
        <v>11602</v>
      </c>
      <c r="C1226" s="533"/>
      <c r="D1226" s="514" t="s">
        <v>11533</v>
      </c>
      <c r="E1226" s="515">
        <v>5</v>
      </c>
      <c r="F1226" s="518" t="s">
        <v>1854</v>
      </c>
      <c r="G1226" s="515" t="s">
        <v>11525</v>
      </c>
      <c r="H1226" s="514"/>
      <c r="I1226" s="515"/>
      <c r="J1226" s="515">
        <v>1</v>
      </c>
    </row>
    <row r="1227" spans="1:10" ht="13.8" thickBot="1">
      <c r="A1227" s="517"/>
      <c r="B1227" s="518" t="s">
        <v>11802</v>
      </c>
      <c r="C1227" s="533"/>
      <c r="D1227" s="514" t="s">
        <v>11533</v>
      </c>
      <c r="E1227" s="515">
        <v>5</v>
      </c>
      <c r="F1227" s="514"/>
      <c r="G1227" s="515" t="s">
        <v>11525</v>
      </c>
      <c r="H1227" s="514"/>
      <c r="I1227" s="515"/>
      <c r="J1227" s="515">
        <v>1</v>
      </c>
    </row>
    <row r="1228" spans="1:10" ht="13.8" thickBot="1">
      <c r="A1228" s="517"/>
      <c r="B1228" s="518" t="s">
        <v>11798</v>
      </c>
      <c r="C1228" s="533"/>
      <c r="D1228" s="514" t="s">
        <v>11797</v>
      </c>
      <c r="E1228" s="515">
        <v>5</v>
      </c>
      <c r="F1228" s="514"/>
      <c r="G1228" s="515" t="s">
        <v>11525</v>
      </c>
      <c r="H1228" s="514"/>
      <c r="I1228" s="515"/>
      <c r="J1228" s="515">
        <v>1</v>
      </c>
    </row>
    <row r="1229" spans="1:10" ht="13.8" thickBot="1">
      <c r="A1229" s="517"/>
      <c r="B1229" s="518" t="s">
        <v>11745</v>
      </c>
      <c r="C1229" s="533"/>
      <c r="D1229" s="514" t="s">
        <v>11533</v>
      </c>
      <c r="E1229" s="515">
        <v>5</v>
      </c>
      <c r="F1229" s="514"/>
      <c r="G1229" s="515" t="s">
        <v>11525</v>
      </c>
      <c r="H1229" s="514"/>
      <c r="I1229" s="515"/>
      <c r="J1229" s="515">
        <v>1</v>
      </c>
    </row>
    <row r="1230" spans="1:10" ht="13.8" thickBot="1">
      <c r="A1230" s="517"/>
      <c r="B1230" s="518" t="s">
        <v>11712</v>
      </c>
      <c r="C1230" s="533"/>
      <c r="D1230" s="514" t="s">
        <v>11533</v>
      </c>
      <c r="E1230" s="515">
        <v>5</v>
      </c>
      <c r="F1230" s="514"/>
      <c r="G1230" s="515" t="s">
        <v>11525</v>
      </c>
      <c r="H1230" s="514"/>
      <c r="I1230" s="515"/>
      <c r="J1230" s="515">
        <v>1</v>
      </c>
    </row>
    <row r="1231" spans="1:10" ht="13.8" thickBot="1">
      <c r="A1231" s="517"/>
      <c r="B1231" s="518" t="s">
        <v>11711</v>
      </c>
      <c r="C1231" s="533"/>
      <c r="D1231" s="514" t="s">
        <v>11533</v>
      </c>
      <c r="E1231" s="515">
        <v>5</v>
      </c>
      <c r="F1231" s="514"/>
      <c r="G1231" s="515" t="s">
        <v>11525</v>
      </c>
      <c r="H1231" s="514"/>
      <c r="I1231" s="515"/>
      <c r="J1231" s="515">
        <v>1</v>
      </c>
    </row>
    <row r="1232" spans="1:10" ht="13.8" thickBot="1">
      <c r="A1232" s="517"/>
      <c r="B1232" s="518" t="s">
        <v>11708</v>
      </c>
      <c r="C1232" s="533"/>
      <c r="D1232" s="514" t="s">
        <v>11533</v>
      </c>
      <c r="E1232" s="515">
        <v>5</v>
      </c>
      <c r="F1232" s="518" t="s">
        <v>1854</v>
      </c>
      <c r="G1232" s="515" t="s">
        <v>11525</v>
      </c>
      <c r="H1232" s="514"/>
      <c r="I1232" s="515"/>
      <c r="J1232" s="515"/>
    </row>
    <row r="1233" spans="1:10" ht="13.8" thickBot="1">
      <c r="A1233" s="517"/>
      <c r="B1233" s="518" t="s">
        <v>11709</v>
      </c>
      <c r="C1233" s="533"/>
      <c r="D1233" s="514" t="s">
        <v>11533</v>
      </c>
      <c r="E1233" s="515">
        <v>5</v>
      </c>
      <c r="F1233" s="518" t="s">
        <v>1854</v>
      </c>
      <c r="G1233" s="515" t="s">
        <v>11525</v>
      </c>
      <c r="H1233" s="514"/>
      <c r="I1233" s="515"/>
      <c r="J1233" s="515"/>
    </row>
    <row r="1234" spans="1:10" ht="13.8" thickBot="1">
      <c r="A1234" s="517"/>
      <c r="B1234" s="518" t="s">
        <v>11572</v>
      </c>
      <c r="C1234" s="533"/>
      <c r="D1234" s="514" t="s">
        <v>11533</v>
      </c>
      <c r="E1234" s="515">
        <v>5</v>
      </c>
      <c r="F1234" s="518" t="s">
        <v>1854</v>
      </c>
      <c r="G1234" s="515" t="s">
        <v>11525</v>
      </c>
      <c r="H1234" s="514"/>
      <c r="I1234" s="515"/>
      <c r="J1234" s="515"/>
    </row>
    <row r="1235" spans="1:10" ht="13.8" thickBot="1">
      <c r="A1235" s="517"/>
      <c r="B1235" s="518" t="s">
        <v>11610</v>
      </c>
      <c r="C1235" s="533"/>
      <c r="D1235" s="514" t="s">
        <v>11533</v>
      </c>
      <c r="E1235" s="515">
        <v>5</v>
      </c>
      <c r="F1235" s="518" t="s">
        <v>11609</v>
      </c>
      <c r="G1235" s="515" t="s">
        <v>11525</v>
      </c>
      <c r="H1235" s="514"/>
      <c r="I1235" s="515"/>
      <c r="J1235" s="515"/>
    </row>
    <row r="1236" spans="1:10" ht="13.8" thickBot="1">
      <c r="A1236" s="517"/>
      <c r="B1236" s="518" t="s">
        <v>11646</v>
      </c>
      <c r="C1236" s="533"/>
      <c r="D1236" s="514" t="s">
        <v>11612</v>
      </c>
      <c r="E1236" s="515">
        <v>5</v>
      </c>
      <c r="F1236" s="514"/>
      <c r="G1236" s="515" t="s">
        <v>11525</v>
      </c>
      <c r="H1236" s="514"/>
      <c r="I1236" s="515"/>
      <c r="J1236" s="515"/>
    </row>
    <row r="1237" spans="1:10" ht="13.8" thickBot="1">
      <c r="A1237" s="517"/>
      <c r="B1237" s="518" t="s">
        <v>11638</v>
      </c>
      <c r="C1237" s="533"/>
      <c r="D1237" s="514" t="s">
        <v>11612</v>
      </c>
      <c r="E1237" s="515">
        <v>5</v>
      </c>
      <c r="F1237" s="514"/>
      <c r="G1237" s="515" t="s">
        <v>11525</v>
      </c>
      <c r="H1237" s="514"/>
      <c r="I1237" s="515"/>
      <c r="J1237" s="515"/>
    </row>
    <row r="1238" spans="1:10" ht="13.8" thickBot="1">
      <c r="A1238" s="517"/>
      <c r="B1238" s="518" t="s">
        <v>11637</v>
      </c>
      <c r="C1238" s="533"/>
      <c r="D1238" s="514" t="s">
        <v>11612</v>
      </c>
      <c r="E1238" s="515">
        <v>5</v>
      </c>
      <c r="F1238" s="514"/>
      <c r="G1238" s="515" t="s">
        <v>11525</v>
      </c>
      <c r="H1238" s="514"/>
      <c r="I1238" s="515"/>
      <c r="J1238" s="515"/>
    </row>
    <row r="1239" spans="1:10" ht="13.8" thickBot="1">
      <c r="A1239" s="517"/>
      <c r="B1239" s="518" t="s">
        <v>11629</v>
      </c>
      <c r="C1239" s="533"/>
      <c r="D1239" s="514" t="s">
        <v>11612</v>
      </c>
      <c r="E1239" s="515">
        <v>5</v>
      </c>
      <c r="F1239" s="514"/>
      <c r="G1239" s="515" t="s">
        <v>11525</v>
      </c>
      <c r="H1239" s="514"/>
      <c r="I1239" s="515"/>
      <c r="J1239" s="515"/>
    </row>
    <row r="1240" spans="1:10" ht="13.8" thickBot="1">
      <c r="A1240" s="517"/>
      <c r="B1240" s="518" t="s">
        <v>13039</v>
      </c>
      <c r="C1240" s="533"/>
      <c r="D1240" s="514" t="s">
        <v>13038</v>
      </c>
      <c r="E1240" s="515">
        <v>5</v>
      </c>
      <c r="F1240" s="514"/>
      <c r="G1240" s="515" t="s">
        <v>2957</v>
      </c>
      <c r="H1240" s="514"/>
      <c r="I1240" s="522">
        <v>1</v>
      </c>
      <c r="J1240" s="522">
        <v>5</v>
      </c>
    </row>
    <row r="1241" spans="1:10" ht="13.8" thickBot="1">
      <c r="A1241" s="517"/>
      <c r="B1241" s="518" t="s">
        <v>13037</v>
      </c>
      <c r="C1241" s="533"/>
      <c r="D1241" s="514" t="s">
        <v>13036</v>
      </c>
      <c r="E1241" s="515">
        <v>5</v>
      </c>
      <c r="F1241" s="518" t="s">
        <v>614</v>
      </c>
      <c r="G1241" s="515" t="s">
        <v>2957</v>
      </c>
      <c r="H1241" s="514"/>
      <c r="I1241" s="522"/>
      <c r="J1241" s="522">
        <v>4</v>
      </c>
    </row>
    <row r="1242" spans="1:10" ht="13.8" thickBot="1">
      <c r="A1242" s="517"/>
      <c r="B1242" s="518" t="s">
        <v>13035</v>
      </c>
      <c r="C1242" s="533"/>
      <c r="D1242" s="514" t="s">
        <v>13034</v>
      </c>
      <c r="E1242" s="515">
        <v>5</v>
      </c>
      <c r="F1242" s="518" t="s">
        <v>614</v>
      </c>
      <c r="G1242" s="515" t="s">
        <v>2957</v>
      </c>
      <c r="H1242" s="514"/>
      <c r="I1242" s="515"/>
      <c r="J1242" s="515">
        <v>3</v>
      </c>
    </row>
    <row r="1243" spans="1:10" ht="13.8" thickBot="1">
      <c r="A1243" s="517"/>
      <c r="B1243" s="518" t="s">
        <v>13033</v>
      </c>
      <c r="C1243" s="533"/>
      <c r="D1243" s="514" t="s">
        <v>13032</v>
      </c>
      <c r="E1243" s="515">
        <v>5</v>
      </c>
      <c r="F1243" s="518" t="s">
        <v>614</v>
      </c>
      <c r="G1243" s="515" t="s">
        <v>2957</v>
      </c>
      <c r="H1243" s="514"/>
      <c r="I1243" s="515"/>
      <c r="J1243" s="515">
        <v>1</v>
      </c>
    </row>
    <row r="1244" spans="1:10" ht="13.8" thickBot="1">
      <c r="A1244" s="517"/>
      <c r="B1244" s="518" t="s">
        <v>13031</v>
      </c>
      <c r="C1244" s="533"/>
      <c r="D1244" s="514" t="s">
        <v>1552</v>
      </c>
      <c r="E1244" s="515">
        <v>5</v>
      </c>
      <c r="F1244" s="518" t="s">
        <v>614</v>
      </c>
      <c r="G1244" s="515" t="s">
        <v>2957</v>
      </c>
      <c r="H1244" s="514"/>
      <c r="I1244" s="515"/>
      <c r="J1244" s="515">
        <v>1</v>
      </c>
    </row>
    <row r="1245" spans="1:10" ht="13.8" thickBot="1">
      <c r="A1245" s="517"/>
      <c r="B1245" s="518" t="s">
        <v>13030</v>
      </c>
      <c r="C1245" s="533"/>
      <c r="D1245" s="514" t="s">
        <v>13029</v>
      </c>
      <c r="E1245" s="515">
        <v>5</v>
      </c>
      <c r="F1245" s="518" t="s">
        <v>1854</v>
      </c>
      <c r="G1245" s="515" t="s">
        <v>2957</v>
      </c>
      <c r="H1245" s="514"/>
      <c r="I1245" s="515"/>
      <c r="J1245" s="515">
        <v>1</v>
      </c>
    </row>
    <row r="1246" spans="1:10" ht="13.8" thickBot="1">
      <c r="A1246" s="517"/>
      <c r="B1246" s="518" t="s">
        <v>13028</v>
      </c>
      <c r="C1246" s="533"/>
      <c r="D1246" s="514" t="s">
        <v>13027</v>
      </c>
      <c r="E1246" s="515">
        <v>5</v>
      </c>
      <c r="F1246" s="518" t="s">
        <v>614</v>
      </c>
      <c r="G1246" s="515" t="s">
        <v>2957</v>
      </c>
      <c r="H1246" s="514"/>
      <c r="I1246" s="515"/>
      <c r="J1246" s="515">
        <v>1</v>
      </c>
    </row>
    <row r="1247" spans="1:10" ht="13.8" thickBot="1">
      <c r="A1247" s="517"/>
      <c r="B1247" s="518" t="s">
        <v>13026</v>
      </c>
      <c r="C1247" s="533"/>
      <c r="D1247" s="514" t="s">
        <v>13025</v>
      </c>
      <c r="E1247" s="515">
        <v>5</v>
      </c>
      <c r="F1247" s="518" t="s">
        <v>1854</v>
      </c>
      <c r="G1247" s="515" t="s">
        <v>2957</v>
      </c>
      <c r="H1247" s="514"/>
      <c r="I1247" s="515"/>
      <c r="J1247" s="515">
        <v>1</v>
      </c>
    </row>
    <row r="1248" spans="1:10" ht="13.8" thickBot="1">
      <c r="A1248" s="517"/>
      <c r="B1248" s="518" t="s">
        <v>13024</v>
      </c>
      <c r="C1248" s="533"/>
      <c r="D1248" s="514" t="s">
        <v>1554</v>
      </c>
      <c r="E1248" s="515">
        <v>5</v>
      </c>
      <c r="F1248" s="518" t="s">
        <v>2512</v>
      </c>
      <c r="G1248" s="515" t="s">
        <v>2957</v>
      </c>
      <c r="H1248" s="514"/>
      <c r="I1248" s="515"/>
      <c r="J1248" s="515">
        <v>1</v>
      </c>
    </row>
    <row r="1249" spans="1:10" ht="13.8" thickBot="1">
      <c r="A1249" s="517"/>
      <c r="B1249" s="518" t="s">
        <v>13023</v>
      </c>
      <c r="C1249" s="533"/>
      <c r="D1249" s="514" t="s">
        <v>1552</v>
      </c>
      <c r="E1249" s="515">
        <v>5</v>
      </c>
      <c r="F1249" s="514"/>
      <c r="G1249" s="515" t="s">
        <v>2957</v>
      </c>
      <c r="H1249" s="514"/>
      <c r="I1249" s="515"/>
      <c r="J1249" s="515"/>
    </row>
    <row r="1250" spans="1:10" ht="13.8" thickBot="1">
      <c r="A1250" s="517"/>
      <c r="B1250" s="518" t="s">
        <v>12917</v>
      </c>
      <c r="C1250" s="533"/>
      <c r="D1250" s="514" t="s">
        <v>3178</v>
      </c>
      <c r="E1250" s="515">
        <v>5</v>
      </c>
      <c r="F1250" s="518" t="s">
        <v>614</v>
      </c>
      <c r="G1250" s="515" t="s">
        <v>3161</v>
      </c>
      <c r="H1250" s="514"/>
      <c r="I1250" s="515"/>
      <c r="J1250" s="515">
        <v>1</v>
      </c>
    </row>
    <row r="1251" spans="1:10" ht="13.8" thickBot="1">
      <c r="A1251" s="517"/>
      <c r="B1251" s="518" t="s">
        <v>12916</v>
      </c>
      <c r="C1251" s="533"/>
      <c r="D1251" s="514" t="s">
        <v>1390</v>
      </c>
      <c r="E1251" s="515">
        <v>5</v>
      </c>
      <c r="F1251" s="518" t="s">
        <v>1854</v>
      </c>
      <c r="G1251" s="515" t="s">
        <v>3161</v>
      </c>
      <c r="H1251" s="514"/>
      <c r="I1251" s="515"/>
      <c r="J1251" s="515">
        <v>1</v>
      </c>
    </row>
    <row r="1252" spans="1:10" ht="13.8" thickBot="1">
      <c r="A1252" s="517"/>
      <c r="B1252" s="518" t="s">
        <v>12915</v>
      </c>
      <c r="C1252" s="533"/>
      <c r="D1252" s="514" t="s">
        <v>12914</v>
      </c>
      <c r="E1252" s="515">
        <v>5</v>
      </c>
      <c r="F1252" s="518" t="s">
        <v>1854</v>
      </c>
      <c r="G1252" s="515" t="s">
        <v>3161</v>
      </c>
      <c r="H1252" s="514"/>
      <c r="I1252" s="522"/>
      <c r="J1252" s="522"/>
    </row>
    <row r="1253" spans="1:10" ht="13.8" thickBot="1">
      <c r="A1253" s="517"/>
      <c r="B1253" s="518" t="s">
        <v>12897</v>
      </c>
      <c r="C1253" s="533"/>
      <c r="D1253" s="514" t="s">
        <v>12896</v>
      </c>
      <c r="E1253" s="515">
        <v>5</v>
      </c>
      <c r="F1253" s="518" t="s">
        <v>614</v>
      </c>
      <c r="G1253" s="515" t="s">
        <v>3285</v>
      </c>
      <c r="H1253" s="514"/>
      <c r="I1253" s="522"/>
      <c r="J1253" s="522">
        <v>4</v>
      </c>
    </row>
    <row r="1254" spans="1:10" ht="13.8" thickBot="1">
      <c r="A1254" s="517"/>
      <c r="B1254" s="518" t="s">
        <v>13868</v>
      </c>
      <c r="C1254" s="533"/>
      <c r="D1254" s="514" t="s">
        <v>13867</v>
      </c>
      <c r="E1254" s="515">
        <v>5</v>
      </c>
      <c r="F1254" s="514"/>
      <c r="G1254" s="515" t="s">
        <v>2032</v>
      </c>
      <c r="H1254" s="514"/>
      <c r="I1254" s="515"/>
      <c r="J1254" s="515">
        <v>2</v>
      </c>
    </row>
    <row r="1255" spans="1:10" ht="13.8" thickBot="1">
      <c r="A1255" s="517"/>
      <c r="B1255" s="518" t="s">
        <v>13866</v>
      </c>
      <c r="C1255" s="533"/>
      <c r="D1255" s="514" t="s">
        <v>13865</v>
      </c>
      <c r="E1255" s="515">
        <v>5</v>
      </c>
      <c r="F1255" s="518" t="s">
        <v>614</v>
      </c>
      <c r="G1255" s="515" t="s">
        <v>2032</v>
      </c>
      <c r="H1255" s="514"/>
      <c r="I1255" s="515"/>
      <c r="J1255" s="515">
        <v>1</v>
      </c>
    </row>
    <row r="1256" spans="1:10" ht="13.8" thickBot="1">
      <c r="A1256" s="517"/>
      <c r="B1256" s="518" t="s">
        <v>13864</v>
      </c>
      <c r="C1256" s="533"/>
      <c r="D1256" s="514" t="s">
        <v>13863</v>
      </c>
      <c r="E1256" s="515">
        <v>5</v>
      </c>
      <c r="F1256" s="518" t="s">
        <v>1854</v>
      </c>
      <c r="G1256" s="515" t="s">
        <v>2032</v>
      </c>
      <c r="H1256" s="514"/>
      <c r="I1256" s="515"/>
      <c r="J1256" s="515"/>
    </row>
    <row r="1257" spans="1:10" ht="13.8" thickBot="1">
      <c r="A1257" s="517"/>
      <c r="B1257" s="518" t="s">
        <v>12727</v>
      </c>
      <c r="C1257" s="533"/>
      <c r="D1257" s="514" t="s">
        <v>1452</v>
      </c>
      <c r="E1257" s="515">
        <v>5</v>
      </c>
      <c r="F1257" s="514"/>
      <c r="G1257" s="515" t="s">
        <v>3517</v>
      </c>
      <c r="H1257" s="514"/>
      <c r="I1257" s="515"/>
      <c r="J1257" s="515">
        <v>1</v>
      </c>
    </row>
    <row r="1258" spans="1:10" ht="13.8" thickBot="1">
      <c r="A1258" s="517"/>
      <c r="B1258" s="518" t="s">
        <v>12726</v>
      </c>
      <c r="C1258" s="533"/>
      <c r="D1258" s="514" t="s">
        <v>1452</v>
      </c>
      <c r="E1258" s="515">
        <v>5</v>
      </c>
      <c r="F1258" s="514"/>
      <c r="G1258" s="515" t="s">
        <v>3517</v>
      </c>
      <c r="H1258" s="514"/>
      <c r="I1258" s="515"/>
      <c r="J1258" s="515">
        <v>1</v>
      </c>
    </row>
    <row r="1259" spans="1:10" ht="13.8" thickBot="1">
      <c r="A1259" s="517"/>
      <c r="B1259" s="518" t="s">
        <v>12725</v>
      </c>
      <c r="C1259" s="533"/>
      <c r="D1259" s="514" t="s">
        <v>1452</v>
      </c>
      <c r="E1259" s="515">
        <v>5</v>
      </c>
      <c r="F1259" s="514"/>
      <c r="G1259" s="515" t="s">
        <v>3517</v>
      </c>
      <c r="H1259" s="514"/>
      <c r="I1259" s="515"/>
      <c r="J1259" s="515">
        <v>1</v>
      </c>
    </row>
    <row r="1260" spans="1:10" ht="13.8" thickBot="1">
      <c r="A1260" s="517"/>
      <c r="B1260" s="518" t="s">
        <v>12724</v>
      </c>
      <c r="C1260" s="533"/>
      <c r="D1260" s="514" t="s">
        <v>12723</v>
      </c>
      <c r="E1260" s="515">
        <v>5</v>
      </c>
      <c r="F1260" s="518" t="s">
        <v>1854</v>
      </c>
      <c r="G1260" s="515" t="s">
        <v>3517</v>
      </c>
      <c r="H1260" s="514"/>
      <c r="I1260" s="522"/>
      <c r="J1260" s="522"/>
    </row>
    <row r="1261" spans="1:10" ht="13.8" thickBot="1">
      <c r="A1261" s="517"/>
      <c r="B1261" s="518" t="s">
        <v>12722</v>
      </c>
      <c r="C1261" s="533"/>
      <c r="D1261" s="514" t="s">
        <v>1452</v>
      </c>
      <c r="E1261" s="515">
        <v>5</v>
      </c>
      <c r="F1261" s="518" t="s">
        <v>1854</v>
      </c>
      <c r="G1261" s="515" t="s">
        <v>3517</v>
      </c>
      <c r="H1261" s="514"/>
      <c r="I1261" s="515"/>
      <c r="J1261" s="515"/>
    </row>
    <row r="1262" spans="1:10" ht="13.8" thickBot="1">
      <c r="A1262" s="517"/>
      <c r="B1262" s="518" t="s">
        <v>12674</v>
      </c>
      <c r="C1262" s="533"/>
      <c r="D1262" s="514" t="s">
        <v>12673</v>
      </c>
      <c r="E1262" s="515">
        <v>5</v>
      </c>
      <c r="F1262" s="518" t="s">
        <v>1854</v>
      </c>
      <c r="G1262" s="515" t="s">
        <v>3652</v>
      </c>
      <c r="H1262" s="514"/>
      <c r="I1262" s="515"/>
      <c r="J1262" s="515">
        <v>1</v>
      </c>
    </row>
    <row r="1263" spans="1:10" ht="13.8" thickBot="1">
      <c r="A1263" s="517"/>
      <c r="B1263" s="518" t="s">
        <v>12672</v>
      </c>
      <c r="C1263" s="533"/>
      <c r="D1263" s="520" t="s">
        <v>12671</v>
      </c>
      <c r="E1263" s="521">
        <v>5</v>
      </c>
      <c r="F1263" s="518" t="s">
        <v>1854</v>
      </c>
      <c r="G1263" s="515" t="s">
        <v>3652</v>
      </c>
      <c r="H1263" s="514"/>
      <c r="I1263" s="515"/>
      <c r="J1263" s="515">
        <v>1</v>
      </c>
    </row>
    <row r="1264" spans="1:10" ht="13.8" thickBot="1">
      <c r="A1264" s="517"/>
      <c r="B1264" s="518" t="s">
        <v>12670</v>
      </c>
      <c r="C1264" s="533"/>
      <c r="D1264" s="514" t="s">
        <v>12669</v>
      </c>
      <c r="E1264" s="515">
        <v>5</v>
      </c>
      <c r="F1264" s="514"/>
      <c r="G1264" s="515" t="s">
        <v>3652</v>
      </c>
      <c r="H1264" s="514"/>
      <c r="I1264" s="515"/>
      <c r="J1264" s="515">
        <v>1</v>
      </c>
    </row>
    <row r="1265" spans="1:10" ht="13.8" thickBot="1">
      <c r="A1265" s="517"/>
      <c r="B1265" s="518" t="s">
        <v>13836</v>
      </c>
      <c r="C1265" s="533"/>
      <c r="D1265" s="514" t="s">
        <v>13835</v>
      </c>
      <c r="E1265" s="515">
        <v>5</v>
      </c>
      <c r="F1265" s="518" t="s">
        <v>614</v>
      </c>
      <c r="G1265" s="515" t="s">
        <v>2087</v>
      </c>
      <c r="H1265" s="514"/>
      <c r="I1265" s="515"/>
      <c r="J1265" s="515">
        <v>2</v>
      </c>
    </row>
    <row r="1266" spans="1:10" ht="13.8" thickBot="1">
      <c r="A1266" s="517"/>
      <c r="B1266" s="518" t="s">
        <v>12620</v>
      </c>
      <c r="C1266" s="533"/>
      <c r="D1266" s="514" t="s">
        <v>12619</v>
      </c>
      <c r="E1266" s="515">
        <v>5</v>
      </c>
      <c r="F1266" s="518" t="s">
        <v>614</v>
      </c>
      <c r="G1266" s="515" t="s">
        <v>3734</v>
      </c>
      <c r="H1266" s="514"/>
      <c r="I1266" s="515"/>
      <c r="J1266" s="515">
        <v>7</v>
      </c>
    </row>
    <row r="1267" spans="1:10" ht="13.8" thickBot="1">
      <c r="A1267" s="517"/>
      <c r="B1267" s="518" t="s">
        <v>12618</v>
      </c>
      <c r="C1267" s="533"/>
      <c r="D1267" s="514" t="s">
        <v>12617</v>
      </c>
      <c r="E1267" s="515">
        <v>5</v>
      </c>
      <c r="F1267" s="518" t="s">
        <v>614</v>
      </c>
      <c r="G1267" s="515" t="s">
        <v>3734</v>
      </c>
      <c r="H1267" s="514"/>
      <c r="I1267" s="515"/>
      <c r="J1267" s="515">
        <v>1</v>
      </c>
    </row>
    <row r="1268" spans="1:10" ht="13.8" thickBot="1">
      <c r="A1268" s="517"/>
      <c r="B1268" s="518" t="s">
        <v>12616</v>
      </c>
      <c r="C1268" s="533"/>
      <c r="D1268" s="514" t="s">
        <v>12615</v>
      </c>
      <c r="E1268" s="515">
        <v>5</v>
      </c>
      <c r="F1268" s="518" t="s">
        <v>1854</v>
      </c>
      <c r="G1268" s="515" t="s">
        <v>3734</v>
      </c>
      <c r="H1268" s="514"/>
      <c r="I1268" s="515"/>
      <c r="J1268" s="515">
        <v>1</v>
      </c>
    </row>
    <row r="1269" spans="1:10" ht="13.8" thickBot="1">
      <c r="A1269" s="517"/>
      <c r="B1269" s="518" t="s">
        <v>12614</v>
      </c>
      <c r="C1269" s="533"/>
      <c r="D1269" s="514" t="s">
        <v>12613</v>
      </c>
      <c r="E1269" s="515">
        <v>5</v>
      </c>
      <c r="F1269" s="518" t="s">
        <v>1854</v>
      </c>
      <c r="G1269" s="515" t="s">
        <v>3734</v>
      </c>
      <c r="H1269" s="514"/>
      <c r="I1269" s="515"/>
      <c r="J1269" s="515"/>
    </row>
    <row r="1270" spans="1:10" ht="13.8" thickBot="1">
      <c r="A1270" s="517"/>
      <c r="B1270" s="518" t="s">
        <v>12612</v>
      </c>
      <c r="C1270" s="533"/>
      <c r="D1270" s="514" t="s">
        <v>1482</v>
      </c>
      <c r="E1270" s="515">
        <v>5</v>
      </c>
      <c r="F1270" s="518" t="s">
        <v>1854</v>
      </c>
      <c r="G1270" s="515" t="s">
        <v>3734</v>
      </c>
      <c r="H1270" s="514"/>
      <c r="I1270" s="515"/>
      <c r="J1270" s="515"/>
    </row>
    <row r="1271" spans="1:10" ht="13.8" thickBot="1">
      <c r="A1271" s="517"/>
      <c r="B1271" s="518" t="s">
        <v>12558</v>
      </c>
      <c r="C1271" s="533"/>
      <c r="D1271" s="514" t="s">
        <v>12557</v>
      </c>
      <c r="E1271" s="515">
        <v>5</v>
      </c>
      <c r="F1271" s="518" t="s">
        <v>614</v>
      </c>
      <c r="G1271" s="515" t="s">
        <v>3807</v>
      </c>
      <c r="H1271" s="514"/>
      <c r="I1271" s="515"/>
      <c r="J1271" s="515">
        <v>1</v>
      </c>
    </row>
    <row r="1272" spans="1:10" ht="13.8" thickBot="1">
      <c r="A1272" s="517"/>
      <c r="B1272" s="518" t="s">
        <v>12556</v>
      </c>
      <c r="C1272" s="533"/>
      <c r="D1272" s="514" t="s">
        <v>1502</v>
      </c>
      <c r="E1272" s="515">
        <v>5</v>
      </c>
      <c r="F1272" s="514"/>
      <c r="G1272" s="515" t="s">
        <v>3807</v>
      </c>
      <c r="H1272" s="514"/>
      <c r="I1272" s="515"/>
      <c r="J1272" s="515">
        <v>1</v>
      </c>
    </row>
    <row r="1273" spans="1:10" ht="13.8" thickBot="1">
      <c r="A1273" s="517"/>
      <c r="B1273" s="518" t="s">
        <v>12555</v>
      </c>
      <c r="C1273" s="533"/>
      <c r="D1273" s="514" t="s">
        <v>12554</v>
      </c>
      <c r="E1273" s="515">
        <v>5</v>
      </c>
      <c r="F1273" s="518" t="s">
        <v>1854</v>
      </c>
      <c r="G1273" s="515" t="s">
        <v>3807</v>
      </c>
      <c r="H1273" s="514"/>
      <c r="I1273" s="515"/>
      <c r="J1273" s="515"/>
    </row>
    <row r="1274" spans="1:10" ht="13.8" thickBot="1">
      <c r="A1274" s="517"/>
      <c r="B1274" s="518" t="s">
        <v>12553</v>
      </c>
      <c r="C1274" s="533"/>
      <c r="D1274" s="514" t="s">
        <v>1502</v>
      </c>
      <c r="E1274" s="515">
        <v>5</v>
      </c>
      <c r="F1274" s="518" t="s">
        <v>1854</v>
      </c>
      <c r="G1274" s="515" t="s">
        <v>3807</v>
      </c>
      <c r="H1274" s="514"/>
      <c r="I1274" s="515"/>
      <c r="J1274" s="515"/>
    </row>
    <row r="1275" spans="1:10" ht="13.8" thickBot="1">
      <c r="A1275" s="517"/>
      <c r="B1275" s="518" t="s">
        <v>12552</v>
      </c>
      <c r="C1275" s="533"/>
      <c r="D1275" s="514" t="s">
        <v>1502</v>
      </c>
      <c r="E1275" s="515">
        <v>5</v>
      </c>
      <c r="F1275" s="514"/>
      <c r="G1275" s="515" t="s">
        <v>3807</v>
      </c>
      <c r="H1275" s="514"/>
      <c r="I1275" s="515"/>
      <c r="J1275" s="515"/>
    </row>
    <row r="1276" spans="1:10" ht="13.8" thickBot="1">
      <c r="A1276" s="517"/>
      <c r="B1276" s="518" t="s">
        <v>12502</v>
      </c>
      <c r="C1276" s="533"/>
      <c r="D1276" s="514" t="s">
        <v>12501</v>
      </c>
      <c r="E1276" s="515">
        <v>5</v>
      </c>
      <c r="F1276" s="518" t="s">
        <v>614</v>
      </c>
      <c r="G1276" s="515" t="s">
        <v>3856</v>
      </c>
      <c r="H1276" s="514"/>
      <c r="I1276" s="515"/>
      <c r="J1276" s="515">
        <v>1</v>
      </c>
    </row>
    <row r="1277" spans="1:10" ht="13.8" thickBot="1">
      <c r="A1277" s="517"/>
      <c r="B1277" s="518" t="s">
        <v>12500</v>
      </c>
      <c r="C1277" s="533"/>
      <c r="D1277" s="514" t="s">
        <v>1507</v>
      </c>
      <c r="E1277" s="515">
        <v>5</v>
      </c>
      <c r="F1277" s="518" t="s">
        <v>1854</v>
      </c>
      <c r="G1277" s="515" t="s">
        <v>3856</v>
      </c>
      <c r="H1277" s="514"/>
      <c r="I1277" s="515"/>
      <c r="J1277" s="515">
        <v>1</v>
      </c>
    </row>
    <row r="1278" spans="1:10" ht="13.8" thickBot="1">
      <c r="A1278" s="517"/>
      <c r="B1278" s="518" t="s">
        <v>12461</v>
      </c>
      <c r="C1278" s="533"/>
      <c r="D1278" s="514" t="s">
        <v>1525</v>
      </c>
      <c r="E1278" s="515">
        <v>5</v>
      </c>
      <c r="F1278" s="518" t="s">
        <v>1854</v>
      </c>
      <c r="G1278" s="515" t="s">
        <v>3996</v>
      </c>
      <c r="H1278" s="514"/>
      <c r="I1278" s="515"/>
      <c r="J1278" s="515"/>
    </row>
    <row r="1279" spans="1:10" ht="13.8" thickBot="1">
      <c r="A1279" s="517"/>
      <c r="B1279" s="518" t="s">
        <v>12307</v>
      </c>
      <c r="C1279" s="533"/>
      <c r="D1279" s="514" t="s">
        <v>1627</v>
      </c>
      <c r="E1279" s="515">
        <v>5</v>
      </c>
      <c r="F1279" s="518" t="s">
        <v>1854</v>
      </c>
      <c r="G1279" s="515" t="s">
        <v>4214</v>
      </c>
      <c r="H1279" s="514"/>
      <c r="I1279" s="515"/>
      <c r="J1279" s="515">
        <v>2</v>
      </c>
    </row>
    <row r="1280" spans="1:10" ht="13.8" thickBot="1">
      <c r="A1280" s="517"/>
      <c r="B1280" s="518" t="s">
        <v>12306</v>
      </c>
      <c r="C1280" s="533"/>
      <c r="D1280" s="519" t="s">
        <v>4290</v>
      </c>
      <c r="E1280" s="515">
        <v>5</v>
      </c>
      <c r="F1280" s="518" t="s">
        <v>1854</v>
      </c>
      <c r="G1280" s="515" t="s">
        <v>4214</v>
      </c>
      <c r="H1280" s="514"/>
      <c r="I1280" s="522"/>
      <c r="J1280" s="522">
        <v>2</v>
      </c>
    </row>
    <row r="1281" spans="1:10" ht="13.8" thickBot="1">
      <c r="A1281" s="517"/>
      <c r="B1281" s="518" t="s">
        <v>12305</v>
      </c>
      <c r="C1281" s="533"/>
      <c r="D1281" s="514" t="s">
        <v>1607</v>
      </c>
      <c r="E1281" s="515">
        <v>5</v>
      </c>
      <c r="F1281" s="518" t="s">
        <v>1854</v>
      </c>
      <c r="G1281" s="515" t="s">
        <v>4214</v>
      </c>
      <c r="H1281" s="514"/>
      <c r="I1281" s="515"/>
      <c r="J1281" s="515"/>
    </row>
    <row r="1282" spans="1:10" ht="13.8" thickBot="1">
      <c r="A1282" s="517"/>
      <c r="B1282" s="518" t="s">
        <v>12238</v>
      </c>
      <c r="C1282" s="533"/>
      <c r="D1282" s="514" t="s">
        <v>12237</v>
      </c>
      <c r="E1282" s="515">
        <v>5</v>
      </c>
      <c r="F1282" s="518" t="s">
        <v>614</v>
      </c>
      <c r="G1282" s="515" t="s">
        <v>4536</v>
      </c>
      <c r="H1282" s="514"/>
      <c r="I1282" s="515"/>
      <c r="J1282" s="515">
        <v>1</v>
      </c>
    </row>
    <row r="1283" spans="1:10" ht="13.8" thickBot="1">
      <c r="A1283" s="517"/>
      <c r="B1283" s="518" t="s">
        <v>13770</v>
      </c>
      <c r="C1283" s="533"/>
      <c r="D1283" s="514" t="s">
        <v>1270</v>
      </c>
      <c r="E1283" s="515">
        <v>5</v>
      </c>
      <c r="F1283" s="518" t="s">
        <v>614</v>
      </c>
      <c r="G1283" s="515" t="s">
        <v>2152</v>
      </c>
      <c r="H1283" s="514"/>
      <c r="I1283" s="515"/>
      <c r="J1283" s="515">
        <v>3</v>
      </c>
    </row>
    <row r="1284" spans="1:10" ht="13.8" thickBot="1">
      <c r="A1284" s="517"/>
      <c r="B1284" s="518" t="s">
        <v>13769</v>
      </c>
      <c r="C1284" s="533"/>
      <c r="D1284" s="514" t="s">
        <v>13768</v>
      </c>
      <c r="E1284" s="515">
        <v>5</v>
      </c>
      <c r="F1284" s="514"/>
      <c r="G1284" s="515" t="s">
        <v>2152</v>
      </c>
      <c r="H1284" s="514"/>
      <c r="I1284" s="515"/>
      <c r="J1284" s="515">
        <v>2</v>
      </c>
    </row>
    <row r="1285" spans="1:10" ht="13.8" thickBot="1">
      <c r="A1285" s="517"/>
      <c r="B1285" s="518" t="s">
        <v>12230</v>
      </c>
      <c r="C1285" s="533"/>
      <c r="D1285" s="514" t="s">
        <v>4635</v>
      </c>
      <c r="E1285" s="515">
        <v>5</v>
      </c>
      <c r="F1285" s="518" t="s">
        <v>1854</v>
      </c>
      <c r="G1285" s="515" t="s">
        <v>4628</v>
      </c>
      <c r="H1285" s="514"/>
      <c r="I1285" s="515"/>
      <c r="J1285" s="515"/>
    </row>
    <row r="1286" spans="1:10" ht="13.8" thickBot="1">
      <c r="A1286" s="517"/>
      <c r="B1286" s="518" t="s">
        <v>12221</v>
      </c>
      <c r="C1286" s="533"/>
      <c r="D1286" s="514" t="s">
        <v>12220</v>
      </c>
      <c r="E1286" s="515">
        <v>5</v>
      </c>
      <c r="F1286" s="514"/>
      <c r="G1286" s="515" t="s">
        <v>4672</v>
      </c>
      <c r="H1286" s="514"/>
      <c r="I1286" s="515"/>
      <c r="J1286" s="515">
        <v>2</v>
      </c>
    </row>
    <row r="1287" spans="1:10" ht="13.8" thickBot="1">
      <c r="A1287" s="517"/>
      <c r="B1287" s="518" t="s">
        <v>12219</v>
      </c>
      <c r="C1287" s="533"/>
      <c r="D1287" s="514" t="s">
        <v>12218</v>
      </c>
      <c r="E1287" s="515">
        <v>5</v>
      </c>
      <c r="F1287" s="518" t="s">
        <v>1854</v>
      </c>
      <c r="G1287" s="515" t="s">
        <v>4672</v>
      </c>
      <c r="H1287" s="514"/>
      <c r="I1287" s="515"/>
      <c r="J1287" s="515"/>
    </row>
    <row r="1288" spans="1:10" ht="13.8" thickBot="1">
      <c r="A1288" s="517"/>
      <c r="B1288" s="518" t="s">
        <v>12217</v>
      </c>
      <c r="C1288" s="533"/>
      <c r="D1288" s="514" t="s">
        <v>12216</v>
      </c>
      <c r="E1288" s="515">
        <v>5</v>
      </c>
      <c r="F1288" s="518" t="s">
        <v>1854</v>
      </c>
      <c r="G1288" s="515" t="s">
        <v>4672</v>
      </c>
      <c r="H1288" s="514"/>
      <c r="I1288" s="515"/>
      <c r="J1288" s="515"/>
    </row>
    <row r="1289" spans="1:10" ht="13.8" thickBot="1">
      <c r="A1289" s="517"/>
      <c r="B1289" s="518" t="s">
        <v>13289</v>
      </c>
      <c r="C1289" s="533"/>
      <c r="D1289" s="514" t="s">
        <v>13288</v>
      </c>
      <c r="E1289" s="515">
        <v>4.75</v>
      </c>
      <c r="F1289" s="518" t="s">
        <v>1854</v>
      </c>
      <c r="G1289" s="515" t="s">
        <v>2523</v>
      </c>
      <c r="H1289" s="514" t="s">
        <v>1226</v>
      </c>
      <c r="I1289" s="515"/>
      <c r="J1289" s="515">
        <v>1</v>
      </c>
    </row>
    <row r="1290" spans="1:10" ht="13.8" thickBot="1">
      <c r="A1290" s="517"/>
      <c r="B1290" s="518" t="s">
        <v>12411</v>
      </c>
      <c r="C1290" s="533"/>
      <c r="D1290" s="514" t="s">
        <v>12410</v>
      </c>
      <c r="E1290" s="515">
        <v>4.5</v>
      </c>
      <c r="F1290" s="518" t="s">
        <v>614</v>
      </c>
      <c r="G1290" s="515" t="s">
        <v>4102</v>
      </c>
      <c r="H1290" s="514" t="s">
        <v>1841</v>
      </c>
      <c r="I1290" s="515"/>
      <c r="J1290" s="515">
        <v>3</v>
      </c>
    </row>
    <row r="1291" spans="1:10" ht="13.8" thickBot="1">
      <c r="A1291" s="517"/>
      <c r="B1291" s="518" t="s">
        <v>14112</v>
      </c>
      <c r="C1291" s="533"/>
      <c r="D1291" s="514" t="s">
        <v>14111</v>
      </c>
      <c r="E1291" s="515">
        <v>4.5</v>
      </c>
      <c r="F1291" s="518" t="s">
        <v>1854</v>
      </c>
      <c r="G1291" s="515" t="s">
        <v>1793</v>
      </c>
      <c r="H1291" s="514" t="s">
        <v>1226</v>
      </c>
      <c r="I1291" s="515"/>
      <c r="J1291" s="515">
        <v>3</v>
      </c>
    </row>
    <row r="1292" spans="1:10" ht="13.8" thickBot="1">
      <c r="A1292" s="517"/>
      <c r="B1292" s="518" t="s">
        <v>13287</v>
      </c>
      <c r="C1292" s="533"/>
      <c r="D1292" s="514" t="s">
        <v>1300</v>
      </c>
      <c r="E1292" s="515">
        <v>4.5</v>
      </c>
      <c r="F1292" s="518" t="s">
        <v>1854</v>
      </c>
      <c r="G1292" s="515" t="s">
        <v>2523</v>
      </c>
      <c r="H1292" s="514" t="s">
        <v>1226</v>
      </c>
      <c r="I1292" s="515">
        <v>1</v>
      </c>
      <c r="J1292" s="515">
        <v>3</v>
      </c>
    </row>
    <row r="1293" spans="1:10" ht="13.8" thickBot="1">
      <c r="A1293" s="517"/>
      <c r="B1293" s="518" t="s">
        <v>13204</v>
      </c>
      <c r="C1293" s="533"/>
      <c r="D1293" s="514" t="s">
        <v>13203</v>
      </c>
      <c r="E1293" s="515">
        <v>4.5</v>
      </c>
      <c r="F1293" s="518" t="s">
        <v>1854</v>
      </c>
      <c r="G1293" s="515" t="s">
        <v>2797</v>
      </c>
      <c r="H1293" s="514" t="s">
        <v>1226</v>
      </c>
      <c r="I1293" s="515"/>
      <c r="J1293" s="515">
        <v>2</v>
      </c>
    </row>
    <row r="1294" spans="1:10" ht="13.8" thickBot="1">
      <c r="A1294" s="517"/>
      <c r="B1294" s="518" t="s">
        <v>12721</v>
      </c>
      <c r="C1294" s="533"/>
      <c r="D1294" s="514" t="s">
        <v>12720</v>
      </c>
      <c r="E1294" s="515">
        <v>4.5</v>
      </c>
      <c r="F1294" s="518" t="s">
        <v>614</v>
      </c>
      <c r="G1294" s="515" t="s">
        <v>3517</v>
      </c>
      <c r="H1294" s="514" t="s">
        <v>1226</v>
      </c>
      <c r="I1294" s="515"/>
      <c r="J1294" s="515">
        <v>12</v>
      </c>
    </row>
    <row r="1295" spans="1:10" ht="13.8" thickBot="1">
      <c r="A1295" s="517"/>
      <c r="B1295" s="518" t="s">
        <v>13767</v>
      </c>
      <c r="C1295" s="533"/>
      <c r="D1295" s="514" t="s">
        <v>2214</v>
      </c>
      <c r="E1295" s="515">
        <v>4.5</v>
      </c>
      <c r="F1295" s="518" t="s">
        <v>614</v>
      </c>
      <c r="G1295" s="515" t="s">
        <v>2152</v>
      </c>
      <c r="H1295" s="514" t="s">
        <v>1226</v>
      </c>
      <c r="I1295" s="515"/>
      <c r="J1295" s="515">
        <v>3</v>
      </c>
    </row>
    <row r="1296" spans="1:10" ht="13.8" thickBot="1">
      <c r="A1296" s="517"/>
      <c r="B1296" s="518" t="s">
        <v>12107</v>
      </c>
      <c r="C1296" s="533"/>
      <c r="D1296" s="514" t="s">
        <v>12106</v>
      </c>
      <c r="E1296" s="515">
        <v>4.5</v>
      </c>
      <c r="F1296" s="518" t="s">
        <v>1854</v>
      </c>
      <c r="G1296" s="515" t="s">
        <v>4970</v>
      </c>
      <c r="H1296" s="514" t="s">
        <v>1224</v>
      </c>
      <c r="I1296" s="515"/>
      <c r="J1296" s="515">
        <v>1</v>
      </c>
    </row>
    <row r="1297" spans="1:10" ht="13.8" thickBot="1">
      <c r="A1297" s="517"/>
      <c r="B1297" s="518" t="s">
        <v>13286</v>
      </c>
      <c r="C1297" s="533"/>
      <c r="D1297" s="514" t="s">
        <v>1300</v>
      </c>
      <c r="E1297" s="515">
        <v>4.5</v>
      </c>
      <c r="F1297" s="518" t="s">
        <v>614</v>
      </c>
      <c r="G1297" s="515" t="s">
        <v>2523</v>
      </c>
      <c r="H1297" s="514" t="s">
        <v>1224</v>
      </c>
      <c r="I1297" s="515"/>
      <c r="J1297" s="515">
        <v>1</v>
      </c>
    </row>
    <row r="1298" spans="1:10" ht="13.8" thickBot="1">
      <c r="A1298" s="517"/>
      <c r="B1298" s="518" t="s">
        <v>13022</v>
      </c>
      <c r="C1298" s="533"/>
      <c r="D1298" s="514" t="s">
        <v>1552</v>
      </c>
      <c r="E1298" s="515">
        <v>4.5</v>
      </c>
      <c r="F1298" s="514"/>
      <c r="G1298" s="515" t="s">
        <v>2957</v>
      </c>
      <c r="H1298" s="514" t="s">
        <v>1224</v>
      </c>
      <c r="I1298" s="515"/>
      <c r="J1298" s="515">
        <v>1</v>
      </c>
    </row>
    <row r="1299" spans="1:10" ht="13.8" thickBot="1">
      <c r="A1299" s="517"/>
      <c r="B1299" s="518" t="s">
        <v>12719</v>
      </c>
      <c r="C1299" s="533"/>
      <c r="D1299" s="514" t="s">
        <v>12718</v>
      </c>
      <c r="E1299" s="515">
        <v>4.5</v>
      </c>
      <c r="F1299" s="518" t="s">
        <v>614</v>
      </c>
      <c r="G1299" s="515" t="s">
        <v>3517</v>
      </c>
      <c r="H1299" s="514" t="s">
        <v>1224</v>
      </c>
      <c r="I1299" s="515"/>
      <c r="J1299" s="515">
        <v>2</v>
      </c>
    </row>
    <row r="1300" spans="1:10" ht="13.8" thickBot="1">
      <c r="A1300" s="517"/>
      <c r="B1300" s="518" t="s">
        <v>12611</v>
      </c>
      <c r="C1300" s="533"/>
      <c r="D1300" s="514" t="s">
        <v>1480</v>
      </c>
      <c r="E1300" s="515">
        <v>4.5</v>
      </c>
      <c r="F1300" s="518" t="s">
        <v>1854</v>
      </c>
      <c r="G1300" s="515" t="s">
        <v>3734</v>
      </c>
      <c r="H1300" s="514" t="s">
        <v>1224</v>
      </c>
      <c r="I1300" s="515"/>
      <c r="J1300" s="515">
        <v>1</v>
      </c>
    </row>
    <row r="1301" spans="1:10" ht="13.8" thickBot="1">
      <c r="A1301" s="517"/>
      <c r="B1301" s="518" t="s">
        <v>13766</v>
      </c>
      <c r="C1301" s="533"/>
      <c r="D1301" s="514" t="s">
        <v>1270</v>
      </c>
      <c r="E1301" s="515">
        <v>4.5</v>
      </c>
      <c r="F1301" s="518" t="s">
        <v>614</v>
      </c>
      <c r="G1301" s="515" t="s">
        <v>2152</v>
      </c>
      <c r="H1301" s="514" t="s">
        <v>1224</v>
      </c>
      <c r="I1301" s="515"/>
      <c r="J1301" s="515">
        <v>1</v>
      </c>
    </row>
    <row r="1302" spans="1:10" ht="13.8" thickBot="1">
      <c r="A1302" s="517"/>
      <c r="B1302" s="518" t="s">
        <v>14110</v>
      </c>
      <c r="C1302" s="533"/>
      <c r="D1302" s="514" t="s">
        <v>14109</v>
      </c>
      <c r="E1302" s="515">
        <v>4.5</v>
      </c>
      <c r="F1302" s="518" t="s">
        <v>614</v>
      </c>
      <c r="G1302" s="515" t="s">
        <v>1793</v>
      </c>
      <c r="H1302" s="514"/>
      <c r="I1302" s="515"/>
      <c r="J1302" s="515">
        <v>1</v>
      </c>
    </row>
    <row r="1303" spans="1:10" ht="13.8" thickBot="1">
      <c r="A1303" s="517"/>
      <c r="B1303" s="518" t="s">
        <v>14108</v>
      </c>
      <c r="C1303" s="533"/>
      <c r="D1303" s="514" t="s">
        <v>1792</v>
      </c>
      <c r="E1303" s="515">
        <v>4.5</v>
      </c>
      <c r="F1303" s="514"/>
      <c r="G1303" s="515" t="s">
        <v>1793</v>
      </c>
      <c r="H1303" s="514"/>
      <c r="I1303" s="515"/>
      <c r="J1303" s="515"/>
    </row>
    <row r="1304" spans="1:10" ht="13.8" thickBot="1">
      <c r="A1304" s="517"/>
      <c r="B1304" s="518" t="s">
        <v>12105</v>
      </c>
      <c r="C1304" s="533"/>
      <c r="D1304" s="514" t="s">
        <v>1593</v>
      </c>
      <c r="E1304" s="515">
        <v>4.5</v>
      </c>
      <c r="F1304" s="514"/>
      <c r="G1304" s="515" t="s">
        <v>4970</v>
      </c>
      <c r="H1304" s="514"/>
      <c r="I1304" s="515"/>
      <c r="J1304" s="515">
        <v>1</v>
      </c>
    </row>
    <row r="1305" spans="1:10" ht="13.8" thickBot="1">
      <c r="A1305" s="517"/>
      <c r="B1305" s="518" t="s">
        <v>13618</v>
      </c>
      <c r="C1305" s="533"/>
      <c r="D1305" s="514" t="s">
        <v>13617</v>
      </c>
      <c r="E1305" s="515">
        <v>4.5</v>
      </c>
      <c r="F1305" s="518" t="s">
        <v>614</v>
      </c>
      <c r="G1305" s="515" t="s">
        <v>2289</v>
      </c>
      <c r="H1305" s="514"/>
      <c r="I1305" s="515"/>
      <c r="J1305" s="515">
        <v>3</v>
      </c>
    </row>
    <row r="1306" spans="1:10" ht="13.8" thickBot="1">
      <c r="A1306" s="517"/>
      <c r="B1306" s="518" t="s">
        <v>13570</v>
      </c>
      <c r="C1306" s="533"/>
      <c r="D1306" s="514" t="s">
        <v>2487</v>
      </c>
      <c r="E1306" s="515">
        <v>4.5</v>
      </c>
      <c r="F1306" s="518" t="s">
        <v>614</v>
      </c>
      <c r="G1306" s="515" t="s">
        <v>2449</v>
      </c>
      <c r="H1306" s="514"/>
      <c r="I1306" s="515"/>
      <c r="J1306" s="515">
        <v>1</v>
      </c>
    </row>
    <row r="1307" spans="1:10" ht="13.8" thickBot="1">
      <c r="A1307" s="517"/>
      <c r="B1307" s="518" t="s">
        <v>13569</v>
      </c>
      <c r="C1307" s="533"/>
      <c r="D1307" s="514" t="s">
        <v>2519</v>
      </c>
      <c r="E1307" s="515">
        <v>4.5</v>
      </c>
      <c r="F1307" s="518" t="s">
        <v>1854</v>
      </c>
      <c r="G1307" s="515" t="s">
        <v>2449</v>
      </c>
      <c r="H1307" s="514"/>
      <c r="I1307" s="522"/>
      <c r="J1307" s="522">
        <v>1</v>
      </c>
    </row>
    <row r="1308" spans="1:10" ht="13.8" thickBot="1">
      <c r="A1308" s="517"/>
      <c r="B1308" s="518" t="s">
        <v>13285</v>
      </c>
      <c r="C1308" s="533"/>
      <c r="D1308" s="514" t="s">
        <v>13284</v>
      </c>
      <c r="E1308" s="515">
        <v>4.5</v>
      </c>
      <c r="F1308" s="518" t="s">
        <v>1854</v>
      </c>
      <c r="G1308" s="515" t="s">
        <v>2523</v>
      </c>
      <c r="H1308" s="514"/>
      <c r="I1308" s="515"/>
      <c r="J1308" s="515">
        <v>1</v>
      </c>
    </row>
    <row r="1309" spans="1:10" ht="13.8" thickBot="1">
      <c r="A1309" s="517"/>
      <c r="B1309" s="518" t="s">
        <v>13283</v>
      </c>
      <c r="C1309" s="533"/>
      <c r="D1309" s="514" t="s">
        <v>13282</v>
      </c>
      <c r="E1309" s="515">
        <v>4.5</v>
      </c>
      <c r="F1309" s="518" t="s">
        <v>151</v>
      </c>
      <c r="G1309" s="515" t="s">
        <v>2523</v>
      </c>
      <c r="H1309" s="514"/>
      <c r="I1309" s="515"/>
      <c r="J1309" s="515">
        <v>1</v>
      </c>
    </row>
    <row r="1310" spans="1:10" ht="13.8" thickBot="1">
      <c r="A1310" s="517"/>
      <c r="B1310" s="518" t="s">
        <v>13281</v>
      </c>
      <c r="C1310" s="533"/>
      <c r="D1310" s="514" t="s">
        <v>13280</v>
      </c>
      <c r="E1310" s="515">
        <v>4.5</v>
      </c>
      <c r="F1310" s="518" t="s">
        <v>614</v>
      </c>
      <c r="G1310" s="515" t="s">
        <v>2523</v>
      </c>
      <c r="H1310" s="514"/>
      <c r="I1310" s="515"/>
      <c r="J1310" s="515">
        <v>1</v>
      </c>
    </row>
    <row r="1311" spans="1:10" ht="13.8" thickBot="1">
      <c r="A1311" s="517"/>
      <c r="B1311" s="518" t="s">
        <v>13279</v>
      </c>
      <c r="C1311" s="533"/>
      <c r="D1311" s="514" t="s">
        <v>1300</v>
      </c>
      <c r="E1311" s="515">
        <v>4.5</v>
      </c>
      <c r="F1311" s="514"/>
      <c r="G1311" s="515" t="s">
        <v>2523</v>
      </c>
      <c r="H1311" s="514"/>
      <c r="I1311" s="515"/>
      <c r="J1311" s="515">
        <v>1</v>
      </c>
    </row>
    <row r="1312" spans="1:10" ht="13.8" thickBot="1">
      <c r="A1312" s="517"/>
      <c r="B1312" s="518" t="s">
        <v>13278</v>
      </c>
      <c r="C1312" s="533"/>
      <c r="D1312" s="514" t="s">
        <v>1300</v>
      </c>
      <c r="E1312" s="515">
        <v>4.5</v>
      </c>
      <c r="F1312" s="514"/>
      <c r="G1312" s="515" t="s">
        <v>2523</v>
      </c>
      <c r="H1312" s="514"/>
      <c r="I1312" s="515"/>
      <c r="J1312" s="515"/>
    </row>
    <row r="1313" spans="1:10" ht="13.8" thickBot="1">
      <c r="A1313" s="517"/>
      <c r="B1313" s="518" t="s">
        <v>11776</v>
      </c>
      <c r="C1313" s="533"/>
      <c r="D1313" s="514" t="s">
        <v>11533</v>
      </c>
      <c r="E1313" s="515">
        <v>4.5</v>
      </c>
      <c r="F1313" s="518" t="s">
        <v>1854</v>
      </c>
      <c r="G1313" s="515" t="s">
        <v>11525</v>
      </c>
      <c r="H1313" s="514"/>
      <c r="I1313" s="515"/>
      <c r="J1313" s="515">
        <v>2</v>
      </c>
    </row>
    <row r="1314" spans="1:10" ht="13.8" thickBot="1">
      <c r="A1314" s="517"/>
      <c r="B1314" s="518" t="s">
        <v>11762</v>
      </c>
      <c r="C1314" s="533"/>
      <c r="D1314" s="514" t="s">
        <v>11533</v>
      </c>
      <c r="E1314" s="515">
        <v>4.5</v>
      </c>
      <c r="F1314" s="518" t="s">
        <v>1854</v>
      </c>
      <c r="G1314" s="515" t="s">
        <v>11525</v>
      </c>
      <c r="H1314" s="514"/>
      <c r="I1314" s="515">
        <v>1</v>
      </c>
      <c r="J1314" s="515">
        <v>1</v>
      </c>
    </row>
    <row r="1315" spans="1:10" ht="13.8" thickBot="1">
      <c r="A1315" s="517"/>
      <c r="B1315" s="518" t="s">
        <v>11764</v>
      </c>
      <c r="C1315" s="533"/>
      <c r="D1315" s="514" t="s">
        <v>11533</v>
      </c>
      <c r="E1315" s="515">
        <v>4.5</v>
      </c>
      <c r="F1315" s="518" t="s">
        <v>1854</v>
      </c>
      <c r="G1315" s="515" t="s">
        <v>11525</v>
      </c>
      <c r="H1315" s="514"/>
      <c r="I1315" s="515"/>
      <c r="J1315" s="515">
        <v>1</v>
      </c>
    </row>
    <row r="1316" spans="1:10" ht="13.8" thickBot="1">
      <c r="A1316" s="517"/>
      <c r="B1316" s="518" t="s">
        <v>11783</v>
      </c>
      <c r="C1316" s="533"/>
      <c r="D1316" s="514" t="s">
        <v>11533</v>
      </c>
      <c r="E1316" s="515">
        <v>4.5</v>
      </c>
      <c r="F1316" s="518" t="s">
        <v>1854</v>
      </c>
      <c r="G1316" s="515" t="s">
        <v>11525</v>
      </c>
      <c r="H1316" s="514"/>
      <c r="I1316" s="515"/>
      <c r="J1316" s="515">
        <v>1</v>
      </c>
    </row>
    <row r="1317" spans="1:10" ht="13.8" thickBot="1">
      <c r="A1317" s="517"/>
      <c r="B1317" s="518" t="s">
        <v>13021</v>
      </c>
      <c r="C1317" s="533"/>
      <c r="D1317" s="514" t="s">
        <v>13020</v>
      </c>
      <c r="E1317" s="515">
        <v>4.5</v>
      </c>
      <c r="F1317" s="514"/>
      <c r="G1317" s="515" t="s">
        <v>2957</v>
      </c>
      <c r="H1317" s="514"/>
      <c r="I1317" s="515">
        <v>1</v>
      </c>
      <c r="J1317" s="515">
        <v>2</v>
      </c>
    </row>
    <row r="1318" spans="1:10" ht="13.8" thickBot="1">
      <c r="A1318" s="517"/>
      <c r="B1318" s="518" t="s">
        <v>13019</v>
      </c>
      <c r="C1318" s="533"/>
      <c r="D1318" s="514" t="s">
        <v>13018</v>
      </c>
      <c r="E1318" s="515">
        <v>4.5</v>
      </c>
      <c r="F1318" s="518" t="s">
        <v>614</v>
      </c>
      <c r="G1318" s="515" t="s">
        <v>2957</v>
      </c>
      <c r="H1318" s="514"/>
      <c r="I1318" s="515"/>
      <c r="J1318" s="515">
        <v>1</v>
      </c>
    </row>
    <row r="1319" spans="1:10" ht="13.8" thickBot="1">
      <c r="A1319" s="517"/>
      <c r="B1319" s="518" t="s">
        <v>13017</v>
      </c>
      <c r="C1319" s="533"/>
      <c r="D1319" s="514" t="s">
        <v>13016</v>
      </c>
      <c r="E1319" s="515">
        <v>4.5</v>
      </c>
      <c r="F1319" s="518" t="s">
        <v>614</v>
      </c>
      <c r="G1319" s="515" t="s">
        <v>2957</v>
      </c>
      <c r="H1319" s="514"/>
      <c r="I1319" s="515"/>
      <c r="J1319" s="515">
        <v>1</v>
      </c>
    </row>
    <row r="1320" spans="1:10" ht="13.8" thickBot="1">
      <c r="A1320" s="517"/>
      <c r="B1320" s="518" t="s">
        <v>12717</v>
      </c>
      <c r="C1320" s="533"/>
      <c r="D1320" s="514" t="s">
        <v>12716</v>
      </c>
      <c r="E1320" s="515">
        <v>4.5</v>
      </c>
      <c r="F1320" s="518" t="s">
        <v>614</v>
      </c>
      <c r="G1320" s="515" t="s">
        <v>3517</v>
      </c>
      <c r="H1320" s="514"/>
      <c r="I1320" s="515"/>
      <c r="J1320" s="515">
        <v>1</v>
      </c>
    </row>
    <row r="1321" spans="1:10" ht="13.8" thickBot="1">
      <c r="A1321" s="517"/>
      <c r="B1321" s="518" t="s">
        <v>12304</v>
      </c>
      <c r="C1321" s="533"/>
      <c r="D1321" s="514" t="s">
        <v>12303</v>
      </c>
      <c r="E1321" s="515">
        <v>4.5</v>
      </c>
      <c r="F1321" s="518" t="s">
        <v>614</v>
      </c>
      <c r="G1321" s="515" t="s">
        <v>4214</v>
      </c>
      <c r="H1321" s="514"/>
      <c r="I1321" s="515"/>
      <c r="J1321" s="515">
        <v>1</v>
      </c>
    </row>
    <row r="1322" spans="1:10" ht="13.8" thickBot="1">
      <c r="A1322" s="517"/>
      <c r="B1322" s="518" t="s">
        <v>12302</v>
      </c>
      <c r="C1322" s="533"/>
      <c r="D1322" s="514" t="s">
        <v>12301</v>
      </c>
      <c r="E1322" s="515">
        <v>4.5</v>
      </c>
      <c r="F1322" s="518" t="s">
        <v>11609</v>
      </c>
      <c r="G1322" s="515" t="s">
        <v>4214</v>
      </c>
      <c r="H1322" s="514"/>
      <c r="I1322" s="515"/>
      <c r="J1322" s="515"/>
    </row>
    <row r="1323" spans="1:10" ht="13.8" thickBot="1">
      <c r="A1323" s="517"/>
      <c r="B1323" s="518" t="s">
        <v>12255</v>
      </c>
      <c r="C1323" s="533"/>
      <c r="D1323" s="514" t="s">
        <v>1638</v>
      </c>
      <c r="E1323" s="515">
        <v>4.5</v>
      </c>
      <c r="F1323" s="518" t="s">
        <v>614</v>
      </c>
      <c r="G1323" s="515" t="s">
        <v>4438</v>
      </c>
      <c r="H1323" s="514"/>
      <c r="I1323" s="515"/>
      <c r="J1323" s="515">
        <v>1</v>
      </c>
    </row>
    <row r="1324" spans="1:10" ht="13.8" thickBot="1">
      <c r="A1324" s="517"/>
      <c r="B1324" s="518" t="s">
        <v>13015</v>
      </c>
      <c r="C1324" s="533"/>
      <c r="D1324" s="514" t="s">
        <v>13014</v>
      </c>
      <c r="E1324" s="515">
        <v>4</v>
      </c>
      <c r="F1324" s="518" t="s">
        <v>614</v>
      </c>
      <c r="G1324" s="515" t="s">
        <v>2957</v>
      </c>
      <c r="H1324" s="514" t="s">
        <v>2374</v>
      </c>
      <c r="I1324" s="515"/>
      <c r="J1324" s="515">
        <v>9</v>
      </c>
    </row>
    <row r="1325" spans="1:10" ht="13.8" thickBot="1">
      <c r="A1325" s="517"/>
      <c r="B1325" s="518" t="s">
        <v>14107</v>
      </c>
      <c r="C1325" s="533"/>
      <c r="D1325" s="514" t="s">
        <v>14106</v>
      </c>
      <c r="E1325" s="515">
        <v>4</v>
      </c>
      <c r="F1325" s="518" t="s">
        <v>1854</v>
      </c>
      <c r="G1325" s="515" t="s">
        <v>1793</v>
      </c>
      <c r="H1325" s="514" t="s">
        <v>1226</v>
      </c>
      <c r="I1325" s="515"/>
      <c r="J1325" s="515">
        <v>1</v>
      </c>
    </row>
    <row r="1326" spans="1:10" ht="13.8" thickBot="1">
      <c r="A1326" s="517"/>
      <c r="B1326" s="518" t="s">
        <v>14105</v>
      </c>
      <c r="C1326" s="533"/>
      <c r="D1326" s="514" t="s">
        <v>1792</v>
      </c>
      <c r="E1326" s="515">
        <v>4</v>
      </c>
      <c r="F1326" s="514"/>
      <c r="G1326" s="515" t="s">
        <v>1793</v>
      </c>
      <c r="H1326" s="514" t="s">
        <v>1226</v>
      </c>
      <c r="I1326" s="515"/>
      <c r="J1326" s="515">
        <v>1</v>
      </c>
    </row>
    <row r="1327" spans="1:10" ht="13.8" thickBot="1">
      <c r="A1327" s="517"/>
      <c r="B1327" s="518" t="s">
        <v>13277</v>
      </c>
      <c r="C1327" s="533"/>
      <c r="D1327" s="514" t="s">
        <v>13276</v>
      </c>
      <c r="E1327" s="515">
        <v>4</v>
      </c>
      <c r="F1327" s="518" t="s">
        <v>614</v>
      </c>
      <c r="G1327" s="515" t="s">
        <v>2523</v>
      </c>
      <c r="H1327" s="514" t="s">
        <v>1226</v>
      </c>
      <c r="I1327" s="515"/>
      <c r="J1327" s="515">
        <v>4</v>
      </c>
    </row>
    <row r="1328" spans="1:10" ht="13.8" thickBot="1">
      <c r="A1328" s="517"/>
      <c r="B1328" s="518" t="s">
        <v>13862</v>
      </c>
      <c r="C1328" s="533"/>
      <c r="D1328" s="514" t="s">
        <v>13861</v>
      </c>
      <c r="E1328" s="515">
        <v>4</v>
      </c>
      <c r="F1328" s="518" t="s">
        <v>614</v>
      </c>
      <c r="G1328" s="515" t="s">
        <v>2032</v>
      </c>
      <c r="H1328" s="514" t="s">
        <v>1226</v>
      </c>
      <c r="I1328" s="515">
        <v>1</v>
      </c>
      <c r="J1328" s="515">
        <v>2</v>
      </c>
    </row>
    <row r="1329" spans="1:10" ht="13.8" thickBot="1">
      <c r="A1329" s="517"/>
      <c r="B1329" s="518" t="s">
        <v>12499</v>
      </c>
      <c r="C1329" s="533"/>
      <c r="D1329" s="514" t="s">
        <v>12498</v>
      </c>
      <c r="E1329" s="515">
        <v>4</v>
      </c>
      <c r="F1329" s="518" t="s">
        <v>1854</v>
      </c>
      <c r="G1329" s="515" t="s">
        <v>3856</v>
      </c>
      <c r="H1329" s="514" t="s">
        <v>1226</v>
      </c>
      <c r="I1329" s="515"/>
      <c r="J1329" s="515">
        <v>2</v>
      </c>
    </row>
    <row r="1330" spans="1:10" ht="13.8" thickBot="1">
      <c r="A1330" s="517"/>
      <c r="B1330" s="518" t="s">
        <v>12300</v>
      </c>
      <c r="C1330" s="533"/>
      <c r="D1330" s="514" t="s">
        <v>1612</v>
      </c>
      <c r="E1330" s="515">
        <v>4</v>
      </c>
      <c r="F1330" s="518" t="s">
        <v>614</v>
      </c>
      <c r="G1330" s="515" t="s">
        <v>4214</v>
      </c>
      <c r="H1330" s="514" t="s">
        <v>1226</v>
      </c>
      <c r="I1330" s="515"/>
      <c r="J1330" s="515">
        <v>1</v>
      </c>
    </row>
    <row r="1331" spans="1:10" ht="13.8" thickBot="1">
      <c r="A1331" s="517"/>
      <c r="B1331" s="518" t="s">
        <v>12299</v>
      </c>
      <c r="C1331" s="533"/>
      <c r="D1331" s="514" t="s">
        <v>4315</v>
      </c>
      <c r="E1331" s="515">
        <v>4</v>
      </c>
      <c r="F1331" s="514"/>
      <c r="G1331" s="515" t="s">
        <v>4214</v>
      </c>
      <c r="H1331" s="514" t="s">
        <v>1226</v>
      </c>
      <c r="I1331" s="515"/>
      <c r="J1331" s="515">
        <v>1</v>
      </c>
    </row>
    <row r="1332" spans="1:10" ht="13.8" thickBot="1">
      <c r="A1332" s="517"/>
      <c r="B1332" s="518" t="s">
        <v>12264</v>
      </c>
      <c r="C1332" s="533"/>
      <c r="D1332" s="514" t="s">
        <v>12263</v>
      </c>
      <c r="E1332" s="515">
        <v>4</v>
      </c>
      <c r="F1332" s="518" t="s">
        <v>1978</v>
      </c>
      <c r="G1332" s="515" t="s">
        <v>4403</v>
      </c>
      <c r="H1332" s="514" t="s">
        <v>1226</v>
      </c>
      <c r="I1332" s="515"/>
      <c r="J1332" s="515">
        <v>4</v>
      </c>
    </row>
    <row r="1333" spans="1:10" ht="13.8" thickBot="1">
      <c r="A1333" s="517"/>
      <c r="B1333" s="518" t="s">
        <v>13765</v>
      </c>
      <c r="C1333" s="533"/>
      <c r="D1333" s="519" t="s">
        <v>2155</v>
      </c>
      <c r="E1333" s="515">
        <v>4</v>
      </c>
      <c r="F1333" s="518" t="s">
        <v>614</v>
      </c>
      <c r="G1333" s="515" t="s">
        <v>2152</v>
      </c>
      <c r="H1333" s="514" t="s">
        <v>1226</v>
      </c>
      <c r="I1333" s="515"/>
      <c r="J1333" s="515">
        <v>6</v>
      </c>
    </row>
    <row r="1334" spans="1:10" ht="13.8" thickBot="1">
      <c r="A1334" s="517"/>
      <c r="B1334" s="518" t="s">
        <v>14104</v>
      </c>
      <c r="C1334" s="533"/>
      <c r="D1334" s="514" t="s">
        <v>1792</v>
      </c>
      <c r="E1334" s="515">
        <v>4</v>
      </c>
      <c r="F1334" s="518" t="s">
        <v>1854</v>
      </c>
      <c r="G1334" s="515" t="s">
        <v>1793</v>
      </c>
      <c r="H1334" s="514" t="s">
        <v>1224</v>
      </c>
      <c r="I1334" s="515"/>
      <c r="J1334" s="515">
        <v>2</v>
      </c>
    </row>
    <row r="1335" spans="1:10" ht="13.8" thickBot="1">
      <c r="A1335" s="517"/>
      <c r="B1335" s="518" t="s">
        <v>14103</v>
      </c>
      <c r="C1335" s="533"/>
      <c r="D1335" s="514" t="s">
        <v>1792</v>
      </c>
      <c r="E1335" s="515">
        <v>4</v>
      </c>
      <c r="F1335" s="518" t="s">
        <v>1854</v>
      </c>
      <c r="G1335" s="515" t="s">
        <v>1793</v>
      </c>
      <c r="H1335" s="514" t="s">
        <v>1224</v>
      </c>
      <c r="I1335" s="515"/>
      <c r="J1335" s="515">
        <v>1</v>
      </c>
    </row>
    <row r="1336" spans="1:10" ht="13.8" thickBot="1">
      <c r="A1336" s="517"/>
      <c r="B1336" s="518" t="s">
        <v>14102</v>
      </c>
      <c r="C1336" s="533"/>
      <c r="D1336" s="514" t="s">
        <v>14101</v>
      </c>
      <c r="E1336" s="515">
        <v>4</v>
      </c>
      <c r="F1336" s="514"/>
      <c r="G1336" s="515" t="s">
        <v>1793</v>
      </c>
      <c r="H1336" s="514" t="s">
        <v>1224</v>
      </c>
      <c r="I1336" s="515"/>
      <c r="J1336" s="515">
        <v>1</v>
      </c>
    </row>
    <row r="1337" spans="1:10" ht="13.8" thickBot="1">
      <c r="A1337" s="517"/>
      <c r="B1337" s="518" t="s">
        <v>14100</v>
      </c>
      <c r="C1337" s="533"/>
      <c r="D1337" s="514" t="s">
        <v>1797</v>
      </c>
      <c r="E1337" s="515">
        <v>4</v>
      </c>
      <c r="F1337" s="514"/>
      <c r="G1337" s="515" t="s">
        <v>1793</v>
      </c>
      <c r="H1337" s="514" t="s">
        <v>1224</v>
      </c>
      <c r="I1337" s="515"/>
      <c r="J1337" s="515">
        <v>1</v>
      </c>
    </row>
    <row r="1338" spans="1:10" ht="13.8" thickBot="1">
      <c r="A1338" s="517"/>
      <c r="B1338" s="518" t="s">
        <v>13275</v>
      </c>
      <c r="C1338" s="533"/>
      <c r="D1338" s="514" t="s">
        <v>1300</v>
      </c>
      <c r="E1338" s="515">
        <v>4</v>
      </c>
      <c r="F1338" s="518" t="s">
        <v>2223</v>
      </c>
      <c r="G1338" s="515" t="s">
        <v>2523</v>
      </c>
      <c r="H1338" s="514" t="s">
        <v>1224</v>
      </c>
      <c r="I1338" s="515"/>
      <c r="J1338" s="515">
        <v>1</v>
      </c>
    </row>
    <row r="1339" spans="1:10" ht="13.8" thickBot="1">
      <c r="A1339" s="517"/>
      <c r="B1339" s="518" t="s">
        <v>13013</v>
      </c>
      <c r="C1339" s="533"/>
      <c r="D1339" s="514" t="s">
        <v>3022</v>
      </c>
      <c r="E1339" s="515">
        <v>4</v>
      </c>
      <c r="F1339" s="518" t="s">
        <v>614</v>
      </c>
      <c r="G1339" s="515" t="s">
        <v>2957</v>
      </c>
      <c r="H1339" s="514" t="s">
        <v>1224</v>
      </c>
      <c r="I1339" s="522"/>
      <c r="J1339" s="522">
        <v>8</v>
      </c>
    </row>
    <row r="1340" spans="1:10" ht="13.8" thickBot="1">
      <c r="A1340" s="517"/>
      <c r="B1340" s="518" t="s">
        <v>13012</v>
      </c>
      <c r="C1340" s="533"/>
      <c r="D1340" s="514" t="s">
        <v>2968</v>
      </c>
      <c r="E1340" s="515">
        <v>4</v>
      </c>
      <c r="F1340" s="518" t="s">
        <v>614</v>
      </c>
      <c r="G1340" s="515" t="s">
        <v>2957</v>
      </c>
      <c r="H1340" s="514" t="s">
        <v>1224</v>
      </c>
      <c r="I1340" s="515"/>
      <c r="J1340" s="515">
        <v>5</v>
      </c>
    </row>
    <row r="1341" spans="1:10" ht="13.8" thickBot="1">
      <c r="A1341" s="517"/>
      <c r="B1341" s="518" t="s">
        <v>12913</v>
      </c>
      <c r="C1341" s="533"/>
      <c r="D1341" s="514" t="s">
        <v>1390</v>
      </c>
      <c r="E1341" s="515">
        <v>4</v>
      </c>
      <c r="F1341" s="518" t="s">
        <v>1854</v>
      </c>
      <c r="G1341" s="515" t="s">
        <v>3161</v>
      </c>
      <c r="H1341" s="514" t="s">
        <v>1224</v>
      </c>
      <c r="I1341" s="515"/>
      <c r="J1341" s="515">
        <v>1</v>
      </c>
    </row>
    <row r="1342" spans="1:10" ht="13.8" thickBot="1">
      <c r="A1342" s="517"/>
      <c r="B1342" s="518" t="s">
        <v>13860</v>
      </c>
      <c r="C1342" s="533"/>
      <c r="D1342" s="514" t="s">
        <v>13858</v>
      </c>
      <c r="E1342" s="515">
        <v>4</v>
      </c>
      <c r="F1342" s="518" t="s">
        <v>1854</v>
      </c>
      <c r="G1342" s="515" t="s">
        <v>2032</v>
      </c>
      <c r="H1342" s="514" t="s">
        <v>1224</v>
      </c>
      <c r="I1342" s="515"/>
      <c r="J1342" s="515">
        <v>1</v>
      </c>
    </row>
    <row r="1343" spans="1:10" ht="13.8" thickBot="1">
      <c r="A1343" s="517"/>
      <c r="B1343" s="518" t="s">
        <v>13859</v>
      </c>
      <c r="C1343" s="533"/>
      <c r="D1343" s="514" t="s">
        <v>13858</v>
      </c>
      <c r="E1343" s="515">
        <v>4</v>
      </c>
      <c r="F1343" s="518" t="s">
        <v>1854</v>
      </c>
      <c r="G1343" s="515" t="s">
        <v>2032</v>
      </c>
      <c r="H1343" s="514" t="s">
        <v>1224</v>
      </c>
      <c r="I1343" s="515"/>
      <c r="J1343" s="515">
        <v>1</v>
      </c>
    </row>
    <row r="1344" spans="1:10" ht="13.8" thickBot="1">
      <c r="A1344" s="517"/>
      <c r="B1344" s="518" t="s">
        <v>12715</v>
      </c>
      <c r="C1344" s="533"/>
      <c r="D1344" s="514" t="s">
        <v>1452</v>
      </c>
      <c r="E1344" s="515">
        <v>4</v>
      </c>
      <c r="F1344" s="514"/>
      <c r="G1344" s="515" t="s">
        <v>3517</v>
      </c>
      <c r="H1344" s="514" t="s">
        <v>1224</v>
      </c>
      <c r="I1344" s="515"/>
      <c r="J1344" s="515">
        <v>1</v>
      </c>
    </row>
    <row r="1345" spans="1:10" ht="13.8" thickBot="1">
      <c r="A1345" s="517"/>
      <c r="B1345" s="518" t="s">
        <v>12668</v>
      </c>
      <c r="C1345" s="533"/>
      <c r="D1345" s="514" t="s">
        <v>1466</v>
      </c>
      <c r="E1345" s="515">
        <v>4</v>
      </c>
      <c r="F1345" s="518" t="s">
        <v>1854</v>
      </c>
      <c r="G1345" s="515" t="s">
        <v>3652</v>
      </c>
      <c r="H1345" s="514" t="s">
        <v>1224</v>
      </c>
      <c r="I1345" s="515"/>
      <c r="J1345" s="515">
        <v>2</v>
      </c>
    </row>
    <row r="1346" spans="1:10" ht="13.8" thickBot="1">
      <c r="A1346" s="517"/>
      <c r="B1346" s="518" t="s">
        <v>12298</v>
      </c>
      <c r="C1346" s="533"/>
      <c r="D1346" s="514" t="s">
        <v>1607</v>
      </c>
      <c r="E1346" s="515">
        <v>4</v>
      </c>
      <c r="F1346" s="518" t="s">
        <v>1854</v>
      </c>
      <c r="G1346" s="515" t="s">
        <v>4214</v>
      </c>
      <c r="H1346" s="514" t="s">
        <v>1224</v>
      </c>
      <c r="I1346" s="515"/>
      <c r="J1346" s="515">
        <v>1</v>
      </c>
    </row>
    <row r="1347" spans="1:10" ht="13.8" thickBot="1">
      <c r="A1347" s="517"/>
      <c r="B1347" s="518" t="s">
        <v>12254</v>
      </c>
      <c r="C1347" s="533"/>
      <c r="D1347" s="514" t="s">
        <v>12253</v>
      </c>
      <c r="E1347" s="515">
        <v>4</v>
      </c>
      <c r="F1347" s="518" t="s">
        <v>1854</v>
      </c>
      <c r="G1347" s="515" t="s">
        <v>4438</v>
      </c>
      <c r="H1347" s="514" t="s">
        <v>1224</v>
      </c>
      <c r="I1347" s="515"/>
      <c r="J1347" s="515">
        <v>1</v>
      </c>
    </row>
    <row r="1348" spans="1:10" ht="13.8" thickBot="1">
      <c r="A1348" s="517"/>
      <c r="B1348" s="518" t="s">
        <v>14099</v>
      </c>
      <c r="C1348" s="533"/>
      <c r="D1348" s="514" t="s">
        <v>1801</v>
      </c>
      <c r="E1348" s="515">
        <v>4</v>
      </c>
      <c r="F1348" s="518" t="s">
        <v>1854</v>
      </c>
      <c r="G1348" s="515" t="s">
        <v>1793</v>
      </c>
      <c r="H1348" s="514"/>
      <c r="I1348" s="522"/>
      <c r="J1348" s="522">
        <v>2</v>
      </c>
    </row>
    <row r="1349" spans="1:10" ht="13.8" thickBot="1">
      <c r="A1349" s="517"/>
      <c r="B1349" s="518" t="s">
        <v>14098</v>
      </c>
      <c r="C1349" s="533"/>
      <c r="D1349" s="514" t="s">
        <v>1792</v>
      </c>
      <c r="E1349" s="515">
        <v>4</v>
      </c>
      <c r="F1349" s="518" t="s">
        <v>1854</v>
      </c>
      <c r="G1349" s="515" t="s">
        <v>1793</v>
      </c>
      <c r="H1349" s="514"/>
      <c r="I1349" s="515"/>
      <c r="J1349" s="515">
        <v>1</v>
      </c>
    </row>
    <row r="1350" spans="1:10" ht="13.8" thickBot="1">
      <c r="A1350" s="517"/>
      <c r="B1350" s="518" t="s">
        <v>14097</v>
      </c>
      <c r="C1350" s="533"/>
      <c r="D1350" s="514" t="s">
        <v>1792</v>
      </c>
      <c r="E1350" s="515">
        <v>4</v>
      </c>
      <c r="F1350" s="518" t="s">
        <v>1854</v>
      </c>
      <c r="G1350" s="515" t="s">
        <v>1793</v>
      </c>
      <c r="H1350" s="514"/>
      <c r="I1350" s="515"/>
      <c r="J1350" s="515"/>
    </row>
    <row r="1351" spans="1:10" ht="13.8" thickBot="1">
      <c r="A1351" s="517"/>
      <c r="B1351" s="518" t="s">
        <v>14096</v>
      </c>
      <c r="C1351" s="533"/>
      <c r="D1351" s="514" t="s">
        <v>1792</v>
      </c>
      <c r="E1351" s="515">
        <v>4</v>
      </c>
      <c r="F1351" s="514"/>
      <c r="G1351" s="515" t="s">
        <v>1793</v>
      </c>
      <c r="H1351" s="514"/>
      <c r="I1351" s="515"/>
      <c r="J1351" s="515"/>
    </row>
    <row r="1352" spans="1:10" ht="13.8" thickBot="1">
      <c r="A1352" s="517"/>
      <c r="B1352" s="518" t="s">
        <v>12104</v>
      </c>
      <c r="C1352" s="533"/>
      <c r="D1352" s="514" t="s">
        <v>1593</v>
      </c>
      <c r="E1352" s="515">
        <v>4</v>
      </c>
      <c r="F1352" s="514"/>
      <c r="G1352" s="515" t="s">
        <v>4970</v>
      </c>
      <c r="H1352" s="514"/>
      <c r="I1352" s="515"/>
      <c r="J1352" s="515">
        <v>3</v>
      </c>
    </row>
    <row r="1353" spans="1:10" ht="13.8" thickBot="1">
      <c r="A1353" s="517"/>
      <c r="B1353" s="518" t="s">
        <v>12103</v>
      </c>
      <c r="C1353" s="533"/>
      <c r="D1353" s="514" t="s">
        <v>1593</v>
      </c>
      <c r="E1353" s="515">
        <v>4</v>
      </c>
      <c r="F1353" s="514"/>
      <c r="G1353" s="515" t="s">
        <v>4970</v>
      </c>
      <c r="H1353" s="514"/>
      <c r="I1353" s="515"/>
      <c r="J1353" s="515">
        <v>2</v>
      </c>
    </row>
    <row r="1354" spans="1:10" ht="13.8" thickBot="1">
      <c r="A1354" s="517"/>
      <c r="B1354" s="518" t="s">
        <v>12102</v>
      </c>
      <c r="C1354" s="533"/>
      <c r="D1354" s="514" t="s">
        <v>1598</v>
      </c>
      <c r="E1354" s="515">
        <v>4</v>
      </c>
      <c r="F1354" s="518" t="s">
        <v>614</v>
      </c>
      <c r="G1354" s="515" t="s">
        <v>4970</v>
      </c>
      <c r="H1354" s="514"/>
      <c r="I1354" s="515"/>
      <c r="J1354" s="515">
        <v>1</v>
      </c>
    </row>
    <row r="1355" spans="1:10" ht="13.8" thickBot="1">
      <c r="A1355" s="517"/>
      <c r="B1355" s="518" t="s">
        <v>12101</v>
      </c>
      <c r="C1355" s="533"/>
      <c r="D1355" s="514" t="s">
        <v>1593</v>
      </c>
      <c r="E1355" s="515">
        <v>4</v>
      </c>
      <c r="F1355" s="514"/>
      <c r="G1355" s="515" t="s">
        <v>4970</v>
      </c>
      <c r="H1355" s="514"/>
      <c r="I1355" s="515"/>
      <c r="J1355" s="515">
        <v>1</v>
      </c>
    </row>
    <row r="1356" spans="1:10" ht="13.8" thickBot="1">
      <c r="A1356" s="517"/>
      <c r="B1356" s="518" t="s">
        <v>12100</v>
      </c>
      <c r="C1356" s="533"/>
      <c r="D1356" s="514" t="s">
        <v>1593</v>
      </c>
      <c r="E1356" s="515">
        <v>4</v>
      </c>
      <c r="F1356" s="514"/>
      <c r="G1356" s="515" t="s">
        <v>4970</v>
      </c>
      <c r="H1356" s="514"/>
      <c r="I1356" s="515"/>
      <c r="J1356" s="515">
        <v>1</v>
      </c>
    </row>
    <row r="1357" spans="1:10" ht="13.8" thickBot="1">
      <c r="A1357" s="517"/>
      <c r="B1357" s="518" t="s">
        <v>12053</v>
      </c>
      <c r="C1357" s="533"/>
      <c r="D1357" s="514" t="s">
        <v>12052</v>
      </c>
      <c r="E1357" s="515">
        <v>4</v>
      </c>
      <c r="F1357" s="518" t="s">
        <v>614</v>
      </c>
      <c r="G1357" s="515" t="s">
        <v>5010</v>
      </c>
      <c r="H1357" s="514"/>
      <c r="I1357" s="515"/>
      <c r="J1357" s="515">
        <v>1</v>
      </c>
    </row>
    <row r="1358" spans="1:10" ht="13.8" thickBot="1">
      <c r="A1358" s="517"/>
      <c r="B1358" s="518" t="s">
        <v>12051</v>
      </c>
      <c r="C1358" s="533"/>
      <c r="D1358" s="514" t="s">
        <v>12050</v>
      </c>
      <c r="E1358" s="515">
        <v>4</v>
      </c>
      <c r="F1358" s="518" t="s">
        <v>614</v>
      </c>
      <c r="G1358" s="515" t="s">
        <v>5010</v>
      </c>
      <c r="H1358" s="514"/>
      <c r="I1358" s="515"/>
      <c r="J1358" s="515">
        <v>1</v>
      </c>
    </row>
    <row r="1359" spans="1:10" ht="13.8" thickBot="1">
      <c r="A1359" s="517"/>
      <c r="B1359" s="518" t="s">
        <v>12049</v>
      </c>
      <c r="C1359" s="533"/>
      <c r="D1359" s="514" t="s">
        <v>12048</v>
      </c>
      <c r="E1359" s="515">
        <v>4</v>
      </c>
      <c r="F1359" s="514"/>
      <c r="G1359" s="515" t="s">
        <v>5010</v>
      </c>
      <c r="H1359" s="514"/>
      <c r="I1359" s="515"/>
      <c r="J1359" s="515">
        <v>1</v>
      </c>
    </row>
    <row r="1360" spans="1:10" ht="13.8" thickBot="1">
      <c r="A1360" s="517"/>
      <c r="B1360" s="518" t="s">
        <v>12008</v>
      </c>
      <c r="C1360" s="533"/>
      <c r="D1360" s="514" t="s">
        <v>12007</v>
      </c>
      <c r="E1360" s="515">
        <v>4</v>
      </c>
      <c r="F1360" s="518" t="s">
        <v>1854</v>
      </c>
      <c r="G1360" s="515" t="s">
        <v>5109</v>
      </c>
      <c r="H1360" s="514"/>
      <c r="I1360" s="515"/>
      <c r="J1360" s="515">
        <v>1</v>
      </c>
    </row>
    <row r="1361" spans="1:10" ht="13.8" thickBot="1">
      <c r="A1361" s="517"/>
      <c r="B1361" s="518" t="s">
        <v>13274</v>
      </c>
      <c r="C1361" s="533"/>
      <c r="D1361" s="514" t="s">
        <v>13273</v>
      </c>
      <c r="E1361" s="515">
        <v>4</v>
      </c>
      <c r="F1361" s="518" t="s">
        <v>1854</v>
      </c>
      <c r="G1361" s="515" t="s">
        <v>2523</v>
      </c>
      <c r="H1361" s="514"/>
      <c r="I1361" s="515"/>
      <c r="J1361" s="515">
        <v>9</v>
      </c>
    </row>
    <row r="1362" spans="1:10" ht="13.8" thickBot="1">
      <c r="A1362" s="517"/>
      <c r="B1362" s="518" t="s">
        <v>13272</v>
      </c>
      <c r="C1362" s="533"/>
      <c r="D1362" s="514" t="s">
        <v>1300</v>
      </c>
      <c r="E1362" s="515">
        <v>4</v>
      </c>
      <c r="F1362" s="518" t="s">
        <v>614</v>
      </c>
      <c r="G1362" s="515" t="s">
        <v>2523</v>
      </c>
      <c r="H1362" s="514"/>
      <c r="I1362" s="515"/>
      <c r="J1362" s="515">
        <v>2</v>
      </c>
    </row>
    <row r="1363" spans="1:10" ht="13.8" thickBot="1">
      <c r="A1363" s="517"/>
      <c r="B1363" s="518" t="s">
        <v>13271</v>
      </c>
      <c r="C1363" s="533"/>
      <c r="D1363" s="514" t="s">
        <v>1300</v>
      </c>
      <c r="E1363" s="515">
        <v>4</v>
      </c>
      <c r="F1363" s="514"/>
      <c r="G1363" s="515" t="s">
        <v>2523</v>
      </c>
      <c r="H1363" s="514"/>
      <c r="I1363" s="515"/>
      <c r="J1363" s="515">
        <v>2</v>
      </c>
    </row>
    <row r="1364" spans="1:10" ht="13.8" thickBot="1">
      <c r="A1364" s="517"/>
      <c r="B1364" s="518" t="s">
        <v>13270</v>
      </c>
      <c r="C1364" s="533"/>
      <c r="D1364" s="514" t="s">
        <v>2681</v>
      </c>
      <c r="E1364" s="515">
        <v>4</v>
      </c>
      <c r="F1364" s="514"/>
      <c r="G1364" s="515" t="s">
        <v>2523</v>
      </c>
      <c r="H1364" s="514"/>
      <c r="I1364" s="515"/>
      <c r="J1364" s="515">
        <v>2</v>
      </c>
    </row>
    <row r="1365" spans="1:10" ht="13.8" thickBot="1">
      <c r="A1365" s="517"/>
      <c r="B1365" s="518" t="s">
        <v>13269</v>
      </c>
      <c r="C1365" s="533"/>
      <c r="D1365" s="514" t="s">
        <v>1304</v>
      </c>
      <c r="E1365" s="515">
        <v>4</v>
      </c>
      <c r="F1365" s="518" t="s">
        <v>1854</v>
      </c>
      <c r="G1365" s="515" t="s">
        <v>2523</v>
      </c>
      <c r="H1365" s="514"/>
      <c r="I1365" s="515"/>
      <c r="J1365" s="515">
        <v>1</v>
      </c>
    </row>
    <row r="1366" spans="1:10" ht="13.8" thickBot="1">
      <c r="A1366" s="517"/>
      <c r="B1366" s="518" t="s">
        <v>13268</v>
      </c>
      <c r="C1366" s="533"/>
      <c r="D1366" s="514" t="s">
        <v>2537</v>
      </c>
      <c r="E1366" s="515">
        <v>4</v>
      </c>
      <c r="F1366" s="518" t="s">
        <v>1854</v>
      </c>
      <c r="G1366" s="515" t="s">
        <v>2523</v>
      </c>
      <c r="H1366" s="514"/>
      <c r="I1366" s="515"/>
      <c r="J1366" s="515">
        <v>1</v>
      </c>
    </row>
    <row r="1367" spans="1:10" ht="13.8" thickBot="1">
      <c r="A1367" s="517"/>
      <c r="B1367" s="518" t="s">
        <v>13267</v>
      </c>
      <c r="C1367" s="533"/>
      <c r="D1367" s="514" t="s">
        <v>1300</v>
      </c>
      <c r="E1367" s="515">
        <v>4</v>
      </c>
      <c r="F1367" s="518" t="s">
        <v>614</v>
      </c>
      <c r="G1367" s="515" t="s">
        <v>2523</v>
      </c>
      <c r="H1367" s="514"/>
      <c r="I1367" s="522"/>
      <c r="J1367" s="522">
        <v>1</v>
      </c>
    </row>
    <row r="1368" spans="1:10" ht="13.8" thickBot="1">
      <c r="A1368" s="517"/>
      <c r="B1368" s="518" t="s">
        <v>13266</v>
      </c>
      <c r="C1368" s="533"/>
      <c r="D1368" s="514" t="s">
        <v>13265</v>
      </c>
      <c r="E1368" s="515">
        <v>4</v>
      </c>
      <c r="F1368" s="518" t="s">
        <v>1854</v>
      </c>
      <c r="G1368" s="515" t="s">
        <v>2523</v>
      </c>
      <c r="H1368" s="514"/>
      <c r="I1368" s="515"/>
      <c r="J1368" s="515">
        <v>1</v>
      </c>
    </row>
    <row r="1369" spans="1:10" ht="13.8" thickBot="1">
      <c r="A1369" s="517"/>
      <c r="B1369" s="518" t="s">
        <v>13264</v>
      </c>
      <c r="C1369" s="533"/>
      <c r="D1369" s="514" t="s">
        <v>13263</v>
      </c>
      <c r="E1369" s="515">
        <v>4</v>
      </c>
      <c r="F1369" s="514"/>
      <c r="G1369" s="515" t="s">
        <v>2523</v>
      </c>
      <c r="H1369" s="514"/>
      <c r="I1369" s="515"/>
      <c r="J1369" s="515"/>
    </row>
    <row r="1370" spans="1:10" ht="13.8" thickBot="1">
      <c r="A1370" s="517"/>
      <c r="B1370" s="518" t="s">
        <v>13961</v>
      </c>
      <c r="C1370" s="533"/>
      <c r="D1370" s="514" t="s">
        <v>13960</v>
      </c>
      <c r="E1370" s="515">
        <v>4</v>
      </c>
      <c r="F1370" s="514"/>
      <c r="G1370" s="515" t="s">
        <v>1922</v>
      </c>
      <c r="H1370" s="514"/>
      <c r="I1370" s="515"/>
      <c r="J1370" s="515">
        <v>8</v>
      </c>
    </row>
    <row r="1371" spans="1:10" ht="13.8" thickBot="1">
      <c r="A1371" s="517"/>
      <c r="B1371" s="518" t="s">
        <v>11777</v>
      </c>
      <c r="C1371" s="533"/>
      <c r="D1371" s="514" t="s">
        <v>11533</v>
      </c>
      <c r="E1371" s="515">
        <v>4</v>
      </c>
      <c r="F1371" s="518" t="s">
        <v>1854</v>
      </c>
      <c r="G1371" s="515" t="s">
        <v>11525</v>
      </c>
      <c r="H1371" s="514"/>
      <c r="I1371" s="515"/>
      <c r="J1371" s="515">
        <v>1</v>
      </c>
    </row>
    <row r="1372" spans="1:10" ht="13.8" thickBot="1">
      <c r="A1372" s="517"/>
      <c r="B1372" s="518" t="s">
        <v>11573</v>
      </c>
      <c r="C1372" s="533"/>
      <c r="D1372" s="514" t="s">
        <v>11533</v>
      </c>
      <c r="E1372" s="515">
        <v>4</v>
      </c>
      <c r="F1372" s="518" t="s">
        <v>1854</v>
      </c>
      <c r="G1372" s="515" t="s">
        <v>11525</v>
      </c>
      <c r="H1372" s="514"/>
      <c r="I1372" s="515"/>
      <c r="J1372" s="515"/>
    </row>
    <row r="1373" spans="1:10" ht="13.8" thickBot="1">
      <c r="A1373" s="517"/>
      <c r="B1373" s="518" t="s">
        <v>11707</v>
      </c>
      <c r="C1373" s="533"/>
      <c r="D1373" s="514" t="s">
        <v>11706</v>
      </c>
      <c r="E1373" s="515">
        <v>4</v>
      </c>
      <c r="F1373" s="518" t="s">
        <v>1854</v>
      </c>
      <c r="G1373" s="515" t="s">
        <v>11525</v>
      </c>
      <c r="H1373" s="514"/>
      <c r="I1373" s="515"/>
      <c r="J1373" s="515"/>
    </row>
    <row r="1374" spans="1:10" ht="13.8" thickBot="1">
      <c r="A1374" s="517"/>
      <c r="B1374" s="518" t="s">
        <v>11643</v>
      </c>
      <c r="C1374" s="533"/>
      <c r="D1374" s="514" t="s">
        <v>11612</v>
      </c>
      <c r="E1374" s="515">
        <v>4</v>
      </c>
      <c r="F1374" s="514"/>
      <c r="G1374" s="515" t="s">
        <v>11525</v>
      </c>
      <c r="H1374" s="514"/>
      <c r="I1374" s="515"/>
      <c r="J1374" s="515"/>
    </row>
    <row r="1375" spans="1:10" ht="13.8" thickBot="1">
      <c r="A1375" s="517"/>
      <c r="B1375" s="518" t="s">
        <v>13202</v>
      </c>
      <c r="C1375" s="533"/>
      <c r="D1375" s="514" t="s">
        <v>1331</v>
      </c>
      <c r="E1375" s="515">
        <v>4</v>
      </c>
      <c r="F1375" s="518" t="s">
        <v>1854</v>
      </c>
      <c r="G1375" s="515" t="s">
        <v>2797</v>
      </c>
      <c r="H1375" s="514"/>
      <c r="I1375" s="515">
        <v>1</v>
      </c>
      <c r="J1375" s="515">
        <v>5</v>
      </c>
    </row>
    <row r="1376" spans="1:10" ht="13.8" thickBot="1">
      <c r="A1376" s="517"/>
      <c r="B1376" s="518" t="s">
        <v>13011</v>
      </c>
      <c r="C1376" s="533"/>
      <c r="D1376" s="514" t="s">
        <v>13010</v>
      </c>
      <c r="E1376" s="515">
        <v>4</v>
      </c>
      <c r="F1376" s="518" t="s">
        <v>614</v>
      </c>
      <c r="G1376" s="515" t="s">
        <v>2957</v>
      </c>
      <c r="H1376" s="514"/>
      <c r="I1376" s="515"/>
      <c r="J1376" s="515">
        <v>1</v>
      </c>
    </row>
    <row r="1377" spans="1:10" ht="13.8" thickBot="1">
      <c r="A1377" s="517"/>
      <c r="B1377" s="518" t="s">
        <v>13009</v>
      </c>
      <c r="C1377" s="533"/>
      <c r="D1377" s="514" t="s">
        <v>13008</v>
      </c>
      <c r="E1377" s="515">
        <v>4</v>
      </c>
      <c r="F1377" s="518" t="s">
        <v>614</v>
      </c>
      <c r="G1377" s="515" t="s">
        <v>2957</v>
      </c>
      <c r="H1377" s="514"/>
      <c r="I1377" s="515"/>
      <c r="J1377" s="515">
        <v>1</v>
      </c>
    </row>
    <row r="1378" spans="1:10" ht="13.8" thickBot="1">
      <c r="A1378" s="517"/>
      <c r="B1378" s="518" t="s">
        <v>13007</v>
      </c>
      <c r="C1378" s="533"/>
      <c r="D1378" s="514" t="s">
        <v>13006</v>
      </c>
      <c r="E1378" s="515">
        <v>4</v>
      </c>
      <c r="F1378" s="518" t="s">
        <v>1854</v>
      </c>
      <c r="G1378" s="515" t="s">
        <v>2957</v>
      </c>
      <c r="H1378" s="514"/>
      <c r="I1378" s="515"/>
      <c r="J1378" s="515">
        <v>1</v>
      </c>
    </row>
    <row r="1379" spans="1:10" ht="13.8" thickBot="1">
      <c r="A1379" s="517"/>
      <c r="B1379" s="518" t="s">
        <v>13005</v>
      </c>
      <c r="C1379" s="533"/>
      <c r="D1379" s="514" t="s">
        <v>1576</v>
      </c>
      <c r="E1379" s="515">
        <v>4</v>
      </c>
      <c r="F1379" s="518" t="s">
        <v>1854</v>
      </c>
      <c r="G1379" s="515" t="s">
        <v>2957</v>
      </c>
      <c r="H1379" s="514"/>
      <c r="I1379" s="515"/>
      <c r="J1379" s="515"/>
    </row>
    <row r="1380" spans="1:10" ht="13.8" thickBot="1">
      <c r="A1380" s="517"/>
      <c r="B1380" s="518" t="s">
        <v>13004</v>
      </c>
      <c r="C1380" s="533"/>
      <c r="D1380" s="514" t="s">
        <v>1552</v>
      </c>
      <c r="E1380" s="515">
        <v>4</v>
      </c>
      <c r="F1380" s="514"/>
      <c r="G1380" s="515" t="s">
        <v>2957</v>
      </c>
      <c r="H1380" s="514"/>
      <c r="I1380" s="515"/>
      <c r="J1380" s="515"/>
    </row>
    <row r="1381" spans="1:10" ht="13.8" thickBot="1">
      <c r="A1381" s="517"/>
      <c r="B1381" s="518" t="s">
        <v>13857</v>
      </c>
      <c r="C1381" s="533"/>
      <c r="D1381" s="514" t="s">
        <v>13856</v>
      </c>
      <c r="E1381" s="515">
        <v>4</v>
      </c>
      <c r="F1381" s="518" t="s">
        <v>614</v>
      </c>
      <c r="G1381" s="515" t="s">
        <v>2032</v>
      </c>
      <c r="H1381" s="514"/>
      <c r="I1381" s="515"/>
      <c r="J1381" s="515">
        <v>1</v>
      </c>
    </row>
    <row r="1382" spans="1:10" ht="13.8" thickBot="1">
      <c r="A1382" s="517"/>
      <c r="B1382" s="518" t="s">
        <v>13855</v>
      </c>
      <c r="C1382" s="533"/>
      <c r="D1382" s="514" t="s">
        <v>13854</v>
      </c>
      <c r="E1382" s="515">
        <v>4</v>
      </c>
      <c r="F1382" s="514"/>
      <c r="G1382" s="515" t="s">
        <v>2032</v>
      </c>
      <c r="H1382" s="514"/>
      <c r="I1382" s="515"/>
      <c r="J1382" s="515"/>
    </row>
    <row r="1383" spans="1:10" ht="13.8" thickBot="1">
      <c r="A1383" s="517"/>
      <c r="B1383" s="518" t="s">
        <v>12714</v>
      </c>
      <c r="C1383" s="533"/>
      <c r="D1383" s="514" t="s">
        <v>12713</v>
      </c>
      <c r="E1383" s="515">
        <v>4</v>
      </c>
      <c r="F1383" s="518" t="s">
        <v>614</v>
      </c>
      <c r="G1383" s="515" t="s">
        <v>3517</v>
      </c>
      <c r="H1383" s="514"/>
      <c r="I1383" s="515"/>
      <c r="J1383" s="515">
        <v>1</v>
      </c>
    </row>
    <row r="1384" spans="1:10" ht="13.8" thickBot="1">
      <c r="A1384" s="517"/>
      <c r="B1384" s="518" t="s">
        <v>12712</v>
      </c>
      <c r="C1384" s="533"/>
      <c r="D1384" s="514" t="s">
        <v>12711</v>
      </c>
      <c r="E1384" s="515">
        <v>4</v>
      </c>
      <c r="F1384" s="518" t="s">
        <v>614</v>
      </c>
      <c r="G1384" s="515" t="s">
        <v>3517</v>
      </c>
      <c r="H1384" s="514"/>
      <c r="I1384" s="515"/>
      <c r="J1384" s="515">
        <v>1</v>
      </c>
    </row>
    <row r="1385" spans="1:10" ht="13.8" thickBot="1">
      <c r="A1385" s="517"/>
      <c r="B1385" s="518" t="s">
        <v>12710</v>
      </c>
      <c r="C1385" s="533"/>
      <c r="D1385" s="514" t="s">
        <v>12709</v>
      </c>
      <c r="E1385" s="515">
        <v>4</v>
      </c>
      <c r="F1385" s="518" t="s">
        <v>1854</v>
      </c>
      <c r="G1385" s="515" t="s">
        <v>3517</v>
      </c>
      <c r="H1385" s="514"/>
      <c r="I1385" s="515"/>
      <c r="J1385" s="515"/>
    </row>
    <row r="1386" spans="1:10" ht="13.8" thickBot="1">
      <c r="A1386" s="517"/>
      <c r="B1386" s="518" t="s">
        <v>12667</v>
      </c>
      <c r="C1386" s="533"/>
      <c r="D1386" s="514" t="s">
        <v>1466</v>
      </c>
      <c r="E1386" s="515">
        <v>4</v>
      </c>
      <c r="F1386" s="518" t="s">
        <v>1854</v>
      </c>
      <c r="G1386" s="515" t="s">
        <v>3652</v>
      </c>
      <c r="H1386" s="514"/>
      <c r="I1386" s="515"/>
      <c r="J1386" s="515"/>
    </row>
    <row r="1387" spans="1:10" ht="13.8" thickBot="1">
      <c r="A1387" s="517"/>
      <c r="B1387" s="514" t="s">
        <v>12610</v>
      </c>
      <c r="C1387" s="533"/>
      <c r="D1387" s="514" t="s">
        <v>12609</v>
      </c>
      <c r="E1387" s="515">
        <v>4</v>
      </c>
      <c r="F1387" s="518" t="s">
        <v>614</v>
      </c>
      <c r="G1387" s="515" t="s">
        <v>3734</v>
      </c>
      <c r="H1387" s="514"/>
      <c r="I1387" s="515"/>
      <c r="J1387" s="515">
        <v>1</v>
      </c>
    </row>
    <row r="1388" spans="1:10" ht="13.8" thickBot="1">
      <c r="A1388" s="517"/>
      <c r="B1388" s="518" t="s">
        <v>12608</v>
      </c>
      <c r="C1388" s="533"/>
      <c r="D1388" s="514" t="s">
        <v>1480</v>
      </c>
      <c r="E1388" s="515">
        <v>4</v>
      </c>
      <c r="F1388" s="514"/>
      <c r="G1388" s="515" t="s">
        <v>3734</v>
      </c>
      <c r="H1388" s="514"/>
      <c r="I1388" s="515"/>
      <c r="J1388" s="515">
        <v>1</v>
      </c>
    </row>
    <row r="1389" spans="1:10" ht="13.8" thickBot="1">
      <c r="A1389" s="517"/>
      <c r="B1389" s="518" t="s">
        <v>12551</v>
      </c>
      <c r="C1389" s="533"/>
      <c r="D1389" s="514" t="s">
        <v>1502</v>
      </c>
      <c r="E1389" s="515">
        <v>4</v>
      </c>
      <c r="F1389" s="518" t="s">
        <v>1854</v>
      </c>
      <c r="G1389" s="515" t="s">
        <v>3807</v>
      </c>
      <c r="H1389" s="514"/>
      <c r="I1389" s="515"/>
      <c r="J1389" s="515">
        <v>1</v>
      </c>
    </row>
    <row r="1390" spans="1:10" ht="13.8" thickBot="1">
      <c r="A1390" s="517"/>
      <c r="B1390" s="518" t="s">
        <v>12550</v>
      </c>
      <c r="C1390" s="533"/>
      <c r="D1390" s="514" t="s">
        <v>1502</v>
      </c>
      <c r="E1390" s="515">
        <v>4</v>
      </c>
      <c r="F1390" s="518" t="s">
        <v>11609</v>
      </c>
      <c r="G1390" s="515" t="s">
        <v>3807</v>
      </c>
      <c r="H1390" s="514"/>
      <c r="I1390" s="515"/>
      <c r="J1390" s="515"/>
    </row>
    <row r="1391" spans="1:10" ht="13.8" thickBot="1">
      <c r="A1391" s="517"/>
      <c r="B1391" s="518" t="s">
        <v>12549</v>
      </c>
      <c r="C1391" s="533"/>
      <c r="D1391" s="514" t="s">
        <v>12548</v>
      </c>
      <c r="E1391" s="515">
        <v>4</v>
      </c>
      <c r="F1391" s="514"/>
      <c r="G1391" s="515" t="s">
        <v>3807</v>
      </c>
      <c r="H1391" s="514"/>
      <c r="I1391" s="515"/>
      <c r="J1391" s="515"/>
    </row>
    <row r="1392" spans="1:10" ht="13.8" thickBot="1">
      <c r="A1392" s="517"/>
      <c r="B1392" s="518" t="s">
        <v>12434</v>
      </c>
      <c r="C1392" s="533"/>
      <c r="D1392" s="514" t="s">
        <v>1537</v>
      </c>
      <c r="E1392" s="515">
        <v>4</v>
      </c>
      <c r="F1392" s="518" t="s">
        <v>1854</v>
      </c>
      <c r="G1392" s="515" t="s">
        <v>4067</v>
      </c>
      <c r="H1392" s="514"/>
      <c r="I1392" s="515"/>
      <c r="J1392" s="515">
        <v>1</v>
      </c>
    </row>
    <row r="1393" spans="1:10" ht="13.8" thickBot="1">
      <c r="A1393" s="517"/>
      <c r="B1393" s="518" t="s">
        <v>12297</v>
      </c>
      <c r="C1393" s="533"/>
      <c r="D1393" s="514" t="s">
        <v>12296</v>
      </c>
      <c r="E1393" s="515">
        <v>4</v>
      </c>
      <c r="F1393" s="518" t="s">
        <v>1854</v>
      </c>
      <c r="G1393" s="515" t="s">
        <v>4214</v>
      </c>
      <c r="H1393" s="514"/>
      <c r="I1393" s="515"/>
      <c r="J1393" s="515">
        <v>1</v>
      </c>
    </row>
    <row r="1394" spans="1:10" ht="13.8" thickBot="1">
      <c r="A1394" s="517"/>
      <c r="B1394" s="518" t="s">
        <v>12295</v>
      </c>
      <c r="C1394" s="533"/>
      <c r="D1394" s="514" t="s">
        <v>12294</v>
      </c>
      <c r="E1394" s="515">
        <v>4</v>
      </c>
      <c r="F1394" s="518" t="s">
        <v>1854</v>
      </c>
      <c r="G1394" s="515" t="s">
        <v>4214</v>
      </c>
      <c r="H1394" s="514"/>
      <c r="I1394" s="515"/>
      <c r="J1394" s="515">
        <v>1</v>
      </c>
    </row>
    <row r="1395" spans="1:10" ht="13.8" thickBot="1">
      <c r="A1395" s="517"/>
      <c r="B1395" s="518" t="s">
        <v>12293</v>
      </c>
      <c r="C1395" s="533"/>
      <c r="D1395" s="514" t="s">
        <v>1607</v>
      </c>
      <c r="E1395" s="515">
        <v>4</v>
      </c>
      <c r="F1395" s="514"/>
      <c r="G1395" s="515" t="s">
        <v>4214</v>
      </c>
      <c r="H1395" s="514"/>
      <c r="I1395" s="515"/>
      <c r="J1395" s="515">
        <v>1</v>
      </c>
    </row>
    <row r="1396" spans="1:10" ht="13.8" thickBot="1">
      <c r="A1396" s="517"/>
      <c r="B1396" s="518" t="s">
        <v>12272</v>
      </c>
      <c r="C1396" s="533"/>
      <c r="D1396" s="514" t="s">
        <v>12271</v>
      </c>
      <c r="E1396" s="515">
        <v>4</v>
      </c>
      <c r="F1396" s="518" t="s">
        <v>1854</v>
      </c>
      <c r="G1396" s="515" t="s">
        <v>4364</v>
      </c>
      <c r="H1396" s="514"/>
      <c r="I1396" s="515"/>
      <c r="J1396" s="515">
        <v>1</v>
      </c>
    </row>
    <row r="1397" spans="1:10" ht="13.8" thickBot="1">
      <c r="A1397" s="517"/>
      <c r="B1397" s="518" t="s">
        <v>12270</v>
      </c>
      <c r="C1397" s="533"/>
      <c r="D1397" s="514" t="s">
        <v>12269</v>
      </c>
      <c r="E1397" s="515">
        <v>4</v>
      </c>
      <c r="F1397" s="518" t="s">
        <v>1854</v>
      </c>
      <c r="G1397" s="515" t="s">
        <v>4364</v>
      </c>
      <c r="H1397" s="514"/>
      <c r="I1397" s="515"/>
      <c r="J1397" s="515"/>
    </row>
    <row r="1398" spans="1:10" ht="13.8" thickBot="1">
      <c r="A1398" s="517"/>
      <c r="B1398" s="518" t="s">
        <v>13764</v>
      </c>
      <c r="C1398" s="533"/>
      <c r="D1398" s="514" t="s">
        <v>13763</v>
      </c>
      <c r="E1398" s="515">
        <v>4</v>
      </c>
      <c r="F1398" s="518" t="s">
        <v>614</v>
      </c>
      <c r="G1398" s="515" t="s">
        <v>2152</v>
      </c>
      <c r="H1398" s="514"/>
      <c r="I1398" s="515">
        <v>1</v>
      </c>
      <c r="J1398" s="515">
        <v>5</v>
      </c>
    </row>
    <row r="1399" spans="1:10" ht="13.8" thickBot="1">
      <c r="A1399" s="517"/>
      <c r="B1399" s="514" t="s">
        <v>12215</v>
      </c>
      <c r="C1399" s="533"/>
      <c r="D1399" s="514" t="s">
        <v>12214</v>
      </c>
      <c r="E1399" s="515">
        <v>4</v>
      </c>
      <c r="F1399" s="514"/>
      <c r="G1399" s="515" t="s">
        <v>4672</v>
      </c>
      <c r="H1399" s="514"/>
      <c r="I1399" s="515"/>
      <c r="J1399" s="515">
        <v>1</v>
      </c>
    </row>
    <row r="1400" spans="1:10" ht="13.8" thickBot="1">
      <c r="A1400" s="517"/>
      <c r="B1400" s="518" t="s">
        <v>13003</v>
      </c>
      <c r="C1400" s="533"/>
      <c r="D1400" s="519" t="s">
        <v>3057</v>
      </c>
      <c r="E1400" s="515">
        <v>3.5</v>
      </c>
      <c r="F1400" s="518" t="s">
        <v>1854</v>
      </c>
      <c r="G1400" s="515" t="s">
        <v>2957</v>
      </c>
      <c r="H1400" s="514" t="s">
        <v>1224</v>
      </c>
      <c r="I1400" s="515"/>
      <c r="J1400" s="515">
        <v>2</v>
      </c>
    </row>
    <row r="1401" spans="1:10" ht="13.8" thickBot="1">
      <c r="A1401" s="517"/>
      <c r="B1401" s="518" t="s">
        <v>13002</v>
      </c>
      <c r="C1401" s="533"/>
      <c r="D1401" s="519" t="s">
        <v>13001</v>
      </c>
      <c r="E1401" s="515">
        <v>3.5</v>
      </c>
      <c r="F1401" s="518" t="s">
        <v>614</v>
      </c>
      <c r="G1401" s="515" t="s">
        <v>2957</v>
      </c>
      <c r="H1401" s="514" t="s">
        <v>1224</v>
      </c>
      <c r="I1401" s="515"/>
      <c r="J1401" s="515">
        <v>2</v>
      </c>
    </row>
    <row r="1402" spans="1:10" ht="13.8" thickBot="1">
      <c r="A1402" s="517"/>
      <c r="B1402" s="518" t="s">
        <v>14095</v>
      </c>
      <c r="C1402" s="533"/>
      <c r="D1402" s="514" t="s">
        <v>14094</v>
      </c>
      <c r="E1402" s="515">
        <v>3.5</v>
      </c>
      <c r="F1402" s="518" t="s">
        <v>614</v>
      </c>
      <c r="G1402" s="515" t="s">
        <v>1793</v>
      </c>
      <c r="H1402" s="514"/>
      <c r="I1402" s="515"/>
      <c r="J1402" s="515">
        <v>1</v>
      </c>
    </row>
    <row r="1403" spans="1:10" ht="13.8" thickBot="1">
      <c r="A1403" s="517"/>
      <c r="B1403" s="518" t="s">
        <v>14093</v>
      </c>
      <c r="C1403" s="533"/>
      <c r="D1403" s="514" t="s">
        <v>1802</v>
      </c>
      <c r="E1403" s="529">
        <v>3.5</v>
      </c>
      <c r="F1403" s="514"/>
      <c r="G1403" s="515" t="s">
        <v>1793</v>
      </c>
      <c r="H1403" s="514"/>
      <c r="I1403" s="515"/>
      <c r="J1403" s="515">
        <v>1</v>
      </c>
    </row>
    <row r="1404" spans="1:10" ht="13.8" thickBot="1">
      <c r="A1404" s="517"/>
      <c r="B1404" s="518" t="s">
        <v>12006</v>
      </c>
      <c r="C1404" s="533"/>
      <c r="D1404" s="514" t="s">
        <v>12005</v>
      </c>
      <c r="E1404" s="515">
        <v>3.5</v>
      </c>
      <c r="F1404" s="518" t="s">
        <v>614</v>
      </c>
      <c r="G1404" s="515" t="s">
        <v>5109</v>
      </c>
      <c r="H1404" s="514"/>
      <c r="I1404" s="515"/>
      <c r="J1404" s="515">
        <v>1</v>
      </c>
    </row>
    <row r="1405" spans="1:10" ht="13.8" thickBot="1">
      <c r="A1405" s="517"/>
      <c r="B1405" s="518" t="s">
        <v>13262</v>
      </c>
      <c r="C1405" s="533"/>
      <c r="D1405" s="514" t="s">
        <v>2594</v>
      </c>
      <c r="E1405" s="515">
        <v>3.5</v>
      </c>
      <c r="F1405" s="518" t="s">
        <v>614</v>
      </c>
      <c r="G1405" s="515" t="s">
        <v>2523</v>
      </c>
      <c r="H1405" s="514"/>
      <c r="I1405" s="515"/>
      <c r="J1405" s="515">
        <v>1</v>
      </c>
    </row>
    <row r="1406" spans="1:10" ht="13.8" thickBot="1">
      <c r="A1406" s="517"/>
      <c r="B1406" s="518" t="s">
        <v>13959</v>
      </c>
      <c r="C1406" s="533"/>
      <c r="D1406" s="514" t="s">
        <v>13958</v>
      </c>
      <c r="E1406" s="515">
        <v>3.5</v>
      </c>
      <c r="F1406" s="518" t="s">
        <v>614</v>
      </c>
      <c r="G1406" s="515" t="s">
        <v>1922</v>
      </c>
      <c r="H1406" s="514"/>
      <c r="I1406" s="515"/>
      <c r="J1406" s="515">
        <v>1</v>
      </c>
    </row>
    <row r="1407" spans="1:10" ht="13.8" thickBot="1">
      <c r="A1407" s="517"/>
      <c r="B1407" s="518" t="s">
        <v>11771</v>
      </c>
      <c r="C1407" s="533"/>
      <c r="D1407" s="514" t="s">
        <v>11533</v>
      </c>
      <c r="E1407" s="515">
        <v>3.5</v>
      </c>
      <c r="F1407" s="518" t="s">
        <v>1854</v>
      </c>
      <c r="G1407" s="515" t="s">
        <v>11525</v>
      </c>
      <c r="H1407" s="514"/>
      <c r="I1407" s="515"/>
      <c r="J1407" s="515">
        <v>1</v>
      </c>
    </row>
    <row r="1408" spans="1:10" ht="13.8" thickBot="1">
      <c r="A1408" s="517"/>
      <c r="B1408" s="518" t="s">
        <v>11736</v>
      </c>
      <c r="C1408" s="533"/>
      <c r="D1408" s="514" t="s">
        <v>11533</v>
      </c>
      <c r="E1408" s="515">
        <v>3.5</v>
      </c>
      <c r="F1408" s="518" t="s">
        <v>1854</v>
      </c>
      <c r="G1408" s="515" t="s">
        <v>11525</v>
      </c>
      <c r="H1408" s="514"/>
      <c r="I1408" s="515"/>
      <c r="J1408" s="515"/>
    </row>
    <row r="1409" spans="1:10" ht="13.8" thickBot="1">
      <c r="A1409" s="517"/>
      <c r="B1409" s="518" t="s">
        <v>11730</v>
      </c>
      <c r="C1409" s="533"/>
      <c r="D1409" s="514" t="s">
        <v>11533</v>
      </c>
      <c r="E1409" s="515">
        <v>3.5</v>
      </c>
      <c r="F1409" s="518" t="s">
        <v>1854</v>
      </c>
      <c r="G1409" s="515" t="s">
        <v>11525</v>
      </c>
      <c r="H1409" s="514"/>
      <c r="I1409" s="515"/>
      <c r="J1409" s="515"/>
    </row>
    <row r="1410" spans="1:10" ht="13.8" thickBot="1">
      <c r="A1410" s="517"/>
      <c r="B1410" s="518" t="s">
        <v>11734</v>
      </c>
      <c r="C1410" s="533"/>
      <c r="D1410" s="514" t="s">
        <v>11533</v>
      </c>
      <c r="E1410" s="515">
        <v>3.5</v>
      </c>
      <c r="F1410" s="518" t="s">
        <v>1854</v>
      </c>
      <c r="G1410" s="515" t="s">
        <v>11525</v>
      </c>
      <c r="H1410" s="514"/>
      <c r="I1410" s="515"/>
      <c r="J1410" s="515"/>
    </row>
    <row r="1411" spans="1:10" ht="13.8" thickBot="1">
      <c r="A1411" s="517"/>
      <c r="B1411" s="518" t="s">
        <v>13000</v>
      </c>
      <c r="C1411" s="533"/>
      <c r="D1411" s="514" t="s">
        <v>1552</v>
      </c>
      <c r="E1411" s="515">
        <v>3.5</v>
      </c>
      <c r="F1411" s="514"/>
      <c r="G1411" s="515" t="s">
        <v>2957</v>
      </c>
      <c r="H1411" s="514"/>
      <c r="I1411" s="515"/>
      <c r="J1411" s="515">
        <v>2</v>
      </c>
    </row>
    <row r="1412" spans="1:10" ht="13.8" thickBot="1">
      <c r="A1412" s="517"/>
      <c r="B1412" s="518" t="s">
        <v>12912</v>
      </c>
      <c r="C1412" s="533"/>
      <c r="D1412" s="514" t="s">
        <v>12911</v>
      </c>
      <c r="E1412" s="515">
        <v>3.5</v>
      </c>
      <c r="F1412" s="518" t="s">
        <v>1854</v>
      </c>
      <c r="G1412" s="515" t="s">
        <v>3161</v>
      </c>
      <c r="H1412" s="514"/>
      <c r="I1412" s="515"/>
      <c r="J1412" s="515">
        <v>2</v>
      </c>
    </row>
    <row r="1413" spans="1:10" ht="13.8" thickBot="1">
      <c r="A1413" s="517"/>
      <c r="B1413" s="518" t="s">
        <v>12708</v>
      </c>
      <c r="C1413" s="533"/>
      <c r="D1413" s="514" t="s">
        <v>12707</v>
      </c>
      <c r="E1413" s="515">
        <v>3.5</v>
      </c>
      <c r="F1413" s="518" t="s">
        <v>614</v>
      </c>
      <c r="G1413" s="515" t="s">
        <v>3517</v>
      </c>
      <c r="H1413" s="514"/>
      <c r="I1413" s="515"/>
      <c r="J1413" s="515">
        <v>1</v>
      </c>
    </row>
    <row r="1414" spans="1:10" ht="13.8" thickBot="1">
      <c r="A1414" s="517"/>
      <c r="B1414" s="518" t="s">
        <v>12497</v>
      </c>
      <c r="C1414" s="533"/>
      <c r="D1414" s="514" t="s">
        <v>1507</v>
      </c>
      <c r="E1414" s="515">
        <v>3.5</v>
      </c>
      <c r="F1414" s="514"/>
      <c r="G1414" s="515" t="s">
        <v>3856</v>
      </c>
      <c r="H1414" s="514"/>
      <c r="I1414" s="515"/>
      <c r="J1414" s="515">
        <v>2</v>
      </c>
    </row>
    <row r="1415" spans="1:10" ht="13.8" thickBot="1">
      <c r="A1415" s="517"/>
      <c r="B1415" s="518" t="s">
        <v>12292</v>
      </c>
      <c r="C1415" s="533"/>
      <c r="D1415" s="514" t="s">
        <v>1607</v>
      </c>
      <c r="E1415" s="515">
        <v>3.5</v>
      </c>
      <c r="F1415" s="514"/>
      <c r="G1415" s="515" t="s">
        <v>4214</v>
      </c>
      <c r="H1415" s="514"/>
      <c r="I1415" s="515"/>
      <c r="J1415" s="515">
        <v>1</v>
      </c>
    </row>
    <row r="1416" spans="1:10" ht="13.8" thickBot="1">
      <c r="A1416" s="517"/>
      <c r="B1416" s="518" t="s">
        <v>13762</v>
      </c>
      <c r="C1416" s="533"/>
      <c r="D1416" s="514" t="s">
        <v>2188</v>
      </c>
      <c r="E1416" s="515">
        <v>3.5</v>
      </c>
      <c r="F1416" s="514"/>
      <c r="G1416" s="515" t="s">
        <v>2152</v>
      </c>
      <c r="H1416" s="514"/>
      <c r="I1416" s="515"/>
      <c r="J1416" s="515">
        <v>2</v>
      </c>
    </row>
    <row r="1417" spans="1:10" ht="13.8" thickBot="1">
      <c r="A1417" s="517"/>
      <c r="B1417" s="518" t="s">
        <v>13761</v>
      </c>
      <c r="C1417" s="533"/>
      <c r="D1417" s="514" t="s">
        <v>2159</v>
      </c>
      <c r="E1417" s="515">
        <v>3.5</v>
      </c>
      <c r="F1417" s="518" t="s">
        <v>1854</v>
      </c>
      <c r="G1417" s="515" t="s">
        <v>2152</v>
      </c>
      <c r="H1417" s="514"/>
      <c r="I1417" s="515"/>
      <c r="J1417" s="515">
        <v>1</v>
      </c>
    </row>
    <row r="1418" spans="1:10" ht="13.8" thickBot="1">
      <c r="A1418" s="517"/>
      <c r="B1418" s="518" t="s">
        <v>12099</v>
      </c>
      <c r="C1418" s="533"/>
      <c r="D1418" s="514" t="s">
        <v>1593</v>
      </c>
      <c r="E1418" s="515">
        <v>3</v>
      </c>
      <c r="F1418" s="518" t="s">
        <v>614</v>
      </c>
      <c r="G1418" s="515" t="s">
        <v>4970</v>
      </c>
      <c r="H1418" s="514" t="s">
        <v>1226</v>
      </c>
      <c r="I1418" s="515"/>
      <c r="J1418" s="515">
        <v>1</v>
      </c>
    </row>
    <row r="1419" spans="1:10" ht="13.8" thickBot="1">
      <c r="A1419" s="517"/>
      <c r="B1419" s="518" t="s">
        <v>12496</v>
      </c>
      <c r="C1419" s="533"/>
      <c r="D1419" s="514" t="s">
        <v>1507</v>
      </c>
      <c r="E1419" s="515">
        <v>3</v>
      </c>
      <c r="F1419" s="518" t="s">
        <v>1854</v>
      </c>
      <c r="G1419" s="515" t="s">
        <v>3856</v>
      </c>
      <c r="H1419" s="514" t="s">
        <v>1226</v>
      </c>
      <c r="I1419" s="515"/>
      <c r="J1419" s="515">
        <v>2</v>
      </c>
    </row>
    <row r="1420" spans="1:10" ht="13.8" thickBot="1">
      <c r="A1420" s="517"/>
      <c r="B1420" s="518" t="s">
        <v>14092</v>
      </c>
      <c r="C1420" s="533"/>
      <c r="D1420" s="514" t="s">
        <v>14091</v>
      </c>
      <c r="E1420" s="515">
        <v>3</v>
      </c>
      <c r="F1420" s="518" t="s">
        <v>1854</v>
      </c>
      <c r="G1420" s="515" t="s">
        <v>1793</v>
      </c>
      <c r="H1420" s="514" t="s">
        <v>1224</v>
      </c>
      <c r="I1420" s="515"/>
      <c r="J1420" s="515">
        <v>1</v>
      </c>
    </row>
    <row r="1421" spans="1:10" ht="13.8" thickBot="1">
      <c r="A1421" s="517"/>
      <c r="B1421" s="518" t="s">
        <v>14090</v>
      </c>
      <c r="C1421" s="533"/>
      <c r="D1421" s="514" t="s">
        <v>1792</v>
      </c>
      <c r="E1421" s="515">
        <v>3</v>
      </c>
      <c r="F1421" s="518" t="s">
        <v>1854</v>
      </c>
      <c r="G1421" s="515" t="s">
        <v>1793</v>
      </c>
      <c r="H1421" s="514" t="s">
        <v>1224</v>
      </c>
      <c r="I1421" s="515"/>
      <c r="J1421" s="515">
        <v>1</v>
      </c>
    </row>
    <row r="1422" spans="1:10" ht="13.8" thickBot="1">
      <c r="A1422" s="517"/>
      <c r="B1422" s="518" t="s">
        <v>13261</v>
      </c>
      <c r="C1422" s="533"/>
      <c r="D1422" s="514" t="s">
        <v>1302</v>
      </c>
      <c r="E1422" s="515">
        <v>3</v>
      </c>
      <c r="F1422" s="518" t="s">
        <v>1854</v>
      </c>
      <c r="G1422" s="515" t="s">
        <v>2523</v>
      </c>
      <c r="H1422" s="514" t="s">
        <v>1224</v>
      </c>
      <c r="I1422" s="515"/>
      <c r="J1422" s="515">
        <v>1</v>
      </c>
    </row>
    <row r="1423" spans="1:10" ht="13.8" thickBot="1">
      <c r="A1423" s="517"/>
      <c r="B1423" s="518" t="s">
        <v>14089</v>
      </c>
      <c r="C1423" s="533"/>
      <c r="D1423" s="514" t="s">
        <v>1874</v>
      </c>
      <c r="E1423" s="515">
        <v>3</v>
      </c>
      <c r="F1423" s="518" t="s">
        <v>1854</v>
      </c>
      <c r="G1423" s="515" t="s">
        <v>1793</v>
      </c>
      <c r="H1423" s="514"/>
      <c r="I1423" s="515"/>
      <c r="J1423" s="515">
        <v>2</v>
      </c>
    </row>
    <row r="1424" spans="1:10" ht="13.8" thickBot="1">
      <c r="A1424" s="517"/>
      <c r="B1424" s="518" t="s">
        <v>14088</v>
      </c>
      <c r="C1424" s="533"/>
      <c r="D1424" s="514" t="s">
        <v>13991</v>
      </c>
      <c r="E1424" s="515">
        <v>3</v>
      </c>
      <c r="F1424" s="514"/>
      <c r="G1424" s="515" t="s">
        <v>1793</v>
      </c>
      <c r="H1424" s="514"/>
      <c r="I1424" s="515"/>
      <c r="J1424" s="515">
        <v>2</v>
      </c>
    </row>
    <row r="1425" spans="1:10" ht="13.8" thickBot="1">
      <c r="A1425" s="517"/>
      <c r="B1425" s="518" t="s">
        <v>14087</v>
      </c>
      <c r="C1425" s="533"/>
      <c r="D1425" s="514" t="s">
        <v>14086</v>
      </c>
      <c r="E1425" s="515">
        <v>3</v>
      </c>
      <c r="F1425" s="518" t="s">
        <v>1978</v>
      </c>
      <c r="G1425" s="515" t="s">
        <v>1793</v>
      </c>
      <c r="H1425" s="514"/>
      <c r="I1425" s="515"/>
      <c r="J1425" s="515">
        <v>1</v>
      </c>
    </row>
    <row r="1426" spans="1:10" ht="13.8" thickBot="1">
      <c r="A1426" s="517"/>
      <c r="B1426" s="518" t="s">
        <v>14085</v>
      </c>
      <c r="C1426" s="533"/>
      <c r="D1426" s="514" t="s">
        <v>14084</v>
      </c>
      <c r="E1426" s="515">
        <v>3</v>
      </c>
      <c r="F1426" s="518" t="s">
        <v>1854</v>
      </c>
      <c r="G1426" s="515" t="s">
        <v>1793</v>
      </c>
      <c r="H1426" s="514"/>
      <c r="I1426" s="515"/>
      <c r="J1426" s="515">
        <v>1</v>
      </c>
    </row>
    <row r="1427" spans="1:10" ht="13.8" thickBot="1">
      <c r="A1427" s="517"/>
      <c r="B1427" s="518" t="s">
        <v>14083</v>
      </c>
      <c r="C1427" s="533"/>
      <c r="D1427" s="514" t="s">
        <v>1792</v>
      </c>
      <c r="E1427" s="515">
        <v>3</v>
      </c>
      <c r="F1427" s="518" t="s">
        <v>1854</v>
      </c>
      <c r="G1427" s="515" t="s">
        <v>1793</v>
      </c>
      <c r="H1427" s="514"/>
      <c r="I1427" s="515"/>
      <c r="J1427" s="515">
        <v>1</v>
      </c>
    </row>
    <row r="1428" spans="1:10" ht="13.8" thickBot="1">
      <c r="A1428" s="517"/>
      <c r="B1428" s="518" t="s">
        <v>14082</v>
      </c>
      <c r="C1428" s="533"/>
      <c r="D1428" s="514" t="s">
        <v>1874</v>
      </c>
      <c r="E1428" s="515">
        <v>3</v>
      </c>
      <c r="F1428" s="518" t="s">
        <v>1854</v>
      </c>
      <c r="G1428" s="515" t="s">
        <v>1793</v>
      </c>
      <c r="H1428" s="514"/>
      <c r="I1428" s="515"/>
      <c r="J1428" s="515">
        <v>1</v>
      </c>
    </row>
    <row r="1429" spans="1:10" ht="13.8" thickBot="1">
      <c r="A1429" s="517"/>
      <c r="B1429" s="518" t="s">
        <v>14081</v>
      </c>
      <c r="C1429" s="533"/>
      <c r="D1429" s="514" t="s">
        <v>1792</v>
      </c>
      <c r="E1429" s="515">
        <v>3</v>
      </c>
      <c r="F1429" s="518" t="s">
        <v>1854</v>
      </c>
      <c r="G1429" s="515" t="s">
        <v>1793</v>
      </c>
      <c r="H1429" s="514"/>
      <c r="I1429" s="515"/>
      <c r="J1429" s="515">
        <v>1</v>
      </c>
    </row>
    <row r="1430" spans="1:10" ht="13.8" thickBot="1">
      <c r="A1430" s="517"/>
      <c r="B1430" s="518" t="s">
        <v>14080</v>
      </c>
      <c r="C1430" s="533"/>
      <c r="D1430" s="514" t="s">
        <v>1802</v>
      </c>
      <c r="E1430" s="529">
        <v>3</v>
      </c>
      <c r="F1430" s="514"/>
      <c r="G1430" s="515" t="s">
        <v>1793</v>
      </c>
      <c r="H1430" s="514"/>
      <c r="I1430" s="515"/>
      <c r="J1430" s="515">
        <v>1</v>
      </c>
    </row>
    <row r="1431" spans="1:10" ht="13.8" thickBot="1">
      <c r="A1431" s="517"/>
      <c r="B1431" s="518" t="s">
        <v>14079</v>
      </c>
      <c r="C1431" s="533"/>
      <c r="D1431" s="514" t="s">
        <v>1874</v>
      </c>
      <c r="E1431" s="515">
        <v>3</v>
      </c>
      <c r="F1431" s="514"/>
      <c r="G1431" s="515" t="s">
        <v>1793</v>
      </c>
      <c r="H1431" s="514"/>
      <c r="I1431" s="515"/>
      <c r="J1431" s="515">
        <v>1</v>
      </c>
    </row>
    <row r="1432" spans="1:10" ht="13.8" thickBot="1">
      <c r="A1432" s="517"/>
      <c r="B1432" s="518" t="s">
        <v>14078</v>
      </c>
      <c r="C1432" s="533"/>
      <c r="D1432" s="514" t="s">
        <v>14077</v>
      </c>
      <c r="E1432" s="515">
        <v>3</v>
      </c>
      <c r="F1432" s="518" t="s">
        <v>1854</v>
      </c>
      <c r="G1432" s="515" t="s">
        <v>1793</v>
      </c>
      <c r="H1432" s="514"/>
      <c r="I1432" s="515"/>
      <c r="J1432" s="515"/>
    </row>
    <row r="1433" spans="1:10" ht="13.8" thickBot="1">
      <c r="A1433" s="517"/>
      <c r="B1433" s="518" t="s">
        <v>14076</v>
      </c>
      <c r="C1433" s="533"/>
      <c r="D1433" s="514" t="s">
        <v>1792</v>
      </c>
      <c r="E1433" s="515">
        <v>3</v>
      </c>
      <c r="F1433" s="518" t="s">
        <v>1854</v>
      </c>
      <c r="G1433" s="515" t="s">
        <v>1793</v>
      </c>
      <c r="H1433" s="514"/>
      <c r="I1433" s="515"/>
      <c r="J1433" s="515"/>
    </row>
    <row r="1434" spans="1:10" ht="13.8" thickBot="1">
      <c r="A1434" s="517"/>
      <c r="B1434" s="518" t="s">
        <v>14075</v>
      </c>
      <c r="C1434" s="533"/>
      <c r="D1434" s="514" t="s">
        <v>1792</v>
      </c>
      <c r="E1434" s="515">
        <v>3</v>
      </c>
      <c r="F1434" s="518" t="s">
        <v>1854</v>
      </c>
      <c r="G1434" s="515" t="s">
        <v>1793</v>
      </c>
      <c r="H1434" s="514"/>
      <c r="I1434" s="515"/>
      <c r="J1434" s="515"/>
    </row>
    <row r="1435" spans="1:10" ht="13.8" thickBot="1">
      <c r="A1435" s="517"/>
      <c r="B1435" s="518" t="s">
        <v>14074</v>
      </c>
      <c r="C1435" s="533"/>
      <c r="D1435" s="514" t="s">
        <v>1792</v>
      </c>
      <c r="E1435" s="515">
        <v>3</v>
      </c>
      <c r="F1435" s="518" t="s">
        <v>1854</v>
      </c>
      <c r="G1435" s="515" t="s">
        <v>1793</v>
      </c>
      <c r="H1435" s="514"/>
      <c r="I1435" s="515"/>
      <c r="J1435" s="515"/>
    </row>
    <row r="1436" spans="1:10" ht="13.8" thickBot="1">
      <c r="A1436" s="517"/>
      <c r="B1436" s="518" t="s">
        <v>14073</v>
      </c>
      <c r="C1436" s="533"/>
      <c r="D1436" s="514" t="s">
        <v>1792</v>
      </c>
      <c r="E1436" s="515">
        <v>3</v>
      </c>
      <c r="F1436" s="518" t="s">
        <v>1854</v>
      </c>
      <c r="G1436" s="515" t="s">
        <v>1793</v>
      </c>
      <c r="H1436" s="514"/>
      <c r="I1436" s="515"/>
      <c r="J1436" s="515"/>
    </row>
    <row r="1437" spans="1:10" ht="13.8" thickBot="1">
      <c r="A1437" s="517"/>
      <c r="B1437" s="518" t="s">
        <v>14072</v>
      </c>
      <c r="C1437" s="533"/>
      <c r="D1437" s="514" t="s">
        <v>1792</v>
      </c>
      <c r="E1437" s="515">
        <v>3</v>
      </c>
      <c r="F1437" s="518" t="s">
        <v>1854</v>
      </c>
      <c r="G1437" s="515" t="s">
        <v>1793</v>
      </c>
      <c r="H1437" s="514"/>
      <c r="I1437" s="515"/>
      <c r="J1437" s="515"/>
    </row>
    <row r="1438" spans="1:10" ht="13.8" thickBot="1">
      <c r="A1438" s="517"/>
      <c r="B1438" s="518" t="s">
        <v>12098</v>
      </c>
      <c r="C1438" s="533"/>
      <c r="D1438" s="514" t="s">
        <v>1593</v>
      </c>
      <c r="E1438" s="515">
        <v>3</v>
      </c>
      <c r="F1438" s="518" t="s">
        <v>1854</v>
      </c>
      <c r="G1438" s="515" t="s">
        <v>4970</v>
      </c>
      <c r="H1438" s="514"/>
      <c r="I1438" s="515"/>
      <c r="J1438" s="515">
        <v>8</v>
      </c>
    </row>
    <row r="1439" spans="1:10" ht="13.8" thickBot="1">
      <c r="A1439" s="517"/>
      <c r="B1439" s="518" t="s">
        <v>12097</v>
      </c>
      <c r="C1439" s="533"/>
      <c r="D1439" s="514" t="s">
        <v>1593</v>
      </c>
      <c r="E1439" s="515">
        <v>3</v>
      </c>
      <c r="F1439" s="514"/>
      <c r="G1439" s="515" t="s">
        <v>4970</v>
      </c>
      <c r="H1439" s="514"/>
      <c r="I1439" s="515"/>
      <c r="J1439" s="515">
        <v>2</v>
      </c>
    </row>
    <row r="1440" spans="1:10" ht="13.8" thickBot="1">
      <c r="A1440" s="517"/>
      <c r="B1440" s="518" t="s">
        <v>12096</v>
      </c>
      <c r="C1440" s="533"/>
      <c r="D1440" s="514" t="s">
        <v>1593</v>
      </c>
      <c r="E1440" s="515">
        <v>3</v>
      </c>
      <c r="F1440" s="514"/>
      <c r="G1440" s="515" t="s">
        <v>4970</v>
      </c>
      <c r="H1440" s="514"/>
      <c r="I1440" s="515"/>
      <c r="J1440" s="515">
        <v>2</v>
      </c>
    </row>
    <row r="1441" spans="1:10" ht="13.8" thickBot="1">
      <c r="A1441" s="517"/>
      <c r="B1441" s="518" t="s">
        <v>12095</v>
      </c>
      <c r="C1441" s="533"/>
      <c r="D1441" s="514" t="s">
        <v>1593</v>
      </c>
      <c r="E1441" s="515">
        <v>3</v>
      </c>
      <c r="F1441" s="514"/>
      <c r="G1441" s="515" t="s">
        <v>4970</v>
      </c>
      <c r="H1441" s="514"/>
      <c r="I1441" s="515"/>
      <c r="J1441" s="515">
        <v>1</v>
      </c>
    </row>
    <row r="1442" spans="1:10" ht="13.8" thickBot="1">
      <c r="A1442" s="517"/>
      <c r="B1442" s="518" t="s">
        <v>12047</v>
      </c>
      <c r="C1442" s="533"/>
      <c r="D1442" s="514" t="s">
        <v>1767</v>
      </c>
      <c r="E1442" s="515">
        <v>3</v>
      </c>
      <c r="F1442" s="518" t="s">
        <v>1854</v>
      </c>
      <c r="G1442" s="515" t="s">
        <v>5010</v>
      </c>
      <c r="H1442" s="514"/>
      <c r="I1442" s="515"/>
      <c r="J1442" s="515">
        <v>3</v>
      </c>
    </row>
    <row r="1443" spans="1:10" ht="13.8" thickBot="1">
      <c r="A1443" s="517"/>
      <c r="B1443" s="518" t="s">
        <v>13260</v>
      </c>
      <c r="C1443" s="533"/>
      <c r="D1443" s="514" t="s">
        <v>13259</v>
      </c>
      <c r="E1443" s="515">
        <v>3</v>
      </c>
      <c r="F1443" s="518" t="s">
        <v>614</v>
      </c>
      <c r="G1443" s="515" t="s">
        <v>2523</v>
      </c>
      <c r="H1443" s="514"/>
      <c r="I1443" s="515"/>
      <c r="J1443" s="515">
        <v>1</v>
      </c>
    </row>
    <row r="1444" spans="1:10" ht="13.8" thickBot="1">
      <c r="A1444" s="517"/>
      <c r="B1444" s="518" t="s">
        <v>13258</v>
      </c>
      <c r="C1444" s="533"/>
      <c r="D1444" s="514" t="s">
        <v>1300</v>
      </c>
      <c r="E1444" s="515">
        <v>3</v>
      </c>
      <c r="F1444" s="518" t="s">
        <v>1854</v>
      </c>
      <c r="G1444" s="515" t="s">
        <v>2523</v>
      </c>
      <c r="H1444" s="514"/>
      <c r="I1444" s="515"/>
      <c r="J1444" s="515"/>
    </row>
    <row r="1445" spans="1:10" ht="13.8" thickBot="1">
      <c r="A1445" s="517"/>
      <c r="B1445" s="518" t="s">
        <v>13957</v>
      </c>
      <c r="C1445" s="533"/>
      <c r="D1445" s="514" t="s">
        <v>1252</v>
      </c>
      <c r="E1445" s="515">
        <v>3</v>
      </c>
      <c r="F1445" s="518" t="s">
        <v>1854</v>
      </c>
      <c r="G1445" s="515" t="s">
        <v>1922</v>
      </c>
      <c r="H1445" s="514"/>
      <c r="I1445" s="515">
        <v>1</v>
      </c>
      <c r="J1445" s="515">
        <v>2</v>
      </c>
    </row>
    <row r="1446" spans="1:10" ht="13.8" thickBot="1">
      <c r="A1446" s="517"/>
      <c r="B1446" s="518" t="s">
        <v>13956</v>
      </c>
      <c r="C1446" s="533"/>
      <c r="D1446" s="514" t="s">
        <v>1252</v>
      </c>
      <c r="E1446" s="515">
        <v>3</v>
      </c>
      <c r="F1446" s="518" t="s">
        <v>1854</v>
      </c>
      <c r="G1446" s="515" t="s">
        <v>1922</v>
      </c>
      <c r="H1446" s="514"/>
      <c r="I1446" s="515"/>
      <c r="J1446" s="515">
        <v>2</v>
      </c>
    </row>
    <row r="1447" spans="1:10" ht="13.8" thickBot="1">
      <c r="A1447" s="517"/>
      <c r="B1447" s="518" t="s">
        <v>13955</v>
      </c>
      <c r="C1447" s="533"/>
      <c r="D1447" s="514" t="s">
        <v>1256</v>
      </c>
      <c r="E1447" s="515">
        <v>3</v>
      </c>
      <c r="F1447" s="518" t="s">
        <v>1854</v>
      </c>
      <c r="G1447" s="515" t="s">
        <v>1922</v>
      </c>
      <c r="H1447" s="514"/>
      <c r="I1447" s="515"/>
      <c r="J1447" s="515">
        <v>1</v>
      </c>
    </row>
    <row r="1448" spans="1:10" ht="13.8" thickBot="1">
      <c r="A1448" s="517"/>
      <c r="B1448" s="518" t="s">
        <v>11758</v>
      </c>
      <c r="C1448" s="533"/>
      <c r="D1448" s="514" t="s">
        <v>11533</v>
      </c>
      <c r="E1448" s="515">
        <v>3</v>
      </c>
      <c r="F1448" s="518" t="s">
        <v>1854</v>
      </c>
      <c r="G1448" s="515" t="s">
        <v>11525</v>
      </c>
      <c r="H1448" s="514"/>
      <c r="I1448" s="515"/>
      <c r="J1448" s="515"/>
    </row>
    <row r="1449" spans="1:10" ht="13.8" thickBot="1">
      <c r="A1449" s="517"/>
      <c r="B1449" s="518" t="s">
        <v>11753</v>
      </c>
      <c r="C1449" s="533"/>
      <c r="D1449" s="514" t="s">
        <v>11533</v>
      </c>
      <c r="E1449" s="515">
        <v>3</v>
      </c>
      <c r="F1449" s="518" t="s">
        <v>1854</v>
      </c>
      <c r="G1449" s="515" t="s">
        <v>11525</v>
      </c>
      <c r="H1449" s="514"/>
      <c r="I1449" s="515"/>
      <c r="J1449" s="515"/>
    </row>
    <row r="1450" spans="1:10" ht="13.8" thickBot="1">
      <c r="A1450" s="517"/>
      <c r="B1450" s="518" t="s">
        <v>11757</v>
      </c>
      <c r="C1450" s="533"/>
      <c r="D1450" s="514" t="s">
        <v>11533</v>
      </c>
      <c r="E1450" s="515">
        <v>3</v>
      </c>
      <c r="F1450" s="518" t="s">
        <v>1854</v>
      </c>
      <c r="G1450" s="515" t="s">
        <v>11525</v>
      </c>
      <c r="H1450" s="514"/>
      <c r="I1450" s="515"/>
      <c r="J1450" s="515"/>
    </row>
    <row r="1451" spans="1:10" ht="13.8" thickBot="1">
      <c r="A1451" s="517"/>
      <c r="B1451" s="518" t="s">
        <v>11731</v>
      </c>
      <c r="C1451" s="533"/>
      <c r="D1451" s="514" t="s">
        <v>11533</v>
      </c>
      <c r="E1451" s="515">
        <v>3</v>
      </c>
      <c r="F1451" s="518" t="s">
        <v>1854</v>
      </c>
      <c r="G1451" s="515" t="s">
        <v>11525</v>
      </c>
      <c r="H1451" s="514"/>
      <c r="I1451" s="515"/>
      <c r="J1451" s="515"/>
    </row>
    <row r="1452" spans="1:10" ht="13.8" thickBot="1">
      <c r="A1452" s="517"/>
      <c r="B1452" s="518" t="s">
        <v>11733</v>
      </c>
      <c r="C1452" s="533"/>
      <c r="D1452" s="514" t="s">
        <v>11533</v>
      </c>
      <c r="E1452" s="515">
        <v>3</v>
      </c>
      <c r="F1452" s="518" t="s">
        <v>1854</v>
      </c>
      <c r="G1452" s="515" t="s">
        <v>11525</v>
      </c>
      <c r="H1452" s="514"/>
      <c r="I1452" s="515"/>
      <c r="J1452" s="515"/>
    </row>
    <row r="1453" spans="1:10" ht="13.8" thickBot="1">
      <c r="A1453" s="517"/>
      <c r="B1453" s="518" t="s">
        <v>11676</v>
      </c>
      <c r="C1453" s="533"/>
      <c r="D1453" s="514" t="s">
        <v>11675</v>
      </c>
      <c r="E1453" s="515">
        <v>3</v>
      </c>
      <c r="F1453" s="518" t="s">
        <v>1854</v>
      </c>
      <c r="G1453" s="515" t="s">
        <v>11525</v>
      </c>
      <c r="H1453" s="514"/>
      <c r="I1453" s="522"/>
      <c r="J1453" s="522"/>
    </row>
    <row r="1454" spans="1:10" ht="13.8" thickBot="1">
      <c r="A1454" s="517"/>
      <c r="B1454" s="518" t="s">
        <v>11574</v>
      </c>
      <c r="C1454" s="533"/>
      <c r="D1454" s="514" t="s">
        <v>11533</v>
      </c>
      <c r="E1454" s="515">
        <v>3</v>
      </c>
      <c r="F1454" s="518" t="s">
        <v>1854</v>
      </c>
      <c r="G1454" s="515" t="s">
        <v>11525</v>
      </c>
      <c r="H1454" s="514"/>
      <c r="I1454" s="515"/>
      <c r="J1454" s="515"/>
    </row>
    <row r="1455" spans="1:10" ht="13.8" thickBot="1">
      <c r="A1455" s="517"/>
      <c r="B1455" s="518" t="s">
        <v>11781</v>
      </c>
      <c r="C1455" s="533"/>
      <c r="D1455" s="514" t="s">
        <v>11533</v>
      </c>
      <c r="E1455" s="515">
        <v>3</v>
      </c>
      <c r="F1455" s="518" t="s">
        <v>1854</v>
      </c>
      <c r="G1455" s="515" t="s">
        <v>11525</v>
      </c>
      <c r="H1455" s="514"/>
      <c r="I1455" s="515"/>
      <c r="J1455" s="515"/>
    </row>
    <row r="1456" spans="1:10" ht="13.8" thickBot="1">
      <c r="A1456" s="517"/>
      <c r="B1456" s="518" t="s">
        <v>11782</v>
      </c>
      <c r="C1456" s="533"/>
      <c r="D1456" s="514" t="s">
        <v>11533</v>
      </c>
      <c r="E1456" s="515">
        <v>3</v>
      </c>
      <c r="F1456" s="518" t="s">
        <v>1854</v>
      </c>
      <c r="G1456" s="515" t="s">
        <v>11525</v>
      </c>
      <c r="H1456" s="514"/>
      <c r="I1456" s="515"/>
      <c r="J1456" s="515"/>
    </row>
    <row r="1457" spans="1:10" ht="13.8" thickBot="1">
      <c r="A1457" s="517"/>
      <c r="B1457" s="518" t="s">
        <v>11784</v>
      </c>
      <c r="C1457" s="533"/>
      <c r="D1457" s="514" t="s">
        <v>11533</v>
      </c>
      <c r="E1457" s="515">
        <v>3</v>
      </c>
      <c r="F1457" s="518" t="s">
        <v>1854</v>
      </c>
      <c r="G1457" s="515" t="s">
        <v>11525</v>
      </c>
      <c r="H1457" s="514"/>
      <c r="I1457" s="515"/>
      <c r="J1457" s="515"/>
    </row>
    <row r="1458" spans="1:10" ht="13.8" thickBot="1">
      <c r="A1458" s="517"/>
      <c r="B1458" s="518" t="s">
        <v>12999</v>
      </c>
      <c r="C1458" s="533"/>
      <c r="D1458" s="514" t="s">
        <v>1552</v>
      </c>
      <c r="E1458" s="515">
        <v>3</v>
      </c>
      <c r="F1458" s="518" t="s">
        <v>614</v>
      </c>
      <c r="G1458" s="515" t="s">
        <v>2957</v>
      </c>
      <c r="H1458" s="514"/>
      <c r="I1458" s="515"/>
      <c r="J1458" s="515">
        <v>8</v>
      </c>
    </row>
    <row r="1459" spans="1:10" ht="13.8" thickBot="1">
      <c r="A1459" s="517"/>
      <c r="B1459" s="518" t="s">
        <v>12998</v>
      </c>
      <c r="C1459" s="533"/>
      <c r="D1459" s="514" t="s">
        <v>12997</v>
      </c>
      <c r="E1459" s="515">
        <v>3</v>
      </c>
      <c r="F1459" s="518" t="s">
        <v>614</v>
      </c>
      <c r="G1459" s="515" t="s">
        <v>2957</v>
      </c>
      <c r="H1459" s="514"/>
      <c r="I1459" s="515"/>
      <c r="J1459" s="515">
        <v>1</v>
      </c>
    </row>
    <row r="1460" spans="1:10" ht="13.8" thickBot="1">
      <c r="A1460" s="517"/>
      <c r="B1460" s="518" t="s">
        <v>12996</v>
      </c>
      <c r="C1460" s="533"/>
      <c r="D1460" s="514" t="s">
        <v>12995</v>
      </c>
      <c r="E1460" s="515">
        <v>3</v>
      </c>
      <c r="F1460" s="518" t="s">
        <v>1854</v>
      </c>
      <c r="G1460" s="515" t="s">
        <v>2957</v>
      </c>
      <c r="H1460" s="514"/>
      <c r="I1460" s="515"/>
      <c r="J1460" s="515">
        <v>1</v>
      </c>
    </row>
    <row r="1461" spans="1:10" ht="13.8" thickBot="1">
      <c r="A1461" s="517"/>
      <c r="B1461" s="518" t="s">
        <v>12994</v>
      </c>
      <c r="C1461" s="533"/>
      <c r="D1461" s="514" t="s">
        <v>12993</v>
      </c>
      <c r="E1461" s="515">
        <v>3</v>
      </c>
      <c r="F1461" s="514"/>
      <c r="G1461" s="515" t="s">
        <v>2957</v>
      </c>
      <c r="H1461" s="514"/>
      <c r="I1461" s="522"/>
      <c r="J1461" s="522">
        <v>1</v>
      </c>
    </row>
    <row r="1462" spans="1:10" ht="13.8" thickBot="1">
      <c r="A1462" s="517"/>
      <c r="B1462" s="518" t="s">
        <v>13853</v>
      </c>
      <c r="C1462" s="533"/>
      <c r="D1462" s="514" t="s">
        <v>2044</v>
      </c>
      <c r="E1462" s="529">
        <v>3</v>
      </c>
      <c r="F1462" s="514"/>
      <c r="G1462" s="515" t="s">
        <v>2032</v>
      </c>
      <c r="H1462" s="514"/>
      <c r="I1462" s="515"/>
      <c r="J1462" s="515">
        <v>2</v>
      </c>
    </row>
    <row r="1463" spans="1:10" ht="13.8" thickBot="1">
      <c r="A1463" s="517"/>
      <c r="B1463" s="518" t="s">
        <v>13852</v>
      </c>
      <c r="C1463" s="533"/>
      <c r="D1463" s="514" t="s">
        <v>13851</v>
      </c>
      <c r="E1463" s="515">
        <v>3</v>
      </c>
      <c r="F1463" s="518" t="s">
        <v>1854</v>
      </c>
      <c r="G1463" s="515" t="s">
        <v>2032</v>
      </c>
      <c r="H1463" s="514"/>
      <c r="I1463" s="515"/>
      <c r="J1463" s="515"/>
    </row>
    <row r="1464" spans="1:10" ht="13.8" thickBot="1">
      <c r="A1464" s="517"/>
      <c r="B1464" s="518" t="s">
        <v>12879</v>
      </c>
      <c r="C1464" s="533"/>
      <c r="D1464" s="514" t="s">
        <v>12878</v>
      </c>
      <c r="E1464" s="515">
        <v>3</v>
      </c>
      <c r="F1464" s="518" t="s">
        <v>1854</v>
      </c>
      <c r="G1464" s="515" t="s">
        <v>3351</v>
      </c>
      <c r="H1464" s="514"/>
      <c r="I1464" s="515"/>
      <c r="J1464" s="515"/>
    </row>
    <row r="1465" spans="1:10" ht="13.8" thickBot="1">
      <c r="A1465" s="517"/>
      <c r="B1465" s="518" t="s">
        <v>12666</v>
      </c>
      <c r="C1465" s="533"/>
      <c r="D1465" s="514" t="s">
        <v>1466</v>
      </c>
      <c r="E1465" s="515">
        <v>3</v>
      </c>
      <c r="F1465" s="518" t="s">
        <v>1854</v>
      </c>
      <c r="G1465" s="515" t="s">
        <v>3652</v>
      </c>
      <c r="H1465" s="514"/>
      <c r="I1465" s="515"/>
      <c r="J1465" s="515"/>
    </row>
    <row r="1466" spans="1:10" ht="13.8" thickBot="1">
      <c r="A1466" s="517"/>
      <c r="B1466" s="518" t="s">
        <v>12607</v>
      </c>
      <c r="C1466" s="533"/>
      <c r="D1466" s="514" t="s">
        <v>1480</v>
      </c>
      <c r="E1466" s="515">
        <v>3</v>
      </c>
      <c r="F1466" s="518" t="s">
        <v>1854</v>
      </c>
      <c r="G1466" s="515" t="s">
        <v>3734</v>
      </c>
      <c r="H1466" s="514"/>
      <c r="I1466" s="515"/>
      <c r="J1466" s="515">
        <v>1</v>
      </c>
    </row>
    <row r="1467" spans="1:10" ht="13.8" thickBot="1">
      <c r="A1467" s="517"/>
      <c r="B1467" s="518" t="s">
        <v>12547</v>
      </c>
      <c r="C1467" s="533"/>
      <c r="D1467" s="514" t="s">
        <v>1502</v>
      </c>
      <c r="E1467" s="515">
        <v>3</v>
      </c>
      <c r="F1467" s="518" t="s">
        <v>1854</v>
      </c>
      <c r="G1467" s="515" t="s">
        <v>3807</v>
      </c>
      <c r="H1467" s="514"/>
      <c r="I1467" s="515"/>
      <c r="J1467" s="515"/>
    </row>
    <row r="1468" spans="1:10" ht="13.8" thickBot="1">
      <c r="A1468" s="517"/>
      <c r="B1468" s="518" t="s">
        <v>12546</v>
      </c>
      <c r="C1468" s="533"/>
      <c r="D1468" s="514" t="s">
        <v>1502</v>
      </c>
      <c r="E1468" s="515">
        <v>3</v>
      </c>
      <c r="F1468" s="518" t="s">
        <v>1854</v>
      </c>
      <c r="G1468" s="515" t="s">
        <v>3807</v>
      </c>
      <c r="H1468" s="514"/>
      <c r="I1468" s="515"/>
      <c r="J1468" s="515"/>
    </row>
    <row r="1469" spans="1:10" ht="13.8" thickBot="1">
      <c r="A1469" s="517"/>
      <c r="B1469" s="518" t="s">
        <v>12291</v>
      </c>
      <c r="C1469" s="533"/>
      <c r="D1469" s="514" t="s">
        <v>1607</v>
      </c>
      <c r="E1469" s="515">
        <v>3</v>
      </c>
      <c r="F1469" s="514"/>
      <c r="G1469" s="515" t="s">
        <v>4214</v>
      </c>
      <c r="H1469" s="514"/>
      <c r="I1469" s="515"/>
      <c r="J1469" s="515">
        <v>1</v>
      </c>
    </row>
    <row r="1470" spans="1:10" ht="13.8" thickBot="1">
      <c r="A1470" s="517"/>
      <c r="B1470" s="518" t="s">
        <v>12290</v>
      </c>
      <c r="C1470" s="533"/>
      <c r="D1470" s="514" t="s">
        <v>12289</v>
      </c>
      <c r="E1470" s="515">
        <v>3</v>
      </c>
      <c r="F1470" s="518" t="s">
        <v>1854</v>
      </c>
      <c r="G1470" s="515" t="s">
        <v>4214</v>
      </c>
      <c r="H1470" s="514"/>
      <c r="I1470" s="515"/>
      <c r="J1470" s="515"/>
    </row>
    <row r="1471" spans="1:10" ht="13.8" thickBot="1">
      <c r="A1471" s="517"/>
      <c r="B1471" s="518" t="s">
        <v>12213</v>
      </c>
      <c r="C1471" s="533"/>
      <c r="D1471" s="514" t="s">
        <v>1708</v>
      </c>
      <c r="E1471" s="515">
        <v>3</v>
      </c>
      <c r="F1471" s="518" t="s">
        <v>1854</v>
      </c>
      <c r="G1471" s="515" t="s">
        <v>4672</v>
      </c>
      <c r="H1471" s="514"/>
      <c r="I1471" s="515"/>
      <c r="J1471" s="515"/>
    </row>
    <row r="1472" spans="1:10" ht="13.8" thickBot="1">
      <c r="A1472" s="517"/>
      <c r="B1472" s="518" t="s">
        <v>14071</v>
      </c>
      <c r="C1472" s="533"/>
      <c r="D1472" s="514" t="s">
        <v>13991</v>
      </c>
      <c r="E1472" s="515">
        <v>2.5</v>
      </c>
      <c r="F1472" s="514"/>
      <c r="G1472" s="515" t="s">
        <v>1793</v>
      </c>
      <c r="H1472" s="514"/>
      <c r="I1472" s="515"/>
      <c r="J1472" s="515">
        <v>3</v>
      </c>
    </row>
    <row r="1473" spans="1:10" ht="13.8" thickBot="1">
      <c r="A1473" s="517"/>
      <c r="B1473" s="518" t="s">
        <v>14070</v>
      </c>
      <c r="C1473" s="533"/>
      <c r="D1473" s="514" t="s">
        <v>1802</v>
      </c>
      <c r="E1473" s="515">
        <v>2.5</v>
      </c>
      <c r="F1473" s="518" t="s">
        <v>1854</v>
      </c>
      <c r="G1473" s="515" t="s">
        <v>1793</v>
      </c>
      <c r="H1473" s="514"/>
      <c r="I1473" s="515"/>
      <c r="J1473" s="515">
        <v>1</v>
      </c>
    </row>
    <row r="1474" spans="1:10" ht="13.8" thickBot="1">
      <c r="A1474" s="517"/>
      <c r="B1474" s="518" t="s">
        <v>12094</v>
      </c>
      <c r="C1474" s="533"/>
      <c r="D1474" s="514" t="s">
        <v>12093</v>
      </c>
      <c r="E1474" s="515">
        <v>2.5</v>
      </c>
      <c r="F1474" s="518" t="s">
        <v>614</v>
      </c>
      <c r="G1474" s="515" t="s">
        <v>4970</v>
      </c>
      <c r="H1474" s="514"/>
      <c r="I1474" s="515"/>
      <c r="J1474" s="515">
        <v>1</v>
      </c>
    </row>
    <row r="1475" spans="1:10" ht="13.8" thickBot="1">
      <c r="A1475" s="517"/>
      <c r="B1475" s="518" t="s">
        <v>14069</v>
      </c>
      <c r="C1475" s="533"/>
      <c r="D1475" s="514" t="s">
        <v>14068</v>
      </c>
      <c r="E1475" s="515">
        <v>2</v>
      </c>
      <c r="F1475" s="514"/>
      <c r="G1475" s="515" t="s">
        <v>1793</v>
      </c>
      <c r="H1475" s="514"/>
      <c r="I1475" s="515"/>
      <c r="J1475" s="515">
        <v>2</v>
      </c>
    </row>
    <row r="1476" spans="1:10" ht="13.8" thickBot="1">
      <c r="A1476" s="517"/>
      <c r="B1476" s="518" t="s">
        <v>14067</v>
      </c>
      <c r="C1476" s="533"/>
      <c r="D1476" s="514" t="s">
        <v>13991</v>
      </c>
      <c r="E1476" s="515">
        <v>2</v>
      </c>
      <c r="F1476" s="518" t="s">
        <v>1854</v>
      </c>
      <c r="G1476" s="515" t="s">
        <v>1793</v>
      </c>
      <c r="H1476" s="514"/>
      <c r="I1476" s="515"/>
      <c r="J1476" s="515">
        <v>1</v>
      </c>
    </row>
    <row r="1477" spans="1:10" ht="13.8" thickBot="1">
      <c r="A1477" s="517"/>
      <c r="B1477" s="518" t="s">
        <v>14066</v>
      </c>
      <c r="C1477" s="533"/>
      <c r="D1477" s="514" t="s">
        <v>13991</v>
      </c>
      <c r="E1477" s="515">
        <v>2</v>
      </c>
      <c r="F1477" s="518" t="s">
        <v>1854</v>
      </c>
      <c r="G1477" s="515" t="s">
        <v>1793</v>
      </c>
      <c r="H1477" s="514"/>
      <c r="I1477" s="515"/>
      <c r="J1477" s="515">
        <v>1</v>
      </c>
    </row>
    <row r="1478" spans="1:10" ht="13.8" thickBot="1">
      <c r="A1478" s="517"/>
      <c r="B1478" s="518" t="s">
        <v>14065</v>
      </c>
      <c r="C1478" s="533"/>
      <c r="D1478" s="514" t="s">
        <v>13991</v>
      </c>
      <c r="E1478" s="515">
        <v>2</v>
      </c>
      <c r="F1478" s="518" t="s">
        <v>1854</v>
      </c>
      <c r="G1478" s="515" t="s">
        <v>1793</v>
      </c>
      <c r="H1478" s="514"/>
      <c r="I1478" s="515"/>
      <c r="J1478" s="515">
        <v>1</v>
      </c>
    </row>
    <row r="1479" spans="1:10" ht="13.8" thickBot="1">
      <c r="A1479" s="517"/>
      <c r="B1479" s="518" t="s">
        <v>14064</v>
      </c>
      <c r="C1479" s="533"/>
      <c r="D1479" s="514" t="s">
        <v>1899</v>
      </c>
      <c r="E1479" s="515">
        <v>2</v>
      </c>
      <c r="F1479" s="518" t="s">
        <v>1854</v>
      </c>
      <c r="G1479" s="515" t="s">
        <v>1793</v>
      </c>
      <c r="H1479" s="514"/>
      <c r="I1479" s="515"/>
      <c r="J1479" s="515">
        <v>1</v>
      </c>
    </row>
    <row r="1480" spans="1:10" ht="13.8" thickBot="1">
      <c r="A1480" s="517"/>
      <c r="B1480" s="518" t="s">
        <v>14063</v>
      </c>
      <c r="C1480" s="533"/>
      <c r="D1480" s="514" t="s">
        <v>1792</v>
      </c>
      <c r="E1480" s="515">
        <v>2</v>
      </c>
      <c r="F1480" s="518" t="s">
        <v>1854</v>
      </c>
      <c r="G1480" s="515" t="s">
        <v>1793</v>
      </c>
      <c r="H1480" s="514"/>
      <c r="I1480" s="515"/>
      <c r="J1480" s="515">
        <v>1</v>
      </c>
    </row>
    <row r="1481" spans="1:10" ht="13.8" thickBot="1">
      <c r="A1481" s="517"/>
      <c r="B1481" s="518" t="s">
        <v>14062</v>
      </c>
      <c r="C1481" s="533"/>
      <c r="D1481" s="514" t="s">
        <v>1792</v>
      </c>
      <c r="E1481" s="515">
        <v>2</v>
      </c>
      <c r="F1481" s="518" t="s">
        <v>1854</v>
      </c>
      <c r="G1481" s="515" t="s">
        <v>1793</v>
      </c>
      <c r="H1481" s="514"/>
      <c r="I1481" s="515"/>
      <c r="J1481" s="515">
        <v>1</v>
      </c>
    </row>
    <row r="1482" spans="1:10" ht="13.8" thickBot="1">
      <c r="A1482" s="517"/>
      <c r="B1482" s="518" t="s">
        <v>14061</v>
      </c>
      <c r="C1482" s="533"/>
      <c r="D1482" s="514" t="s">
        <v>13991</v>
      </c>
      <c r="E1482" s="515">
        <v>2</v>
      </c>
      <c r="F1482" s="514"/>
      <c r="G1482" s="515" t="s">
        <v>1793</v>
      </c>
      <c r="H1482" s="514"/>
      <c r="I1482" s="515"/>
      <c r="J1482" s="515">
        <v>1</v>
      </c>
    </row>
    <row r="1483" spans="1:10" ht="13.8" thickBot="1">
      <c r="A1483" s="517"/>
      <c r="B1483" s="518" t="s">
        <v>14060</v>
      </c>
      <c r="C1483" s="533"/>
      <c r="D1483" s="514" t="s">
        <v>13991</v>
      </c>
      <c r="E1483" s="515">
        <v>2</v>
      </c>
      <c r="F1483" s="514"/>
      <c r="G1483" s="515" t="s">
        <v>1793</v>
      </c>
      <c r="H1483" s="514"/>
      <c r="I1483" s="515"/>
      <c r="J1483" s="515">
        <v>1</v>
      </c>
    </row>
    <row r="1484" spans="1:10" ht="13.8" thickBot="1">
      <c r="A1484" s="517"/>
      <c r="B1484" s="518" t="s">
        <v>14059</v>
      </c>
      <c r="C1484" s="533"/>
      <c r="D1484" s="514" t="s">
        <v>13991</v>
      </c>
      <c r="E1484" s="515">
        <v>2</v>
      </c>
      <c r="F1484" s="518" t="s">
        <v>1854</v>
      </c>
      <c r="G1484" s="515" t="s">
        <v>1793</v>
      </c>
      <c r="H1484" s="514"/>
      <c r="I1484" s="515"/>
      <c r="J1484" s="515"/>
    </row>
    <row r="1485" spans="1:10" ht="13.8" thickBot="1">
      <c r="A1485" s="517"/>
      <c r="B1485" s="518" t="s">
        <v>14058</v>
      </c>
      <c r="C1485" s="533"/>
      <c r="D1485" s="514" t="s">
        <v>13991</v>
      </c>
      <c r="E1485" s="515">
        <v>2</v>
      </c>
      <c r="F1485" s="518" t="s">
        <v>1854</v>
      </c>
      <c r="G1485" s="515" t="s">
        <v>1793</v>
      </c>
      <c r="H1485" s="514"/>
      <c r="I1485" s="515"/>
      <c r="J1485" s="515"/>
    </row>
    <row r="1486" spans="1:10" ht="13.8" thickBot="1">
      <c r="A1486" s="517"/>
      <c r="B1486" s="518" t="s">
        <v>14057</v>
      </c>
      <c r="C1486" s="533"/>
      <c r="D1486" s="514" t="s">
        <v>13991</v>
      </c>
      <c r="E1486" s="515">
        <v>2</v>
      </c>
      <c r="F1486" s="518" t="s">
        <v>1854</v>
      </c>
      <c r="G1486" s="515" t="s">
        <v>1793</v>
      </c>
      <c r="H1486" s="514"/>
      <c r="I1486" s="515"/>
      <c r="J1486" s="515"/>
    </row>
    <row r="1487" spans="1:10" ht="13.8" thickBot="1">
      <c r="A1487" s="517"/>
      <c r="B1487" s="518" t="s">
        <v>14056</v>
      </c>
      <c r="C1487" s="533"/>
      <c r="D1487" s="514" t="s">
        <v>13991</v>
      </c>
      <c r="E1487" s="515">
        <v>2</v>
      </c>
      <c r="F1487" s="518" t="s">
        <v>1854</v>
      </c>
      <c r="G1487" s="515" t="s">
        <v>1793</v>
      </c>
      <c r="H1487" s="514"/>
      <c r="I1487" s="515"/>
      <c r="J1487" s="515"/>
    </row>
    <row r="1488" spans="1:10" ht="13.8" thickBot="1">
      <c r="A1488" s="517"/>
      <c r="B1488" s="518" t="s">
        <v>14055</v>
      </c>
      <c r="C1488" s="533"/>
      <c r="D1488" s="514" t="s">
        <v>13991</v>
      </c>
      <c r="E1488" s="515">
        <v>2</v>
      </c>
      <c r="F1488" s="518" t="s">
        <v>1854</v>
      </c>
      <c r="G1488" s="515" t="s">
        <v>1793</v>
      </c>
      <c r="H1488" s="514"/>
      <c r="I1488" s="515"/>
      <c r="J1488" s="515"/>
    </row>
    <row r="1489" spans="1:10" ht="13.8" thickBot="1">
      <c r="A1489" s="517"/>
      <c r="B1489" s="518" t="s">
        <v>14054</v>
      </c>
      <c r="C1489" s="533"/>
      <c r="D1489" s="514" t="s">
        <v>13991</v>
      </c>
      <c r="E1489" s="515">
        <v>2</v>
      </c>
      <c r="F1489" s="518" t="s">
        <v>1854</v>
      </c>
      <c r="G1489" s="515" t="s">
        <v>1793</v>
      </c>
      <c r="H1489" s="514"/>
      <c r="I1489" s="515"/>
      <c r="J1489" s="515"/>
    </row>
    <row r="1490" spans="1:10" ht="13.8" thickBot="1">
      <c r="A1490" s="517"/>
      <c r="B1490" s="518" t="s">
        <v>14053</v>
      </c>
      <c r="C1490" s="533"/>
      <c r="D1490" s="514" t="s">
        <v>13991</v>
      </c>
      <c r="E1490" s="515">
        <v>2</v>
      </c>
      <c r="F1490" s="518" t="s">
        <v>1854</v>
      </c>
      <c r="G1490" s="515" t="s">
        <v>1793</v>
      </c>
      <c r="H1490" s="514"/>
      <c r="I1490" s="515"/>
      <c r="J1490" s="515"/>
    </row>
    <row r="1491" spans="1:10" ht="13.8" thickBot="1">
      <c r="A1491" s="517"/>
      <c r="B1491" s="518" t="s">
        <v>14052</v>
      </c>
      <c r="C1491" s="533"/>
      <c r="D1491" s="514" t="s">
        <v>13991</v>
      </c>
      <c r="E1491" s="515">
        <v>2</v>
      </c>
      <c r="F1491" s="518" t="s">
        <v>1854</v>
      </c>
      <c r="G1491" s="515" t="s">
        <v>1793</v>
      </c>
      <c r="H1491" s="514"/>
      <c r="I1491" s="515"/>
      <c r="J1491" s="515"/>
    </row>
    <row r="1492" spans="1:10" ht="13.8" thickBot="1">
      <c r="A1492" s="517"/>
      <c r="B1492" s="518" t="s">
        <v>14051</v>
      </c>
      <c r="C1492" s="533"/>
      <c r="D1492" s="514" t="s">
        <v>13991</v>
      </c>
      <c r="E1492" s="515">
        <v>2</v>
      </c>
      <c r="F1492" s="518" t="s">
        <v>1854</v>
      </c>
      <c r="G1492" s="515" t="s">
        <v>1793</v>
      </c>
      <c r="H1492" s="514"/>
      <c r="I1492" s="515"/>
      <c r="J1492" s="515"/>
    </row>
    <row r="1493" spans="1:10" ht="13.8" thickBot="1">
      <c r="A1493" s="517"/>
      <c r="B1493" s="518" t="s">
        <v>14050</v>
      </c>
      <c r="C1493" s="533"/>
      <c r="D1493" s="514" t="s">
        <v>13991</v>
      </c>
      <c r="E1493" s="515">
        <v>2</v>
      </c>
      <c r="F1493" s="518" t="s">
        <v>1854</v>
      </c>
      <c r="G1493" s="515" t="s">
        <v>1793</v>
      </c>
      <c r="H1493" s="514"/>
      <c r="I1493" s="515"/>
      <c r="J1493" s="515"/>
    </row>
    <row r="1494" spans="1:10" ht="13.8" thickBot="1">
      <c r="A1494" s="517"/>
      <c r="B1494" s="518" t="s">
        <v>14049</v>
      </c>
      <c r="C1494" s="533"/>
      <c r="D1494" s="514" t="s">
        <v>13991</v>
      </c>
      <c r="E1494" s="515">
        <v>2</v>
      </c>
      <c r="F1494" s="518" t="s">
        <v>1854</v>
      </c>
      <c r="G1494" s="515" t="s">
        <v>1793</v>
      </c>
      <c r="H1494" s="514"/>
      <c r="I1494" s="515"/>
      <c r="J1494" s="515"/>
    </row>
    <row r="1495" spans="1:10" ht="13.8" thickBot="1">
      <c r="A1495" s="517"/>
      <c r="B1495" s="518" t="s">
        <v>14048</v>
      </c>
      <c r="C1495" s="533"/>
      <c r="D1495" s="514" t="s">
        <v>13991</v>
      </c>
      <c r="E1495" s="515">
        <v>2</v>
      </c>
      <c r="F1495" s="518" t="s">
        <v>1854</v>
      </c>
      <c r="G1495" s="515" t="s">
        <v>1793</v>
      </c>
      <c r="H1495" s="514"/>
      <c r="I1495" s="515"/>
      <c r="J1495" s="515"/>
    </row>
    <row r="1496" spans="1:10" ht="13.8" thickBot="1">
      <c r="A1496" s="517"/>
      <c r="B1496" s="518" t="s">
        <v>14047</v>
      </c>
      <c r="C1496" s="533"/>
      <c r="D1496" s="514" t="s">
        <v>13991</v>
      </c>
      <c r="E1496" s="515">
        <v>2</v>
      </c>
      <c r="F1496" s="518" t="s">
        <v>1854</v>
      </c>
      <c r="G1496" s="515" t="s">
        <v>1793</v>
      </c>
      <c r="H1496" s="514"/>
      <c r="I1496" s="515"/>
      <c r="J1496" s="515"/>
    </row>
    <row r="1497" spans="1:10" ht="13.8" thickBot="1">
      <c r="A1497" s="517"/>
      <c r="B1497" s="518" t="s">
        <v>14046</v>
      </c>
      <c r="C1497" s="533"/>
      <c r="D1497" s="514" t="s">
        <v>13991</v>
      </c>
      <c r="E1497" s="515">
        <v>2</v>
      </c>
      <c r="F1497" s="518" t="s">
        <v>1854</v>
      </c>
      <c r="G1497" s="515" t="s">
        <v>1793</v>
      </c>
      <c r="H1497" s="514"/>
      <c r="I1497" s="515"/>
      <c r="J1497" s="515"/>
    </row>
    <row r="1498" spans="1:10" ht="13.8" thickBot="1">
      <c r="A1498" s="517"/>
      <c r="B1498" s="518" t="s">
        <v>14045</v>
      </c>
      <c r="C1498" s="533"/>
      <c r="D1498" s="514" t="s">
        <v>13991</v>
      </c>
      <c r="E1498" s="515">
        <v>2</v>
      </c>
      <c r="F1498" s="518" t="s">
        <v>1854</v>
      </c>
      <c r="G1498" s="515" t="s">
        <v>1793</v>
      </c>
      <c r="H1498" s="514"/>
      <c r="I1498" s="515"/>
      <c r="J1498" s="515"/>
    </row>
    <row r="1499" spans="1:10" ht="13.8" thickBot="1">
      <c r="A1499" s="517"/>
      <c r="B1499" s="518" t="s">
        <v>14044</v>
      </c>
      <c r="C1499" s="533"/>
      <c r="D1499" s="514" t="s">
        <v>13991</v>
      </c>
      <c r="E1499" s="515">
        <v>2</v>
      </c>
      <c r="F1499" s="518" t="s">
        <v>1854</v>
      </c>
      <c r="G1499" s="515" t="s">
        <v>1793</v>
      </c>
      <c r="H1499" s="514"/>
      <c r="I1499" s="515"/>
      <c r="J1499" s="515"/>
    </row>
    <row r="1500" spans="1:10" ht="13.8" thickBot="1">
      <c r="A1500" s="517"/>
      <c r="B1500" s="518" t="s">
        <v>14043</v>
      </c>
      <c r="C1500" s="533"/>
      <c r="D1500" s="514" t="s">
        <v>13991</v>
      </c>
      <c r="E1500" s="515">
        <v>2</v>
      </c>
      <c r="F1500" s="518" t="s">
        <v>1854</v>
      </c>
      <c r="G1500" s="515" t="s">
        <v>1793</v>
      </c>
      <c r="H1500" s="514"/>
      <c r="I1500" s="515"/>
      <c r="J1500" s="515"/>
    </row>
    <row r="1501" spans="1:10" ht="13.8" thickBot="1">
      <c r="A1501" s="517"/>
      <c r="B1501" s="518" t="s">
        <v>14042</v>
      </c>
      <c r="C1501" s="533"/>
      <c r="D1501" s="514" t="s">
        <v>13991</v>
      </c>
      <c r="E1501" s="515">
        <v>2</v>
      </c>
      <c r="F1501" s="518" t="s">
        <v>1854</v>
      </c>
      <c r="G1501" s="515" t="s">
        <v>1793</v>
      </c>
      <c r="H1501" s="514"/>
      <c r="I1501" s="515"/>
      <c r="J1501" s="515"/>
    </row>
    <row r="1502" spans="1:10" ht="13.8" thickBot="1">
      <c r="A1502" s="517"/>
      <c r="B1502" s="518" t="s">
        <v>14041</v>
      </c>
      <c r="C1502" s="533"/>
      <c r="D1502" s="514" t="s">
        <v>13991</v>
      </c>
      <c r="E1502" s="515">
        <v>2</v>
      </c>
      <c r="F1502" s="518" t="s">
        <v>1854</v>
      </c>
      <c r="G1502" s="515" t="s">
        <v>1793</v>
      </c>
      <c r="H1502" s="514"/>
      <c r="I1502" s="515"/>
      <c r="J1502" s="515"/>
    </row>
    <row r="1503" spans="1:10" ht="13.8" thickBot="1">
      <c r="A1503" s="517"/>
      <c r="B1503" s="518" t="s">
        <v>14040</v>
      </c>
      <c r="C1503" s="533"/>
      <c r="D1503" s="514" t="s">
        <v>1792</v>
      </c>
      <c r="E1503" s="515">
        <v>2</v>
      </c>
      <c r="F1503" s="518" t="s">
        <v>1854</v>
      </c>
      <c r="G1503" s="515" t="s">
        <v>1793</v>
      </c>
      <c r="H1503" s="514"/>
      <c r="I1503" s="515"/>
      <c r="J1503" s="515"/>
    </row>
    <row r="1504" spans="1:10" ht="13.8" thickBot="1">
      <c r="A1504" s="517"/>
      <c r="B1504" s="518" t="s">
        <v>14039</v>
      </c>
      <c r="C1504" s="533"/>
      <c r="D1504" s="514" t="s">
        <v>1792</v>
      </c>
      <c r="E1504" s="515">
        <v>2</v>
      </c>
      <c r="F1504" s="518" t="s">
        <v>11609</v>
      </c>
      <c r="G1504" s="515" t="s">
        <v>1793</v>
      </c>
      <c r="H1504" s="514"/>
      <c r="I1504" s="515"/>
      <c r="J1504" s="515"/>
    </row>
    <row r="1505" spans="1:10" ht="13.8" thickBot="1">
      <c r="A1505" s="517"/>
      <c r="B1505" s="518" t="s">
        <v>14038</v>
      </c>
      <c r="C1505" s="533"/>
      <c r="D1505" s="514" t="s">
        <v>13991</v>
      </c>
      <c r="E1505" s="515">
        <v>2</v>
      </c>
      <c r="F1505" s="514"/>
      <c r="G1505" s="515" t="s">
        <v>1793</v>
      </c>
      <c r="H1505" s="514"/>
      <c r="I1505" s="515"/>
      <c r="J1505" s="515"/>
    </row>
    <row r="1506" spans="1:10" ht="13.8" thickBot="1">
      <c r="A1506" s="517"/>
      <c r="B1506" s="518" t="s">
        <v>12092</v>
      </c>
      <c r="C1506" s="533"/>
      <c r="D1506" s="514" t="s">
        <v>1593</v>
      </c>
      <c r="E1506" s="515">
        <v>2</v>
      </c>
      <c r="F1506" s="518" t="s">
        <v>1854</v>
      </c>
      <c r="G1506" s="515" t="s">
        <v>4970</v>
      </c>
      <c r="H1506" s="514"/>
      <c r="I1506" s="515"/>
      <c r="J1506" s="515">
        <v>4</v>
      </c>
    </row>
    <row r="1507" spans="1:10" ht="13.8" thickBot="1">
      <c r="A1507" s="517"/>
      <c r="B1507" s="518" t="s">
        <v>12091</v>
      </c>
      <c r="C1507" s="533"/>
      <c r="D1507" s="514" t="s">
        <v>1593</v>
      </c>
      <c r="E1507" s="515">
        <v>2</v>
      </c>
      <c r="F1507" s="518" t="s">
        <v>1854</v>
      </c>
      <c r="G1507" s="515" t="s">
        <v>4970</v>
      </c>
      <c r="H1507" s="514"/>
      <c r="I1507" s="522"/>
      <c r="J1507" s="522">
        <v>2</v>
      </c>
    </row>
    <row r="1508" spans="1:10" ht="13.8" thickBot="1">
      <c r="A1508" s="517"/>
      <c r="B1508" s="518" t="s">
        <v>12090</v>
      </c>
      <c r="C1508" s="533"/>
      <c r="D1508" s="514" t="s">
        <v>1593</v>
      </c>
      <c r="E1508" s="515">
        <v>2</v>
      </c>
      <c r="F1508" s="518" t="s">
        <v>1854</v>
      </c>
      <c r="G1508" s="515" t="s">
        <v>4970</v>
      </c>
      <c r="H1508" s="514"/>
      <c r="I1508" s="515"/>
      <c r="J1508" s="515">
        <v>1</v>
      </c>
    </row>
    <row r="1509" spans="1:10" ht="13.8" thickBot="1">
      <c r="A1509" s="517"/>
      <c r="B1509" s="518" t="s">
        <v>12089</v>
      </c>
      <c r="C1509" s="533"/>
      <c r="D1509" s="514" t="s">
        <v>12088</v>
      </c>
      <c r="E1509" s="515">
        <v>2</v>
      </c>
      <c r="F1509" s="518" t="s">
        <v>1854</v>
      </c>
      <c r="G1509" s="515" t="s">
        <v>4970</v>
      </c>
      <c r="H1509" s="514"/>
      <c r="I1509" s="515"/>
      <c r="J1509" s="515">
        <v>1</v>
      </c>
    </row>
    <row r="1510" spans="1:10" ht="13.8" thickBot="1">
      <c r="A1510" s="517"/>
      <c r="B1510" s="518" t="s">
        <v>12087</v>
      </c>
      <c r="C1510" s="533"/>
      <c r="D1510" s="514" t="s">
        <v>1593</v>
      </c>
      <c r="E1510" s="515">
        <v>2</v>
      </c>
      <c r="F1510" s="518" t="s">
        <v>1854</v>
      </c>
      <c r="G1510" s="515" t="s">
        <v>4970</v>
      </c>
      <c r="H1510" s="514"/>
      <c r="I1510" s="515"/>
      <c r="J1510" s="515">
        <v>1</v>
      </c>
    </row>
    <row r="1511" spans="1:10" ht="13.8" thickBot="1">
      <c r="A1511" s="517"/>
      <c r="B1511" s="518" t="s">
        <v>13257</v>
      </c>
      <c r="C1511" s="533"/>
      <c r="D1511" s="514" t="s">
        <v>1300</v>
      </c>
      <c r="E1511" s="515">
        <v>2</v>
      </c>
      <c r="F1511" s="518" t="s">
        <v>1854</v>
      </c>
      <c r="G1511" s="515" t="s">
        <v>2523</v>
      </c>
      <c r="H1511" s="514"/>
      <c r="I1511" s="522"/>
      <c r="J1511" s="522"/>
    </row>
    <row r="1512" spans="1:10" ht="13.8" thickBot="1">
      <c r="A1512" s="517"/>
      <c r="B1512" s="518" t="s">
        <v>13954</v>
      </c>
      <c r="C1512" s="533"/>
      <c r="D1512" s="514" t="s">
        <v>13953</v>
      </c>
      <c r="E1512" s="515">
        <v>2</v>
      </c>
      <c r="F1512" s="518" t="s">
        <v>614</v>
      </c>
      <c r="G1512" s="515" t="s">
        <v>1922</v>
      </c>
      <c r="H1512" s="514"/>
      <c r="I1512" s="515"/>
      <c r="J1512" s="515">
        <v>1</v>
      </c>
    </row>
    <row r="1513" spans="1:10" ht="13.8" thickBot="1">
      <c r="A1513" s="517"/>
      <c r="B1513" s="518" t="s">
        <v>13952</v>
      </c>
      <c r="C1513" s="533"/>
      <c r="D1513" s="514" t="s">
        <v>1252</v>
      </c>
      <c r="E1513" s="515">
        <v>2</v>
      </c>
      <c r="F1513" s="514"/>
      <c r="G1513" s="515" t="s">
        <v>1922</v>
      </c>
      <c r="H1513" s="514"/>
      <c r="I1513" s="515"/>
      <c r="J1513" s="515">
        <v>1</v>
      </c>
    </row>
    <row r="1514" spans="1:10" ht="13.8" thickBot="1">
      <c r="A1514" s="517"/>
      <c r="B1514" s="518" t="s">
        <v>13951</v>
      </c>
      <c r="C1514" s="533"/>
      <c r="D1514" s="514" t="s">
        <v>1256</v>
      </c>
      <c r="E1514" s="515">
        <v>2</v>
      </c>
      <c r="F1514" s="514"/>
      <c r="G1514" s="515" t="s">
        <v>1922</v>
      </c>
      <c r="H1514" s="514"/>
      <c r="I1514" s="515"/>
      <c r="J1514" s="515">
        <v>1</v>
      </c>
    </row>
    <row r="1515" spans="1:10" ht="13.8" thickBot="1">
      <c r="A1515" s="517"/>
      <c r="B1515" s="518" t="s">
        <v>11743</v>
      </c>
      <c r="C1515" s="533"/>
      <c r="D1515" s="514" t="s">
        <v>11533</v>
      </c>
      <c r="E1515" s="515">
        <v>2</v>
      </c>
      <c r="F1515" s="518" t="s">
        <v>1854</v>
      </c>
      <c r="G1515" s="515" t="s">
        <v>11525</v>
      </c>
      <c r="H1515" s="514"/>
      <c r="I1515" s="515"/>
      <c r="J1515" s="515">
        <v>1</v>
      </c>
    </row>
    <row r="1516" spans="1:10" ht="13.8" thickBot="1">
      <c r="A1516" s="517"/>
      <c r="B1516" s="518" t="s">
        <v>11714</v>
      </c>
      <c r="C1516" s="533"/>
      <c r="D1516" s="514" t="s">
        <v>11533</v>
      </c>
      <c r="E1516" s="515">
        <v>2</v>
      </c>
      <c r="F1516" s="514"/>
      <c r="G1516" s="515" t="s">
        <v>11525</v>
      </c>
      <c r="H1516" s="514"/>
      <c r="I1516" s="515"/>
      <c r="J1516" s="515">
        <v>1</v>
      </c>
    </row>
    <row r="1517" spans="1:10" ht="13.8" thickBot="1">
      <c r="A1517" s="517"/>
      <c r="B1517" s="518" t="s">
        <v>11710</v>
      </c>
      <c r="C1517" s="533"/>
      <c r="D1517" s="514" t="s">
        <v>11533</v>
      </c>
      <c r="E1517" s="515">
        <v>2</v>
      </c>
      <c r="F1517" s="518" t="s">
        <v>1854</v>
      </c>
      <c r="G1517" s="515" t="s">
        <v>11525</v>
      </c>
      <c r="H1517" s="514"/>
      <c r="I1517" s="515"/>
      <c r="J1517" s="515"/>
    </row>
    <row r="1518" spans="1:10" ht="13.8" thickBot="1">
      <c r="A1518" s="517"/>
      <c r="B1518" s="518" t="s">
        <v>11732</v>
      </c>
      <c r="C1518" s="533"/>
      <c r="D1518" s="514" t="s">
        <v>11533</v>
      </c>
      <c r="E1518" s="515">
        <v>2</v>
      </c>
      <c r="F1518" s="518" t="s">
        <v>1854</v>
      </c>
      <c r="G1518" s="515" t="s">
        <v>11525</v>
      </c>
      <c r="H1518" s="514"/>
      <c r="I1518" s="515"/>
      <c r="J1518" s="515"/>
    </row>
    <row r="1519" spans="1:10" ht="13.8" thickBot="1">
      <c r="A1519" s="517"/>
      <c r="B1519" s="518" t="s">
        <v>11728</v>
      </c>
      <c r="C1519" s="533"/>
      <c r="D1519" s="514" t="s">
        <v>11533</v>
      </c>
      <c r="E1519" s="515">
        <v>2</v>
      </c>
      <c r="F1519" s="518" t="s">
        <v>1854</v>
      </c>
      <c r="G1519" s="515" t="s">
        <v>11525</v>
      </c>
      <c r="H1519" s="514"/>
      <c r="I1519" s="515"/>
      <c r="J1519" s="515"/>
    </row>
    <row r="1520" spans="1:10" ht="13.8" thickBot="1">
      <c r="A1520" s="517"/>
      <c r="B1520" s="518" t="s">
        <v>11727</v>
      </c>
      <c r="C1520" s="533"/>
      <c r="D1520" s="514" t="s">
        <v>11533</v>
      </c>
      <c r="E1520" s="515">
        <v>2</v>
      </c>
      <c r="F1520" s="518" t="s">
        <v>1854</v>
      </c>
      <c r="G1520" s="515" t="s">
        <v>11525</v>
      </c>
      <c r="H1520" s="514"/>
      <c r="I1520" s="515"/>
      <c r="J1520" s="515"/>
    </row>
    <row r="1521" spans="1:10" ht="13.8" thickBot="1">
      <c r="A1521" s="517"/>
      <c r="B1521" s="518" t="s">
        <v>11611</v>
      </c>
      <c r="C1521" s="533"/>
      <c r="D1521" s="514" t="s">
        <v>11533</v>
      </c>
      <c r="E1521" s="515">
        <v>2</v>
      </c>
      <c r="F1521" s="518" t="s">
        <v>11609</v>
      </c>
      <c r="G1521" s="515" t="s">
        <v>11525</v>
      </c>
      <c r="H1521" s="514"/>
      <c r="I1521" s="515"/>
      <c r="J1521" s="515"/>
    </row>
    <row r="1522" spans="1:10" ht="13.8" thickBot="1">
      <c r="A1522" s="517"/>
      <c r="B1522" s="518" t="s">
        <v>12990</v>
      </c>
      <c r="C1522" s="533"/>
      <c r="D1522" s="514" t="s">
        <v>1552</v>
      </c>
      <c r="E1522" s="515">
        <v>2</v>
      </c>
      <c r="F1522" s="518" t="s">
        <v>1854</v>
      </c>
      <c r="G1522" s="515" t="s">
        <v>2957</v>
      </c>
      <c r="H1522" s="514"/>
      <c r="I1522" s="515"/>
      <c r="J1522" s="515"/>
    </row>
    <row r="1523" spans="1:10" ht="13.8" thickBot="1">
      <c r="A1523" s="517"/>
      <c r="B1523" s="518" t="s">
        <v>12910</v>
      </c>
      <c r="C1523" s="533"/>
      <c r="D1523" s="514" t="s">
        <v>1390</v>
      </c>
      <c r="E1523" s="515">
        <v>2</v>
      </c>
      <c r="F1523" s="518" t="s">
        <v>614</v>
      </c>
      <c r="G1523" s="515" t="s">
        <v>3161</v>
      </c>
      <c r="H1523" s="514"/>
      <c r="I1523" s="515"/>
      <c r="J1523" s="515">
        <v>1</v>
      </c>
    </row>
    <row r="1524" spans="1:10" ht="13.8" thickBot="1">
      <c r="A1524" s="517"/>
      <c r="B1524" s="518" t="s">
        <v>13850</v>
      </c>
      <c r="C1524" s="533"/>
      <c r="D1524" s="514" t="s">
        <v>2044</v>
      </c>
      <c r="E1524" s="515">
        <v>2</v>
      </c>
      <c r="F1524" s="514"/>
      <c r="G1524" s="515" t="s">
        <v>2032</v>
      </c>
      <c r="H1524" s="514"/>
      <c r="I1524" s="515"/>
      <c r="J1524" s="515">
        <v>3</v>
      </c>
    </row>
    <row r="1525" spans="1:10" ht="13.8" thickBot="1">
      <c r="A1525" s="517"/>
      <c r="B1525" s="518" t="s">
        <v>13849</v>
      </c>
      <c r="C1525" s="533"/>
      <c r="D1525" s="514" t="s">
        <v>2044</v>
      </c>
      <c r="E1525" s="515">
        <v>2</v>
      </c>
      <c r="F1525" s="518" t="s">
        <v>1854</v>
      </c>
      <c r="G1525" s="515" t="s">
        <v>2032</v>
      </c>
      <c r="H1525" s="514"/>
      <c r="I1525" s="515"/>
      <c r="J1525" s="515">
        <v>1</v>
      </c>
    </row>
    <row r="1526" spans="1:10" ht="13.8" thickBot="1">
      <c r="A1526" s="517"/>
      <c r="B1526" s="518" t="s">
        <v>12840</v>
      </c>
      <c r="C1526" s="533"/>
      <c r="D1526" s="514" t="s">
        <v>3451</v>
      </c>
      <c r="E1526" s="515">
        <v>2</v>
      </c>
      <c r="F1526" s="518" t="s">
        <v>1854</v>
      </c>
      <c r="G1526" s="515" t="s">
        <v>3452</v>
      </c>
      <c r="H1526" s="514"/>
      <c r="I1526" s="515"/>
      <c r="J1526" s="515"/>
    </row>
    <row r="1527" spans="1:10" ht="13.8" thickBot="1">
      <c r="A1527" s="517"/>
      <c r="B1527" s="518" t="s">
        <v>12706</v>
      </c>
      <c r="C1527" s="533"/>
      <c r="D1527" s="514" t="s">
        <v>1452</v>
      </c>
      <c r="E1527" s="515">
        <v>2</v>
      </c>
      <c r="F1527" s="518" t="s">
        <v>1854</v>
      </c>
      <c r="G1527" s="515" t="s">
        <v>3517</v>
      </c>
      <c r="H1527" s="514"/>
      <c r="I1527" s="515"/>
      <c r="J1527" s="515"/>
    </row>
    <row r="1528" spans="1:10" ht="13.8" thickBot="1">
      <c r="A1528" s="517"/>
      <c r="B1528" s="518" t="s">
        <v>12606</v>
      </c>
      <c r="C1528" s="533"/>
      <c r="D1528" s="514" t="s">
        <v>1480</v>
      </c>
      <c r="E1528" s="515">
        <v>2</v>
      </c>
      <c r="F1528" s="514"/>
      <c r="G1528" s="515" t="s">
        <v>3734</v>
      </c>
      <c r="H1528" s="514"/>
      <c r="I1528" s="515"/>
      <c r="J1528" s="515">
        <v>4</v>
      </c>
    </row>
    <row r="1529" spans="1:10" ht="13.8" thickBot="1">
      <c r="A1529" s="517"/>
      <c r="B1529" s="518" t="s">
        <v>12288</v>
      </c>
      <c r="C1529" s="533"/>
      <c r="D1529" s="514" t="s">
        <v>1607</v>
      </c>
      <c r="E1529" s="515">
        <v>2</v>
      </c>
      <c r="F1529" s="518" t="s">
        <v>1854</v>
      </c>
      <c r="G1529" s="515" t="s">
        <v>4214</v>
      </c>
      <c r="H1529" s="514"/>
      <c r="I1529" s="515"/>
      <c r="J1529" s="515">
        <v>1</v>
      </c>
    </row>
    <row r="1530" spans="1:10" ht="13.8" thickBot="1">
      <c r="A1530" s="517"/>
      <c r="B1530" s="518" t="s">
        <v>12287</v>
      </c>
      <c r="C1530" s="533"/>
      <c r="D1530" s="514" t="s">
        <v>1607</v>
      </c>
      <c r="E1530" s="515">
        <v>2</v>
      </c>
      <c r="F1530" s="514"/>
      <c r="G1530" s="515" t="s">
        <v>4214</v>
      </c>
      <c r="H1530" s="514"/>
      <c r="I1530" s="515"/>
      <c r="J1530" s="515">
        <v>1</v>
      </c>
    </row>
    <row r="1531" spans="1:10" ht="13.8" thickBot="1">
      <c r="A1531" s="517"/>
      <c r="B1531" s="518" t="s">
        <v>12286</v>
      </c>
      <c r="C1531" s="533"/>
      <c r="D1531" s="514" t="s">
        <v>1627</v>
      </c>
      <c r="E1531" s="515">
        <v>2</v>
      </c>
      <c r="F1531" s="518" t="s">
        <v>1854</v>
      </c>
      <c r="G1531" s="515" t="s">
        <v>4214</v>
      </c>
      <c r="H1531" s="514"/>
      <c r="I1531" s="515"/>
      <c r="J1531" s="515"/>
    </row>
    <row r="1532" spans="1:10" ht="13.8" thickBot="1">
      <c r="A1532" s="517"/>
      <c r="B1532" s="518" t="s">
        <v>13760</v>
      </c>
      <c r="C1532" s="533"/>
      <c r="D1532" s="514" t="s">
        <v>1270</v>
      </c>
      <c r="E1532" s="515">
        <v>2</v>
      </c>
      <c r="F1532" s="518" t="s">
        <v>1854</v>
      </c>
      <c r="G1532" s="515" t="s">
        <v>2152</v>
      </c>
      <c r="H1532" s="514"/>
      <c r="I1532" s="515"/>
      <c r="J1532" s="515"/>
    </row>
    <row r="1533" spans="1:10" ht="13.8" thickBot="1">
      <c r="A1533" s="517"/>
      <c r="B1533" s="518" t="s">
        <v>14037</v>
      </c>
      <c r="C1533" s="533"/>
      <c r="D1533" s="514" t="s">
        <v>13991</v>
      </c>
      <c r="E1533" s="515">
        <v>1</v>
      </c>
      <c r="F1533" s="514"/>
      <c r="G1533" s="515" t="s">
        <v>1793</v>
      </c>
      <c r="H1533" s="514"/>
      <c r="I1533" s="515"/>
      <c r="J1533" s="515">
        <v>2</v>
      </c>
    </row>
    <row r="1534" spans="1:10" ht="13.8" thickBot="1">
      <c r="A1534" s="517"/>
      <c r="B1534" s="518" t="s">
        <v>14036</v>
      </c>
      <c r="C1534" s="533"/>
      <c r="D1534" s="514" t="s">
        <v>13991</v>
      </c>
      <c r="E1534" s="515">
        <v>1</v>
      </c>
      <c r="F1534" s="514"/>
      <c r="G1534" s="515" t="s">
        <v>1793</v>
      </c>
      <c r="H1534" s="514"/>
      <c r="I1534" s="515"/>
      <c r="J1534" s="515">
        <v>2</v>
      </c>
    </row>
    <row r="1535" spans="1:10" ht="13.8" thickBot="1">
      <c r="A1535" s="517"/>
      <c r="B1535" s="518" t="s">
        <v>14035</v>
      </c>
      <c r="C1535" s="533"/>
      <c r="D1535" s="514" t="s">
        <v>13991</v>
      </c>
      <c r="E1535" s="515">
        <v>1</v>
      </c>
      <c r="F1535" s="518" t="s">
        <v>1854</v>
      </c>
      <c r="G1535" s="515" t="s">
        <v>1793</v>
      </c>
      <c r="H1535" s="514"/>
      <c r="I1535" s="515"/>
      <c r="J1535" s="515">
        <v>1</v>
      </c>
    </row>
    <row r="1536" spans="1:10" ht="13.8" thickBot="1">
      <c r="A1536" s="517"/>
      <c r="B1536" s="518" t="s">
        <v>14034</v>
      </c>
      <c r="C1536" s="533"/>
      <c r="D1536" s="514" t="s">
        <v>1792</v>
      </c>
      <c r="E1536" s="515">
        <v>1</v>
      </c>
      <c r="F1536" s="518" t="s">
        <v>1854</v>
      </c>
      <c r="G1536" s="515" t="s">
        <v>1793</v>
      </c>
      <c r="H1536" s="514"/>
      <c r="I1536" s="515"/>
      <c r="J1536" s="515">
        <v>1</v>
      </c>
    </row>
    <row r="1537" spans="1:10" ht="13.8" thickBot="1">
      <c r="A1537" s="517"/>
      <c r="B1537" s="518" t="s">
        <v>14033</v>
      </c>
      <c r="C1537" s="533"/>
      <c r="D1537" s="514" t="s">
        <v>13991</v>
      </c>
      <c r="E1537" s="515">
        <v>1</v>
      </c>
      <c r="F1537" s="518" t="s">
        <v>1854</v>
      </c>
      <c r="G1537" s="515" t="s">
        <v>1793</v>
      </c>
      <c r="H1537" s="514"/>
      <c r="I1537" s="515"/>
      <c r="J1537" s="515">
        <v>1</v>
      </c>
    </row>
    <row r="1538" spans="1:10" ht="13.8" thickBot="1">
      <c r="A1538" s="517"/>
      <c r="B1538" s="518" t="s">
        <v>14032</v>
      </c>
      <c r="C1538" s="533"/>
      <c r="D1538" s="514" t="s">
        <v>13991</v>
      </c>
      <c r="E1538" s="515">
        <v>1</v>
      </c>
      <c r="F1538" s="518" t="s">
        <v>11609</v>
      </c>
      <c r="G1538" s="515" t="s">
        <v>1793</v>
      </c>
      <c r="H1538" s="514"/>
      <c r="I1538" s="515"/>
      <c r="J1538" s="515">
        <v>1</v>
      </c>
    </row>
    <row r="1539" spans="1:10" ht="13.8" thickBot="1">
      <c r="A1539" s="517"/>
      <c r="B1539" s="518" t="s">
        <v>14031</v>
      </c>
      <c r="C1539" s="533"/>
      <c r="D1539" s="514" t="s">
        <v>14030</v>
      </c>
      <c r="E1539" s="515">
        <v>1</v>
      </c>
      <c r="F1539" s="514"/>
      <c r="G1539" s="515" t="s">
        <v>1793</v>
      </c>
      <c r="H1539" s="514"/>
      <c r="I1539" s="515"/>
      <c r="J1539" s="515">
        <v>1</v>
      </c>
    </row>
    <row r="1540" spans="1:10" ht="13.8" thickBot="1">
      <c r="A1540" s="517"/>
      <c r="B1540" s="518" t="s">
        <v>14029</v>
      </c>
      <c r="C1540" s="533"/>
      <c r="D1540" s="514" t="s">
        <v>1792</v>
      </c>
      <c r="E1540" s="515">
        <v>1</v>
      </c>
      <c r="F1540" s="514"/>
      <c r="G1540" s="515" t="s">
        <v>1793</v>
      </c>
      <c r="H1540" s="514"/>
      <c r="I1540" s="515"/>
      <c r="J1540" s="515">
        <v>1</v>
      </c>
    </row>
    <row r="1541" spans="1:10" ht="13.8" thickBot="1">
      <c r="A1541" s="517"/>
      <c r="B1541" s="518" t="s">
        <v>14028</v>
      </c>
      <c r="C1541" s="533"/>
      <c r="D1541" s="514" t="s">
        <v>13991</v>
      </c>
      <c r="E1541" s="515">
        <v>1</v>
      </c>
      <c r="F1541" s="514"/>
      <c r="G1541" s="515" t="s">
        <v>1793</v>
      </c>
      <c r="H1541" s="514"/>
      <c r="I1541" s="515"/>
      <c r="J1541" s="515">
        <v>1</v>
      </c>
    </row>
    <row r="1542" spans="1:10" ht="13.8" thickBot="1">
      <c r="A1542" s="517"/>
      <c r="B1542" s="518" t="s">
        <v>14027</v>
      </c>
      <c r="C1542" s="533"/>
      <c r="D1542" s="514" t="s">
        <v>1792</v>
      </c>
      <c r="E1542" s="515">
        <v>1</v>
      </c>
      <c r="F1542" s="514"/>
      <c r="G1542" s="515" t="s">
        <v>1793</v>
      </c>
      <c r="H1542" s="514"/>
      <c r="I1542" s="515"/>
      <c r="J1542" s="515">
        <v>1</v>
      </c>
    </row>
    <row r="1543" spans="1:10" ht="13.8" thickBot="1">
      <c r="A1543" s="517"/>
      <c r="B1543" s="518" t="s">
        <v>14026</v>
      </c>
      <c r="C1543" s="533"/>
      <c r="D1543" s="514" t="s">
        <v>13991</v>
      </c>
      <c r="E1543" s="515">
        <v>1</v>
      </c>
      <c r="F1543" s="514"/>
      <c r="G1543" s="515" t="s">
        <v>1793</v>
      </c>
      <c r="H1543" s="514"/>
      <c r="I1543" s="515"/>
      <c r="J1543" s="515">
        <v>1</v>
      </c>
    </row>
    <row r="1544" spans="1:10" ht="13.8" thickBot="1">
      <c r="A1544" s="517"/>
      <c r="B1544" s="518" t="s">
        <v>14025</v>
      </c>
      <c r="C1544" s="533"/>
      <c r="D1544" s="514" t="s">
        <v>13991</v>
      </c>
      <c r="E1544" s="515">
        <v>1</v>
      </c>
      <c r="F1544" s="514"/>
      <c r="G1544" s="515" t="s">
        <v>1793</v>
      </c>
      <c r="H1544" s="514"/>
      <c r="I1544" s="515"/>
      <c r="J1544" s="515">
        <v>1</v>
      </c>
    </row>
    <row r="1545" spans="1:10" ht="13.8" thickBot="1">
      <c r="A1545" s="517"/>
      <c r="B1545" s="518" t="s">
        <v>14024</v>
      </c>
      <c r="C1545" s="533"/>
      <c r="D1545" s="514" t="s">
        <v>13991</v>
      </c>
      <c r="E1545" s="515">
        <v>1</v>
      </c>
      <c r="F1545" s="514"/>
      <c r="G1545" s="515" t="s">
        <v>1793</v>
      </c>
      <c r="H1545" s="514"/>
      <c r="I1545" s="515"/>
      <c r="J1545" s="515">
        <v>1</v>
      </c>
    </row>
    <row r="1546" spans="1:10" ht="13.8" thickBot="1">
      <c r="A1546" s="517"/>
      <c r="B1546" s="518" t="s">
        <v>14023</v>
      </c>
      <c r="C1546" s="533"/>
      <c r="D1546" s="514" t="s">
        <v>13991</v>
      </c>
      <c r="E1546" s="515">
        <v>1</v>
      </c>
      <c r="F1546" s="514"/>
      <c r="G1546" s="515" t="s">
        <v>1793</v>
      </c>
      <c r="H1546" s="514"/>
      <c r="I1546" s="515"/>
      <c r="J1546" s="515">
        <v>1</v>
      </c>
    </row>
    <row r="1547" spans="1:10" ht="13.8" thickBot="1">
      <c r="A1547" s="517"/>
      <c r="B1547" s="518" t="s">
        <v>14022</v>
      </c>
      <c r="C1547" s="533"/>
      <c r="D1547" s="514" t="s">
        <v>13991</v>
      </c>
      <c r="E1547" s="515">
        <v>1</v>
      </c>
      <c r="F1547" s="514"/>
      <c r="G1547" s="515" t="s">
        <v>1793</v>
      </c>
      <c r="H1547" s="514"/>
      <c r="I1547" s="515"/>
      <c r="J1547" s="515">
        <v>1</v>
      </c>
    </row>
    <row r="1548" spans="1:10" ht="13.8" thickBot="1">
      <c r="A1548" s="517"/>
      <c r="B1548" s="518" t="s">
        <v>14021</v>
      </c>
      <c r="C1548" s="533"/>
      <c r="D1548" s="514" t="s">
        <v>13991</v>
      </c>
      <c r="E1548" s="515">
        <v>1</v>
      </c>
      <c r="F1548" s="514"/>
      <c r="G1548" s="515" t="s">
        <v>1793</v>
      </c>
      <c r="H1548" s="514"/>
      <c r="I1548" s="515"/>
      <c r="J1548" s="515">
        <v>1</v>
      </c>
    </row>
    <row r="1549" spans="1:10" ht="13.8" thickBot="1">
      <c r="A1549" s="517"/>
      <c r="B1549" s="518" t="s">
        <v>14020</v>
      </c>
      <c r="C1549" s="533"/>
      <c r="D1549" s="514" t="s">
        <v>13991</v>
      </c>
      <c r="E1549" s="515">
        <v>1</v>
      </c>
      <c r="F1549" s="518" t="s">
        <v>1854</v>
      </c>
      <c r="G1549" s="515" t="s">
        <v>1793</v>
      </c>
      <c r="H1549" s="514"/>
      <c r="I1549" s="515"/>
      <c r="J1549" s="515"/>
    </row>
    <row r="1550" spans="1:10" ht="13.8" thickBot="1">
      <c r="A1550" s="517"/>
      <c r="B1550" s="518" t="s">
        <v>14019</v>
      </c>
      <c r="C1550" s="533"/>
      <c r="D1550" s="514" t="s">
        <v>13991</v>
      </c>
      <c r="E1550" s="515">
        <v>1</v>
      </c>
      <c r="F1550" s="518" t="s">
        <v>1854</v>
      </c>
      <c r="G1550" s="515" t="s">
        <v>1793</v>
      </c>
      <c r="H1550" s="514"/>
      <c r="I1550" s="515"/>
      <c r="J1550" s="515"/>
    </row>
    <row r="1551" spans="1:10" ht="13.8" thickBot="1">
      <c r="A1551" s="517"/>
      <c r="B1551" s="518" t="s">
        <v>14018</v>
      </c>
      <c r="C1551" s="533"/>
      <c r="D1551" s="514" t="s">
        <v>13991</v>
      </c>
      <c r="E1551" s="515">
        <v>1</v>
      </c>
      <c r="F1551" s="518" t="s">
        <v>1854</v>
      </c>
      <c r="G1551" s="515" t="s">
        <v>1793</v>
      </c>
      <c r="H1551" s="514"/>
      <c r="I1551" s="515"/>
      <c r="J1551" s="515"/>
    </row>
    <row r="1552" spans="1:10" ht="13.8" thickBot="1">
      <c r="A1552" s="517"/>
      <c r="B1552" s="518" t="s">
        <v>14017</v>
      </c>
      <c r="C1552" s="533"/>
      <c r="D1552" s="514" t="s">
        <v>13991</v>
      </c>
      <c r="E1552" s="515">
        <v>1</v>
      </c>
      <c r="F1552" s="518" t="s">
        <v>1854</v>
      </c>
      <c r="G1552" s="515" t="s">
        <v>1793</v>
      </c>
      <c r="H1552" s="514"/>
      <c r="I1552" s="515"/>
      <c r="J1552" s="515"/>
    </row>
    <row r="1553" spans="1:10" ht="13.8" thickBot="1">
      <c r="A1553" s="517"/>
      <c r="B1553" s="518" t="s">
        <v>14016</v>
      </c>
      <c r="C1553" s="533"/>
      <c r="D1553" s="514" t="s">
        <v>13991</v>
      </c>
      <c r="E1553" s="515">
        <v>1</v>
      </c>
      <c r="F1553" s="518" t="s">
        <v>1854</v>
      </c>
      <c r="G1553" s="515" t="s">
        <v>1793</v>
      </c>
      <c r="H1553" s="514"/>
      <c r="I1553" s="515"/>
      <c r="J1553" s="515"/>
    </row>
    <row r="1554" spans="1:10" ht="13.8" thickBot="1">
      <c r="A1554" s="517"/>
      <c r="B1554" s="518" t="s">
        <v>14015</v>
      </c>
      <c r="C1554" s="533"/>
      <c r="D1554" s="514" t="s">
        <v>13991</v>
      </c>
      <c r="E1554" s="515">
        <v>1</v>
      </c>
      <c r="F1554" s="518" t="s">
        <v>1854</v>
      </c>
      <c r="G1554" s="515" t="s">
        <v>1793</v>
      </c>
      <c r="H1554" s="514"/>
      <c r="I1554" s="515"/>
      <c r="J1554" s="515"/>
    </row>
    <row r="1555" spans="1:10" ht="13.8" thickBot="1">
      <c r="A1555" s="517"/>
      <c r="B1555" s="518" t="s">
        <v>14014</v>
      </c>
      <c r="C1555" s="533"/>
      <c r="D1555" s="514" t="s">
        <v>13991</v>
      </c>
      <c r="E1555" s="515">
        <v>1</v>
      </c>
      <c r="F1555" s="518" t="s">
        <v>1854</v>
      </c>
      <c r="G1555" s="515" t="s">
        <v>1793</v>
      </c>
      <c r="H1555" s="514"/>
      <c r="I1555" s="515"/>
      <c r="J1555" s="515"/>
    </row>
    <row r="1556" spans="1:10" ht="13.8" thickBot="1">
      <c r="A1556" s="517"/>
      <c r="B1556" s="518" t="s">
        <v>14013</v>
      </c>
      <c r="C1556" s="533"/>
      <c r="D1556" s="514" t="s">
        <v>13991</v>
      </c>
      <c r="E1556" s="515">
        <v>1</v>
      </c>
      <c r="F1556" s="518" t="s">
        <v>1854</v>
      </c>
      <c r="G1556" s="515" t="s">
        <v>1793</v>
      </c>
      <c r="H1556" s="514"/>
      <c r="I1556" s="515"/>
      <c r="J1556" s="515"/>
    </row>
    <row r="1557" spans="1:10" ht="13.8" thickBot="1">
      <c r="A1557" s="517"/>
      <c r="B1557" s="518" t="s">
        <v>14012</v>
      </c>
      <c r="C1557" s="533"/>
      <c r="D1557" s="514" t="s">
        <v>13991</v>
      </c>
      <c r="E1557" s="515">
        <v>1</v>
      </c>
      <c r="F1557" s="518" t="s">
        <v>1854</v>
      </c>
      <c r="G1557" s="515" t="s">
        <v>1793</v>
      </c>
      <c r="H1557" s="514"/>
      <c r="I1557" s="515"/>
      <c r="J1557" s="515"/>
    </row>
    <row r="1558" spans="1:10" ht="13.8" thickBot="1">
      <c r="A1558" s="517"/>
      <c r="B1558" s="518" t="s">
        <v>14011</v>
      </c>
      <c r="C1558" s="533"/>
      <c r="D1558" s="514" t="s">
        <v>13991</v>
      </c>
      <c r="E1558" s="515">
        <v>1</v>
      </c>
      <c r="F1558" s="518" t="s">
        <v>1854</v>
      </c>
      <c r="G1558" s="515" t="s">
        <v>1793</v>
      </c>
      <c r="H1558" s="514"/>
      <c r="I1558" s="515"/>
      <c r="J1558" s="515"/>
    </row>
    <row r="1559" spans="1:10" ht="13.8" thickBot="1">
      <c r="A1559" s="517"/>
      <c r="B1559" s="518" t="s">
        <v>14010</v>
      </c>
      <c r="C1559" s="533"/>
      <c r="D1559" s="514" t="s">
        <v>13991</v>
      </c>
      <c r="E1559" s="515">
        <v>1</v>
      </c>
      <c r="F1559" s="518" t="s">
        <v>1854</v>
      </c>
      <c r="G1559" s="515" t="s">
        <v>1793</v>
      </c>
      <c r="H1559" s="514"/>
      <c r="I1559" s="515"/>
      <c r="J1559" s="515"/>
    </row>
    <row r="1560" spans="1:10" ht="13.8" thickBot="1">
      <c r="A1560" s="517"/>
      <c r="B1560" s="518" t="s">
        <v>14009</v>
      </c>
      <c r="C1560" s="533"/>
      <c r="D1560" s="514" t="s">
        <v>1792</v>
      </c>
      <c r="E1560" s="515">
        <v>1</v>
      </c>
      <c r="F1560" s="518" t="s">
        <v>1854</v>
      </c>
      <c r="G1560" s="515" t="s">
        <v>1793</v>
      </c>
      <c r="H1560" s="514"/>
      <c r="I1560" s="515"/>
      <c r="J1560" s="515"/>
    </row>
    <row r="1561" spans="1:10" ht="13.8" thickBot="1">
      <c r="A1561" s="517"/>
      <c r="B1561" s="518" t="s">
        <v>14008</v>
      </c>
      <c r="C1561" s="533"/>
      <c r="D1561" s="514" t="s">
        <v>13991</v>
      </c>
      <c r="E1561" s="515">
        <v>1</v>
      </c>
      <c r="F1561" s="518" t="s">
        <v>1854</v>
      </c>
      <c r="G1561" s="515" t="s">
        <v>1793</v>
      </c>
      <c r="H1561" s="514"/>
      <c r="I1561" s="515"/>
      <c r="J1561" s="515"/>
    </row>
    <row r="1562" spans="1:10" ht="13.8" thickBot="1">
      <c r="A1562" s="517"/>
      <c r="B1562" s="518" t="s">
        <v>14007</v>
      </c>
      <c r="C1562" s="533"/>
      <c r="D1562" s="514" t="s">
        <v>13991</v>
      </c>
      <c r="E1562" s="515">
        <v>1</v>
      </c>
      <c r="F1562" s="518" t="s">
        <v>1854</v>
      </c>
      <c r="G1562" s="515" t="s">
        <v>1793</v>
      </c>
      <c r="H1562" s="514"/>
      <c r="I1562" s="515"/>
      <c r="J1562" s="515"/>
    </row>
    <row r="1563" spans="1:10" ht="13.8" thickBot="1">
      <c r="A1563" s="517"/>
      <c r="B1563" s="518" t="s">
        <v>14006</v>
      </c>
      <c r="C1563" s="533"/>
      <c r="D1563" s="514" t="s">
        <v>13991</v>
      </c>
      <c r="E1563" s="515">
        <v>1</v>
      </c>
      <c r="F1563" s="518" t="s">
        <v>1854</v>
      </c>
      <c r="G1563" s="515" t="s">
        <v>1793</v>
      </c>
      <c r="H1563" s="514"/>
      <c r="I1563" s="515"/>
      <c r="J1563" s="515"/>
    </row>
    <row r="1564" spans="1:10" ht="13.8" thickBot="1">
      <c r="A1564" s="517"/>
      <c r="B1564" s="518" t="s">
        <v>14005</v>
      </c>
      <c r="C1564" s="533"/>
      <c r="D1564" s="514" t="s">
        <v>13991</v>
      </c>
      <c r="E1564" s="515">
        <v>1</v>
      </c>
      <c r="F1564" s="518" t="s">
        <v>1854</v>
      </c>
      <c r="G1564" s="515" t="s">
        <v>1793</v>
      </c>
      <c r="H1564" s="514"/>
      <c r="I1564" s="515"/>
      <c r="J1564" s="515"/>
    </row>
    <row r="1565" spans="1:10" ht="13.8" thickBot="1">
      <c r="A1565" s="517"/>
      <c r="B1565" s="518" t="s">
        <v>14004</v>
      </c>
      <c r="C1565" s="533"/>
      <c r="D1565" s="514" t="s">
        <v>13991</v>
      </c>
      <c r="E1565" s="515">
        <v>1</v>
      </c>
      <c r="F1565" s="518" t="s">
        <v>1854</v>
      </c>
      <c r="G1565" s="515" t="s">
        <v>1793</v>
      </c>
      <c r="H1565" s="514"/>
      <c r="I1565" s="515"/>
      <c r="J1565" s="515"/>
    </row>
    <row r="1566" spans="1:10" ht="13.8" thickBot="1">
      <c r="A1566" s="517"/>
      <c r="B1566" s="518" t="s">
        <v>14003</v>
      </c>
      <c r="C1566" s="533"/>
      <c r="D1566" s="514" t="s">
        <v>13991</v>
      </c>
      <c r="E1566" s="515">
        <v>1</v>
      </c>
      <c r="F1566" s="514"/>
      <c r="G1566" s="515" t="s">
        <v>1793</v>
      </c>
      <c r="H1566" s="514"/>
      <c r="I1566" s="515"/>
      <c r="J1566" s="515"/>
    </row>
    <row r="1567" spans="1:10" ht="13.8" thickBot="1">
      <c r="A1567" s="517"/>
      <c r="B1567" s="518" t="s">
        <v>14002</v>
      </c>
      <c r="C1567" s="533"/>
      <c r="D1567" s="514" t="s">
        <v>13991</v>
      </c>
      <c r="E1567" s="515">
        <v>1</v>
      </c>
      <c r="F1567" s="514"/>
      <c r="G1567" s="515" t="s">
        <v>1793</v>
      </c>
      <c r="H1567" s="514"/>
      <c r="I1567" s="515"/>
      <c r="J1567" s="515"/>
    </row>
    <row r="1568" spans="1:10" ht="13.8" thickBot="1">
      <c r="A1568" s="517"/>
      <c r="B1568" s="518" t="s">
        <v>14001</v>
      </c>
      <c r="C1568" s="533"/>
      <c r="D1568" s="514" t="s">
        <v>13991</v>
      </c>
      <c r="E1568" s="515">
        <v>1</v>
      </c>
      <c r="F1568" s="514"/>
      <c r="G1568" s="515" t="s">
        <v>1793</v>
      </c>
      <c r="H1568" s="514"/>
      <c r="I1568" s="515"/>
      <c r="J1568" s="515"/>
    </row>
    <row r="1569" spans="1:10" ht="13.8" thickBot="1">
      <c r="A1569" s="517"/>
      <c r="B1569" s="518" t="s">
        <v>14000</v>
      </c>
      <c r="C1569" s="533"/>
      <c r="D1569" s="514" t="s">
        <v>13991</v>
      </c>
      <c r="E1569" s="515">
        <v>1</v>
      </c>
      <c r="F1569" s="514"/>
      <c r="G1569" s="515" t="s">
        <v>1793</v>
      </c>
      <c r="H1569" s="514"/>
      <c r="I1569" s="515"/>
      <c r="J1569" s="515"/>
    </row>
    <row r="1570" spans="1:10" ht="13.8" thickBot="1">
      <c r="A1570" s="517"/>
      <c r="B1570" s="518" t="s">
        <v>13999</v>
      </c>
      <c r="C1570" s="533"/>
      <c r="D1570" s="514" t="s">
        <v>13991</v>
      </c>
      <c r="E1570" s="515">
        <v>1</v>
      </c>
      <c r="F1570" s="514"/>
      <c r="G1570" s="515" t="s">
        <v>1793</v>
      </c>
      <c r="H1570" s="514"/>
      <c r="I1570" s="515"/>
      <c r="J1570" s="515"/>
    </row>
    <row r="1571" spans="1:10" ht="13.8" thickBot="1">
      <c r="A1571" s="517"/>
      <c r="B1571" s="518" t="s">
        <v>13998</v>
      </c>
      <c r="C1571" s="533"/>
      <c r="D1571" s="514" t="s">
        <v>13991</v>
      </c>
      <c r="E1571" s="515">
        <v>1</v>
      </c>
      <c r="F1571" s="514"/>
      <c r="G1571" s="515" t="s">
        <v>1793</v>
      </c>
      <c r="H1571" s="514"/>
      <c r="I1571" s="515"/>
      <c r="J1571" s="515"/>
    </row>
    <row r="1572" spans="1:10" ht="13.8" thickBot="1">
      <c r="A1572" s="517"/>
      <c r="B1572" s="518" t="s">
        <v>13997</v>
      </c>
      <c r="C1572" s="533"/>
      <c r="D1572" s="514" t="s">
        <v>13991</v>
      </c>
      <c r="E1572" s="515">
        <v>1</v>
      </c>
      <c r="F1572" s="514"/>
      <c r="G1572" s="515" t="s">
        <v>1793</v>
      </c>
      <c r="H1572" s="514"/>
      <c r="I1572" s="515"/>
      <c r="J1572" s="515"/>
    </row>
    <row r="1573" spans="1:10" ht="13.8" thickBot="1">
      <c r="A1573" s="517"/>
      <c r="B1573" s="518" t="s">
        <v>13996</v>
      </c>
      <c r="C1573" s="533"/>
      <c r="D1573" s="514" t="s">
        <v>13991</v>
      </c>
      <c r="E1573" s="515">
        <v>1</v>
      </c>
      <c r="F1573" s="514"/>
      <c r="G1573" s="515" t="s">
        <v>1793</v>
      </c>
      <c r="H1573" s="514"/>
      <c r="I1573" s="515"/>
      <c r="J1573" s="515"/>
    </row>
    <row r="1574" spans="1:10" ht="13.8" thickBot="1">
      <c r="A1574" s="517"/>
      <c r="B1574" s="518" t="s">
        <v>13995</v>
      </c>
      <c r="C1574" s="533"/>
      <c r="D1574" s="514" t="s">
        <v>13991</v>
      </c>
      <c r="E1574" s="515">
        <v>1</v>
      </c>
      <c r="F1574" s="514"/>
      <c r="G1574" s="515" t="s">
        <v>1793</v>
      </c>
      <c r="H1574" s="514"/>
      <c r="I1574" s="515"/>
      <c r="J1574" s="515"/>
    </row>
    <row r="1575" spans="1:10" ht="13.8" thickBot="1">
      <c r="A1575" s="517"/>
      <c r="B1575" s="518" t="s">
        <v>13994</v>
      </c>
      <c r="C1575" s="533"/>
      <c r="D1575" s="514" t="s">
        <v>13991</v>
      </c>
      <c r="E1575" s="515">
        <v>1</v>
      </c>
      <c r="F1575" s="514"/>
      <c r="G1575" s="515" t="s">
        <v>1793</v>
      </c>
      <c r="H1575" s="514"/>
      <c r="I1575" s="515"/>
      <c r="J1575" s="515"/>
    </row>
    <row r="1576" spans="1:10" ht="13.8" thickBot="1">
      <c r="A1576" s="517"/>
      <c r="B1576" s="518" t="s">
        <v>13993</v>
      </c>
      <c r="C1576" s="533"/>
      <c r="D1576" s="514" t="s">
        <v>13991</v>
      </c>
      <c r="E1576" s="515">
        <v>1</v>
      </c>
      <c r="F1576" s="514"/>
      <c r="G1576" s="515" t="s">
        <v>1793</v>
      </c>
      <c r="H1576" s="514"/>
      <c r="I1576" s="515"/>
      <c r="J1576" s="515"/>
    </row>
    <row r="1577" spans="1:10" ht="13.8" thickBot="1">
      <c r="A1577" s="517"/>
      <c r="B1577" s="518" t="s">
        <v>13992</v>
      </c>
      <c r="C1577" s="533"/>
      <c r="D1577" s="514" t="s">
        <v>13991</v>
      </c>
      <c r="E1577" s="515">
        <v>1</v>
      </c>
      <c r="F1577" s="514"/>
      <c r="G1577" s="515" t="s">
        <v>1793</v>
      </c>
      <c r="H1577" s="514"/>
      <c r="I1577" s="515"/>
      <c r="J1577" s="515"/>
    </row>
    <row r="1578" spans="1:10" ht="13.8" thickBot="1">
      <c r="A1578" s="517"/>
      <c r="B1578" s="518" t="s">
        <v>12086</v>
      </c>
      <c r="C1578" s="533"/>
      <c r="D1578" s="514" t="s">
        <v>1593</v>
      </c>
      <c r="E1578" s="515">
        <v>1</v>
      </c>
      <c r="F1578" s="514"/>
      <c r="G1578" s="515" t="s">
        <v>4970</v>
      </c>
      <c r="H1578" s="514"/>
      <c r="I1578" s="515"/>
      <c r="J1578" s="515">
        <v>4</v>
      </c>
    </row>
    <row r="1579" spans="1:10" ht="13.8" thickBot="1">
      <c r="A1579" s="517"/>
      <c r="B1579" s="518" t="s">
        <v>12085</v>
      </c>
      <c r="C1579" s="533"/>
      <c r="D1579" s="514" t="s">
        <v>12084</v>
      </c>
      <c r="E1579" s="515">
        <v>1</v>
      </c>
      <c r="F1579" s="518" t="s">
        <v>1854</v>
      </c>
      <c r="G1579" s="515" t="s">
        <v>4970</v>
      </c>
      <c r="H1579" s="514"/>
      <c r="I1579" s="515"/>
      <c r="J1579" s="515">
        <v>2</v>
      </c>
    </row>
    <row r="1580" spans="1:10" ht="13.8" thickBot="1">
      <c r="A1580" s="517"/>
      <c r="B1580" s="518" t="s">
        <v>12083</v>
      </c>
      <c r="C1580" s="533"/>
      <c r="D1580" s="514" t="s">
        <v>1593</v>
      </c>
      <c r="E1580" s="515">
        <v>1</v>
      </c>
      <c r="F1580" s="514"/>
      <c r="G1580" s="515" t="s">
        <v>4970</v>
      </c>
      <c r="H1580" s="514"/>
      <c r="I1580" s="515"/>
      <c r="J1580" s="515">
        <v>1</v>
      </c>
    </row>
    <row r="1581" spans="1:10" ht="13.8" thickBot="1">
      <c r="A1581" s="517"/>
      <c r="B1581" s="518" t="s">
        <v>12082</v>
      </c>
      <c r="C1581" s="533"/>
      <c r="D1581" s="514" t="s">
        <v>1598</v>
      </c>
      <c r="E1581" s="515">
        <v>1</v>
      </c>
      <c r="F1581" s="514"/>
      <c r="G1581" s="515" t="s">
        <v>4970</v>
      </c>
      <c r="H1581" s="514"/>
      <c r="I1581" s="515"/>
      <c r="J1581" s="515">
        <v>1</v>
      </c>
    </row>
    <row r="1582" spans="1:10" ht="13.8" thickBot="1">
      <c r="A1582" s="517"/>
      <c r="B1582" s="518" t="s">
        <v>12081</v>
      </c>
      <c r="C1582" s="533"/>
      <c r="D1582" s="514" t="s">
        <v>1598</v>
      </c>
      <c r="E1582" s="515">
        <v>1</v>
      </c>
      <c r="F1582" s="514"/>
      <c r="G1582" s="515" t="s">
        <v>4970</v>
      </c>
      <c r="H1582" s="514"/>
      <c r="I1582" s="515"/>
      <c r="J1582" s="515">
        <v>1</v>
      </c>
    </row>
    <row r="1583" spans="1:10" ht="13.8" thickBot="1">
      <c r="A1583" s="517"/>
      <c r="B1583" s="518" t="s">
        <v>12080</v>
      </c>
      <c r="C1583" s="533"/>
      <c r="D1583" s="514" t="s">
        <v>1598</v>
      </c>
      <c r="E1583" s="515">
        <v>1</v>
      </c>
      <c r="F1583" s="514"/>
      <c r="G1583" s="515" t="s">
        <v>4970</v>
      </c>
      <c r="H1583" s="514"/>
      <c r="I1583" s="515"/>
      <c r="J1583" s="515">
        <v>1</v>
      </c>
    </row>
    <row r="1584" spans="1:10" ht="13.8" thickBot="1">
      <c r="A1584" s="517"/>
      <c r="B1584" s="518" t="s">
        <v>12079</v>
      </c>
      <c r="C1584" s="533"/>
      <c r="D1584" s="514" t="s">
        <v>1598</v>
      </c>
      <c r="E1584" s="515">
        <v>1</v>
      </c>
      <c r="F1584" s="514"/>
      <c r="G1584" s="515" t="s">
        <v>4970</v>
      </c>
      <c r="H1584" s="514"/>
      <c r="I1584" s="515"/>
      <c r="J1584" s="515">
        <v>1</v>
      </c>
    </row>
    <row r="1585" spans="1:10" ht="13.8" thickBot="1">
      <c r="A1585" s="517"/>
      <c r="B1585" s="518" t="s">
        <v>12078</v>
      </c>
      <c r="C1585" s="533"/>
      <c r="D1585" s="514" t="s">
        <v>1598</v>
      </c>
      <c r="E1585" s="515">
        <v>1</v>
      </c>
      <c r="F1585" s="514"/>
      <c r="G1585" s="515" t="s">
        <v>4970</v>
      </c>
      <c r="H1585" s="514"/>
      <c r="I1585" s="515"/>
      <c r="J1585" s="515">
        <v>1</v>
      </c>
    </row>
    <row r="1586" spans="1:10" ht="13.8" thickBot="1">
      <c r="A1586" s="517"/>
      <c r="B1586" s="518" t="s">
        <v>13950</v>
      </c>
      <c r="C1586" s="533"/>
      <c r="D1586" s="514" t="s">
        <v>1256</v>
      </c>
      <c r="E1586" s="515">
        <v>1</v>
      </c>
      <c r="F1586" s="518" t="s">
        <v>614</v>
      </c>
      <c r="G1586" s="515" t="s">
        <v>1922</v>
      </c>
      <c r="H1586" s="514"/>
      <c r="I1586" s="522"/>
      <c r="J1586" s="522">
        <v>4</v>
      </c>
    </row>
    <row r="1587" spans="1:10" ht="13.8" thickBot="1">
      <c r="A1587" s="517"/>
      <c r="B1587" s="518" t="s">
        <v>13949</v>
      </c>
      <c r="C1587" s="533"/>
      <c r="D1587" s="514" t="s">
        <v>1252</v>
      </c>
      <c r="E1587" s="515">
        <v>1</v>
      </c>
      <c r="F1587" s="514"/>
      <c r="G1587" s="515" t="s">
        <v>1922</v>
      </c>
      <c r="H1587" s="514"/>
      <c r="I1587" s="515"/>
      <c r="J1587" s="515">
        <v>2</v>
      </c>
    </row>
    <row r="1588" spans="1:10" ht="13.8" thickBot="1">
      <c r="A1588" s="517"/>
      <c r="B1588" s="518" t="s">
        <v>13948</v>
      </c>
      <c r="C1588" s="533"/>
      <c r="D1588" s="514" t="s">
        <v>1252</v>
      </c>
      <c r="E1588" s="515">
        <v>1</v>
      </c>
      <c r="F1588" s="514"/>
      <c r="G1588" s="515" t="s">
        <v>1922</v>
      </c>
      <c r="H1588" s="514"/>
      <c r="I1588" s="515"/>
      <c r="J1588" s="515">
        <v>1</v>
      </c>
    </row>
    <row r="1589" spans="1:10" ht="13.8" thickBot="1">
      <c r="A1589" s="517"/>
      <c r="B1589" s="518" t="s">
        <v>13947</v>
      </c>
      <c r="C1589" s="533"/>
      <c r="D1589" s="514" t="s">
        <v>1252</v>
      </c>
      <c r="E1589" s="515">
        <v>1</v>
      </c>
      <c r="F1589" s="514"/>
      <c r="G1589" s="515" t="s">
        <v>1922</v>
      </c>
      <c r="H1589" s="514"/>
      <c r="I1589" s="515"/>
      <c r="J1589" s="515">
        <v>1</v>
      </c>
    </row>
    <row r="1590" spans="1:10" ht="13.8" thickBot="1">
      <c r="A1590" s="517"/>
      <c r="B1590" s="514" t="s">
        <v>11713</v>
      </c>
      <c r="C1590" s="533"/>
      <c r="D1590" s="514" t="s">
        <v>11533</v>
      </c>
      <c r="E1590" s="515">
        <v>1</v>
      </c>
      <c r="F1590" s="514"/>
      <c r="G1590" s="515" t="s">
        <v>11525</v>
      </c>
      <c r="H1590" s="514"/>
      <c r="I1590" s="515"/>
      <c r="J1590" s="515">
        <v>1</v>
      </c>
    </row>
    <row r="1591" spans="1:10" ht="13.8" thickBot="1">
      <c r="A1591" s="517"/>
      <c r="B1591" s="518" t="s">
        <v>11756</v>
      </c>
      <c r="C1591" s="533"/>
      <c r="D1591" s="514" t="s">
        <v>11533</v>
      </c>
      <c r="E1591" s="515">
        <v>1</v>
      </c>
      <c r="F1591" s="518" t="s">
        <v>1854</v>
      </c>
      <c r="G1591" s="515" t="s">
        <v>11525</v>
      </c>
      <c r="H1591" s="514"/>
      <c r="I1591" s="515"/>
      <c r="J1591" s="515"/>
    </row>
    <row r="1592" spans="1:10" ht="13.8" thickBot="1">
      <c r="A1592" s="517"/>
      <c r="B1592" s="518" t="s">
        <v>11760</v>
      </c>
      <c r="C1592" s="533"/>
      <c r="D1592" s="514" t="s">
        <v>11533</v>
      </c>
      <c r="E1592" s="515">
        <v>1</v>
      </c>
      <c r="F1592" s="518" t="s">
        <v>1854</v>
      </c>
      <c r="G1592" s="515" t="s">
        <v>11525</v>
      </c>
      <c r="H1592" s="514"/>
      <c r="I1592" s="515"/>
      <c r="J1592" s="515"/>
    </row>
    <row r="1593" spans="1:10" ht="13.8" thickBot="1">
      <c r="A1593" s="517"/>
      <c r="B1593" s="518" t="s">
        <v>11755</v>
      </c>
      <c r="C1593" s="533"/>
      <c r="D1593" s="514" t="s">
        <v>11533</v>
      </c>
      <c r="E1593" s="515">
        <v>1</v>
      </c>
      <c r="F1593" s="518" t="s">
        <v>1854</v>
      </c>
      <c r="G1593" s="515" t="s">
        <v>11525</v>
      </c>
      <c r="H1593" s="514"/>
      <c r="I1593" s="515"/>
      <c r="J1593" s="515"/>
    </row>
    <row r="1594" spans="1:10" ht="13.8" thickBot="1">
      <c r="A1594" s="517"/>
      <c r="B1594" s="518" t="s">
        <v>11761</v>
      </c>
      <c r="C1594" s="533"/>
      <c r="D1594" s="514" t="s">
        <v>11533</v>
      </c>
      <c r="E1594" s="515">
        <v>1</v>
      </c>
      <c r="F1594" s="518" t="s">
        <v>1854</v>
      </c>
      <c r="G1594" s="515" t="s">
        <v>11525</v>
      </c>
      <c r="H1594" s="514"/>
      <c r="I1594" s="515"/>
      <c r="J1594" s="515"/>
    </row>
    <row r="1595" spans="1:10" ht="13.8" thickBot="1">
      <c r="A1595" s="517"/>
      <c r="B1595" s="518" t="s">
        <v>11763</v>
      </c>
      <c r="C1595" s="533"/>
      <c r="D1595" s="514" t="s">
        <v>11533</v>
      </c>
      <c r="E1595" s="515">
        <v>1</v>
      </c>
      <c r="F1595" s="518" t="s">
        <v>1854</v>
      </c>
      <c r="G1595" s="515" t="s">
        <v>11525</v>
      </c>
      <c r="H1595" s="514"/>
      <c r="I1595" s="515"/>
      <c r="J1595" s="515"/>
    </row>
    <row r="1596" spans="1:10" ht="13.8" thickBot="1">
      <c r="A1596" s="517"/>
      <c r="B1596" s="518" t="s">
        <v>11759</v>
      </c>
      <c r="C1596" s="533"/>
      <c r="D1596" s="514" t="s">
        <v>11533</v>
      </c>
      <c r="E1596" s="515">
        <v>1</v>
      </c>
      <c r="F1596" s="518" t="s">
        <v>1854</v>
      </c>
      <c r="G1596" s="515" t="s">
        <v>11525</v>
      </c>
      <c r="H1596" s="514"/>
      <c r="I1596" s="515"/>
      <c r="J1596" s="515"/>
    </row>
    <row r="1597" spans="1:10" ht="13.8" thickBot="1">
      <c r="A1597" s="517"/>
      <c r="B1597" s="518" t="s">
        <v>11767</v>
      </c>
      <c r="C1597" s="533"/>
      <c r="D1597" s="514" t="s">
        <v>11533</v>
      </c>
      <c r="E1597" s="515">
        <v>1</v>
      </c>
      <c r="F1597" s="518" t="s">
        <v>1854</v>
      </c>
      <c r="G1597" s="515" t="s">
        <v>11525</v>
      </c>
      <c r="H1597" s="514"/>
      <c r="I1597" s="515"/>
      <c r="J1597" s="515"/>
    </row>
    <row r="1598" spans="1:10" ht="13.8" thickBot="1">
      <c r="A1598" s="517"/>
      <c r="B1598" s="518" t="s">
        <v>11748</v>
      </c>
      <c r="C1598" s="533"/>
      <c r="D1598" s="514" t="s">
        <v>11533</v>
      </c>
      <c r="E1598" s="515">
        <v>1</v>
      </c>
      <c r="F1598" s="518" t="s">
        <v>1854</v>
      </c>
      <c r="G1598" s="515" t="s">
        <v>11525</v>
      </c>
      <c r="H1598" s="514"/>
      <c r="I1598" s="515"/>
      <c r="J1598" s="515"/>
    </row>
    <row r="1599" spans="1:10" ht="13.8" thickBot="1">
      <c r="A1599" s="517"/>
      <c r="B1599" s="518" t="s">
        <v>11747</v>
      </c>
      <c r="C1599" s="533"/>
      <c r="D1599" s="514" t="s">
        <v>11533</v>
      </c>
      <c r="E1599" s="515">
        <v>1</v>
      </c>
      <c r="F1599" s="518" t="s">
        <v>1854</v>
      </c>
      <c r="G1599" s="515" t="s">
        <v>11525</v>
      </c>
      <c r="H1599" s="514"/>
      <c r="I1599" s="515"/>
      <c r="J1599" s="515"/>
    </row>
    <row r="1600" spans="1:10" ht="13.8" thickBot="1">
      <c r="A1600" s="517"/>
      <c r="B1600" s="518" t="s">
        <v>11746</v>
      </c>
      <c r="C1600" s="533"/>
      <c r="D1600" s="514" t="s">
        <v>11533</v>
      </c>
      <c r="E1600" s="515">
        <v>1</v>
      </c>
      <c r="F1600" s="518" t="s">
        <v>1854</v>
      </c>
      <c r="G1600" s="515" t="s">
        <v>11525</v>
      </c>
      <c r="H1600" s="514"/>
      <c r="I1600" s="515"/>
      <c r="J1600" s="515"/>
    </row>
    <row r="1601" spans="1:10" ht="13.8" thickBot="1">
      <c r="A1601" s="517"/>
      <c r="B1601" s="518" t="s">
        <v>11740</v>
      </c>
      <c r="C1601" s="533"/>
      <c r="D1601" s="514" t="s">
        <v>11533</v>
      </c>
      <c r="E1601" s="515">
        <v>1</v>
      </c>
      <c r="F1601" s="518" t="s">
        <v>1854</v>
      </c>
      <c r="G1601" s="515" t="s">
        <v>11525</v>
      </c>
      <c r="H1601" s="514"/>
      <c r="I1601" s="515"/>
      <c r="J1601" s="515"/>
    </row>
    <row r="1602" spans="1:10" ht="13.8" thickBot="1">
      <c r="A1602" s="517"/>
      <c r="B1602" s="518" t="s">
        <v>11738</v>
      </c>
      <c r="C1602" s="533"/>
      <c r="D1602" s="514" t="s">
        <v>11533</v>
      </c>
      <c r="E1602" s="515">
        <v>1</v>
      </c>
      <c r="F1602" s="518" t="s">
        <v>1854</v>
      </c>
      <c r="G1602" s="515" t="s">
        <v>11525</v>
      </c>
      <c r="H1602" s="514"/>
      <c r="I1602" s="515"/>
      <c r="J1602" s="515"/>
    </row>
    <row r="1603" spans="1:10" ht="13.8" thickBot="1">
      <c r="A1603" s="517"/>
      <c r="B1603" s="518" t="s">
        <v>11752</v>
      </c>
      <c r="C1603" s="533"/>
      <c r="D1603" s="514" t="s">
        <v>11533</v>
      </c>
      <c r="E1603" s="515">
        <v>1</v>
      </c>
      <c r="F1603" s="518" t="s">
        <v>1854</v>
      </c>
      <c r="G1603" s="515" t="s">
        <v>11525</v>
      </c>
      <c r="H1603" s="514"/>
      <c r="I1603" s="515"/>
      <c r="J1603" s="515"/>
    </row>
    <row r="1604" spans="1:10" ht="13.8" thickBot="1">
      <c r="A1604" s="517"/>
      <c r="B1604" s="518" t="s">
        <v>11741</v>
      </c>
      <c r="C1604" s="533"/>
      <c r="D1604" s="514" t="s">
        <v>11533</v>
      </c>
      <c r="E1604" s="515">
        <v>1</v>
      </c>
      <c r="F1604" s="518" t="s">
        <v>1854</v>
      </c>
      <c r="G1604" s="515" t="s">
        <v>11525</v>
      </c>
      <c r="H1604" s="514"/>
      <c r="I1604" s="515"/>
      <c r="J1604" s="515"/>
    </row>
    <row r="1605" spans="1:10" ht="13.8" thickBot="1">
      <c r="A1605" s="517"/>
      <c r="B1605" s="518" t="s">
        <v>11749</v>
      </c>
      <c r="C1605" s="533"/>
      <c r="D1605" s="514" t="s">
        <v>11533</v>
      </c>
      <c r="E1605" s="515">
        <v>1</v>
      </c>
      <c r="F1605" s="518" t="s">
        <v>1854</v>
      </c>
      <c r="G1605" s="515" t="s">
        <v>11525</v>
      </c>
      <c r="H1605" s="514"/>
      <c r="I1605" s="515"/>
      <c r="J1605" s="515"/>
    </row>
    <row r="1606" spans="1:10" ht="13.8" thickBot="1">
      <c r="A1606" s="517"/>
      <c r="B1606" s="518" t="s">
        <v>11739</v>
      </c>
      <c r="C1606" s="533"/>
      <c r="D1606" s="514" t="s">
        <v>11533</v>
      </c>
      <c r="E1606" s="515">
        <v>1</v>
      </c>
      <c r="F1606" s="518" t="s">
        <v>1854</v>
      </c>
      <c r="G1606" s="515" t="s">
        <v>11525</v>
      </c>
      <c r="H1606" s="514"/>
      <c r="I1606" s="515"/>
      <c r="J1606" s="515"/>
    </row>
    <row r="1607" spans="1:10" ht="13.8" thickBot="1">
      <c r="A1607" s="517"/>
      <c r="B1607" s="518" t="s">
        <v>11750</v>
      </c>
      <c r="C1607" s="533"/>
      <c r="D1607" s="514" t="s">
        <v>11533</v>
      </c>
      <c r="E1607" s="515">
        <v>1</v>
      </c>
      <c r="F1607" s="518" t="s">
        <v>1854</v>
      </c>
      <c r="G1607" s="515" t="s">
        <v>11525</v>
      </c>
      <c r="H1607" s="514"/>
      <c r="I1607" s="515"/>
      <c r="J1607" s="515"/>
    </row>
    <row r="1608" spans="1:10" ht="13.8" thickBot="1">
      <c r="A1608" s="517"/>
      <c r="B1608" s="518" t="s">
        <v>11737</v>
      </c>
      <c r="C1608" s="533"/>
      <c r="D1608" s="514" t="s">
        <v>11533</v>
      </c>
      <c r="E1608" s="515">
        <v>1</v>
      </c>
      <c r="F1608" s="518" t="s">
        <v>1854</v>
      </c>
      <c r="G1608" s="515" t="s">
        <v>11525</v>
      </c>
      <c r="H1608" s="514"/>
      <c r="I1608" s="515"/>
      <c r="J1608" s="515"/>
    </row>
    <row r="1609" spans="1:10" ht="13.8" thickBot="1">
      <c r="A1609" s="517"/>
      <c r="B1609" s="518" t="s">
        <v>11780</v>
      </c>
      <c r="C1609" s="533"/>
      <c r="D1609" s="514" t="s">
        <v>11533</v>
      </c>
      <c r="E1609" s="515">
        <v>1</v>
      </c>
      <c r="F1609" s="518" t="s">
        <v>1854</v>
      </c>
      <c r="G1609" s="515" t="s">
        <v>11525</v>
      </c>
      <c r="H1609" s="514"/>
      <c r="I1609" s="515"/>
      <c r="J1609" s="515"/>
    </row>
    <row r="1610" spans="1:10" ht="13.8" thickBot="1">
      <c r="A1610" s="517"/>
      <c r="B1610" s="518" t="s">
        <v>11778</v>
      </c>
      <c r="C1610" s="533"/>
      <c r="D1610" s="514" t="s">
        <v>11533</v>
      </c>
      <c r="E1610" s="515">
        <v>1</v>
      </c>
      <c r="F1610" s="518" t="s">
        <v>1854</v>
      </c>
      <c r="G1610" s="515" t="s">
        <v>11525</v>
      </c>
      <c r="H1610" s="514"/>
      <c r="I1610" s="515"/>
      <c r="J1610" s="515"/>
    </row>
    <row r="1611" spans="1:10" ht="13.8" thickBot="1">
      <c r="A1611" s="517"/>
      <c r="B1611" s="518" t="s">
        <v>11775</v>
      </c>
      <c r="C1611" s="533"/>
      <c r="D1611" s="514" t="s">
        <v>11533</v>
      </c>
      <c r="E1611" s="515">
        <v>1</v>
      </c>
      <c r="F1611" s="518" t="s">
        <v>1854</v>
      </c>
      <c r="G1611" s="515" t="s">
        <v>11525</v>
      </c>
      <c r="H1611" s="514"/>
      <c r="I1611" s="515"/>
      <c r="J1611" s="515"/>
    </row>
    <row r="1612" spans="1:10" ht="13.8" thickBot="1">
      <c r="A1612" s="517"/>
      <c r="B1612" s="518" t="s">
        <v>11779</v>
      </c>
      <c r="C1612" s="533"/>
      <c r="D1612" s="514" t="s">
        <v>11533</v>
      </c>
      <c r="E1612" s="515">
        <v>1</v>
      </c>
      <c r="F1612" s="518" t="s">
        <v>1854</v>
      </c>
      <c r="G1612" s="515" t="s">
        <v>11525</v>
      </c>
      <c r="H1612" s="514"/>
      <c r="I1612" s="515"/>
      <c r="J1612" s="515"/>
    </row>
    <row r="1613" spans="1:10" ht="13.8" thickBot="1">
      <c r="A1613" s="517"/>
      <c r="B1613" s="518" t="s">
        <v>11773</v>
      </c>
      <c r="C1613" s="533"/>
      <c r="D1613" s="514" t="s">
        <v>11533</v>
      </c>
      <c r="E1613" s="515">
        <v>1</v>
      </c>
      <c r="F1613" s="518" t="s">
        <v>1854</v>
      </c>
      <c r="G1613" s="515" t="s">
        <v>11525</v>
      </c>
      <c r="H1613" s="514"/>
      <c r="I1613" s="515"/>
      <c r="J1613" s="515"/>
    </row>
    <row r="1614" spans="1:10" ht="13.8" thickBot="1">
      <c r="A1614" s="517"/>
      <c r="B1614" s="518" t="s">
        <v>11768</v>
      </c>
      <c r="C1614" s="533"/>
      <c r="D1614" s="514" t="s">
        <v>11533</v>
      </c>
      <c r="E1614" s="515">
        <v>1</v>
      </c>
      <c r="F1614" s="518" t="s">
        <v>1854</v>
      </c>
      <c r="G1614" s="515" t="s">
        <v>11525</v>
      </c>
      <c r="H1614" s="514"/>
      <c r="I1614" s="515"/>
      <c r="J1614" s="515"/>
    </row>
    <row r="1615" spans="1:10" ht="13.8" thickBot="1">
      <c r="A1615" s="517"/>
      <c r="B1615" s="518" t="s">
        <v>11772</v>
      </c>
      <c r="C1615" s="533"/>
      <c r="D1615" s="514" t="s">
        <v>11533</v>
      </c>
      <c r="E1615" s="515">
        <v>1</v>
      </c>
      <c r="F1615" s="518" t="s">
        <v>1854</v>
      </c>
      <c r="G1615" s="515" t="s">
        <v>11525</v>
      </c>
      <c r="H1615" s="514"/>
      <c r="I1615" s="515"/>
      <c r="J1615" s="515"/>
    </row>
    <row r="1616" spans="1:10" ht="13.8" thickBot="1">
      <c r="A1616" s="517"/>
      <c r="B1616" s="518" t="s">
        <v>11774</v>
      </c>
      <c r="C1616" s="533"/>
      <c r="D1616" s="514" t="s">
        <v>11533</v>
      </c>
      <c r="E1616" s="515">
        <v>1</v>
      </c>
      <c r="F1616" s="518" t="s">
        <v>1854</v>
      </c>
      <c r="G1616" s="515" t="s">
        <v>11525</v>
      </c>
      <c r="H1616" s="514"/>
      <c r="I1616" s="515"/>
      <c r="J1616" s="515"/>
    </row>
    <row r="1617" spans="1:10" ht="13.8" thickBot="1">
      <c r="A1617" s="517"/>
      <c r="B1617" s="518" t="s">
        <v>11770</v>
      </c>
      <c r="C1617" s="533"/>
      <c r="D1617" s="514" t="s">
        <v>11533</v>
      </c>
      <c r="E1617" s="515">
        <v>1</v>
      </c>
      <c r="F1617" s="518" t="s">
        <v>1854</v>
      </c>
      <c r="G1617" s="515" t="s">
        <v>11525</v>
      </c>
      <c r="H1617" s="514"/>
      <c r="I1617" s="515"/>
      <c r="J1617" s="515"/>
    </row>
    <row r="1618" spans="1:10" ht="13.8" thickBot="1">
      <c r="A1618" s="517"/>
      <c r="B1618" s="518" t="s">
        <v>11769</v>
      </c>
      <c r="C1618" s="533"/>
      <c r="D1618" s="514" t="s">
        <v>11533</v>
      </c>
      <c r="E1618" s="515">
        <v>1</v>
      </c>
      <c r="F1618" s="518" t="s">
        <v>1854</v>
      </c>
      <c r="G1618" s="515" t="s">
        <v>11525</v>
      </c>
      <c r="H1618" s="514"/>
      <c r="I1618" s="515"/>
      <c r="J1618" s="515"/>
    </row>
    <row r="1619" spans="1:10" ht="13.8" thickBot="1">
      <c r="A1619" s="517"/>
      <c r="B1619" s="518" t="s">
        <v>11742</v>
      </c>
      <c r="C1619" s="533"/>
      <c r="D1619" s="514" t="s">
        <v>11533</v>
      </c>
      <c r="E1619" s="521">
        <v>1</v>
      </c>
      <c r="F1619" s="514"/>
      <c r="G1619" s="515" t="s">
        <v>11525</v>
      </c>
      <c r="H1619" s="514"/>
      <c r="I1619" s="515"/>
      <c r="J1619" s="515"/>
    </row>
    <row r="1620" spans="1:10" ht="13.8" thickBot="1">
      <c r="A1620" s="517"/>
      <c r="B1620" s="518" t="s">
        <v>12989</v>
      </c>
      <c r="C1620" s="533"/>
      <c r="D1620" s="514" t="s">
        <v>1554</v>
      </c>
      <c r="E1620" s="515">
        <v>1</v>
      </c>
      <c r="F1620" s="518" t="s">
        <v>1854</v>
      </c>
      <c r="G1620" s="515" t="s">
        <v>2957</v>
      </c>
      <c r="H1620" s="514"/>
      <c r="I1620" s="515"/>
      <c r="J1620" s="515">
        <v>1</v>
      </c>
    </row>
    <row r="1621" spans="1:10" ht="13.8" thickBot="1">
      <c r="A1621" s="517"/>
      <c r="B1621" s="518" t="s">
        <v>12988</v>
      </c>
      <c r="C1621" s="533"/>
      <c r="D1621" s="514" t="s">
        <v>1552</v>
      </c>
      <c r="E1621" s="515">
        <v>1</v>
      </c>
      <c r="F1621" s="514"/>
      <c r="G1621" s="515" t="s">
        <v>2957</v>
      </c>
      <c r="H1621" s="514"/>
      <c r="I1621" s="515"/>
      <c r="J1621" s="515">
        <v>1</v>
      </c>
    </row>
    <row r="1622" spans="1:10" ht="13.8" thickBot="1">
      <c r="A1622" s="517"/>
      <c r="B1622" s="518" t="s">
        <v>12987</v>
      </c>
      <c r="C1622" s="533"/>
      <c r="D1622" s="514" t="s">
        <v>1554</v>
      </c>
      <c r="E1622" s="529">
        <v>1</v>
      </c>
      <c r="F1622" s="514"/>
      <c r="G1622" s="515" t="s">
        <v>2957</v>
      </c>
      <c r="H1622" s="514"/>
      <c r="I1622" s="529"/>
      <c r="J1622" s="529"/>
    </row>
    <row r="1623" spans="1:10" ht="13.8" thickBot="1">
      <c r="A1623" s="517"/>
      <c r="B1623" s="518" t="s">
        <v>12232</v>
      </c>
      <c r="C1623" s="533"/>
      <c r="D1623" s="514" t="s">
        <v>12231</v>
      </c>
      <c r="E1623" s="515"/>
      <c r="F1623" s="518" t="s">
        <v>614</v>
      </c>
      <c r="G1623" s="515" t="s">
        <v>4596</v>
      </c>
      <c r="H1623" s="514" t="s">
        <v>1226</v>
      </c>
      <c r="I1623" s="515"/>
      <c r="J1623" s="515">
        <v>1</v>
      </c>
    </row>
    <row r="1624" spans="1:10" ht="13.8" thickBot="1">
      <c r="A1624" s="517"/>
      <c r="B1624" s="518" t="s">
        <v>13990</v>
      </c>
      <c r="C1624" s="533"/>
      <c r="D1624" s="514" t="s">
        <v>13989</v>
      </c>
      <c r="E1624" s="515"/>
      <c r="F1624" s="518" t="s">
        <v>1854</v>
      </c>
      <c r="G1624" s="515" t="s">
        <v>1793</v>
      </c>
      <c r="H1624" s="514"/>
      <c r="I1624" s="522"/>
      <c r="J1624" s="522">
        <v>1</v>
      </c>
    </row>
    <row r="1625" spans="1:10" ht="13.8" thickBot="1">
      <c r="A1625" s="517"/>
      <c r="B1625" s="518" t="s">
        <v>13988</v>
      </c>
      <c r="C1625" s="533"/>
      <c r="D1625" s="514" t="s">
        <v>1852</v>
      </c>
      <c r="E1625" s="515"/>
      <c r="F1625" s="518" t="s">
        <v>1854</v>
      </c>
      <c r="G1625" s="515" t="s">
        <v>1793</v>
      </c>
      <c r="H1625" s="514"/>
      <c r="I1625" s="515"/>
      <c r="J1625" s="515"/>
    </row>
    <row r="1626" spans="1:10" ht="13.8" thickBot="1">
      <c r="A1626" s="517"/>
      <c r="B1626" s="518" t="s">
        <v>13987</v>
      </c>
      <c r="C1626" s="533"/>
      <c r="D1626" s="514" t="s">
        <v>1802</v>
      </c>
      <c r="E1626" s="515"/>
      <c r="F1626" s="518" t="s">
        <v>1854</v>
      </c>
      <c r="G1626" s="515" t="s">
        <v>1793</v>
      </c>
      <c r="H1626" s="514"/>
      <c r="I1626" s="515"/>
      <c r="J1626" s="515"/>
    </row>
    <row r="1627" spans="1:10" ht="13.8" thickBot="1">
      <c r="A1627" s="517"/>
      <c r="B1627" s="518" t="s">
        <v>13986</v>
      </c>
      <c r="C1627" s="533"/>
      <c r="D1627" s="514" t="s">
        <v>1792</v>
      </c>
      <c r="E1627" s="515"/>
      <c r="F1627" s="514"/>
      <c r="G1627" s="515" t="s">
        <v>1793</v>
      </c>
      <c r="H1627" s="514"/>
      <c r="I1627" s="515"/>
      <c r="J1627" s="515"/>
    </row>
    <row r="1628" spans="1:10" ht="13.8" thickBot="1">
      <c r="A1628" s="517"/>
      <c r="B1628" s="518" t="s">
        <v>13985</v>
      </c>
      <c r="C1628" s="533"/>
      <c r="D1628" s="514" t="s">
        <v>1792</v>
      </c>
      <c r="E1628" s="515"/>
      <c r="F1628" s="514"/>
      <c r="G1628" s="515" t="s">
        <v>1793</v>
      </c>
      <c r="H1628" s="514"/>
      <c r="I1628" s="515"/>
      <c r="J1628" s="515"/>
    </row>
    <row r="1629" spans="1:10" ht="13.8" thickBot="1">
      <c r="A1629" s="517"/>
      <c r="B1629" s="518" t="s">
        <v>13984</v>
      </c>
      <c r="C1629" s="533"/>
      <c r="D1629" s="514" t="s">
        <v>1792</v>
      </c>
      <c r="E1629" s="515"/>
      <c r="F1629" s="514"/>
      <c r="G1629" s="515" t="s">
        <v>1793</v>
      </c>
      <c r="H1629" s="514"/>
      <c r="I1629" s="515"/>
      <c r="J1629" s="515"/>
    </row>
    <row r="1630" spans="1:10" ht="13.8" thickBot="1">
      <c r="A1630" s="517"/>
      <c r="B1630" s="518" t="s">
        <v>13983</v>
      </c>
      <c r="C1630" s="533"/>
      <c r="D1630" s="514" t="s">
        <v>1792</v>
      </c>
      <c r="E1630" s="515"/>
      <c r="F1630" s="514"/>
      <c r="G1630" s="515" t="s">
        <v>1793</v>
      </c>
      <c r="H1630" s="514"/>
      <c r="I1630" s="515"/>
      <c r="J1630" s="515"/>
    </row>
    <row r="1631" spans="1:10" ht="13.8" thickBot="1">
      <c r="A1631" s="517"/>
      <c r="B1631" s="518" t="s">
        <v>13256</v>
      </c>
      <c r="C1631" s="533"/>
      <c r="D1631" s="514" t="s">
        <v>2537</v>
      </c>
      <c r="E1631" s="515"/>
      <c r="F1631" s="514"/>
      <c r="G1631" s="515" t="s">
        <v>2523</v>
      </c>
      <c r="H1631" s="514"/>
      <c r="I1631" s="515"/>
      <c r="J1631" s="515"/>
    </row>
    <row r="1632" spans="1:10" ht="13.8" thickBot="1">
      <c r="A1632" s="517"/>
      <c r="B1632" s="518" t="s">
        <v>13255</v>
      </c>
      <c r="C1632" s="533"/>
      <c r="D1632" s="514" t="s">
        <v>1300</v>
      </c>
      <c r="E1632" s="515"/>
      <c r="F1632" s="514"/>
      <c r="G1632" s="515" t="s">
        <v>2523</v>
      </c>
      <c r="H1632" s="514"/>
      <c r="I1632" s="515"/>
      <c r="J1632" s="515"/>
    </row>
    <row r="1633" spans="1:10" ht="13.8" thickBot="1">
      <c r="A1633" s="517"/>
      <c r="B1633" s="518" t="s">
        <v>13254</v>
      </c>
      <c r="C1633" s="533"/>
      <c r="D1633" s="514" t="s">
        <v>1300</v>
      </c>
      <c r="E1633" s="515"/>
      <c r="F1633" s="514"/>
      <c r="G1633" s="515" t="s">
        <v>2523</v>
      </c>
      <c r="H1633" s="514"/>
      <c r="I1633" s="515"/>
      <c r="J1633" s="515"/>
    </row>
    <row r="1634" spans="1:10" ht="13.8" thickBot="1">
      <c r="A1634" s="517"/>
      <c r="B1634" s="518" t="s">
        <v>13253</v>
      </c>
      <c r="C1634" s="533"/>
      <c r="D1634" s="514" t="s">
        <v>1300</v>
      </c>
      <c r="E1634" s="515"/>
      <c r="F1634" s="514"/>
      <c r="G1634" s="515" t="s">
        <v>2523</v>
      </c>
      <c r="H1634" s="514"/>
      <c r="I1634" s="515"/>
      <c r="J1634" s="515"/>
    </row>
    <row r="1635" spans="1:10" ht="13.8" thickBot="1">
      <c r="A1635" s="517"/>
      <c r="B1635" s="518" t="s">
        <v>13252</v>
      </c>
      <c r="C1635" s="533"/>
      <c r="D1635" s="514" t="s">
        <v>1300</v>
      </c>
      <c r="E1635" s="515"/>
      <c r="F1635" s="514"/>
      <c r="G1635" s="515" t="s">
        <v>2523</v>
      </c>
      <c r="H1635" s="514"/>
      <c r="I1635" s="515"/>
      <c r="J1635" s="515"/>
    </row>
    <row r="1636" spans="1:10" ht="13.8" thickBot="1">
      <c r="A1636" s="517"/>
      <c r="B1636" s="518" t="s">
        <v>13251</v>
      </c>
      <c r="C1636" s="533"/>
      <c r="D1636" s="514" t="s">
        <v>1300</v>
      </c>
      <c r="E1636" s="515"/>
      <c r="F1636" s="514"/>
      <c r="G1636" s="515" t="s">
        <v>2523</v>
      </c>
      <c r="H1636" s="514"/>
      <c r="I1636" s="515"/>
      <c r="J1636" s="515"/>
    </row>
    <row r="1637" spans="1:10" ht="13.8" thickBot="1">
      <c r="A1637" s="517"/>
      <c r="B1637" s="518" t="s">
        <v>13250</v>
      </c>
      <c r="C1637" s="533"/>
      <c r="D1637" s="514" t="s">
        <v>2663</v>
      </c>
      <c r="E1637" s="515"/>
      <c r="F1637" s="514"/>
      <c r="G1637" s="515" t="s">
        <v>2523</v>
      </c>
      <c r="H1637" s="514"/>
      <c r="I1637" s="515"/>
      <c r="J1637" s="515"/>
    </row>
    <row r="1638" spans="1:10" ht="13.8" thickBot="1">
      <c r="A1638" s="517"/>
      <c r="B1638" s="518" t="s">
        <v>13249</v>
      </c>
      <c r="C1638" s="533"/>
      <c r="D1638" s="514" t="s">
        <v>1300</v>
      </c>
      <c r="E1638" s="515"/>
      <c r="F1638" s="514"/>
      <c r="G1638" s="515" t="s">
        <v>2523</v>
      </c>
      <c r="H1638" s="514"/>
      <c r="I1638" s="515"/>
      <c r="J1638" s="515"/>
    </row>
    <row r="1639" spans="1:10" ht="13.8" thickBot="1">
      <c r="A1639" s="517"/>
      <c r="B1639" s="518" t="s">
        <v>13248</v>
      </c>
      <c r="C1639" s="533"/>
      <c r="D1639" s="514" t="s">
        <v>1328</v>
      </c>
      <c r="E1639" s="515"/>
      <c r="F1639" s="514"/>
      <c r="G1639" s="515" t="s">
        <v>2523</v>
      </c>
      <c r="H1639" s="514"/>
      <c r="I1639" s="515"/>
      <c r="J1639" s="515"/>
    </row>
    <row r="1640" spans="1:10" ht="13.8" thickBot="1">
      <c r="A1640" s="517"/>
      <c r="B1640" s="518" t="s">
        <v>13247</v>
      </c>
      <c r="C1640" s="533"/>
      <c r="D1640" s="514" t="s">
        <v>2663</v>
      </c>
      <c r="E1640" s="515"/>
      <c r="F1640" s="514"/>
      <c r="G1640" s="515" t="s">
        <v>2523</v>
      </c>
      <c r="H1640" s="514"/>
      <c r="I1640" s="515"/>
      <c r="J1640" s="515"/>
    </row>
    <row r="1641" spans="1:10" ht="13.8" thickBot="1">
      <c r="A1641" s="517"/>
      <c r="B1641" s="518" t="s">
        <v>13946</v>
      </c>
      <c r="C1641" s="533"/>
      <c r="D1641" s="514" t="s">
        <v>13945</v>
      </c>
      <c r="E1641" s="515"/>
      <c r="F1641" s="518" t="s">
        <v>1854</v>
      </c>
      <c r="G1641" s="515" t="s">
        <v>1922</v>
      </c>
      <c r="H1641" s="514"/>
      <c r="I1641" s="515"/>
      <c r="J1641" s="515"/>
    </row>
    <row r="1642" spans="1:10" ht="13.8" thickBot="1">
      <c r="A1642" s="517"/>
      <c r="B1642" s="518" t="s">
        <v>13944</v>
      </c>
      <c r="C1642" s="533"/>
      <c r="D1642" s="514" t="s">
        <v>1252</v>
      </c>
      <c r="E1642" s="515"/>
      <c r="F1642" s="514"/>
      <c r="G1642" s="515" t="s">
        <v>1922</v>
      </c>
      <c r="H1642" s="514"/>
      <c r="I1642" s="515"/>
      <c r="J1642" s="515"/>
    </row>
    <row r="1643" spans="1:10" ht="13.8" thickBot="1">
      <c r="A1643" s="517"/>
      <c r="B1643" s="518" t="s">
        <v>11807</v>
      </c>
      <c r="C1643" s="533"/>
      <c r="D1643" s="514" t="s">
        <v>11533</v>
      </c>
      <c r="E1643" s="515"/>
      <c r="F1643" s="514"/>
      <c r="G1643" s="515" t="s">
        <v>11525</v>
      </c>
      <c r="H1643" s="514"/>
      <c r="I1643" s="515"/>
      <c r="J1643" s="515">
        <v>1</v>
      </c>
    </row>
    <row r="1644" spans="1:10" ht="13.8" thickBot="1">
      <c r="A1644" s="517"/>
      <c r="B1644" s="518" t="s">
        <v>11806</v>
      </c>
      <c r="C1644" s="533"/>
      <c r="D1644" s="514" t="s">
        <v>11533</v>
      </c>
      <c r="E1644" s="515"/>
      <c r="F1644" s="514"/>
      <c r="G1644" s="515" t="s">
        <v>11525</v>
      </c>
      <c r="H1644" s="514"/>
      <c r="I1644" s="515"/>
      <c r="J1644" s="515">
        <v>1</v>
      </c>
    </row>
    <row r="1645" spans="1:10" ht="13.8" thickBot="1">
      <c r="A1645" s="517"/>
      <c r="B1645" s="518" t="s">
        <v>11607</v>
      </c>
      <c r="C1645" s="533"/>
      <c r="D1645" s="514" t="s">
        <v>11533</v>
      </c>
      <c r="E1645" s="515"/>
      <c r="F1645" s="514"/>
      <c r="G1645" s="515" t="s">
        <v>11525</v>
      </c>
      <c r="H1645" s="514"/>
      <c r="I1645" s="515"/>
      <c r="J1645" s="515">
        <v>1</v>
      </c>
    </row>
    <row r="1646" spans="1:10" ht="13.8" thickBot="1">
      <c r="A1646" s="517"/>
      <c r="B1646" s="518" t="s">
        <v>11544</v>
      </c>
      <c r="C1646" s="533"/>
      <c r="D1646" s="514" t="s">
        <v>11533</v>
      </c>
      <c r="E1646" s="515"/>
      <c r="F1646" s="514"/>
      <c r="G1646" s="515" t="s">
        <v>11525</v>
      </c>
      <c r="H1646" s="514"/>
      <c r="I1646" s="515"/>
      <c r="J1646" s="515">
        <v>1</v>
      </c>
    </row>
    <row r="1647" spans="1:10" ht="13.8" thickBot="1">
      <c r="A1647" s="517"/>
      <c r="B1647" s="518" t="s">
        <v>11541</v>
      </c>
      <c r="C1647" s="533"/>
      <c r="D1647" s="514" t="s">
        <v>11533</v>
      </c>
      <c r="E1647" s="515"/>
      <c r="F1647" s="514"/>
      <c r="G1647" s="515" t="s">
        <v>11525</v>
      </c>
      <c r="H1647" s="514"/>
      <c r="I1647" s="515"/>
      <c r="J1647" s="515">
        <v>1</v>
      </c>
    </row>
    <row r="1648" spans="1:10" ht="13.8" thickBot="1">
      <c r="A1648" s="517"/>
      <c r="B1648" s="518" t="s">
        <v>11817</v>
      </c>
      <c r="C1648" s="533"/>
      <c r="D1648" s="514" t="s">
        <v>11533</v>
      </c>
      <c r="E1648" s="515"/>
      <c r="F1648" s="514"/>
      <c r="G1648" s="515" t="s">
        <v>11525</v>
      </c>
      <c r="H1648" s="514"/>
      <c r="I1648" s="515"/>
      <c r="J1648" s="515"/>
    </row>
    <row r="1649" spans="1:10" ht="13.8" thickBot="1">
      <c r="A1649" s="517"/>
      <c r="B1649" s="518" t="s">
        <v>11816</v>
      </c>
      <c r="C1649" s="533"/>
      <c r="D1649" s="514" t="s">
        <v>11533</v>
      </c>
      <c r="E1649" s="515"/>
      <c r="F1649" s="514"/>
      <c r="G1649" s="515" t="s">
        <v>11525</v>
      </c>
      <c r="H1649" s="514"/>
      <c r="I1649" s="515"/>
      <c r="J1649" s="515"/>
    </row>
    <row r="1650" spans="1:10" ht="13.8" thickBot="1">
      <c r="A1650" s="517"/>
      <c r="B1650" s="518" t="s">
        <v>11815</v>
      </c>
      <c r="C1650" s="533"/>
      <c r="D1650" s="514" t="s">
        <v>11533</v>
      </c>
      <c r="E1650" s="515"/>
      <c r="F1650" s="514"/>
      <c r="G1650" s="515" t="s">
        <v>11525</v>
      </c>
      <c r="H1650" s="514"/>
      <c r="I1650" s="515"/>
      <c r="J1650" s="515"/>
    </row>
    <row r="1651" spans="1:10" ht="13.8" thickBot="1">
      <c r="A1651" s="517"/>
      <c r="B1651" s="518" t="s">
        <v>11814</v>
      </c>
      <c r="C1651" s="533"/>
      <c r="D1651" s="514" t="s">
        <v>11533</v>
      </c>
      <c r="E1651" s="515"/>
      <c r="F1651" s="514"/>
      <c r="G1651" s="515" t="s">
        <v>11525</v>
      </c>
      <c r="H1651" s="514"/>
      <c r="I1651" s="515"/>
      <c r="J1651" s="515"/>
    </row>
    <row r="1652" spans="1:10" ht="13.8" thickBot="1">
      <c r="A1652" s="517"/>
      <c r="B1652" s="518" t="s">
        <v>11813</v>
      </c>
      <c r="C1652" s="533"/>
      <c r="D1652" s="514" t="s">
        <v>11533</v>
      </c>
      <c r="E1652" s="515"/>
      <c r="F1652" s="514"/>
      <c r="G1652" s="515" t="s">
        <v>11525</v>
      </c>
      <c r="H1652" s="514"/>
      <c r="I1652" s="515"/>
      <c r="J1652" s="515"/>
    </row>
    <row r="1653" spans="1:10" ht="13.8" thickBot="1">
      <c r="A1653" s="517"/>
      <c r="B1653" s="518" t="s">
        <v>11812</v>
      </c>
      <c r="C1653" s="533"/>
      <c r="D1653" s="514" t="s">
        <v>11533</v>
      </c>
      <c r="E1653" s="515"/>
      <c r="F1653" s="514"/>
      <c r="G1653" s="515" t="s">
        <v>11525</v>
      </c>
      <c r="H1653" s="514"/>
      <c r="I1653" s="515"/>
      <c r="J1653" s="515"/>
    </row>
    <row r="1654" spans="1:10" ht="13.8" thickBot="1">
      <c r="A1654" s="517"/>
      <c r="B1654" s="518" t="s">
        <v>11811</v>
      </c>
      <c r="C1654" s="533"/>
      <c r="D1654" s="514" t="s">
        <v>11533</v>
      </c>
      <c r="E1654" s="515"/>
      <c r="F1654" s="514"/>
      <c r="G1654" s="515" t="s">
        <v>11525</v>
      </c>
      <c r="H1654" s="514"/>
      <c r="I1654" s="515"/>
      <c r="J1654" s="515"/>
    </row>
    <row r="1655" spans="1:10" ht="13.8" thickBot="1">
      <c r="A1655" s="517"/>
      <c r="B1655" s="518" t="s">
        <v>11810</v>
      </c>
      <c r="C1655" s="533"/>
      <c r="D1655" s="514" t="s">
        <v>11533</v>
      </c>
      <c r="E1655" s="515"/>
      <c r="F1655" s="514"/>
      <c r="G1655" s="515" t="s">
        <v>11525</v>
      </c>
      <c r="H1655" s="514"/>
      <c r="I1655" s="515"/>
      <c r="J1655" s="515"/>
    </row>
    <row r="1656" spans="1:10" ht="13.8" thickBot="1">
      <c r="A1656" s="517"/>
      <c r="B1656" s="518" t="s">
        <v>11818</v>
      </c>
      <c r="C1656" s="533"/>
      <c r="D1656" s="514" t="s">
        <v>11533</v>
      </c>
      <c r="E1656" s="515"/>
      <c r="F1656" s="514"/>
      <c r="G1656" s="515" t="s">
        <v>11525</v>
      </c>
      <c r="H1656" s="514"/>
      <c r="I1656" s="515"/>
      <c r="J1656" s="515"/>
    </row>
    <row r="1657" spans="1:10" ht="13.8" thickBot="1">
      <c r="A1657" s="517"/>
      <c r="B1657" s="518" t="s">
        <v>11819</v>
      </c>
      <c r="C1657" s="533"/>
      <c r="D1657" s="514" t="s">
        <v>11533</v>
      </c>
      <c r="E1657" s="515"/>
      <c r="F1657" s="514"/>
      <c r="G1657" s="515" t="s">
        <v>11525</v>
      </c>
      <c r="H1657" s="514"/>
      <c r="I1657" s="515"/>
      <c r="J1657" s="515"/>
    </row>
    <row r="1658" spans="1:10" ht="13.8" thickBot="1">
      <c r="A1658" s="517"/>
      <c r="B1658" s="518" t="s">
        <v>11575</v>
      </c>
      <c r="C1658" s="533"/>
      <c r="D1658" s="514" t="s">
        <v>11533</v>
      </c>
      <c r="E1658" s="515"/>
      <c r="F1658" s="518" t="s">
        <v>1854</v>
      </c>
      <c r="G1658" s="515" t="s">
        <v>11525</v>
      </c>
      <c r="H1658" s="514"/>
      <c r="I1658" s="515"/>
      <c r="J1658" s="515"/>
    </row>
    <row r="1659" spans="1:10" ht="13.8" thickBot="1">
      <c r="A1659" s="517"/>
      <c r="B1659" s="518" t="s">
        <v>11571</v>
      </c>
      <c r="C1659" s="533"/>
      <c r="D1659" s="514" t="s">
        <v>11570</v>
      </c>
      <c r="E1659" s="515"/>
      <c r="F1659" s="518" t="s">
        <v>1854</v>
      </c>
      <c r="G1659" s="515" t="s">
        <v>11525</v>
      </c>
      <c r="H1659" s="514"/>
      <c r="I1659" s="515"/>
      <c r="J1659" s="515"/>
    </row>
    <row r="1660" spans="1:10" ht="13.8" thickBot="1">
      <c r="A1660" s="517"/>
      <c r="B1660" s="518" t="s">
        <v>11820</v>
      </c>
      <c r="C1660" s="533"/>
      <c r="D1660" s="514" t="s">
        <v>11652</v>
      </c>
      <c r="E1660" s="529"/>
      <c r="F1660" s="514"/>
      <c r="G1660" s="515" t="s">
        <v>11525</v>
      </c>
      <c r="H1660" s="514"/>
      <c r="I1660" s="515"/>
      <c r="J1660" s="515"/>
    </row>
    <row r="1661" spans="1:10" ht="13.8" thickBot="1">
      <c r="A1661" s="517"/>
      <c r="B1661" s="518" t="s">
        <v>11804</v>
      </c>
      <c r="C1661" s="533"/>
      <c r="D1661" s="514" t="s">
        <v>11533</v>
      </c>
      <c r="E1661" s="515"/>
      <c r="F1661" s="514"/>
      <c r="G1661" s="515" t="s">
        <v>11525</v>
      </c>
      <c r="H1661" s="514"/>
      <c r="I1661" s="522"/>
      <c r="J1661" s="522"/>
    </row>
    <row r="1662" spans="1:10" ht="13.8" thickBot="1">
      <c r="A1662" s="517"/>
      <c r="B1662" s="518" t="s">
        <v>11803</v>
      </c>
      <c r="C1662" s="533"/>
      <c r="D1662" s="514" t="s">
        <v>11533</v>
      </c>
      <c r="E1662" s="515"/>
      <c r="F1662" s="514"/>
      <c r="G1662" s="515" t="s">
        <v>11525</v>
      </c>
      <c r="H1662" s="514"/>
      <c r="I1662" s="522"/>
      <c r="J1662" s="522"/>
    </row>
    <row r="1663" spans="1:10" ht="13.8" thickBot="1">
      <c r="A1663" s="517"/>
      <c r="B1663" s="518" t="s">
        <v>11724</v>
      </c>
      <c r="C1663" s="533"/>
      <c r="D1663" s="514" t="s">
        <v>11533</v>
      </c>
      <c r="E1663" s="515"/>
      <c r="F1663" s="514"/>
      <c r="G1663" s="515" t="s">
        <v>11525</v>
      </c>
      <c r="H1663" s="514"/>
      <c r="I1663" s="515"/>
      <c r="J1663" s="515"/>
    </row>
    <row r="1664" spans="1:10" ht="13.8" thickBot="1">
      <c r="A1664" s="517"/>
      <c r="B1664" s="518" t="s">
        <v>11723</v>
      </c>
      <c r="C1664" s="533"/>
      <c r="D1664" s="514" t="s">
        <v>11533</v>
      </c>
      <c r="E1664" s="515"/>
      <c r="F1664" s="514"/>
      <c r="G1664" s="515" t="s">
        <v>11525</v>
      </c>
      <c r="H1664" s="514"/>
      <c r="I1664" s="515"/>
      <c r="J1664" s="515"/>
    </row>
    <row r="1665" spans="1:10" ht="13.8" thickBot="1">
      <c r="A1665" s="517"/>
      <c r="B1665" s="518" t="s">
        <v>11720</v>
      </c>
      <c r="C1665" s="533"/>
      <c r="D1665" s="514" t="s">
        <v>11533</v>
      </c>
      <c r="E1665" s="515"/>
      <c r="F1665" s="514"/>
      <c r="G1665" s="515" t="s">
        <v>11525</v>
      </c>
      <c r="H1665" s="514"/>
      <c r="I1665" s="515"/>
      <c r="J1665" s="515"/>
    </row>
    <row r="1666" spans="1:10" ht="13.8" thickBot="1">
      <c r="A1666" s="517"/>
      <c r="B1666" s="518" t="s">
        <v>11719</v>
      </c>
      <c r="C1666" s="533"/>
      <c r="D1666" s="514" t="s">
        <v>11533</v>
      </c>
      <c r="E1666" s="515"/>
      <c r="F1666" s="514"/>
      <c r="G1666" s="515" t="s">
        <v>11525</v>
      </c>
      <c r="H1666" s="514"/>
      <c r="I1666" s="515"/>
      <c r="J1666" s="515"/>
    </row>
    <row r="1667" spans="1:10" ht="13.8" thickBot="1">
      <c r="A1667" s="517"/>
      <c r="B1667" s="518" t="s">
        <v>11718</v>
      </c>
      <c r="C1667" s="533"/>
      <c r="D1667" s="514" t="s">
        <v>11533</v>
      </c>
      <c r="E1667" s="515"/>
      <c r="F1667" s="514"/>
      <c r="G1667" s="515" t="s">
        <v>11525</v>
      </c>
      <c r="H1667" s="514"/>
      <c r="I1667" s="515"/>
      <c r="J1667" s="515"/>
    </row>
    <row r="1668" spans="1:10" ht="13.8" thickBot="1">
      <c r="A1668" s="517"/>
      <c r="B1668" s="518" t="s">
        <v>11717</v>
      </c>
      <c r="C1668" s="533"/>
      <c r="D1668" s="514" t="s">
        <v>11533</v>
      </c>
      <c r="E1668" s="515"/>
      <c r="F1668" s="514"/>
      <c r="G1668" s="515" t="s">
        <v>11525</v>
      </c>
      <c r="H1668" s="514"/>
      <c r="I1668" s="515"/>
      <c r="J1668" s="515"/>
    </row>
    <row r="1669" spans="1:10" ht="13.8" thickBot="1">
      <c r="A1669" s="517"/>
      <c r="B1669" s="518" t="s">
        <v>11716</v>
      </c>
      <c r="C1669" s="533"/>
      <c r="D1669" s="514" t="s">
        <v>11533</v>
      </c>
      <c r="E1669" s="515"/>
      <c r="F1669" s="514"/>
      <c r="G1669" s="515" t="s">
        <v>11525</v>
      </c>
      <c r="H1669" s="514"/>
      <c r="I1669" s="515"/>
      <c r="J1669" s="515"/>
    </row>
    <row r="1670" spans="1:10" ht="13.8" thickBot="1">
      <c r="A1670" s="517"/>
      <c r="B1670" s="518" t="s">
        <v>11715</v>
      </c>
      <c r="C1670" s="533"/>
      <c r="D1670" s="514" t="s">
        <v>11533</v>
      </c>
      <c r="E1670" s="515"/>
      <c r="F1670" s="514"/>
      <c r="G1670" s="515" t="s">
        <v>11525</v>
      </c>
      <c r="H1670" s="514"/>
      <c r="I1670" s="515"/>
      <c r="J1670" s="515"/>
    </row>
    <row r="1671" spans="1:10" ht="13.8" thickBot="1">
      <c r="A1671" s="517"/>
      <c r="B1671" s="518" t="s">
        <v>11702</v>
      </c>
      <c r="C1671" s="533"/>
      <c r="D1671" s="514" t="s">
        <v>11533</v>
      </c>
      <c r="E1671" s="515"/>
      <c r="F1671" s="514"/>
      <c r="G1671" s="515" t="s">
        <v>11525</v>
      </c>
      <c r="H1671" s="514"/>
      <c r="I1671" s="515"/>
      <c r="J1671" s="515"/>
    </row>
    <row r="1672" spans="1:10" ht="13.8" thickBot="1">
      <c r="A1672" s="517"/>
      <c r="B1672" s="518" t="s">
        <v>11696</v>
      </c>
      <c r="C1672" s="533"/>
      <c r="D1672" s="514" t="s">
        <v>11533</v>
      </c>
      <c r="E1672" s="515"/>
      <c r="F1672" s="514"/>
      <c r="G1672" s="515" t="s">
        <v>11525</v>
      </c>
      <c r="H1672" s="514"/>
      <c r="I1672" s="515"/>
      <c r="J1672" s="515"/>
    </row>
    <row r="1673" spans="1:10" ht="13.8" thickBot="1">
      <c r="A1673" s="517"/>
      <c r="B1673" s="518" t="s">
        <v>11695</v>
      </c>
      <c r="C1673" s="533"/>
      <c r="D1673" s="514" t="s">
        <v>11533</v>
      </c>
      <c r="E1673" s="515"/>
      <c r="F1673" s="514"/>
      <c r="G1673" s="515" t="s">
        <v>11525</v>
      </c>
      <c r="H1673" s="514"/>
      <c r="I1673" s="515"/>
      <c r="J1673" s="515"/>
    </row>
    <row r="1674" spans="1:10" ht="13.8" thickBot="1">
      <c r="A1674" s="517"/>
      <c r="B1674" s="518" t="s">
        <v>11694</v>
      </c>
      <c r="C1674" s="533"/>
      <c r="D1674" s="514" t="s">
        <v>11533</v>
      </c>
      <c r="E1674" s="515"/>
      <c r="F1674" s="514"/>
      <c r="G1674" s="515" t="s">
        <v>11525</v>
      </c>
      <c r="H1674" s="514"/>
      <c r="I1674" s="515"/>
      <c r="J1674" s="515"/>
    </row>
    <row r="1675" spans="1:10" ht="13.8" thickBot="1">
      <c r="A1675" s="517"/>
      <c r="B1675" s="518" t="s">
        <v>11693</v>
      </c>
      <c r="C1675" s="533"/>
      <c r="D1675" s="514" t="s">
        <v>11533</v>
      </c>
      <c r="E1675" s="515"/>
      <c r="F1675" s="514"/>
      <c r="G1675" s="515" t="s">
        <v>11525</v>
      </c>
      <c r="H1675" s="514"/>
      <c r="I1675" s="515"/>
      <c r="J1675" s="515"/>
    </row>
    <row r="1676" spans="1:10" ht="13.8" thickBot="1">
      <c r="A1676" s="517"/>
      <c r="B1676" s="518" t="s">
        <v>11692</v>
      </c>
      <c r="C1676" s="533"/>
      <c r="D1676" s="514" t="s">
        <v>11533</v>
      </c>
      <c r="E1676" s="515"/>
      <c r="F1676" s="514"/>
      <c r="G1676" s="515" t="s">
        <v>11525</v>
      </c>
      <c r="H1676" s="514"/>
      <c r="I1676" s="515"/>
      <c r="J1676" s="515"/>
    </row>
    <row r="1677" spans="1:10" ht="13.8" thickBot="1">
      <c r="A1677" s="517"/>
      <c r="B1677" s="518" t="s">
        <v>11691</v>
      </c>
      <c r="C1677" s="533"/>
      <c r="D1677" s="514" t="s">
        <v>11533</v>
      </c>
      <c r="E1677" s="515"/>
      <c r="F1677" s="514"/>
      <c r="G1677" s="515" t="s">
        <v>11525</v>
      </c>
      <c r="H1677" s="514"/>
      <c r="I1677" s="515"/>
      <c r="J1677" s="515"/>
    </row>
    <row r="1678" spans="1:10" ht="13.8" thickBot="1">
      <c r="A1678" s="517"/>
      <c r="B1678" s="518" t="s">
        <v>11690</v>
      </c>
      <c r="C1678" s="533"/>
      <c r="D1678" s="514" t="s">
        <v>11533</v>
      </c>
      <c r="E1678" s="515"/>
      <c r="F1678" s="514"/>
      <c r="G1678" s="515" t="s">
        <v>11525</v>
      </c>
      <c r="H1678" s="514"/>
      <c r="I1678" s="515"/>
      <c r="J1678" s="515"/>
    </row>
    <row r="1679" spans="1:10" ht="13.8" thickBot="1">
      <c r="A1679" s="517"/>
      <c r="B1679" s="518" t="s">
        <v>11689</v>
      </c>
      <c r="C1679" s="533"/>
      <c r="D1679" s="514" t="s">
        <v>11533</v>
      </c>
      <c r="E1679" s="515"/>
      <c r="F1679" s="514"/>
      <c r="G1679" s="515" t="s">
        <v>11525</v>
      </c>
      <c r="H1679" s="514"/>
      <c r="I1679" s="515"/>
      <c r="J1679" s="515"/>
    </row>
    <row r="1680" spans="1:10" ht="13.8" thickBot="1">
      <c r="A1680" s="517"/>
      <c r="B1680" s="518" t="s">
        <v>11688</v>
      </c>
      <c r="C1680" s="533"/>
      <c r="D1680" s="514" t="s">
        <v>11533</v>
      </c>
      <c r="E1680" s="515"/>
      <c r="F1680" s="514"/>
      <c r="G1680" s="515" t="s">
        <v>11525</v>
      </c>
      <c r="H1680" s="514"/>
      <c r="I1680" s="515"/>
      <c r="J1680" s="515"/>
    </row>
    <row r="1681" spans="1:10" ht="13.8" thickBot="1">
      <c r="A1681" s="517"/>
      <c r="B1681" s="518" t="s">
        <v>11687</v>
      </c>
      <c r="C1681" s="533"/>
      <c r="D1681" s="514" t="s">
        <v>11533</v>
      </c>
      <c r="E1681" s="515"/>
      <c r="F1681" s="514"/>
      <c r="G1681" s="515" t="s">
        <v>11525</v>
      </c>
      <c r="H1681" s="514"/>
      <c r="I1681" s="515"/>
      <c r="J1681" s="515"/>
    </row>
    <row r="1682" spans="1:10" ht="13.8" thickBot="1">
      <c r="A1682" s="517"/>
      <c r="B1682" s="518" t="s">
        <v>11686</v>
      </c>
      <c r="C1682" s="533"/>
      <c r="D1682" s="514" t="s">
        <v>11533</v>
      </c>
      <c r="E1682" s="515"/>
      <c r="F1682" s="514"/>
      <c r="G1682" s="515" t="s">
        <v>11525</v>
      </c>
      <c r="H1682" s="514"/>
      <c r="I1682" s="515"/>
      <c r="J1682" s="515"/>
    </row>
    <row r="1683" spans="1:10" ht="13.8" thickBot="1">
      <c r="A1683" s="517"/>
      <c r="B1683" s="518" t="s">
        <v>11685</v>
      </c>
      <c r="C1683" s="533"/>
      <c r="D1683" s="514" t="s">
        <v>11533</v>
      </c>
      <c r="E1683" s="515"/>
      <c r="F1683" s="514"/>
      <c r="G1683" s="515" t="s">
        <v>11525</v>
      </c>
      <c r="H1683" s="514"/>
      <c r="I1683" s="515"/>
      <c r="J1683" s="515"/>
    </row>
    <row r="1684" spans="1:10" ht="13.8" thickBot="1">
      <c r="A1684" s="517"/>
      <c r="B1684" s="518" t="s">
        <v>11684</v>
      </c>
      <c r="C1684" s="533"/>
      <c r="D1684" s="514" t="s">
        <v>11533</v>
      </c>
      <c r="E1684" s="515"/>
      <c r="F1684" s="514"/>
      <c r="G1684" s="515" t="s">
        <v>11525</v>
      </c>
      <c r="H1684" s="514"/>
      <c r="I1684" s="515"/>
      <c r="J1684" s="515"/>
    </row>
    <row r="1685" spans="1:10" ht="13.8" thickBot="1">
      <c r="A1685" s="517"/>
      <c r="B1685" s="518" t="s">
        <v>11683</v>
      </c>
      <c r="C1685" s="533"/>
      <c r="D1685" s="514" t="s">
        <v>11533</v>
      </c>
      <c r="E1685" s="515"/>
      <c r="F1685" s="514"/>
      <c r="G1685" s="515" t="s">
        <v>11525</v>
      </c>
      <c r="H1685" s="514"/>
      <c r="I1685" s="515"/>
      <c r="J1685" s="515"/>
    </row>
    <row r="1686" spans="1:10" ht="13.8" thickBot="1">
      <c r="A1686" s="517"/>
      <c r="B1686" s="518" t="s">
        <v>11682</v>
      </c>
      <c r="C1686" s="533"/>
      <c r="D1686" s="514" t="s">
        <v>11533</v>
      </c>
      <c r="E1686" s="515"/>
      <c r="F1686" s="514"/>
      <c r="G1686" s="515" t="s">
        <v>11525</v>
      </c>
      <c r="H1686" s="514"/>
      <c r="I1686" s="515"/>
      <c r="J1686" s="515"/>
    </row>
    <row r="1687" spans="1:10" ht="13.8" thickBot="1">
      <c r="A1687" s="517"/>
      <c r="B1687" s="518" t="s">
        <v>11681</v>
      </c>
      <c r="C1687" s="533"/>
      <c r="D1687" s="514" t="s">
        <v>11533</v>
      </c>
      <c r="E1687" s="515"/>
      <c r="F1687" s="514"/>
      <c r="G1687" s="515" t="s">
        <v>11525</v>
      </c>
      <c r="H1687" s="514"/>
      <c r="I1687" s="515"/>
      <c r="J1687" s="515"/>
    </row>
    <row r="1688" spans="1:10" ht="13.8" thickBot="1">
      <c r="A1688" s="517"/>
      <c r="B1688" s="518" t="s">
        <v>11680</v>
      </c>
      <c r="C1688" s="533"/>
      <c r="D1688" s="514" t="s">
        <v>11533</v>
      </c>
      <c r="E1688" s="515"/>
      <c r="F1688" s="514"/>
      <c r="G1688" s="515" t="s">
        <v>11525</v>
      </c>
      <c r="H1688" s="514"/>
      <c r="I1688" s="515"/>
      <c r="J1688" s="515"/>
    </row>
    <row r="1689" spans="1:10" ht="13.8" thickBot="1">
      <c r="A1689" s="517"/>
      <c r="B1689" s="518" t="s">
        <v>11677</v>
      </c>
      <c r="C1689" s="533"/>
      <c r="D1689" s="514" t="s">
        <v>11533</v>
      </c>
      <c r="E1689" s="515"/>
      <c r="F1689" s="514"/>
      <c r="G1689" s="515" t="s">
        <v>11525</v>
      </c>
      <c r="H1689" s="514"/>
      <c r="I1689" s="515"/>
      <c r="J1689" s="515"/>
    </row>
    <row r="1690" spans="1:10" ht="13.8" thickBot="1">
      <c r="A1690" s="517"/>
      <c r="B1690" s="518" t="s">
        <v>11670</v>
      </c>
      <c r="C1690" s="533"/>
      <c r="D1690" s="514" t="s">
        <v>11533</v>
      </c>
      <c r="E1690" s="515"/>
      <c r="F1690" s="514"/>
      <c r="G1690" s="515" t="s">
        <v>11525</v>
      </c>
      <c r="H1690" s="514"/>
      <c r="I1690" s="515"/>
      <c r="J1690" s="515"/>
    </row>
    <row r="1691" spans="1:10" ht="13.8" thickBot="1">
      <c r="A1691" s="517"/>
      <c r="B1691" s="518" t="s">
        <v>11669</v>
      </c>
      <c r="C1691" s="533"/>
      <c r="D1691" s="514" t="s">
        <v>11533</v>
      </c>
      <c r="E1691" s="515"/>
      <c r="F1691" s="514"/>
      <c r="G1691" s="515" t="s">
        <v>11525</v>
      </c>
      <c r="H1691" s="514"/>
      <c r="I1691" s="515"/>
      <c r="J1691" s="515"/>
    </row>
    <row r="1692" spans="1:10" ht="13.8" thickBot="1">
      <c r="A1692" s="517"/>
      <c r="B1692" s="518" t="s">
        <v>11668</v>
      </c>
      <c r="C1692" s="533"/>
      <c r="D1692" s="514" t="s">
        <v>11533</v>
      </c>
      <c r="E1692" s="515"/>
      <c r="F1692" s="514"/>
      <c r="G1692" s="515" t="s">
        <v>11525</v>
      </c>
      <c r="H1692" s="514"/>
      <c r="I1692" s="515"/>
      <c r="J1692" s="515"/>
    </row>
    <row r="1693" spans="1:10" ht="13.8" thickBot="1">
      <c r="A1693" s="517"/>
      <c r="B1693" s="518" t="s">
        <v>11665</v>
      </c>
      <c r="C1693" s="533"/>
      <c r="D1693" s="514" t="s">
        <v>11664</v>
      </c>
      <c r="E1693" s="515"/>
      <c r="F1693" s="514"/>
      <c r="G1693" s="515" t="s">
        <v>11525</v>
      </c>
      <c r="H1693" s="514"/>
      <c r="I1693" s="522"/>
      <c r="J1693" s="522"/>
    </row>
    <row r="1694" spans="1:10" ht="13.8" thickBot="1">
      <c r="A1694" s="517"/>
      <c r="B1694" s="518" t="s">
        <v>11662</v>
      </c>
      <c r="C1694" s="533"/>
      <c r="D1694" s="514" t="s">
        <v>11533</v>
      </c>
      <c r="E1694" s="515"/>
      <c r="F1694" s="514"/>
      <c r="G1694" s="515" t="s">
        <v>11525</v>
      </c>
      <c r="H1694" s="514"/>
      <c r="I1694" s="515"/>
      <c r="J1694" s="515"/>
    </row>
    <row r="1695" spans="1:10" ht="13.8" thickBot="1">
      <c r="A1695" s="517"/>
      <c r="B1695" s="518" t="s">
        <v>11661</v>
      </c>
      <c r="C1695" s="533"/>
      <c r="D1695" s="514" t="s">
        <v>11612</v>
      </c>
      <c r="E1695" s="515"/>
      <c r="F1695" s="514"/>
      <c r="G1695" s="515" t="s">
        <v>11525</v>
      </c>
      <c r="H1695" s="514"/>
      <c r="I1695" s="515"/>
      <c r="J1695" s="515"/>
    </row>
    <row r="1696" spans="1:10" ht="13.8" thickBot="1">
      <c r="A1696" s="517"/>
      <c r="B1696" s="518" t="s">
        <v>11660</v>
      </c>
      <c r="C1696" s="533"/>
      <c r="D1696" s="514" t="s">
        <v>11612</v>
      </c>
      <c r="E1696" s="515"/>
      <c r="F1696" s="514"/>
      <c r="G1696" s="515" t="s">
        <v>11525</v>
      </c>
      <c r="H1696" s="514"/>
      <c r="I1696" s="515"/>
      <c r="J1696" s="515"/>
    </row>
    <row r="1697" spans="1:10" ht="13.8" thickBot="1">
      <c r="A1697" s="517"/>
      <c r="B1697" s="518" t="s">
        <v>11659</v>
      </c>
      <c r="C1697" s="533"/>
      <c r="D1697" s="514" t="s">
        <v>11612</v>
      </c>
      <c r="E1697" s="515"/>
      <c r="F1697" s="514"/>
      <c r="G1697" s="515" t="s">
        <v>11525</v>
      </c>
      <c r="H1697" s="514"/>
      <c r="I1697" s="515"/>
      <c r="J1697" s="515"/>
    </row>
    <row r="1698" spans="1:10" ht="13.8" thickBot="1">
      <c r="A1698" s="517"/>
      <c r="B1698" s="518" t="s">
        <v>11658</v>
      </c>
      <c r="C1698" s="533"/>
      <c r="D1698" s="514" t="s">
        <v>11612</v>
      </c>
      <c r="E1698" s="515"/>
      <c r="F1698" s="514"/>
      <c r="G1698" s="515" t="s">
        <v>11525</v>
      </c>
      <c r="H1698" s="514"/>
      <c r="I1698" s="515"/>
      <c r="J1698" s="515"/>
    </row>
    <row r="1699" spans="1:10" ht="13.8" thickBot="1">
      <c r="A1699" s="517"/>
      <c r="B1699" s="518" t="s">
        <v>11657</v>
      </c>
      <c r="C1699" s="533"/>
      <c r="D1699" s="514" t="s">
        <v>11533</v>
      </c>
      <c r="E1699" s="515"/>
      <c r="F1699" s="514"/>
      <c r="G1699" s="515" t="s">
        <v>11525</v>
      </c>
      <c r="H1699" s="514"/>
      <c r="I1699" s="515"/>
      <c r="J1699" s="515"/>
    </row>
    <row r="1700" spans="1:10" ht="13.8" thickBot="1">
      <c r="A1700" s="517"/>
      <c r="B1700" s="518" t="s">
        <v>11656</v>
      </c>
      <c r="C1700" s="533"/>
      <c r="D1700" s="520" t="s">
        <v>11655</v>
      </c>
      <c r="E1700" s="521"/>
      <c r="F1700" s="514"/>
      <c r="G1700" s="515" t="s">
        <v>11525</v>
      </c>
      <c r="H1700" s="514"/>
      <c r="I1700" s="522"/>
      <c r="J1700" s="522"/>
    </row>
    <row r="1701" spans="1:10" ht="13.8" thickBot="1">
      <c r="A1701" s="517"/>
      <c r="B1701" s="518" t="s">
        <v>11653</v>
      </c>
      <c r="C1701" s="533"/>
      <c r="D1701" s="520" t="s">
        <v>11652</v>
      </c>
      <c r="E1701" s="521"/>
      <c r="F1701" s="514"/>
      <c r="G1701" s="515" t="s">
        <v>11525</v>
      </c>
      <c r="H1701" s="514"/>
      <c r="I1701" s="528"/>
      <c r="J1701" s="528"/>
    </row>
    <row r="1702" spans="1:10" ht="13.8" thickBot="1">
      <c r="A1702" s="517"/>
      <c r="B1702" s="518" t="s">
        <v>11606</v>
      </c>
      <c r="C1702" s="533"/>
      <c r="D1702" s="514" t="s">
        <v>11533</v>
      </c>
      <c r="E1702" s="515"/>
      <c r="F1702" s="514"/>
      <c r="G1702" s="515" t="s">
        <v>11525</v>
      </c>
      <c r="H1702" s="514"/>
      <c r="I1702" s="515"/>
      <c r="J1702" s="515"/>
    </row>
    <row r="1703" spans="1:10" ht="13.8" thickBot="1">
      <c r="A1703" s="517"/>
      <c r="B1703" s="518" t="s">
        <v>11605</v>
      </c>
      <c r="C1703" s="533"/>
      <c r="D1703" s="514" t="s">
        <v>11533</v>
      </c>
      <c r="E1703" s="515"/>
      <c r="F1703" s="514"/>
      <c r="G1703" s="515" t="s">
        <v>11525</v>
      </c>
      <c r="H1703" s="514"/>
      <c r="I1703" s="515"/>
      <c r="J1703" s="515"/>
    </row>
    <row r="1704" spans="1:10" ht="13.8" thickBot="1">
      <c r="A1704" s="517"/>
      <c r="B1704" s="518" t="s">
        <v>11604</v>
      </c>
      <c r="C1704" s="533"/>
      <c r="D1704" s="514" t="s">
        <v>11533</v>
      </c>
      <c r="E1704" s="515"/>
      <c r="F1704" s="514"/>
      <c r="G1704" s="515" t="s">
        <v>11525</v>
      </c>
      <c r="H1704" s="514"/>
      <c r="I1704" s="515"/>
      <c r="J1704" s="515"/>
    </row>
    <row r="1705" spans="1:10" ht="13.8" thickBot="1">
      <c r="A1705" s="517"/>
      <c r="B1705" s="518" t="s">
        <v>11603</v>
      </c>
      <c r="C1705" s="533"/>
      <c r="D1705" s="514" t="s">
        <v>11533</v>
      </c>
      <c r="E1705" s="515"/>
      <c r="F1705" s="514"/>
      <c r="G1705" s="515" t="s">
        <v>11525</v>
      </c>
      <c r="H1705" s="514"/>
      <c r="I1705" s="515"/>
      <c r="J1705" s="515"/>
    </row>
    <row r="1706" spans="1:10" ht="13.8" thickBot="1">
      <c r="A1706" s="517"/>
      <c r="B1706" s="518" t="s">
        <v>11599</v>
      </c>
      <c r="C1706" s="533"/>
      <c r="D1706" s="514" t="s">
        <v>11533</v>
      </c>
      <c r="E1706" s="515"/>
      <c r="F1706" s="514"/>
      <c r="G1706" s="515" t="s">
        <v>11525</v>
      </c>
      <c r="H1706" s="514"/>
      <c r="I1706" s="515"/>
      <c r="J1706" s="515"/>
    </row>
    <row r="1707" spans="1:10" ht="13.8" thickBot="1">
      <c r="A1707" s="517"/>
      <c r="B1707" s="518" t="s">
        <v>11598</v>
      </c>
      <c r="C1707" s="533"/>
      <c r="D1707" s="514" t="s">
        <v>11533</v>
      </c>
      <c r="E1707" s="515"/>
      <c r="F1707" s="514"/>
      <c r="G1707" s="515" t="s">
        <v>11525</v>
      </c>
      <c r="H1707" s="514"/>
      <c r="I1707" s="515"/>
      <c r="J1707" s="515"/>
    </row>
    <row r="1708" spans="1:10" ht="13.8" thickBot="1">
      <c r="A1708" s="517"/>
      <c r="B1708" s="518" t="s">
        <v>11597</v>
      </c>
      <c r="C1708" s="533"/>
      <c r="D1708" s="514" t="s">
        <v>11533</v>
      </c>
      <c r="E1708" s="515"/>
      <c r="F1708" s="514"/>
      <c r="G1708" s="515" t="s">
        <v>11525</v>
      </c>
      <c r="H1708" s="514"/>
      <c r="I1708" s="515"/>
      <c r="J1708" s="515"/>
    </row>
    <row r="1709" spans="1:10" ht="13.8" thickBot="1">
      <c r="A1709" s="517"/>
      <c r="B1709" s="518" t="s">
        <v>11596</v>
      </c>
      <c r="C1709" s="533"/>
      <c r="D1709" s="514" t="s">
        <v>11533</v>
      </c>
      <c r="E1709" s="515"/>
      <c r="F1709" s="514"/>
      <c r="G1709" s="515" t="s">
        <v>11525</v>
      </c>
      <c r="H1709" s="514"/>
      <c r="I1709" s="515"/>
      <c r="J1709" s="515"/>
    </row>
    <row r="1710" spans="1:10" ht="13.8" thickBot="1">
      <c r="A1710" s="517"/>
      <c r="B1710" s="518" t="s">
        <v>11595</v>
      </c>
      <c r="C1710" s="533"/>
      <c r="D1710" s="514" t="s">
        <v>11533</v>
      </c>
      <c r="E1710" s="515"/>
      <c r="F1710" s="514"/>
      <c r="G1710" s="515" t="s">
        <v>11525</v>
      </c>
      <c r="H1710" s="514"/>
      <c r="I1710" s="515"/>
      <c r="J1710" s="515"/>
    </row>
    <row r="1711" spans="1:10" ht="13.8" thickBot="1">
      <c r="A1711" s="517"/>
      <c r="B1711" s="518" t="s">
        <v>11594</v>
      </c>
      <c r="C1711" s="533"/>
      <c r="D1711" s="514" t="s">
        <v>11533</v>
      </c>
      <c r="E1711" s="515"/>
      <c r="F1711" s="514"/>
      <c r="G1711" s="515" t="s">
        <v>11525</v>
      </c>
      <c r="H1711" s="514"/>
      <c r="I1711" s="515"/>
      <c r="J1711" s="515"/>
    </row>
    <row r="1712" spans="1:10" ht="13.8" thickBot="1">
      <c r="A1712" s="517"/>
      <c r="B1712" s="518" t="s">
        <v>11593</v>
      </c>
      <c r="C1712" s="533"/>
      <c r="D1712" s="514" t="s">
        <v>11533</v>
      </c>
      <c r="E1712" s="515"/>
      <c r="F1712" s="514"/>
      <c r="G1712" s="515" t="s">
        <v>11525</v>
      </c>
      <c r="H1712" s="514"/>
      <c r="I1712" s="515"/>
      <c r="J1712" s="515"/>
    </row>
    <row r="1713" spans="1:10" ht="13.8" thickBot="1">
      <c r="A1713" s="517"/>
      <c r="B1713" s="518" t="s">
        <v>11592</v>
      </c>
      <c r="C1713" s="533"/>
      <c r="D1713" s="514" t="s">
        <v>11533</v>
      </c>
      <c r="E1713" s="515"/>
      <c r="F1713" s="514"/>
      <c r="G1713" s="515" t="s">
        <v>11525</v>
      </c>
      <c r="H1713" s="514"/>
      <c r="I1713" s="515"/>
      <c r="J1713" s="515"/>
    </row>
    <row r="1714" spans="1:10" ht="13.8" thickBot="1">
      <c r="A1714" s="517"/>
      <c r="B1714" s="518" t="s">
        <v>11591</v>
      </c>
      <c r="C1714" s="533"/>
      <c r="D1714" s="514" t="s">
        <v>11533</v>
      </c>
      <c r="E1714" s="515"/>
      <c r="F1714" s="514"/>
      <c r="G1714" s="515" t="s">
        <v>11525</v>
      </c>
      <c r="H1714" s="514"/>
      <c r="I1714" s="515"/>
      <c r="J1714" s="515"/>
    </row>
    <row r="1715" spans="1:10" ht="13.8" thickBot="1">
      <c r="A1715" s="517"/>
      <c r="B1715" s="518" t="s">
        <v>11590</v>
      </c>
      <c r="C1715" s="533"/>
      <c r="D1715" s="514" t="s">
        <v>11533</v>
      </c>
      <c r="E1715" s="515"/>
      <c r="F1715" s="514"/>
      <c r="G1715" s="515" t="s">
        <v>11525</v>
      </c>
      <c r="H1715" s="514"/>
      <c r="I1715" s="515"/>
      <c r="J1715" s="515"/>
    </row>
    <row r="1716" spans="1:10" ht="13.8" thickBot="1">
      <c r="A1716" s="517"/>
      <c r="B1716" s="518" t="s">
        <v>11589</v>
      </c>
      <c r="C1716" s="533"/>
      <c r="D1716" s="514" t="s">
        <v>11533</v>
      </c>
      <c r="E1716" s="515"/>
      <c r="F1716" s="514"/>
      <c r="G1716" s="515" t="s">
        <v>11525</v>
      </c>
      <c r="H1716" s="514"/>
      <c r="I1716" s="515"/>
      <c r="J1716" s="515"/>
    </row>
    <row r="1717" spans="1:10" ht="13.8" thickBot="1">
      <c r="A1717" s="517"/>
      <c r="B1717" s="518" t="s">
        <v>11588</v>
      </c>
      <c r="C1717" s="533"/>
      <c r="D1717" s="514" t="s">
        <v>11533</v>
      </c>
      <c r="E1717" s="515"/>
      <c r="F1717" s="514"/>
      <c r="G1717" s="515" t="s">
        <v>11525</v>
      </c>
      <c r="H1717" s="514"/>
      <c r="I1717" s="515"/>
      <c r="J1717" s="515"/>
    </row>
    <row r="1718" spans="1:10" ht="13.8" thickBot="1">
      <c r="A1718" s="517"/>
      <c r="B1718" s="518" t="s">
        <v>11587</v>
      </c>
      <c r="C1718" s="533"/>
      <c r="D1718" s="514" t="s">
        <v>11533</v>
      </c>
      <c r="E1718" s="515"/>
      <c r="F1718" s="514"/>
      <c r="G1718" s="515" t="s">
        <v>11525</v>
      </c>
      <c r="H1718" s="514"/>
      <c r="I1718" s="515"/>
      <c r="J1718" s="515"/>
    </row>
    <row r="1719" spans="1:10" ht="13.8" thickBot="1">
      <c r="A1719" s="517"/>
      <c r="B1719" s="518" t="s">
        <v>11586</v>
      </c>
      <c r="C1719" s="533"/>
      <c r="D1719" s="514" t="s">
        <v>11533</v>
      </c>
      <c r="E1719" s="515"/>
      <c r="F1719" s="514"/>
      <c r="G1719" s="515" t="s">
        <v>11525</v>
      </c>
      <c r="H1719" s="514"/>
      <c r="I1719" s="515"/>
      <c r="J1719" s="515"/>
    </row>
    <row r="1720" spans="1:10" ht="13.8" thickBot="1">
      <c r="A1720" s="517"/>
      <c r="B1720" s="518" t="s">
        <v>11585</v>
      </c>
      <c r="C1720" s="533"/>
      <c r="D1720" s="514" t="s">
        <v>11533</v>
      </c>
      <c r="E1720" s="515"/>
      <c r="F1720" s="514"/>
      <c r="G1720" s="515" t="s">
        <v>11525</v>
      </c>
      <c r="H1720" s="514"/>
      <c r="I1720" s="515"/>
      <c r="J1720" s="515"/>
    </row>
    <row r="1721" spans="1:10" ht="13.8" thickBot="1">
      <c r="A1721" s="517"/>
      <c r="B1721" s="518" t="s">
        <v>11584</v>
      </c>
      <c r="C1721" s="533"/>
      <c r="D1721" s="514" t="s">
        <v>11533</v>
      </c>
      <c r="E1721" s="515"/>
      <c r="F1721" s="514"/>
      <c r="G1721" s="515" t="s">
        <v>11525</v>
      </c>
      <c r="H1721" s="514"/>
      <c r="I1721" s="515"/>
      <c r="J1721" s="515"/>
    </row>
    <row r="1722" spans="1:10" ht="13.8" thickBot="1">
      <c r="A1722" s="517"/>
      <c r="B1722" s="518" t="s">
        <v>11583</v>
      </c>
      <c r="C1722" s="533"/>
      <c r="D1722" s="514" t="s">
        <v>11533</v>
      </c>
      <c r="E1722" s="515"/>
      <c r="F1722" s="514"/>
      <c r="G1722" s="515" t="s">
        <v>11525</v>
      </c>
      <c r="H1722" s="514"/>
      <c r="I1722" s="515"/>
      <c r="J1722" s="515"/>
    </row>
    <row r="1723" spans="1:10" ht="13.8" thickBot="1">
      <c r="A1723" s="517"/>
      <c r="B1723" s="518" t="s">
        <v>11582</v>
      </c>
      <c r="C1723" s="533"/>
      <c r="D1723" s="514" t="s">
        <v>11533</v>
      </c>
      <c r="E1723" s="515"/>
      <c r="F1723" s="514"/>
      <c r="G1723" s="515" t="s">
        <v>11525</v>
      </c>
      <c r="H1723" s="514"/>
      <c r="I1723" s="515"/>
      <c r="J1723" s="515"/>
    </row>
    <row r="1724" spans="1:10" ht="13.8" thickBot="1">
      <c r="A1724" s="517"/>
      <c r="B1724" s="518" t="s">
        <v>11581</v>
      </c>
      <c r="C1724" s="533"/>
      <c r="D1724" s="514" t="s">
        <v>11533</v>
      </c>
      <c r="E1724" s="515"/>
      <c r="F1724" s="514"/>
      <c r="G1724" s="515" t="s">
        <v>11525</v>
      </c>
      <c r="H1724" s="514"/>
      <c r="I1724" s="515"/>
      <c r="J1724" s="515"/>
    </row>
    <row r="1725" spans="1:10" ht="13.8" thickBot="1">
      <c r="A1725" s="517"/>
      <c r="B1725" s="518" t="s">
        <v>11580</v>
      </c>
      <c r="C1725" s="533"/>
      <c r="D1725" s="514" t="s">
        <v>11533</v>
      </c>
      <c r="E1725" s="515"/>
      <c r="F1725" s="514"/>
      <c r="G1725" s="515" t="s">
        <v>11525</v>
      </c>
      <c r="H1725" s="514"/>
      <c r="I1725" s="515"/>
      <c r="J1725" s="515"/>
    </row>
    <row r="1726" spans="1:10" ht="13.8" thickBot="1">
      <c r="A1726" s="517"/>
      <c r="B1726" s="518" t="s">
        <v>11579</v>
      </c>
      <c r="C1726" s="533"/>
      <c r="D1726" s="514" t="s">
        <v>11533</v>
      </c>
      <c r="E1726" s="515"/>
      <c r="F1726" s="514"/>
      <c r="G1726" s="515" t="s">
        <v>11525</v>
      </c>
      <c r="H1726" s="514"/>
      <c r="I1726" s="515"/>
      <c r="J1726" s="515"/>
    </row>
    <row r="1727" spans="1:10" ht="13.8" thickBot="1">
      <c r="A1727" s="517"/>
      <c r="B1727" s="518" t="s">
        <v>11562</v>
      </c>
      <c r="C1727" s="533"/>
      <c r="D1727" s="514" t="s">
        <v>11533</v>
      </c>
      <c r="E1727" s="515"/>
      <c r="F1727" s="514"/>
      <c r="G1727" s="515" t="s">
        <v>11525</v>
      </c>
      <c r="H1727" s="514"/>
      <c r="I1727" s="515"/>
      <c r="J1727" s="515"/>
    </row>
    <row r="1728" spans="1:10" ht="13.8" thickBot="1">
      <c r="A1728" s="517"/>
      <c r="B1728" s="518" t="s">
        <v>11559</v>
      </c>
      <c r="C1728" s="533"/>
      <c r="D1728" s="514" t="s">
        <v>11533</v>
      </c>
      <c r="E1728" s="515"/>
      <c r="F1728" s="514"/>
      <c r="G1728" s="515" t="s">
        <v>11525</v>
      </c>
      <c r="H1728" s="514"/>
      <c r="I1728" s="515"/>
      <c r="J1728" s="515"/>
    </row>
    <row r="1729" spans="1:10" ht="13.8" thickBot="1">
      <c r="A1729" s="517"/>
      <c r="B1729" s="518" t="s">
        <v>11558</v>
      </c>
      <c r="C1729" s="533"/>
      <c r="D1729" s="514" t="s">
        <v>11533</v>
      </c>
      <c r="E1729" s="515"/>
      <c r="F1729" s="514"/>
      <c r="G1729" s="515" t="s">
        <v>11525</v>
      </c>
      <c r="H1729" s="514"/>
      <c r="I1729" s="515"/>
      <c r="J1729" s="515"/>
    </row>
    <row r="1730" spans="1:10" ht="13.8" thickBot="1">
      <c r="A1730" s="517"/>
      <c r="B1730" s="518" t="s">
        <v>11557</v>
      </c>
      <c r="C1730" s="533"/>
      <c r="D1730" s="514" t="s">
        <v>11533</v>
      </c>
      <c r="E1730" s="515"/>
      <c r="F1730" s="514"/>
      <c r="G1730" s="515" t="s">
        <v>11525</v>
      </c>
      <c r="H1730" s="514"/>
      <c r="I1730" s="515"/>
      <c r="J1730" s="515"/>
    </row>
    <row r="1731" spans="1:10" ht="13.8" thickBot="1">
      <c r="A1731" s="517"/>
      <c r="B1731" s="518" t="s">
        <v>11556</v>
      </c>
      <c r="C1731" s="533"/>
      <c r="D1731" s="514" t="s">
        <v>11533</v>
      </c>
      <c r="E1731" s="515"/>
      <c r="F1731" s="514"/>
      <c r="G1731" s="515" t="s">
        <v>11525</v>
      </c>
      <c r="H1731" s="514"/>
      <c r="I1731" s="515"/>
      <c r="J1731" s="515"/>
    </row>
    <row r="1732" spans="1:10" ht="13.8" thickBot="1">
      <c r="A1732" s="517"/>
      <c r="B1732" s="518" t="s">
        <v>11555</v>
      </c>
      <c r="C1732" s="533"/>
      <c r="D1732" s="514" t="s">
        <v>11533</v>
      </c>
      <c r="E1732" s="515"/>
      <c r="F1732" s="514"/>
      <c r="G1732" s="515" t="s">
        <v>11525</v>
      </c>
      <c r="H1732" s="514"/>
      <c r="I1732" s="515"/>
      <c r="J1732" s="515"/>
    </row>
    <row r="1733" spans="1:10" ht="13.8" thickBot="1">
      <c r="A1733" s="517"/>
      <c r="B1733" s="518" t="s">
        <v>11554</v>
      </c>
      <c r="C1733" s="533"/>
      <c r="D1733" s="514" t="s">
        <v>11533</v>
      </c>
      <c r="E1733" s="515"/>
      <c r="F1733" s="514"/>
      <c r="G1733" s="515" t="s">
        <v>11525</v>
      </c>
      <c r="H1733" s="514"/>
      <c r="I1733" s="515"/>
      <c r="J1733" s="515"/>
    </row>
    <row r="1734" spans="1:10" ht="13.8" thickBot="1">
      <c r="A1734" s="517"/>
      <c r="B1734" s="518" t="s">
        <v>11553</v>
      </c>
      <c r="C1734" s="533"/>
      <c r="D1734" s="514" t="s">
        <v>11533</v>
      </c>
      <c r="E1734" s="515"/>
      <c r="F1734" s="514"/>
      <c r="G1734" s="515" t="s">
        <v>11525</v>
      </c>
      <c r="H1734" s="514"/>
      <c r="I1734" s="515"/>
      <c r="J1734" s="515"/>
    </row>
    <row r="1735" spans="1:10" ht="13.8" thickBot="1">
      <c r="A1735" s="517"/>
      <c r="B1735" s="518" t="s">
        <v>11552</v>
      </c>
      <c r="C1735" s="533"/>
      <c r="D1735" s="514" t="s">
        <v>11533</v>
      </c>
      <c r="E1735" s="515"/>
      <c r="F1735" s="514"/>
      <c r="G1735" s="515" t="s">
        <v>11525</v>
      </c>
      <c r="H1735" s="514"/>
      <c r="I1735" s="515"/>
      <c r="J1735" s="515"/>
    </row>
    <row r="1736" spans="1:10" ht="13.8" thickBot="1">
      <c r="A1736" s="517"/>
      <c r="B1736" s="518" t="s">
        <v>11551</v>
      </c>
      <c r="C1736" s="533"/>
      <c r="D1736" s="514" t="s">
        <v>11533</v>
      </c>
      <c r="E1736" s="515"/>
      <c r="F1736" s="514"/>
      <c r="G1736" s="515" t="s">
        <v>11525</v>
      </c>
      <c r="H1736" s="514"/>
      <c r="I1736" s="515"/>
      <c r="J1736" s="515"/>
    </row>
    <row r="1737" spans="1:10" ht="13.8" thickBot="1">
      <c r="A1737" s="517"/>
      <c r="B1737" s="518" t="s">
        <v>11550</v>
      </c>
      <c r="C1737" s="533"/>
      <c r="D1737" s="514" t="s">
        <v>11533</v>
      </c>
      <c r="E1737" s="515"/>
      <c r="F1737" s="514"/>
      <c r="G1737" s="515" t="s">
        <v>11525</v>
      </c>
      <c r="H1737" s="514"/>
      <c r="I1737" s="515"/>
      <c r="J1737" s="515"/>
    </row>
    <row r="1738" spans="1:10" ht="13.8" thickBot="1">
      <c r="A1738" s="517"/>
      <c r="B1738" s="518" t="s">
        <v>11549</v>
      </c>
      <c r="C1738" s="533"/>
      <c r="D1738" s="514" t="s">
        <v>11533</v>
      </c>
      <c r="E1738" s="515"/>
      <c r="F1738" s="514"/>
      <c r="G1738" s="515" t="s">
        <v>11525</v>
      </c>
      <c r="H1738" s="514"/>
      <c r="I1738" s="515"/>
      <c r="J1738" s="515"/>
    </row>
    <row r="1739" spans="1:10" ht="13.8" thickBot="1">
      <c r="A1739" s="517"/>
      <c r="B1739" s="518" t="s">
        <v>11548</v>
      </c>
      <c r="C1739" s="533"/>
      <c r="D1739" s="514" t="s">
        <v>11533</v>
      </c>
      <c r="E1739" s="515"/>
      <c r="F1739" s="514"/>
      <c r="G1739" s="515" t="s">
        <v>11525</v>
      </c>
      <c r="H1739" s="514"/>
      <c r="I1739" s="515"/>
      <c r="J1739" s="515"/>
    </row>
    <row r="1740" spans="1:10" ht="13.8" thickBot="1">
      <c r="A1740" s="517"/>
      <c r="B1740" s="518" t="s">
        <v>11547</v>
      </c>
      <c r="C1740" s="533"/>
      <c r="D1740" s="514" t="s">
        <v>11533</v>
      </c>
      <c r="E1740" s="515"/>
      <c r="F1740" s="514"/>
      <c r="G1740" s="515" t="s">
        <v>11525</v>
      </c>
      <c r="H1740" s="514"/>
      <c r="I1740" s="515"/>
      <c r="J1740" s="515"/>
    </row>
    <row r="1741" spans="1:10" ht="13.8" thickBot="1">
      <c r="A1741" s="517"/>
      <c r="B1741" s="518" t="s">
        <v>11546</v>
      </c>
      <c r="C1741" s="533"/>
      <c r="D1741" s="514" t="s">
        <v>11533</v>
      </c>
      <c r="E1741" s="515"/>
      <c r="F1741" s="514"/>
      <c r="G1741" s="515" t="s">
        <v>11525</v>
      </c>
      <c r="H1741" s="514"/>
      <c r="I1741" s="515"/>
      <c r="J1741" s="515"/>
    </row>
    <row r="1742" spans="1:10" ht="13.8" thickBot="1">
      <c r="A1742" s="517"/>
      <c r="B1742" s="518" t="s">
        <v>11545</v>
      </c>
      <c r="C1742" s="533"/>
      <c r="D1742" s="514" t="s">
        <v>11533</v>
      </c>
      <c r="E1742" s="515"/>
      <c r="F1742" s="514"/>
      <c r="G1742" s="515" t="s">
        <v>11525</v>
      </c>
      <c r="H1742" s="514"/>
      <c r="I1742" s="515"/>
      <c r="J1742" s="515"/>
    </row>
    <row r="1743" spans="1:10" ht="13.8" thickBot="1">
      <c r="A1743" s="517"/>
      <c r="B1743" s="518" t="s">
        <v>11543</v>
      </c>
      <c r="C1743" s="533"/>
      <c r="D1743" s="514" t="s">
        <v>11533</v>
      </c>
      <c r="E1743" s="515"/>
      <c r="F1743" s="514"/>
      <c r="G1743" s="515" t="s">
        <v>11525</v>
      </c>
      <c r="H1743" s="514"/>
      <c r="I1743" s="515"/>
      <c r="J1743" s="515"/>
    </row>
    <row r="1744" spans="1:10" ht="13.8" thickBot="1">
      <c r="A1744" s="517"/>
      <c r="B1744" s="518" t="s">
        <v>11542</v>
      </c>
      <c r="C1744" s="533"/>
      <c r="D1744" s="514" t="s">
        <v>11533</v>
      </c>
      <c r="E1744" s="515"/>
      <c r="F1744" s="514"/>
      <c r="G1744" s="515" t="s">
        <v>11525</v>
      </c>
      <c r="H1744" s="514"/>
      <c r="I1744" s="515"/>
      <c r="J1744" s="515"/>
    </row>
    <row r="1745" spans="1:10" ht="13.8" thickBot="1">
      <c r="A1745" s="517"/>
      <c r="B1745" s="518" t="s">
        <v>11540</v>
      </c>
      <c r="C1745" s="533"/>
      <c r="D1745" s="514" t="s">
        <v>11533</v>
      </c>
      <c r="E1745" s="515"/>
      <c r="F1745" s="514"/>
      <c r="G1745" s="515" t="s">
        <v>11525</v>
      </c>
      <c r="H1745" s="514"/>
      <c r="I1745" s="515"/>
      <c r="J1745" s="515"/>
    </row>
    <row r="1746" spans="1:10" ht="13.8" thickBot="1">
      <c r="A1746" s="517"/>
      <c r="B1746" s="518" t="s">
        <v>11539</v>
      </c>
      <c r="C1746" s="533"/>
      <c r="D1746" s="514" t="s">
        <v>11533</v>
      </c>
      <c r="E1746" s="515"/>
      <c r="F1746" s="514"/>
      <c r="G1746" s="515" t="s">
        <v>11525</v>
      </c>
      <c r="H1746" s="514"/>
      <c r="I1746" s="515"/>
      <c r="J1746" s="515"/>
    </row>
    <row r="1747" spans="1:10" ht="13.8" thickBot="1">
      <c r="A1747" s="517"/>
      <c r="B1747" s="518" t="s">
        <v>11538</v>
      </c>
      <c r="C1747" s="533"/>
      <c r="D1747" s="514" t="s">
        <v>11533</v>
      </c>
      <c r="E1747" s="515"/>
      <c r="F1747" s="514"/>
      <c r="G1747" s="515" t="s">
        <v>11525</v>
      </c>
      <c r="H1747" s="514"/>
      <c r="I1747" s="515"/>
      <c r="J1747" s="515"/>
    </row>
    <row r="1748" spans="1:10" ht="13.8" thickBot="1">
      <c r="A1748" s="517"/>
      <c r="B1748" s="518" t="s">
        <v>11537</v>
      </c>
      <c r="C1748" s="533"/>
      <c r="D1748" s="514" t="s">
        <v>11533</v>
      </c>
      <c r="E1748" s="515"/>
      <c r="F1748" s="514"/>
      <c r="G1748" s="515" t="s">
        <v>11525</v>
      </c>
      <c r="H1748" s="514"/>
      <c r="I1748" s="515"/>
      <c r="J1748" s="515"/>
    </row>
    <row r="1749" spans="1:10" ht="13.8" thickBot="1">
      <c r="A1749" s="517"/>
      <c r="B1749" s="518" t="s">
        <v>11536</v>
      </c>
      <c r="C1749" s="533"/>
      <c r="D1749" s="514" t="s">
        <v>11533</v>
      </c>
      <c r="E1749" s="515"/>
      <c r="F1749" s="514"/>
      <c r="G1749" s="515" t="s">
        <v>11525</v>
      </c>
      <c r="H1749" s="514"/>
      <c r="I1749" s="515"/>
      <c r="J1749" s="515"/>
    </row>
    <row r="1750" spans="1:10" ht="13.8" thickBot="1">
      <c r="A1750" s="517"/>
      <c r="B1750" s="518" t="s">
        <v>11535</v>
      </c>
      <c r="C1750" s="533"/>
      <c r="D1750" s="514" t="s">
        <v>11533</v>
      </c>
      <c r="E1750" s="515"/>
      <c r="F1750" s="514"/>
      <c r="G1750" s="515" t="s">
        <v>11525</v>
      </c>
      <c r="H1750" s="514"/>
      <c r="I1750" s="515"/>
      <c r="J1750" s="515"/>
    </row>
    <row r="1751" spans="1:10" ht="13.8" thickBot="1">
      <c r="A1751" s="517"/>
      <c r="B1751" s="518" t="s">
        <v>11534</v>
      </c>
      <c r="C1751" s="533"/>
      <c r="D1751" s="514" t="s">
        <v>11533</v>
      </c>
      <c r="E1751" s="515"/>
      <c r="F1751" s="514"/>
      <c r="G1751" s="515" t="s">
        <v>11525</v>
      </c>
      <c r="H1751" s="514"/>
      <c r="I1751" s="515"/>
      <c r="J1751" s="515"/>
    </row>
    <row r="1752" spans="1:10" ht="13.8" thickBot="1">
      <c r="A1752" s="517"/>
      <c r="B1752" s="518" t="s">
        <v>12986</v>
      </c>
      <c r="C1752" s="533"/>
      <c r="D1752" s="514" t="s">
        <v>12985</v>
      </c>
      <c r="E1752" s="515"/>
      <c r="F1752" s="518" t="s">
        <v>1854</v>
      </c>
      <c r="G1752" s="515" t="s">
        <v>2957</v>
      </c>
      <c r="H1752" s="514"/>
      <c r="I1752" s="515"/>
      <c r="J1752" s="515"/>
    </row>
    <row r="1753" spans="1:10" ht="13.8" thickBot="1">
      <c r="A1753" s="517"/>
      <c r="B1753" s="518" t="s">
        <v>12984</v>
      </c>
      <c r="C1753" s="533"/>
      <c r="D1753" s="514" t="s">
        <v>12983</v>
      </c>
      <c r="E1753" s="515"/>
      <c r="F1753" s="518" t="s">
        <v>1854</v>
      </c>
      <c r="G1753" s="515" t="s">
        <v>2957</v>
      </c>
      <c r="H1753" s="514"/>
      <c r="I1753" s="515"/>
      <c r="J1753" s="515"/>
    </row>
    <row r="1754" spans="1:10" ht="13.8" thickBot="1">
      <c r="A1754" s="517"/>
      <c r="B1754" s="518" t="s">
        <v>12982</v>
      </c>
      <c r="C1754" s="533"/>
      <c r="D1754" s="514" t="s">
        <v>2968</v>
      </c>
      <c r="E1754" s="515"/>
      <c r="F1754" s="514"/>
      <c r="G1754" s="515" t="s">
        <v>2957</v>
      </c>
      <c r="H1754" s="514"/>
      <c r="I1754" s="515"/>
      <c r="J1754" s="515"/>
    </row>
    <row r="1755" spans="1:10" ht="13.8" thickBot="1">
      <c r="A1755" s="517"/>
      <c r="B1755" s="518" t="s">
        <v>12909</v>
      </c>
      <c r="C1755" s="533"/>
      <c r="D1755" s="514" t="s">
        <v>12908</v>
      </c>
      <c r="E1755" s="515"/>
      <c r="F1755" s="518" t="s">
        <v>1854</v>
      </c>
      <c r="G1755" s="515" t="s">
        <v>3161</v>
      </c>
      <c r="H1755" s="514"/>
      <c r="I1755" s="515"/>
      <c r="J1755" s="515"/>
    </row>
    <row r="1756" spans="1:10" ht="13.8" thickBot="1">
      <c r="A1756" s="517"/>
      <c r="B1756" s="518" t="s">
        <v>13848</v>
      </c>
      <c r="C1756" s="533"/>
      <c r="D1756" s="514" t="s">
        <v>2044</v>
      </c>
      <c r="E1756" s="515"/>
      <c r="F1756" s="514"/>
      <c r="G1756" s="515" t="s">
        <v>2032</v>
      </c>
      <c r="H1756" s="514"/>
      <c r="I1756" s="515"/>
      <c r="J1756" s="515"/>
    </row>
    <row r="1757" spans="1:10" ht="13.8" thickBot="1">
      <c r="A1757" s="517"/>
      <c r="B1757" s="518" t="s">
        <v>13847</v>
      </c>
      <c r="C1757" s="533"/>
      <c r="D1757" s="514" t="s">
        <v>2044</v>
      </c>
      <c r="E1757" s="515"/>
      <c r="F1757" s="514"/>
      <c r="G1757" s="515" t="s">
        <v>2032</v>
      </c>
      <c r="H1757" s="514"/>
      <c r="I1757" s="515"/>
      <c r="J1757" s="515"/>
    </row>
    <row r="1758" spans="1:10" ht="13.8" thickBot="1">
      <c r="A1758" s="517"/>
      <c r="B1758" s="518" t="s">
        <v>13846</v>
      </c>
      <c r="C1758" s="533"/>
      <c r="D1758" s="514" t="s">
        <v>2044</v>
      </c>
      <c r="E1758" s="515"/>
      <c r="F1758" s="514"/>
      <c r="G1758" s="515" t="s">
        <v>2032</v>
      </c>
      <c r="H1758" s="514"/>
      <c r="I1758" s="515"/>
      <c r="J1758" s="515"/>
    </row>
    <row r="1759" spans="1:10" ht="13.8" thickBot="1">
      <c r="A1759" s="517"/>
      <c r="B1759" s="518" t="s">
        <v>13845</v>
      </c>
      <c r="C1759" s="533"/>
      <c r="D1759" s="514" t="s">
        <v>2044</v>
      </c>
      <c r="E1759" s="515"/>
      <c r="F1759" s="514"/>
      <c r="G1759" s="515" t="s">
        <v>2032</v>
      </c>
      <c r="H1759" s="514"/>
      <c r="I1759" s="515"/>
      <c r="J1759" s="515"/>
    </row>
    <row r="1760" spans="1:10" ht="13.8" thickBot="1">
      <c r="A1760" s="517"/>
      <c r="B1760" s="518" t="s">
        <v>13844</v>
      </c>
      <c r="C1760" s="533"/>
      <c r="D1760" s="514" t="s">
        <v>2044</v>
      </c>
      <c r="E1760" s="515"/>
      <c r="F1760" s="514"/>
      <c r="G1760" s="515" t="s">
        <v>2032</v>
      </c>
      <c r="H1760" s="514"/>
      <c r="I1760" s="515"/>
      <c r="J1760" s="515"/>
    </row>
    <row r="1761" spans="1:10" ht="13.8" thickBot="1">
      <c r="A1761" s="517"/>
      <c r="B1761" s="518" t="s">
        <v>12705</v>
      </c>
      <c r="C1761" s="533"/>
      <c r="D1761" s="520" t="s">
        <v>12704</v>
      </c>
      <c r="E1761" s="521"/>
      <c r="F1761" s="518" t="s">
        <v>12703</v>
      </c>
      <c r="G1761" s="515" t="s">
        <v>3517</v>
      </c>
      <c r="H1761" s="514"/>
      <c r="I1761" s="528"/>
      <c r="J1761" s="528"/>
    </row>
    <row r="1762" spans="1:10" ht="13.8" thickBot="1">
      <c r="A1762" s="517"/>
      <c r="B1762" s="518" t="s">
        <v>12702</v>
      </c>
      <c r="C1762" s="533"/>
      <c r="D1762" s="514" t="s">
        <v>3616</v>
      </c>
      <c r="E1762" s="515"/>
      <c r="F1762" s="518" t="s">
        <v>1854</v>
      </c>
      <c r="G1762" s="515" t="s">
        <v>3517</v>
      </c>
      <c r="H1762" s="514"/>
      <c r="I1762" s="515"/>
      <c r="J1762" s="515"/>
    </row>
    <row r="1763" spans="1:10" ht="13.8" thickBot="1">
      <c r="A1763" s="517"/>
      <c r="B1763" s="518" t="s">
        <v>12701</v>
      </c>
      <c r="C1763" s="533"/>
      <c r="D1763" s="514" t="s">
        <v>3534</v>
      </c>
      <c r="E1763" s="515"/>
      <c r="F1763" s="514"/>
      <c r="G1763" s="515" t="s">
        <v>3517</v>
      </c>
      <c r="H1763" s="514"/>
      <c r="I1763" s="515"/>
      <c r="J1763" s="515"/>
    </row>
    <row r="1764" spans="1:10" ht="13.8" thickBot="1">
      <c r="A1764" s="517"/>
      <c r="B1764" s="518" t="s">
        <v>12700</v>
      </c>
      <c r="C1764" s="533"/>
      <c r="D1764" s="514" t="s">
        <v>1452</v>
      </c>
      <c r="E1764" s="515"/>
      <c r="F1764" s="514"/>
      <c r="G1764" s="515" t="s">
        <v>3517</v>
      </c>
      <c r="H1764" s="514"/>
      <c r="I1764" s="515"/>
      <c r="J1764" s="515"/>
    </row>
    <row r="1765" spans="1:10" ht="13.8" thickBot="1">
      <c r="A1765" s="517"/>
      <c r="B1765" s="518" t="s">
        <v>12699</v>
      </c>
      <c r="C1765" s="533"/>
      <c r="D1765" s="514" t="s">
        <v>1452</v>
      </c>
      <c r="E1765" s="515"/>
      <c r="F1765" s="514"/>
      <c r="G1765" s="515" t="s">
        <v>3517</v>
      </c>
      <c r="H1765" s="514"/>
      <c r="I1765" s="515"/>
      <c r="J1765" s="515"/>
    </row>
    <row r="1766" spans="1:10" ht="13.8" thickBot="1">
      <c r="A1766" s="517"/>
      <c r="B1766" s="518" t="s">
        <v>12698</v>
      </c>
      <c r="C1766" s="533"/>
      <c r="D1766" s="514" t="s">
        <v>1452</v>
      </c>
      <c r="E1766" s="515"/>
      <c r="F1766" s="514"/>
      <c r="G1766" s="515" t="s">
        <v>3517</v>
      </c>
      <c r="H1766" s="514"/>
      <c r="I1766" s="515"/>
      <c r="J1766" s="515"/>
    </row>
    <row r="1767" spans="1:10" ht="13.8" thickBot="1">
      <c r="A1767" s="517"/>
      <c r="B1767" s="518" t="s">
        <v>12697</v>
      </c>
      <c r="C1767" s="533"/>
      <c r="D1767" s="514" t="s">
        <v>1452</v>
      </c>
      <c r="E1767" s="515"/>
      <c r="F1767" s="514"/>
      <c r="G1767" s="515" t="s">
        <v>3517</v>
      </c>
      <c r="H1767" s="514"/>
      <c r="I1767" s="515"/>
      <c r="J1767" s="515"/>
    </row>
    <row r="1768" spans="1:10" ht="13.8" thickBot="1">
      <c r="A1768" s="517"/>
      <c r="B1768" s="518" t="s">
        <v>12696</v>
      </c>
      <c r="C1768" s="533"/>
      <c r="D1768" s="514" t="s">
        <v>1452</v>
      </c>
      <c r="E1768" s="515"/>
      <c r="F1768" s="514"/>
      <c r="G1768" s="515" t="s">
        <v>3517</v>
      </c>
      <c r="H1768" s="514"/>
      <c r="I1768" s="515"/>
      <c r="J1768" s="515"/>
    </row>
    <row r="1769" spans="1:10" ht="13.8" thickBot="1">
      <c r="A1769" s="517"/>
      <c r="B1769" s="518" t="s">
        <v>12695</v>
      </c>
      <c r="C1769" s="533"/>
      <c r="D1769" s="514" t="s">
        <v>1452</v>
      </c>
      <c r="E1769" s="515"/>
      <c r="F1769" s="514"/>
      <c r="G1769" s="515" t="s">
        <v>3517</v>
      </c>
      <c r="H1769" s="514"/>
      <c r="I1769" s="515"/>
      <c r="J1769" s="515"/>
    </row>
    <row r="1770" spans="1:10" ht="13.8" thickBot="1">
      <c r="A1770" s="517"/>
      <c r="B1770" s="518" t="s">
        <v>12694</v>
      </c>
      <c r="C1770" s="533"/>
      <c r="D1770" s="514" t="s">
        <v>1452</v>
      </c>
      <c r="E1770" s="515"/>
      <c r="F1770" s="514"/>
      <c r="G1770" s="515" t="s">
        <v>3517</v>
      </c>
      <c r="H1770" s="514"/>
      <c r="I1770" s="515"/>
      <c r="J1770" s="515"/>
    </row>
    <row r="1771" spans="1:10" ht="13.8" thickBot="1">
      <c r="A1771" s="517"/>
      <c r="B1771" s="518" t="s">
        <v>12665</v>
      </c>
      <c r="C1771" s="533"/>
      <c r="D1771" s="514" t="s">
        <v>1466</v>
      </c>
      <c r="E1771" s="515"/>
      <c r="F1771" s="514"/>
      <c r="G1771" s="515" t="s">
        <v>3652</v>
      </c>
      <c r="H1771" s="514"/>
      <c r="I1771" s="515"/>
      <c r="J1771" s="515"/>
    </row>
    <row r="1772" spans="1:10" ht="13.8" thickBot="1">
      <c r="A1772" s="517"/>
      <c r="B1772" s="518" t="s">
        <v>12664</v>
      </c>
      <c r="C1772" s="533"/>
      <c r="D1772" s="514" t="s">
        <v>1466</v>
      </c>
      <c r="E1772" s="515"/>
      <c r="F1772" s="514"/>
      <c r="G1772" s="515" t="s">
        <v>3652</v>
      </c>
      <c r="H1772" s="514"/>
      <c r="I1772" s="515"/>
      <c r="J1772" s="515"/>
    </row>
    <row r="1773" spans="1:10" ht="13.8" thickBot="1">
      <c r="A1773" s="517"/>
      <c r="B1773" s="518" t="s">
        <v>12605</v>
      </c>
      <c r="C1773" s="533"/>
      <c r="D1773" s="514" t="s">
        <v>1480</v>
      </c>
      <c r="E1773" s="515"/>
      <c r="F1773" s="514"/>
      <c r="G1773" s="515" t="s">
        <v>3734</v>
      </c>
      <c r="H1773" s="514"/>
      <c r="I1773" s="515"/>
      <c r="J1773" s="515"/>
    </row>
    <row r="1774" spans="1:10" ht="13.8" thickBot="1">
      <c r="A1774" s="517"/>
      <c r="B1774" s="518" t="s">
        <v>12545</v>
      </c>
      <c r="C1774" s="533"/>
      <c r="D1774" s="514" t="s">
        <v>12544</v>
      </c>
      <c r="E1774" s="515"/>
      <c r="F1774" s="514"/>
      <c r="G1774" s="515" t="s">
        <v>3807</v>
      </c>
      <c r="H1774" s="514"/>
      <c r="I1774" s="515"/>
      <c r="J1774" s="515"/>
    </row>
    <row r="1775" spans="1:10" ht="13.8" thickBot="1">
      <c r="A1775" s="517"/>
      <c r="B1775" s="518" t="s">
        <v>12543</v>
      </c>
      <c r="C1775" s="533"/>
      <c r="D1775" s="514" t="s">
        <v>1502</v>
      </c>
      <c r="E1775" s="515"/>
      <c r="F1775" s="514"/>
      <c r="G1775" s="515" t="s">
        <v>3807</v>
      </c>
      <c r="H1775" s="514"/>
      <c r="I1775" s="515"/>
      <c r="J1775" s="515"/>
    </row>
    <row r="1776" spans="1:10" ht="13.8" thickBot="1">
      <c r="A1776" s="517"/>
      <c r="B1776" s="518" t="s">
        <v>12495</v>
      </c>
      <c r="C1776" s="533"/>
      <c r="D1776" s="514" t="s">
        <v>1507</v>
      </c>
      <c r="E1776" s="515"/>
      <c r="F1776" s="514"/>
      <c r="G1776" s="515" t="s">
        <v>3856</v>
      </c>
      <c r="H1776" s="514"/>
      <c r="I1776" s="515"/>
      <c r="J1776" s="515"/>
    </row>
    <row r="1777" spans="1:10" ht="13.8" thickBot="1">
      <c r="A1777" s="517"/>
      <c r="B1777" s="518" t="s">
        <v>12433</v>
      </c>
      <c r="C1777" s="533"/>
      <c r="D1777" s="514" t="s">
        <v>1537</v>
      </c>
      <c r="E1777" s="515"/>
      <c r="F1777" s="514"/>
      <c r="G1777" s="515" t="s">
        <v>4067</v>
      </c>
      <c r="H1777" s="514"/>
      <c r="I1777" s="515"/>
      <c r="J1777" s="515"/>
    </row>
    <row r="1778" spans="1:10" ht="13.8" thickBot="1">
      <c r="A1778" s="517"/>
      <c r="B1778" s="518" t="s">
        <v>12285</v>
      </c>
      <c r="C1778" s="533"/>
      <c r="D1778" s="514" t="s">
        <v>1617</v>
      </c>
      <c r="E1778" s="515"/>
      <c r="F1778" s="514"/>
      <c r="G1778" s="515" t="s">
        <v>4214</v>
      </c>
      <c r="H1778" s="514"/>
      <c r="I1778" s="515"/>
      <c r="J1778" s="515"/>
    </row>
    <row r="1779" spans="1:10" ht="13.8" thickBot="1">
      <c r="A1779" s="517"/>
      <c r="B1779" s="518" t="s">
        <v>12284</v>
      </c>
      <c r="C1779" s="533"/>
      <c r="D1779" s="514" t="s">
        <v>1617</v>
      </c>
      <c r="E1779" s="515"/>
      <c r="F1779" s="514"/>
      <c r="G1779" s="515" t="s">
        <v>4214</v>
      </c>
      <c r="H1779" s="514"/>
      <c r="I1779" s="515"/>
      <c r="J1779" s="515"/>
    </row>
    <row r="1780" spans="1:10" ht="13.8" thickBot="1">
      <c r="A1780" s="517"/>
      <c r="B1780" s="518" t="s">
        <v>12283</v>
      </c>
      <c r="C1780" s="533"/>
      <c r="D1780" s="514" t="s">
        <v>1607</v>
      </c>
      <c r="E1780" s="515"/>
      <c r="F1780" s="514"/>
      <c r="G1780" s="515" t="s">
        <v>4214</v>
      </c>
      <c r="H1780" s="514"/>
      <c r="I1780" s="515"/>
      <c r="J1780" s="515"/>
    </row>
    <row r="1781" spans="1:10" ht="13.8" thickBot="1">
      <c r="A1781" s="517"/>
      <c r="B1781" s="518" t="s">
        <v>12282</v>
      </c>
      <c r="C1781" s="533"/>
      <c r="D1781" s="514" t="s">
        <v>1607</v>
      </c>
      <c r="E1781" s="515"/>
      <c r="F1781" s="514"/>
      <c r="G1781" s="515" t="s">
        <v>4214</v>
      </c>
      <c r="H1781" s="514"/>
      <c r="I1781" s="515"/>
      <c r="J1781" s="515"/>
    </row>
    <row r="1782" spans="1:10" ht="13.8" thickBot="1">
      <c r="A1782" s="517"/>
      <c r="B1782" s="518" t="s">
        <v>12281</v>
      </c>
      <c r="C1782" s="533"/>
      <c r="D1782" s="514" t="s">
        <v>1607</v>
      </c>
      <c r="E1782" s="515"/>
      <c r="F1782" s="514"/>
      <c r="G1782" s="515" t="s">
        <v>4214</v>
      </c>
      <c r="H1782" s="514"/>
      <c r="I1782" s="515"/>
      <c r="J1782" s="515"/>
    </row>
    <row r="1783" spans="1:10" ht="13.8" thickBot="1">
      <c r="A1783" s="517"/>
      <c r="B1783" s="518" t="s">
        <v>12280</v>
      </c>
      <c r="C1783" s="516"/>
      <c r="D1783" s="514" t="s">
        <v>1607</v>
      </c>
      <c r="E1783" s="515"/>
      <c r="F1783" s="514"/>
      <c r="G1783" s="515" t="s">
        <v>4214</v>
      </c>
      <c r="H1783" s="514"/>
      <c r="I1783" s="515"/>
    </row>
  </sheetData>
  <hyperlinks>
    <hyperlink ref="B4" r:id="rId1" display="https://www.google.com/url?q=https://www.acmicpc.net/problem/11782&amp;sa=D&amp;ust=1605639815485000&amp;usg=AFQjCNEoZasxPcf6TROnmMBWy106r9tTyA" xr:uid="{80040898-2C78-4220-8D47-E946B822FA16}"/>
    <hyperlink ref="B5" r:id="rId2" display="https://www.google.com/url?q=https://www.hackerrank.com/contests/boi-2016/challenges&amp;sa=D&amp;ust=1605639815485000&amp;usg=AFQjCNGDPhTHFz_bXKKlBWCs9a7DMtOUYg" xr:uid="{1149F5D0-F0AC-4092-9AF3-375D487ABFCA}"/>
    <hyperlink ref="B6" r:id="rId3" display="https://www.google.com/url?q=https://oj.uz/problems/source/56&amp;sa=D&amp;ust=1605639815486000&amp;usg=AFQjCNH34RrOLB2qbct0cNP13zc-ed_rdw" xr:uid="{2E5CC125-03BF-4812-A4AB-8FB7B30E88DD}"/>
    <hyperlink ref="B7" r:id="rId4" display="https://www.google.com/url?q=https://csacademy.com/contest/balkan-oi-2017-day-1/&amp;sa=D&amp;ust=1605639815486000&amp;usg=AFQjCNHDWJfidwDA3jO5mmYKMWOUIN6U1Q" xr:uid="{CA77BD94-768A-4940-AEC1-7094FF24FB09}"/>
    <hyperlink ref="B8" r:id="rId5" display="https://www.google.com/url?q=https://csacademy.com/contest/ioi-2016-training-round-5/task/tree-square/&amp;sa=D&amp;ust=1605639815487000&amp;usg=AFQjCNG1FH7b7R9Hep6pnWqQgqOatfZgNA" xr:uid="{BFA90105-E3FD-4048-8112-3C2F502E9D7F}"/>
    <hyperlink ref="B9" r:id="rId6" display="https://www.google.com/url?q=https://oj.uz/problem/view/JOI14_space_pirate&amp;sa=D&amp;ust=1605639815487000&amp;usg=AFQjCNG1m9EDDAs88tMihf-oKX7Ma5R7mw" xr:uid="{1A97D6DB-B880-44E9-A324-47CF0F9D9B96}"/>
    <hyperlink ref="B10" r:id="rId7" display="https://www.google.com/url?q=https://csacademy.com/contest/round-78/task/generating-set/&amp;sa=D&amp;ust=1605639815487000&amp;usg=AFQjCNGBqlv9oiaYmZva0k0hmV-wuO-QWQ" xr:uid="{9AD4A92C-DA4F-416E-A011-42CC37960787}"/>
    <hyperlink ref="B11" r:id="rId8" display="https://www.google.com/url?q=https://oj.uz/problem/view/CEOI18_fib&amp;sa=D&amp;ust=1605639815488000&amp;usg=AFQjCNG14sDc2dV7WhfF8y3nkgQXtYWxkw" xr:uid="{45A3BED6-6485-477B-AC27-9D2CD4595DFC}"/>
    <hyperlink ref="F11" r:id="rId9" display="https://www.google.com/url?q=https://github.com/mostafa-saad/MyCompetitiveProgramming/tree/master/Olympiad/CEOI/official/2018/day2&amp;sa=D&amp;ust=1605639815488000&amp;usg=AFQjCNFnz6vZPwztRDul9ckQrWKbsAKc-A" xr:uid="{47220F73-C91A-46ED-A1B7-61F6B15C8691}"/>
    <hyperlink ref="B12" r:id="rId10" display="https://www.google.com/url?q=https://csacademy.com/contest/round-80/task/sortall/&amp;sa=D&amp;ust=1605639815489000&amp;usg=AFQjCNGDzcKdBGDM8AX6NflE-waqghoHuw" xr:uid="{32F83C06-F89B-459B-B16C-E5138D680FB3}"/>
    <hyperlink ref="B13" r:id="rId11" display="https://www.google.com/url?q=https://codeforces.com/contest/1193&amp;sa=D&amp;ust=1605639815489000&amp;usg=AFQjCNHnzhq-k2W4hWx4iPA8SKX3JUsDpQ" xr:uid="{35C9F382-3042-4717-86F6-53F14AC31C23}"/>
    <hyperlink ref="F13" r:id="rId12" display="https://www.google.com/url?q=https://codeforces.com/blog/entry/68748&amp;sa=D&amp;ust=1605639815489000&amp;usg=AFQjCNFrMyzb8CMekJBlRynKequm-w53Fg" xr:uid="{C2203A30-2549-4BB9-9E00-4C27574BF5FF}"/>
    <hyperlink ref="B14" r:id="rId13" display="https://www.google.com/url?q=https://oj.uz/problem/view/IOI19_walk&amp;sa=D&amp;ust=1605639815490000&amp;usg=AFQjCNECeoDRuso9hUesJZolvIVmpHLqFA" xr:uid="{CF4CD9A8-433C-4722-9A17-8572E5F8225C}"/>
    <hyperlink ref="F14" r:id="rId14" display="https://www.google.com/url?q=https://github.com/mostafa-saad/MyCompetitiveProgramming/tree/master/Olympiad/IOI/official/2019&amp;sa=D&amp;ust=1605639815490000&amp;usg=AFQjCNHKvDf-eOh1kKzhR6wmwaRiHDXObA" xr:uid="{55F01343-542A-434A-9504-AAF9F273D13C}"/>
    <hyperlink ref="B15" r:id="rId15" display="https://www.google.com/url?q=https://csacademy.com/contest/round-80/task/tournament/&amp;sa=D&amp;ust=1605639815490000&amp;usg=AFQjCNHbSV0u33vTIqgEsn8uuEzk_TaZfw" xr:uid="{924AA2ED-43D1-4AF0-BF91-C6716641A4D0}"/>
    <hyperlink ref="B16" r:id="rId16" display="https://www.google.com/url?q=https://oj.uz/problems/source/326&amp;sa=D&amp;ust=1605639815491000&amp;usg=AFQjCNEzUOARYqfEPGPuvQZp1miGSXw6Mg" xr:uid="{51464707-F3C5-49C2-BE28-883F6392AAE2}"/>
    <hyperlink ref="F16" r:id="rId17" display="https://www.google.com/url?q=https://github.com/mostafa-saad/MyCompetitiveProgramming/blob/master/Olympiad/APIO/APIO-18-newhome.txt&amp;sa=D&amp;ust=1605639815491000&amp;usg=AFQjCNGyj_ncbF8GzUF-jPBGO1OkzZ0LtA" xr:uid="{834B7A37-2E19-4BBC-8500-44D9EDC772F1}"/>
    <hyperlink ref="B17" r:id="rId18" display="https://www.google.com/url?q=https://oj.uz/problem/view/IOI18_meetings&amp;sa=D&amp;ust=1605639815491000&amp;usg=AFQjCNHK1fGKHH5tawwZR0GCtmBgWuaOoQ" xr:uid="{5CD15DB5-DCBE-4CAD-9737-35197A8DAF4B}"/>
    <hyperlink ref="F17" r:id="rId19" display="https://www.google.com/url?q=https://github.com/mostafa-saad/MyCompetitiveProgramming/blob/master/Olympiad/IOI/IOI-18-meetings.txt&amp;sa=D&amp;ust=1605639815492000&amp;usg=AFQjCNEFUWkWoi_n7OLfpON0HBqJLqn0tQ" xr:uid="{AD085AC3-D7E5-469D-8057-2E4034FADB01}"/>
    <hyperlink ref="B18" r:id="rId20" display="https://www.google.com/url?q=http://usaco.org/index.php?page%3Dviewproblem2%26cpid%3D926&amp;sa=D&amp;ust=1605639815492000&amp;usg=AFQjCNE73Q8kUVzIyqFAkWk-75G-WEa4mQ" xr:uid="{1D46C4FE-5C17-4981-BB6E-43EFAC2C6798}"/>
    <hyperlink ref="F18" r:id="rId21" display="https://www.google.com/url?q=https://github.com/ihdignite/CompetitiveProgramming/blob/master/USACO/1819_3P/Mowing.cpp&amp;sa=D&amp;ust=1605639815492000&amp;usg=AFQjCNEFue28ZH5gi49pNTBmBNkrGyG5JQ" xr:uid="{42609962-7587-46C7-A886-2E71A539C09F}"/>
    <hyperlink ref="B19" r:id="rId22" display="https://www.google.com/url?q=https://codeforces.com/contest/1192/problem/A&amp;sa=D&amp;ust=1605639815493000&amp;usg=AFQjCNHd1Cq_hKfTCc-iePn0Xb5IWTGP2g" xr:uid="{743B2E87-0564-4E1E-8DDD-1AC5C33D9B7E}"/>
    <hyperlink ref="F19" r:id="rId23" display="https://www.google.com/url?q=https://codeforces.com/blog/entry/68676&amp;sa=D&amp;ust=1605639815493000&amp;usg=AFQjCNEtu9XqfvxvroX1DTo3egid2ZuTNw" xr:uid="{A86A65D6-1BCD-4BF7-BE2F-F5B539F1EC60}"/>
    <hyperlink ref="B20" r:id="rId24" display="https://www.google.com/url?q=https://codeforces.com/contest/1192/problem/B&amp;sa=D&amp;ust=1605639815494000&amp;usg=AFQjCNGCQRqgo0IL0N6I8BFgGtmkoTjbtw" xr:uid="{C24AEC9A-4EC9-474B-9CC0-954FD42129CA}"/>
    <hyperlink ref="F20" r:id="rId25" display="https://www.google.com/url?q=https://codeforces.com/blog/entry/68676&amp;sa=D&amp;ust=1605639815494000&amp;usg=AFQjCNHHZPzBPd7YPHbp0cKmFqzt7v38Pg" xr:uid="{3DE72A81-CCCD-4C7C-9883-32052D8988F8}"/>
    <hyperlink ref="B21" r:id="rId26" display="https://www.google.com/url?q=https://contest.yandex.ru/ioi/contest/572/enter/&amp;sa=D&amp;ust=1605639815494000&amp;usg=AFQjCNGxFenVG-iUQJIl1ZNXsIqUILibzw" xr:uid="{18AAB251-149E-4C2C-8BA6-3F17F59D5629}"/>
    <hyperlink ref="F21" r:id="rId27" display="https://www.google.com/url?q=https://github.com/mostafa-saad/MyCompetitiveProgramming/blob/master/Olympiad/IOI/IOI-12-editorials.txt&amp;sa=D&amp;ust=1605639815494000&amp;usg=AFQjCNF4MUlSxF-EaehXFgdqp_nwO8YnTg" xr:uid="{8745236B-0DB4-4C62-B358-112B97C8413E}"/>
    <hyperlink ref="B22" r:id="rId28" display="https://www.google.com/url?q=https://oj.uz/problem/view/IOI10_maze&amp;sa=D&amp;ust=1605639815495000&amp;usg=AFQjCNGpf2UyRZW34iOeKhWZj3cPR0-lGQ" xr:uid="{37CB9947-7D98-4AEB-AD70-BE449668DD14}"/>
    <hyperlink ref="F22" r:id="rId29" display="https://www.google.com/url?q=https://github.com/mostafa-saad/MyCompetitiveProgramming/blob/master/Olympiad/IOI/official/2010&amp;sa=D&amp;ust=1605639815495000&amp;usg=AFQjCNE3UtDH8iTjWiVYopcW3AEeeEcklw" xr:uid="{26979C08-E8F2-43E2-B2C3-20D35D82C817}"/>
    <hyperlink ref="B23" r:id="rId30" display="https://www.google.com/url?q=https://oj.uz/problem/view/CEOI15_nuclearia&amp;sa=D&amp;ust=1605639815495000&amp;usg=AFQjCNEpVDYX0Cax7g38h4ObURBzFOu-tw" xr:uid="{EDB1632E-0E7A-4E64-AC34-2F2814E76F4B}"/>
    <hyperlink ref="F23" r:id="rId31" display="https://www.google.com/url?q=https://github.com/mostafa-saad/MyCompetitiveProgramming/tree/master/Olympiad/CEOI/official/2015/day2&amp;sa=D&amp;ust=1605639815496000&amp;usg=AFQjCNGw6zFGwp8Nbd6RpGlT_aaoQ25jQw" xr:uid="{23C99A0C-D2E1-4D13-9516-6EFD3B498379}"/>
    <hyperlink ref="B24" r:id="rId32" display="https://www.google.com/url?q=https://csacademy.com/contest/balkan-oi-2017-day-1/&amp;sa=D&amp;ust=1605639815496000&amp;usg=AFQjCNGZ6T62WYW2gfxjpOnP680bnmtdHA" xr:uid="{296EEEF9-1F49-40D1-A3C7-A0DF12702C8A}"/>
    <hyperlink ref="B25" r:id="rId33" display="https://www.google.com/url?q=https://csacademy.com/contest/balkan-oi-2017-day-1/&amp;sa=D&amp;ust=1605639815497000&amp;usg=AFQjCNH0U6DSRl_PNtS9-hlfeK57-3N95w" xr:uid="{F23CB798-C9C1-4CFC-89A8-09261489DD2D}"/>
    <hyperlink ref="B26" r:id="rId34" display="https://www.google.com/url?q=https://szkopul.edu.pl/problemset/problem/fuTBSUcQ2U9sVPYJUDI4JwIe/site/&amp;sa=D&amp;ust=1605639815497000&amp;usg=AFQjCNEsMpSrUKeG3urruMA17LqYxbKW5w" xr:uid="{432EC8EF-50E7-45CB-B3DC-2E64677F0BDC}"/>
    <hyperlink ref="F26" r:id="rId35" display="https://www.google.com/url?q=https://github.com/mostafa-saad/MyCompetitiveProgramming/blob/master/Olympiad/POI/official/find_editorial_sols_guidelines.txt&amp;sa=D&amp;ust=1605639815497000&amp;usg=AFQjCNGWF9-jEy3rb2q84DiYP9B8ByhP7w" xr:uid="{EE3C4014-E6A8-4F7D-8684-AF2547A26732}"/>
    <hyperlink ref="B27" r:id="rId36" display="https://www.google.com/url?q=https://www.acmicpc.net/problem/9282&amp;sa=D&amp;ust=1605639815498000&amp;usg=AFQjCNFJGhjDc14azyEHJSLAN7yHFgvbiA" xr:uid="{EFC0D652-74D0-4C11-81E8-4DA1FCAB514A}"/>
    <hyperlink ref="F27" r:id="rId37" display="https://www.google.com/url?q=https://github.com/mostafa-saad/MyCompetitiveProgramming/blob/master/Olympiad/CEOI/official/2013&amp;sa=D&amp;ust=1605639815498000&amp;usg=AFQjCNF3otxT5LAIulmY9yifaiVocvvQPg" xr:uid="{50C120E6-2FC9-463D-B227-2BF459939E7A}"/>
    <hyperlink ref="B28" r:id="rId38" display="https://www.google.com/url?q=https://dunjudge.me/analysis/problems/802/&amp;sa=D&amp;ust=1605639815498000&amp;usg=AFQjCNGa-54iMGXCt87-lacqe3MAS-7Qcg" xr:uid="{69D1FADF-89DF-4201-ABB3-328D2ECDD559}"/>
    <hyperlink ref="F28" r:id="rId39" display="https://www.google.com/url?q=https://github.com/mostafa-saad/MyCompetitiveProgramming/blob/master/Olympiad/CEOI/official/2013&amp;sa=D&amp;ust=1605639815498000&amp;usg=AFQjCNF3otxT5LAIulmY9yifaiVocvvQPg" xr:uid="{041172CF-CFEA-43C3-8DFE-A07DD4268D63}"/>
    <hyperlink ref="B29" r:id="rId40" display="https://www.google.com/url?q=https://csacademy.com/contest/ejoi-2017-day-2/task/camel/&amp;sa=D&amp;ust=1605639815499000&amp;usg=AFQjCNGLg0UtF09vq-_1WrT3dZqMwDfTNw" xr:uid="{DED988CD-F12B-46A5-A721-ED5BB303F10D}"/>
    <hyperlink ref="B30" r:id="rId41" display="https://www.google.com/url?q=https://dunjudge.me/analysis/problems/974/&amp;sa=D&amp;ust=1605639815499000&amp;usg=AFQjCNEr_wMdVuyYIajtIqeAukD3l3zDtA" xr:uid="{4813B6D3-2516-468D-8776-8B977F1E4614}"/>
    <hyperlink ref="F30" r:id="rId42" display="https://www.google.com/url?q=https://github.com/fyquah95/ioi-malaysia-2016-training-camp&amp;sa=D&amp;ust=1605639815499000&amp;usg=AFQjCNGcIrNxdbxrxrkCeAC6ZPIbrE2YCQ" xr:uid="{29E394F9-C516-4C9C-8122-180949C74611}"/>
    <hyperlink ref="B31" r:id="rId43" display="https://www.google.com/url?q=https://szkopul.edu.pl/problemset/problem/-MwFkVBU5fdldohfNl-xSjHa/site/&amp;sa=D&amp;ust=1605639815500000&amp;usg=AFQjCNFJ-QxhdWCQHAXKS2_KXHuBE8W8GQ" xr:uid="{CD0E9033-41CC-492B-928E-4AE3C355A7AB}"/>
    <hyperlink ref="F31" r:id="rId44" display="https://www.google.com/url?q=https://github.com/mostafa-saad/MyCompetitiveProgramming/blob/master/Olympiad/POI/official/find_editorial_sols_guidelines.txt&amp;sa=D&amp;ust=1605639815500000&amp;usg=AFQjCNEusxcnBUwWO2b5o0XZYPF6w9ZChA" xr:uid="{ED422DFA-18D3-4AD7-9393-AD838B557D8A}"/>
    <hyperlink ref="B32" r:id="rId45" display="https://www.google.com/url?q=https://tioj.ck.tp.edu.tw/problems/1750&amp;sa=D&amp;ust=1605639815500000&amp;usg=AFQjCNG79QdltrcbFelBBlqAHU0yHCrZUw" xr:uid="{D81F414A-F8ED-4F93-9D92-10EAE94FC615}"/>
    <hyperlink ref="B33" r:id="rId46" display="https://www.google.com/url?q=https://dmoj.ca/contest/cco18d1&amp;sa=D&amp;ust=1605639815501000&amp;usg=AFQjCNGDZMGuChov0gLJDkncK0fu5-qNKw" xr:uid="{82DA958A-D268-465A-B5A3-2ABA223686B3}"/>
    <hyperlink ref="B34" r:id="rId47" display="https://www.google.com/url?q=https://oj.uz/problems/source/270&amp;sa=D&amp;ust=1605639815501000&amp;usg=AFQjCNGMm3CHVk3HrhR_OBKivGc1jNiUvQ" xr:uid="{306D36FF-9B82-42CD-8CE9-AD5079CB1E03}"/>
    <hyperlink ref="B35" r:id="rId48" display="https://www.google.com/url?q=https://dunjudge.me/analysis/problems/771/&amp;sa=D&amp;ust=1605639815502000&amp;usg=AFQjCNHR8oQWuoSspoL_aaD_g4e37Dj0PA" xr:uid="{027CAE8C-111C-4CAE-A71B-083AAC54AD05}"/>
    <hyperlink ref="B36" r:id="rId49" display="https://www.google.com/url?q=https://dunjudge.me/analysis/problems/751/&amp;sa=D&amp;ust=1605639815502000&amp;usg=AFQjCNH5f3gli53Nl-aiNcqIFGiADeHqjA" xr:uid="{DE3A58D9-E46D-41BD-A5CE-836E134F4698}"/>
    <hyperlink ref="B37" r:id="rId50" display="https://www.google.com/url?q=https://dunjudge.me/analysis/problems/801/&amp;sa=D&amp;ust=1605639815503000&amp;usg=AFQjCNHByIVEYNlduM3CtS3IaK9nWBpLNg" xr:uid="{D0990498-71FE-424D-B47E-087EE3519A9C}"/>
    <hyperlink ref="B38" r:id="rId51" display="https://www.google.com/url?q=https://dunjudge.me/analysis/problems/1828/&amp;sa=D&amp;ust=1605639815503000&amp;usg=AFQjCNGZwD8FPzfLx1H1l7Uus47og28wuQ" xr:uid="{C9A182C2-27DA-487A-B171-E427022E4AD8}"/>
    <hyperlink ref="B39" r:id="rId52" display="https://www.google.com/url?q=https://csacademy.com/contest/junior-challenge-2017-day-2/task/combinatorix&amp;sa=D&amp;ust=1605639815503000&amp;usg=AFQjCNH1rUQ36kayxVvrQiQQCfHZekPeig" xr:uid="{C5845336-3711-4066-8A4C-440BE05FEF69}"/>
    <hyperlink ref="B40" r:id="rId53" display="https://www.google.com/url?q=https://dunjudge.me/analysis/problems/697/&amp;sa=D&amp;ust=1605639815504000&amp;usg=AFQjCNH-IleUlFr1pxpjOhKt48WddsMZXA" xr:uid="{FAB33C14-1F35-48FE-B8F6-C5837037BB80}"/>
    <hyperlink ref="B41" r:id="rId54" display="https://www.google.com/url?q=https://csacademy.com/contest/ioi-2016-training-round-2/task/cograph_clique/&amp;sa=D&amp;ust=1605639815504000&amp;usg=AFQjCNGsufUtrg7nxjRPGxkTCZ7SQBWGlw" xr:uid="{0F90ACB6-6B6E-4367-9902-7007871F94F2}"/>
    <hyperlink ref="B42" r:id="rId55" display="https://www.google.com/url?q=https://oj.uz/problem/view/JOI19_ho_t5&amp;sa=D&amp;ust=1605639815506000&amp;usg=AFQjCNEymRS7dxn5XiCvLPFBsZKmxbuA7w" xr:uid="{B6E9744A-4469-4A3B-8370-CD0944411C7E}"/>
    <hyperlink ref="B43" r:id="rId56" display="https://www.google.com/url?q=https://oj.uz/problem/view/BOI17_friends&amp;sa=D&amp;ust=1605639815507000&amp;usg=AFQjCNEmSyk0NdDGL9aERYvRBK-DEBG35Q" xr:uid="{31D073B9-8606-4737-B16B-F7FB8840BB0D}"/>
    <hyperlink ref="F43" r:id="rId57" display="https://www.google.com/url?q=https://codeforces.com/blog/entry/51740?%23comment-356943&amp;sa=D&amp;ust=1605639815507000&amp;usg=AFQjCNFfjWU7eObMuc4V1kshvY1Z5_wLww" xr:uid="{DBC03C37-684B-4058-83C1-0F1F4345A5EC}"/>
    <hyperlink ref="B44" r:id="rId58" display="https://www.google.com/url?q=https://csacademy.com/contest/ejoi-2017-day-2/task/experience/&amp;sa=D&amp;ust=1605639815507000&amp;usg=AFQjCNG-Gg4BZH2x6o1ef1UKrmSd-7U0Lg" xr:uid="{11AC93D1-C63B-4CB0-8CBB-3BE78F47BDD4}"/>
    <hyperlink ref="B45" r:id="rId59" display="https://www.google.com/url?q=https://oj.uz/problems/source/314&amp;sa=D&amp;ust=1605639815508000&amp;usg=AFQjCNFK_s5kU_k7HhvDoejAAFDhA6pGGw" xr:uid="{6AF746C2-49CD-4F72-9D8A-20197D5F847C}"/>
    <hyperlink ref="F45" r:id="rId60" display="https://www.google.com/url?q=https://github.com/tmwilliamlin168/CompetitiveProgramming/blob/master/JOI/18SC-Asceticism.cpp&amp;sa=D&amp;ust=1605639815508000&amp;usg=AFQjCNE4l3zCtcGUOv5WrY9Grrn0U1o05A" xr:uid="{4943B8F0-54E7-44D9-92A8-B266E15FA3D6}"/>
    <hyperlink ref="B46" r:id="rId61" display="https://www.google.com/url?q=https://oj.uz/problem/view/COCI17_gauss&amp;sa=D&amp;ust=1605639815509000&amp;usg=AFQjCNHEy3Rn7JjdwfIQ4xbaY11PryeaOA" xr:uid="{2B8348FA-C436-4F48-ADBD-C2017D5D055E}"/>
    <hyperlink ref="B47" r:id="rId62" display="https://www.google.com/url?q=https://dunjudge.me/analysis/problems/975/&amp;sa=D&amp;ust=1605639815509000&amp;usg=AFQjCNFYrPnwm_9cLN_OFMYE1fbWEnVa7g" xr:uid="{C2264F14-C430-4EE4-813A-9B7CAEC1B72D}"/>
    <hyperlink ref="F47" r:id="rId63" display="https://www.google.com/url?q=https://github.com/fyquah95/ioi-malaysia-2016-training-camp&amp;sa=D&amp;ust=1605639815509000&amp;usg=AFQjCNGQw9jleLW2zKvhnExpSFzenL3hIA" xr:uid="{557E8D5B-8FF1-44CB-9E72-69537CB097F1}"/>
    <hyperlink ref="B48" r:id="rId64" display="https://www.google.com/url?q=https://oj.uz/problems/source/197&amp;sa=D&amp;ust=1605639815510000&amp;usg=AFQjCNF6JvGE6zOzUBZ3iq3wd5uuK3iUkg" xr:uid="{9189DAE0-4466-401A-9F2C-65E752DA938E}"/>
    <hyperlink ref="F48" r:id="rId65" display="https://www.google.com/url?q=https://github.com/mostafa-saad/MyCompetitiveProgramming/blob/master/Olympiad/CEOI/CEOI-16-match.txt&amp;sa=D&amp;ust=1605639815510000&amp;usg=AFQjCNHrHBpBeSRldLUPDzwLEjbdKS6rag" xr:uid="{EA07CDBC-82B0-47BD-A760-671883B31D63}"/>
    <hyperlink ref="B49" r:id="rId66" display="https://www.google.com/url?q=https://oj.uz/problems/source/326&amp;sa=D&amp;ust=1605639815510000&amp;usg=AFQjCNFtsihgELr_zLt9cvlvhO9fzFcCnQ" xr:uid="{E043D511-BC0B-4453-A14E-FB51F56AEC35}"/>
    <hyperlink ref="F49" r:id="rId67" display="https://www.google.com/url?q=https://github.com/timpostuvan/CompetitiveProgramming/blob/master/Olympiad/APIO/CircleSelection2018.cpp&amp;sa=D&amp;ust=1605639815511000&amp;usg=AFQjCNFw-7c0f0d1hdwkPknyMjl85n-msQ" xr:uid="{1CC8B98F-6238-4025-9911-CFC26C622F33}"/>
    <hyperlink ref="B50" r:id="rId68" display="https://www.google.com/url?q=https://oj.uz/problems/source/121&amp;sa=D&amp;ust=1605639815511000&amp;usg=AFQjCNHjEzqwA2DrWGjqGK3frurzcivyHg" xr:uid="{8E1D94B1-C95D-40F1-B888-1B2BB8FA92DA}"/>
    <hyperlink ref="F50" r:id="rId69" display="https://www.google.com/url?q=https://github.com/tmwilliamlin168/CompetitiveProgramming/blob/master/CEOI/14-Wall.cpp&amp;sa=D&amp;ust=1605639815511000&amp;usg=AFQjCNEtmGjeGtjVXTMPG828NRjt04d-GA" xr:uid="{96D03185-E785-44C2-88DE-068A9B33E446}"/>
    <hyperlink ref="B51" r:id="rId70" display="https://www.google.com/url?q=https://cses.fi/179/list/&amp;sa=D&amp;ust=1605639815512000&amp;usg=AFQjCNFmnMNXkNI5ZhbDv8taK6HiSuzzrg" xr:uid="{5238ACE6-317E-4B67-B602-0BCE125A3D60}"/>
    <hyperlink ref="F51" r:id="rId71" display="https://www.google.com/url?q=https://github.com/mostafa-saad/MyCompetitiveProgramming/blob/master/Olympiad/CEOI/CEOI-09-Boxes.txt&amp;sa=D&amp;ust=1605639815512000&amp;usg=AFQjCNE5ALUH-vX_K3uEyML5J_xG-igNTA" xr:uid="{7293654D-3DBD-4B1B-8037-AE43412140FB}"/>
    <hyperlink ref="B52" r:id="rId72" display="https://www.google.com/url?q=https://oj.uz/problem/view/CEOI12_circuit&amp;sa=D&amp;ust=1605639815512000&amp;usg=AFQjCNEVHh2q6gHRkmpG3cMaIitGVoRiiQ" xr:uid="{DC986791-A572-4485-8EA9-3A3DAADD4E57}"/>
    <hyperlink ref="F52" r:id="rId73" display="https://www.google.com/url?q=https://github.com/mostafa-saad/MyCompetitiveProgramming/blob/master/Olympiad/CEOI/CEOI-12-circuit.txt&amp;sa=D&amp;ust=1605639815512000&amp;usg=AFQjCNFGYmcboJ7lTblpuqCNPV96wuAU2A" xr:uid="{1C03FAC7-34CB-4244-8708-D84203C95A54}"/>
    <hyperlink ref="B53" r:id="rId74" display="https://www.google.com/url?q=https://oj.uz/problem/view/COI14_grad&amp;sa=D&amp;ust=1605639815513000&amp;usg=AFQjCNGYge7dlYasbqDW8757FM8JxwACgw" xr:uid="{F0E18BD8-CAFA-4964-B8E0-3C8E54394858}"/>
    <hyperlink ref="F53" r:id="rId75" display="https://www.google.com/url?q=https://github.com/mostafa-saad/MyCompetitiveProgramming/tree/master/Olympiad/COI/official/2014&amp;sa=D&amp;ust=1605639815513000&amp;usg=AFQjCNFMePNijBxYUj1HC901uAkdimBvXw" xr:uid="{F80582EA-9B5F-4E85-A545-87DE7C6C107D}"/>
    <hyperlink ref="B54" r:id="rId76" display="https://www.google.com/url?q=https://contest.yandex.ru/ioi/contest/568/enter/&amp;sa=D&amp;ust=1605639815513000&amp;usg=AFQjCNFqrV12ie7SEKcLUOcZS94eXCfNqw" xr:uid="{1D63D1F4-CA87-4F75-B94F-03F213A9F385}"/>
    <hyperlink ref="F54" r:id="rId77" display="https://www.google.com/url?q=https://github.com/mostafa-saad/MyCompetitiveProgramming/blob/master/Olympiad/IOI/official/2009&amp;sa=D&amp;ust=1605639815514000&amp;usg=AFQjCNG5AswdXe_6WcCJX_ucsvyZStjlyg" xr:uid="{B0F606F3-2608-4B8B-98D7-20720E16B169}"/>
    <hyperlink ref="B55" r:id="rId78" display="https://www.google.com/url?q=https://oj.uz/problem/view/IOI17_simurgh&amp;sa=D&amp;ust=1605639815514000&amp;usg=AFQjCNGIlkLa01IeFMkx7sakSBbtmw6ztA" xr:uid="{66B8BBE3-651E-4954-BBC5-89A700EB3B39}"/>
    <hyperlink ref="F55" r:id="rId79" display="https://www.google.com/url?q=https://github.com/mostafa-saad/MyCompetitiveProgramming/blob/master/Olympiad/IOI/IOI-17-simurgh.txt&amp;sa=D&amp;ust=1605639815514000&amp;usg=AFQjCNHtuLIjwcsBbkx9ma28psFSx9_Uew" xr:uid="{98526662-1298-430D-BC22-9415E62CE2EC}"/>
    <hyperlink ref="B56" r:id="rId80" display="https://www.google.com/url?q=https://oj.uz/problem/view/JOI17_park&amp;sa=D&amp;ust=1605639815515000&amp;usg=AFQjCNFB3LbaC84iv8VZoV0iIo1GqFxBbw" xr:uid="{933B27E8-557A-4E13-8404-50DE522F9E81}"/>
    <hyperlink ref="F56" r:id="rId81" display="https://www.google.com/url?q=https://github.com/mostafa-saad/MyCompetitiveProgramming/blob/master/Olympiad/JOI/JOISC-17-park.txt&amp;sa=D&amp;ust=1605639815515000&amp;usg=AFQjCNHtcNrwgSIQvybe83h30D93uxcDVQ" xr:uid="{1FECD83F-4D34-4B0D-B2C6-01822DA9D34A}"/>
    <hyperlink ref="B57" r:id="rId82" display="https://www.google.com/url?q=https://dunjudge.me/analysis/problems/559/&amp;sa=D&amp;ust=1605639815515000&amp;usg=AFQjCNEBOGUYGGGef9DA-N_qgPH8ln02ww" xr:uid="{F3BCCB12-17EB-4261-A8BC-D7EFE3E3DD8E}"/>
    <hyperlink ref="F57" r:id="rId83" display="https://www.google.com/url?q=https://github.com/mostafa-saad/MyCompetitiveProgramming/blob/master/Olympiad/APIO/APIO-09-Convention.txt&amp;sa=D&amp;ust=1605639815516000&amp;usg=AFQjCNFGoxjJb5vOC_LECg5T4HpDx3cc6g" xr:uid="{2111D8F5-691D-43F9-9F77-7326FD648269}"/>
    <hyperlink ref="B58" r:id="rId84" display="https://www.google.com/url?q=https://dmoj.ca/problem/apio12p3&amp;sa=D&amp;ust=1605639815516000&amp;usg=AFQjCNFLOImGZDPeK4ucQ-caZdyNExuYtQ" xr:uid="{9467770E-77F5-4CE3-BB6B-C09810B41CEC}"/>
    <hyperlink ref="F58" r:id="rId85" display="https://www.google.com/url?q=https://github.com/tmwilliamlin168/CompetitiveProgramming/blob/master/APIO/12-Kunai.cpp&amp;sa=D&amp;ust=1605639815516000&amp;usg=AFQjCNFToVnv-JnJ6MLnF6bGbp79R2SEfQ" xr:uid="{C80C2265-6487-4D8C-A50D-3F027E2F837A}"/>
    <hyperlink ref="B59" r:id="rId86" display="https://www.google.com/url?q=https://www.acmicpc.net/problem/11556&amp;sa=D&amp;ust=1605639815517000&amp;usg=AFQjCNG1i22Xh6C5qfCR8UgbWqEEQ_HbQQ" xr:uid="{967C64C0-B38A-42F8-96C7-3395D2F52658}"/>
    <hyperlink ref="F59" r:id="rId87" display="https://www.google.com/url?q=https://github.com/mostafa-saad/MyCompetitiveProgramming/tree/master/Olympiad/Balkan/official/2015&amp;sa=D&amp;ust=1605639815517000&amp;usg=AFQjCNETHLGjBo1lWyx84XceVaUqCsQYxA" xr:uid="{D8B9BCF7-F8D1-47AC-BDD1-48FBB470D2D7}"/>
    <hyperlink ref="B60" r:id="rId88" display="https://www.google.com/url?q=https://dmoj.ca/problem/apio14p1&amp;sa=D&amp;ust=1605639815518000&amp;usg=AFQjCNFFzAC9IClq_0py-CIzooqfJeyUWg" xr:uid="{36295C11-345B-448C-959C-A2FF786DECA7}"/>
    <hyperlink ref="F60" r:id="rId89" display="https://www.google.com/url?q=https://github.com/mostafa-saad/MyCompetitiveProgramming/blob/master/Olympiad/APIO/APIO-14-Palindrome.txt&amp;sa=D&amp;ust=1605639815518000&amp;usg=AFQjCNGnIfxHFW6B8kTR5sHxrsF6FAC54w" xr:uid="{90B1F748-571A-4A71-B69F-B1E854CF5463}"/>
    <hyperlink ref="B61" r:id="rId90" display="https://www.google.com/url?q=https://oj.uz/problem/view/COI17_trapezi&amp;sa=D&amp;ust=1605639815518000&amp;usg=AFQjCNFIb_sQ2Kce-2e08O2Q8IYtEzY3uw" xr:uid="{D62091A9-A120-48E0-A2F5-385AA16329AE}"/>
    <hyperlink ref="F61" r:id="rId91" display="https://www.google.com/url?q=https://codeforces.com/blog/entry/51198&amp;sa=D&amp;ust=1605639815518000&amp;usg=AFQjCNHnStBqVRLUhCzIr7gYb6MO9AvXaA" xr:uid="{4A0562A1-6119-4ADC-8F27-B2F2398AD3AB}"/>
    <hyperlink ref="B62" r:id="rId92" display="https://www.google.com/url?q=https://cses.fi/187/list/&amp;sa=D&amp;ust=1605639815519000&amp;usg=AFQjCNEgh16nAWfMiQRAovWd3anAJaPgkg" xr:uid="{FEA90A2D-A16B-43AB-B142-51A04D6DB0BA}"/>
    <hyperlink ref="B63" r:id="rId93" display="https://www.google.com/url?q=https://oj.uz/problem/view/APIO13_toll&amp;sa=D&amp;ust=1605639815519000&amp;usg=AFQjCNFg9bQJuHjDWLaAOIyfKO15laNL4A" xr:uid="{59791B1F-F059-4235-9B2E-F790F962CE27}"/>
    <hyperlink ref="F63" r:id="rId94" display="https://www.google.com/url?q=https://github.com/tmwilliamlin168/CompetitiveProgramming/blob/master/APIO/13-Toll.cpp&amp;sa=D&amp;ust=1605639815519000&amp;usg=AFQjCNEtyTjcXpozsKDCc8_ZkI-B_3A0VA" xr:uid="{3E86F935-DA56-4889-94E1-DA2D8AC155F9}"/>
    <hyperlink ref="B64" r:id="rId95" display="https://www.google.com/url?q=http://usaco.org/index.php?page%3Dviewproblem2%26cpid%3D793&amp;sa=D&amp;ust=1605639815520000&amp;usg=AFQjCNGHj33ij0OwjZwwcLahA6voZSRlCw" xr:uid="{3F4EBA20-FCD4-408F-AB4B-DC74C4BF5D06}"/>
    <hyperlink ref="F64" r:id="rId96" display="https://www.google.com/url?q=https://github.com/gametothepower8/Solutions-to-OI-problems/blob/master/USACO18Janplat-atlarge.cpp&amp;sa=D&amp;ust=1605639815520000&amp;usg=AFQjCNGv8Zt-juMmrIIoL021Ks_8gN9K6g" xr:uid="{D71CB2DA-DB67-4D4A-BA20-E05AD50466DB}"/>
    <hyperlink ref="B65" r:id="rId97" display="https://www.google.com/url?q=https://oj.uz/problem/view/IOI14_holiday&amp;sa=D&amp;ust=1605639815520000&amp;usg=AFQjCNG4VDFGHgmnJNk4ekmImVlcgyrYgg" xr:uid="{96CD3B07-41AE-466B-9BE4-4FD755731A29}"/>
    <hyperlink ref="F65" r:id="rId98" display="https://www.google.com/url?q=https://github.com/mostafa-saad/MyCompetitiveProgramming/blob/master/Olympiad/IOI/IOI-14-holiday.txt&amp;sa=D&amp;ust=1605639815520000&amp;usg=AFQjCNFRcDOXr_D3huT4rSmSJT8UWS-d0g" xr:uid="{836BE03B-7880-4097-BD10-4F0827DF85DE}"/>
    <hyperlink ref="B66" r:id="rId99" display="https://www.google.com/url?q=https://oj.uz/problem/view/APIO16_fireworks&amp;sa=D&amp;ust=1605639815521000&amp;usg=AFQjCNEv22kNQ_5alRos3ypYFxnQC9DATw" xr:uid="{0D23C743-E707-4EB3-AB2D-7A3D4BF6B984}"/>
    <hyperlink ref="F66" r:id="rId100" display="https://www.google.com/url?q=https://github.com/mostafa-saad/MyCompetitiveProgramming/blob/master/Olympiad/APIO/APIO-16-fireworks.txt&amp;sa=D&amp;ust=1605639815521000&amp;usg=AFQjCNFSoMtUv0jCjEtDcpt8blFV2OpAwA" xr:uid="{77565218-7644-4288-B960-9607940E3DCC}"/>
    <hyperlink ref="B67" r:id="rId101" display="https://www.google.com/url?q=https://oj.uz/problem/view/IZhO17_road&amp;sa=D&amp;ust=1605639815521000&amp;usg=AFQjCNEYQANMWsLgZWF-3Q6GGhOpn22G-w" xr:uid="{80782421-2BAD-49C2-A7AC-0DE4B7548C8D}"/>
    <hyperlink ref="F67" r:id="rId102" display="https://www.google.com/url?q=https://github.com/LeTrongDat/CompetitiveProgramming/blob/master/IZhO/IZhO17-road.cpp&amp;sa=D&amp;ust=1605639815521000&amp;usg=AFQjCNGmVWPc4nPatQbdnUUL9IJRVaQueQ" xr:uid="{C77B55B0-53CD-42F3-B424-5E0D99EE400A}"/>
    <hyperlink ref="B68" r:id="rId103" display="https://www.google.com/url?q=https://oj.uz/problems/source/6&amp;sa=D&amp;ust=1605639815522000&amp;usg=AFQjCNGkTIZANnYpQ0K4kIFKjLGoa4Gy3Q" xr:uid="{BA8F9241-6596-4823-BFB9-E1835747AC4B}"/>
    <hyperlink ref="F68" r:id="rId104" display="https://www.google.com/url?q=https://github.com/mostafa-saad/MyCompetitiveProgramming/blob/master/Olympiad/JOI/JOIOC-13-synchronization.txt&amp;sa=D&amp;ust=1605639815522000&amp;usg=AFQjCNGrK_52bdvUmzlLHFGLU-0Qzq6t4g" xr:uid="{728C88F7-AD96-4795-A720-9403F4DE74E7}"/>
    <hyperlink ref="B69" r:id="rId105" display="https://www.google.com/url?q=https://oj.uz/problem/view/BOI13_vim&amp;sa=D&amp;ust=1605639815522000&amp;usg=AFQjCNHL56r-KtQrHpy8w_-B1gAmE4alIA" xr:uid="{1EC20A6E-1E57-4ED0-8B74-CC2E014AEB0C}"/>
    <hyperlink ref="F69" r:id="rId106" display="https://www.google.com/url?q=https://github.com/mostafa-saad/MyCompetitiveProgramming/blob/master/Olympiad/Baltic/Baltic-13-vim.txt&amp;sa=D&amp;ust=1605639815523000&amp;usg=AFQjCNGHl06RFQKXk1gaWjUQ05yyq1RLdA" xr:uid="{92443EAB-9902-4D7A-83BD-58E4CD1D558E}"/>
    <hyperlink ref="B70" r:id="rId107" display="https://www.google.com/url?q=https://cses.fi/111/list/&amp;sa=D&amp;ust=1605639815523000&amp;usg=AFQjCNGWU4wkWSpiC87Wg5DMnInkl_ImNQ" xr:uid="{2D0C7A09-AC23-476F-8881-E0F6B480AAA9}"/>
    <hyperlink ref="F70" r:id="rId108" display="https://www.google.com/url?q=https://github.com/mostafa-saad/MyCompetitiveProgramming/blob/master/Olympiad/Baltic/official/boi2007_solutions&amp;sa=D&amp;ust=1605639815523000&amp;usg=AFQjCNEaW9HnEJ74BSCPPhVX8nXiBuHlMg" xr:uid="{0107A336-8CE8-47B5-BD3F-E877EA68FC32}"/>
    <hyperlink ref="B71" r:id="rId109" display="https://www.google.com/url?q=https://oj.uz/problem/view/JOI17_city&amp;sa=D&amp;ust=1605639815524000&amp;usg=AFQjCNFFlSpLCbFE4ti6ReWZqDj3blQNww" xr:uid="{E91BBF67-D741-49E4-9B8F-A666530CABA6}"/>
    <hyperlink ref="F71" r:id="rId110" display="https://www.google.com/url?q=https://github.com/mostafa-saad/MyCompetitiveProgramming/blob/master/Olympiad/JOI/JOISC-17-city.txt&amp;sa=D&amp;ust=1605639815524000&amp;usg=AFQjCNFrIDd0I2PJj8C3ZSRQnwHpWaqJfg" xr:uid="{B5ACF568-B3A3-4E9F-AC2B-FAE758054C77}"/>
    <hyperlink ref="B72" r:id="rId111" display="https://www.google.com/url?q=https://oj.uz/problems/source/326&amp;sa=D&amp;ust=1605639815524000&amp;usg=AFQjCNGWIeCzuDkpt3Cw_0eDq9rppYWXAA" xr:uid="{EF302464-DA2F-42A6-9AB5-550CF74FAA89}"/>
    <hyperlink ref="F72" r:id="rId112" display="https://www.google.com/url?q=https://github.com/mostafa-saad/MyCompetitiveProgramming/blob/master/Olympiad/APIO/APIO-18-duathlon.txt&amp;sa=D&amp;ust=1605639815524000&amp;usg=AFQjCNE6e8bIpDf_Z8N31SsVYoQ8VY38bA" xr:uid="{5590E531-AD32-4639-907E-4334062AD2F6}"/>
    <hyperlink ref="B73" r:id="rId113" display="https://www.google.com/url?q=https://oj.uz/problem/view/IOI14_rail&amp;sa=D&amp;ust=1605639815525000&amp;usg=AFQjCNHo7GjFlx2fOvp98604xGoYYCKDtQ" xr:uid="{330B77E1-3A92-417F-823A-00296C27B0F4}"/>
    <hyperlink ref="F73" r:id="rId114" display="https://www.google.com/url?q=https://github.com/mostafa-saad/MyCompetitiveProgramming/blob/master/Olympiad/IOI/IOI-14-rail.txt&amp;sa=D&amp;ust=1605639815525000&amp;usg=AFQjCNEHpZt74kYKdEx_NcZbDnNXJW-M4g" xr:uid="{425A2494-F514-401E-8F3C-216CA601F75A}"/>
    <hyperlink ref="B74" r:id="rId115" display="https://www.google.com/url?q=https://dmoj.ca/problem/coci14c5p6&amp;sa=D&amp;ust=1605639815525000&amp;usg=AFQjCNH00LsmJwYgzBryyT83XQRBngyywQ" xr:uid="{979040AF-32FE-46DA-9AD6-C6E1DDA391C3}"/>
    <hyperlink ref="F74" r:id="rId116" display="https://www.google.com/url?q=https://github.com/mostafa-saad/MyCompetitiveProgramming/blob/master/Olympiad/COCI/official/2015/contest5_solutions&amp;sa=D&amp;ust=1605639815526000&amp;usg=AFQjCNHdaljyTIMuurHT4mAoSQ-di8Dn6A" xr:uid="{765476FF-0968-4BAF-9B68-689ABDB9353D}"/>
    <hyperlink ref="B75" r:id="rId117" display="https://www.google.com/url?q=http://usaco.org/index.php?page%3Dviewproblem2%26cpid%3D841&amp;sa=D&amp;ust=1605639815526000&amp;usg=AFQjCNG4e6k07P6KwnFV1mZ4cf4rvf6IGQ" xr:uid="{FFA4B1FC-529D-4FE2-B416-792FD5E74441}"/>
    <hyperlink ref="B76" r:id="rId118" display="https://www.google.com/url?q=https://oj.uz/problem/view/JOI17_railway_trip&amp;sa=D&amp;ust=1605639815526000&amp;usg=AFQjCNHrdGPQ-0QJUQlXdJOK56iuQiPHVw" xr:uid="{AAFE5ED7-A0FC-492C-AC76-0E3A0AC2337F}"/>
    <hyperlink ref="F76" r:id="rId119" display="https://www.google.com/url?q=https://github.com/mostafa-saad/MyCompetitiveProgramming/blob/master/Olympiad/JOI/JOISC-17-railway_trip.txt&amp;sa=D&amp;ust=1605639815527000&amp;usg=AFQjCNHfF5M8JBwsYNYm_cNYINOsj4m8CA" xr:uid="{1E39811B-6014-47D8-8C42-AF9A98768E59}"/>
    <hyperlink ref="B77" r:id="rId120" display="https://www.google.com/url?q=https://oj.uz/problem/view/JOI19_antennas&amp;sa=D&amp;ust=1605639815528000&amp;usg=AFQjCNFN0pJXwBp4MzWp-HTrALSxkHpZUg" xr:uid="{15B1B021-8F33-4E21-BFE6-BFFCF4E7B757}"/>
    <hyperlink ref="F77" r:id="rId121" display="https://www.google.com/url?q=https://github.com/nikolapesic2802/Programming-Practice/blob/master/Two%2520Antennas/main.cpp&amp;sa=D&amp;ust=1605639815528000&amp;usg=AFQjCNFpUZDb75jY3pS9b3zDhoR1ARXb8A" xr:uid="{1DB86AED-3844-4DC6-BC0D-2A0119F28D98}"/>
    <hyperlink ref="B78" r:id="rId122" display="https://www.google.com/url?q=https://oj.uz/problem/view/JOI19_dishes&amp;sa=D&amp;ust=1605639815528000&amp;usg=AFQjCNG0LLf4Fmk6na25aZlQxBobgVlwzg" xr:uid="{E1F32CB5-AF00-4FC4-8D0F-00F49F0A8B2E}"/>
    <hyperlink ref="B79" r:id="rId123" display="https://www.google.com/url?q=https://codeforces.com/contest/1193&amp;sa=D&amp;ust=1605639815528000&amp;usg=AFQjCNFo66xCe2BmoObXAJGyabOf_EL5rQ" xr:uid="{30F56818-258A-48FE-8A2C-64E0D50267E5}"/>
    <hyperlink ref="F79" r:id="rId124" display="https://www.google.com/url?q=https://codeforces.com/blog/entry/68748&amp;sa=D&amp;ust=1605639815529000&amp;usg=AFQjCNGlf_6Qc2kqZQGvi0KgrkzsXlXT0A" xr:uid="{0B7A2A00-69A3-4A38-B026-6CC88EE8C6C2}"/>
    <hyperlink ref="B80" r:id="rId125" display="https://www.google.com/url?q=http://www.usaco.org/index.php?page%3Dviewproblem2%26cpid%3D974&amp;sa=D&amp;ust=1605639815529000&amp;usg=AFQjCNFB3BVt0twoUHC6TsqKhwEHi-MzOw" xr:uid="{7D617524-D69E-404E-91FA-FD6AF915CCA7}"/>
    <hyperlink ref="B81" r:id="rId126" display="https://www.google.com/url?q=https://dmoj.ca/problem/mcco17p3&amp;sa=D&amp;ust=1605639815529000&amp;usg=AFQjCNHvnXgu8zoi_1PRvcUVPXOogwtY8g" xr:uid="{1B51C8C3-4BF4-4FE1-8711-847C17DEAB47}"/>
    <hyperlink ref="F81" r:id="rId127" display="https://www.google.com/url?q=https://github.com/mostafa-saad/MyCompetitiveProgramming/blob/master/Olympiad/CCO/CCOMock-17-Connection.txt&amp;sa=D&amp;ust=1605639815529000&amp;usg=AFQjCNE0F6nPzlZzQiDlLBt5Gt2CNxFKsA" xr:uid="{CDFE1E1E-49CA-48DD-B448-B3A179F8BDA2}"/>
    <hyperlink ref="B82" r:id="rId128" display="https://www.google.com/url?q=https://oj.uz/problem/view/JOI19_timeleap&amp;sa=D&amp;ust=1605639815530000&amp;usg=AFQjCNHB1WkyX8iSMCwJSpgkS6L-lrTj1w" xr:uid="{6348BC9A-CD73-4034-A4D6-1072A18FA5BF}"/>
    <hyperlink ref="B83" r:id="rId129" display="https://www.google.com/url?q=https://oj.uz/problem/view/JOI19_meetings&amp;sa=D&amp;ust=1605639815530000&amp;usg=AFQjCNGQQwiUrVzi2-2sU63gynfn799ISA" xr:uid="{65BF4E43-E588-47CE-A3B7-79D5D01282A8}"/>
    <hyperlink ref="B84" r:id="rId130" display="https://www.google.com/url?q=https://oj.uz/problem/view/JOI19_transportations&amp;sa=D&amp;ust=1605639815530000&amp;usg=AFQjCNH5WqfIzoStEd81duP-Us6L8Zf8Uw" xr:uid="{37B237C4-87F2-4710-8BB8-B1BA597F57BF}"/>
    <hyperlink ref="B85" r:id="rId131" display="https://www.google.com/url?q=http://usaco.org/index.php?page%3Dviewproblem2%26cpid%3D745&amp;sa=D&amp;ust=1605639815531000&amp;usg=AFQjCNH68mvOE9tSMj67ElKDVefiGL-kyQ" xr:uid="{F2A5D035-CC0E-4902-9FF5-0FA99D3FA8B6}"/>
    <hyperlink ref="F85" r:id="rId132" display="https://www.google.com/url?q=https://github.com/tmwilliamlin168/CompetitiveProgramming/blob/master/USACO/Contests/1617_4P/grass.cpp&amp;sa=D&amp;ust=1605639815531000&amp;usg=AFQjCNHaKW3XsYQDdE014mi5HGG167ty4A" xr:uid="{D3CCDA36-C7F6-42F3-807B-0F0A7144E343}"/>
    <hyperlink ref="B86" r:id="rId133" display="https://www.google.com/url?q=https://oj.uz/problem/view/JOI19_virus&amp;sa=D&amp;ust=1605639815531000&amp;usg=AFQjCNEHhZixZ2WOFO7O2-SOnNaMqPvmEA" xr:uid="{A6D9007D-FF8D-412F-A386-1D7BF44E721C}"/>
    <hyperlink ref="F86" r:id="rId134" display="https://www.google.com/url?q=https://github.com/tmwilliamlin168/CompetitiveProgramming/blob/master/JOI/19O-Virus.cpp&amp;sa=D&amp;ust=1605639815531000&amp;usg=AFQjCNEGOfF7DdpC6CZQrUE4VYE8lOQ7Og" xr:uid="{30137D2E-CE0C-4DE8-A311-C0A9471B5964}"/>
    <hyperlink ref="B87" r:id="rId135" display="https://www.google.com/url?q=https://oj.uz/problem/view/IZhO17_bomb&amp;sa=D&amp;ust=1605639815532000&amp;usg=AFQjCNEn51L_uph2T3PIdY5zl9LuJXhRiA" xr:uid="{4251CB59-5EF6-43AC-9D96-66542770E59F}"/>
    <hyperlink ref="F87" r:id="rId136" display="https://www.google.com/url?q=https://github.com/ihdignite/CompetitiveProgramming/blob/master/IZHO/17-Bomb.cpp&amp;sa=D&amp;ust=1605639815532000&amp;usg=AFQjCNGxPujCvSOdYcBeAYk5URxqGu4G6A" xr:uid="{3BE728D2-9B4D-4654-931B-9DBBF5745B24}"/>
    <hyperlink ref="B88" r:id="rId137" display="https://www.google.com/url?q=https://cses.fi/193/list/&amp;sa=D&amp;ust=1605639815532000&amp;usg=AFQjCNG56Hk1sKetkNHQzRU7sfxCmeQUZQ" xr:uid="{2CEC9362-0704-4329-A3B7-E5B07234C2B1}"/>
    <hyperlink ref="F88" r:id="rId138" display="https://www.google.com/url?q=https://github.com/mostafa-saad/MyCompetitiveProgramming/blob/master/Olympiad/CEOI/CEOI-16-trick.txt&amp;sa=D&amp;ust=1605639815532000&amp;usg=AFQjCNEhqzTa-kXitKJhbKoUat0dOkTPGg" xr:uid="{3CB27994-EE53-45A0-9D47-303BCD37089D}"/>
    <hyperlink ref="B89" r:id="rId139" display="https://www.google.com/url?q=https://szkopul.edu.pl/problemset/problem/CP4mQc-h-Vkg--I1g49xovQj/site/&amp;sa=D&amp;ust=1605639815532000&amp;usg=AFQjCNHz4jcNaSP7OSi1esFdqsYoBe6eTw" xr:uid="{158BB520-91FF-4E65-B792-393669DD13B6}"/>
    <hyperlink ref="F89" r:id="rId140" display="https://www.google.com/url?q=https://github.com/mostafa-saad/MyCompetitiveProgramming/blob/master/Olympiad/POI/POI-09-Words.txt&amp;sa=D&amp;ust=1605639815533000&amp;usg=AFQjCNHWaZPzW4yJY2borPGQXIB0dvVK3Q" xr:uid="{253B09E4-4354-45C6-B9CF-2E64ABD00387}"/>
    <hyperlink ref="B90" r:id="rId141" display="https://www.google.com/url?q=https://oj.uz/problem/view/JOI19_jumps&amp;sa=D&amp;ust=1605639815533000&amp;usg=AFQjCNGCsGRZSICAeXk0i58NzWhVrnVmTA" xr:uid="{2602AB19-382B-4D76-B75C-34EC1FBEAF35}"/>
    <hyperlink ref="F90" r:id="rId142" display="https://www.google.com/url?q=https://github.com/tmwilliamlin168/CompetitiveProgramming/blob/master/JOI/19O-Jumps.cpp&amp;sa=D&amp;ust=1605639815533000&amp;usg=AFQjCNGH3tLUnjZRe5X3nYMeLRiG4J24Cw" xr:uid="{12320ECA-0B7D-4D99-AD86-75C4DA800B50}"/>
    <hyperlink ref="B91" r:id="rId143" display="https://www.google.com/url?q=https://dmoj.ca/problem/ccoprep4p3&amp;sa=D&amp;ust=1605639815534000&amp;usg=AFQjCNHjwyhnuJ06no4JN80tXP32ZaFeTA" xr:uid="{D137193D-0DDF-4DA5-BA34-3C944C8C9E92}"/>
    <hyperlink ref="F91" r:id="rId144" display="https://www.google.com/url?q=https://github.com/tsouza0/CompetitiveProgramming/blob/master/Olympiads/Canada/cco/ccoprep4/p3.cpp&amp;sa=D&amp;ust=1605639815534000&amp;usg=AFQjCNFspIfTLSAHfdc1Vm-8M-zRvFl3Jw" xr:uid="{AE93221D-5957-435B-9597-97BEC58EE38B}"/>
    <hyperlink ref="B92" r:id="rId145" display="https://www.google.com/url?q=https://oj.uz/problem/view/IOI11_parrots&amp;sa=D&amp;ust=1605639815534000&amp;usg=AFQjCNHYyjrjqL2ESQUvNokVKVF2zDi9BA" xr:uid="{EC052F6C-16E1-4066-8A50-3559103AEB54}"/>
    <hyperlink ref="F92" r:id="rId146" display="https://www.google.com/url?q=http://www.ioi2011.or.th/hsc/tasks/EN/parrots.pdf&amp;sa=D&amp;ust=1605639815534000&amp;usg=AFQjCNEnkSVFyA-b8BNvkmg3OLEQWxTTjA" xr:uid="{5AAA3429-BDD3-40D2-B45F-B775AECD528A}"/>
    <hyperlink ref="B93" r:id="rId147" display="https://www.google.com/url?q=https://dmoj.ca/problem/apio12p2&amp;sa=D&amp;ust=1605639815535000&amp;usg=AFQjCNGWwZ_cNNmQfKB-WxIfJjKFqPogZw" xr:uid="{2E60D1A0-75E0-4F38-B9E5-0AD73CDEAA5D}"/>
    <hyperlink ref="B94" r:id="rId148" display="https://www.google.com/url?q=https://oj.uz/problem/view/IOI19_line&amp;sa=D&amp;ust=1605639815535000&amp;usg=AFQjCNGwlUYy7EZbOAkMaAyBPta4CbFiOw" xr:uid="{EFF381E3-DD37-4497-ADAB-07BB1F06E74B}"/>
    <hyperlink ref="F94" r:id="rId149" display="https://www.google.com/url?q=https://github.com/mostafa-saad/MyCompetitiveProgramming/blob/master/Olympiad/IOI/IOI-19-line.txt&amp;sa=D&amp;ust=1605639815535000&amp;usg=AFQjCNFwA8N5ckwyBqHwsXixZArW82lJIA" xr:uid="{52DE72D1-DE57-48F7-9679-1A325017F52B}"/>
    <hyperlink ref="B95" r:id="rId150" display="https://www.google.com/url?q=https://oj.uz/problem/view/JOI19_minerals&amp;sa=D&amp;ust=1605639815536000&amp;usg=AFQjCNHOo2KhFpAhekIQROonXvirQBlvHA" xr:uid="{5FD04E9C-409D-4EA4-A539-466D56F9D4B0}"/>
    <hyperlink ref="B96" r:id="rId151" display="https://www.google.com/url?q=https://szkopul.edu.pl/problemset/problem/_PLjXEFyR0XMBQ-kZ1k_GgHE/site/&amp;sa=D&amp;ust=1605639815537000&amp;usg=AFQjCNFItV6KiiA8ewI1m8Gvrl7ZbzQbUg" xr:uid="{A866CCDF-60DC-4CBD-BD54-787C710D302E}"/>
    <hyperlink ref="F96" r:id="rId152" display="https://www.google.com/url?q=https://github.com/mostafa-saad/MyCompetitiveProgramming/blob/master/Olympiad/POI/official/find_editorial_sols_guidelines.txt&amp;sa=D&amp;ust=1605639815537000&amp;usg=AFQjCNGQpIKros1fTVzim6xv9XEnbY3fyg" xr:uid="{38397689-4681-4580-9922-7C9E6E59D7C3}"/>
    <hyperlink ref="B97" r:id="rId153" display="https://www.google.com/url?q=https://oj.uz/problems/source/351&amp;sa=D&amp;ust=1605639815537000&amp;usg=AFQjCNE3EtPQDrwuKrT-f2alNyIoonBJ7g" xr:uid="{C534ADB2-F5C5-4ECE-9B8F-D13882A84019}"/>
    <hyperlink ref="F97" r:id="rId154" display="https://www.google.com/url?q=https://github.com/mostafa-saad/MyCompetitiveProgramming/tree/master/Olympiad/JOI/official/JOIOC/2018&amp;sa=D&amp;ust=1605639815537000&amp;usg=AFQjCNHzEpHZv_QWuaosTUHeNhP1xcEOfA" xr:uid="{A4E427B7-82BB-409B-BD88-420B5D82AC39}"/>
    <hyperlink ref="B98" r:id="rId155" display="https://www.google.com/url?q=https://www.hackerrank.com/contests/boi-2016/challenges&amp;sa=D&amp;ust=1605639815537000&amp;usg=AFQjCNGaQQfWUQYT-SG-05Gx3zRl0iFUMg" xr:uid="{972DE30A-0383-4606-A751-90153C540036}"/>
    <hyperlink ref="F98" r:id="rId156" display="https://www.google.com/url?q=https://github.com/mostafa-saad/MyCompetitiveProgramming/tree/master/Olympiad/Balkan/official/2016&amp;sa=D&amp;ust=1605639815538000&amp;usg=AFQjCNFeAJkozklwpQS-7r0OMHwAgUF6QA" xr:uid="{DDD56BFE-7051-4AB1-9AFA-8B376571DED3}"/>
    <hyperlink ref="B99" r:id="rId157" display="https://www.google.com/url?q=https://oj.uz/problem/view/IOI08_fish&amp;sa=D&amp;ust=1605639815538000&amp;usg=AFQjCNHCATkLiobb57g3o0fxtXFp0oX_ow" xr:uid="{5A713F68-E7F2-47DB-8DBC-E5CAEF6296A9}"/>
    <hyperlink ref="F99" r:id="rId158" display="https://www.google.com/url?q=https://github.com/mostafa-saad/MyCompetitiveProgramming/blob/master/Olympiad/IOI/official/2008&amp;sa=D&amp;ust=1605639815538000&amp;usg=AFQjCNHRh44VkVgN_64_nq9KeErjlyorwQ" xr:uid="{1C930D52-945C-41FB-BC93-98CA39581BFE}"/>
    <hyperlink ref="B100" r:id="rId159" display="https://www.google.com/url?q=https://www.hackerrank.com/contests/ioi-2014-practice-contest-2/challenges&amp;sa=D&amp;ust=1605639815538000&amp;usg=AFQjCNHWy1krKyAbvD4nmdgj-lCyIh13qw" xr:uid="{33B12791-DA01-4283-B655-1DC94663429D}"/>
    <hyperlink ref="B101" r:id="rId160" display="https://www.google.com/url?q=https://szkopul.edu.pl/problemset/problem/kYVp05sX8lzHWNwn93xjcYwH/site/&amp;sa=D&amp;ust=1605639815539000&amp;usg=AFQjCNEap7DeMywa-O2eAv_8m8kqWmNq6g" xr:uid="{DEB60F2A-1DAB-49C5-ABD5-D2C6F1588526}"/>
    <hyperlink ref="F101" r:id="rId161" display="https://www.google.com/url?q=https://github.com/mostafa-saad/MyCompetitiveProgramming/blob/master/Olympiad/POI/official/find_editorial_sols_guidelines.txt&amp;sa=D&amp;ust=1605639815539000&amp;usg=AFQjCNHmrTAiMGHgxbjF4pNwBWV47sfAqw" xr:uid="{604FF3B2-316F-46BD-A6FB-446D629F3960}"/>
    <hyperlink ref="B102" r:id="rId162" display="https://www.google.com/url?q=https://oj.uz/problem/view/COCI17_dojave&amp;sa=D&amp;ust=1605639815539000&amp;usg=AFQjCNEezgr4VN7JW8SHHuXc_RLbmkJqXQ" xr:uid="{203C4DCB-EC45-4B82-9F5F-F6A7785D1A88}"/>
    <hyperlink ref="B103" r:id="rId163" display="https://www.google.com/url?q=https://oj.uz/problem/view/IOI19_split&amp;sa=D&amp;ust=1605639815539000&amp;usg=AFQjCNF2MALjhGlsN-vQiyirpqHS3rbwBg" xr:uid="{5EE0AFFF-BA80-4F12-B0D2-F9F300F339DC}"/>
    <hyperlink ref="F103" r:id="rId164" display="https://www.google.com/url?q=https://github.com/mostafa-saad/MyCompetitiveProgramming/tree/master/Olympiad/IOI/official/2019&amp;sa=D&amp;ust=1605639815540000&amp;usg=AFQjCNGlZ8jrPxG5vwSr0ttYJwoHKgy6Bg" xr:uid="{C879E4AF-5221-473A-86BE-06F39FFCF930}"/>
    <hyperlink ref="B104" r:id="rId165" display="https://www.google.com/url?q=https://szkopul.edu.pl/problemset/problem/3Kqkgeapr-W-MBprNjUDGICL/site/&amp;sa=D&amp;ust=1605639815540000&amp;usg=AFQjCNFgJOynY_kO91N2ONtDtsmIiv_loQ" xr:uid="{32C57707-3859-41CC-8F2E-192811B15910}"/>
    <hyperlink ref="F104" r:id="rId166" display="https://www.google.com/url?q=https://github.com/mostafa-saad/MyCompetitiveProgramming/blob/master/Olympiad/POI/official/find_editorial_sols_guidelines.txt&amp;sa=D&amp;ust=1605639815540000&amp;usg=AFQjCNFIQmRGKuykMN5-l13RaeqaalcfIQ" xr:uid="{840D9249-407B-4151-8A9F-AFB85F2806AC}"/>
    <hyperlink ref="B105" r:id="rId167" display="https://www.google.com/url?q=https://dmoj.ca/contest/cco18d2&amp;sa=D&amp;ust=1605639815540000&amp;usg=AFQjCNHaEeKY3bQNEc5AYNluCqSj_cPGxw" xr:uid="{F141D807-4C93-41D5-9BB3-9D158544E9C4}"/>
    <hyperlink ref="B106" r:id="rId168" display="https://www.google.com/url?q=https://dunjudge.me/analysis/problems/1661/&amp;sa=D&amp;ust=1605639815541000&amp;usg=AFQjCNHP6UN5QKw-dL4c7qIZ3RCBdGxPDQ" xr:uid="{11CB59A1-9BDB-4F77-9AAB-1B010B8CEF45}"/>
    <hyperlink ref="B107" r:id="rId169" display="https://www.google.com/url?q=https://joisc2014.contest.atcoder.jp/tasks/joisc2014_k&amp;sa=D&amp;ust=1605639815541000&amp;usg=AFQjCNFMqyChH7NcCtc_7X_Blj6GfM693w" xr:uid="{0004A42D-CC4F-4AD8-A4C6-9E6B9CEA811B}"/>
    <hyperlink ref="B108" r:id="rId170" display="https://www.google.com/url?q=https://dunjudge.me/analysis/problems/742/&amp;sa=D&amp;ust=1605639815541000&amp;usg=AFQjCNHslCtFnMvIBDVuLPc9ED-7HCNkXQ" xr:uid="{EF455389-F167-4760-B516-FFA5BAF65E0D}"/>
    <hyperlink ref="B109" r:id="rId171" display="https://www.google.com/url?q=https://joisc2016.contest.atcoder.jp/tasks/joisc2016_g&amp;sa=D&amp;ust=1605639815542000&amp;usg=AFQjCNHkZVStjtkN8EQj2sMcrs2gjfJUJQ" xr:uid="{CB9597BF-BC04-4ACB-B98D-E3501BF3A8CB}"/>
    <hyperlink ref="B110" r:id="rId172" display="https://www.google.com/url?q=https://joisc2016.contest.atcoder.jp/tasks/joisc2016_k&amp;sa=D&amp;ust=1605639815542000&amp;usg=AFQjCNHIz6XcYCVqD7kYfT95Sz7xHP5mEg" xr:uid="{6D98E0D3-545E-4053-BFCF-CC2E59F9DBC8}"/>
    <hyperlink ref="B111" r:id="rId173" display="https://www.google.com/url?q=https://csacademy.com/contest/ejoi-2017-day-1/task/six/&amp;sa=D&amp;ust=1605639815542000&amp;usg=AFQjCNFo7UaB1F75DrbvyIvctdvfaTfcHQ" xr:uid="{E4093686-F197-4DE7-8F6D-4243462910AE}"/>
    <hyperlink ref="B112" r:id="rId174" display="https://www.google.com/url?q=https://oj.uz/problem/view/BOI16_spiral&amp;sa=D&amp;ust=1605639815543000&amp;usg=AFQjCNGIfYexg50EzJ1bWMK3Quoixt3B9Q" xr:uid="{B8F36F1D-73B4-433E-993F-EDB9265EE3E6}"/>
    <hyperlink ref="F112" r:id="rId175" display="https://www.google.com/url?q=https://github.com/mostafa-saad/MyCompetitiveProgramming/blob/master/Olympiad/Baltic/official/boi2016_solutions&amp;sa=D&amp;ust=1605639815543000&amp;usg=AFQjCNGDDKbTjV0S6Id3HuHFPIeUe6L6HQ" xr:uid="{157861A0-5025-44AD-99D0-339EA6EDB9D5}"/>
    <hyperlink ref="B113" r:id="rId176" display="https://www.google.com/url?q=https://www.hackerrank.com/contests/ioi-2014-practice-contest-1/challenges&amp;sa=D&amp;ust=1605639815543000&amp;usg=AFQjCNFIQjjaSIEQvvF1h00PO2bvsFiJEw" xr:uid="{E4755769-88BE-4BDD-895F-AACCDDF12CE4}"/>
    <hyperlink ref="B114" r:id="rId177" display="https://www.google.com/url?q=https://oj.uz/problem/view/BOI14_demarcation&amp;sa=D&amp;ust=1605639815543000&amp;usg=AFQjCNGBakGZeHKWd9rC3MT58xOqiuUDEA" xr:uid="{BACF9BC7-A941-4B96-BE02-49269F3E57D7}"/>
    <hyperlink ref="F114" r:id="rId178" display="https://www.google.com/url?q=https://github.com/mostafa-saad/MyCompetitiveProgramming/blob/master/Olympiad/Baltic/official/boi2014_solutions&amp;sa=D&amp;ust=1605639815544000&amp;usg=AFQjCNHhdcVQTA31FkbnrhIBFsIbp14EQg" xr:uid="{76F42C8B-16D1-473A-81E8-6BEB49683472}"/>
    <hyperlink ref="B115" r:id="rId179" display="https://www.google.com/url?q=https://oj.uz/problem/view/IOI16_shortcut&amp;sa=D&amp;ust=1605639815545000&amp;usg=AFQjCNFPeptrhBYer29ewbvctCA0q883-g" xr:uid="{1DBEC893-3ABD-4E68-800A-360E2CB37779}"/>
    <hyperlink ref="F115" r:id="rId180" display="https://www.google.com/url?q=https://github.com/mostafa-saad/MyCompetitiveProgramming/blob/master/Olympiad/IOI/official/2016&amp;sa=D&amp;ust=1605639815545000&amp;usg=AFQjCNFYKqHsFBK3dCzCY-eSOb4XFTS87g" xr:uid="{FE6FF4E2-90E8-49D4-A7BF-3F64E9F49AF5}"/>
    <hyperlink ref="B116" r:id="rId181" display="https://www.google.com/url?q=https://www.acmicpc.net/problem/12017&amp;sa=D&amp;ust=1605639815545000&amp;usg=AFQjCNFYPEJKCHyLD463_RuuAesqVfrLlw" xr:uid="{EA636194-2CC4-418E-B149-322C4C398E8D}"/>
    <hyperlink ref="F116" r:id="rId182" display="https://www.google.com/url?q=https://github.com/mostafa-saad/MyCompetitiveProgramming/tree/master/Olympiad/Balkan/official/2015&amp;sa=D&amp;ust=1605639815545000&amp;usg=AFQjCNGlCeUv49cmSj7tNckqx_tUIybMPA" xr:uid="{31FD5A02-25E8-4C15-AE95-9E9D58AB9BDD}"/>
    <hyperlink ref="B117" r:id="rId183" display="https://www.google.com/url?q=https://contest.yandex.ru/ioi/contest/562/problems/C/&amp;sa=D&amp;ust=1605639815545000&amp;usg=AFQjCNHwH2JgoT8IT66q-BgyXB_w69Aaow" xr:uid="{98DA19E6-FB2C-4A9A-9796-3AF0344134E1}"/>
    <hyperlink ref="F117" r:id="rId184" display="https://www.google.com/url?q=https://github.com/mostafa-saad/MyCompetitiveProgramming/blob/master/Olympiad/IOI/official/2006/ioi06_forbidden_sol.pdf&amp;sa=D&amp;ust=1605639815546000&amp;usg=AFQjCNEfRBLxSHctaxziHl36jgjh9kHQtg" xr:uid="{2DADF754-3B44-498F-8F77-16B3DC199551}"/>
    <hyperlink ref="B118" r:id="rId185" display="https://www.google.com/url?q=https://cses.fi/189/list/&amp;sa=D&amp;ust=1605639815546000&amp;usg=AFQjCNHw9BXTbfZuzVVdm3eTfbY5eBW4DQ" xr:uid="{3830852C-A83C-438E-B3C9-2FD2442A666E}"/>
    <hyperlink ref="F118" r:id="rId186" display="https://www.google.com/url?q=https://github.com/mostafa-saad/MyCompetitiveProgramming/tree/master/Olympiad/CEOI/official/2008&amp;sa=D&amp;ust=1605639815546000&amp;usg=AFQjCNHyosg38etJmR4ofSiEkYQbNxZz_g" xr:uid="{2583A21A-75B5-4502-8621-30812DF1BF07}"/>
    <hyperlink ref="B119" r:id="rId187" display="https://www.google.com/url?q=https://www.hackerrank.com/contests/boi-2016/challenges&amp;sa=D&amp;ust=1605639815546000&amp;usg=AFQjCNEUgRU-v5Vh-RSxSmOS_PbEP4Cxjg" xr:uid="{F0A562A3-C744-4CCA-88A1-5D52CD20CFF2}"/>
    <hyperlink ref="F119" r:id="rId188" display="https://www.google.com/url?q=https://bytefreaks.net/cyprus-computer-society/tasks-balkan-olympiad-in-informatics-2016&amp;sa=D&amp;ust=1605639815546000&amp;usg=AFQjCNEVuqosX5WKw6CUYme5AZJnSKBvZw" xr:uid="{0C67A73D-79AD-47DF-AE0B-6028C8E8A75F}"/>
    <hyperlink ref="B120" r:id="rId189" display="https://www.google.com/url?q=https://oj.uz/problem/view/IZhO19_xorsum&amp;sa=D&amp;ust=1605639815547000&amp;usg=AFQjCNGRx6MS_IXHUayq9RqheqcvlWDQpg" xr:uid="{83BB4279-056A-484E-A0FA-D69438CEFFF5}"/>
    <hyperlink ref="B121" r:id="rId190" display="https://www.google.com/url?q=https://cses.fi/106/list/&amp;sa=D&amp;ust=1605639815547000&amp;usg=AFQjCNHINAXcCSxRxLyf0xsF992ZHzribQ" xr:uid="{CED91500-529C-4BB5-9194-57E1B887528B}"/>
    <hyperlink ref="F121" r:id="rId191" display="https://www.google.com/url?q=https://github.com/mostafa-saad/MyCompetitiveProgramming/blob/master/Olympiad/Baltic/official/boi2010_solutions&amp;sa=D&amp;ust=1605639815547000&amp;usg=AFQjCNGK6n1-7VcYEEm0FlG0ou9BiXnTQA" xr:uid="{B89C40B0-092F-4481-83F6-82AEE050BE6A}"/>
    <hyperlink ref="B122" r:id="rId192" display="https://www.google.com/url?q=https://oj.uz/problems/source/314&amp;sa=D&amp;ust=1605639815548000&amp;usg=AFQjCNFSIhMpSn6FNs5sSubPj2IrtvEfhw" xr:uid="{0CE30F50-231D-458C-AFAB-CD18DF864C60}"/>
    <hyperlink ref="F122" r:id="rId193" display="https://www.google.com/url?q=https://codeforces.com/blog/entry/58433&amp;sa=D&amp;ust=1605639815548000&amp;usg=AFQjCNEtxKi9SRUC83DsRvX31JPfysLw1Q" xr:uid="{D3F15B42-CB7D-410C-AADF-7BC1B6F8C46F}"/>
    <hyperlink ref="B123" r:id="rId194" display="https://www.google.com/url?q=https://oj.uz/problem/view/APIO17_koala&amp;sa=D&amp;ust=1605639815548000&amp;usg=AFQjCNF9gTAt-KRhU1OMDQhoPUL_QE2gXA" xr:uid="{35556933-91CF-4DA8-8939-FDCD7D78ACE2}"/>
    <hyperlink ref="F123" r:id="rId195" display="https://www.google.com/url?q=https://github.com/mostafa-saad/MyCompetitiveProgramming/blob/master/Olympiad/APIO/official/2017&amp;sa=D&amp;ust=1605639815548000&amp;usg=AFQjCNFrTcWU1X0miAlVMfZx4EaC-xT9uw" xr:uid="{50AE2DA6-129D-44BE-A510-58A57CDECD2B}"/>
    <hyperlink ref="B124" r:id="rId196" display="https://www.google.com/url?q=https://oj.uz/problem/view/IOI10_hottercolder&amp;sa=D&amp;ust=1605639815548000&amp;usg=AFQjCNFgwTTGOSiWMGFh74EnwF80CxHWyQ" xr:uid="{13C72DD5-4E8F-447F-9EA8-A04AF49BFBAB}"/>
    <hyperlink ref="F124" r:id="rId197" display="https://www.google.com/url?q=https://github.com/mostafa-saad/MyCompetitiveProgramming/blob/master/Olympiad/IOI/official/2010&amp;sa=D&amp;ust=1605639815549000&amp;usg=AFQjCNFvnfMfoxvePTpBZsRa2V8EmO9fdg" xr:uid="{9BC1F183-CD7A-43A3-9CFD-3F8B18BB38B4}"/>
    <hyperlink ref="B125" r:id="rId198" display="https://www.google.com/url?q=https://oj.uz/problem/view/IZhO18_segments&amp;sa=D&amp;ust=1605639815549000&amp;usg=AFQjCNGvV6Xra7yU2qj4ujWLqbUZoWfP3w" xr:uid="{FC44A931-A0F5-4998-B91C-79244D0A2131}"/>
    <hyperlink ref="F125" r:id="rId199" display="https://www.google.com/url?q=https://github.com/mostafa-saad/MyCompetitiveProgramming/blob/master/Olympiad/IZhO/IZhO-18-segments.txt&amp;sa=D&amp;ust=1605639815549000&amp;usg=AFQjCNGoagLofWI1V2nar8rHAwSb5h_zAw" xr:uid="{1CAE9616-0A59-405A-AACF-421BF5F0BC87}"/>
    <hyperlink ref="B126" r:id="rId200" display="https://www.google.com/url?q=https://cses.fi/105/list/&amp;sa=D&amp;ust=1605639815549000&amp;usg=AFQjCNETqC_8Mp12pwckBY1dmwYTrI5fvA" xr:uid="{162890FA-12CE-49B0-BF59-E14E0727020C}"/>
    <hyperlink ref="F126" r:id="rId201" display="https://www.google.com/url?q=https://github.com/mostafa-saad/MyCompetitiveProgramming/blob/master/Olympiad/Baltic/Baltic-10-Bears.txt&amp;sa=D&amp;ust=1605639815549000&amp;usg=AFQjCNEwdbdHRMdFXGax07FaZ7ztunkhbw" xr:uid="{5CCECB15-FBB5-4375-80CD-3A17A00CFD9A}"/>
    <hyperlink ref="B127" r:id="rId202" display="https://www.google.com/url?q=https://oj.uz/problem/view/IOI16_aliens&amp;sa=D&amp;ust=1605639815550000&amp;usg=AFQjCNErpyrSUMSscQ5jNK8rfibUgdHLMA" xr:uid="{13A984E9-0DFA-4ABF-8788-1805947B702C}"/>
    <hyperlink ref="F127" r:id="rId203" display="https://www.google.com/url?q=https://github.com/mostafa-saad/MyCompetitiveProgramming/blob/master/Olympiad/IOI/IOI-16-aliens.txt&amp;sa=D&amp;ust=1605639815550000&amp;usg=AFQjCNHtUqOBGXDHo9jzuhqPsuSjsw7kvA" xr:uid="{4A54AAEB-49DE-4073-88AB-3F3AF3C594D6}"/>
    <hyperlink ref="B128" r:id="rId204" display="https://www.google.com/url?q=https://oj.uz/problems/source/213&amp;sa=D&amp;ust=1605639815550000&amp;usg=AFQjCNHY7vmbxsgNgalNTStTwQI3D4KLZQ" xr:uid="{32D909E3-890E-4BF1-B220-04E8B44DFBF8}"/>
    <hyperlink ref="F128" r:id="rId205" display="https://www.google.com/url?q=http://codeforces.com/blog/entry/47764&amp;sa=D&amp;ust=1605639815550000&amp;usg=AFQjCNFmjWuYMgX33SzrRfKHzxOTVCpC0Q" xr:uid="{44056479-5424-44D6-8533-86E5306E97C0}"/>
    <hyperlink ref="B129" r:id="rId206" display="https://www.google.com/url?q=https://oj.uz/problem/view/balkan11_timeismoney&amp;sa=D&amp;ust=1605639815551000&amp;usg=AFQjCNGTTGt17yfUs41m_A4kfkmgn93w-Q" xr:uid="{4A01BCF8-D635-40F4-B13D-CBD2A6ABEBAB}"/>
    <hyperlink ref="F129" r:id="rId207" display="https://www.google.com/url?q=https://github.com/tmwilliamlin168/CompetitiveProgramming/blob/master/BkOI/11-Time_Is_Money.cpp&amp;sa=D&amp;ust=1605639815551000&amp;usg=AFQjCNElDMGrX7VpuIa5wFpOUlWxfalvKg" xr:uid="{9CCB3385-FD20-4756-B107-D68042CCFB6A}"/>
    <hyperlink ref="B130" r:id="rId208" display="https://www.google.com/url?q=https://szkopul.edu.pl/problemset/problem/DkPj-ES6glaEwxppbuaxbOO6/site/&amp;sa=D&amp;ust=1605639815551000&amp;usg=AFQjCNEkFmSxkGlJG-ZrqljNsD__OMZu4w" xr:uid="{F1FE1F4D-50CB-40EB-8254-7F515B68E53D}"/>
    <hyperlink ref="F130" r:id="rId209" display="https://www.google.com/url?q=https://github.com/mostafa-saad/MyCompetitiveProgramming/blob/master/Olympiad/POI/POI-12-Prefixuffix.txt&amp;sa=D&amp;ust=1605639815551000&amp;usg=AFQjCNHQTsKKWwQFJI9wvshklNDfpx4L0g" xr:uid="{C6DCE1F3-7284-4C67-9AF7-FD2D1C23B837}"/>
    <hyperlink ref="B131" r:id="rId210" display="https://www.google.com/url?q=https://oj.uz/problems/source/313&amp;sa=D&amp;ust=1605639815552000&amp;usg=AFQjCNHWi4VlZTbb7WNvPaJk2o6dgUJ77w" xr:uid="{806DD5A2-7236-4BE3-8480-5350FEA24E55}"/>
    <hyperlink ref="F131" r:id="rId211" display="https://www.google.com/url?q=https://github.com/mostafa-saad/MyCompetitiveProgramming/blob/master/Olympiad/JOI/JOISC-18-construction.txt&amp;sa=D&amp;ust=1605639815553000&amp;usg=AFQjCNEpJCaFif-Jyc7xky5SF_AOprU1NA" xr:uid="{77F13303-0499-4D38-BCD0-AB3FB64CCCD2}"/>
    <hyperlink ref="B132" r:id="rId212" display="https://www.google.com/url?q=https://oj.uz/problem/view/JOI17_coach&amp;sa=D&amp;ust=1605639815553000&amp;usg=AFQjCNFmeTJ3-b_Se0q8tkeYEBRf2Qj3qQ" xr:uid="{5125F43F-5B23-419B-8188-23FE901C6FF6}"/>
    <hyperlink ref="F132" r:id="rId213" display="https://www.google.com/url?q=https://github.com/tmwilliamlin168/CompetitiveProgramming/blob/master/JOI/17SC-Coach.cpp&amp;sa=D&amp;ust=1605639815553000&amp;usg=AFQjCNFis9ZCdQoIXaw8vc5BZu8hK1MQvA" xr:uid="{0B8C35AF-A6C5-4AF0-8B69-98376743630F}"/>
    <hyperlink ref="B133" r:id="rId214" display="https://www.google.com/url?q=https://oj.uz/problems/source/315&amp;sa=D&amp;ust=1605639815553000&amp;usg=AFQjCNEiJcz0VDrgSqteI4ZufNWyuaz88A" xr:uid="{B17106CC-38A3-431E-8B45-8C39D7FB9145}"/>
    <hyperlink ref="F133" r:id="rId215" display="https://www.google.com/url?q=https://github.com/mostafa-saad/MyCompetitiveProgramming/blob/master/Olympiad/JOI/JOISC-18-bitaro.txt&amp;sa=D&amp;ust=1605639815553000&amp;usg=AFQjCNF4i02D0-VTHE4KrYLxAlsmuPw4tA" xr:uid="{BCCFE701-4D4D-458C-8F64-E5A101F408DA}"/>
    <hyperlink ref="B134" r:id="rId216" display="https://www.google.com/url?q=https://szkopul.edu.pl/problemset/problem/FHsx0TDoMNHN-XrWzXtUzzpi/site/&amp;sa=D&amp;ust=1605639815554000&amp;usg=AFQjCNFxcwRb7cOd-6qEngyv__FQqSC1JQ" xr:uid="{A9D1D3AF-7942-4B13-B139-FEF794EDB3CA}"/>
    <hyperlink ref="F134" r:id="rId217" display="https://www.google.com/url?q=https://github.com/mostafa-saad/MyCompetitiveProgramming/blob/master/Olympiad/POI/POI-13-Price.txt&amp;sa=D&amp;ust=1605639815554000&amp;usg=AFQjCNFboGzeh7mnZwsWATwNTMD_C1vQnw" xr:uid="{98022622-A962-4774-BC11-A0D1DD54FC63}"/>
    <hyperlink ref="B135" r:id="rId218" display="https://www.google.com/url?q=https://oj.uz/problem/view/IOI08_pyramid_base&amp;sa=D&amp;ust=1605639815554000&amp;usg=AFQjCNHanyvgUU4RQVVR7xZ8MX9scZIPzQ" xr:uid="{57EE498C-0FDD-45A5-B004-AE50AB3BA3A8}"/>
    <hyperlink ref="F135" r:id="rId219" display="https://www.google.com/url?q=https://github.com/mostafa-saad/MyCompetitiveProgramming/blob/master/Olympiad/IOI/IOI-08-pyramid_base.txt&amp;sa=D&amp;ust=1605639815554000&amp;usg=AFQjCNGpvLb4o_OMhcMPxgSN2jhMNnlnbQ" xr:uid="{4213DF47-6230-4380-AA82-73D7EED50582}"/>
    <hyperlink ref="B136" r:id="rId220" display="https://www.google.com/url?q=http://usaco.org/index.php?page%3Dviewproblem2%26cpid%3D865&amp;sa=D&amp;ust=1605639815555000&amp;usg=AFQjCNG3RA1dCEUrZRFSa7hKDON8254TQA" xr:uid="{E58B7ECA-D185-4C13-88A8-2B0E41BF12AE}"/>
    <hyperlink ref="F136" r:id="rId221" display="https://www.google.com/url?q=https://github.com/tmwilliamlin168/CompetitiveProgramming/blob/master/USACO/Contests/1819_1P/Itout.cpp&amp;sa=D&amp;ust=1605639815555000&amp;usg=AFQjCNEZN5qf8L4RC0zSGmaopRiTYRKg9w" xr:uid="{CFFDF050-5C9E-4CC6-B7F9-AC9CEA264EEC}"/>
    <hyperlink ref="B137" r:id="rId222" display="https://www.google.com/url?q=https://oj.uz/problem/view/IOI17_train&amp;sa=D&amp;ust=1605639815555000&amp;usg=AFQjCNGmaGbtSP67j0IAKxNcTyulFZaGkw" xr:uid="{80301D3E-6717-4319-B1D9-EB006760B836}"/>
    <hyperlink ref="F137" r:id="rId223" display="https://www.google.com/url?q=https://github.com/mostafa-saad/MyCompetitiveProgramming/blob/master/Olympiad/IOI/IOI-17-toytrain.txt&amp;sa=D&amp;ust=1605639815555000&amp;usg=AFQjCNEaLRqDVul2-vx2FuHp5uVAlU5Aqw" xr:uid="{54B77E76-CF3D-49F2-8C10-0C7272CF7F25}"/>
    <hyperlink ref="B138" r:id="rId224" display="https://www.google.com/url?q=https://contest.yandex.ru/ioi/contest/562/problems/E/&amp;sa=D&amp;ust=1605639815555000&amp;usg=AFQjCNEzVYN4IiGT3LUnNCd9vKW_i5f2bg" xr:uid="{FEF208E0-0522-4EAD-BF1B-2A38264D5EA5}"/>
    <hyperlink ref="F138" r:id="rId225" display="https://www.google.com/url?q=https://github.com/mostafa-saad/MyCompetitiveProgramming/blob/master/Olympiad/IOI/IOI-06-points.txt&amp;sa=D&amp;ust=1605639815556000&amp;usg=AFQjCNHR1HrR-82sUrE1fQGmxWXI1DbXXA" xr:uid="{1B91DA13-3A81-4534-BD74-E717734D209E}"/>
    <hyperlink ref="B139" r:id="rId226" display="https://www.google.com/url?q=https://infoarena.ro/problema/nuke&amp;sa=D&amp;ust=1605639815556000&amp;usg=AFQjCNHxuqAWAi2SaN11t6mwCtNH63OUDw" xr:uid="{6F1EF88E-1814-46E5-823D-5D86E3DC9C58}"/>
    <hyperlink ref="F139" r:id="rId227" display="https://www.google.com/url?q=https://github.com/stefdasca/CompetitiveProgramming/blob/master/Infoarena/nuke.cpp&amp;sa=D&amp;ust=1605639815556000&amp;usg=AFQjCNFFnEvafjbM31Q2srlbXEXlKV7Oug" xr:uid="{62C62A75-3B39-4B48-857D-9F1D662864E7}"/>
    <hyperlink ref="B140" r:id="rId228" display="https://www.google.com/url?q=https://oj.uz/problem/view/IOI17_books&amp;sa=D&amp;ust=1605639815556000&amp;usg=AFQjCNHBEfqxB3KGQW8t0IQ1EAXgiq_E-A" xr:uid="{C74B89DB-7532-43D1-B52F-C1BEE7FA1172}"/>
    <hyperlink ref="F140" r:id="rId229" display="https://www.google.com/url?q=https://github.com/mostafa-saad/MyCompetitiveProgramming/blob/master/Olympiad/IOI/official/2017&amp;sa=D&amp;ust=1605639815557000&amp;usg=AFQjCNHIOai9RI_hkB7tUA6SoS7qTmv9Jw" xr:uid="{04DEBA99-2C7C-4881-9C78-DEF860540704}"/>
    <hyperlink ref="B141" r:id="rId230" display="https://www.google.com/url?q=https://contest.yandex.ru/ioi/contest/558/enter/&amp;sa=D&amp;ust=1605639815557000&amp;usg=AFQjCNGKgr_FBPZmZ5CoNtIP7K_gALfwyQ" xr:uid="{CE0970C8-3E31-4866-9A6A-5D6AEA9A3F94}"/>
    <hyperlink ref="F141" r:id="rId231" display="https://www.google.com/url?q=https://github.com/mostafa-saad/MyCompetitiveProgramming/blob/master/Olympiad/IOI/official/2003&amp;sa=D&amp;ust=1605639815557000&amp;usg=AFQjCNFaxmzbIzawMzYL2GI3NK1VpBxT8g" xr:uid="{3F0BEDD3-F25E-4AFF-9E6D-C3932D039923}"/>
    <hyperlink ref="B142" r:id="rId232" display="https://www.google.com/url?q=https://dunjudge.me/analysis/problems/578/&amp;sa=D&amp;ust=1605639815557000&amp;usg=AFQjCNHK7s8gb3-lWYiU8truCuES-y3F3w" xr:uid="{487E69F8-4E4E-4076-8264-FBCB226FB0B9}"/>
    <hyperlink ref="F142" r:id="rId233" display="https://www.google.com/url?q=https://github.com/mostafa-saad/MyCompetitiveProgramming/blob/master/Olympiad/CEOI/COCI-10-upit.txt&amp;sa=D&amp;ust=1605639815557000&amp;usg=AFQjCNGBTq0QWFfkzN44D0khphP8wfsgog" xr:uid="{05093D88-E9FB-4A96-B68C-76B14E1CB187}"/>
    <hyperlink ref="B143" r:id="rId234" display="https://www.google.com/url?q=https://oj.uz/problem/view/IOI18_seats&amp;sa=D&amp;ust=1605639815558000&amp;usg=AFQjCNF5KvJ8JfveveQSBCusRuSMufU7Fw" xr:uid="{FB13DA16-09FD-47AD-B3F3-111F7A5E3C49}"/>
    <hyperlink ref="F143" r:id="rId235" display="https://www.google.com/url?q=https://github.com/nikolapesic2802/Programming-Practice/blob/master/Seats/IOI%25202018%2520Seats.txt&amp;sa=D&amp;ust=1605639815558000&amp;usg=AFQjCNHYro_OjFVx2x6P_dOamanqwl9eEg" xr:uid="{DAE34F82-3A65-4290-A5F1-EE217A4F097C}"/>
    <hyperlink ref="B144" r:id="rId236" display="https://www.google.com/url?q=https://cses.fi/108/list/&amp;sa=D&amp;ust=1605639815558000&amp;usg=AFQjCNG64NKd9jAPVW_ylIoU4Uh5OB20Zw" xr:uid="{7BC0CF6B-74B5-4B24-A20E-37082EEEE15F}"/>
    <hyperlink ref="F144" r:id="rId237" display="https://www.google.com/url?q=https://github.com/mostafa-saad/MyCompetitiveProgramming/blob/master/Olympiad/Baltic/Baltic-09-Monument.txt&amp;sa=D&amp;ust=1605639815558000&amp;usg=AFQjCNFRKoqY0e6UBQnBVBgo5Ypnk-3Sjw" xr:uid="{A7594AEE-8995-4436-B2CE-E5EC850FB066}"/>
    <hyperlink ref="B145" r:id="rId238" display="https://www.google.com/url?q=https://wcipeg.com/problem/coi09p3&amp;sa=D&amp;ust=1605639815559000&amp;usg=AFQjCNEFoMLSOck5pS_Z7TTF3o0DPjJKoQ" xr:uid="{91E514F6-B0D0-485E-A3C4-91C827FB4311}"/>
    <hyperlink ref="F145" r:id="rId239" display="https://www.google.com/url?q=https://github.com/mostafa-saad/MyCompetitiveProgramming/blob/master/Olympiad/COI/COI-09-Loza.txt&amp;sa=D&amp;ust=1605639815559000&amp;usg=AFQjCNH2lcFj1ANWIfO-sGsUY8EiJL4TlA" xr:uid="{7A2E814D-A82C-4A23-80DC-67C8F06DDE6E}"/>
    <hyperlink ref="B146" r:id="rId240" display="https://www.google.com/url?q=https://oj.uz/problem/view/JOI18_snake_escaping&amp;sa=D&amp;ust=1605639815559000&amp;usg=AFQjCNEwTUxjYMkdwjsdNX0CbfdGYtoBbA" xr:uid="{8DE8F6C8-D61A-45A2-8121-B351E01C7C4E}"/>
    <hyperlink ref="F146" r:id="rId241" display="https://www.google.com/url?q=https://github.com/mostafa-saad/MyCompetitiveProgramming/blob/master/Olympiad/JOI/JOI-18-snakeescaping.txt&amp;sa=D&amp;ust=1605639815559000&amp;usg=AFQjCNH3Bsk7p1RoSh7gHRxxW6SnI2Va4A" xr:uid="{D8FBEDA4-6086-49FC-842F-20D756C916F5}"/>
    <hyperlink ref="B147" r:id="rId242" display="https://www.google.com/url?q=https://oj.uz/problem/view/NOI18_safety&amp;sa=D&amp;ust=1605639815559000&amp;usg=AFQjCNGyTD1tlhNZVF-fNQyC6CPCQV-aKA" xr:uid="{19E45944-D48E-4FD9-AE67-F1E44984A823}"/>
    <hyperlink ref="F147" r:id="rId243" display="https://www.google.com/url?q=https://github.com/mostafa-saad/MyCompetitiveProgramming/blob/master/Olympiad/NOI/official&amp;sa=D&amp;ust=1605639815560000&amp;usg=AFQjCNFDQPhKqVyE_WTAjabOlL_XKEKtmw" xr:uid="{D2CB0D43-D7D4-4CC9-9BAE-4D85C8198AB5}"/>
    <hyperlink ref="B148" r:id="rId244" display="https://www.google.com/url?q=https://oj.uz/problem/view/BOI15_edi&amp;sa=D&amp;ust=1605639815561000&amp;usg=AFQjCNE0E5QgvVhsDr3wwfoIgE-CAxxwGw" xr:uid="{2448C6EB-9FAC-40E0-9158-C7FA77C508CD}"/>
    <hyperlink ref="F148" r:id="rId245" display="https://www.google.com/url?q=https://github.com/mostafa-saad/MyCompetitiveProgramming/blob/master/Olympiad/Baltic/Baltic-15-edi.txt&amp;sa=D&amp;ust=1605639815561000&amp;usg=AFQjCNHyJN3nRAc1oseA5k0UaUfHGPRU3w" xr:uid="{D4F47088-4F16-4CDF-834A-D642C3E41C46}"/>
    <hyperlink ref="B149" r:id="rId246" display="https://www.google.com/url?q=https://oj.uz/problem/view/IOI16_railroad&amp;sa=D&amp;ust=1605639815561000&amp;usg=AFQjCNEDRJhKVqwujxSXRxRM6TNZMO4Hyg" xr:uid="{B99B09A9-6C68-4A22-BFA7-DDF36667D236}"/>
    <hyperlink ref="F149" r:id="rId247" display="https://www.google.com/url?q=https://github.com/mostafa-saad/MyCompetitiveProgramming/blob/master/Olympiad/IOI/official/2016&amp;sa=D&amp;ust=1605639815561000&amp;usg=AFQjCNFlI0p2fvqK5LrEpeUWrnpmjckVHA" xr:uid="{DC29CEDA-1F7E-4D61-B1E8-8714507FE7AC}"/>
    <hyperlink ref="B150" r:id="rId248" display="https://www.google.com/url?q=http://usaco.org/index.php?page%3Dviewproblem2%26cpid%3D818&amp;sa=D&amp;ust=1605639815562000&amp;usg=AFQjCNEuri6_VWm38kEX1a6cAzcNxti75A" xr:uid="{A00C8B8A-A4F0-47C9-A460-70EDF4EA9BD0}"/>
    <hyperlink ref="B151" r:id="rId249" display="https://www.google.com/url?q=https://szkopul.edu.pl/problemset/problem/W54iZIwStF1TYWRxa1bdVPQo/site/&amp;sa=D&amp;ust=1605639815562000&amp;usg=AFQjCNHeOj3H3S0JHr0a4v7uNXZsUbpMyw" xr:uid="{FAE108D8-30CB-4078-9830-158DC6F428CA}"/>
    <hyperlink ref="F151" r:id="rId250" display="https://www.google.com/url?q=https://github.com/mostafa-saad/MyCompetitiveProgramming/blob/master/Olympiad/POI/official/find_editorial_sols_guidelines.txt&amp;sa=D&amp;ust=1605639815562000&amp;usg=AFQjCNEG9FAp0kbZQch5s82IhcUcuOTJuw" xr:uid="{448B753D-CC8E-4CC1-A523-B1B6E5E5AA6A}"/>
    <hyperlink ref="B152" r:id="rId251" display="https://www.google.com/url?q=https://szkopul.edu.pl/problemset/problem/y9HM1ctDU8V8xLMRUYACDIRs/site/&amp;sa=D&amp;ust=1605639815563000&amp;usg=AFQjCNE1ME3bGLAKcN8jsDjCA1aRLkaKRQ" xr:uid="{D96F77BC-EE1A-4A7B-9DDD-AC6953557D0D}"/>
    <hyperlink ref="F152" r:id="rId252" display="https://www.google.com/url?q=https://github.com/mostafa-saad/MyCompetitiveProgramming/blob/master/Olympiad/POI/POI-16-Hydro.txt&amp;sa=D&amp;ust=1605639815563000&amp;usg=AFQjCNGTR2b1wVgK7efDoF0DUkfNGjy-oA" xr:uid="{8F403DB9-42AD-4058-BB70-A72FFF1D8D6D}"/>
    <hyperlink ref="B153" r:id="rId253" display="https://www.google.com/url?q=https://szkopul.edu.pl/problemset/problem/4roJ2TqCXhLN6ftK2jiWKlO9/site/&amp;sa=D&amp;ust=1605639815563000&amp;usg=AFQjCNFVbsYJ3wVKsPNos1VJeBPVL9YyOg" xr:uid="{029AD386-EF54-4611-9836-DB1BF71E3B7C}"/>
    <hyperlink ref="F153" r:id="rId254" display="https://www.google.com/url?q=https://github.com/mostafa-saad/MyCompetitiveProgramming/blob/master/Olympiad/POI/official/find_editorial_sols_guidelines.txt&amp;sa=D&amp;ust=1605639815563000&amp;usg=AFQjCNEGPJtcia5Qh_h9V5TnrQaDin-o6Q" xr:uid="{86528F65-79AA-4CE9-BCF5-4471D6E85EB0}"/>
    <hyperlink ref="B154" r:id="rId255" display="https://www.google.com/url?q=https://oj.uz/problem/view/COI18_svjetlost&amp;sa=D&amp;ust=1605639815563000&amp;usg=AFQjCNE4e56D_h8xLXix4mg1eQju0-96wA" xr:uid="{C4F6B848-694A-42C6-9209-04BD121C8B83}"/>
    <hyperlink ref="B155" r:id="rId256" display="https://www.google.com/url?q=https://dmoj.ca/problem/coci08c1p6&amp;sa=D&amp;ust=1605639815564000&amp;usg=AFQjCNG168GARfxLNfhos2TMZJT4_ZtdJA" xr:uid="{94DF738A-4B5E-42C6-8823-164D420B8298}"/>
    <hyperlink ref="F155" r:id="rId257" display="https://www.google.com/url?q=https://github.com/mostafa-saad/MyCompetitiveProgramming/blob/master/Olympiad/COCI/COCI-08-Krtica.txt&amp;sa=D&amp;ust=1605639815564000&amp;usg=AFQjCNGwyub-sGSgcIf2D-d6UEOxSFzhNw" xr:uid="{9589EFD3-A4BD-49B6-9BF4-41AF2980967B}"/>
    <hyperlink ref="B156" r:id="rId258" display="https://www.google.com/url?q=https://oj.uz/problem/view/BOI19_necklace4&amp;sa=D&amp;ust=1605639815564000&amp;usg=AFQjCNH9iElF4tK5GxxSntqm2HLsVDzCUg" xr:uid="{507FBE3C-E25A-4176-9D48-AD1EFCD4A29F}"/>
    <hyperlink ref="F156" r:id="rId259" display="https://www.google.com/url?q=https://github.com/mostafa-saad/MyCompetitiveProgramming/tree/master/Olympiad/Baltic/official/boi2019_solutions&amp;sa=D&amp;ust=1605639815565000&amp;usg=AFQjCNG8w-mGmA4c_Lf7JFMyaXuhyMdzlQ" xr:uid="{D013AFF4-5AD8-40D1-A1B4-26E76B6D9361}"/>
    <hyperlink ref="B157" r:id="rId260" display="https://www.google.com/url?q=https://cses.fi/99/list/&amp;sa=D&amp;ust=1605639815565000&amp;usg=AFQjCNH2QeyHnAHBJvWDEtqBEVOwhNHKoA" xr:uid="{3AF1D2A3-5CDF-49D9-8737-A33C3C38B36A}"/>
    <hyperlink ref="B158" r:id="rId261" display="https://www.google.com/url?q=https://dunjudge.me/analysis/problems/1660/&amp;sa=D&amp;ust=1605639815566000&amp;usg=AFQjCNEOmO5jYvu7sDRQJ8w5us1dQCiHKw" xr:uid="{44CC124C-E30C-4CFA-AB93-ABFC21C567E1}"/>
    <hyperlink ref="B159" r:id="rId262" display="https://www.google.com/url?q=https://oj.uz/problem/view/COCI15_drzava&amp;sa=D&amp;ust=1605639815566000&amp;usg=AFQjCNHjSvvBz5rxxYxgP7M4_05tay0Bew" xr:uid="{69A29D78-06EE-44F3-810A-30855D07A2C5}"/>
    <hyperlink ref="F159" r:id="rId263" display="https://www.google.com/url?q=https://github.com/mostafa-saad/MyCompetitiveProgramming/blob/master/Olympiad/COCI/official/2016/contest2_solutions&amp;sa=D&amp;ust=1605639815566000&amp;usg=AFQjCNFCNXDmFg11hRD4P89_6tgw8CUv2w" xr:uid="{1EAFF0AC-833F-45B3-8A86-FF2875E6A9C3}"/>
    <hyperlink ref="B160" r:id="rId264" display="https://www.google.com/url?q=https://cses.fi/101/list/&amp;sa=D&amp;ust=1605639815567000&amp;usg=AFQjCNH7AGkGD6_u9Zx5cmbCdR-acGEBSQ" xr:uid="{E950EBB8-F27B-46CF-BF91-CE6D9EF2B48A}"/>
    <hyperlink ref="F160" r:id="rId265" display="https://www.google.com/url?q=https://github.com/mostafa-saad/MyCompetitiveProgramming/blob/master/Olympiad/Baltic/official/boi2011_solutions&amp;sa=D&amp;ust=1605639815567000&amp;usg=AFQjCNExabmyUwDtcPJVS6epLrZPE4tyqg" xr:uid="{CFC00003-4200-49AE-8F88-0DDE3826E78A}"/>
    <hyperlink ref="B161" r:id="rId266" display="https://www.google.com/url?q=https://csacademy.com/contest/ioi-2016-training-round-5/task/empty-triangles/&amp;sa=D&amp;ust=1605639815567000&amp;usg=AFQjCNHHm-n1WqYE9NG1EPDTV2mi2wzWxA" xr:uid="{A448288F-CEED-49D3-9CD5-85DA5326B597}"/>
    <hyperlink ref="B162" r:id="rId267" display="https://www.google.com/url?q=https://oj.uz/problem/view/COI18_zagonetka&amp;sa=D&amp;ust=1605639815568000&amp;usg=AFQjCNHHjNbmbeL42mvokSRlmruKIoEb7w" xr:uid="{F28B9E1A-3675-41FE-9BF3-FC8BFDC56B30}"/>
    <hyperlink ref="B163" r:id="rId268" display="https://www.google.com/url?q=https://wcipeg.com/problem/coci092p5&amp;sa=D&amp;ust=1605639815568000&amp;usg=AFQjCNEDqMry64NnQ5zv4d2cJKn3F9Z3Yw" xr:uid="{E9314D67-97CC-408C-AAAD-DCF96C4B4896}"/>
    <hyperlink ref="F163" r:id="rId269" display="https://www.google.com/url?q=https://github.com/mostafa-saad/MyCompetitiveProgramming/blob/master/Olympiad/COCI/official/2010/contest2_solutions&amp;sa=D&amp;ust=1605639815569000&amp;usg=AFQjCNHyyJ4ivhgrwPyWhiNnrqHLmTi5ug" xr:uid="{66566FD3-7676-4B42-9F4C-C6CBAE0B0BDE}"/>
    <hyperlink ref="B164" r:id="rId270" display="https://www.google.com/url?q=https://cses.fi/190/list/&amp;sa=D&amp;ust=1605639815569000&amp;usg=AFQjCNEvVrl4KTgVbXZ84RiQRH3lUbYjRg" xr:uid="{FAE0E061-471F-463C-A138-0DE8AAAAA058}"/>
    <hyperlink ref="F164" r:id="rId271" display="https://www.google.com/url?q=https://github.com/mostafa-saad/MyCompetitiveProgramming/tree/master/Olympiad/CEOI/official/2008&amp;sa=D&amp;ust=1605639815569000&amp;usg=AFQjCNGr4Yy8pOUEpB7qHb73FXPkXyGeXw" xr:uid="{B54706E3-AAA1-4C90-B9CC-8B55C10035BA}"/>
    <hyperlink ref="B165" r:id="rId272" display="https://www.google.com/url?q=https://szkopul.edu.pl/problemset/problem/DKfNUFPEex9M2RZxld6pPcxT/site/&amp;sa=D&amp;ust=1605639815570000&amp;usg=AFQjCNGfXR4Mc5IpkrIaDX-8tp3NogixTQ" xr:uid="{73DA9CEB-B512-4746-8539-852399B90D57}"/>
    <hyperlink ref="F165" r:id="rId273" display="https://www.google.com/url?q=https://github.com/mostafa-saad/MyCompetitiveProgramming/blob/master/Olympiad/POI/official/find_editorial_sols_guidelines.txt&amp;sa=D&amp;ust=1605639815570000&amp;usg=AFQjCNF1dluWrmGIfX5pQzp9bEBLcAjiDQ" xr:uid="{DB47C323-4916-4567-8300-24988E54922B}"/>
    <hyperlink ref="B166" r:id="rId274" display="https://www.google.com/url?q=https://oj.uz/problem/view/COI16_palinilap&amp;sa=D&amp;ust=1605639815572000&amp;usg=AFQjCNEpCnW1bqzoT0kIewhCEjjKI_kYqg" xr:uid="{F0AF401E-7E84-4AE3-9EBC-1E2B3AE7B94C}"/>
    <hyperlink ref="F166" r:id="rId275" display="https://www.google.com/url?q=https://github.com/mostafa-saad/MyCompetitiveProgramming/blob/master/Olympiad/COI/COI-16-palinilap.txt&amp;sa=D&amp;ust=1605639815572000&amp;usg=AFQjCNFx_KbUmOvy1CCEzNoyY_xSg3veWQ" xr:uid="{051EF3E7-73C3-46F8-A625-C5345CF8564B}"/>
    <hyperlink ref="B167" r:id="rId276" display="https://www.google.com/url?q=https://csacademy.com/contest/balkan-oi-2017-day-2/&amp;sa=D&amp;ust=1605639815573000&amp;usg=AFQjCNE1Kw4ejhg5sVSx_GmKTDaxpeirEg" xr:uid="{09377E47-3C43-48AC-9C4E-2B06A5E6B0C1}"/>
    <hyperlink ref="F167" r:id="rId277" display="https://www.google.com/url?q=https://github.com/mostafa-saad/MyCompetitiveProgramming/blob/master/Olympiad/Balkan/Balkan-17-Cats.txt&amp;sa=D&amp;ust=1605639815573000&amp;usg=AFQjCNHMXnBf7V2oekyI2rOdlxjBiySHVg" xr:uid="{B4BD20B5-77AC-4590-A8CA-B540F8E1016D}"/>
    <hyperlink ref="B168" r:id="rId278" display="https://www.google.com/url?q=https://oj.uz/problem/view/COI14_gta&amp;sa=D&amp;ust=1605639815573000&amp;usg=AFQjCNGFtVvSz7qXrVRYvOoRlHDckZ4ezw" xr:uid="{AF61397F-A334-4D38-86A1-4A1E70AD1412}"/>
    <hyperlink ref="F168" r:id="rId279" display="https://www.google.com/url?q=https://github.com/mostafa-saad/MyCompetitiveProgramming/blob/master/Olympiad/COI/COI-14-gta.txt&amp;sa=D&amp;ust=1605639815574000&amp;usg=AFQjCNHKn2fNWWJRlgUPLC06Geyfk0HWEA" xr:uid="{2431952D-4001-469F-912E-E44D0AC035D5}"/>
    <hyperlink ref="B169" r:id="rId280" display="https://www.google.com/url?q=https://szkopul.edu.pl/problemset/problem/oSpFEpvAxKNk0Il-nOe5L9El/site/&amp;sa=D&amp;ust=1605639815574000&amp;usg=AFQjCNFelT9RyiHDZGv8PHrGl0g1hqUUJw" xr:uid="{45ED8001-3A54-49EE-A981-137F0FE6BEEB}"/>
    <hyperlink ref="F169" r:id="rId281" display="https://www.google.com/url?q=https://github.com/mostafa-saad/MyCompetitiveProgramming/blob/master/Olympiad/POI/POI-08-Robinson.txt&amp;sa=D&amp;ust=1605639815574000&amp;usg=AFQjCNEH2R41sx9N9rzpLJMq_9Fe95LHhA" xr:uid="{B8D967B1-1457-44C8-9362-50327163658C}"/>
    <hyperlink ref="B170" r:id="rId282" display="https://www.google.com/url?q=https://oj.uz/problem/view/IOI13_wombats&amp;sa=D&amp;ust=1605639815574000&amp;usg=AFQjCNExmgWF1wE239Taz9iVrqMDPDM2Gg" xr:uid="{759CB335-8C2B-4784-A931-6192B8EC29C9}"/>
    <hyperlink ref="F170" r:id="rId283" display="https://www.google.com/url?q=https://github.com/mostafa-saad/MyCompetitiveProgramming/blob/master/Olympiad/IOI/IOI-13-wombats.txt&amp;sa=D&amp;ust=1605639815575000&amp;usg=AFQjCNGcOlEE5xe7CwX3xGlL15ko8C1A8A" xr:uid="{90D5063F-7361-4D41-94B1-F8CE6F08B66F}"/>
    <hyperlink ref="B171" r:id="rId284" display="https://www.google.com/url?q=https://oj.uz/problem/view/APIO17_rainbow&amp;sa=D&amp;ust=1605639815575000&amp;usg=AFQjCNEBnc8Ix4VT9ol2IFqq85YHII483g" xr:uid="{80DF9A31-E4ED-47CE-A472-C7D486D797BB}"/>
    <hyperlink ref="F171" r:id="rId285" display="https://www.google.com/url?q=https://github.com/mostafa-saad/MyCompetitiveProgramming/blob/master/Olympiad/APIO/APIO-17-rainbow.txt&amp;sa=D&amp;ust=1605639815575000&amp;usg=AFQjCNFCakU_4zr1auV3ucVAPngJEPRATA" xr:uid="{39286A27-A2E9-472B-ACFD-4CE7CAC2DF81}"/>
    <hyperlink ref="B172" r:id="rId286" display="https://www.google.com/url?q=https://oj.uz/problem/view/IOI12_city&amp;sa=D&amp;ust=1605639815576000&amp;usg=AFQjCNEVMqQEIJaYsaKpgRXmMz_3tINTOg" xr:uid="{5C0245B3-E299-42C0-B681-3534576B68A6}"/>
    <hyperlink ref="F172" r:id="rId287" display="https://www.google.com/url?q=https://github.com/mostafa-saad/MyCompetitiveProgramming/blob/master/Olympiad/IOI/IOI-12-city.txt&amp;sa=D&amp;ust=1605639815576000&amp;usg=AFQjCNGXl41rV47oXxLk5xboaY4BUSV5Ew" xr:uid="{45337587-4BF1-45F2-979C-3E3D20233494}"/>
    <hyperlink ref="B173" r:id="rId288" display="https://www.google.com/url?q=https://oj.uz/problem/view/IOI07_training&amp;sa=D&amp;ust=1605639815576000&amp;usg=AFQjCNGIXP67DSi4-pZrR-Ehkvy-_NMWaQ" xr:uid="{EAB653A0-F9B8-4933-93CE-0E865DEF2058}"/>
    <hyperlink ref="F173" r:id="rId289" display="https://www.google.com/url?q=https://github.com/mostafa-saad/MyCompetitiveProgramming/blob/master/Olympiad/IOI/IOI-07-training.txt&amp;sa=D&amp;ust=1605639815576000&amp;usg=AFQjCNFsSM0oY7-frC-Qu9CaM7m0cOzuag" xr:uid="{B1FD9025-085C-4469-B301-5FF903DDC410}"/>
    <hyperlink ref="B174" r:id="rId290" display="https://www.google.com/url?q=http://www.spoj.com/problems/BACKUP/&amp;sa=D&amp;ust=1605639815577000&amp;usg=AFQjCNGG0XrID1bWdgXWGLeW7Hfmg4AHig" xr:uid="{6EF43DE0-3FFC-4CD5-81C6-93E0E70E16DA}"/>
    <hyperlink ref="F174" r:id="rId291" display="https://www.google.com/url?q=https://github.com/mostafa-saad/MyCompetitiveProgramming/blob/master/Olympiad/APIO/APIO-07-Backup.txt&amp;sa=D&amp;ust=1605639815577000&amp;usg=AFQjCNGlemoAe9lQItp8VmVy0GFK8MSrgg" xr:uid="{F0F9BD2A-EC7A-48CF-907D-69F641DF85DA}"/>
    <hyperlink ref="B175" r:id="rId292" display="https://www.google.com/url?q=https://cses.fi/107/list/&amp;sa=D&amp;ust=1605639815577000&amp;usg=AFQjCNEVbIZfg6f6gEebxn5UzTGkM-KFrw" xr:uid="{0AA7D5D2-783D-4FFF-90A7-A23F2CBCEF74}"/>
    <hyperlink ref="F175" r:id="rId293" display="https://www.google.com/url?q=https://github.com/Szawinis/CompetitiveProgramming/blob/master/Olympiad/Baltic/Baltic09-candy.cpp&amp;sa=D&amp;ust=1605639815577000&amp;usg=AFQjCNFZDLpZs5-fgh390GyW0CH8tdTKsQ" xr:uid="{DC845EB2-6B96-4388-83A8-C8F8A356C1C8}"/>
    <hyperlink ref="B176" r:id="rId294" display="https://www.google.com/url?q=https://dmoj.ca/problem/coci15c3p6&amp;sa=D&amp;ust=1605639815578000&amp;usg=AFQjCNFNyHivj2W4aXxL1WNKIsK8kHPLHA" xr:uid="{C850742E-849C-45CD-BD60-7209A5925F67}"/>
    <hyperlink ref="F176" r:id="rId295" display="https://www.google.com/url?q=https://github.com/mostafa-saad/MyCompetitiveProgramming/blob/master/Olympiad/COCI/COCI-15-Domino.txt&amp;sa=D&amp;ust=1605639815578000&amp;usg=AFQjCNFi6KbvW8CiajqHEu-P-2aFYtcpDg" xr:uid="{143E9CF8-B938-4B6D-A5AA-6896FF39EF80}"/>
    <hyperlink ref="B177" r:id="rId296" display="https://www.google.com/url?q=https://szkopul.edu.pl/problemset/problem/YY6-3ua-C1rt7q-97laWc0UP/site/&amp;sa=D&amp;ust=1605639815578000&amp;usg=AFQjCNFEZbBN7OAHORklPGUn1SqCSf-QgQ" xr:uid="{FAC6E1CA-906A-468A-B401-4E44865AFC38}"/>
    <hyperlink ref="F177" r:id="rId297" display="https://www.google.com/url?q=https://github.com/mostafa-saad/MyCompetitiveProgramming/blob/master/Olympiad/POI/POI-16-Journey.txt&amp;sa=D&amp;ust=1605639815578000&amp;usg=AFQjCNGa2wKqzlhyTcp-y7hb11y1wendzQ" xr:uid="{8BA00FAD-51C0-407A-AAEC-54EFECA9068F}"/>
    <hyperlink ref="B178" r:id="rId298" display="https://www.google.com/url?q=https://oj.uz/problem/view/JOI16_joiris&amp;sa=D&amp;ust=1605639815579000&amp;usg=AFQjCNFebCwpV81g2tK8wzaBZBxhYA8Ivw" xr:uid="{84F0C031-AE5C-4DA7-81FA-CF71F08DC1DC}"/>
    <hyperlink ref="F178" r:id="rId299" display="https://www.google.com/url?q=https://github.com/mostafa-saad/MyCompetitiveProgramming/blob/master/Olympiad/JOI/JOIOC-16-joiris.txt&amp;sa=D&amp;ust=1605639815579000&amp;usg=AFQjCNGxUI4azP5lifCEcbHQ3XS1YGVPgw" xr:uid="{0C0A830C-B996-4993-93A2-5F2D7B4D5C2B}"/>
    <hyperlink ref="B179" r:id="rId300" display="https://www.google.com/url?q=https://oj.uz/problem/view/IOI17_wiring&amp;sa=D&amp;ust=1605639815579000&amp;usg=AFQjCNFlQ6hBLrAR8BeOczw63_zpYO93og" xr:uid="{291636F5-97C9-4E6C-8104-952E7806BAAF}"/>
    <hyperlink ref="F179" r:id="rId301" display="https://www.google.com/url?q=https://github.com/mostafa-saad/MyCompetitiveProgramming/blob/master/Olympiad/IOI/IOI-17-wiring.txt&amp;sa=D&amp;ust=1605639815579000&amp;usg=AFQjCNFSIk5RVGPEHayTi6xoYLbKThHrbg" xr:uid="{7DDBF675-7A67-436A-898B-0D878D7D9B78}"/>
    <hyperlink ref="B180" r:id="rId302" display="https://www.google.com/url?q=https://oj.uz/problem/view/APIO16_boat&amp;sa=D&amp;ust=1605639815580000&amp;usg=AFQjCNE7htvEz7LKsaNvmctVxOuFQrZKZQ" xr:uid="{15834504-DB9E-42E0-83DE-1B5B8B55FB89}"/>
    <hyperlink ref="F180" r:id="rId303" display="https://www.google.com/url?q=https://github.com/mostafa-saad/MyCompetitiveProgramming/blob/master/Olympiad/APIO/APIO-16-boat.txt&amp;sa=D&amp;ust=1605639815580000&amp;usg=AFQjCNFubCP1GFRrPLCoyAOiAcq_ObVJOw" xr:uid="{85017BDC-8C15-4467-829E-AF5D03AD2D73}"/>
    <hyperlink ref="B181" r:id="rId304" display="https://www.google.com/url?q=https://codeforces.com/gym/102032/problem/D&amp;sa=D&amp;ust=1605639815580000&amp;usg=AFQjCNELyqBUfO7Ps3teST6N3Nuv3Pspig" xr:uid="{E8190646-E0E5-43A8-9718-27E436E326B8}"/>
    <hyperlink ref="B182" r:id="rId305" display="https://www.google.com/url?q=https://codeforces.com/gym/102436?locale%3Den&amp;sa=D&amp;ust=1605639815581000&amp;usg=AFQjCNFo0r40i2FTBjwResXYVkC7RInV2A" xr:uid="{62E58E84-166D-4103-A373-3644F016B634}"/>
    <hyperlink ref="B183" r:id="rId306" display="https://www.google.com/url?q=https://oj.uz/problem/view/IOI19_job&amp;sa=D&amp;ust=1605639815582000&amp;usg=AFQjCNEyod3Vv88j7H_vu8vpqTnAtjYSyw" xr:uid="{BD80D462-83D8-49B6-B158-BACCFAD141CA}"/>
    <hyperlink ref="F183" r:id="rId307" display="https://www.google.com/url?q=https://github.com/mostafa-saad/MyCompetitiveProgramming/blob/master/Olympiad/IOI/IOIPractice-19-Job.txt&amp;sa=D&amp;ust=1605639815583000&amp;usg=AFQjCNH2dCrdYOCAJexj9oU7r3fyfCZ2dQ" xr:uid="{C398B757-22C5-4748-B99E-2F1695C511AD}"/>
    <hyperlink ref="B184" r:id="rId308" display="https://www.google.com/url?q=https://oj.uz/problem/view/JOI17_dragon2&amp;sa=D&amp;ust=1605639815583000&amp;usg=AFQjCNGT1mLRpjfQfDT9rK-YHCUSrUs6SQ" xr:uid="{C6324C40-731F-415D-BBF4-C1222435EF30}"/>
    <hyperlink ref="F184" r:id="rId309" display="https://www.google.com/url?q=https://github.com/mostafa-saad/MyCompetitiveProgramming/blob/master/Olympiad/POI/JOI/JOISC-17-dragon2.txt&amp;sa=D&amp;ust=1605639815583000&amp;usg=AFQjCNHacgdOT78KygLOmSIgmKOeo58e3w" xr:uid="{39938298-F7E8-4F0E-B036-6E14CDCE5121}"/>
    <hyperlink ref="B185" r:id="rId310" display="https://www.google.com/url?q=http://usaco.org/index.php?page%3Dviewproblem2%26cpid%3D901&amp;sa=D&amp;ust=1605639815584000&amp;usg=AFQjCNEf3womM0rUOJQgY9DqxX14ggiJUQ" xr:uid="{47FE437B-25CC-45FB-98E0-B4CEBFFF5059}"/>
    <hyperlink ref="B186" r:id="rId311" display="https://www.google.com/url?q=https://szkopul.edu.pl/problemset/problem/e9ycK_efBDBt4aPs-QeqYpwR/site/&amp;sa=D&amp;ust=1605639815584000&amp;usg=AFQjCNFNbYFLCdJ96sRqYRSsCdW50TVfjA" xr:uid="{C5F04477-9DB7-4C05-9790-0934C9A28BE9}"/>
    <hyperlink ref="F186" r:id="rId312" display="https://www.google.com/url?q=https://github.com/mostafa-saad/MyCompetitiveProgramming/blob/master/Olympiad/POI/POI-14-Supercomputer.txt&amp;sa=D&amp;ust=1605639815585000&amp;usg=AFQjCNGSGoQkzMo-OWmjweEPlwE1_vjLUQ" xr:uid="{F7AB8559-AA15-4B24-8508-C1629F46B191}"/>
    <hyperlink ref="B187" r:id="rId313" display="https://www.google.com/url?q=https://oj.uz/problem/view/IOI18_werewolf&amp;sa=D&amp;ust=1605639815585000&amp;usg=AFQjCNHuGCcHeEWVXE-AjMVSdlV0X98C7Q" xr:uid="{1A468F4E-BD6B-425A-BEE3-D69E0E001822}"/>
    <hyperlink ref="F187" r:id="rId314" display="https://www.google.com/url?q=https://github.com/mostafa-saad/MyCompetitiveProgramming/blob/master/Olympiad/IOI/IOI-18-Werewolf.txt&amp;sa=D&amp;ust=1605639815585000&amp;usg=AFQjCNGG3Wb6bA112xpNGOdsGXS0OQvIDw" xr:uid="{A009E6AA-8271-43F6-AB68-B9243BB5CB66}"/>
    <hyperlink ref="B188" r:id="rId315" display="https://www.google.com/url?q=https://szkopul.edu.pl/problemset/problem/XNaC6RSk8o9MIJkuaL6O4t0u/site/&amp;sa=D&amp;ust=1605639815586000&amp;usg=AFQjCNF-GIlRSxGBIJAh3kdaeyIh8kC6dA" xr:uid="{36A6D287-51BF-4B29-96B0-84CC14D1F3CE}"/>
    <hyperlink ref="F188" r:id="rId316" display="https://www.google.com/url?q=https://github.com/mostafa-saad/MyCompetitiveProgramming/blob/master/Olympiad/POI/POI-08-Escape.txt&amp;sa=D&amp;ust=1605639815586000&amp;usg=AFQjCNHg8B3Pa9AEjq0DwE_JUk4nnkJsaQ" xr:uid="{D4DDFFA6-66C9-4CE7-A1F7-7B1CDAC5816D}"/>
    <hyperlink ref="B189" r:id="rId317" display="https://www.google.com/url?q=https://oj.uz/problem/view/APIO14_beads&amp;sa=D&amp;ust=1605639815586000&amp;usg=AFQjCNFkvZ6BDDuPMjTQtY3TBJYdl9rLYA" xr:uid="{D3E3A7AD-7A66-460E-A44C-7B418DD3197E}"/>
    <hyperlink ref="F189" r:id="rId318" display="https://www.google.com/url?q=https://github.com/tmwilliamlin168/CompetitiveProgramming/blob/master/APIO/14-Beads.cpp&amp;sa=D&amp;ust=1605639815586000&amp;usg=AFQjCNEb_43zIbS49_wYRC1P9nvPt8nFMw" xr:uid="{7C5CAA4D-D589-4415-8D70-D792F4CDAC02}"/>
    <hyperlink ref="B190" r:id="rId319" display="https://www.google.com/url?q=https://csacademy.com/contest/junior-challenge-2017-day-1/task/chromatic-number/&amp;sa=D&amp;ust=1605639815587000&amp;usg=AFQjCNFU6Mu-DZpCF3zl6IZ-A-Atse6A4Q" xr:uid="{A348FCF8-D914-4FF6-9585-79CE9D2DB2A3}"/>
    <hyperlink ref="B191" r:id="rId320" display="https://www.google.com/url?q=https://szkopul.edu.pl/problemset/problem/ghEjb6qGVGsGk_KgYqdXZNna/site/&amp;sa=D&amp;ust=1605639815587000&amp;usg=AFQjCNEQ4_3b7wofmrjI1uZQzfwMTsYLZw" xr:uid="{AFD0FD1C-953F-4DFC-B11C-F2ECCAEE42F4}"/>
    <hyperlink ref="B192" r:id="rId321" display="https://www.google.com/url?q=https://oj.uz/problem/view/IOI18_highway&amp;sa=D&amp;ust=1605639815588000&amp;usg=AFQjCNHfqVqTRjMBc0U6qBnybYYdh7qGiw" xr:uid="{634F9F69-7699-4F55-89D8-B7EB9698821B}"/>
    <hyperlink ref="F192" r:id="rId322" display="https://www.google.com/url?q=https://github.com/mostafa-saad/MyCompetitiveProgramming/blob/master/Olympiad/IOI/official/2018&amp;sa=D&amp;ust=1605639815588000&amp;usg=AFQjCNFxetZC2QtIutLjdns-LAucWRpxzQ" xr:uid="{87CE11AD-2128-45B2-8EE4-32A3E1339BAC}"/>
    <hyperlink ref="B193" r:id="rId323" display="https://www.google.com/url?q=https://tioj.ck.tp.edu.tw/problems/1748&amp;sa=D&amp;ust=1605639815588000&amp;usg=AFQjCNFKHHA2ARVfo3mCSM2zfQc4rE4IKA" xr:uid="{DEDA5C8F-6FD8-4906-9664-A458A2C1CA01}"/>
    <hyperlink ref="F193" r:id="rId324" display="https://www.google.com/url?q=https://github.com/mostafa-saad/MyCompetitiveProgramming/blob/master/Olympiad/APIO/APIO-11-Color.txt&amp;sa=D&amp;ust=1605639815588000&amp;usg=AFQjCNGamz_6s_6nU_paHBkL9Xq8o-S9ZQ" xr:uid="{A42B18AE-ADA3-41F6-8D77-9771869AFB49}"/>
    <hyperlink ref="B194" r:id="rId325" display="https://www.google.com/url?q=https://www.acmicpc.net/problem/5250&amp;sa=D&amp;ust=1605639815589000&amp;usg=AFQjCNG64lazNUACRTI4kVhSI8ERIyzK-Q" xr:uid="{B7142F45-333D-4705-8F23-43B670161D13}"/>
    <hyperlink ref="F194" r:id="rId326" display="https://www.google.com/url?q=https://github.com/mostafa-saad/MyCompetitiveProgramming/blob/master/Olympiad/Balkan/Balkan-12-ShortestPaths.txt&amp;sa=D&amp;ust=1605639815589000&amp;usg=AFQjCNG1uSszmNLXGA4iY_CE9yAOQAN3kA" xr:uid="{30559910-4218-487E-AB0E-1CC0ACEF4D32}"/>
    <hyperlink ref="B195" r:id="rId327" display="https://www.google.com/url?q=https://oj.uz/problem/view/IOI16_messy&amp;sa=D&amp;ust=1605639815589000&amp;usg=AFQjCNHhD7T5fr8m0-_5HL7jaE3zONIRnA" xr:uid="{EAAC0B1A-F8CB-426C-9A8E-17BD3AA0AA60}"/>
    <hyperlink ref="F195" r:id="rId328" display="https://www.google.com/url?q=https://github.com/mostafa-saad/MyCompetitiveProgramming/blob/master/Olympiad/IOI/IOI-16-messy.txt&amp;sa=D&amp;ust=1605639815590000&amp;usg=AFQjCNH_OReSEGZmWLW758pSDK7nqJmeBQ" xr:uid="{147FEF3F-0A9E-4A8D-80F3-AA600EA39D95}"/>
    <hyperlink ref="B196" r:id="rId329" display="https://www.google.com/url?q=https://oj.uz/problems/source/315&amp;sa=D&amp;ust=1605639815590000&amp;usg=AFQjCNEkrUGeHkmZeGMzstYhnvun4CfQCg" xr:uid="{B13353DD-8172-4379-B90A-0013A8EC9542}"/>
    <hyperlink ref="F196" r:id="rId330" display="https://www.google.com/url?q=https://github.com/mostafa-saad/MyCompetitiveProgramming/blob/master/Olympiad/JOI/JOISC-18-airline.txt&amp;sa=D&amp;ust=1605639815590000&amp;usg=AFQjCNGvptEInVZ3LZQkFnZQmsAFk4Tv6Q" xr:uid="{F40CED9D-5B16-4CC9-A83A-1FD943D4D720}"/>
    <hyperlink ref="B197" r:id="rId331" display="https://www.google.com/url?q=https://codeforces.com/group/R2SERIff4f/contest/213171/problem/R&amp;sa=D&amp;ust=1605639815591000&amp;usg=AFQjCNGxJRLHx2jAIqKdejT0s2_GvoZ9mQ" xr:uid="{C6F07AED-2336-4AF3-9A8D-4025A3DA257E}"/>
    <hyperlink ref="F197" r:id="rId332" display="https://www.google.com/url?q=https://github.com/mostafa-saad/MyCompetitiveProgramming/tree/master/Olympiad/MCO/official&amp;sa=D&amp;ust=1605639815591000&amp;usg=AFQjCNFXmScHWUgfGbJ-ZW-2H6O8mx7qQA" xr:uid="{038B5699-96CE-45A8-82A4-CD6DF5A4BB07}"/>
    <hyperlink ref="B198" r:id="rId333" display="https://www.google.com/url?q=https://dunjudge.me/analysis/problems/1362/&amp;sa=D&amp;ust=1605639815591000&amp;usg=AFQjCNGKFWBxfVUAP8Pu-_UDltx6fnV5wQ" xr:uid="{EDB8E304-E73A-4D02-9022-FC3D2C66DE6F}"/>
    <hyperlink ref="F198" r:id="rId334" display="https://www.google.com/url?q=https://github.com/mostafa-saad/MyCompetitiveProgramming/blob/master/Olympiad/COCI/COCI-12-mars.txt&amp;sa=D&amp;ust=1605639815592000&amp;usg=AFQjCNEUnbLJrQn4V7s_unYRtXWA2iHlDg" xr:uid="{E7330CAE-D8A5-4C95-A392-6B6FF6BDBA20}"/>
    <hyperlink ref="B199" r:id="rId335" display="https://www.google.com/url?q=https://oj.uz/problems/source/270&amp;sa=D&amp;ust=1605639815592000&amp;usg=AFQjCNEwjCF8a6O5NAPTK17H7s1Tzz0W8w" xr:uid="{10B3170D-542E-4617-8A9F-66CBEB74B8AC}"/>
    <hyperlink ref="F199" r:id="rId336" display="https://www.google.com/url?q=https://github.com/mostafa-saad/MyCompetitiveProgramming/blob/master/Olympiad/JOI/JOIOC-17-bulldozer.txt&amp;sa=D&amp;ust=1605639815592000&amp;usg=AFQjCNFa8TaHql-078qpJtz8fOiQf7Orcg" xr:uid="{9C1B8AF4-8C34-4CA0-BD26-9E4FAB4F0C1B}"/>
    <hyperlink ref="B200" r:id="rId337" display="https://www.google.com/url?q=https://oj.uz/problem/view/COI15_cvenk&amp;sa=D&amp;ust=1605639815594000&amp;usg=AFQjCNG1C_O47myGw4A0v3D0n2YzJ_-4PA" xr:uid="{C17FC350-9777-4C69-88CD-E16ED2E28B6F}"/>
    <hyperlink ref="F200" r:id="rId338" display="https://www.google.com/url?q=https://github.com/mostafa-saad/MyCompetitiveProgramming/blob/master/Olympiad/COI/COI-15-cvenk.txt&amp;sa=D&amp;ust=1605639815594000&amp;usg=AFQjCNFBevKLpUaLLDuWXP8Gq_pjIH6jhg" xr:uid="{6C3E05EE-8D06-4C42-8AFC-C23E917C4C6A}"/>
    <hyperlink ref="B201" r:id="rId339" display="https://www.google.com/url?q=https://szkopul.edu.pl/problemset/problem/eC-cABL-jWd4JdZDmfWufeeQ/site/&amp;sa=D&amp;ust=1605639815594000&amp;usg=AFQjCNGqzzwZPrU2zAJV-brzwPOEh6zBww" xr:uid="{6B1B8983-CA1A-4BD2-AF95-0548A12B7497}"/>
    <hyperlink ref="F201" r:id="rId340" display="https://www.google.com/url?q=https://github.com/mostafa-saad/MyCompetitiveProgramming/blob/master/Olympiad/POI/POI-05-Parties.txt&amp;sa=D&amp;ust=1605639815595000&amp;usg=AFQjCNGDZc8ZlpQqIcZDuhv0WLtvu5gkDg" xr:uid="{88693789-BE3A-419A-A807-E4D926D138E2}"/>
    <hyperlink ref="B202" r:id="rId341" display="https://www.google.com/url?q=https://oj.uz/problem/view/BOI14_sequence&amp;sa=D&amp;ust=1605639815595000&amp;usg=AFQjCNHqR8ZAF2yoFO_4eUfTSOriK3G-9Q" xr:uid="{72C60A76-46DA-4E34-80AB-99BFD9F6B212}"/>
    <hyperlink ref="F202" r:id="rId342" display="https://www.google.com/url?q=https://github.com/mostafa-saad/MyCompetitiveProgramming/blob/master/Olympiad/Baltic/Baltic-14-sequence.txt&amp;sa=D&amp;ust=1605639815595000&amp;usg=AFQjCNGjpYkkv_PDEKeKGKaLbTJy527Zbw" xr:uid="{FE6447F2-24F3-4853-B927-F195265AB1D0}"/>
    <hyperlink ref="B203" r:id="rId343" display="https://www.google.com/url?q=https://szkopul.edu.pl/problemset/problem/gh2Yj6Ckrt4Lo_RojONuljuC/site/&amp;sa=D&amp;ust=1605639815595000&amp;usg=AFQjCNH4vC8JSdEOPUwBuv_nppZjQRceiQ" xr:uid="{1D6BFE0D-80E6-4F0B-963A-EFFDD0CBC859}"/>
    <hyperlink ref="F203" r:id="rId344" display="https://www.google.com/url?q=https://github.com/mostafa-saad/MyCompetitiveProgramming/blob/master/Olympiad/POI/POI-10-Bridges.txt&amp;sa=D&amp;ust=1605639815596000&amp;usg=AFQjCNGCjFW-t7jTsi186DPieiqAWQ2qoA" xr:uid="{937242F8-7B48-4E25-92F1-FBDEE86CF5A7}"/>
    <hyperlink ref="B204" r:id="rId345" display="https://www.google.com/url?q=https://ioi2010.contest.atcoder.jp/tasks/ioi2010_2_4&amp;sa=D&amp;ust=1605639815596000&amp;usg=AFQjCNFARcIgE0NsCz0KUN_OaHvVbUYUBw" xr:uid="{5D03957B-973D-4883-A732-9072BAD9C983}"/>
    <hyperlink ref="F204" r:id="rId346" display="https://www.google.com/url?q=https://github.com/mostafa-saad/MyCompetitiveProgramming/blob/master/Olympiad/IOI/IOI-10-saveit.txt&amp;sa=D&amp;ust=1605639815596000&amp;usg=AFQjCNFfBc4NxRyeUIYCTw3uUSrzbES8nQ" xr:uid="{5FBC848C-D60E-4803-BBA3-D2E60E6077CA}"/>
    <hyperlink ref="B205" r:id="rId347" display="https://www.google.com/url?q=https://oj.uz/problem/view/IOI15_towns&amp;sa=D&amp;ust=1605639815597000&amp;usg=AFQjCNGj-6G8Cd8t8O4n6Vn_S5qzK63yag" xr:uid="{6EF64EF2-C032-4E19-A645-99C7EAC09A6C}"/>
    <hyperlink ref="F205" r:id="rId348" display="https://www.google.com/url?q=https://github.com/mostafa-saad/MyCompetitiveProgramming/blob/master/Olympiad/IOI/IOI-15-towns.txt&amp;sa=D&amp;ust=1605639815597000&amp;usg=AFQjCNGehccsEHGSHrevnkcQuW5MZJeFYQ" xr:uid="{E4041BD4-36FD-49AB-BF0B-EFEC9487970E}"/>
    <hyperlink ref="B206" r:id="rId349" display="https://www.google.com/url?q=https://oj.uz/problems/source/213&amp;sa=D&amp;ust=1605639815597000&amp;usg=AFQjCNGbAaMkzG5Q00c9bHMnHG7kIDtR1A" xr:uid="{9082C24D-38CE-446B-A7B9-B90D23B0CDD0}"/>
    <hyperlink ref="F206" r:id="rId350" display="https://www.google.com/url?q=https://github.com/mostafa-saad/MyCompetitiveProgramming/blob/master/Olympiad/JOI/JOIOC-16-selling_rna.txt&amp;sa=D&amp;ust=1605639815598000&amp;usg=AFQjCNF8pvjJIPLKug67_JW9BiLpx3z6Eg" xr:uid="{EDE27CE4-D0FC-4ACE-8906-937687E1D6D3}"/>
    <hyperlink ref="B207" r:id="rId351" display="https://www.google.com/url?q=https://www.infoarena.ro/problema/disconnect&amp;sa=D&amp;ust=1605639815598000&amp;usg=AFQjCNFPsT9pGHJ4CgBqIRKvoMteVdWMzg" xr:uid="{6E6A821F-DC2F-44B7-B801-66FC59C83806}"/>
    <hyperlink ref="F207" r:id="rId352" display="https://www.google.com/url?q=https://github.com/mostafa-saad/MyCompetitiveProgramming/blob/master/Olympiad/infoarena/infoarena-disconnect.txt&amp;sa=D&amp;ust=1605639815598000&amp;usg=AFQjCNG7qpM8m0Eln4aEas3NWzD8n9NeGg" xr:uid="{DC0EE2C3-BA37-4DE2-AAFB-9FED0278242C}"/>
    <hyperlink ref="B208" r:id="rId353" display="https://www.google.com/url?q=https://codeforces.com/gym/102257/&amp;sa=D&amp;ust=1605639815599000&amp;usg=AFQjCNH2ZSlqMHfSu9jZ7Q8IyQbwvXPggA" xr:uid="{1E33EEC8-461C-48D8-AAFE-788814896986}"/>
    <hyperlink ref="F208" r:id="rId354" display="https://www.google.com/url?q=https://github.com/mostafa-saad/MyCompetitiveProgramming/blob/master/Olympiad/APIO/APIO-19-bridges.txt&amp;sa=D&amp;ust=1605639815599000&amp;usg=AFQjCNEhVifoWCccDUMoMMpSle8l4lwpFQ" xr:uid="{C1364E55-41D5-4624-8674-F1EC22A37871}"/>
    <hyperlink ref="B209" r:id="rId355" display="https://www.google.com/url?q=https://szkopul.edu.pl/problemset/problem/5Z9PRRPP-R90WhmbSY_qHd-1/site/&amp;sa=D&amp;ust=1605639815599000&amp;usg=AFQjCNFjYvvLoehzhslcSZceZsG7CYSb3g" xr:uid="{0D122B38-31CF-435F-88D0-B66C0980F503}"/>
    <hyperlink ref="F209" r:id="rId356" display="https://www.google.com/url?q=https://github.com/mostafa-saad/MyCompetitiveProgramming/blob/master/Olympiad/POI/POI-04-Cave.txt&amp;sa=D&amp;ust=1605639815600000&amp;usg=AFQjCNG10BmmJ4xWByxPIolgcxjlEjW6mg" xr:uid="{5997EFB9-D176-4096-8FB1-487EFA52B09E}"/>
    <hyperlink ref="B210" r:id="rId357" display="https://www.google.com/url?q=https://oj.uz/problem/view/COCI16_zoltan&amp;sa=D&amp;ust=1605639815600000&amp;usg=AFQjCNG7p4GuLrXhzOUquTwi6F0xDDlFqw" xr:uid="{C20DC91D-B67A-4851-804A-213E0B6EF137}"/>
    <hyperlink ref="F210" r:id="rId358" display="https://www.google.com/url?q=https://github.com/mostafa-saad/MyCompetitiveProgramming/blob/master/Olympiad/COCI/COCI-16-zoltan.txt&amp;sa=D&amp;ust=1605639815600000&amp;usg=AFQjCNGe3PevGKMpovb5WURzzkBKvCoCwg" xr:uid="{98BD5962-9F37-47C0-9FDE-D276CA74D73A}"/>
    <hyperlink ref="B211" r:id="rId359" display="https://www.google.com/url?q=https://cses.fi/180/list/&amp;sa=D&amp;ust=1605639815601000&amp;usg=AFQjCNEOC39NtTyY91-3jU2uROg-uohfLQ" xr:uid="{D870B381-61AD-479A-AE98-07B0B815D946}"/>
    <hyperlink ref="F211" r:id="rId360" display="https://www.google.com/url?q=https://github.com/mostafa-saad/MyCompetitiveProgramming/blob/master/Olympiad/CEOI/CEOI-09-Sorting.txt&amp;sa=D&amp;ust=1605639815601000&amp;usg=AFQjCNHeGXcDiSEizrbXOP1eDv1v55VyGg" xr:uid="{C75AF171-1345-4AF8-AF5F-BCE9647722A9}"/>
    <hyperlink ref="B212" r:id="rId361" display="https://www.google.com/url?q=http://oj.uz/problem/view/LMIO19_bulves&amp;sa=D&amp;ust=1605639815601000&amp;usg=AFQjCNEuMmxEjkq1MDDCn_sO4ji4PdBPwQ" xr:uid="{FC09E50D-48E9-4503-A795-CA034C1ACB44}"/>
    <hyperlink ref="F212" r:id="rId362" display="https://www.google.com/url?q=https://github.com/dolphingarlic/CompetitiveProgramming/blob/master/LMIO/LMIO%252019-bulves.cpp&amp;sa=D&amp;ust=1605639815601000&amp;usg=AFQjCNHAnfHibb9Mw06lp2oGNcyHhfJuyA" xr:uid="{826418FF-D728-430A-A1DC-BE4DB1FAC327}"/>
    <hyperlink ref="B213" r:id="rId363" display="https://www.google.com/url?q=https://infoarena.ro/problema/sms&amp;sa=D&amp;ust=1605639815602000&amp;usg=AFQjCNEiEuaSC9fUg3qVbmOIA-qn2psIBQ" xr:uid="{80DAC47E-F7E3-4962-BC3F-26389D60B6E2}"/>
    <hyperlink ref="F213" r:id="rId364" display="https://www.google.com/url?q=https://github.com/stefdasca/CompetitiveProgramming/blob/master/Infoarena/sms.cpp&amp;sa=D&amp;ust=1605639815602000&amp;usg=AFQjCNEvaKjvJDeCI3WGBemXXrjZQlJUFw" xr:uid="{F6F3BBC5-EF3F-4F4E-824B-5F02303DE5C5}"/>
    <hyperlink ref="B214" r:id="rId365" display="https://www.google.com/url?q=https://dunjudge.me/analysis/problems/1232/&amp;sa=D&amp;ust=1605639815602000&amp;usg=AFQjCNHZKZzkyY0LhvIPALEuVwecf2M4_g" xr:uid="{6FA48092-214D-4C85-9C12-C6601D6EA0BF}"/>
    <hyperlink ref="F214" r:id="rId366" display="https://www.google.com/url?q=https://github.com/mostafa-saad/MyCompetitiveProgramming/blob/master/Olympiad/APIO/APIO-11-Path.txt&amp;sa=D&amp;ust=1605639815603000&amp;usg=AFQjCNGBqQ3JI4OTJ82xnvoOWXyDqossUg" xr:uid="{7D76C89F-D39E-4661-A166-A59953D66884}"/>
    <hyperlink ref="B215" r:id="rId367" display="https://www.google.com/url?q=https://oj.uz/problem/view/NOI18_citymapping&amp;sa=D&amp;ust=1605639815603000&amp;usg=AFQjCNFFEKuD60oiE-EIHUSVCoItP4bomQ" xr:uid="{EB8E9C9C-3FAC-4133-8C2F-E8F8CB0247CD}"/>
    <hyperlink ref="F215" r:id="rId368" display="https://www.google.com/url?q=https://github.com/mostafa-saad/MyCompetitiveProgramming/blob/master/Olympiad/NOI/NOI-18-citymapping.txt&amp;sa=D&amp;ust=1605639815603000&amp;usg=AFQjCNHHE4a_lm7-LABcqCFoVE0qual0LA" xr:uid="{A90CD8C2-3113-4D15-89D0-0D1DC202FA7A}"/>
    <hyperlink ref="B216" r:id="rId369" display="https://www.google.com/url?q=https://oj.uz/problem/view/JOI17_soccer&amp;sa=D&amp;ust=1605639815604000&amp;usg=AFQjCNGYoZfRo3lLztV8TSs2_-nYisaaNw" xr:uid="{962E87AD-2804-4B07-A231-A64C565B69CE}"/>
    <hyperlink ref="F216" r:id="rId370" display="https://www.google.com/url?q=https://github.com/mostafa-saad/MyCompetitiveProgramming/tree/master/Olympiad/JOI/official/JOI/JOI-17-soccer.txt&amp;sa=D&amp;ust=1605639815605000&amp;usg=AFQjCNH6KiVWYed9MsuAkdRPZMTJSNpXAA" xr:uid="{E8398B2E-C9A6-4A97-BCFC-A887DE68773C}"/>
    <hyperlink ref="B217" r:id="rId371" display="https://www.google.com/url?q=https://oj.uz/problem/view/BOI18_minmaxtree&amp;sa=D&amp;ust=1605639815606000&amp;usg=AFQjCNE-bGOgfJdUFQTfB2a4i-LpNZ9ZPA" xr:uid="{EB807DC3-573A-43E3-906C-C5C9C0070180}"/>
    <hyperlink ref="F217" r:id="rId372" display="https://www.google.com/url?q=https://github.com/mostafa-saad/MyCompetitiveProgramming/blob/master/Olympiad/Balkan/Balkan-18-minmaxtree.txt&amp;sa=D&amp;ust=1605639815606000&amp;usg=AFQjCNF8ImEZdumHW4jES0u61Bb2ZF3WtQ" xr:uid="{F6B86E14-147C-486B-B84C-107B84473301}"/>
    <hyperlink ref="B218" r:id="rId373" display="https://www.google.com/url?q=https://szkopul.edu.pl/problemset/problem/O730xgZEVynTWBmscBinhMbD/site/&amp;sa=D&amp;ust=1605639815607000&amp;usg=AFQjCNElyf2Atbdj0nUwELiZmkgTLa17nA" xr:uid="{555F802B-028D-4A59-A3E7-D0F315B63C15}"/>
    <hyperlink ref="F218" r:id="rId374" display="https://www.google.com/url?q=https://github.com/mostafa-saad/MyCompetitiveProgramming/blob/master/Olympiad/POI/POI-16-Arkanoid.txt&amp;sa=D&amp;ust=1605639815607000&amp;usg=AFQjCNGfny9Xf2uqizTBap1jq10cnzwLEA" xr:uid="{FEAF1210-ED62-4D38-836D-B1D4CF48E8DF}"/>
    <hyperlink ref="B219" r:id="rId375" display="https://www.google.com/url?q=https://www.infoarena.ro/problema/countfefete&amp;sa=D&amp;ust=1605639815607000&amp;usg=AFQjCNHIEhwZTxpDB3ZXhIHfCYFYLcwYzQ" xr:uid="{EADA87C5-6FA0-4BC6-B3C8-DED9C76F442A}"/>
    <hyperlink ref="F219" r:id="rId376" display="https://www.google.com/url?q=https://github.com/mostafa-saad/MyCompetitiveProgramming/blob/master/Olympiad/infoarena/infoarena_countfefete.txt&amp;sa=D&amp;ust=1605639815608000&amp;usg=AFQjCNF09aUTr1941sb2ux1Yd0nstmYxEA" xr:uid="{6B1D561A-BD26-475D-AEBA-BD5DC16BE804}"/>
    <hyperlink ref="B220" r:id="rId377" display="https://www.google.com/url?q=https://wcipeg.com/problem/coci096p6&amp;sa=D&amp;ust=1605639815608000&amp;usg=AFQjCNHX2dkXvMYBHKnuDjnXx2TmYjfmJg" xr:uid="{4FDDED2E-2777-4F13-ACEF-F529A77C4C87}"/>
    <hyperlink ref="F220" r:id="rId378" display="https://www.google.com/url?q=https://github.com/mostafa-saad/MyCompetitiveProgramming/blob/master/Olympiad/COCI/COCI-09-Gremlini.txt&amp;sa=D&amp;ust=1605639815608000&amp;usg=AFQjCNFvevO0pJTuMl81hnEu8oMLfp_r6Q" xr:uid="{79A02496-8579-4DD4-9A1F-6D740B213D02}"/>
    <hyperlink ref="B221" r:id="rId379" display="https://www.google.com/url?q=https://oj.uz/problem/view/CEOI16_icc&amp;sa=D&amp;ust=1605639815609000&amp;usg=AFQjCNHEqXrUSsiv96iRd7Tqhky9q27O-g" xr:uid="{4D659F05-CE97-406F-8AF7-B59361959CA1}"/>
    <hyperlink ref="F221" r:id="rId380" display="https://www.google.com/url?q=https://github.com/mostafa-saad/MyCompetitiveProgramming/blob/master/Olympiad/CEOI/CEOI-16-icc.txt&amp;sa=D&amp;ust=1605639815609000&amp;usg=AFQjCNHr_nnPDc6vgHQvVvTzZuI5atlVZA" xr:uid="{E36FBEB8-5966-48EE-B78B-8A18C609ACA1}"/>
    <hyperlink ref="B222" r:id="rId381" display="https://www.google.com/url?q=https://oj.uz/problem/view/IOI13_game&amp;sa=D&amp;ust=1605639815609000&amp;usg=AFQjCNEFB4p1NsdIERXsLe25CwO7o4V7vA" xr:uid="{572629B3-0CB5-43B2-9806-C1E3179958AB}"/>
    <hyperlink ref="F222" r:id="rId382" display="https://www.google.com/url?q=http://blog.brucemerry.org.za/2013/07/&amp;sa=D&amp;ust=1605639815610000&amp;usg=AFQjCNG5LTZc0_3iYxXxjzlXFSjBG1ngiA" xr:uid="{F89A3DD6-B134-4E0B-872C-041DACE07002}"/>
    <hyperlink ref="B223" r:id="rId383" display="https://www.google.com/url?q=https://oj.uz/problems/source/316&amp;sa=D&amp;ust=1605639815610000&amp;usg=AFQjCNHj3PCQiHumSy7kz75HXs9ViM00Aw" xr:uid="{E9C6F25D-D54D-4305-8B58-E901FF8A3960}"/>
    <hyperlink ref="F223" r:id="rId384" display="https://www.google.com/url?q=https://github.com/mostafa-saad/MyCompetitiveProgramming/blob/master/Olympiad/JOI/JOISC-18-wildboar.txt&amp;sa=D&amp;ust=1605639815610000&amp;usg=AFQjCNFM9Wu5EX8zUsPsAOGc1O24mpqkPg" xr:uid="{CDD4DBDC-896D-4064-A4FE-43F2FE515BB6}"/>
    <hyperlink ref="B224" r:id="rId385" display="https://www.google.com/url?q=https://oj.uz/problem/view/COCI18_suncanje&amp;sa=D&amp;ust=1605639815611000&amp;usg=AFQjCNHeEV_3SlZFMMes1PSzuUi0etrV-w" xr:uid="{2736905F-9E01-4744-9887-33A8481DDF90}"/>
    <hyperlink ref="F224" r:id="rId386" display="https://www.google.com/url?q=https://github.com/Szawinis/CompetitiveProgramming/blob/master/Olympiad/COCI/COCI18-suncanje.cpp&amp;sa=D&amp;ust=1605639815611000&amp;usg=AFQjCNFHlTqUUD8C_H9tClwG3uIyE18s2g" xr:uid="{96E91144-6B59-468D-AC2E-85B9A5C62501}"/>
    <hyperlink ref="B225" r:id="rId387" display="https://www.google.com/url?q=https://dmoj.ca/problem/dmopc18c2p6&amp;sa=D&amp;ust=1605639815611000&amp;usg=AFQjCNHqneGb594NGNI0FPSkW9SLtGdLnw" xr:uid="{5DB8E506-F152-45E4-B391-9EE2E80828C8}"/>
    <hyperlink ref="B226" r:id="rId388" display="https://www.google.com/url?q=https://oj.uz/problem/view/APIO13_robots&amp;sa=D&amp;ust=1605639815612000&amp;usg=AFQjCNHYU0-6gnoH9SlEmXt3bexL6b1NRw" xr:uid="{47814F41-04EF-4537-8956-5D4C003A41E5}"/>
    <hyperlink ref="F226" r:id="rId389" display="https://www.google.com/url?q=https://github.com/mostafa-saad/MyCompetitiveProgramming/blob/master/Olympiad/APIO/APIO-13-Robots.txt&amp;sa=D&amp;ust=1605639815612000&amp;usg=AFQjCNE7w4ZQ9cgaBVaLtTb4DmsxNeuAYw" xr:uid="{D2C63A40-1557-4638-A126-69C17B86EB99}"/>
    <hyperlink ref="B227" r:id="rId390" display="https://www.google.com/url?q=https://wcipeg.com/problem/coci074p6&amp;sa=D&amp;ust=1605639815613000&amp;usg=AFQjCNETou3vmZHUrd23-v3jg2K3KMd4qg" xr:uid="{52279607-C55F-46B5-B0C7-AC6A2AC60954}"/>
    <hyperlink ref="F227" r:id="rId391" display="https://www.google.com/url?q=https://github.com/mostafa-saad/MyCompetitiveProgramming/blob/master/Olympiad/COCI/COCI-07-Kocke.txt&amp;sa=D&amp;ust=1605639815613000&amp;usg=AFQjCNHr_PgB2W4x-OI6yIWUzuzQJx_fjw" xr:uid="{116B19B3-F724-4A2D-B8D2-91D762FF1E28}"/>
    <hyperlink ref="B228" r:id="rId392" display="https://www.google.com/url?q=https://oj.uz/problem/view/balkan11_2circles&amp;sa=D&amp;ust=1605639815613000&amp;usg=AFQjCNGNi4pdSC2lSMt1TeX_QsKS0voejg" xr:uid="{716AA047-9199-4095-8B65-E45B3CE9DC8B}"/>
    <hyperlink ref="F228" r:id="rId393" display="https://www.google.com/url?q=https://github.com/mostafa-saad/MyCompetitiveProgramming/blob/master/Olympiad/Balkan/Balkan-11-2circles.txt&amp;sa=D&amp;ust=1605639815614000&amp;usg=AFQjCNHCgPXUR4aFUYvTRIL95CtgPrGXhQ" xr:uid="{E8593D44-774A-4B7F-864F-783BB68EEFC3}"/>
    <hyperlink ref="B229" r:id="rId394" display="https://www.google.com/url?q=https://oj.uz/problem/view/COI15_ogledala&amp;sa=D&amp;ust=1605639815614000&amp;usg=AFQjCNEh5Yt44o1DHirED4IG01FMr3-nSw" xr:uid="{25D2565C-D62D-405F-A1BC-9EC6A9B534C4}"/>
    <hyperlink ref="F229" r:id="rId395" display="https://www.google.com/url?q=https://github.com/mostafa-saad/MyCompetitiveProgramming/tree/master/Olympiad/COI/official/2015&amp;sa=D&amp;ust=1605639815614000&amp;usg=AFQjCNHviK5hDHCn6u123lry3AjGwkYjEg" xr:uid="{88CD19F2-0A6B-4B66-A3C6-FC11D86F74F8}"/>
    <hyperlink ref="B230" r:id="rId396" display="https://www.google.com/url?q=https://oj.uz/problem/view/JOI18_fences&amp;sa=D&amp;ust=1605639815615000&amp;usg=AFQjCNF6uZcC72xh-W58zgdmTYCwYkSBwA" xr:uid="{F5C8C251-C012-45F3-ADB0-FBE128833BE6}"/>
    <hyperlink ref="F230" r:id="rId397" display="https://www.google.com/url?q=https://github.com/tmwilliamlin168/CompetitiveProgramming/blob/master/JOI/18SC-Fences.cpp&amp;sa=D&amp;ust=1605639815615000&amp;usg=AFQjCNHnY4tHDZGPCRhdlBmRk9DVL0TnaQ" xr:uid="{94E01F30-D1BE-495E-92ED-478B3C3E9D65}"/>
    <hyperlink ref="B231" r:id="rId398" display="https://www.google.com/url?q=https://cses.fi/101/list/&amp;sa=D&amp;ust=1605639815615000&amp;usg=AFQjCNHjmpWCKsRUD_mT_9D_TTZhsBNWDg" xr:uid="{01DEABB5-0DC0-478C-B350-06A1EDA73021}"/>
    <hyperlink ref="F231" r:id="rId399" display="https://www.google.com/url?q=https://github.com/mostafa-saad/MyCompetitiveProgramming/blob/master/Olympiad/Baltic/Baltic-11-Mirroring.txt&amp;sa=D&amp;ust=1605639815616000&amp;usg=AFQjCNGlJVQTFI5f_shvzSGe2weqJj7ScQ" xr:uid="{2ACC2B44-7844-4BD9-AD0C-2BA91A961B03}"/>
    <hyperlink ref="B232" r:id="rId400" display="https://www.google.com/url?q=https://dmoj.ca/problem/coi06p2&amp;sa=D&amp;ust=1605639815616000&amp;usg=AFQjCNGlV_849x17xhgD5qZF-VELKSimWQ" xr:uid="{EAD454E3-336C-4D4A-897A-03D532DDE15E}"/>
    <hyperlink ref="F232" r:id="rId401" display="https://www.google.com/url?q=https://github.com/timpostuvan/CompetitiveProgramming/blob/master/Olympiad/COI/Policija2006.cpp&amp;sa=D&amp;ust=1605639815616000&amp;usg=AFQjCNFtdIsUqw_ez0vjJqMTWnmVvIeYgw" xr:uid="{11B617C3-9036-4A3A-95AA-D70E1E7EE1FA}"/>
    <hyperlink ref="B233" r:id="rId402" display="https://www.google.com/url?q=https://oj.uz/problem/view/JOI17_arranging_tickets&amp;sa=D&amp;ust=1605639815618000&amp;usg=AFQjCNG_YKbUpeBS_5v7oKgCAb620XSv2w" xr:uid="{F4ADBA5E-0753-41E0-9DA2-FF024629DC19}"/>
    <hyperlink ref="F233" r:id="rId403" display="https://www.google.com/url?q=https://github.com/mostafa-saad/MyCompetitiveProgramming/blob/master/Olympiad/JOI/JOISC-17-arranging_tickets.txt&amp;sa=D&amp;ust=1605639815618000&amp;usg=AFQjCNFgwgY7vKlzIgaTiZnE_ui4taLG-Q" xr:uid="{4EBABB80-822C-4D2D-8B72-C53C1FD425CA}"/>
    <hyperlink ref="B234" r:id="rId404" display="https://www.google.com/url?q=https://oj.uz/problem/view/balkan11_cmp&amp;sa=D&amp;ust=1605639815619000&amp;usg=AFQjCNFfM244v1i2T_ZEDvkHAZq1DobKXw" xr:uid="{E4366AD1-986C-4B33-ADEB-43494D7E77B0}"/>
    <hyperlink ref="F234" r:id="rId405" display="https://www.google.com/url?q=https://github.com/mostafa-saad/MyCompetitiveProgramming/blob/master/Olympiad/Balkan/official/2011/cmp-sol.pdf&amp;sa=D&amp;ust=1605639815619000&amp;usg=AFQjCNGBMMrNA3yzO1fJu1Kou8upqNNfrw" xr:uid="{92167D5A-2D61-402C-9C4F-C0C315257368}"/>
    <hyperlink ref="B235" r:id="rId406" display="https://www.google.com/url?q=https://szkopul.edu.pl/problemset/problem/qQGtOc61vnHgCrs01ORC7iD1/site/&amp;sa=D&amp;ust=1605639815619000&amp;usg=AFQjCNG0YFhvw3Z7Tc7O08b5G4uHioYrSw" xr:uid="{772384B9-8B3C-41CD-8281-2504ACA2F28B}"/>
    <hyperlink ref="F235" r:id="rId407" display="https://www.google.com/url?q=https://github.com/mostafa-saad/MyCompetitiveProgramming/blob/master/Olympiad/POI/official/find_editorial_sols_guidelines.txt&amp;sa=D&amp;ust=1605639815620000&amp;usg=AFQjCNFW9iiaaCNjPIKvzkL_8FyKO17LAQ" xr:uid="{9BF366DF-8359-45EE-88E3-21064C1A6F18}"/>
    <hyperlink ref="B236" r:id="rId408" display="https://www.google.com/url?q=https://oj.uz/problems/source/120&amp;sa=D&amp;ust=1605639815621000&amp;usg=AFQjCNFd6vyWy_YzOChnWK4EGFYVTKYH1w" xr:uid="{B0C0707C-4559-4979-9537-B35A9B004249}"/>
    <hyperlink ref="B237" r:id="rId409" display="https://www.google.com/url?q=https://oj.uz/problem/view/IZhO18_nicegift&amp;sa=D&amp;ust=1605639815621000&amp;usg=AFQjCNGesMSfhSugU2peXIe_l8_NxhAZ2A" xr:uid="{A0317142-1128-4C3B-9200-D1C818486371}"/>
    <hyperlink ref="B238" r:id="rId410" display="https://www.google.com/url?q=https://szkopul.edu.pl/problemset/problem/YbQn6MpKAzvIhTNUXtp_ypXQ/site/&amp;sa=D&amp;ust=1605639815622000&amp;usg=AFQjCNHedat2bq2GoDyfOxaZNH5ORAVEYQ" xr:uid="{6B1B1F05-803F-463A-9808-EC96E6B57E7F}"/>
    <hyperlink ref="F238" r:id="rId411" display="https://www.google.com/url?q=https://github.com/mostafa-saad/MyCompetitiveProgramming/blob/master/Olympiad/POI/official/find_editorial_sols_guidelines.txt&amp;sa=D&amp;ust=1605639815622000&amp;usg=AFQjCNExXBPNgm7DrqQooOz1pIeWLO87RA" xr:uid="{8FDE6CB8-4673-466F-9730-5D31E1D319C4}"/>
    <hyperlink ref="B239" r:id="rId412" display="https://www.google.com/url?q=https://contest.yandex.ru/ioi/contest/566/enter/&amp;sa=D&amp;ust=1605639815623000&amp;usg=AFQjCNE_Rddem5pU0k8BdzwAFWBb-om53Q" xr:uid="{0B705F02-D91C-4212-8CA6-20ED18FA13DD}"/>
    <hyperlink ref="F239" r:id="rId413" display="https://www.google.com/url?q=https://www.oi.edu.pl/old/ioi/downloads/ioi2005-tasks-and-solutions-a5.pdf&amp;sa=D&amp;ust=1605639815623000&amp;usg=AFQjCNFy7_z7tGMBxU9TFHKj20HbHgdbxw" xr:uid="{83102D74-348E-464D-9A90-E4E703FD8883}"/>
    <hyperlink ref="B240" r:id="rId414" display="https://www.google.com/url?q=https://csacademy.com/contest/round-80/task/anagram-sort&amp;sa=D&amp;ust=1605639815623000&amp;usg=AFQjCNEgwKbvDrREq--U0ZRYyoxAgAx92g" xr:uid="{6E22AB7C-E002-46F8-ADC2-572736E215EE}"/>
    <hyperlink ref="B241" r:id="rId415" display="https://www.google.com/url?q=https://contest.yandex.ru/ioi/contest/562/problems/F/&amp;sa=D&amp;ust=1605639815623000&amp;usg=AFQjCNGJzkDCEPAg7cDeCXpNKwmrA4frCQ" xr:uid="{8FA97172-0520-46C0-A0CF-685D7A0148BE}"/>
    <hyperlink ref="F241" r:id="rId416" display="https://www.google.com/url?q=https://github.com/mostafa-saad/MyCompetitiveProgramming/blob/master/Olympiad/IOI/official/2006/ioi06_blackbox_sol.pdf&amp;sa=D&amp;ust=1605639815624000&amp;usg=AFQjCNHUqnfPdvrer78v1ik3s7ECJ5Jq-g" xr:uid="{C1D7D97C-7F23-4503-8CEB-E40064B7F46A}"/>
    <hyperlink ref="B242" r:id="rId417" display="https://www.google.com/url?q=https://oj.uz/problem/view/COCI17_retro&amp;sa=D&amp;ust=1605639815624000&amp;usg=AFQjCNHSsMAJP3F0qgZL2ZO8EXeJ_LX1Gw" xr:uid="{1FE51591-0B69-43C7-A564-988280F25D29}"/>
    <hyperlink ref="B243" r:id="rId418" display="https://www.google.com/url?q=https://oj.uz/problem/view/COCI18_kotrljanje&amp;sa=D&amp;ust=1605639815624000&amp;usg=AFQjCNHblW6fKkIOjBTRSsc9my2g00ZQvw" xr:uid="{717B7430-5D0D-48E1-B9D0-5FF96FFEF291}"/>
    <hyperlink ref="B244" r:id="rId419" display="https://www.google.com/url?q=https://csacademy.com/contest/ioi-2016-training-round-3/task/telegraph/&amp;sa=D&amp;ust=1605639815624000&amp;usg=AFQjCNE7qxa9cgs3eeEqRwVaw-AQMHdhdA" xr:uid="{629EA567-7442-4174-8025-9B0DA0649E2F}"/>
    <hyperlink ref="B245" r:id="rId420" display="https://www.google.com/url?q=https://oj.uz/problem/view/IZhO12_xor&amp;sa=D&amp;ust=1605639815625000&amp;usg=AFQjCNEmSk2lW7lm8XghdIpCFhNP195E3A" xr:uid="{14D13785-385E-4117-B636-983C19B57474}"/>
    <hyperlink ref="B246" r:id="rId421" display="https://www.google.com/url?q=https://szkopul.edu.pl/problemset/problem/SbvfueoDtZe2DQFHrywTIakc/site/&amp;sa=D&amp;ust=1605639815625000&amp;usg=AFQjCNE0FJCiIHyHWgSvI3NKQbhqyQ7uPg" xr:uid="{37EA0FB1-E27B-43F4-AD42-07C7C2C50529}"/>
    <hyperlink ref="F246" r:id="rId422" display="https://www.google.com/url?q=https://github.com/mostafa-saad/MyCompetitiveProgramming/blob/master/Olympiad/POI/official/find_editorial_sols_guidelines.txt&amp;sa=D&amp;ust=1605639815625000&amp;usg=AFQjCNG6QlTVMYMaBjoV6bpF2KzX-jaJBw" xr:uid="{15FAAE58-9D76-43D0-9D3A-4C7AE14ECDD7}"/>
    <hyperlink ref="B247" r:id="rId423" display="https://www.google.com/url?q=https://oj.uz/problem/view/BOI15_bow&amp;sa=D&amp;ust=1605639815626000&amp;usg=AFQjCNGju1RQLWBCCurfaOreuPMIMuIefA" xr:uid="{96F2109E-CA5B-442D-B3FF-75A5442970EA}"/>
    <hyperlink ref="F247" r:id="rId424" display="https://www.google.com/url?q=https://github.com/mostafa-saad/MyCompetitiveProgramming/blob/master/Olympiad/Baltic/Baltic-15-bow.txt&amp;sa=D&amp;ust=1605639815626000&amp;usg=AFQjCNEO4VB52BSVAZeWvvwqLeNJgkupYA" xr:uid="{440D6329-1210-43D6-BF0F-944206755CF3}"/>
    <hyperlink ref="B248" r:id="rId425" display="https://www.google.com/url?q=https://oj.uz/problem/view/IZhO18_sequence&amp;sa=D&amp;ust=1605639815626000&amp;usg=AFQjCNH3StQm8yFcQo4lfINwP6aBTjc1-w" xr:uid="{D7BFB5B4-F9C6-414B-9E67-36D106C9ED8A}"/>
    <hyperlink ref="B249" r:id="rId426" display="https://www.google.com/url?q=https://oj.uz/problem/view/JOI19_designated_cities&amp;sa=D&amp;ust=1605639815627000&amp;usg=AFQjCNGicBYFI6SSQI2JC5HWadMcxmGPlQ" xr:uid="{FFD972D4-5183-491E-BDB0-CE0AC2083717}"/>
    <hyperlink ref="B250" r:id="rId427" display="https://www.google.com/url?q=https://www.infoarena.ro/problema/bvarcolaci&amp;sa=D&amp;ust=1605639815627000&amp;usg=AFQjCNGpFLA_ukz_qGqulB9mtMTc1lVcww" xr:uid="{ABD5B9BD-E8B0-456D-BD61-EDB84B380A1D}"/>
    <hyperlink ref="F250" r:id="rId428" display="https://www.google.com/url?q=https://github.com/stefdasca/CompetitiveProgramming/blob/master/Infoarena/bvarcolaci.cpp&amp;sa=D&amp;ust=1605639815627000&amp;usg=AFQjCNG8pLUxoxM56aRCdVaYgdd790L0pg" xr:uid="{245311F9-C068-4074-8A9F-9DB85DF4312A}"/>
    <hyperlink ref="B251" r:id="rId429" display="https://www.google.com/url?q=https://www.acmicpc.net/problem/11783&amp;sa=D&amp;ust=1605639815628000&amp;usg=AFQjCNHHRwi1Of1V4_BdulAOS7ycmjuUDg" xr:uid="{9773D36F-A10F-4F5D-A2AE-0023E8E50B45}"/>
    <hyperlink ref="F251" r:id="rId430" display="https://www.google.com/url?q=https://github.com/mostafa-saad/MyCompetitiveProgramming/tree/master/Olympiad/Balkan/official/2015&amp;sa=D&amp;ust=1605639815628000&amp;usg=AFQjCNEkiVV9PpKbRa1XXgz-P-RqV-FqKg" xr:uid="{D285EAF1-5CFE-4F21-A1C8-3F0CBC943B6D}"/>
    <hyperlink ref="B252" r:id="rId431" display="https://www.google.com/url?q=https://www.infoarena.ro/problema/kinder&amp;sa=D&amp;ust=1605639815629000&amp;usg=AFQjCNE5D9rZAuE01USwzb_dcdHw8IAPSQ" xr:uid="{32FCD5CE-1BCF-45EF-816D-E52B800AC08E}"/>
    <hyperlink ref="F252" r:id="rId432" display="https://www.google.com/url?q=https://github.com/stefdasca/CompetitiveProgramming/blob/master/Infoarena/kinder.cpp&amp;sa=D&amp;ust=1605639815629000&amp;usg=AFQjCNGtXQg_XOUybgUFasfP82wAFCqBSw" xr:uid="{6F9400C6-99CB-433E-BDF2-C7EB123215BA}"/>
    <hyperlink ref="B253" r:id="rId433" display="https://www.google.com/url?q=https://oj.uz/problem/view/IZhO12_apple&amp;sa=D&amp;ust=1605639815630000&amp;usg=AFQjCNHlpH389fbR7nRyU0Q2aKUhl4P1Yw" xr:uid="{78DE54B5-2A85-4B68-ADAC-8C4547F5B0C8}"/>
    <hyperlink ref="B254" r:id="rId434" display="https://www.google.com/url?q=http://www.usaco.org/index.php?page%3Dviewproblem2%26cpid%3D1022&amp;sa=D&amp;ust=1605639815630000&amp;usg=AFQjCNF3mRqilbEPNEFa8b7f3XXQTwfjnQ" xr:uid="{05AEC970-DFC8-48B8-85C5-CD8B621A28FA}"/>
    <hyperlink ref="B255" r:id="rId435" display="https://www.google.com/url?q=https://www.acmicpc.net/problem/5251&amp;sa=D&amp;ust=1605639815630000&amp;usg=AFQjCNFCkR3r-1AlyG7izpe3eN2SRi890Q" xr:uid="{9470EEFE-2EA6-49B5-BCE0-049324859C73}"/>
    <hyperlink ref="F255" r:id="rId436" display="https://www.google.com/url?q=https://github.com/mostafa-saad/MyCompetitiveProgramming/tree/master/Olympiad/Balkan/official/2012&amp;sa=D&amp;ust=1605639815631000&amp;usg=AFQjCNEaqAgtPsMVBx4pcTCeLEFrKQbLfg" xr:uid="{54F890DA-098F-46C7-A050-CCDB3C8BCD61}"/>
    <hyperlink ref="B256" r:id="rId437" display="https://www.google.com/url?q=https://csacademy.com/contest/round-78/task/xor-transform/&amp;sa=D&amp;ust=1605639815631000&amp;usg=AFQjCNFofuAKe2VDHPjsJb7reF6DhHm0Qw" xr:uid="{7158C081-2391-4C75-8F76-63FF2F32565C}"/>
    <hyperlink ref="B257" r:id="rId438" display="https://www.google.com/url?q=https://oj.uz/problem/view/JOI19_cake3&amp;sa=D&amp;ust=1605639815631000&amp;usg=AFQjCNFxI7FE75y7VrjB8PGCyepl9DHO6g" xr:uid="{E99D3714-D0F6-4423-86D6-BBBB146F5EC7}"/>
    <hyperlink ref="B258" r:id="rId439" display="https://www.google.com/url?q=https://oj.uz/problem/view/BOI18_homecoming&amp;sa=D&amp;ust=1605639815632000&amp;usg=AFQjCNH6-Bisa-loPCT806xsL9pyux2fCw" xr:uid="{236528DE-F9B5-4B39-91D1-2B2A36C03605}"/>
    <hyperlink ref="B259" r:id="rId440" display="https://www.google.com/url?q=https://cses.fi/185/list/&amp;sa=D&amp;ust=1605639815632000&amp;usg=AFQjCNGdEgByD0LWz7BH9UVx47bkGN4ToA" xr:uid="{14A2FF53-57AE-4A16-B584-39EDA802CB31}"/>
    <hyperlink ref="F259" r:id="rId441" display="https://www.google.com/url?q=https://github.com/mostafa-saad/MyCompetitiveProgramming/blob/master/Olympiad/CEOI/CEOI-06-Walk.txt&amp;sa=D&amp;ust=1605639815633000&amp;usg=AFQjCNGhzsKZL9_gvThWnTE46aE4gn-Vpg" xr:uid="{C676B8E0-4643-4B87-A093-773A96877280}"/>
    <hyperlink ref="B260" r:id="rId442" display="https://www.google.com/url?q=https://www.infoarena.ro/problema/cladiri&amp;sa=D&amp;ust=1605639815633000&amp;usg=AFQjCNGmcuIJWNApp4LOk03CXaxxzQuFWg" xr:uid="{01EFA3C6-54F1-46F5-9839-3CC9409881A4}"/>
    <hyperlink ref="F260" r:id="rId443" display="https://www.google.com/url?q=https://github.com/stefdasca/CompetitiveProgramming/blob/master/Infoarena/cladiri.cpp&amp;sa=D&amp;ust=1605639815633000&amp;usg=AFQjCNH-FrI5Ykg1QuCkwMJvSnmYrhS3tg" xr:uid="{B7590DAF-AC02-4ED0-8011-A26BBE7DABFB}"/>
    <hyperlink ref="B261" r:id="rId444" display="https://www.google.com/url?q=https://www.infoarena.ro/problema/zuma&amp;sa=D&amp;ust=1605639815633000&amp;usg=AFQjCNGPmdFnKiY48nI_bdLRQhirmW2_fA" xr:uid="{6AA5D0B9-D0E3-4FF4-AC96-0146F180DD53}"/>
    <hyperlink ref="F261" r:id="rId445" display="https://www.google.com/url?q=https://github.com/stefdasca/CompetitiveProgramming/blob/master/Infoarena/zuma.cpp&amp;sa=D&amp;ust=1605639815634000&amp;usg=AFQjCNFexJOjJuw_LYcuD8UPCzD92PC33g" xr:uid="{63CA7E7F-8F62-4B79-9B8D-0519EC21D6C1}"/>
    <hyperlink ref="B262" r:id="rId446" display="https://www.google.com/url?q=https://dunjudge.me/analysis/problems/543/&amp;sa=D&amp;ust=1605639815634000&amp;usg=AFQjCNFF1n5WKeAxTXk40Ui_gLfRAAmzKw" xr:uid="{99FFEC9D-261B-49BD-BAF7-6C4A35CAA69D}"/>
    <hyperlink ref="F262" r:id="rId447" display="https://www.google.com/url?q=https://github.com/mostafa-saad/MyCompetitiveProgramming/blob/master/Olympiad/COI/COI-10-kamion.txt&amp;sa=D&amp;ust=1605639815634000&amp;usg=AFQjCNFN7HyZJXSwd4R4odAzGh-QiklPEA" xr:uid="{263743CF-010E-47FF-A61C-276A132834B2}"/>
    <hyperlink ref="B263" r:id="rId448" display="https://www.google.com/url?q=https://wcipeg.com/problem/ioi0023&amp;sa=D&amp;ust=1605639815635000&amp;usg=AFQjCNFGjQ37NzaUuWdkhmkESFW2-jiO0g" xr:uid="{A13ED4C2-C89C-4EAA-AA0D-4C799AAFC3B7}"/>
    <hyperlink ref="F263" r:id="rId449" display="https://www.google.com/url?q=https://github.com/mostafa-saad/MyCompetitiveProgramming/blob/master/Olympiad/IOI/IOI-00-Blocks.txt&amp;sa=D&amp;ust=1605639815635000&amp;usg=AFQjCNFbBCpUPdbDIyVWAeAvCEU2XbZUpg" xr:uid="{AB8F9EF6-A5B1-4A28-A64E-5C9F01CC7656}"/>
    <hyperlink ref="B264" r:id="rId450" display="https://www.google.com/url?q=https://szkopul.edu.pl/problemset/problem/zQvxlGgoPvqRrAK0TuLeWIRD/site/&amp;sa=D&amp;ust=1605639815635000&amp;usg=AFQjCNH5zg1WXbJRKCCp5OSqR9ZZZ7p2yQ" xr:uid="{8CC5E2E1-39F1-40C3-A618-FA307803BDDC}"/>
    <hyperlink ref="F264" r:id="rId451" display="https://www.google.com/url?q=https://github.com/mostafa-saad/MyCompetitiveProgramming/blob/master/Olympiad/POI/official/find_editorial_sols_guidelines.txt&amp;sa=D&amp;ust=1605639815635000&amp;usg=AFQjCNG_SeCv9Gpzlrv7e6p_jfIB9kZSiw" xr:uid="{13F5A5DF-71EF-4D21-B687-3F0F89D93F08}"/>
    <hyperlink ref="B265" r:id="rId452" display="https://www.google.com/url?q=https://dmoj.ca/problem/coci08c2p6&amp;sa=D&amp;ust=1605639815636000&amp;usg=AFQjCNFygFk--02noGQO2E6WmxG0kANMyw" xr:uid="{FE88431C-34D1-413A-B696-EEDBF3109598}"/>
    <hyperlink ref="F265" r:id="rId453" display="https://www.google.com/url?q=https://github.com/mostafa-saad/MyCompetitiveProgramming/blob/master/Olympiad/COCI/official/2009/contest2_solutions&amp;sa=D&amp;ust=1605639815636000&amp;usg=AFQjCNETH4lh8cHGHix9ku3sCgpOPDr3kA" xr:uid="{2A5900D5-0E3D-4518-A824-CEA03FF90EBB}"/>
    <hyperlink ref="B266" r:id="rId454" display="https://www.google.com/url?q=https://szkopul.edu.pl/problemset/problem/-e02GdqRC4OgV8Hjb852pqQ9/site/&amp;sa=D&amp;ust=1605639815636000&amp;usg=AFQjCNEdeSYxITNG00-IOohYPZxOMW1ikw" xr:uid="{3696768B-A905-470F-A027-52CD46D8DE31}"/>
    <hyperlink ref="B267" r:id="rId455" display="https://www.google.com/url?q=https://cses.fi/197/list/&amp;sa=D&amp;ust=1605639815664000&amp;usg=AFQjCNGNbGQ3l67hiYvONa6rSTaEE5pFcQ" xr:uid="{2F8CCA29-0C36-4653-B44F-0E97E83AEC60}"/>
    <hyperlink ref="B268" r:id="rId456" display="https://www.google.com/url?q=https://oj.uz/problem/view/COI17_raspad&amp;sa=D&amp;ust=1605639815665000&amp;usg=AFQjCNG8XHhlN5sXS1Z-C2iy5Y6htXLLBw" xr:uid="{71DC74FF-6BA7-4C1B-9444-C5F09D6A87CF}"/>
    <hyperlink ref="B269" r:id="rId457" display="https://www.google.com/url?q=https://dunjudge.me/analysis/problems/1659/&amp;sa=D&amp;ust=1605639815666000&amp;usg=AFQjCNE_Mout-NyClfVg8oCg7e3PMseC9A" xr:uid="{95F66976-5FEE-4758-AE29-3E386C55AFBA}"/>
    <hyperlink ref="B270" r:id="rId458" display="https://www.google.com/url?q=https://joisc2013-day3.contest.atcoder.jp/tasks/joisc2013_cake&amp;sa=D&amp;ust=1605639815667000&amp;usg=AFQjCNGPy8nrA45LdIDBgHkUSNjYDvqxSw" xr:uid="{DD437B6B-7711-46E0-BB50-E5918E46ACE3}"/>
    <hyperlink ref="B271" r:id="rId459" display="https://www.google.com/url?q=https://joisc2014.contest.atcoder.jp/tasks/joisc2014_l&amp;sa=D&amp;ust=1605639815667000&amp;usg=AFQjCNGrcaa0CdVt6syTR0UrmJXfGRHzcQ" xr:uid="{00FA1548-32E8-4518-B4B4-BF59994539D4}"/>
    <hyperlink ref="B272" r:id="rId460" display="https://www.google.com/url?q=https://joisc2014.contest.atcoder.jp/tasks/joisc2014_i&amp;sa=D&amp;ust=1605639815670000&amp;usg=AFQjCNE3gYcIf5vWVyTElK92cnhjiqUl7A" xr:uid="{448B4BB8-58CB-4B73-BC42-988128493BEF}"/>
    <hyperlink ref="B273" r:id="rId461" display="https://www.google.com/url?q=https://joisc2015.contest.atcoder.jp/tasks/joisc2015_m&amp;sa=D&amp;ust=1605639815670000&amp;usg=AFQjCNEUgtFQ7Cs7EjYlrfQBrWikjVQN1g" xr:uid="{831CBCA1-5C67-481A-B6F8-BC897327C543}"/>
    <hyperlink ref="B274" r:id="rId462" display="https://www.google.com/url?q=https://joisc2016.contest.atcoder.jp/tasks/joisc2016_b&amp;sa=D&amp;ust=1605639815670000&amp;usg=AFQjCNFZZRldp2bJ_TQ1Teth8MLvrNApIw" xr:uid="{961FED57-5A0B-434F-A3DB-E0A54126E838}"/>
    <hyperlink ref="B275" r:id="rId463" display="https://www.google.com/url?q=https://cses.fi/186/list/&amp;sa=D&amp;ust=1605639815671000&amp;usg=AFQjCNGKOn18mH06FJgKPXh76mvrLdw6wA" xr:uid="{A176A500-BE77-4438-BF73-7A73A873D39A}"/>
    <hyperlink ref="F275" r:id="rId464" display="https://www.google.com/url?q=https://github.com/mostafa-saad/MyCompetitiveProgramming/blob/master/Olympiad/CEOI/CEOI-06-Connect.txt&amp;sa=D&amp;ust=1605639815671000&amp;usg=AFQjCNE0a8mEiRihHP8JoDvKN-adgFlTFA" xr:uid="{99A3A531-6A3E-4912-ACB0-8B2C6FBDDA6C}"/>
    <hyperlink ref="B276" r:id="rId465" display="https://www.google.com/url?q=https://www.infoarena.ro/problema/anagrame&amp;sa=D&amp;ust=1605639815671000&amp;usg=AFQjCNEHa5Jw9TXLpcMBoIdxM0jPa7rzAA" xr:uid="{DBD8B4B7-769D-476B-BF19-057F2B033B60}"/>
    <hyperlink ref="F276" r:id="rId466" display="https://www.google.com/url?q=https://github.com/stefdasca/CompetitiveProgramming/blob/master/Infoarena/anagrame.cpp&amp;sa=D&amp;ust=1605639815671000&amp;usg=AFQjCNEK9O7vE4PD_ZoNVLZ6kWFCO9hw7Q" xr:uid="{287FE285-1FD2-4355-BFD4-BB0DA59CF417}"/>
    <hyperlink ref="B277" r:id="rId467" display="https://www.google.com/url?q=https://szkopul.edu.pl/problemset/problem/qYS15kJB5WGKbGxqJCIEVM1I/site/&amp;sa=D&amp;ust=1605639815672000&amp;usg=AFQjCNGEIpXXHsX0nGBWptmroKOkPJ1zTw" xr:uid="{169D600B-993E-4025-B827-6FD8A3F4CC65}"/>
    <hyperlink ref="F277" r:id="rId468" display="https://www.google.com/url?q=https://github.com/mostafa-saad/MyCompetitiveProgramming/blob/master/Olympiad/CEOI/CEOI-04-Clouds.txt&amp;sa=D&amp;ust=1605639815672000&amp;usg=AFQjCNHwhg8w-0D8xrK1AtyTXtwAMwrsKA" xr:uid="{65A3B7AE-3D73-423F-9745-FD81405F3DD4}"/>
    <hyperlink ref="B278" r:id="rId469" display="https://www.google.com/url?q=https://oj.uz/problem/view/COCI17_paralelogrami&amp;sa=D&amp;ust=1605639815672000&amp;usg=AFQjCNHWM3A1Y0UpXwF8bjxgHSgWAzcNYg" xr:uid="{A57DCB0C-2877-4230-A147-D044FB7834AD}"/>
    <hyperlink ref="F278" r:id="rId470" display="https://www.google.com/url?q=https://github.com/mostafa-saad/MyCompetitiveProgramming/blob/master/Olympiad/COCI/official/2017/contest7_solutions&amp;sa=D&amp;ust=1605639815673000&amp;usg=AFQjCNFGiMFfG4PcwNi5fZmOC0LyM3Qg9w" xr:uid="{8741BAE7-1050-4117-9E04-A7C2A0502302}"/>
    <hyperlink ref="B279" r:id="rId471" display="https://www.google.com/url?q=https://oj.uz/problem/view/POI11_wyk&amp;sa=D&amp;ust=1605639815673000&amp;usg=AFQjCNEJq-jR4gGuZ8-7TrEfxn-4WZJ_xA" xr:uid="{C1DF2A90-2602-4347-B00E-8994339F7514}"/>
    <hyperlink ref="F279" r:id="rId472" display="https://www.google.com/url?q=https://github.com/mostafa-saad/MyCompetitiveProgramming/blob/master/Olympiad/POI/official/find_editorial_sols_guidelines.txt&amp;sa=D&amp;ust=1605639815673000&amp;usg=AFQjCNEszTNHmmRrCQfcQTALp2VYw24iZw" xr:uid="{6B0E554E-1914-43B3-BDBD-B1C0E7FAA6C4}"/>
    <hyperlink ref="B280" r:id="rId473" display="https://www.google.com/url?q=https://cses.fi/180/list/&amp;sa=D&amp;ust=1605639815673000&amp;usg=AFQjCNEAFs7ROpme6PbQ19d3-4OLu1MUkA" xr:uid="{7DEE3755-7511-4DAE-831D-2BC8DCA02FE1}"/>
    <hyperlink ref="F280" r:id="rId474" display="https://www.google.com/url?q=https://github.com/mostafa-saad/MyCompetitiveProgramming/tree/master/Olympiad/CEOI/official/2009&amp;sa=D&amp;ust=1605639815673000&amp;usg=AFQjCNFFCeeBKHtHVo4jHEkcdpdQtjt-_w" xr:uid="{46AB552C-A1C2-48CB-A2F7-BD72C39B8424}"/>
    <hyperlink ref="B281" r:id="rId475" display="https://www.google.com/url?q=https://oj.uz/problems/source/60&amp;sa=D&amp;ust=1605639815674000&amp;usg=AFQjCNGnV-JY6FBVrfxdMIQsg6tMYhvs8A" xr:uid="{E60D15A6-0606-4EBD-B96C-5E8C342DCD40}"/>
    <hyperlink ref="F281" r:id="rId476" display="https://www.google.com/url?q=https://github.com/tmwilliamlin168/CompetitiveProgramming/blob/master/CEOI/13-Adriatic.cpp&amp;sa=D&amp;ust=1605639815674000&amp;usg=AFQjCNETM01U9D5oy9gHO8JXAsmrx_c7EQ" xr:uid="{69213A36-3C51-4C91-80FB-3D5050C5C49B}"/>
    <hyperlink ref="B282" r:id="rId477" display="https://www.google.com/url?q=https://dmoj.ca/problem/apio10p3&amp;sa=D&amp;ust=1605639815674000&amp;usg=AFQjCNH9J5TUdnlQgAKC4Ifbde34YvO7uA" xr:uid="{5ECFE70C-C115-4C5A-80A3-A51E6EF0E238}"/>
    <hyperlink ref="F282" r:id="rId478" display="https://www.google.com/url?q=https://github.com/shanto86/Training/blob/master/Dmoj/APIO%252010-Signaling.cpp&amp;sa=D&amp;ust=1605639815675000&amp;usg=AFQjCNHmiO2h-rP0d-VBKHAk0BAXIYdE7g" xr:uid="{D4EFBE7F-CD90-4888-BFF4-F6F36A45D17B}"/>
    <hyperlink ref="B283" r:id="rId479" display="https://www.google.com/url?q=https://oj.uz/problem/view/JOI17_cultivation&amp;sa=D&amp;ust=1605639815675000&amp;usg=AFQjCNGXJApf4d2fkoFrleq36PmiRikrnQ" xr:uid="{49BC1973-D858-419D-A1A9-5C67E34CB157}"/>
    <hyperlink ref="F283" r:id="rId480" display="https://www.google.com/url?q=https://github.com/mostafa-saad/MyCompetitiveProgramming/blob/master/Olympiad/JOI/official/JOISC/2017/2017.txt&amp;sa=D&amp;ust=1605639815675000&amp;usg=AFQjCNGOyBNbpzeltRLvEMnwya-zsG3HfA" xr:uid="{AC5EEF60-2821-4C68-9C64-78996682824B}"/>
    <hyperlink ref="B284" r:id="rId481" display="https://www.google.com/url?q=https://szkopul.edu.pl/problemset/problem/vX48bEW0i5IRszoCOP_f78Dc/site/&amp;sa=D&amp;ust=1605639815675000&amp;usg=AFQjCNGSwaDOG2PtUdyaEdrRq5a1Sp2iIg" xr:uid="{9586AC7F-B2A4-4141-BF33-0243953C9230}"/>
    <hyperlink ref="F284" r:id="rId482" display="https://www.google.com/url?q=https://github.com/mostafa-saad/MyCompetitiveProgramming/blob/master/Olympiad/POI/official/find_editorial_sols_guidelines.txt&amp;sa=D&amp;ust=1605639815675000&amp;usg=AFQjCNHZaOqON-mK42igpdpP8lNRXf_lIw" xr:uid="{A5ACCB2B-FBB8-4DC5-B4FD-285A2E728341}"/>
    <hyperlink ref="B285" r:id="rId483" display="https://www.google.com/url?q=https://csacademy.com/contest/ioi-2016-training-round-3/task/network-rumour/&amp;sa=D&amp;ust=1605639815676000&amp;usg=AFQjCNEEeEZ574zfgLoJa3rfxfWvAcwtpg" xr:uid="{B6DB7683-712B-4F27-B296-A0CD80F1A645}"/>
    <hyperlink ref="B286" r:id="rId484" display="https://www.google.com/url?q=https://szkopul.edu.pl/problemset/problem/cKsx92et8fGp6MOzI2HTNmQY/site/&amp;sa=D&amp;ust=1605639815676000&amp;usg=AFQjCNFGUt7QA4x6z3vfYgWefS2Yrlnfyw" xr:uid="{1C146D47-84F4-495D-9D5E-FDB45538DCFB}"/>
    <hyperlink ref="F286" r:id="rId485" display="https://www.google.com/url?q=https://github.com/mostafa-saad/MyCompetitiveProgramming/blob/master/Olympiad/POI/official/find_editorial_sols_guidelines.txt&amp;sa=D&amp;ust=1605639815676000&amp;usg=AFQjCNG0-3jCyC33RITufOuQy3D5HBo02A" xr:uid="{150910D4-6BF4-4D47-B3B7-949553223753}"/>
    <hyperlink ref="B287" r:id="rId486" display="https://www.google.com/url?q=https://www.hackerrank.com/contests/boi-2016/challenges&amp;sa=D&amp;ust=1605639815676000&amp;usg=AFQjCNH--ixh5eNFP6BXdSeGaAFvDaJrNQ" xr:uid="{19EEBDB1-0574-4701-B27F-F9B7892C9A3A}"/>
    <hyperlink ref="F287" r:id="rId487" display="https://www.google.com/url?q=https://github.com/mostafa-saad/MyCompetitiveProgramming/tree/master/Olympiad/Balkan/official/2016&amp;sa=D&amp;ust=1605639815677000&amp;usg=AFQjCNHV68AyZeNG6Fg5_bkn_vFCr83guQ" xr:uid="{BEABFE1F-8714-43FB-AEBA-0D73F68A0C06}"/>
    <hyperlink ref="B288" r:id="rId488" display="https://www.google.com/url?q=https://wcipeg.com/problem/coci096p5&amp;sa=D&amp;ust=1605639815677000&amp;usg=AFQjCNGoNB_pdlfXKOQfYnpeGrJgWsce_g" xr:uid="{E1F167A4-58D5-44F8-9CF0-AEDD8156A520}"/>
    <hyperlink ref="F288" r:id="rId489" display="https://www.google.com/url?q=https://github.com/mostafa-saad/MyCompetitiveProgramming/blob/master/Olympiad/COCI/official/2010/contest6_solutions&amp;sa=D&amp;ust=1605639815677000&amp;usg=AFQjCNHwV5doqhvJn-BXB2QVRv0ND62mpg" xr:uid="{96DFF6FA-5239-4AE9-B688-8719BDE31619}"/>
    <hyperlink ref="B289" r:id="rId490" display="https://www.google.com/url?q=https://szkopul.edu.pl/problemset/problem/z0rincXf7fi157ycO_Sl0bCb/site/&amp;sa=D&amp;ust=1605639815679000&amp;usg=AFQjCNFVjuiiff9e1QUR379Mk4Gd0LcfjQ" xr:uid="{0F060582-5801-45E4-A119-985D5420E811}"/>
    <hyperlink ref="F289" r:id="rId491" display="https://www.google.com/url?q=https://github.com/mostafa-saad/MyCompetitiveProgramming/blob/master/Olympiad/POI/official/find_editorial_sols_guidelines.txt&amp;sa=D&amp;ust=1605639815679000&amp;usg=AFQjCNFJSqaZhMD2H9WrIq_pWrvaH6Tt3g" xr:uid="{C4E44BD0-D21F-41CE-B9D4-E39D1EE71E56}"/>
    <hyperlink ref="B290" r:id="rId492" display="https://www.google.com/url?q=https://dunjudge.me/analysis/problems/706/&amp;sa=D&amp;ust=1605639815680000&amp;usg=AFQjCNHM7YrnagsgJRPVuOgiUQqOQPWCiQ" xr:uid="{4ED5ACC4-464B-45E8-AB29-3ADC690ACCF1}"/>
    <hyperlink ref="F290" r:id="rId493" display="https://www.google.com/url?q=https://github.com/mostafa-saad/MyCompetitiveProgramming/blob/master/Olympiad/NOI/official&amp;sa=D&amp;ust=1605639815680000&amp;usg=AFQjCNEd3hhmUv-sj2_Fj_V2iHHTBHRrTQ" xr:uid="{3B6AE613-A8C9-4DF5-A8FF-0B2C469B2D70}"/>
    <hyperlink ref="B291" r:id="rId494" display="https://www.google.com/url?q=http://usaco.org/index.php?page%3Dviewproblem2%26cpid%3D950&amp;sa=D&amp;ust=1605639815680000&amp;usg=AFQjCNG-IIZfk8WiRqBQ_8avI1Di9Q0eVg" xr:uid="{93AF7768-AAC7-4F92-9EC5-FFAD20520929}"/>
    <hyperlink ref="F291" r:id="rId495" display="https://www.google.com/url?q=https://github.com/Szawinis/CompetitiveProgramming/blob/master/Olympiad/USACO/USACO19mar-valleys-plat.cpp&amp;sa=D&amp;ust=1605639815680000&amp;usg=AFQjCNFKW9P4DObeHwmYfAJYsIiNI_Lgpg" xr:uid="{D8E2F163-F10B-4A9B-82F4-43EA5E93B9E7}"/>
    <hyperlink ref="B292" r:id="rId496" display="https://www.google.com/url?q=https://oj.uz/problem/view/COCI18_teoreticar&amp;sa=D&amp;ust=1605639815681000&amp;usg=AFQjCNHZ7aqXbCK7OCwK8tI3zSV0mTc1Rw" xr:uid="{DD8566E6-45CF-4903-B65C-D9361AC95B82}"/>
    <hyperlink ref="B293" r:id="rId497" display="https://www.google.com/url?q=https://github.com/mostafa-saad/MyCompetitiveProgramming/blob/master/Olympiad/infoarena/drumuri5-statement.txt&amp;sa=D&amp;ust=1605639815681000&amp;usg=AFQjCNFWyalaSV08LzFyg-tlUWgFtY_sgA" xr:uid="{6558479C-1FF8-4E1E-908A-BFA9090E86B0}"/>
    <hyperlink ref="F293" r:id="rId498" display="https://www.google.com/url?q=https://github.com/stefdasca/CompetitiveProgramming/blob/master/Infoarena/drumuri5.cpp&amp;sa=D&amp;ust=1605639815681000&amp;usg=AFQjCNGPKJXViWpHMFEvxbQ7UWULhnH1-Q" xr:uid="{5BE0CA19-1060-404F-9F27-C63627ABFAE3}"/>
    <hyperlink ref="B294" r:id="rId499" display="https://www.google.com/url?q=https://csacademy.com/contest/ioi-2016-training-round-3/task/tree-nodes-destruction/&amp;sa=D&amp;ust=1605639815681000&amp;usg=AFQjCNEkg9-hWulKY_L2G2Xb1mhLaYCmUg" xr:uid="{1E0827C2-EF9C-4B1D-825A-A1EB5B640253}"/>
    <hyperlink ref="B295" r:id="rId500" display="https://www.google.com/url?q=https://oj.uz/problem/view/COCI17_sazetak&amp;sa=D&amp;ust=1605639815682000&amp;usg=AFQjCNHzwg1RxTAYqQkvnQnjzxUaVu2-AQ" xr:uid="{2ED1CDBE-C50A-430F-95DB-F339EEBF1886}"/>
    <hyperlink ref="B296" r:id="rId501" display="https://www.google.com/url?q=https://szkopul.edu.pl/problemset/problem/dq_rM2gOy4-8jYIsE7xgo-9l/site/&amp;sa=D&amp;ust=1605639815682000&amp;usg=AFQjCNGY4Nu7RPsaXCP-NfcxLiza1qMJ1Q" xr:uid="{E544DD21-6B66-4C03-B72E-5B45B7FFA269}"/>
    <hyperlink ref="F296" r:id="rId502" display="https://www.google.com/url?q=https://github.com/mostafa-saad/MyCompetitiveProgramming/blob/master/Olympiad/POI/POI-04-Tournament.txt&amp;sa=D&amp;ust=1605639815682000&amp;usg=AFQjCNGDHkadTTtS_c-ZDnYlg7EVg3uoDw" xr:uid="{16071B8A-D67C-40DD-8C45-2A4F4A877CF1}"/>
    <hyperlink ref="B297" r:id="rId503" display="https://www.google.com/url?q=https://infoarena.ro/problema/xortransform&amp;sa=D&amp;ust=1605639815683000&amp;usg=AFQjCNGYIxXnsE3Km_PEbnI6Vh4BnSx1VQ" xr:uid="{29FD9F61-A3D3-4664-99EB-C0A04D2E7536}"/>
    <hyperlink ref="F297" r:id="rId504" display="https://www.google.com/url?q=https://github.com/mostafa-saad/MyCompetitiveProgramming/blob/master/Olympiad/infoarena/infoarena_xortransform.txt&amp;sa=D&amp;ust=1605639815683000&amp;usg=AFQjCNGVD8PrUIH1RZUXeNC_ZqAJFuXHkA" xr:uid="{683E62EB-AFBD-4F2F-A076-02AB292680C6}"/>
    <hyperlink ref="B298" r:id="rId505" display="https://www.google.com/url?q=https://oj.uz/problem/view/COCI16_kralj&amp;sa=D&amp;ust=1605639815683000&amp;usg=AFQjCNG4fhwv3Am2I7J8x3brJv4A6kOLAw" xr:uid="{0AB7E25C-67DA-4A2A-9374-14A4E07DDCBA}"/>
    <hyperlink ref="F298" r:id="rId506" display="https://www.google.com/url?q=https://github.com/mostafa-saad/MyCompetitiveProgramming/blob/master/Olympiad/COCI/COCI-16-kralj.txt&amp;sa=D&amp;ust=1605639815684000&amp;usg=AFQjCNGXDgT7jMmSvf7D2UDXNvETM35yRw" xr:uid="{8A1DDBA1-BC21-458B-838A-3E723DD3FC05}"/>
    <hyperlink ref="B299" r:id="rId507" display="https://www.google.com/url?q=https://dmoj.ca/problem/apio10p2&amp;sa=D&amp;ust=1605639815684000&amp;usg=AFQjCNHVYPGqXcVwLwWoiDYjc8Dv_cFdTQ" xr:uid="{04D95275-8BBE-4BB8-BCBF-1D235BB0DB9D}"/>
    <hyperlink ref="F299" r:id="rId508" display="https://www.google.com/url?q=https://github.com/mostafa-saad/MyCompetitiveProgramming/blob/master/Olympiad/APIO/APIO-10-Patrol.txt&amp;sa=D&amp;ust=1605639815684000&amp;usg=AFQjCNGWVWgpZWXaZ0OUIa-zpTAKlkL8rQ" xr:uid="{567BD956-EB1A-4553-B9D5-6DA3C89300B2}"/>
    <hyperlink ref="B300" r:id="rId509" display="https://www.google.com/url?q=https://oj.uz/problem/view/BOI18_election&amp;sa=D&amp;ust=1605639815685000&amp;usg=AFQjCNEW4T4xI0xvRLILaHAQeKw6foRplw" xr:uid="{7E9C0693-67A5-4CE2-8DB1-C9B607138DEF}"/>
    <hyperlink ref="F300" r:id="rId510" display="https://www.google.com/url?q=https://github.com/mostafa-saad/MyCompetitiveProgramming/blob/master/Olympiad/Balkan/Balkan-18-election.txt&amp;sa=D&amp;ust=1605639815685000&amp;usg=AFQjCNGrZGMfCUUmLFZfCxXkbOrkU_RzXQ" xr:uid="{BE820543-6FE3-4A40-B5D0-51D5BD3E836B}"/>
    <hyperlink ref="B301" r:id="rId511" display="https://www.google.com/url?q=https://joi2013ho.contest.atcoder.jp/tasks/joi2013ho5&amp;sa=D&amp;ust=1605639815685000&amp;usg=AFQjCNEzaZQpzGNh0Op9Gv9iTou9Oe0qGg" xr:uid="{E4279968-576F-42F8-83A3-72C577C5AEBE}"/>
    <hyperlink ref="F301" r:id="rId512" display="https://www.google.com/url?q=https://github.com/mostafa-saad/MyCompetitiveProgramming/blob/master/Olympiad/JOI/JOI-13-BubbleSort.txt&amp;sa=D&amp;ust=1605639815685000&amp;usg=AFQjCNGDBPCPIT6NZVusEKmc6CHgyp9B1Q" xr:uid="{8589F6DD-BCC0-4CC8-A184-67C14C38DDF2}"/>
    <hyperlink ref="B302" r:id="rId513" display="https://www.google.com/url?q=https://oj.uz/problem/view/COCI16_burza&amp;sa=D&amp;ust=1605639815686000&amp;usg=AFQjCNHP4Ls1bj_PZaTbVS3y-7c4kM-X-w" xr:uid="{6C1D1A8D-CA57-4DBC-8CC3-B250E71854D9}"/>
    <hyperlink ref="F302" r:id="rId514" display="https://www.google.com/url?q=https://github.com/mostafa-saad/MyCompetitiveProgramming/blob/master/Olympiad/COCI/COCI-16-burza.txt&amp;sa=D&amp;ust=1605639815686000&amp;usg=AFQjCNHF6vW6PDxLrb4j_FeaW2C2_DD8-A" xr:uid="{0026666F-B020-4B7F-ABBB-BEDEF4A0D55D}"/>
    <hyperlink ref="B303" r:id="rId515" display="https://www.google.com/url?q=https://szkopul.edu.pl/problemset/problem/M5CruI5eCu8elnNFHuiXBrvV/site/&amp;sa=D&amp;ust=1605639815686000&amp;usg=AFQjCNHauGbVOhUmlqg8KJa35bk8NI17_g" xr:uid="{C7E064C3-7251-4B3C-B34C-CB7E300E6E8A}"/>
    <hyperlink ref="F303" r:id="rId516" display="https://www.google.com/url?q=https://github.com/mostafa-saad/MyCompetitiveProgramming/blob/master/Olympiad/POI/POI-16-Not_Nim.txt&amp;sa=D&amp;ust=1605639815686000&amp;usg=AFQjCNGbK557-OVNZp4_NMAwutRh0lhC0g" xr:uid="{8A335AA0-3D8C-4EDE-A39D-8DDAF835484D}"/>
    <hyperlink ref="B304" r:id="rId517" display="https://www.google.com/url?q=https://szkopul.edu.pl/problemset/problem/F_PC7j8VzjiPwlNqg9Jr_tFg/site/&amp;sa=D&amp;ust=1605639815686000&amp;usg=AFQjCNHsNLJBIHtE3DG_cpj_nZJgfYmoUw" xr:uid="{A470ABB8-5C9E-4306-AD20-06C0C09E9290}"/>
    <hyperlink ref="F304" r:id="rId518" display="https://www.google.com/url?q=https://github.com/mostafa-saad/MyCompetitiveProgramming/blob/master/Olympiad/POI/POI-09-Walk.txt&amp;sa=D&amp;ust=1605639815687000&amp;usg=AFQjCNGMQHNnGxjcwkinw90qQ1m-sUgdxw" xr:uid="{BD054DA1-05C3-433C-948C-8B3771A97253}"/>
    <hyperlink ref="B305" r:id="rId519" display="https://www.google.com/url?q=https://dunjudge.me/analysis/problems/762/&amp;sa=D&amp;ust=1605639815687000&amp;usg=AFQjCNFacVpwbAXDMEweSiAjGnk1Gxa01g" xr:uid="{D50C5A3D-09D8-4392-B445-617C3D317673}"/>
    <hyperlink ref="F305" r:id="rId520" display="https://www.google.com/url?q=https://ivaniscoding.wordpress.com/2018/08/25/communication-2-navigation/&amp;sa=D&amp;ust=1605639815687000&amp;usg=AFQjCNH4AHENdSBe3FOGsw6fjp5tLhwZIA" xr:uid="{8150010D-627D-47C0-9562-A65CFED41B45}"/>
    <hyperlink ref="B306" r:id="rId521" display="https://www.google.com/url?q=https://oj.uz/problem/view/COI15_zarulje&amp;sa=D&amp;ust=1605639815833000&amp;usg=AFQjCNE3gB8atWDwcXhavOGFq2KyF1UKBg" xr:uid="{B69F6B72-A6E7-459A-A509-D76B8FF772F4}"/>
    <hyperlink ref="F306" r:id="rId522" display="https://www.google.com/url?q=https://github.com/mostafa-saad/MyCompetitiveProgramming/blob/master/Olympiad/COI/COI-15-zarulje.txt&amp;sa=D&amp;ust=1605639815833000&amp;usg=AFQjCNGydgKuPzwvlpQ_gCfLTnXRz6cm3A" xr:uid="{0FEEF052-DE01-440F-B5F7-407AA73A36EC}"/>
    <hyperlink ref="B307" r:id="rId523" display="https://www.google.com/url?q=https://oj.uz/problem/view/IOI09_salesman&amp;sa=D&amp;ust=1605639815834000&amp;usg=AFQjCNEIdXJ-b3DO0xva1HYRjzu2M11jrg" xr:uid="{B65DA836-B71C-4FAE-BE95-19030A6AA2FF}"/>
    <hyperlink ref="F307" r:id="rId524" display="https://www.google.com/url?q=https://github.com/mostafa-saad/MyCompetitiveProgramming/blob/master/Olympiad/IOI/IOI-09-salesman.txt&amp;sa=D&amp;ust=1605639815834000&amp;usg=AFQjCNGu3s9EqaxWIyoLYBcovuKN0Y6T6g" xr:uid="{7102EA95-1244-416E-8DF4-5876209A6464}"/>
    <hyperlink ref="B308" r:id="rId525" display="https://www.google.com/url?q=https://szkopul.edu.pl/problemset/problem/X_XFcxCm1xIAk2alKtQLN79O/site/&amp;sa=D&amp;ust=1605639815835000&amp;usg=AFQjCNHLi7NNehPjuY3omznzyoNtP6nj7A" xr:uid="{5B3D0822-BC4A-4BF1-8297-3BA7CA3F827B}"/>
    <hyperlink ref="F308" r:id="rId526" display="https://www.google.com/url?q=https://github.com/mostafa-saad/MyCompetitiveProgramming/blob/master/Olympiad/POI/POI-09-Island.txt&amp;sa=D&amp;ust=1605639815835000&amp;usg=AFQjCNHlUerV3WoLc_x_3Qn1o4fuiq_-RQ" xr:uid="{0D121B25-0AED-454D-8C50-DAC684BC3A80}"/>
    <hyperlink ref="B309" r:id="rId527" display="https://www.google.com/url?q=http://usaco.org/index.php?page%3Dviewproblem2%26cpid%3D840&amp;sa=D&amp;ust=1605639815835000&amp;usg=AFQjCNE43BHOsEwztIcWRLvE_ZRWAuU1Jg" xr:uid="{A30A1E63-1279-49A3-B73C-8EF27FB8F433}"/>
    <hyperlink ref="B310" r:id="rId528" display="https://www.google.com/url?q=https://oj.uz/problem/view/BOI15_tug&amp;sa=D&amp;ust=1605639815836000&amp;usg=AFQjCNGJ6DDVwab91hoiJ85MbgAv5cc23Q" xr:uid="{663DB8F7-5AB7-4D86-B852-A79DA899164A}"/>
    <hyperlink ref="F310" r:id="rId529" display="https://www.google.com/url?q=https://github.com/mostafa-saad/MyCompetitiveProgramming/blob/master/Olympiad/Baltic/Baltic-15-tug.txt&amp;sa=D&amp;ust=1605639815836000&amp;usg=AFQjCNEx4BKWqliiSbRIt323T_lZhYehRg" xr:uid="{B01150D6-AB85-4422-BD8E-E5F58519AFCA}"/>
    <hyperlink ref="B311" r:id="rId530" display="https://www.google.com/url?q=https://wcipeg.com/problem/coi08p1&amp;sa=D&amp;ust=1605639815836000&amp;usg=AFQjCNHv2_msN-fgOtheApQK0ftI-qKScA" xr:uid="{7567E88F-2CFF-4C21-BE34-DD13A5774B63}"/>
    <hyperlink ref="F311" r:id="rId531" display="https://www.google.com/url?q=https://github.com/mostafa-saad/MyCompetitiveProgramming/blob/master/Olympiad/COI/COI-08-Izbori.txt&amp;sa=D&amp;ust=1605639815836000&amp;usg=AFQjCNEpI3kq19D_cCIG3XkyOCpQMK1xyg" xr:uid="{37567B51-FF95-45E1-A85F-A252B81CBA42}"/>
    <hyperlink ref="B312" r:id="rId532" display="https://www.google.com/url?q=https://szkopul.edu.pl/problemset/problem/X6IwPa2H9FSd3Ly6bYp5t8Vu/site/&amp;sa=D&amp;ust=1605639815837000&amp;usg=AFQjCNErV8luIR_XSExGGiuYdjlGZ1JflQ" xr:uid="{E6E572C5-D831-4F5A-8C7E-6D3EB9B1D96D}"/>
    <hyperlink ref="F312" r:id="rId533" display="https://www.google.com/url?q=https://github.com/mostafa-saad/MyCompetitiveProgramming/blob/master/Olympiad/POI/POI-16-Nim.txt&amp;sa=D&amp;ust=1605639815837000&amp;usg=AFQjCNED3GHmednYa9N_wr7ZYMyz0K61DA" xr:uid="{3A8878A9-D018-469F-B885-6E40D5D86A9E}"/>
    <hyperlink ref="B313" r:id="rId534" display="https://www.google.com/url?q=https://oj.uz/problem/view/IOI19_rect&amp;sa=D&amp;ust=1605639815837000&amp;usg=AFQjCNGuTrJO9fSsEuAjEjkkeJ6whkBDYw" xr:uid="{74242D8F-CABF-477A-9128-2A542916CD29}"/>
    <hyperlink ref="F313" r:id="rId535" display="https://www.google.com/url?q=https://github.com/mostafa-saad/MyCompetitiveProgramming/blob/master/Olympiad/IOI/IOI-19-rect.txt&amp;sa=D&amp;ust=1605639815838000&amp;usg=AFQjCNH7cvXF_2zzOMo0S5YrzturW86RaA" xr:uid="{587F6882-712D-4484-91C9-F67E9D5DE1BC}"/>
    <hyperlink ref="B314" r:id="rId536" display="https://www.google.com/url?q=https://www.infoarena.ro/problema/ssdj&amp;sa=D&amp;ust=1605639815838000&amp;usg=AFQjCNHOI_J-7NKFcOCuI2caYYcTLNtQHw" xr:uid="{CACFB9DD-EF24-46D4-9E7A-BA2F483CAEB3}"/>
    <hyperlink ref="F314" r:id="rId537" display="https://www.google.com/url?q=https://github.com/mostafa-saad/MyCompetitiveProgramming/blob/master/Olympiad/infoarena/infoarena-ssdj.txt&amp;sa=D&amp;ust=1605639815838000&amp;usg=AFQjCNEDoWuNTSMdJ8BSYU8gGZKFc21UOg" xr:uid="{748B174F-1D3B-4760-8AE7-FC405A5223D0}"/>
    <hyperlink ref="B315" r:id="rId538" display="https://www.google.com/url?q=https://oj.uz/problem/view/COI19_izlet&amp;sa=D&amp;ust=1605639815839000&amp;usg=AFQjCNFC9Vl4u3MBeGUOkMxsd9ZT4pU6IA" xr:uid="{507CAC93-0D4B-48C3-A417-9237E7A1A27E}"/>
    <hyperlink ref="F315" r:id="rId539" display="https://www.google.com/url?q=https://codeforces.com/blog/entry/66506&amp;sa=D&amp;ust=1605639815839000&amp;usg=AFQjCNGP5TfX1Bu17JOAWBSvpeN8rdOKhA" xr:uid="{10B2EC4B-D45E-4B9B-9EC2-8959A43657E4}"/>
    <hyperlink ref="B316" r:id="rId540" display="https://www.google.com/url?q=https://szkopul.edu.pl/problemset/problem/pBkLSmvYN2S1-4G9s8UqOB7s/site/&amp;sa=D&amp;ust=1605639815864000&amp;usg=AFQjCNEBSiilXQYbbaIFcIlL8jxi-xk--w" xr:uid="{BB91F63F-00F1-4593-AD59-22E17D8911E0}"/>
    <hyperlink ref="F316" r:id="rId541" display="https://www.google.com/url?q=https://github.com/mostafa-saad/MyCompetitiveProgramming/blob/master/Olympiad/POI/POI-09-Code.txt&amp;sa=D&amp;ust=1605639815879000&amp;usg=AFQjCNFwVC5SuWrZoWrrxwFCcNkfQjsU9Q" xr:uid="{EF3D9DB5-F42A-4699-8368-6302D824A30B}"/>
    <hyperlink ref="B317" r:id="rId542" display="https://www.google.com/url?q=https://oj.uz/problem/view/COCI17_sirni&amp;sa=D&amp;ust=1605639815879000&amp;usg=AFQjCNGOlY9-DJ-MB6mCl-pYjbbqdH6sCQ" xr:uid="{E2754B5D-C574-439E-877A-9AE3DB6065E9}"/>
    <hyperlink ref="F317" r:id="rId543" display="https://www.google.com/url?q=https://github.com/mostafa-saad/MyCompetitiveProgramming/blob/master/Olympiad/COCI/COCI-17-sirni.txt&amp;sa=D&amp;ust=1605639815879000&amp;usg=AFQjCNFYC3wRy_U3mb4wDh72T4EhHNGYqw" xr:uid="{8BD8329B-C490-48D2-ADFF-F761C0EF86DB}"/>
    <hyperlink ref="B318" r:id="rId544" display="https://www.google.com/url?q=http://infoarena.ro/problema/engineer&amp;sa=D&amp;ust=1605639815880000&amp;usg=AFQjCNH7hzjql-GxSEXbzlJeGmNYSLZM0Q" xr:uid="{96BFD530-9C70-429F-A160-68EF5B230C49}"/>
    <hyperlink ref="F318" r:id="rId545" display="https://www.google.com/url?q=https://github.com/stefdasca/CompetitiveProgramming/blob/master/Infoarena/engineer.cpp&amp;sa=D&amp;ust=1605639815880000&amp;usg=AFQjCNG8bs8XoWluZHmqcE0ZLBAnWvGGug" xr:uid="{B98FD01B-3017-4E70-BFAA-7F2DDFA81F79}"/>
    <hyperlink ref="B319" r:id="rId546" display="https://www.google.com/url?q=https://szkopul.edu.pl/problemset/problem/0EGjXu64CRLc5S2-EQOZ0eR1/site/&amp;sa=D&amp;ust=1605639815881000&amp;usg=AFQjCNEsi7AQubS0oooHNPEXD4PuGMo_7A" xr:uid="{7B458010-24FE-4DBA-A0D9-88E36A249D14}"/>
    <hyperlink ref="F319" r:id="rId547" display="https://www.google.com/url?q=https://github.com/mostafa-saad/MyCompetitiveProgramming/blob/master/Olympiad/POI/official/find_editorial_sols_guidelines.txt&amp;sa=D&amp;ust=1605639815881000&amp;usg=AFQjCNEnLW_rMu_IXuBqTB7Hq1tNF0bMqg" xr:uid="{E8089935-CC85-440A-9691-3E80CFABBF0A}"/>
    <hyperlink ref="B320" r:id="rId548" display="https://www.google.com/url?q=https://szkopul.edu.pl/problemset/problem/ci05UTAWBFeYYWnidnK1zzQl/site/&amp;sa=D&amp;ust=1605639815881000&amp;usg=AFQjCNF3Ii5AgfLpa1dzcY1SFbnRcgyA-Q" xr:uid="{E923FA16-E6ED-44C5-85C1-5613081375B1}"/>
    <hyperlink ref="F320" r:id="rId549" display="https://www.google.com/url?q=https://github.com/mostafa-saad/MyCompetitiveProgramming/blob/master/Olympiad/POI/POI-08-Triangles.txt&amp;sa=D&amp;ust=1605639815881000&amp;usg=AFQjCNGwHglqPSMANlO1X0ntxlHIlGjA2w" xr:uid="{570D57A3-0D9C-4CED-A3EF-16A2B083905D}"/>
    <hyperlink ref="B321" r:id="rId550" display="https://www.google.com/url?q=https://oj.uz/problem/view/IOI18_doll&amp;sa=D&amp;ust=1605639815882000&amp;usg=AFQjCNHusuFQHB3ckB_bxdlf0BKz2Zm-tg" xr:uid="{DA5FE977-4A56-4CC7-B4F0-B83D8462BF4F}"/>
    <hyperlink ref="F321" r:id="rId551" display="https://www.google.com/url?q=https://github.com/mostafa-saad/MyCompetitiveProgramming/blob/master/Olympiad/IOI/IOI-18-Doll.txt&amp;sa=D&amp;ust=1605639815882000&amp;usg=AFQjCNFJaHecq87Uy9vgQq1tOWBkLq6Nhw" xr:uid="{A889193D-9EE7-40C5-A490-A8ED3289190A}"/>
    <hyperlink ref="B322" r:id="rId552" display="https://www.google.com/url?q=https://szkopul.edu.pl/problemset/problem/OQjANSOOD_-c38gh8p6g3Gxp/site/&amp;sa=D&amp;ust=1605639815882000&amp;usg=AFQjCNE44Z1M9WsjAnQet5RqlB2ceyUQyg" xr:uid="{2D9821D4-6B23-4A88-B90E-00304BA47380}"/>
    <hyperlink ref="F322" r:id="rId553" display="https://www.google.com/url?q=https://github.com/mostafa-saad/MyCompetitiveProgramming/blob/master/Olympiad/POI/POI-06-Tetris_3D.txt&amp;sa=D&amp;ust=1605639815883000&amp;usg=AFQjCNE_DFFeY0ObsBzb2c-obQBITzHq9g" xr:uid="{40B3F973-F8CB-4E46-8B4A-51665FE5D89B}"/>
    <hyperlink ref="B323" r:id="rId554" display="https://www.google.com/url?q=https://wcipeg.com/problem/coi07p4&amp;sa=D&amp;ust=1605639815884000&amp;usg=AFQjCNF4rSzE9LFJ54HUJldmvvX-rQruWg" xr:uid="{653CA835-64DC-42B9-88DB-4B41C0E8F0C0}"/>
    <hyperlink ref="F323" r:id="rId555" display="https://www.google.com/url?q=https://github.com/mostafa-saad/MyCompetitiveProgramming/blob/master/Olympiad/COI/COI-07-Umnozak.txt&amp;sa=D&amp;ust=1605639815885000&amp;usg=AFQjCNGFnKJ0syoxO-pqeF_rtkEjK270bg" xr:uid="{BE376CA5-5673-42A8-92F6-1E886ED89D55}"/>
    <hyperlink ref="B324" r:id="rId556" display="https://www.google.com/url?q=https://dmoj.ca/problem/coci08c4p6&amp;sa=D&amp;ust=1605639815885000&amp;usg=AFQjCNHJW8XNElcM9NHnzoqkY77JU-7vlA" xr:uid="{6211C86F-B31A-442A-9C51-1496698DB439}"/>
    <hyperlink ref="F324" r:id="rId557" display="https://www.google.com/url?q=https://github.com/mostafa-saad/MyCompetitiveProgramming/blob/master/Olympiad/COCI/COCI-08-Periodni.txt&amp;sa=D&amp;ust=1605639815885000&amp;usg=AFQjCNG5PQhzrDMO8lFQtJ15XvUN5fQ4qw" xr:uid="{3DB942E5-DEAB-4794-9716-97C79AB94D86}"/>
    <hyperlink ref="B325" r:id="rId558" display="https://www.google.com/url?q=https://szkopul.edu.pl/problemset/problem/6YiP6JA5U15hY94pLwuHoYPg/site/&amp;sa=D&amp;ust=1605639815886000&amp;usg=AFQjCNFDvJMihNU5uQnKctbmxQVLyk53hw" xr:uid="{73703810-87F1-418C-9B88-57B105F6B00B}"/>
    <hyperlink ref="F325" r:id="rId559" display="https://www.google.com/url?q=https://github.com/mostafa-saad/MyCompetitiveProgramming/blob/master/Olympiad/POI/POI-06-Ploughing.txt&amp;sa=D&amp;ust=1605639815886000&amp;usg=AFQjCNF-Eglz4LZkW7FP7n6zMK046mgzMA" xr:uid="{D5AF01A2-5EF9-4D32-8127-5DEB0B334DAE}"/>
    <hyperlink ref="B326" r:id="rId560" display="https://www.google.com/url?q=https://csacademy.com/contest/romanian-ioi-2017-selection-1/task/rooms/&amp;sa=D&amp;ust=1605639815886000&amp;usg=AFQjCNE-PJtNNjMEb79536nW9FPLJ18gnw" xr:uid="{C19D84BD-86B9-4AD0-B6BF-E7E09418BB39}"/>
    <hyperlink ref="F326" r:id="rId561" display="https://www.google.com/url?q=https://github.com/dolphingarlic/CompetitiveProgramming/blob/master/infoarena/ROUSelection%252017-rooms.cpp&amp;sa=D&amp;ust=1605639815887000&amp;usg=AFQjCNFHPbimaru7cGY6uIv4oV6-7S2E3Q" xr:uid="{3D8FF97C-3996-43D8-9F44-282673AD2131}"/>
    <hyperlink ref="B327" r:id="rId562" display="https://www.google.com/url?q=https://dmoj.ca/problem/coci06c6p6&amp;sa=D&amp;ust=1605639815887000&amp;usg=AFQjCNHLMM5IvjNo3TzcxZQPRIhEE7u5iA" xr:uid="{CFA03AAD-6767-40D7-A8B7-1888AD5D48E6}"/>
    <hyperlink ref="F327" r:id="rId563" display="https://www.google.com/url?q=https://github.com/mostafa-saad/MyCompetitiveProgramming/blob/master/Olympiad/COCI/COCI-06-Prostor.txt&amp;sa=D&amp;ust=1605639815887000&amp;usg=AFQjCNEkrT3pazWqwCj2pUT4gO9TvQVXuw" xr:uid="{5A83D83B-DC5D-49E7-81F1-05D8E10E9A72}"/>
    <hyperlink ref="B328" r:id="rId564" display="https://www.google.com/url?q=https://szkopul.edu.pl/problemset/problem/_qn633f6DVAHRkv0OX3LQaph/site/&amp;sa=D&amp;ust=1605639815888000&amp;usg=AFQjCNF_H2BVO66N62FEsHdTDNhkVXUw_g" xr:uid="{3EC0CC06-74DD-49C2-A72D-3721B233B299}"/>
    <hyperlink ref="F328" r:id="rId565" display="https://www.google.com/url?q=https://github.com/mostafa-saad/MyCompetitiveProgramming/blob/master/Olympiad/POI/POI-12-Salaries.txt&amp;sa=D&amp;ust=1605639815888000&amp;usg=AFQjCNGX47LbHtmSvEm1-e9-VQF-pL3eig" xr:uid="{014CEB59-5A61-483E-AA27-78E08227205D}"/>
    <hyperlink ref="B329" r:id="rId566" display="https://www.google.com/url?q=https://szkopul.edu.pl/problemset/problem/HH7LQVRVHom1g8YRe9423d1P/site/&amp;sa=D&amp;ust=1605639815888000&amp;usg=AFQjCNGZKTZ5Yp0ncSRzp2CcNc-QtRsI8Q" xr:uid="{E64CBFE8-D965-4338-B6B6-286F3CF39C34}"/>
    <hyperlink ref="F329" r:id="rId567" display="https://www.google.com/url?q=https://github.com/mostafa-saad/MyCompetitiveProgramming/blob/master/Olympiad/POI/POI-06-Frogs.txt&amp;sa=D&amp;ust=1605639815889000&amp;usg=AFQjCNH1NYou5ixBJsKQtCxpnCkRfTi6qQ" xr:uid="{9336EA3F-27A0-49E0-8696-188AAC143363}"/>
    <hyperlink ref="B330" r:id="rId568" display="https://www.google.com/url?q=https://oj.uz/problem/view/JOI17_port_facility&amp;sa=D&amp;ust=1605639815889000&amp;usg=AFQjCNHLKQVUpIIJ91bPAtHf-lsYXQpeVA" xr:uid="{564D7A9F-9331-4CCC-9787-A6B775252F99}"/>
    <hyperlink ref="F330" r:id="rId569" display="https://www.google.com/url?q=https://github.com/mostafa-saad/MyCompetitiveProgramming/blob/master/Olympiad/JOI/JOISC-17-PortFacility.txt&amp;sa=D&amp;ust=1605639815889000&amp;usg=AFQjCNH4_zMXbSO6N2w12ZidD2G9F-hwWw" xr:uid="{763DA4E6-9E9B-496D-BDC3-C4749E7025B1}"/>
    <hyperlink ref="B331" r:id="rId570" display="https://www.google.com/url?q=https://oj.uz/problem/view/IZhO19_segments&amp;sa=D&amp;ust=1605639815890000&amp;usg=AFQjCNFG77pbQ97YN7MWh5rNPX1BPznVOg" xr:uid="{738803F1-13FA-4466-9662-67E3409D22FD}"/>
    <hyperlink ref="F331" r:id="rId571" display="https://www.google.com/url?q=https://github.com/stefdasca/CompetitiveProgramming/blob/master/IZhO/IZhO%252019-segments.cpp&amp;sa=D&amp;ust=1605639815890000&amp;usg=AFQjCNGLK530VQ6zVAYJfjya6PNp3oXcTg" xr:uid="{7D48D15A-D944-4B6D-85C0-58933E8556BE}"/>
    <hyperlink ref="B332" r:id="rId572" display="https://www.google.com/url?q=https://oj.uz/problem/view/APIO15_bridge&amp;sa=D&amp;ust=1605639815890000&amp;usg=AFQjCNG0o69vrWLD4nPfm56bQrknsoBj1w" xr:uid="{AC9243BB-040E-4BFF-8862-EC08CC64BA09}"/>
    <hyperlink ref="F332" r:id="rId573" display="https://www.google.com/url?q=https://github.com/mostafa-saad/MyCompetitiveProgramming/blob/master/Olympiad/APIO/APIO-15-bridge.txt&amp;sa=D&amp;ust=1605639815891000&amp;usg=AFQjCNGpa-qwvXgxH1CtraJbc6NBCnYldg" xr:uid="{CB09E5E4-A130-4632-B35D-ABE1D4C0EB05}"/>
    <hyperlink ref="B333" r:id="rId574" display="https://www.google.com/url?q=https://oj.uz/problems/source/184&amp;sa=D&amp;ust=1605639815891000&amp;usg=AFQjCNERoJIy85F9ORHI52Fo_x6wLcvGTQ" xr:uid="{F1C00742-D87D-4BD1-8AF6-0294FD659A2F}"/>
    <hyperlink ref="F333" r:id="rId575" display="https://www.google.com/url?q=https://github.com/mostafa-saad/MyCompetitiveProgramming/blob/master/Olympiad/APIO/APIO-16-gap.txt&amp;sa=D&amp;ust=1605639815891000&amp;usg=AFQjCNGzy78l_C0mNcQ95C1VR97ph1Gnfg" xr:uid="{5EE9DAC7-0905-463D-AA73-D90B1D581CF9}"/>
    <hyperlink ref="B334" r:id="rId576" display="https://www.google.com/url?q=https://oj.uz/problem/view/IZhO19_xoractive&amp;sa=D&amp;ust=1605639815892000&amp;usg=AFQjCNE9AhaU7jjTMNWkrCGzgLO3gZy_9w" xr:uid="{8E267317-8E98-4947-9C98-D127ED8B4551}"/>
    <hyperlink ref="F334" r:id="rId577" display="https://www.google.com/url?q=https://github.com/stefdasca/CompetitiveProgramming/blob/master/IZhO/IZhO%252019-xoractive.cpp&amp;sa=D&amp;ust=1605639815892000&amp;usg=AFQjCNFsdEGY6WD6JHoRYIAXD_WWAiB2tg" xr:uid="{CC38A0DB-FB29-41F5-984F-32FCC9C30514}"/>
    <hyperlink ref="B335" r:id="rId578" display="https://www.google.com/url?q=https://oj.uz/problem/view/IOI12_supper&amp;sa=D&amp;ust=1605639815892000&amp;usg=AFQjCNHXZjPZHoJumLgsmFyWxGS6WuxrKg" xr:uid="{673ADE32-0092-449F-8691-0078E070459C}"/>
    <hyperlink ref="F335" r:id="rId579" display="https://www.google.com/url?q=https://github.com/mostafa-saad/MyCompetitiveProgramming/blob/master/Olympiad/IOI/IOI-12-editorials.txt&amp;sa=D&amp;ust=1605639815892000&amp;usg=AFQjCNEiKsVQEjkIKjNOyBi0bKkl1dyi7Q" xr:uid="{3A5FBF26-58B2-4D26-95C4-E4433BFA59E9}"/>
    <hyperlink ref="B336" r:id="rId580" display="https://www.google.com/url?q=https://oj.uz/problem/view/info1cup18_hidden&amp;sa=D&amp;ust=1605639815893000&amp;usg=AFQjCNHGniq_uVuS2vLOPEpUWQFzh5RlzQ" xr:uid="{DCB7C601-6555-4977-A141-05621DB8449D}"/>
    <hyperlink ref="F336" r:id="rId581" display="https://www.google.com/url?q=https://github.com/mostafa-saad/MyCompetitiveProgramming/blob/master/Olympiad/Info1Cup/Info1Cup_18-Hidden.txt&amp;sa=D&amp;ust=1605639815893000&amp;usg=AFQjCNHvOtTk9SEagf8S0-j4rx_pxWD56w" xr:uid="{225D121A-2132-4D0A-84CF-429A4EF3EEDA}"/>
    <hyperlink ref="B337" r:id="rId582" display="https://www.google.com/url?q=https://oj.uz/problem/view/COI15_nafta&amp;sa=D&amp;ust=1605639815893000&amp;usg=AFQjCNEnsj65k51Y0PfgfYvyhiYoMVJSSg" xr:uid="{6E319FB2-884C-44AB-B018-11B7FF3286D4}"/>
    <hyperlink ref="F337" r:id="rId583" display="https://www.google.com/url?q=https://github.com/mostafa-saad/MyCompetitiveProgramming/blob/master/Olympiad/COI/COI-15-nafta.txt&amp;sa=D&amp;ust=1605639815894000&amp;usg=AFQjCNGAQQxUCkuz9WBUxYgwutHVLc21Nw" xr:uid="{D92DB1A0-795E-4DDD-8829-4C6F9E557B5D}"/>
    <hyperlink ref="B338" r:id="rId584" display="https://www.google.com/url?q=https://contest.yandex.ru/roiarchive/contest/3926/problems/8/&amp;sa=D&amp;ust=1605639815894000&amp;usg=AFQjCNH0fhdzGWwq3h0nV1g6SlYlPP6zpg" xr:uid="{2A463C88-5617-44D5-BF66-23E67DA7480A}"/>
    <hyperlink ref="F338" r:id="rId585" display="https://www.google.com/url?q=https://github.com/SpeedOfMagic/CompetitiveProgramming/blob/master/RusOI-reg/13-capitals.cpp&amp;sa=D&amp;ust=1605639815894000&amp;usg=AFQjCNEzn1s62AwS94Dvz--wZglC-654Lg" xr:uid="{E02DA5A8-2869-4EE7-9EE8-9C04EBF90A1A}"/>
    <hyperlink ref="B339" r:id="rId586" display="https://www.google.com/url?q=https://szkopul.edu.pl/problemset/problem/cSa80AKpjHR8FlWE4BCpLGT3/site/?key%3Dstatement&amp;sa=D&amp;ust=1605639815895000&amp;usg=AFQjCNEvAtZna_6UWXcFA93QWOf8rifGeA" xr:uid="{3E06A730-9F50-4661-B901-8BDF86D4454E}"/>
    <hyperlink ref="F339" r:id="rId587" display="https://www.google.com/url?q=https://github.com/mostafa-saad/MyCompetitiveProgramming/blob/master/Olympiad/POI/POI-16-Christmas.txt&amp;sa=D&amp;ust=1605639815896000&amp;usg=AFQjCNHfE2CBf57vDroBueQRP8sABFWlng" xr:uid="{3539B45B-537D-4E1A-A41F-BC72F6DFF7BB}"/>
    <hyperlink ref="B340" r:id="rId588" display="https://www.google.com/url?q=https://dunjudge.me/analysis/problems/1826/&amp;sa=D&amp;ust=1605639815897000&amp;usg=AFQjCNHNZrCu1-x7mSp-OFk8ZxN3hA8IUA" xr:uid="{9ED7B895-CF72-4726-BF67-184261D42708}"/>
    <hyperlink ref="F340" r:id="rId589" display="https://www.google.com/url?q=https://github.com/mostafa-saad/MyCompetitiveProgramming/blob/master/Olympiad/NOI/NOI-19-feast.txt&amp;sa=D&amp;ust=1605639815897000&amp;usg=AFQjCNHZJq8_Tv91r_zQREpNcTlW2aQP4w" xr:uid="{5B773391-3544-442C-8F16-F3188C0E24DF}"/>
    <hyperlink ref="B341" r:id="rId590" display="https://www.google.com/url?q=https://dunjudge.me/analysis/problems/803/&amp;sa=D&amp;ust=1605639815897000&amp;usg=AFQjCNEnln4s1pQSj26ElSoWRrFG_wsZXQ" xr:uid="{E45682EF-FF02-46A3-A795-2E098FA47835}"/>
    <hyperlink ref="F341" r:id="rId591" display="https://www.google.com/url?q=https://github.com/mostafa-saad/MyCompetitiveProgramming/blob/master/Olympiad/COCI/COCI-14-norma.txt&amp;sa=D&amp;ust=1605639815898000&amp;usg=AFQjCNGsKJhRGZ-eFWPC01nIhScEmKQBiQ" xr:uid="{1C0DD20E-A53E-4240-8A98-BED43C719571}"/>
    <hyperlink ref="B342" r:id="rId592" display="https://www.google.com/url?q=https://www.infoarena.ro/problema/fft2d&amp;sa=D&amp;ust=1605639815898000&amp;usg=AFQjCNHVt5LtUcCuD7IYH8Id3VrL1oYnVw" xr:uid="{EE0E19F9-BA9F-42C6-A1C6-B51E049C2186}"/>
    <hyperlink ref="F342" r:id="rId593" display="https://www.google.com/url?q=https://github.com/mostafa-saad/MyCompetitiveProgramming/blob/master/Olympiad/infoarena/infoarena_fft2d.txt&amp;sa=D&amp;ust=1605639815898000&amp;usg=AFQjCNGkYnW9YPQ92MXpxuMAZdr6k9v8kw" xr:uid="{62E6EB97-9241-4949-9B1F-225C302B24DD}"/>
    <hyperlink ref="B343" r:id="rId594" display="https://www.google.com/url?q=https://www.infoarena.ro/problema/turnuri&amp;sa=D&amp;ust=1605639815899000&amp;usg=AFQjCNH48zJssXp8OhXwVt5-PsYFM9lXwA" xr:uid="{1E461F90-195A-4342-87C1-17B9C6AA6B19}"/>
    <hyperlink ref="F343" r:id="rId595" display="https://www.google.com/url?q=https://github.com/mostafa-saad/MyCompetitiveProgramming/blob/master/Olympiad/infoarena/infoarena_turnuri.txt&amp;sa=D&amp;ust=1605639815899000&amp;usg=AFQjCNFWCuYuPWzIGiFJyqfF2dtDBmFZnQ" xr:uid="{8652C369-0912-406F-A838-E331AE4FD0CA}"/>
    <hyperlink ref="B344" r:id="rId596" display="https://www.google.com/url?q=https://oj.uz/problem/view/JOI17_abduction2&amp;sa=D&amp;ust=1605639815899000&amp;usg=AFQjCNE4qbPJRZz-vAePaU49E-TlkpwX2A" xr:uid="{F39086BF-308C-4E87-9941-3A773E384788}"/>
    <hyperlink ref="F344" r:id="rId597" display="https://www.google.com/url?q=https://github.com/mostafa-saad/MyCompetitiveProgramming/blob/master/Olympiad/JOI/JOISC-17-abduction2.txt&amp;sa=D&amp;ust=1605639815900000&amp;usg=AFQjCNEflJOmANUJRvL7TWBOVMeJxpkQKA" xr:uid="{A6B18314-E9CA-4C3F-BFAD-E77C7CBE6350}"/>
    <hyperlink ref="B345" r:id="rId598" display="https://www.google.com/url?q=https://www.infoarena.ro/problema/matcnt&amp;sa=D&amp;ust=1605639815900000&amp;usg=AFQjCNHC7jHg0tO_3ISMCpLW0t1XET1EVw" xr:uid="{A3C41196-7724-4A9C-979F-16007B657350}"/>
    <hyperlink ref="F345" r:id="rId599" display="https://www.google.com/url?q=https://github.com/mostafa-saad/MyCompetitiveProgramming/blob/master/Olympiad/infoarena/infoarena_matcnt.txt&amp;sa=D&amp;ust=1605639815900000&amp;usg=AFQjCNGsX7iBlPGCKKm8RnCTBjvHzIaRwg" xr:uid="{205E7A55-6A44-4CAB-8570-1A0A310A08C3}"/>
    <hyperlink ref="B346" r:id="rId600" display="https://www.google.com/url?q=https://oj.uz/problem/view/CEOI12_race&amp;sa=D&amp;ust=1605639815900000&amp;usg=AFQjCNGZYzDys6arrVnnimOF2Bm_ZbKboA" xr:uid="{99C79C66-7BCB-4914-B07D-E6F38EC4C2C4}"/>
    <hyperlink ref="F346" r:id="rId601" display="https://www.google.com/url?q=https://github.com/mostafa-saad/MyCompetitiveProgramming/blob/master/Olympiad/CEOI/CEOI-12-race.txt&amp;sa=D&amp;ust=1605639815901000&amp;usg=AFQjCNHJwaLaiCCIM_Taw_e2lcXeA9ZISA" xr:uid="{97A4C2BD-78C8-44B4-B45B-BF636F8DB61D}"/>
    <hyperlink ref="B347" r:id="rId602" display="https://www.google.com/url?q=https://oj.uz/problem/view/BOI18_popa&amp;sa=D&amp;ust=1605639815901000&amp;usg=AFQjCNGR4sPtM5S_BlnipDlUY68ANhaP0Q" xr:uid="{152F38AD-E33E-454F-8A22-16366270063C}"/>
    <hyperlink ref="F347" r:id="rId603" display="https://www.google.com/url?q=https://github.com/mostafa-saad/MyCompetitiveProgramming/blob/master/Olympiad/Balkan/Balkan-18-popa.txt&amp;sa=D&amp;ust=1605639815901000&amp;usg=AFQjCNEmyUPmzJMlRCMlVr3FvnkNRIyXJQ" xr:uid="{DC3F6787-9F6A-4EAB-89FA-3348245EA495}"/>
    <hyperlink ref="B348" r:id="rId604" display="https://www.google.com/url?q=https://cses.fi/190/list/&amp;sa=D&amp;ust=1605639815902000&amp;usg=AFQjCNF6lkvMGwCXMugSsypno647jig_qQ" xr:uid="{C4CB1A32-707D-4D3A-9FB9-DBB2595FBFEC}"/>
    <hyperlink ref="F348" r:id="rId605" display="https://www.google.com/url?q=https://github.com/mostafa-saad/MyCompetitiveProgramming/blob/master/Olympiad/CEOI/CEOI-08-Fence.txt&amp;sa=D&amp;ust=1605639815902000&amp;usg=AFQjCNEOkq_7d3K_Tfq8m6AaSQFFRJla_w" xr:uid="{FDC73424-0A97-4BFB-A199-EFE460E1828C}"/>
    <hyperlink ref="B349" r:id="rId606" display="https://www.google.com/url?q=https://www.infoarena.ro/problema/shgraf&amp;sa=D&amp;ust=1605639815902000&amp;usg=AFQjCNGu93ZO-a6DDj51_zjFd43OD7Ta4A" xr:uid="{E3746B43-7AA1-4E1E-A79C-6A7501240E0E}"/>
    <hyperlink ref="F349" r:id="rId607" display="https://www.google.com/url?q=https://github.com/mostafa-saad/MyCompetitiveProgramming/blob/master/Olympiad/infoarena/infoarena_shgraf.txt&amp;sa=D&amp;ust=1605639815902000&amp;usg=AFQjCNGuZMqNGkoEVyR3poj-yj_ROpQA9Q" xr:uid="{D165D8BD-9FCF-455C-9861-E71D5CD3A47E}"/>
    <hyperlink ref="B350" r:id="rId608" display="https://www.google.com/url?q=https://oj.uz/problem/view/COCI16_zamjene&amp;sa=D&amp;ust=1605639815903000&amp;usg=AFQjCNEARy43G-bKw5KKzuftJm0Ck-LL-A" xr:uid="{4AAD9E0A-243E-4FB1-9B70-CB99533B4954}"/>
    <hyperlink ref="F350" r:id="rId609" display="https://www.google.com/url?q=https://github.com/mostafa-saad/MyCompetitiveProgramming/blob/master/Olympiad/COCI/COCI-16-zamjene.txt&amp;sa=D&amp;ust=1605639815903000&amp;usg=AFQjCNHfmuR81BvBH8Jrn82yKHrqin3kTw" xr:uid="{D52ABCBD-6796-4F45-81A9-BC4E0C413C76}"/>
    <hyperlink ref="B351" r:id="rId610" display="https://www.google.com/url?q=https://www.infoarena.ro/problema/unique&amp;sa=D&amp;ust=1605639815903000&amp;usg=AFQjCNER_SKY0yCJywCF3alSXxbMTkg6FQ" xr:uid="{3C5D5B37-0EFE-48A8-981F-4F61CCD69895}"/>
    <hyperlink ref="F351" r:id="rId611" display="https://www.google.com/url?q=https://github.com/mostafa-saad/MyCompetitiveProgramming/blob/master/Olympiad/infoarena/infoarena_unique.txt&amp;sa=D&amp;ust=1605639815904000&amp;usg=AFQjCNFDSDGFEaYlU7LHbnyJVssSe8oVHA" xr:uid="{E3818477-0C78-4314-BD80-B41D7D995595}"/>
    <hyperlink ref="B352" r:id="rId612" display="https://www.google.com/url?q=https://dunjudge.me/analysis/problems/1827/&amp;sa=D&amp;ust=1605639815904000&amp;usg=AFQjCNF-rGXGZmDO8l5l7HwPXFRD-iL5MQ" xr:uid="{F7ECE1BA-B71A-4625-AF39-3B8ABB85D2B7}"/>
    <hyperlink ref="F352" r:id="rId613" display="https://www.google.com/url?q=https://github.com/mostafa-saad/MyCompetitiveProgramming/blob/master/Olympiad/NOI/NOI-19-riggedroads.txt&amp;sa=D&amp;ust=1605639815905000&amp;usg=AFQjCNEuDwvG_G3LzoUizYKy_ZeU9NX8SA" xr:uid="{F869E9F2-11C0-42FE-B2E9-D0F7B5EFB9B9}"/>
    <hyperlink ref="B353" r:id="rId614" display="https://www.google.com/url?q=https://szkopul.edu.pl/problemset/problem/vQpjG0o3j0x3BQDNXpuciN3n/site/&amp;sa=D&amp;ust=1605639815905000&amp;usg=AFQjCNGYjLP14FPWK7k7yV9xSU4-f85uxg" xr:uid="{4E93AEB2-C635-4686-B053-B216E2D34417}"/>
    <hyperlink ref="F353" r:id="rId615" display="https://www.google.com/url?q=https://github.com/mostafa-saad/MyCompetitiveProgramming/blob/master/Olympiad/CEOI/CEOI-04-Sweets.txt&amp;sa=D&amp;ust=1605639815905000&amp;usg=AFQjCNG_ZLywueMm1CwHApncqgR5LQ-mLw" xr:uid="{298C0C25-66BF-483C-95A0-5C417424CF70}"/>
    <hyperlink ref="B354" r:id="rId616" display="https://www.google.com/url?q=https://oj.uz/problem/view/POI11_sej&amp;sa=D&amp;ust=1605639815906000&amp;usg=AFQjCNEyK-jDKtdDl2OI6RLShNR95ZcXeA" xr:uid="{F1378D2A-C09C-4FAA-80C6-A603861FED8D}"/>
    <hyperlink ref="F354" r:id="rId617" display="https://www.google.com/url?q=https://github.com/mostafa-saad/MyCompetitiveProgramming/blob/master/Olympiad/POI/POI-11-sej.txt&amp;sa=D&amp;ust=1605639815906000&amp;usg=AFQjCNE5wqXeUI65RFgldgZwMi2b45DnNA" xr:uid="{0ACD8EA8-9DE2-478B-8909-C1769A32F7AB}"/>
    <hyperlink ref="B355" r:id="rId618" display="https://www.google.com/url?q=https://cses.fi/110/list/&amp;sa=D&amp;ust=1605639815906000&amp;usg=AFQjCNFw2aFPkpnwbINyo2Izo5kxQGyjPQ" xr:uid="{16D0FA0D-4127-44AB-B714-99E6C4CE5467}"/>
    <hyperlink ref="F355" r:id="rId619" display="https://www.google.com/url?q=https://github.com/mostafa-saad/MyCompetitiveProgramming/blob/master/Olympiad/Baltic/Baltic-06-RLE.txt&amp;sa=D&amp;ust=1605639815906000&amp;usg=AFQjCNGbcsC4yrnwW2RRo6Gq5HkYx1y2jw" xr:uid="{07B651D9-8E1D-42BA-96F9-C8D51DECB63F}"/>
    <hyperlink ref="B356" r:id="rId620" display="https://www.google.com/url?q=https://www.acmicpc.net/problem/5252&amp;sa=D&amp;ust=1605639815908000&amp;usg=AFQjCNEpe1UpZlcwUK4BX6RIRXkWwaV2qg" xr:uid="{6E0A0401-D014-49C6-9ACC-9906E96F610E}"/>
    <hyperlink ref="F356" r:id="rId621" display="https://www.google.com/url?q=https://github.com/mostafa-saad/MyCompetitiveProgramming/blob/master/Olympiad/Balkan/Balkan-12-BestTeams.txt&amp;sa=D&amp;ust=1605639815908000&amp;usg=AFQjCNFnfuIaRY3qO_M06QY-CDR5MofLUg" xr:uid="{9F4DB67A-256F-42EF-9C0F-433EA2CD2FC2}"/>
    <hyperlink ref="B357" r:id="rId622" display="https://www.google.com/url?q=https://wcipeg.com/problem/coci091p6&amp;sa=D&amp;ust=1605639815909000&amp;usg=AFQjCNH8tUoNKN_QotPvuxDNoVFWxrrJ2g" xr:uid="{C2211214-6259-4AAB-961A-154A1D1FF5AA}"/>
    <hyperlink ref="F357" r:id="rId623" display="https://www.google.com/url?q=https://github.com/mostafa-saad/MyCompetitiveProgramming/blob/master/Olympiad/COCI/COCI-09-Aladin.txt&amp;sa=D&amp;ust=1605639815909000&amp;usg=AFQjCNHHc-_M-rYiLQaaTQediP02_rqJCQ" xr:uid="{87BB44F2-3C69-4BD4-A330-9A151FFC27E5}"/>
    <hyperlink ref="B358" r:id="rId624" display="https://www.google.com/url?q=https://dmoj.ca/problem/coci14c3p6&amp;sa=D&amp;ust=1605639815909000&amp;usg=AFQjCNESFUK28ioqT2KwglyHeW1BcLdaBg" xr:uid="{6D973BC8-3D4A-4EB7-8D65-61387A6323D1}"/>
    <hyperlink ref="F358" r:id="rId625" display="https://www.google.com/url?q=https://github.com/mostafa-saad/MyCompetitiveProgramming/blob/master/Olympiad/COCI/COCI-14-Kamioni.txt&amp;sa=D&amp;ust=1605639815909000&amp;usg=AFQjCNGD_TSgMzCSqyxpllK--y1lyl4-pA" xr:uid="{418B650B-200B-49C7-8AC4-511AD4857DE3}"/>
    <hyperlink ref="B359" r:id="rId626" display="https://www.google.com/url?q=https://szkopul.edu.pl/problemset/problem/7Tut6VBMo0evZZ34EhdNuuOm/site/&amp;sa=D&amp;ust=1605639815910000&amp;usg=AFQjCNHnDqLHSzTiS1UUdpO69GCLOS_i7Q" xr:uid="{E312B581-F853-45F7-8522-FBB27D3BEDED}"/>
    <hyperlink ref="F359" r:id="rId627" display="https://www.google.com/url?q=https://github.com/mostafa-saad/MyCompetitiveProgramming/blob/master/Olympiad/POI/POI-06-Sophie.txt&amp;sa=D&amp;ust=1605639815910000&amp;usg=AFQjCNFVYFTCwPDpzZQMIXaAofxY6OvcaA" xr:uid="{F5755037-78BE-4E42-B3CF-68049E48770A}"/>
    <hyperlink ref="B360" r:id="rId628" display="https://www.google.com/url?q=https://oj.uz/problem/view/IOI15_scales&amp;sa=D&amp;ust=1605639815910000&amp;usg=AFQjCNGj16AnD6sBttGTGCwOmISEU2P3kA" xr:uid="{4AF98A57-FE57-4BCB-9D50-367B3E75C8B1}"/>
    <hyperlink ref="F360" r:id="rId629" display="https://www.google.com/url?q=https://github.com/mostafa-saad/MyCompetitiveProgramming/blob/master/Olympiad/IOI/official/2015&amp;sa=D&amp;ust=1605639815911000&amp;usg=AFQjCNHUJa3LO3vsA6UgT4yJJU3o-dVCMQ" xr:uid="{48D959AE-1F0D-4FA7-B666-96461CA3C47F}"/>
    <hyperlink ref="B361" r:id="rId630" display="https://www.google.com/url?q=https://oj.uz/problem/view/IOI11_elephants&amp;sa=D&amp;ust=1605639815911000&amp;usg=AFQjCNEEl8IzrkE-1RGUIAAmQ0IuOo8Ipw" xr:uid="{4A630285-DDAF-4C8B-95ED-9B60541B6661}"/>
    <hyperlink ref="F361" r:id="rId631" display="https://www.google.com/url?q=https://github.com/mostafa-saad/MyCompetitiveProgramming/blob/master/Olympiad/IOI/IOI-11-elephants.txt&amp;sa=D&amp;ust=1605639815911000&amp;usg=AFQjCNEnAENl3LYrgHitzvdmjryysy3_-g" xr:uid="{F71ADB1A-B9B8-4CB4-B036-86C6BE2C767F}"/>
    <hyperlink ref="B362" r:id="rId632" display="https://www.google.com/url?q=https://oj.uz/problem/view/IOI15_teams&amp;sa=D&amp;ust=1605639815912000&amp;usg=AFQjCNENlzniTiyl3To_2PgV33CK4_JWEg" xr:uid="{2C0B49C7-195A-4905-B8B2-3549F3879796}"/>
    <hyperlink ref="F362" r:id="rId633" display="https://www.google.com/url?q=https://github.com/mostafa-saad/MyCompetitiveProgramming/blob/master/Olympiad/IOI/official/2015&amp;sa=D&amp;ust=1605639815912000&amp;usg=AFQjCNHHe7i04M5e3R0QEj9QWiiyIUCfXw" xr:uid="{375FA904-7506-4D44-B157-45739A44902F}"/>
    <hyperlink ref="B363" r:id="rId634" display="https://www.google.com/url?q=https://oj.uz/problem/view/IZhO14_marriage&amp;sa=D&amp;ust=1605639815912000&amp;usg=AFQjCNHvwvGkpgnGQUek5yBqyceL4dp43Q" xr:uid="{311A75C2-876A-4459-B9AF-E1397B5BD46B}"/>
    <hyperlink ref="F363" r:id="rId635" display="https://www.google.com/url?q=https://github.com/LeTrongDat/CompetitiveProgramming/blob/master/IZhO/IZhO14-marriage.cpp&amp;sa=D&amp;ust=1605639815913000&amp;usg=AFQjCNHEfmULeUJ-aJfPHQjt1X3rnEiGaw" xr:uid="{6C417DEA-AE4B-46BA-843B-2EA13831BC2A}"/>
    <hyperlink ref="B364" r:id="rId636" display="https://www.google.com/url?q=https://szkopul.edu.pl/problemset/problem/ttMOxHYN1BPMG8oXYiIzIXB9/site/&amp;sa=D&amp;ust=1605639815913000&amp;usg=AFQjCNE91zDaC1Y99_B-PELN3_k9iezH-Q" xr:uid="{916384E1-56CB-4BC4-BA14-83C959090707}"/>
    <hyperlink ref="F364" r:id="rId637" display="https://www.google.com/url?q=https://github.com/mostafa-saad/MyCompetitiveProgramming/blob/master/Olympiad/POI/official/find_editorial_sols_guidelines.txt&amp;sa=D&amp;ust=1605639815913000&amp;usg=AFQjCNFr6Cydss4CLDEb9IrOuIqjJQVAGw" xr:uid="{1ADA35CE-B12D-4109-A34D-CCFE8074E3BA}"/>
    <hyperlink ref="B365" r:id="rId638" display="https://www.google.com/url?q=https://oj.uz/problem/view/COCI17_klavir&amp;sa=D&amp;ust=1605639815914000&amp;usg=AFQjCNHuIrIw91ue_vJ_10OCt-FscBvy8g" xr:uid="{F487D800-A336-47A6-9B6B-1CA649995627}"/>
    <hyperlink ref="F365" r:id="rId639" display="https://www.google.com/url?q=https://github.com/mostafa-saad/MyCompetitiveProgramming/blob/master/Olympiad/CEOI/COCI-17-klavir.txt&amp;sa=D&amp;ust=1605639815914000&amp;usg=AFQjCNHLKlhdhJ4luanErBR0u7wiQJ3o6g" xr:uid="{09AF3AE8-CF37-4D09-83F9-23B5044AD8FF}"/>
    <hyperlink ref="B366" r:id="rId640" display="https://www.google.com/url?q=https://oj.uz/problem/view/POI11_okr&amp;sa=D&amp;ust=1605639815914000&amp;usg=AFQjCNFoTloGrSVz35Mkajl7T0sUYxdBUw" xr:uid="{65AB3B76-DEBE-44E0-AC6F-6FB8EE0D3F2C}"/>
    <hyperlink ref="F366" r:id="rId641" display="https://www.google.com/url?q=https://github.com/mostafa-saad/MyCompetitiveProgramming/blob/master/Olympiad/POI/POI-11-okr.txt&amp;sa=D&amp;ust=1605639815914000&amp;usg=AFQjCNEJYvuw6q4MR4g_UG7Y5OsK8-NfIA" xr:uid="{B039ED13-F550-493A-8E3C-BE2918320C1B}"/>
    <hyperlink ref="B367" r:id="rId642" display="https://www.google.com/url?q=https://cses.fi/113/list/&amp;sa=D&amp;ust=1605639815915000&amp;usg=AFQjCNEy3Tiela0tJRcQOuhXk1o_Rq2aQA" xr:uid="{2DA38345-2A1B-45FA-B925-CDBDADED3D8B}"/>
    <hyperlink ref="F367" r:id="rId643" display="https://www.google.com/url?q=https://github.com/mostafa-saad/MyCompetitiveProgramming/blob/master/Olympiad/Baltic/Baltic-08-Magical.txt&amp;sa=D&amp;ust=1605639815915000&amp;usg=AFQjCNHVBV4MKR0VMuOLXu8EGwL_i2j8rA" xr:uid="{884AFADB-5B9C-4056-A666-62049C1BEF97}"/>
    <hyperlink ref="B368" r:id="rId644" display="https://www.google.com/url?q=https://oj.uz/problem/view/IOI14_wall&amp;sa=D&amp;ust=1605639815915000&amp;usg=AFQjCNGwGfrmsB3Yr8CoFLACSOlD9qlZEQ" xr:uid="{68F7CF17-713C-4317-909E-BBA73518E479}"/>
    <hyperlink ref="F368" r:id="rId645" display="https://www.google.com/url?q=http://blog.brucemerry.org.za/2014/07/&amp;sa=D&amp;ust=1605639815916000&amp;usg=AFQjCNGPOO1BIFmbhqIoAWvCpsE2Nxb8zw" xr:uid="{C9529154-BA43-4B72-A8E1-3CB475BDD4C5}"/>
    <hyperlink ref="B369" r:id="rId646" display="https://www.google.com/url?q=https://oj.uz/problems/source/351&amp;sa=D&amp;ust=1605639815916000&amp;usg=AFQjCNELxMPHu8rzt-WxrQFlDiP2s3592w" xr:uid="{ABDC57EB-3FAC-4EC4-B089-4952B1E585AA}"/>
    <hyperlink ref="F369" r:id="rId647" display="https://www.google.com/url?q=https://github.com/mostafa-saad/MyCompetitiveProgramming/tree/master/Olympiad/JOI/official/JOIOC/2018&amp;sa=D&amp;ust=1605639815916000&amp;usg=AFQjCNE1aOt_qmni--mdjfTYkD3LTUH8SQ" xr:uid="{29A2B9C7-9879-40C6-8891-F11D17ED3A44}"/>
    <hyperlink ref="B370" r:id="rId648" display="https://www.google.com/url?q=https://oj.uz/problem/view/BOI19_necklace1&amp;sa=D&amp;ust=1605639815917000&amp;usg=AFQjCNHZFcw6StkeHQm9cHQeo2pDPEZrsQ" xr:uid="{52C1EB8B-EEBA-4B46-A74C-C6FD7BA80E3F}"/>
    <hyperlink ref="F370" r:id="rId649" display="https://www.google.com/url?q=https://github.com/mostafa-saad/MyCompetitiveProgramming/blob/master/Olympiad/Baltic/Baltic-19-necklace1.txt&amp;sa=D&amp;ust=1605639815917000&amp;usg=AFQjCNG_rbz24XKwEauqWVwD3ZjCcj3N1g" xr:uid="{7AF0CF3B-AFDC-49C9-97A7-A1612666BD65}"/>
    <hyperlink ref="B371" r:id="rId650" display="https://www.google.com/url?q=https://oj.uz/problems/source/313&amp;sa=D&amp;ust=1605639815917000&amp;usg=AFQjCNF0GaYP9ILD-wlZqHE0sgkhoqjTqQ" xr:uid="{2BC74B10-B93D-43B7-AF2D-E35DE276DDB7}"/>
    <hyperlink ref="F371" r:id="rId651" display="https://www.google.com/url?q=https://codeforces.com/blog/entry/58433&amp;sa=D&amp;ust=1605639815917000&amp;usg=AFQjCNHKkK4E1mpjIMTld98K4gKTK8q7_A" xr:uid="{C499C8F1-04DD-4F96-B29E-E5C3D8F4034D}"/>
    <hyperlink ref="B372" r:id="rId652" display="https://www.google.com/url?q=https://szkopul.edu.pl/problemset/problem/5UgslCU-C5vsermqgJGm_C5A/site/&amp;sa=D&amp;ust=1605639815918000&amp;usg=AFQjCNHn0ZGHHxleOdp0yLUVf06o87hRTA" xr:uid="{2F5C6F64-3381-41CD-ADA5-F7539A623722}"/>
    <hyperlink ref="F372" r:id="rId653" display="https://www.google.com/url?q=https://github.com/mostafa-saad/MyCompetitiveProgramming/blob/master/Olympiad/POI/POI-07-Quaternary.txt&amp;sa=D&amp;ust=1605639815919000&amp;usg=AFQjCNFZCdWHspdN7WDPZ3les6gai5m0bQ" xr:uid="{5F259624-F739-4AFC-8A98-260A9C6EDB0D}"/>
    <hyperlink ref="B373" r:id="rId654" display="https://www.google.com/url?q=https://dmoj.ca/problem/cco12p6&amp;sa=D&amp;ust=1605639815919000&amp;usg=AFQjCNGZtCbokBBzQEsjoNZweDJwZKMYXg" xr:uid="{A42DF662-397E-45DC-94E6-0711EAB8F1A0}"/>
    <hyperlink ref="B374" r:id="rId655" display="https://www.google.com/url?q=https://oj.uz/problem/view/JOI18_security_gate&amp;sa=D&amp;ust=1605639815920000&amp;usg=AFQjCNGWvNL3cWkWj7vZ_cxKqGY3VDfqSA" xr:uid="{59F5B970-58D2-4FB0-A67E-81463B8F45FE}"/>
    <hyperlink ref="B375" r:id="rId656" display="https://www.google.com/url?q=https://cses.fi/188/list/&amp;sa=D&amp;ust=1605639815920000&amp;usg=AFQjCNGltnwtxXyA55g-VymUWMtGXmoLWQ" xr:uid="{E0A28C53-03EA-4477-A71C-D6EB806D7584}"/>
    <hyperlink ref="B376" r:id="rId657" display="https://www.google.com/url?q=https://szkopul.edu.pl/problemset/problem/2yK6zUTXvAjhxSDfbjE4Zx7k/site/&amp;sa=D&amp;ust=1605639815921000&amp;usg=AFQjCNG7RUUQlX282thuuc581pN2PlBzew" xr:uid="{4C9EA62A-9B5C-45F2-841B-4C4AE6078974}"/>
    <hyperlink ref="B377" r:id="rId658" display="https://www.google.com/url?q=https://oj.uz/problem/view/CEOI12_highway&amp;sa=D&amp;ust=1605639815921000&amp;usg=AFQjCNHX-o8OALww0JYLsuSFqHTI1hpJbQ" xr:uid="{11047001-E34E-4B63-96E0-2A3978A60495}"/>
    <hyperlink ref="F377" r:id="rId659" display="https://www.google.com/url?q=https://github.com/tmwilliamlin168/CompetitiveProgramming/blob/master/CEOI/12-Highway.cpp&amp;sa=D&amp;ust=1605639815921000&amp;usg=AFQjCNHBWk54Imqb0IOJvsY_G45bumULlQ" xr:uid="{24DFCBD8-68FE-4AF3-BCBE-A47C7053004E}"/>
    <hyperlink ref="B378" r:id="rId660" display="https://www.google.com/url?q=https://szkopul.edu.pl/problemset/problem/kxK8IowlpnNmHqkDDoK-hIeZ/site/&amp;sa=D&amp;ust=1605639815922000&amp;usg=AFQjCNFvM9zVyZbL-xidZ-XUi9CALW-yJQ" xr:uid="{03A2A9A1-D233-40A0-9F36-80F76B813B0B}"/>
    <hyperlink ref="F378" r:id="rId661" display="https://www.google.com/url?q=https://github.com/mostafa-saad/MyCompetitiveProgramming/blob/master/Olympiad/POI/official/find_editorial_sols_guidelines.txt&amp;sa=D&amp;ust=1605639815922000&amp;usg=AFQjCNGZzEi4TwpmqvSXLoYkWEDndSa-Tg" xr:uid="{B9DF58C3-726B-4698-8C51-3AF86777EC80}"/>
    <hyperlink ref="B379" r:id="rId662" display="https://www.google.com/url?q=https://szkopul.edu.pl/problemset/problem/hwbyoUkNFPXQLOPcw3x5huTR/site/&amp;sa=D&amp;ust=1605639815922000&amp;usg=AFQjCNFc7WwmTasifceRXxa_nU_SURJp5A" xr:uid="{28AEB116-D892-4493-B5AD-692E191172B3}"/>
    <hyperlink ref="F379" r:id="rId663" display="https://www.google.com/url?q=https://github.com/mostafa-saad/MyCompetitiveProgramming/blob/master/Olympiad/POI/official/find_editorial_sols_guidelines.txt&amp;sa=D&amp;ust=1605639815922000&amp;usg=AFQjCNGZzEi4TwpmqvSXLoYkWEDndSa-Tg" xr:uid="{A7A13206-E796-456B-97C1-DEF2BECDC09C}"/>
    <hyperlink ref="B380" r:id="rId664" display="https://www.google.com/url?q=https://szkopul.edu.pl/problemset/problem/WXVRycanis3d1h5p63YZqYKs/site/&amp;sa=D&amp;ust=1605639815923000&amp;usg=AFQjCNG19t545N1FskbaYimRbh5vivzocQ" xr:uid="{1E8032D4-CFBF-4CBB-8BD1-8990BAC32595}"/>
    <hyperlink ref="F380" r:id="rId665" display="https://www.google.com/url?q=https://github.com/mostafa-saad/MyCompetitiveProgramming/blob/master/Olympiad/POI/official/find_editorial_sols_guidelines.txt&amp;sa=D&amp;ust=1605639815923000&amp;usg=AFQjCNEejjkLkq8a2OQPKjIMMAmnOk7Dtg" xr:uid="{1E93FFA0-1072-4536-8030-2B1EABF5B8F8}"/>
    <hyperlink ref="B381" r:id="rId666" display="https://www.google.com/url?q=https://oj.uz/problem/view/CEOI18_tri&amp;sa=D&amp;ust=1605639815923000&amp;usg=AFQjCNHCtspmLarV2UXvafgXml8pddv1Ng" xr:uid="{0461BABF-0200-4806-AF33-BB550B446296}"/>
    <hyperlink ref="B382" r:id="rId667" display="https://www.google.com/url?q=https://szkopul.edu.pl/problemset/problem/J5f8YHtUsaMdtOdfx0QoHKe0/site/?key%3Dstatement&amp;sa=D&amp;ust=1605639815923000&amp;usg=AFQjCNH4vnCZx54SfqykuqlGOG2AxBZBCw" xr:uid="{535332D0-274C-45FF-83D6-31CA168EBA84}"/>
    <hyperlink ref="B383" r:id="rId668" display="https://www.google.com/url?q=https://oj.uz/problem/view/BOI15_fil&amp;sa=D&amp;ust=1605639815924000&amp;usg=AFQjCNHQM65RZu9459Y-JXn8Y83XZL_lZQ" xr:uid="{25979CD4-15A4-4DF7-9561-8FBA77C29035}"/>
    <hyperlink ref="F383" r:id="rId669" display="https://www.google.com/url?q=https://github.com/mostafa-saad/MyCompetitiveProgramming/blob/master/Olympiad/Baltic/Baltic-15-fil.txt&amp;sa=D&amp;ust=1605639815924000&amp;usg=AFQjCNEe1ieqdtNBPxQXJL4ohFqZAzuczA" xr:uid="{3E0F66CB-130C-449D-B0BC-0CDA69049420}"/>
    <hyperlink ref="B384" r:id="rId670" display="https://www.google.com/url?q=https://dmoj.ca/problem/coi06p3&amp;sa=D&amp;ust=1605639815924000&amp;usg=AFQjCNFWArjpBkvymOsdxv17l86sD8F8UQ" xr:uid="{321EB7FD-61C5-47B4-973B-3C953DD0BF09}"/>
    <hyperlink ref="F384" r:id="rId671" display="https://www.google.com/url?q=https://github.com/mostafa-saad/MyCompetitiveProgramming/tree/master/Olympiad/COCI/official/2007/olympiad_solutions&amp;sa=D&amp;ust=1605639815925000&amp;usg=AFQjCNElf33cswvh3ZOw4RlqCGTi1NmVhA" xr:uid="{3439751B-85F2-43AA-9942-CA25DC1D9533}"/>
    <hyperlink ref="B385" r:id="rId672" display="https://www.google.com/url?q=https://oj.uz/problem/view/IOI15_sorting&amp;sa=D&amp;ust=1605639815925000&amp;usg=AFQjCNGA6sggejHRgUO-JEW3vFNz4Iam4g" xr:uid="{610DBFB2-D18F-441B-A50E-9E895ABF34D3}"/>
    <hyperlink ref="F385" r:id="rId673" display="https://www.google.com/url?q=https://github.com/mostafa-saad/MyCompetitiveProgramming/blob/master/Olympiad/IOI/IOI-15-sorting.txt&amp;sa=D&amp;ust=1605639815925000&amp;usg=AFQjCNEr9720mB5NwacvqYXFpzeoKD8JgA" xr:uid="{78EBDF51-DC00-4D14-98C3-C21BCD267F61}"/>
    <hyperlink ref="B386" r:id="rId674" display="https://www.google.com/url?q=http://www.usaco.org/index.php?page%3Dviewproblem2%26cpid%3D1020&amp;sa=D&amp;ust=1605639815925000&amp;usg=AFQjCNG6s-XhCHiJ1N2CqfUa2ne7UuEpIg" xr:uid="{351E82FB-D836-49BD-A356-CC38E666DA35}"/>
    <hyperlink ref="B387" r:id="rId675" display="https://www.google.com/url?q=https://oj.uz/problem/view/IOI19_vision&amp;sa=D&amp;ust=1605639815926000&amp;usg=AFQjCNG-MB9jCuv-7Zcg6R9iRE-uqqafPw" xr:uid="{D3E32CAC-6818-415E-BA45-2A0F3CE5D9C9}"/>
    <hyperlink ref="F387" r:id="rId676" display="https://www.google.com/url?q=https://github.com/mostafa-saad/MyCompetitiveProgramming/blob/master/Olympiad/IOI/IOI-19-vision.txt&amp;sa=D&amp;ust=1605639815926000&amp;usg=AFQjCNHvVtlEdYYEahGyYFGoe0y147bV1g" xr:uid="{95680F79-40BE-4366-9626-91FE1C55FC33}"/>
    <hyperlink ref="B388" r:id="rId677" display="https://www.google.com/url?q=https://oj.uz/problem/view/COI19_tenis&amp;sa=D&amp;ust=1605639815926000&amp;usg=AFQjCNFRC22qSBMneTCXRqn5AvWZj-0f6Q" xr:uid="{C6C76357-423D-4C51-B68C-75830FEBEB7C}"/>
    <hyperlink ref="F388" r:id="rId678" display="https://www.google.com/url?q=https://github.com/mostafa-saad/MyCompetitiveProgramming/blob/master/Olympiad/COI/COI-19-tenis.txt&amp;sa=D&amp;ust=1605639815927000&amp;usg=AFQjCNE_fIvcWgFXCexdaeMJiNM3pxTVkA" xr:uid="{F7A93F1B-A8E7-48CD-86DA-4ACACD28308E}"/>
    <hyperlink ref="B389" r:id="rId679" display="https://www.google.com/url?q=https://oj.uz/problem/view/COI15_ruka&amp;sa=D&amp;ust=1605639815927000&amp;usg=AFQjCNH5Pw-87HOdo5WiuLe8XRO5Jp2gBA" xr:uid="{E17FDB52-D6B9-489E-8192-45079CFCDB50}"/>
    <hyperlink ref="F389" r:id="rId680" display="https://www.google.com/url?q=https://github.com/mostafa-saad/MyCompetitiveProgramming/blob/master/Olympiad/COI/COI-15-ruka.txt&amp;sa=D&amp;ust=1605639815927000&amp;usg=AFQjCNGsYxXVkwJa9qy5fatPqN9P3JN70A" xr:uid="{73C5EEBF-C705-4AF8-9EDC-B38FED228FF5}"/>
    <hyperlink ref="B390" r:id="rId681" display="https://www.google.com/url?q=https://codeforces.com/contest/1193&amp;sa=D&amp;ust=1605639815927000&amp;usg=AFQjCNGgE7aXFEnG79g_cbYKm9hkO0GuFg" xr:uid="{82049EA1-8B58-4F45-8E43-6733B53314BB}"/>
    <hyperlink ref="F390" r:id="rId682" display="https://www.google.com/url?q=https://github.com/mostafa-saad/MyCompetitiveProgramming/blob/master/Olympiad/CEOI/CEOI-19-MagicTree.txt&amp;sa=D&amp;ust=1605639815928000&amp;usg=AFQjCNFiUG8yIctGu-sOAPbJnce_CN92cQ" xr:uid="{400C792F-3CC4-4B33-8478-EC6C22E963F4}"/>
    <hyperlink ref="B391" r:id="rId683" display="https://www.google.com/url?q=https://szkopul.edu.pl/problemset/problem/RLQLNV4gL3Y22K9B2GgEMQIj/site/&amp;sa=D&amp;ust=1605639815929000&amp;usg=AFQjCNHtSXl7YYyYxA4tkdoQCN5vUXm-nw" xr:uid="{6B924F69-D597-4867-87E4-C2AA5182B37B}"/>
    <hyperlink ref="F391" r:id="rId684" display="https://www.google.com/url?q=https://github.com/mostafa-saad/MyCompetitiveProgramming/blob/master/Olympiad/POI/POI-06-Aesthetics.txt&amp;sa=D&amp;ust=1605639815929000&amp;usg=AFQjCNFIHBvHMr8ACYmzzRQwDGnTb2KhSw" xr:uid="{1FFBEA7A-EBD3-415F-B1D2-0E737CD331E1}"/>
    <hyperlink ref="B392" r:id="rId685" display="https://www.google.com/url?q=https://oj.uz/problem/view/APIO17_merchant&amp;sa=D&amp;ust=1605639815930000&amp;usg=AFQjCNFVYqZWu2p-DNwPKf5Ad6_Qgx-lHA" xr:uid="{BC003482-695E-4B47-B82E-89E7F10B0F10}"/>
    <hyperlink ref="F392" r:id="rId686" display="https://www.google.com/url?q=https://github.com/mostafa-saad/MyCompetitiveProgramming/blob/master/Olympiad/APIO/APIO-17-merchant.txt&amp;sa=D&amp;ust=1605639815930000&amp;usg=AFQjCNGng4ZHnG6VkL_lj8yu3nFixh9DYQ" xr:uid="{07E7DF35-6B21-44E2-975E-DE14043790F9}"/>
    <hyperlink ref="B393" r:id="rId687" display="https://www.google.com/url?q=https://wcipeg.com/problem/coci094p6&amp;sa=D&amp;ust=1605639815930000&amp;usg=AFQjCNGQqNKHTs-uQfL2Qwwamqh4ELHj-g" xr:uid="{AD967B8E-FEB6-4206-97DD-388FA2B67AE2}"/>
    <hyperlink ref="F393" r:id="rId688" display="https://www.google.com/url?q=https://github.com/mostafa-saad/MyCompetitiveProgramming/blob/master/Olympiad/COCI/COCI-09-Palacinke.txt&amp;sa=D&amp;ust=1605639815930000&amp;usg=AFQjCNGSZFkyzltpcJn9ZvxYi73R_VQEGA" xr:uid="{01FCAD26-6C2F-481A-B778-0605B1FD04C4}"/>
    <hyperlink ref="B394" r:id="rId689" display="https://www.google.com/url?q=http://usaco.org/index.php?page%3Dviewproblem2%26cpid%3D674&amp;sa=D&amp;ust=1605639815931000&amp;usg=AFQjCNHmqxg6x6P-QBKlTQzN_9NjgTmOYw" xr:uid="{E421A1CD-2348-4CC4-A38B-4E4240C120D0}"/>
    <hyperlink ref="B395" r:id="rId690" display="https://www.google.com/url?q=https://csacademy.com/contest/ioi-2016-training-round-4/task/k-consecutive/&amp;sa=D&amp;ust=1605639815931000&amp;usg=AFQjCNEOht9ibubMPGXawlWfejMoVK3XNg" xr:uid="{9E9D9ED9-5E22-4EA6-9D71-BB5016B18E36}"/>
    <hyperlink ref="F395" r:id="rId691" display="https://www.google.com/url?q=https://github.com/mostafa-saad/MyCompetitiveProgramming/blob/master/Olympiad/IOI/IOIPractice-16-k-consecutive.txt&amp;sa=D&amp;ust=1605639815931000&amp;usg=AFQjCNFxDRTKGZHtUg-uyaZ-c0Hd5VWk1Q" xr:uid="{0BCA763B-F823-4387-A6CB-2EF51DD3D58E}"/>
    <hyperlink ref="B396" r:id="rId692" display="https://www.google.com/url?q=https://infoarena.ro/problema/xreverse&amp;sa=D&amp;ust=1605639815932000&amp;usg=AFQjCNFxvofkhiO44t-4TZ5l6Ue9SjT4FQ" xr:uid="{92A05D47-2933-4E33-AA2F-113BDC9F9D1A}"/>
    <hyperlink ref="F396" r:id="rId693" display="https://www.google.com/url?q=https://github.com/mostafa-saad/MyCompetitiveProgramming/blob/master/Olympiad/infoarena/infoarena_xreverse.txt&amp;sa=D&amp;ust=1605639815932000&amp;usg=AFQjCNG8d4hv34c3lqjXrkEbAwcIVWsRrg" xr:uid="{E3E1BF26-DC44-4A0B-8335-3F3E7AB446EA}"/>
    <hyperlink ref="B397" r:id="rId694" display="https://www.google.com/url?q=https://szkopul.edu.pl/problemset/problem/lGqKS9urITMjTXhpdaHqyoEL/site/&amp;sa=D&amp;ust=1605639815932000&amp;usg=AFQjCNGT_lQHz40qqVukK_hYGr6dPNJD9g" xr:uid="{E2701B6F-D93A-4EE9-954C-31C787EEFE77}"/>
    <hyperlink ref="F397" r:id="rId695" display="https://www.google.com/url?q=https://github.com/mostafa-saad/MyCompetitiveProgramming/blob/master/Olympiad/POI/POI-04-Maximal.txt&amp;sa=D&amp;ust=1605639815932000&amp;usg=AFQjCNHACIIH0jpSHlo7juZUXHHgHd-_Vw" xr:uid="{FE372BF2-210D-4E4F-93D3-C6F1A9B2A422}"/>
    <hyperlink ref="B398" r:id="rId696" display="https://www.google.com/url?q=https://cses.fi/109/list/&amp;sa=D&amp;ust=1605639815933000&amp;usg=AFQjCNFMvLykt-8JmH5P-BGhcTbRVdh5VQ" xr:uid="{C253D5FA-83A4-41D1-9AC0-8FA4EBEAD553}"/>
    <hyperlink ref="F398" r:id="rId697" display="https://www.google.com/url?q=https://github.com/mostafa-saad/MyCompetitiveProgramming/blob/master/Olympiad/Baltic/Baltic-06-Bitwise.txt&amp;sa=D&amp;ust=1605639815933000&amp;usg=AFQjCNHpbHTrIKBcFW-8TeOGUlvrZTP_zA" xr:uid="{3CB17208-B489-42E3-A787-D57E160AC198}"/>
    <hyperlink ref="B399" r:id="rId698" display="https://www.google.com/url?q=https://szkopul.edu.pl/problemset/problem/Grfouq9u3g_TYktFXO2sNjCU/site/&amp;sa=D&amp;ust=1605639815933000&amp;usg=AFQjCNGQ8q3hOiB9AHQJWvRsO_MKj8ieNQ" xr:uid="{ABC611F6-E930-4E96-8B87-DE8EF83F7E08}"/>
    <hyperlink ref="F399" r:id="rId699" display="https://www.google.com/url?q=https://github.com/mostafa-saad/MyCompetitiveProgramming/blob/master/Olympiad/POI/POI-15-Three.txt&amp;sa=D&amp;ust=1605639815933000&amp;usg=AFQjCNFTLCTALBexDRRna6nHtO4ys3R5VQ" xr:uid="{CDE02CF7-7888-4B9A-806D-A492D0F55FEB}"/>
    <hyperlink ref="B400" r:id="rId700" display="https://www.google.com/url?q=https://infoarena.ro/problema/deletegcd&amp;sa=D&amp;ust=1605639815933000&amp;usg=AFQjCNGdKv9TTsPdxbSSqhBKY2tD-zSxVw" xr:uid="{6DC6DDEC-81C7-49E4-8AF4-DAEA9705E475}"/>
    <hyperlink ref="F400" r:id="rId701" display="https://www.google.com/url?q=https://github.com/mostafa-saad/MyCompetitiveProgramming/blob/master/Olympiad/infoarena/infoarena_deletegcd.txt&amp;sa=D&amp;ust=1605639815933000&amp;usg=AFQjCNFrHHrIQqodnxzzHhcVLKMrdMFgHg" xr:uid="{82B9DC6E-7966-4F37-B06F-50B3B2A005B8}"/>
    <hyperlink ref="B401" r:id="rId702" display="https://www.google.com/url?q=https://oj.uz/problem/view/NOI14_obelisk&amp;sa=D&amp;ust=1605639815934000&amp;usg=AFQjCNElnRazvjkt7chLIwWtitqlYEygWw" xr:uid="{B9DACB72-68B7-4584-918D-77CFE802919E}"/>
    <hyperlink ref="F401" r:id="rId703" display="https://www.google.com/url?q=https://github.com/mostafa-saad/MyCompetitiveProgramming/blob/master/Olympiad/NOI/NOI-14-obelisk.txt&amp;sa=D&amp;ust=1605639815934000&amp;usg=AFQjCNHaBb-sv-f0vpamWh-3vDWT5EbH3A" xr:uid="{CCB1771F-76B4-4EAD-AC29-94B5EC5565FF}"/>
    <hyperlink ref="B402" r:id="rId704" display="https://www.google.com/url?q=https://oj.uz/problem/view/IOI07_sails&amp;sa=D&amp;ust=1605639815934000&amp;usg=AFQjCNGNGYB2lQliUU1CPq2Nx6B8VAW45w" xr:uid="{E07E4EEF-A062-4D9B-9714-3C541158F8CB}"/>
    <hyperlink ref="F402" r:id="rId705" display="https://www.google.com/url?q=https://github.com/mostafa-saad/MyCompetitiveProgramming/blob/master/Olympiad/IOI/IOI-07-sails.txt&amp;sa=D&amp;ust=1605639815934000&amp;usg=AFQjCNGQIAZTLmOPqbxfBOYnAWQ7D7szpQ" xr:uid="{0F61C791-5B92-4611-BFFC-442C6195BFEE}"/>
    <hyperlink ref="B403" r:id="rId706" display="https://www.google.com/url?q=https://oj.uz/problem/view/IZhO17_subsequence&amp;sa=D&amp;ust=1605639815964000&amp;usg=AFQjCNHKteby55M6UNgSkAyO20MMZpBGAg" xr:uid="{1F3D53B5-ED8A-439A-9A76-65A1B500DBB1}"/>
    <hyperlink ref="F403" r:id="rId707" display="https://www.google.com/url?q=https://github.com/mostafa-saad/MyCompetitiveProgramming/blob/master/Olympiad/IZhO/IZhO-17-subsequence.txt&amp;sa=D&amp;ust=1605639815965000&amp;usg=AFQjCNGp_6dYnyqCeC899RerQl7C4D0w5Q" xr:uid="{E0E781F1-EE96-4B1E-A0D9-D752F18CEBEF}"/>
    <hyperlink ref="B404" r:id="rId708" display="https://www.google.com/url?q=https://szkopul.edu.pl/problemset/problem/L_1w_HVIsvm4fBksvCo7fYJT/site/&amp;sa=D&amp;ust=1605639815965000&amp;usg=AFQjCNGW92O9cfGO2_4_T1GHAvOMyjn71A" xr:uid="{8EC25297-BDC4-47DF-B34D-F94C08D4FD16}"/>
    <hyperlink ref="F404" r:id="rId709" display="https://www.google.com/url?q=https://github.com/mostafa-saad/MyCompetitiveProgramming/blob/master/Olympiad/POI/POI-04-Gates.txt&amp;sa=D&amp;ust=1605639815965000&amp;usg=AFQjCNHN6WVUhlCVjnrIWJ6kjuya95NfNw" xr:uid="{FA113037-25E4-427F-9D6A-BA21A5259420}"/>
    <hyperlink ref="B405" r:id="rId710" display="https://www.google.com/url?q=https://infoarena.ro/problema/ratway&amp;sa=D&amp;ust=1605639815966000&amp;usg=AFQjCNHBNaGa8s4odjjMWaW7Y2ZUZsAL5g" xr:uid="{844EE4E8-4D7A-41F2-9DD4-AD2140435B20}"/>
    <hyperlink ref="F405" r:id="rId711" display="https://www.google.com/url?q=https://github.com/mostafa-saad/MyCompetitiveProgramming/blob/master/Olympiad/infoarena/infoarena_ratway.txt&amp;sa=D&amp;ust=1605639815966000&amp;usg=AFQjCNEwwCQ6czdqGHeXIhLhG4OTJoT3Yw" xr:uid="{1FA1EB1D-7C83-4F66-AE00-D68980BF7F90}"/>
    <hyperlink ref="B406" r:id="rId712" display="https://www.google.com/url?q=https://szkopul.edu.pl/problemset/problem/98e_K-Vvcg5TnMG4-hXTNsFG/site/&amp;sa=D&amp;ust=1605639815966000&amp;usg=AFQjCNFJxuFguo6iZtxYEN8AkwuRcT5xdw" xr:uid="{C7A2D0E7-833F-44AD-8D09-3CC77CAE7D34}"/>
    <hyperlink ref="F406" r:id="rId713" display="https://www.google.com/url?q=https://github.com/mostafa-saad/MyCompetitiveProgramming/blob/master/Olympiad/POI/POI-05-Fibonacci.txt&amp;sa=D&amp;ust=1605639815967000&amp;usg=AFQjCNEuaIPnqzOmFE797GScosbjY7pubQ" xr:uid="{995EED62-D41A-4BEE-8BCA-CC80AACC9404}"/>
    <hyperlink ref="B407" r:id="rId714" display="https://www.google.com/url?q=https://contest.yandex.ru/ioi/contest/560/enter/&amp;sa=D&amp;ust=1605639815967000&amp;usg=AFQjCNFFtHNs3Qk-xCoqGpeyqYUp4yJo1g" xr:uid="{986DA2F4-CE67-4560-A772-99A76A8E0EB1}"/>
    <hyperlink ref="F407" r:id="rId715" display="https://www.google.com/url?q=https://github.com/mostafa-saad/MyCompetitiveProgramming/blob/master/Olympiad/IOI/IOI-04-empodia.txt&amp;sa=D&amp;ust=1605639815968000&amp;usg=AFQjCNHPELHD00Zyftk6JmwdrcU5JUIBVQ" xr:uid="{B6BAD4C2-335A-4B23-8087-B3D640EDE58F}"/>
    <hyperlink ref="B408" r:id="rId716" display="https://www.google.com/url?q=https://oj.uz/problem/view/COCI15_uzastopni&amp;sa=D&amp;ust=1605639815969000&amp;usg=AFQjCNFaSBUzXm_KWWIRDggu1QaBAurzgw" xr:uid="{91D9E141-34C9-40D6-9E97-B4A8528D0464}"/>
    <hyperlink ref="F408" r:id="rId717" display="https://www.google.com/url?q=https://github.com/mostafa-saad/MyCompetitiveProgramming/blob/master/Olympiad/COCI/COCI-15-uzastopni.txt&amp;sa=D&amp;ust=1605639815969000&amp;usg=AFQjCNGcKz6yloZWgPmTlVX6jZ_DrbL5zg" xr:uid="{06379BB2-056A-40A2-ADE3-0FD2C6131092}"/>
    <hyperlink ref="B409" r:id="rId718" display="https://www.google.com/url?q=https://oj.uz/problem/view/COCI17_osmosmjerka&amp;sa=D&amp;ust=1605639815970000&amp;usg=AFQjCNGHHGsMltrIkw_OILFtWb379huwwA" xr:uid="{DF6A1A90-A5CA-4FC3-9708-F678138D9FBF}"/>
    <hyperlink ref="F409" r:id="rId719" display="https://www.google.com/url?q=https://github.com/mostafa-saad/MyCompetitiveProgramming/blob/master/Olympiad/COCI/COCI-17-osmosmjerka.txt&amp;sa=D&amp;ust=1605639815970000&amp;usg=AFQjCNGHtww6VcEnJuGO28922afJudTNVw" xr:uid="{B671EF74-A1C3-42C8-82FB-9B9AD0A1A86C}"/>
    <hyperlink ref="B410" r:id="rId720" display="https://www.google.com/url?q=https://dmoj.ca/problem/coci14c4p6&amp;sa=D&amp;ust=1605639815970000&amp;usg=AFQjCNEfIWiKklQYtaZPQj3KAZahGfpE8A" xr:uid="{396A5B66-9710-4036-BFF8-31BD4AB00EC2}"/>
    <hyperlink ref="F410" r:id="rId721" display="https://www.google.com/url?q=https://github.com/mostafa-saad/MyCompetitiveProgramming/blob/master/Olympiad/COCI/COCI-14-Stanovi.txt&amp;sa=D&amp;ust=1605639815971000&amp;usg=AFQjCNHa9dw8EvEP_n8KB5NPMSFciuq6yg" xr:uid="{20275C40-E00D-4BE7-9AB2-AB85E4C58D31}"/>
    <hyperlink ref="B411" r:id="rId722" display="https://www.google.com/url?q=https://open.kattis.com/problem-sources/Baltic%2520Olympiad%2520in%2520Informatics%25202017%252C%2520Day%25201&amp;sa=D&amp;ust=1605639815971000&amp;usg=AFQjCNEIpEtVYxZKEqGvzMb6VSXIOisbkQ" xr:uid="{7147E3F6-587E-4797-AE1C-A74D442EE764}"/>
    <hyperlink ref="F411" r:id="rId723" display="https://www.google.com/url?q=https://github.com/mostafa-saad/MyCompetitiveProgramming/blob/master/Olympiad/Baltic/Baltic-17-PoliticalDevelopment.txt&amp;sa=D&amp;ust=1605639815971000&amp;usg=AFQjCNFDPCmcsEOksbiBWJJ71lqfq6UYPg" xr:uid="{E178DC49-2823-4DBD-B87E-E0048E84D87C}"/>
    <hyperlink ref="B412" r:id="rId724" display="https://www.google.com/url?q=https://dmoj.ca/problem/coci14c7p6&amp;sa=D&amp;ust=1605639815972000&amp;usg=AFQjCNH5HyKCF-1D5vEXU99g9fWA-kvMMA" xr:uid="{64B4D8C0-65D0-4530-BA1B-ABC85098BE6B}"/>
    <hyperlink ref="F412" r:id="rId725" display="https://www.google.com/url?q=https://github.com/mostafa-saad/MyCompetitiveProgramming/blob/master/Olympiad/COCI/COCI-14-Police.txt&amp;sa=D&amp;ust=1605639815972000&amp;usg=AFQjCNEN2xOgMCkWVAt-eUX5-8f3QilZlw" xr:uid="{2760E7BB-8A50-4E36-B7EC-BC052B85B020}"/>
    <hyperlink ref="B413" r:id="rId726" display="https://www.google.com/url?q=https://oj.uz/problem/view/POI11_pro&amp;sa=D&amp;ust=1605639815972000&amp;usg=AFQjCNGWMxzYz8yPQiaDaMpGYVdrV8e_FQ" xr:uid="{C9A25C2C-C175-43D2-8B3C-898627CC1ADF}"/>
    <hyperlink ref="F413" r:id="rId727" display="https://www.google.com/url?q=https://github.com/mostafa-saad/MyCompetitiveProgramming/blob/master/Olympiad/POI/POI-11-Contest.txt&amp;sa=D&amp;ust=1605639815972000&amp;usg=AFQjCNH3UE1OjJmtKmOtEWbQB1YSTtO0Rw" xr:uid="{52914643-18F5-4519-BACE-60BC3273AFBE}"/>
    <hyperlink ref="B414" r:id="rId728" display="https://www.google.com/url?q=https://dunjudge.me/analysis/problems/734/&amp;sa=D&amp;ust=1605639815973000&amp;usg=AFQjCNGnoCTgzDQ6jh_lHvUuBRZdLjrciQ" xr:uid="{FDF506CF-CED2-4D55-9716-D99053FFCD51}"/>
    <hyperlink ref="F414" r:id="rId729" display="https://www.google.com/url?q=https://github.com/mostafa-saad/MyCompetitiveProgramming/blob/master/Olympiad/IOI/IOI-01-depot.txt&amp;sa=D&amp;ust=1605639815973000&amp;usg=AFQjCNEf8KBkLyH3OS7Enu2fGqEV3LaVlw" xr:uid="{EA31EC39-8311-44AC-8393-D605934EB23B}"/>
    <hyperlink ref="B415" r:id="rId730" display="https://www.google.com/url?q=https://cses.fi/190/list/&amp;sa=D&amp;ust=1605639815973000&amp;usg=AFQjCNHioJR-soI1MMI1FilbCAVaOdoN3w" xr:uid="{77B06D97-62BF-430E-8DFF-6491042B56D6}"/>
    <hyperlink ref="F415" r:id="rId731" display="https://www.google.com/url?q=https://github.com/mostafa-saad/MyCompetitiveProgramming/blob/master/Olympiad/CEOI/CEOI-08-Snake.txt&amp;sa=D&amp;ust=1605639815974000&amp;usg=AFQjCNEZDeN9Ux9XpQWLInkGIYnoZJWR6w" xr:uid="{E5994C59-BEE1-45FD-A07B-3175A68A41C7}"/>
    <hyperlink ref="B416" r:id="rId732" display="https://www.google.com/url?q=https://oj.uz/problem/view/CEOI11_tea&amp;sa=D&amp;ust=1605639815974000&amp;usg=AFQjCNFQqpoD8m3N7O08qNQT8fzuNArqlA" xr:uid="{8B4A13CD-8739-4E89-B97B-ABF67B14E1FC}"/>
    <hyperlink ref="F416" r:id="rId733" display="https://www.google.com/url?q=https://github.com/mostafa-saad/MyCompetitiveProgramming/blob/master/Olympiad/CEOI/CEOI-11-Teams.txt&amp;sa=D&amp;ust=1605639815974000&amp;usg=AFQjCNED3AHfuGO_kxPLzB7K3r_ZhizADw" xr:uid="{053CD9DB-0063-4D92-A82B-6CC1DAC1E128}"/>
    <hyperlink ref="B417" r:id="rId734" display="https://www.google.com/url?q=https://oj.uz/problem/view/BOI16_cities&amp;sa=D&amp;ust=1605639815975000&amp;usg=AFQjCNGLN9auWvzZo6Xr73R3l-B4-g9s8Q" xr:uid="{0592558B-6A92-4F72-B08C-224D07D584F0}"/>
    <hyperlink ref="F417" r:id="rId735" display="https://www.google.com/url?q=https://github.com/tmwilliamlin168/CompetitiveProgramming/blob/master/BtOI/16-Cities.cpp&amp;sa=D&amp;ust=1605639815975000&amp;usg=AFQjCNEh_nZ_YfcsvGZMyGJpYmtOuSv9PA" xr:uid="{9A4C75FF-A7E2-4B3A-9E6A-2ECC95E477E0}"/>
    <hyperlink ref="B418" r:id="rId736" display="https://www.google.com/url?q=https://oj.uz/problem/view/BOI14_coprobber&amp;sa=D&amp;ust=1605639815976000&amp;usg=AFQjCNFF0qUFg5HFUx5oLteYiqGHeC6ETw" xr:uid="{8AEA33E9-97B7-406C-861C-6073950A6D6F}"/>
    <hyperlink ref="F418" r:id="rId737" display="https://www.google.com/url?q=https://github.com/mostafa-saad/MyCompetitiveProgramming/blob/master/Olympiad/Baltic/Baltic-14-coprobber.txt&amp;sa=D&amp;ust=1605639815976000&amp;usg=AFQjCNF2k-3CuKfzTG4k_FuGODgzzjxWYA" xr:uid="{C37D1C7B-432D-4A69-825A-72EE10EA6545}"/>
    <hyperlink ref="B419" r:id="rId738" display="https://www.google.com/url?q=http://usaco.org/index.php?page%3Dviewproblem2%26cpid%3D837&amp;sa=D&amp;ust=1605639815976000&amp;usg=AFQjCNG61GbQpktoin5aXtzuDf9Hh2vdvA" xr:uid="{4641CF6B-E557-45AE-B869-43CC3BF0D244}"/>
    <hyperlink ref="F419" r:id="rId739" display="https://www.google.com/url?q=https://github.com/dolphingarlic/CompetitiveProgramming/blob/master/USACO/USACO%252018-out_of_sorts_gold.cpp&amp;sa=D&amp;ust=1605639815976000&amp;usg=AFQjCNE_S9fsMOcWuJXKbKOuGsLC1Nx_9w" xr:uid="{6BAAC840-DB22-463B-9FEC-46B7D6D65501}"/>
    <hyperlink ref="B420" r:id="rId740" display="https://www.google.com/url?q=http://poj.org/problem?id%3D1148&amp;sa=D&amp;ust=1605639815977000&amp;usg=AFQjCNHK1irNAqRRFU3aRPp_Pffav0su1g" xr:uid="{0AF48B93-C6B3-4A94-B15A-A96299D14B50}"/>
    <hyperlink ref="F420" r:id="rId741" display="https://www.google.com/url?q=https://github.com/mostafa-saad/MyCompetitiveProgramming/blob/master/Olympiad/IOI/IOI-02-Utopia.txt&amp;sa=D&amp;ust=1605639815977000&amp;usg=AFQjCNEDyaTpjwY1y93y4clZPyjgT0hEkA" xr:uid="{03AA99E8-B546-4D44-8C77-F931EB7EC04E}"/>
    <hyperlink ref="B421" r:id="rId742" display="https://www.google.com/url?q=https://szkopul.edu.pl/problemset/problem/PT4yHRX9Mmz85ndhNPGCi_WB/site/&amp;sa=D&amp;ust=1605639815977000&amp;usg=AFQjCNEWQW3tTqs5Xmu31xE8TwEVWIU_1g" xr:uid="{F46B261D-78F1-4DBA-8A16-69A706D12ED6}"/>
    <hyperlink ref="F421" r:id="rId743" display="https://www.google.com/url?q=https://github.com/mostafa-saad/MyCompetitiveProgramming/blob/master/Olympiad/POI/POI-05-Template.txt&amp;sa=D&amp;ust=1605639815978000&amp;usg=AFQjCNGfZFJuZoTdN5yKdvlRiUsDYOrJmA" xr:uid="{608B04C6-4F0E-45BC-B2DD-32A7FD7235C1}"/>
    <hyperlink ref="B422" r:id="rId744" display="https://www.google.com/url?q=https://oj.uz/problem/view/CEOI16_kangaroo&amp;sa=D&amp;ust=1605639815978000&amp;usg=AFQjCNEYzM7EnpfNsRzI4lVNzhi497cQ7g" xr:uid="{3FD4C3A6-8649-4F68-9201-EB0350CAEA0D}"/>
    <hyperlink ref="F422" r:id="rId745" display="https://www.google.com/url?q=https://github.com/mostafa-saad/MyCompetitiveProgramming/blob/master/Olympiad/CEOI/CEOI-16-Kangaroo.txt&amp;sa=D&amp;ust=1605639815978000&amp;usg=AFQjCNHgFCq1GKPsg3noDwgPdfHUaw740A" xr:uid="{7487A85B-DA9A-4AC8-B7A2-5066C5F401DD}"/>
    <hyperlink ref="B423" r:id="rId746" display="https://www.google.com/url?q=https://contest.yandex.ru/ioi/contest/566/enter/&amp;sa=D&amp;ust=1605639815978000&amp;usg=AFQjCNFofIP0pfCDCmsxa4neAlOBebQXCQ" xr:uid="{8A8A31AB-3522-4038-B802-F9F864D0C056}"/>
    <hyperlink ref="F423" r:id="rId747" display="https://www.google.com/url?q=https://github.com/mostafa-saad/MyCompetitiveProgramming/blob/master/Olympiad/IOI/IOI-05-rivers.txt&amp;sa=D&amp;ust=1605639815979000&amp;usg=AFQjCNGy6mEg5kWNj4PRcrAcAOf09CxPTQ" xr:uid="{E6436803-3901-42A0-BA32-0ADFC8881972}"/>
    <hyperlink ref="B424" r:id="rId748" display="https://www.google.com/url?q=https://cses.fi/106/list/&amp;sa=D&amp;ust=1605639815980000&amp;usg=AFQjCNGLqW9ZDz2YeC4f2F3d0MQWaujJqg" xr:uid="{2EF10932-B21D-4189-BEE6-5BE60ECA47E7}"/>
    <hyperlink ref="F424" r:id="rId749" display="https://www.google.com/url?q=https://github.com/mostafa-saad/MyCompetitiveProgramming/blob/master/Olympiad/Baltic/Baltic-10-Candies.txt&amp;sa=D&amp;ust=1605639815980000&amp;usg=AFQjCNFozpg7Zl9pBILnM4GRVUHCW-27dA" xr:uid="{2541AFE3-38C9-4CF8-BD40-5F56A6CC5F97}"/>
    <hyperlink ref="B425" r:id="rId750" display="https://www.google.com/url?q=http://usaco.org/index.php?page%3Dviewproblem2%26cpid%3D194&amp;sa=D&amp;ust=1605639815981000&amp;usg=AFQjCNHn2DtEK7pl9RteZEL-LNzSgQcK0A" xr:uid="{F5DE5DAF-FC2D-48EE-8C76-0EB1F12F20F0}"/>
    <hyperlink ref="B426" r:id="rId751" display="https://www.google.com/url?q=https://csacademy.com/contest/ceoi-2017-day-1/tasks/&amp;sa=D&amp;ust=1605639815981000&amp;usg=AFQjCNHA2RzHGlSBTZTXWQiJgc5UNm0F4w" xr:uid="{3B7884BE-316C-4B2A-BEEF-B32CB5BE9A18}"/>
    <hyperlink ref="F426" r:id="rId752" display="https://www.google.com/url?q=https://github.com/mostafa-saad/MyCompetitiveProgramming/blob/master/Olympiad/CEOI/CEOI-17-OneWay.txt&amp;sa=D&amp;ust=1605639815982000&amp;usg=AFQjCNEyKW4lQMuOg2bD3MzzgDwgjNAmAw" xr:uid="{4B98B95A-2402-4F69-8AD4-EF5A52360DE1}"/>
    <hyperlink ref="B427" r:id="rId753" display="https://www.google.com/url?q=https://oj.uz/problem/view/IOI07_flood&amp;sa=D&amp;ust=1605639815982000&amp;usg=AFQjCNG2BCYByN2Ol6NPOW1ygVQC9KszZA" xr:uid="{94C7732C-4D57-4FAC-BA1E-98B8557D4220}"/>
    <hyperlink ref="F427" r:id="rId754" display="https://www.google.com/url?q=https://github.com/mostafa-saad/MyCompetitiveProgramming/blob/master/Olympiad/IOI/IOI-07-flood.txt&amp;sa=D&amp;ust=1605639815982000&amp;usg=AFQjCNH-erZQMZZkgu-STdSXjhHNsW0hOw" xr:uid="{9A35C3B8-0F7B-4037-8D2A-1CD282361AB1}"/>
    <hyperlink ref="B428" r:id="rId755" display="https://www.google.com/url?q=https://training.ia-toki.org/problemsets/53/problems/255/&amp;sa=D&amp;ust=1605639815983000&amp;usg=AFQjCNEh-ujxOKrsqvGYhHWZYBPcAWhLQw" xr:uid="{1A07A468-28D8-4097-BA21-DF7FB5AA591A}"/>
    <hyperlink ref="F428" r:id="rId756" display="https://www.google.com/url?q=https://github.com/mostafa-saad/MyCompetitiveProgramming/blob/master/Olympiad/OSN/OSN_16-1B.txt&amp;sa=D&amp;ust=1605639815983000&amp;usg=AFQjCNH4_qWxL2TMvjUrGgTIgLsEsOSKdA" xr:uid="{5094D582-9DB9-44BE-AC32-F63FE98BB86B}"/>
    <hyperlink ref="B429" r:id="rId757" display="https://www.google.com/url?q=https://codeforces.com/group/R2SERIff4f/contest/213171&amp;sa=D&amp;ust=1605639815983000&amp;usg=AFQjCNEkq5UVsed7ggBUcqsR-KtzmEP61w" xr:uid="{7B65DA6A-7AFA-462C-93E1-77D080E9B703}"/>
    <hyperlink ref="F429" r:id="rId758" display="https://www.google.com/url?q=https://github.com/mostafa-saad/MyCompetitiveProgramming/tree/master/Olympiad/MCO/official&amp;sa=D&amp;ust=1605639815983000&amp;usg=AFQjCNHl6CHDbF0qJzKNs0gNcsGvnqeDmg" xr:uid="{0F723BAC-18FA-4281-AFD9-15989B33FA45}"/>
    <hyperlink ref="B430" r:id="rId759" display="https://www.google.com/url?q=https://dunjudge.me/analysis/problems/728/&amp;sa=D&amp;ust=1605639815984000&amp;usg=AFQjCNFHF4WLNRIBbclKxbcZ70ZuPidR7g" xr:uid="{BF890835-EDD3-4BBF-8F18-B687BAC0B5DA}"/>
    <hyperlink ref="F430" r:id="rId760" display="https://www.google.com/url?q=https://github.com/mostafa-saad/MyCompetitiveProgramming/blob/master/Olympiad/IOI/IOI-00-median.txt&amp;sa=D&amp;ust=1605639815984000&amp;usg=AFQjCNF39VLUY0ARYEtpjos6xmdyiH5foA" xr:uid="{44629316-272D-4E0D-A3A9-21B188B55D4F}"/>
    <hyperlink ref="B431" r:id="rId761" display="https://www.google.com/url?q=https://szkopul.edu.pl/problemset/problem/w_-1ZgA1RSQ0IpPqx_1BXb6M/site/&amp;sa=D&amp;ust=1605639815984000&amp;usg=AFQjCNFdqgUxT9QKuMBOalo-qQ_V9X7YAg" xr:uid="{B888218F-F967-40FD-8E7D-61AB8A8DF5F5}"/>
    <hyperlink ref="F431" r:id="rId762" display="https://www.google.com/url?q=https://github.com/mostafa-saad/MyCompetitiveProgramming/blob/master/Olympiad/POI/POI-05-Points.txt&amp;sa=D&amp;ust=1605639815985000&amp;usg=AFQjCNGXCrFzpgSAnyQE-1gv2Gx6bf3aDg" xr:uid="{1C0FB48C-4CB7-4BAF-B2A8-0E51B4074C0F}"/>
    <hyperlink ref="B432" r:id="rId763" display="https://www.google.com/url?q=https://oj.uz/problem/view/COCI19_simfonija&amp;sa=D&amp;ust=1605639815985000&amp;usg=AFQjCNG_CclrVWWukiH3VPLxwwi54a0EWQ" xr:uid="{E933B0E4-9B4C-4104-BC0F-571F6D6AB3B6}"/>
    <hyperlink ref="F432" r:id="rId764" display="https://www.google.com/url?q=https://github.com/Szawinis/CompetitiveProgramming/blob/master/Olympiad/COCI/COCI19-simfonija.cpp&amp;sa=D&amp;ust=1605639815985000&amp;usg=AFQjCNFZryZ2fKotA9zS8AcYrs_hhIgxNg" xr:uid="{D2F57ABD-818E-44CD-8FDB-C63165235676}"/>
    <hyperlink ref="B433" r:id="rId765" display="https://www.google.com/url?q=https://wcipeg.com/problem/coi08p2&amp;sa=D&amp;ust=1605639815986000&amp;usg=AFQjCNEk_C_dkr8ExhGihXYSMV--BKBfHw" xr:uid="{819816E4-4102-45FE-85D1-0D67264A0B05}"/>
    <hyperlink ref="F433" r:id="rId766" display="https://www.google.com/url?q=https://github.com/mostafa-saad/MyCompetitiveProgramming/blob/master/Olympiad/COI/COI-08-Otoci.txt&amp;sa=D&amp;ust=1605639815986000&amp;usg=AFQjCNF_kkwF1Je8Co_NV2zWJaEl95SZ7w" xr:uid="{720435AC-BBE5-4B03-86C9-93CE126ADEE3}"/>
    <hyperlink ref="B434" r:id="rId767" display="https://www.google.com/url?q=https://oj.uz/problems/source/56&amp;sa=D&amp;ust=1605639815986000&amp;usg=AFQjCNGhQlar9t92Lavx5L8lb_fVdC_3kQ" xr:uid="{64686D91-5DFF-4ACF-8696-69C314399BBD}"/>
    <hyperlink ref="F434" r:id="rId768" display="https://www.google.com/url?q=https://github.com/SpeedOfMagic/CompetitiveProgramming/blob/master/JOIOC/14-pinball.cpp&amp;sa=D&amp;ust=1605639815987000&amp;usg=AFQjCNFYzQdcD9155zci-U58SdUeaEQOiA" xr:uid="{8F93E096-95E0-49E9-9734-11FD47DCE0C4}"/>
    <hyperlink ref="B435" r:id="rId769" display="https://www.google.com/url?q=https://szkopul.edu.pl/problemset/problem/EwpbJWZPly_zZ5i4ytg_8fDE/site/&amp;sa=D&amp;ust=1605639815987000&amp;usg=AFQjCNETaQDILz-3hHrq-qSY8UsqhcMNUw" xr:uid="{FDBFEF76-BFA3-487B-B1F7-D2C933184396}"/>
    <hyperlink ref="F435" r:id="rId770" display="https://www.google.com/url?q=https://github.com/mostafa-saad/MyCompetitiveProgramming/blob/master/Olympiad/POI/POI-09-Ice_Skates.txt&amp;sa=D&amp;ust=1605639815987000&amp;usg=AFQjCNGmNYy5GU2PBIEtzhi2MAljlOnwJA" xr:uid="{A105DCAE-542D-4996-B107-342635387285}"/>
    <hyperlink ref="B436" r:id="rId771" display="https://www.google.com/url?q=https://dmoj.ca/problem/coci15c3p5&amp;sa=D&amp;ust=1605639815988000&amp;usg=AFQjCNEcUDexawciDuMir83Cy-DHnwdE1g" xr:uid="{4F8E2721-F477-4CCB-9FAE-B72C0E696BDB}"/>
    <hyperlink ref="F436" r:id="rId772" display="https://www.google.com/url?q=https://github.com/mostafa-saad/MyCompetitiveProgramming/blob/master/Olympiad/COCI/COCI-15-Nekameleoni.txt&amp;sa=D&amp;ust=1605639815988000&amp;usg=AFQjCNHBDsePye8N5MprYlzEym9kdH_LeQ" xr:uid="{8BE1E04F-0048-438E-B804-79893BCA456C}"/>
    <hyperlink ref="B437" r:id="rId773" display="https://www.google.com/url?q=https://www.infoarena.ro/problema/tricolor&amp;sa=D&amp;ust=1605639815988000&amp;usg=AFQjCNGmqbG4Y0zH9L_aWzZ7xb1MKUQ6Ag" xr:uid="{0C485F27-3712-4EFB-A7FA-0D1765C81154}"/>
    <hyperlink ref="F437" r:id="rId774" display="https://www.google.com/url?q=https://github.com/mostafa-saad/MyCompetitiveProgramming/blob/master/Olympiad/infoarena/Infoarena_tricolor.txt&amp;sa=D&amp;ust=1605639815989000&amp;usg=AFQjCNEy02_HIYvnXvo6Pkr96RKvT7fiRw" xr:uid="{2EADBB10-C553-4FDD-BD30-AFACD25BFE10}"/>
    <hyperlink ref="B438" r:id="rId775" display="https://www.google.com/url?q=https://infoarena.ro/problema/radare&amp;sa=D&amp;ust=1605639815989000&amp;usg=AFQjCNFYGSFp556cuvKKr92Ck4_WQ5IzFA" xr:uid="{9365391C-0770-4916-8224-A9D648B39054}"/>
    <hyperlink ref="F438" r:id="rId776" display="https://www.google.com/url?q=https://github.com/mostafa-saad/MyCompetitiveProgramming/blob/master/Olympiad/infoarena/infoarena-radare.txt&amp;sa=D&amp;ust=1605639815989000&amp;usg=AFQjCNE6FzwIregV-asIyarVIhICa0DPrg" xr:uid="{06044F0E-D0DD-4759-A261-F16C549B2F93}"/>
    <hyperlink ref="B439" r:id="rId777" display="https://www.google.com/url?q=https://oj.uz/problem/view/BOI16_swap&amp;sa=D&amp;ust=1605639815990000&amp;usg=AFQjCNHt5KHwfccRhNGOTWcO5SinS73gcQ" xr:uid="{9F446CBD-8058-4213-802E-AFE5A5F29CD7}"/>
    <hyperlink ref="F439" r:id="rId778" display="https://www.google.com/url?q=https://github.com/mostafa-saad/MyCompetitiveProgramming/blob/master/Olympiad/Baltic/Baltic-16-swap.txt&amp;sa=D&amp;ust=1605639815990000&amp;usg=AFQjCNH1B-DVNC6FsdpSqZ7sc4yG9CV5iw" xr:uid="{3CD58CC1-6052-43C3-B6CC-23C6416593D5}"/>
    <hyperlink ref="B440" r:id="rId779" display="https://www.google.com/url?q=https://cses.fi/179/list/&amp;sa=D&amp;ust=1605639815990000&amp;usg=AFQjCNEUz1sDcqN6ArOhM8ahMCn_Nq3jtg" xr:uid="{3B05834C-86BF-44A6-BBC7-564BFE231FA7}"/>
    <hyperlink ref="F440" r:id="rId780" display="https://www.google.com/url?q=https://github.com/mostafa-saad/MyCompetitiveProgramming/blob/master/Olympiad/CEOI/CEOI-09-Photo.txt&amp;sa=D&amp;ust=1605639815992000&amp;usg=AFQjCNHWA8enj8yVHguehvXA8WDWsGoxrg" xr:uid="{F395447E-26AF-493A-A782-20CDAB841C6A}"/>
    <hyperlink ref="B441" r:id="rId781" display="https://www.google.com/url?q=https://dmoj.ca/problem/coci08c6p5&amp;sa=D&amp;ust=1605639815992000&amp;usg=AFQjCNFFlJtQTO8NeHOAv0ucpv4A-lxG_Q" xr:uid="{74AF4017-1128-42B9-A5EA-6877554BF340}"/>
    <hyperlink ref="F441" r:id="rId782" display="https://www.google.com/url?q=https://github.com/mostafa-saad/MyCompetitiveProgramming/blob/master/Olympiad/COCI/COCI-08-Dostava.txt&amp;sa=D&amp;ust=1605639815992000&amp;usg=AFQjCNE2BdnmlfqVsOzTY7u2jlMKZ3Z2gg" xr:uid="{B2E3B322-13E8-4EB4-B0EC-4E0DC62FC548}"/>
    <hyperlink ref="B442" r:id="rId783" display="https://www.google.com/url?q=https://szkopul.edu.pl/problemset/problem/Mk-9GNDtSal6h_8T4n9Ezq9M/site/&amp;sa=D&amp;ust=1605639815993000&amp;usg=AFQjCNFMdx_iD0KBZ13SAv464L0Csk0auQ" xr:uid="{70F8ADBA-4D41-4D7F-9C6B-5DF33AAB3678}"/>
    <hyperlink ref="F442" r:id="rId784" display="https://www.google.com/url?q=https://github.com/mostafa-saad/MyCompetitiveProgramming/blob/master/Olympiad/POI/POI-16-Messenger.txt&amp;sa=D&amp;ust=1605639815993000&amp;usg=AFQjCNE23pBPunbNaiIYjcIUBKdLiPd6QA" xr:uid="{01B27915-B8D5-4EC9-AB5B-EE4AC2214417}"/>
    <hyperlink ref="B443" r:id="rId785" display="https://www.google.com/url?q=https://szkopul.edu.pl/problemset/problem/3bBT-3VuSu78UsxTQSwaJzVo/site/&amp;sa=D&amp;ust=1605639815993000&amp;usg=AFQjCNFvLS1pQnO7-bK-WKTcrB2DHzg2aQ" xr:uid="{1166C33E-85F2-49BA-8D3B-D5157F82DC7C}"/>
    <hyperlink ref="F443" r:id="rId786" display="https://www.google.com/url?q=https://github.com/mostafa-saad/MyCompetitiveProgramming/blob/master/Olympiad/POI/POI-13-Polarization.txt&amp;sa=D&amp;ust=1605639815994000&amp;usg=AFQjCNEEEHluq13FkzkKhJyfDLWFmg2hAg" xr:uid="{088B68A4-A933-4564-8D98-A9B0247E1395}"/>
    <hyperlink ref="B444" r:id="rId787" display="https://www.google.com/url?q=http://usaco.org/index.php?page%3Dviewproblem2%26cpid%3D211&amp;sa=D&amp;ust=1605639815994000&amp;usg=AFQjCNHEhCphIrEcO2cAJKp5HRidmREh2A" xr:uid="{777FA70E-E025-4EA9-9CF3-85ADA6E1C133}"/>
    <hyperlink ref="F444" r:id="rId788" display="https://www.google.com/url?q=https://github.com/updown2/OI-Practice/blob/master/USACO/2012-2013/December/Gold/Gangs.cpp&amp;sa=D&amp;ust=1605639815994000&amp;usg=AFQjCNFoEtnKeSgJAM2aluNPJlhthIZa5Q" xr:uid="{0D0E7E22-D0D0-4AFF-BB99-FA95239CC575}"/>
    <hyperlink ref="B445" r:id="rId789" display="https://www.google.com/url?q=https://cses.fi/113/list/&amp;sa=D&amp;ust=1605639815995000&amp;usg=AFQjCNE8wG1PYJolqoSL9oK_FKdd8Jc-0A" xr:uid="{D3738F03-27F6-4C7F-B36A-9E2FBA6D9F62}"/>
    <hyperlink ref="F445" r:id="rId790" display="https://www.google.com/url?q=https://github.com/mostafa-saad/MyCompetitiveProgramming/blob/master/Olympiad/Baltic/Baltic-08-Game.txt&amp;sa=D&amp;ust=1605639815995000&amp;usg=AFQjCNHbu3ML8uU5CTGB5bZ-PxlZIox1sQ" xr:uid="{F8CE201C-391C-4028-9BC1-3EB463C2F946}"/>
    <hyperlink ref="B446" r:id="rId791" display="https://www.google.com/url?q=https://csacademy.com/contest/ioi-2016-training-round-5/task/balanced-string/&amp;sa=D&amp;ust=1605639815995000&amp;usg=AFQjCNECVwN1Tq2dZBgOBXRVsgD65mcKaw" xr:uid="{602D094D-6902-48E3-8CE5-DCDECAFC3B54}"/>
    <hyperlink ref="F446" r:id="rId792" display="https://www.google.com/url?q=https://github.com/arvindr9/CompetitiveProgramming/blob/master/CSAcademy/IOI%2520Training%2520Rounds/IOIPractice%252016-balanced-string.cpp&amp;sa=D&amp;ust=1605639815996000&amp;usg=AFQjCNE1tmRy1Z9JJ3fH0tFA6i660Pxa3w" xr:uid="{9BE024B9-6BA6-4786-B3C4-5D9E105DEB32}"/>
    <hyperlink ref="B447" r:id="rId793" display="https://www.google.com/url?q=https://dmoj.ca/problem/coci15c4p6&amp;sa=D&amp;ust=1605639815996000&amp;usg=AFQjCNFQRN8Hk0JR3lnJBZ8TFfK1sKuxrA" xr:uid="{6D9E1C90-3345-4EE7-A68E-5C80279D42C4}"/>
    <hyperlink ref="F447" r:id="rId794" display="https://www.google.com/url?q=https://github.com/mostafa-saad/MyCompetitiveProgramming/blob/master/Olympiad/COCI/COCI-15-Endor.txt&amp;sa=D&amp;ust=1605639815996000&amp;usg=AFQjCNHS4-yeeVhroFUS3Hrcj2sZKl0TbA" xr:uid="{66045A6F-5FC4-45F8-A9C6-008514323961}"/>
    <hyperlink ref="B448" r:id="rId795" display="https://www.google.com/url?q=https://szkopul.edu.pl/problemset/problem/JIRgi7mvHIkqfldzgqILaMqr/site/&amp;sa=D&amp;ust=1605639815997000&amp;usg=AFQjCNG9_-D_--Dwt8z-EmhDBXhJpWe3bQ" xr:uid="{1FC10DA4-DDAD-4E09-8488-E24EAF0095AA}"/>
    <hyperlink ref="F448" r:id="rId796" display="https://www.google.com/url?q=https://github.com/mostafa-saad/MyCompetitiveProgramming/blob/master/Olympiad/POI/POI-04-Game.txt&amp;sa=D&amp;ust=1605639815997000&amp;usg=AFQjCNGSY9Y87VmRUAxPb3BmmUg57DS6Nw" xr:uid="{2FCED6AF-5C5E-4D5C-ADE4-325BE9EA0448}"/>
    <hyperlink ref="B449" r:id="rId797" display="https://www.google.com/url?q=https://cses.fi/192/list/&amp;sa=D&amp;ust=1605639815997000&amp;usg=AFQjCNGOKZ8yOTRoBzkH0CI6AciLfnSj7A" xr:uid="{0CA186BD-9937-429C-8764-096D9AE626B1}"/>
    <hyperlink ref="F449" r:id="rId798" display="https://www.google.com/url?q=https://github.com/mostafa-saad/MyCompetitiveProgramming/blob/master/Olympiad/CEOI/CEOI-05-Fence.txt&amp;sa=D&amp;ust=1605639815998000&amp;usg=AFQjCNFAcvz0I67UU6eIdL_MZ64gvX6jyw" xr:uid="{773FC606-6BDC-4E00-935B-0CF319618FAD}"/>
    <hyperlink ref="B450" r:id="rId799" display="https://www.google.com/url?q=https://dunjudge.me/analysis/problems/752/&amp;sa=D&amp;ust=1605639815998000&amp;usg=AFQjCNG66sEkncXyz8aSjnjxfgpMDx2i6A" xr:uid="{078D2500-4E34-485B-8D40-FB18CED3231F}"/>
    <hyperlink ref="F450" r:id="rId800" display="https://www.google.com/url?q=https://github.com/mostafa-saad/MyCompetitiveProgramming/blob/master/Olympiad/COCI/official/2012/contest3_solutions&amp;sa=D&amp;ust=1605639815998000&amp;usg=AFQjCNF1dk8yJWAL9jXG4JObqgmoVRWmBA" xr:uid="{03A56A30-8361-4DCE-9C67-F48A1842F75D}"/>
    <hyperlink ref="B451" r:id="rId801" display="https://www.google.com/url?q=http://usaco.org/index.php?page%3Dviewproblem2%26cpid%3D672&amp;sa=D&amp;ust=1605639815999000&amp;usg=AFQjCNFAryWRFb7O24p5HIIxN-dADFpv-A" xr:uid="{E62C5419-A974-4B3F-A9CA-02C66ECC6BAB}"/>
    <hyperlink ref="B452" r:id="rId802" display="https://www.google.com/url?q=https://dmoj.ca/problem/coci06c2p6&amp;sa=D&amp;ust=1605639815999000&amp;usg=AFQjCNHDzOnHZIAFaelAXOoWdudup4en_g" xr:uid="{ED05E637-D9DD-4A9F-B6B7-BA7FDA8A1100}"/>
    <hyperlink ref="F452" r:id="rId803" display="https://www.google.com/url?q=https://github.com/mostafa-saad/MyCompetitiveProgramming/blob/master/Olympiad/COCI/COCI-06-Straza.txt&amp;sa=D&amp;ust=1605639815999000&amp;usg=AFQjCNGXhduslrsuOWdnQ6iN1EABvFAlQQ" xr:uid="{80A328E4-5D13-4C97-87DF-F77400FB64BE}"/>
    <hyperlink ref="B453" r:id="rId804" display="https://www.google.com/url?q=http://usaco.org/index.php?page%3Dviewproblem2%26cpid%3D864&amp;sa=D&amp;ust=1605639816000000&amp;usg=AFQjCNEVgPkIR3ZFdwcKIIIj7RJhJHyLdA" xr:uid="{2E5B3269-6F9A-4FB6-8662-39EE832154EF}"/>
    <hyperlink ref="F453" r:id="rId805" display="https://www.google.com/url?q=https://github.com/updown2/OI-Practice/blob/master/USACO/2018-2019/1.%2520December%2520%255BDONE%255D/Balance%2520Beam.cpp&amp;sa=D&amp;ust=1605639816000000&amp;usg=AFQjCNHz1tN_OLShUC6r8aj8dSGCueF6LQ" xr:uid="{DF32E25B-164C-40F4-BDB5-25D5027F0340}"/>
    <hyperlink ref="B454" r:id="rId806" display="https://www.google.com/url?q=https://szkopul.edu.pl/problemset/problem/o09s2TblWuB1BP9isQT7VIkG/site/&amp;sa=D&amp;ust=1605639816000000&amp;usg=AFQjCNFuwojw1DGBZy-Hl9bE4RYgpCjWRw" xr:uid="{BEDB3F51-4354-4D29-AD42-97578190D2DC}"/>
    <hyperlink ref="F454" r:id="rId807" display="https://www.google.com/url?q=https://github.com/mostafa-saad/MyCompetitiveProgramming/blob/master/Olympiad/POI/POI-04-Islands.txt&amp;sa=D&amp;ust=1605639816001000&amp;usg=AFQjCNFkH-BeYB1_1GBdXiJ-qxmM9peX_g" xr:uid="{C93454C6-6830-455D-B0F9-A6A5CF7E38C2}"/>
    <hyperlink ref="B455" r:id="rId808" display="https://www.google.com/url?q=https://cses.fi/99/list/&amp;sa=D&amp;ust=1605639816001000&amp;usg=AFQjCNG7-D6YVEOypfU3eqT7A7OIxDF6_w" xr:uid="{20879D8E-A10F-48E6-9EC7-02136ACF1353}"/>
    <hyperlink ref="F455" r:id="rId809" display="https://www.google.com/url?q=https://github.com/mostafa-saad/MyCompetitiveProgramming/blob/master/Olympiad/Baltic/Baltic-12-Fire.txt&amp;sa=D&amp;ust=1605639816001000&amp;usg=AFQjCNHPVNf8hY_yyamGCN7dyYpwmKkllg" xr:uid="{BED300BF-AF9F-45BF-AD3E-93B6AC72BF65}"/>
    <hyperlink ref="B456" r:id="rId810" display="https://www.google.com/url?q=https://oj.uz/problem/view/BOI16_park&amp;sa=D&amp;ust=1605639816002000&amp;usg=AFQjCNFweFcOimKEYjwivxxvEkJ3qG4Ydw" xr:uid="{B88C379D-B909-4854-BD5D-AA3757C88369}"/>
    <hyperlink ref="F456" r:id="rId811" display="https://www.google.com/url?q=https://github.com/mostafa-saad/MyCompetitiveProgramming/blob/master/Olympiad/Baltic/Baltic-16-park.txt&amp;sa=D&amp;ust=1605639816002000&amp;usg=AFQjCNHZaovloNJNvhyns3xFT4JThAfjzA" xr:uid="{414C172F-400B-4373-A598-A3C8A96F1C97}"/>
    <hyperlink ref="B457" r:id="rId812" display="https://www.google.com/url?q=https://infoarena.ro/problema/maxdist&amp;sa=D&amp;ust=1605639816004000&amp;usg=AFQjCNFrc8Q4LRbEGZ5cSuVP2i7MyrnICw" xr:uid="{EB76BADD-ECCF-435F-AC99-FD9D4932DAD7}"/>
    <hyperlink ref="F457" r:id="rId813" display="https://www.google.com/url?q=https://github.com/mostafa-saad/MyCompetitiveProgramming/blob/master/Olympiad/infoarena/infoarena_maxdist.txt&amp;sa=D&amp;ust=1605639816004000&amp;usg=AFQjCNGek57r7EtWcEaNRWQhpPqRJuL6lg" xr:uid="{4054C8D5-5DF6-46FB-819C-32437B04EA97}"/>
    <hyperlink ref="B458" r:id="rId814" display="https://www.google.com/url?q=https://www.acmicpc.net/problem/2209&amp;sa=D&amp;ust=1605639816004000&amp;usg=AFQjCNGJIveNz4FTbSDNBBKTgxgivbxs-w" xr:uid="{62639867-6224-4B55-BBAC-5C614647FA16}"/>
    <hyperlink ref="F458" r:id="rId815" display="https://www.google.com/url?q=https://github.com/mostafa-saad/MyCompetitiveProgramming/blob/master/Olympiad/IOI/IOI-02-Bus.txt&amp;sa=D&amp;ust=1605639816005000&amp;usg=AFQjCNExA24NIC-X6J1HbYoeKtOu82jEAQ" xr:uid="{5233C53C-0E2A-4438-9042-7A2AFC9CB139}"/>
    <hyperlink ref="B459" r:id="rId816" display="https://www.google.com/url?q=https://dmoj.ca/problem/mcco17p3&amp;sa=D&amp;ust=1605639816005000&amp;usg=AFQjCNHkaD9sodGXmOMgyzmLS46XT-SdQA" xr:uid="{4815B488-37C0-4E7E-9D30-DAA2867B404C}"/>
    <hyperlink ref="F459" r:id="rId817" display="https://www.google.com/url?q=https://github.com/thecodingwizard/competitive-programming/blob/master/DMOJ/CCO%252017-Connection.cpp&amp;sa=D&amp;ust=1605639816005000&amp;usg=AFQjCNH7WAQb1f_qutZvlInivLcf1zKaHQ" xr:uid="{867EE2D3-0DA9-4EC7-8795-E61387538D28}"/>
    <hyperlink ref="B460" r:id="rId818" display="https://www.google.com/url?q=https://github.com/mostafa-saad/MyCompetitiveProgramming/blob/master/Olympiad/infoarena/amici2-statement.txt&amp;sa=D&amp;ust=1605639816006000&amp;usg=AFQjCNF1-xyfyPbz9wLHY48VMTx-SZpvww" xr:uid="{C68D4F12-CA2D-4EFF-AC6A-F390F0756518}"/>
    <hyperlink ref="F460" r:id="rId819" display="https://www.google.com/url?q=https://github.com/mostafa-saad/MyCompetitiveProgramming/blob/master/Olympiad/infoarena/infoarena_amici2.txt&amp;sa=D&amp;ust=1605639816006000&amp;usg=AFQjCNHjEAqWv2Mi2Ti8N_eCUnNXWSk0Vg" xr:uid="{DE0F1418-104D-4EF2-9F3C-7BD925B7E12F}"/>
    <hyperlink ref="B461" r:id="rId820" display="https://www.google.com/url?q=https://oj.uz/problems/source/245&amp;sa=D&amp;ust=1605639816006000&amp;usg=AFQjCNGgoUCjECA559s0FkzDZ4VJ_PakYQ" xr:uid="{2DA9F02B-2425-42AF-B161-6216C5E2B44F}"/>
    <hyperlink ref="F461" r:id="rId821" display="https://www.google.com/url?q=https://github.com/luciocf/OI-Problems/blob/master/CEOI/CEOI%25202015/potemkin.cpp&amp;sa=D&amp;ust=1605639816007000&amp;usg=AFQjCNHr_FHEq89PPvMsmsHj-ecSZffXHQ" xr:uid="{396F97EC-5B20-491B-AF9F-8769015DB526}"/>
    <hyperlink ref="B462" r:id="rId822" display="https://www.google.com/url?q=https://cses.fi/112/list/&amp;sa=D&amp;ust=1605639816007000&amp;usg=AFQjCNFO7eeLnm_pEph-85VbDfdaSQ5yNA" xr:uid="{89AD4F17-1AAD-4CFA-A671-BBAB1563EED0}"/>
    <hyperlink ref="F462" r:id="rId823" display="https://www.google.com/url?q=https://github.com/mostafa-saad/MyCompetitiveProgramming/blob/master/Olympiad/Baltic/Baltic-07-Fence.txt&amp;sa=D&amp;ust=1605639816007000&amp;usg=AFQjCNG_y9qZw7QoxnM4GTFeFxuyKWPIQg" xr:uid="{6B242699-6663-4E34-B926-2AE57EFCFAC0}"/>
    <hyperlink ref="B463" r:id="rId824" display="https://www.google.com/url?q=https://cses.fi/191/list/&amp;sa=D&amp;ust=1605639816008000&amp;usg=AFQjCNF3TLTgzCsOk17MufrCqpWfdvjk8w" xr:uid="{746B7F21-936B-4EA2-9387-708604B4CBAC}"/>
    <hyperlink ref="F463" r:id="rId825" display="https://www.google.com/url?q=https://github.com/mostafa-saad/MyCompetitiveProgramming/blob/master/Olympiad/CEOI/CEOI-05-Depot.txt&amp;sa=D&amp;ust=1605639816008000&amp;usg=AFQjCNHZggc0M1lKnwpj_pp07KneR0ac2w" xr:uid="{2CBD8C85-7D16-461B-8E72-4F142421D629}"/>
    <hyperlink ref="B464" r:id="rId826" display="https://www.google.com/url?q=https://dmoj.ca/problem/coci08c6p6&amp;sa=D&amp;ust=1605639816008000&amp;usg=AFQjCNHFtb7o4cwQQDCtvhVPAXDBBgJiPA" xr:uid="{540D5AD5-3A38-47A8-B5C8-C421BF07BB1F}"/>
    <hyperlink ref="F464" r:id="rId827" display="https://www.google.com/url?q=https://github.com/mostafa-saad/MyCompetitiveProgramming/blob/master/Olympiad/CEOI/COCI-08-Slicice.txt&amp;sa=D&amp;ust=1605639816009000&amp;usg=AFQjCNHXS0wU-eRCq-047JLVvPtqmBNdeQ" xr:uid="{F1A35945-0987-4FD5-8365-D6C44656DC5B}"/>
    <hyperlink ref="B465" r:id="rId828" display="https://www.google.com/url?q=https://www.infoarena.ro/problema/casute&amp;sa=D&amp;ust=1605639816009000&amp;usg=AFQjCNHsNWSv313vmGvYmLJKGUV0ie2_Pg" xr:uid="{D482DBCF-08AC-4049-AB18-578AC5C87AAE}"/>
    <hyperlink ref="F465" r:id="rId829" display="https://www.google.com/url?q=https://github.com/mostafa-saad/MyCompetitiveProgramming/blob/master/Olympiad/infoarena/infoarena_casute.txt&amp;sa=D&amp;ust=1605639816009000&amp;usg=AFQjCNGfa1asou6fMZrGP0T9e3HDksbw8w" xr:uid="{4038503E-6D6B-4517-BA0B-9F7843EA4EAD}"/>
    <hyperlink ref="F466" r:id="rId830" display="https://www.google.com/url?q=https://github.com/dolphingarlic/CompetitiveProgramming/blob/master/COI/COCI%252020-putovanje.cpp&amp;sa=D&amp;ust=1605639816010000&amp;usg=AFQjCNFzdbtmvuy900idU1YY7QIjV1ffAA" xr:uid="{7C91F898-5FC3-4A12-8D65-A0ACAD8A3BDD}"/>
    <hyperlink ref="B467" r:id="rId831" display="https://www.google.com/url?q=https://www.infoarena.ro/problema/perioada&amp;sa=D&amp;ust=1605639816010000&amp;usg=AFQjCNFXcryMXJHHHKGUHYdyQAqiaTETcg" xr:uid="{AE73155B-1ECE-459C-A863-6C1F5880290D}"/>
    <hyperlink ref="F467" r:id="rId832" display="https://www.google.com/url?q=https://github.com/mostafa-saad/MyCompetitiveProgramming/blob/master/Olympiad/infoarena/infoarena_perioada.txt&amp;sa=D&amp;ust=1605639816010000&amp;usg=AFQjCNEtLtcT3wKxJQtHTxk9DMlVHWocDg" xr:uid="{96B466CD-D692-44B1-9C36-216364EB2611}"/>
    <hyperlink ref="B468" r:id="rId833" display="https://www.google.com/url?q=http://usaco.org/index.php?page%3Dviewproblem2%26cpid%3D794&amp;sa=D&amp;ust=1605639816010000&amp;usg=AFQjCNFb-qABkfu4Dop31R4LZfxWho3ZjQ" xr:uid="{AA77FA0E-337B-4691-A714-8977D3DF84A8}"/>
    <hyperlink ref="F468" r:id="rId834" display="https://www.google.com/url?q=https://github.com/stefdasca/CompetitiveProgramming/blob/master/USACO/USACO%252018jan-sprinklers-plat.cpp&amp;sa=D&amp;ust=1605639816011000&amp;usg=AFQjCNFd4AI1VQvvMHtybwZDR6dw8Xc6Bg" xr:uid="{AC4DD44F-17AD-4469-8EB6-2EF7500067BF}"/>
    <hyperlink ref="B469" r:id="rId835" display="https://www.google.com/url?q=https://wcipeg.com/problem/coi09p2&amp;sa=D&amp;ust=1605639816011000&amp;usg=AFQjCNHAaCVxBJKutijaWZmJ9uhhCNQ1CQ" xr:uid="{9E67EE79-6B79-48DC-A09F-0F5CA043F43D}"/>
    <hyperlink ref="F469" r:id="rId836" display="https://www.google.com/url?q=https://github.com/mostafa-saad/MyCompetitiveProgramming/blob/master/Olympiad/COI/COI-09-Kolo.txt&amp;sa=D&amp;ust=1605639816011000&amp;usg=AFQjCNHy44LnBiDGKAvvENWa9l4tGB1SZQ" xr:uid="{8976BFB0-8F22-4D70-99D2-3B305ECA50F4}"/>
    <hyperlink ref="B470" r:id="rId837" display="https://www.google.com/url?q=https://szkopul.edu.pl/problemset/problem/etwe8b5zlM4uVn4dpxr32ua8/site/&amp;sa=D&amp;ust=1605639816012000&amp;usg=AFQjCNHzc13rUBIMU_44uLiD35joOSmbMg" xr:uid="{201E5EE7-7D03-4B25-88FE-DB268D6CEFD1}"/>
    <hyperlink ref="F470" r:id="rId838" display="https://www.google.com/url?q=https://github.com/mostafa-saad/MyCompetitiveProgramming/blob/master/Olympiad/POI/POI-08-Permutation.txt&amp;sa=D&amp;ust=1605639816012000&amp;usg=AFQjCNGiHOS3697I2DkmiR7Dq4oubO9_zA" xr:uid="{C0F5D23D-CA8E-4995-A0B2-6F0991A6EA57}"/>
    <hyperlink ref="B471" r:id="rId839" display="https://www.google.com/url?q=https://oj.uz/problems/source/245&amp;sa=D&amp;ust=1605639816012000&amp;usg=AFQjCNHX07LLp2ym89AWjyVneOX2IcU3qw" xr:uid="{C968A21D-B5AB-4963-A90F-7537EDEB9036}"/>
    <hyperlink ref="F471" r:id="rId840" display="https://www.google.com/url?q=https://github.com/mostafa-saad/MyCompetitiveProgramming/blob/master/Olympiad/CEOI/CEOI-15-teams.txt&amp;sa=D&amp;ust=1605639816012000&amp;usg=AFQjCNGj76zKcRqcdmw4OZDeXcsHw9LqjQ" xr:uid="{9E12B66E-A845-4996-8BC1-1516F3129996}"/>
    <hyperlink ref="B472" r:id="rId841" display="https://www.google.com/url?q=https://infoarena.ro/problema/paintball&amp;sa=D&amp;ust=1605639816013000&amp;usg=AFQjCNGUXHeJ019FFR-9q1lRwsTBELc1jA" xr:uid="{A5584C3D-FE5A-4927-811F-4DB2F87E819C}"/>
    <hyperlink ref="F472" r:id="rId842" display="https://www.google.com/url?q=https://github.com/mostafa-saad/MyCompetitiveProgramming/blob/master/Olympiad/infoarena/infoarena-paintball.txt&amp;sa=D&amp;ust=1605639816013000&amp;usg=AFQjCNFRU9J64C4DOWOv_Ch8fbNJ0u6gAA" xr:uid="{0ED6B8AE-AE7B-4D20-B507-48CF271CE75B}"/>
    <hyperlink ref="B473" r:id="rId843" display="https://www.google.com/url?q=https://oj.uz/problem/view/IOI17_prize&amp;sa=D&amp;ust=1605639816014000&amp;usg=AFQjCNEG1hQOsZhCB3luxlEBBZTihct7qA" xr:uid="{A4AC71B2-44B6-4DF2-A2F5-1726BC1FD66B}"/>
    <hyperlink ref="F473" r:id="rId844" display="https://www.google.com/url?q=https://github.com/timpostuvan/CompetitiveProgramming/blob/master/Olympiad/IOI/Prize2017.cpp&amp;sa=D&amp;ust=1605639816014000&amp;usg=AFQjCNHlCz_2fmCJ9Uy9k9V9RWpD-ABqVw" xr:uid="{F9CE3EB5-F660-4B42-8D09-185B839D5220}"/>
    <hyperlink ref="B474" r:id="rId845" display="https://www.google.com/url?q=https://wcipeg.com/problem/coi08p3&amp;sa=D&amp;ust=1605639816015000&amp;usg=AFQjCNGeR5ejTiymPD8VO_TqDV70k5lleg" xr:uid="{E20116AE-7165-41C0-A3CC-EF0D5B4C9F4F}"/>
    <hyperlink ref="F474" r:id="rId846" display="https://www.google.com/url?q=https://github.com/mostafa-saad/MyCompetitiveProgramming/tree/master/Olympiad/COCI/official/2009/olympiad_solutions&amp;sa=D&amp;ust=1605639816016000&amp;usg=AFQjCNGv-EGTUis_0bH03a2GonBDNJ5lRg" xr:uid="{E2ED5FAE-7AD1-4C36-9605-59AADEA9951D}"/>
    <hyperlink ref="B475" r:id="rId847" display="https://www.google.com/url?q=http://usaco.org/index.php?page%3Dviewproblem2%26cpid%3D626&amp;sa=D&amp;ust=1605639816016000&amp;usg=AFQjCNFuO7dNt18udPfdUBvXN_jjpKDyxg" xr:uid="{3106A05F-8B91-4045-B9E1-C18806FF3356}"/>
    <hyperlink ref="F475" r:id="rId848" display="https://www.google.com/url?q=https://github.com/thecodingwizard/competitive-programming/blob/master/USACO/2016feb/plat/cbarn.cpp&amp;sa=D&amp;ust=1605639816016000&amp;usg=AFQjCNHy_GOBdbXx790xBS5YOKNcBaIckQ" xr:uid="{87B6592F-3574-4252-99AF-ECFCB4358C10}"/>
    <hyperlink ref="B476" r:id="rId849" display="https://www.google.com/url?q=https://cses.fi/112/list/&amp;sa=D&amp;ust=1605639816017000&amp;usg=AFQjCNED1J4Y5mAbyl8f75lDdoVP-HBsDQ" xr:uid="{924408A1-E074-4909-BF02-5DDEE6EDE7E4}"/>
    <hyperlink ref="F476" r:id="rId850" display="https://www.google.com/url?q=https://github.com/mostafa-saad/MyCompetitiveProgramming/blob/master/Olympiad/Baltic/Baltic-07-Points.txt&amp;sa=D&amp;ust=1605639816017000&amp;usg=AFQjCNFhnCcWIWFNtTCwo8gBBLsKScSyhQ" xr:uid="{53B18F1D-6207-49C7-B025-F128AC1E6117}"/>
    <hyperlink ref="B477" r:id="rId851" display="https://www.google.com/url?q=https://infoarena.ro/problema/mindist&amp;sa=D&amp;ust=1605639816017000&amp;usg=AFQjCNHafcR3z11ZXXPtyU5ZFGpEN-j__w" xr:uid="{111549D9-9D16-4B90-94F9-317BC1EA599A}"/>
    <hyperlink ref="F477" r:id="rId852" display="https://www.google.com/url?q=https://github.com/mostafa-saad/MyCompetitiveProgramming/blob/master/Olympiad/infoarena/infoarena-mindist.txt&amp;sa=D&amp;ust=1605639816018000&amp;usg=AFQjCNFaziv-7An1hJ04blr7Fz4o6E_Bxw" xr:uid="{5EB62347-2737-467E-B5E7-3D456EA1F314}"/>
    <hyperlink ref="B478" r:id="rId853" display="https://www.google.com/url?q=https://contest.yandex.ru/ioi/contest/558/problems/B/&amp;sa=D&amp;ust=1605639816018000&amp;usg=AFQjCNF_lPsaadLNkBc6iAi7bT8wWjYxcg" xr:uid="{0F95A974-7F45-40E0-B69E-8E883C60161D}"/>
    <hyperlink ref="F478" r:id="rId854" display="https://www.google.com/url?q=https://github.com/mostafa-saad/MyCompetitiveProgramming/blob/master/Olympiad/IOI/IOI-03-code.txt&amp;sa=D&amp;ust=1605639816018000&amp;usg=AFQjCNFavk1JNNt_0kf6gCTK1agNgYWArw" xr:uid="{44B3B903-FDB7-4EE7-A7A8-AD94DFE33F7C}"/>
    <hyperlink ref="B479" r:id="rId855" display="https://www.google.com/url?q=https://oj.uz/problem/view/IOI07_pairs&amp;sa=D&amp;ust=1605639816019000&amp;usg=AFQjCNEeH017dAPkTTfUrNw5YK5vUR6SoQ" xr:uid="{55A5305B-91F0-475B-9A5F-E701315470D0}"/>
    <hyperlink ref="F479" r:id="rId856" display="https://www.google.com/url?q=https://github.com/mostafa-saad/MyCompetitiveProgramming/blob/master/Olympiad/IOI/official/2007&amp;sa=D&amp;ust=1605639816019000&amp;usg=AFQjCNEKXQzZUSmp7AJ3jfeH5bDQNYEqYA" xr:uid="{2CCFCEF2-0A10-4DC5-9048-C7A55BC750FE}"/>
    <hyperlink ref="B480" r:id="rId857" display="https://www.google.com/url?q=http://usaco.org/index.php?page%3Dviewproblem2%26cpid%3D972%23&amp;sa=D&amp;ust=1605639816019000&amp;usg=AFQjCNHZfMJfmR22YBNegBr9GHCm9sqnng" xr:uid="{294CDBA5-4D8C-421A-860F-D9A89CDD06BA}"/>
    <hyperlink ref="B481" r:id="rId858" display="https://www.google.com/url?q=https://cses.fi/98/list/&amp;sa=D&amp;ust=1605639816020000&amp;usg=AFQjCNFyJcQA8lfB43KQ2xXy5ogBhfnknw" xr:uid="{7305C9EF-356F-4A45-8536-28EB18D257D9}"/>
    <hyperlink ref="F481" r:id="rId859" display="https://www.google.com/url?q=https://github.com/mostafa-saad/MyCompetitiveProgramming/blob/master/Olympiad/Baltic/Baltic-12-Brackets.txt&amp;sa=D&amp;ust=1605639816020000&amp;usg=AFQjCNF01IikPpLj4npM52pqSS5BkYymhg" xr:uid="{B6A185A1-867B-4329-91B0-E95937A39983}"/>
    <hyperlink ref="B482" r:id="rId860" display="https://www.google.com/url?q=http://usaco.org/index.php?page%3Dviewproblem2%26cpid%3D902&amp;sa=D&amp;ust=1605639816020000&amp;usg=AFQjCNFefkPsIpm2rtw5Z54Zeel6rGujFg" xr:uid="{0A5F05CE-08FA-4FAB-9351-CE6FB663725B}"/>
    <hyperlink ref="B483" r:id="rId861" display="https://www.google.com/url?q=https://www.infoarena.ro/problema/culmi&amp;sa=D&amp;ust=1605639816021000&amp;usg=AFQjCNFabWf0ajZtKdNmnVLxiszNQpFlow" xr:uid="{6CD4B9FF-7074-493C-AD67-C2144806652E}"/>
    <hyperlink ref="F483" r:id="rId862" display="https://www.google.com/url?q=https://github.com/stefdasca/CompetitiveProgramming/blob/master/Infoarena/culmi.cpp&amp;sa=D&amp;ust=1605639816021000&amp;usg=AFQjCNGDjC8pZoZAIDTMXAeJHGCfwgqdJA" xr:uid="{77B7091D-1C95-48F9-95ED-11BE7E16040A}"/>
    <hyperlink ref="B484" r:id="rId863" display="https://www.google.com/url?q=https://oj.uz/problem/view/JOI19_ho_t4&amp;sa=D&amp;ust=1605639816022000&amp;usg=AFQjCNHBcCoKYG_vHy3UHhskuchic7ltrw" xr:uid="{EA7B9D08-5B5E-4D34-B58F-4E55D29E1870}"/>
    <hyperlink ref="F484" r:id="rId864" display="https://www.google.com/url?q=https://github.com/mostafa-saad/MyCompetitiveProgramming/blob/master/Olympiad/JOI/JOI-19-Coin.txt&amp;sa=D&amp;ust=1605639816022000&amp;usg=AFQjCNHlM1d6UXrxbN4G0ZGjWl9cj5GUXQ" xr:uid="{C0CD5663-53DB-47BE-A183-E2BF7FF628E0}"/>
    <hyperlink ref="B485" r:id="rId865" display="https://www.google.com/url?q=https://cses.fi/116/list/&amp;sa=D&amp;ust=1605639816022000&amp;usg=AFQjCNG-68vWU0dccZkVgPqeT0hKQZ3SBQ" xr:uid="{743B3E35-5A04-4D2E-8EE6-ABB0811B02A7}"/>
    <hyperlink ref="F485" r:id="rId866" display="https://www.google.com/url?q=https://github.com/mostafa-saad/MyCompetitiveProgramming/blob/master/Olympiad/Baltic/Baltic-05-Polygon.txt&amp;sa=D&amp;ust=1605639816022000&amp;usg=AFQjCNFWc2rtsrw-68Qt3LJVEaEG4GOBkw" xr:uid="{FBBC39F6-4613-40BB-8EB7-05267624F889}"/>
    <hyperlink ref="B486" r:id="rId867" display="https://www.google.com/url?q=http://usaco.org/index.php?page%3Dviewproblem2%26cpid%3D866&amp;sa=D&amp;ust=1605639816023000&amp;usg=AFQjCNHq5QDlh8pyRMonMh7C8jUzShhZpA" xr:uid="{8F515AD5-79F0-4DE5-BBED-67333BFA109C}"/>
    <hyperlink ref="B487" r:id="rId868" display="https://www.google.com/url?q=http://www.usaco.org/index.php?page%3Dviewproblem2%26cpid%3D972&amp;sa=D&amp;ust=1605639816023000&amp;usg=AFQjCNGaL1hSF5kCgxaHlXZtr1S--z9edQ" xr:uid="{D0DE858B-3269-4D25-9527-A709E39D8E90}"/>
    <hyperlink ref="F487" r:id="rId869" display="https://www.google.com/url?q=https://github.com/thecodingwizard/competitive-programming/blob/master/USACO/2019dec/pieaters.cpp&amp;sa=D&amp;ust=1605639816023000&amp;usg=AFQjCNHuAaguTZriImcLlTKwG6yIusX44w" xr:uid="{63309DDC-DF17-49AF-9911-8166BE700224}"/>
    <hyperlink ref="B488" r:id="rId870" display="https://www.google.com/url?q=https://dmoj.ca/problem/coci07c5p6&amp;sa=D&amp;ust=1605639816024000&amp;usg=AFQjCNHZWMcRdIffIJPAuTVNFJBtCmQdyw" xr:uid="{075618E6-52E9-453B-98E7-AD0C632F1CAA}"/>
    <hyperlink ref="F488" r:id="rId871" display="https://www.google.com/url?q=https://github.com/mostafa-saad/MyCompetitiveProgramming/blob/master/Olympiad/COCI/COCI-07-Baza.txt&amp;sa=D&amp;ust=1605639816024000&amp;usg=AFQjCNERhwaLZ67GTm0JLBHnkW9QfTzNZg" xr:uid="{B35AD6B1-2B8B-490F-B965-B6D66DF0BBA4}"/>
    <hyperlink ref="B489" r:id="rId872" display="https://www.google.com/url?q=https://oj.uz/problem/view/IOI12_rings&amp;sa=D&amp;ust=1605639816024000&amp;usg=AFQjCNFEM_bHiHeYUBrb2hgGEuw4dt63-Q" xr:uid="{CF3F309A-8509-431E-A8BC-3F5CE2987085}"/>
    <hyperlink ref="F489" r:id="rId873" display="https://www.google.com/url?q=https://github.com/tmwilliamlin168/CompetitiveProgramming/blob/master/IOI/12-Rings.cpp&amp;sa=D&amp;ust=1605639816025000&amp;usg=AFQjCNFAXDjmSo0JZFgcjbyv2UPDKEGvcA" xr:uid="{9E519FB2-294D-43E1-94BE-18F5B5560F2C}"/>
    <hyperlink ref="B490" r:id="rId874" display="https://www.google.com/url?q=https://oj.uz/problem/view/IOI10_languages&amp;sa=D&amp;ust=1605639816025000&amp;usg=AFQjCNF7RUOUMWdrcsRWtx4yF2iNToU1uA" xr:uid="{8CEDFAAD-0F48-4876-8BA9-D7D055ADEC0C}"/>
    <hyperlink ref="F490" r:id="rId875" display="https://www.google.com/url?q=https://github.com/mostafa-saad/MyCompetitiveProgramming/blob/master/Olympiad/IOI/official/2010&amp;sa=D&amp;ust=1605639816025000&amp;usg=AFQjCNEPurDRQwF0mV5qsiI_z20H2Ei1Kg" xr:uid="{E747B41C-48EE-45FF-AB4C-C3395F4076B8}"/>
    <hyperlink ref="B491" r:id="rId876" display="https://www.google.com/url?q=https://open.kattis.com/problem-sources/Baltic%2520Olympiad%2520in%2520Informatics%25202017%252C%2520Day%25202&amp;sa=D&amp;ust=1605639816072000&amp;usg=AFQjCNH3kie-yeq7nQ4HxRnhCCFU1vlU8A" xr:uid="{D98CC6B2-18CB-4DBC-9C9A-1F628444BB42}"/>
    <hyperlink ref="F491" r:id="rId877" display="https://www.google.com/url?q=https://codeforces.com/blog/entry/51740?%23comment-356940&amp;sa=D&amp;ust=1605639816073000&amp;usg=AFQjCNEm_FmrTSboCM4ko8XsQHtOxD311A" xr:uid="{B64CF63E-6EF5-427F-9B01-38EE69E8A37E}"/>
    <hyperlink ref="B492" r:id="rId878" display="https://www.google.com/url?q=https://oj.uz/problem/view/JOI19_remittance&amp;sa=D&amp;ust=1605639816073000&amp;usg=AFQjCNHuMk77uoSlFFrsH_x4wz4bZ_t3UA" xr:uid="{0FCEAD36-C733-434A-96F2-12E478453E4C}"/>
    <hyperlink ref="F492" r:id="rId879" display="https://www.google.com/url?q=https://github.com/mostafa-saad/MyCompetitiveProgramming/blob/master/Olympiad/JOI/JOIOC-19-Remittance.txt&amp;sa=D&amp;ust=1605639816073000&amp;usg=AFQjCNFHvJfiA3OddU7emyMOAGyBkHhHxg" xr:uid="{28BE2A7F-49E4-47A9-A927-C791FB17D483}"/>
    <hyperlink ref="B493" r:id="rId880" display="https://www.google.com/url?q=https://dmoj.ca/contest/cco18d1&amp;sa=D&amp;ust=1605639816074000&amp;usg=AFQjCNGwEORr75Y3UB_DtRDz2zLcm4aQUQ" xr:uid="{6EC7CF21-E84D-4259-AEC4-0B9827B171D1}"/>
    <hyperlink ref="F493" r:id="rId881" display="https://www.google.com/url?q=https://github.com/timpostuvan/CompetitiveProgramming/blob/master/Olympiad/CCO/WrongAnswer2018.cpp&amp;sa=D&amp;ust=1605639816074000&amp;usg=AFQjCNHZpRJSgRdMeiW9nzC9L88UitytXA" xr:uid="{09919B1F-2925-4D60-AD3A-D43EBC2825A1}"/>
    <hyperlink ref="B494" r:id="rId882" display="https://www.google.com/url?q=https://boi18-day2-open.kattis.com/problems&amp;sa=D&amp;ust=1605639816075000&amp;usg=AFQjCNGwL6e91k0skkqxytEactUaZ0o7xg" xr:uid="{7823B16D-8601-4C30-9BD0-3053728032CB}"/>
    <hyperlink ref="F494" r:id="rId883" display="https://www.google.com/url?q=https://github.com/mostafa-saad/MyCompetitiveProgramming/tree/master/Olympiad/Baltic/official/boi2018_solutions&amp;sa=D&amp;ust=1605639816075000&amp;usg=AFQjCNHG-wm_2CSeGW_Vtmz7SWc1QbIFDw" xr:uid="{3A68D498-4BCD-480F-87C1-9B243A0095D6}"/>
    <hyperlink ref="B495" r:id="rId884" display="https://www.google.com/url?q=https://codeforces.com/group/swEqtABRxe/contest/243438/problem/D&amp;sa=D&amp;ust=1605639816075000&amp;usg=AFQjCNFgre92IBPH9AvOwY0tA4t9cCYGEA" xr:uid="{01F0211A-67C7-47C2-AC44-895B80BB3CB8}"/>
    <hyperlink ref="B496" r:id="rId885" display="https://www.google.com/url?q=https://oj.uz/problem/view/COI14_css&amp;sa=D&amp;ust=1605639816076000&amp;usg=AFQjCNHZau7fh8roRLSJScoYMwnhqvmJ5A" xr:uid="{A8611EB1-1095-4B64-92B3-F1867BFA338D}"/>
    <hyperlink ref="B497" r:id="rId886" display="https://www.google.com/url?q=https://oj.uz/problem/view/COI18_pick&amp;sa=D&amp;ust=1605639816077000&amp;usg=AFQjCNFgYhfcb_KT0h9uOAqJ-DPTs9JkSw" xr:uid="{0071E8A0-78F4-4D52-91BC-4EFD17155B95}"/>
    <hyperlink ref="B498" r:id="rId887" display="https://www.google.com/url?q=https://oj.uz/problem/view/IZhO19_lyuboyn&amp;sa=D&amp;ust=1605639816077000&amp;usg=AFQjCNHsAexIp26aCQ49EmWKUNB6bAm17g" xr:uid="{704E4CD2-D017-486B-98F0-F6CF1FA37D97}"/>
    <hyperlink ref="B500" r:id="rId888" display="https://www.google.com/url?q=https://www.acmicpc.net/problem/11555&amp;sa=D&amp;ust=1605639816078000&amp;usg=AFQjCNEHhSgvSP92kIAyNfOjLb9GyxuQ8w" xr:uid="{7354BF46-495A-40B6-A282-873DBCD5B2E1}"/>
    <hyperlink ref="F500" r:id="rId889" display="https://www.google.com/url?q=https://github.com/mostafa-saad/MyCompetitiveProgramming/tree/master/Olympiad/Balkan/official/2015&amp;sa=D&amp;ust=1605639816078000&amp;usg=AFQjCNGUo4wPHGWYCETVDXVVFXIK-gbsPQ" xr:uid="{3253FB09-D43B-46CC-BF18-31AC642C4F01}"/>
    <hyperlink ref="B501" r:id="rId890" display="https://www.google.com/url?q=https://csacademy.com/contest/round-78/task/count-bst/&amp;sa=D&amp;ust=1605639816079000&amp;usg=AFQjCNGG3H6o1QbmV_mNL1aDAVgnnsI9eQ" xr:uid="{66C84A96-2D03-497D-834B-B4AD31D32DC6}"/>
    <hyperlink ref="B502" r:id="rId891" display="https://www.google.com/url?q=https://contest.yandex.ru/ioi/contest/558/enter/&amp;sa=D&amp;ust=1605639816080000&amp;usg=AFQjCNHDysKiNkEq2F2OdZYL_8xFamFl_w" xr:uid="{98003D37-F0BF-470B-A0FD-707438B48C15}"/>
    <hyperlink ref="F502" r:id="rId892" display="https://www.google.com/url?q=https://github.com/mostafa-saad/MyCompetitiveProgramming/blob/master/Olympiad/IOI/IOI-03-robots.txt&amp;sa=D&amp;ust=1605639816080000&amp;usg=AFQjCNH357tvrAsKgvpIElG5z48nI_j04Q" xr:uid="{7EE4DF3C-B9F4-4029-9313-BFADECD79FA9}"/>
    <hyperlink ref="B503" r:id="rId893" display="https://www.google.com/url?q=https://infoarena.ro/problema/calancea&amp;sa=D&amp;ust=1605639816080000&amp;usg=AFQjCNEIlF1dnU4IX-Ftla3s9KG13cwlKA" xr:uid="{42AED3C8-F4B9-4C72-976D-7FDCADF40A12}"/>
    <hyperlink ref="B504" r:id="rId894" display="https://www.google.com/url?q=https://www.acmicpc.net/problem/7055&amp;sa=D&amp;ust=1605639816081000&amp;usg=AFQjCNHssU2Tihq_eqgFUUxf4yS4F-dw3A" xr:uid="{8C996B56-615D-4AA0-BD8E-4796EE4FE6DA}"/>
    <hyperlink ref="F504" r:id="rId895" display="https://www.google.com/url?q=https://github.com/mostafa-saad/MyCompetitiveProgramming/blob/master/Olympiad/CEOI/CEOI-02-Bugs.txt&amp;sa=D&amp;ust=1605639816081000&amp;usg=AFQjCNE7n_E275tSCWQ6iw52e0pWN2NMuQ" xr:uid="{7CE61D70-7E3D-443B-BDBB-21658C04DBB0}"/>
    <hyperlink ref="B505" r:id="rId896" display="https://www.google.com/url?q=https://codeforces.com/gym/102257/&amp;sa=D&amp;ust=1605639816081000&amp;usg=AFQjCNGuMIbpycRLwJis1yo9IctWD8aLWg" xr:uid="{A372201F-0B75-41D5-BFB2-B238B02CF11F}"/>
    <hyperlink ref="F505" r:id="rId897" display="https://www.google.com/url?q=https://github.com/Evilandrew228/CompetitiveProgramming/blob/master/APIO%252019-street_lamps&amp;sa=D&amp;ust=1605639816082000&amp;usg=AFQjCNE8gkzy1D18wR3kdOLA1e89ZX3ccA" xr:uid="{3FC04285-CE38-4574-8228-98583148D80B}"/>
    <hyperlink ref="B506" r:id="rId898" display="https://www.google.com/url?q=https://oj.uz/problem/view/COCI15_relativnost&amp;sa=D&amp;ust=1605639816082000&amp;usg=AFQjCNFfT8gkDXtO0yozBaYovJuTk1_KgA" xr:uid="{5D4ADFA2-06F9-45F0-921F-1CD625E45F00}"/>
    <hyperlink ref="F506" r:id="rId899" display="https://www.google.com/url?q=https://github.com/mostafa-saad/MyCompetitiveProgramming/blob/master/Olympiad/COCI/COCI-15-relativnost.txt&amp;sa=D&amp;ust=1605639816082000&amp;usg=AFQjCNELsdIyEZQt2S4-5fg3PrlvZTi6Yg" xr:uid="{52AFC32B-E079-46A1-AC95-DDE1BDCB8CED}"/>
    <hyperlink ref="B507" r:id="rId900" display="https://www.google.com/url?q=https://oj.uz/problem/view/COCI17_garaza&amp;sa=D&amp;ust=1605639816083000&amp;usg=AFQjCNETRVbl-QZjbTQ_bwsNSiSVICnWuQ" xr:uid="{5F3E53B1-3AFB-4863-94E8-63377CA9D310}"/>
    <hyperlink ref="F507" r:id="rId901" display="https://www.google.com/url?q=https://github.com/mostafa-saad/MyCompetitiveProgramming/blob/master/Olympiad/COCI/official/2018/contest2_solutions&amp;sa=D&amp;ust=1605639816083000&amp;usg=AFQjCNEIPlTiqJf1Mj-qm3HIWGEUm_fMBg" xr:uid="{E2F3F230-33C5-4366-99F3-B538BD315AB5}"/>
    <hyperlink ref="B508" r:id="rId902" display="https://www.google.com/url?q=https://oj.uz/problem/view/JOI20_ho_t5&amp;sa=D&amp;ust=1605639816083000&amp;usg=AFQjCNFmQrecs2VqMp3KCqPCUlguSFQvSQ" xr:uid="{DD28F6A0-3E65-4543-99C8-D9EBC4CBCB87}"/>
    <hyperlink ref="F508" r:id="rId903" display="https://www.google.com/url?q=https://github.com/mostafa-saad/MyCompetitiveProgramming/tree/master/Olympiad/JOI/official/JOI/2020&amp;sa=D&amp;ust=1605639816084000&amp;usg=AFQjCNFVx14UTyfXJGjTmYENN_r3iL4uyA" xr:uid="{070FE25D-9411-453C-9BD6-06317B53B914}"/>
    <hyperlink ref="B509" r:id="rId904" display="https://www.google.com/url?q=https://joi2016ho.contest.atcoder.jp/tasks/joi2016ho_e&amp;sa=D&amp;ust=1605639816084000&amp;usg=AFQjCNGbCkYiw7sATe4uhKaH4J-9l76VlA" xr:uid="{892F94D7-4328-412D-B24A-D724B25F229F}"/>
    <hyperlink ref="B510" r:id="rId905" display="https://www.google.com/url?q=https://oj.uz/problem/view/BOI18_parentrises&amp;sa=D&amp;ust=1605639816086000&amp;usg=AFQjCNHCrgaVs5z3MjwTf344XTimfZPS0Q" xr:uid="{E18DA159-D0A9-44F5-B5FC-FB71A6EDA0C2}"/>
    <hyperlink ref="F510" r:id="rId906" display="https://www.google.com/url?q=https://github.com/mostafa-saad/MyCompetitiveProgramming/blob/master/Olympiad/Balkan/official/2018/&amp;sa=D&amp;ust=1605639816086000&amp;usg=AFQjCNHJN-o51_FXojs5kuXiTDOBCD75Aw" xr:uid="{2E65317F-6D22-47CF-B984-6D00BEF66F45}"/>
    <hyperlink ref="B511" r:id="rId907" display="https://www.google.com/url?q=https://oj.uz/problems/source/197&amp;sa=D&amp;ust=1605639816086000&amp;usg=AFQjCNEowwoS1YrB_3lk6kKPQ7wWD_0vZA" xr:uid="{0B6BCCA9-1C79-461D-A295-B43D91070CF1}"/>
    <hyperlink ref="F511" r:id="rId908" display="https://www.google.com/url?q=https://github.com/mostafa-saad/MyCompetitiveProgramming/blob/master/Olympiad/CEOI/CEOI-16-popeala.txt&amp;sa=D&amp;ust=1605639816086000&amp;usg=AFQjCNFfzBRDY5R-4oS5NGHCpno8My8YqQ" xr:uid="{AA199E56-5E93-422F-85D2-1850BF49504A}"/>
    <hyperlink ref="B512" r:id="rId909" display="https://www.google.com/url?q=https://www.infoarena.ro/problema/ksecv&amp;sa=D&amp;ust=1605639816087000&amp;usg=AFQjCNFnMaqiNDYSB3YAviWDWkuvUYR0qg" xr:uid="{B78B57D0-69AF-44F6-8694-2F35E2CDBC38}"/>
    <hyperlink ref="F512" r:id="rId910" display="https://www.google.com/url?q=https://github.com/stefdasca/CompetitiveProgramming/blob/master/Infoarena/ksecv.cpp&amp;sa=D&amp;ust=1605639816087000&amp;usg=AFQjCNGYbqZUQP4moY0lWCBmJGbQKHUo_Q" xr:uid="{3B38F298-2BC8-470C-AE2F-A15B11A8A5F2}"/>
    <hyperlink ref="B513" r:id="rId911" display="https://www.google.com/url?q=https://dunjudge.me/analysis/problems/28/&amp;sa=D&amp;ust=1605639816087000&amp;usg=AFQjCNFAUi-3reHa1cuecsmMC5waDWmDTA" xr:uid="{DC62FE84-6D23-4C53-816D-7928ED93FA64}"/>
    <hyperlink ref="F513" r:id="rId912" display="https://www.google.com/url?q=https://github.com/mostafa-saad/MyCompetitiveProgramming/blob/master/Olympiad/NOI/NOI-11-tour.txt&amp;sa=D&amp;ust=1605639816087000&amp;usg=AFQjCNE9o66sl4G2tk5y9ZVoJ8TXHa67pA" xr:uid="{CD52E0CF-4F19-4601-9C38-36A840A6BB48}"/>
    <hyperlink ref="B514" r:id="rId913" display="https://www.google.com/url?q=https://oj.uz/problem/view/COCI18_vrtic&amp;sa=D&amp;ust=1605639816088000&amp;usg=AFQjCNGZQN_v4Exb-U5lfAeXLTbTk8WpEg" xr:uid="{BFF5416D-A157-4B53-A78E-1EA6333A0295}"/>
    <hyperlink ref="B515" r:id="rId914" display="https://www.google.com/url?q=https://cses.fi/188/list/&amp;sa=D&amp;ust=1605639816088000&amp;usg=AFQjCNEghoUoupCSJ7W2dES_8JhwR-BKvw" xr:uid="{8AC34725-58F8-4B3A-8EAC-002F0E2868CF}"/>
    <hyperlink ref="B516" r:id="rId915" display="https://www.google.com/url?q=https://cses.fi/188/list/&amp;sa=D&amp;ust=1605639816088000&amp;usg=AFQjCNEghoUoupCSJ7W2dES_8JhwR-BKvw" xr:uid="{7FFB8353-0382-4557-8C1E-18F1F25BD850}"/>
    <hyperlink ref="B517" r:id="rId916" display="https://www.google.com/url?q=https://szkopul.edu.pl/problemset/problem/4Pgr_vmxb_fPeFSn1NTJPqQa/site/&amp;sa=D&amp;ust=1605639816089000&amp;usg=AFQjCNE3H1wGKUX7S90DuVrvHAx-IdUk4g" xr:uid="{DD6B6CFB-C979-4471-B652-A61E7A39E9FB}"/>
    <hyperlink ref="B518" r:id="rId917" display="https://www.google.com/url?q=https://szkopul.edu.pl/problemset/problem/M09kYLBv3P6homsLzx_fmpgn/site/&amp;sa=D&amp;ust=1605639816089000&amp;usg=AFQjCNEhKBR12PdHKlnW6Jy7GS2yHsxhbg" xr:uid="{C253AAAF-460C-4CAF-A588-C566C787D784}"/>
    <hyperlink ref="B519" r:id="rId918" display="https://www.google.com/url?q=https://oj.uz/problem/view/POI13_mul&amp;sa=D&amp;ust=1605639816089000&amp;usg=AFQjCNFia6RMlUS0AC2giCNgwZR0RbW34g" xr:uid="{8EB4FFC2-49F0-427B-8BB0-2A65A8E43DCC}"/>
    <hyperlink ref="B520" r:id="rId919" display="https://www.google.com/url?q=https://csacademy.com/contest/round-80/task/towns/&amp;sa=D&amp;ust=1605639816089000&amp;usg=AFQjCNFzwfs5QoG4bdW0WqiSUfw-9apKog" xr:uid="{CBDEDF3E-EB1B-4B45-8FF1-BB0112B06A92}"/>
    <hyperlink ref="B521" r:id="rId920" display="https://www.google.com/url?q=https://oj.uz/problem/view/APIO15_sculpture&amp;sa=D&amp;ust=1605639816090000&amp;usg=AFQjCNHN_j7TtkYWaoYUm3Q1rgn9k0j-mQ" xr:uid="{2D52FAA0-720C-4629-BFB4-EE4F28F33CEE}"/>
    <hyperlink ref="F521" r:id="rId921" display="https://www.google.com/url?q=https://github.com/mostafa-saad/MyCompetitiveProgramming/blob/master/Olympiad/APIO/APIO-15-sculpture.txt&amp;sa=D&amp;ust=1605639816090000&amp;usg=AFQjCNFZN_KnMTxbeqdiikJ2N-JXo_BrCg" xr:uid="{C9F1427E-18D2-4033-874D-F91355EE4ED0}"/>
    <hyperlink ref="B522" r:id="rId922" display="https://www.google.com/url?q=https://oj.uz/problems/source/60&amp;sa=D&amp;ust=1605639816090000&amp;usg=AFQjCNGupFfxtLd5Yarb0tbR-W1gYCxdmA" xr:uid="{21FDC94C-F58F-4CA5-9E36-FD7952FE1FA3}"/>
    <hyperlink ref="F522" r:id="rId923" display="https://www.google.com/url?q=https://github.com/mostafa-saad/MyCompetitiveProgramming/blob/master/Olympiad/CEOI/CEOI-13-board.txt&amp;sa=D&amp;ust=1605639816090000&amp;usg=AFQjCNGPD_LBWtfhH8BzrisC2yblgzffRg" xr:uid="{EF3F2270-7A6C-441F-8554-861CCE24728C}"/>
    <hyperlink ref="B523" r:id="rId924" display="https://www.google.com/url?q=https://oj.uz/problem/view/IOI08_teleporters&amp;sa=D&amp;ust=1605639816091000&amp;usg=AFQjCNFBq8lYNcHM73xXT6Lisw15-iF4Rw" xr:uid="{50EBF0F7-AE73-4B3C-9C68-3D76BAAC2199}"/>
    <hyperlink ref="F523" r:id="rId925" display="https://www.google.com/url?q=https://github.com/mostafa-saad/MyCompetitiveProgramming/blob/master/Olympiad/IOI/official/2008&amp;sa=D&amp;ust=1605639816091000&amp;usg=AFQjCNG4vuzTwhYWscKvpYjFB4a4PiglMA" xr:uid="{53651A99-9E8D-4E9F-9C83-2059714E461F}"/>
    <hyperlink ref="B524" r:id="rId926" display="https://www.google.com/url?q=https://szkopul.edu.pl/problemset/problem/z8Vva6nazo2Cy3CF67kT6IWe/site/&amp;sa=D&amp;ust=1605639816091000&amp;usg=AFQjCNEtlR2LCAM9dCAKrFQg2cqq46DNYw" xr:uid="{5F292AB3-DD30-4E23-B086-0A7C96CDE7A2}"/>
    <hyperlink ref="F524" r:id="rId927" display="https://www.google.com/url?q=https://github.com/mostafa-saad/MyCompetitiveProgramming/blob/master/Olympiad/POI/POI-16-Necklace.txt&amp;sa=D&amp;ust=1605639816091000&amp;usg=AFQjCNHWHvOcAa09Rxsgl8Bl6rtlJ7JGBg" xr:uid="{388C50D0-AEDC-4C48-B349-0B42DC9C1786}"/>
    <hyperlink ref="B525" r:id="rId928" display="https://www.google.com/url?q=https://csacademy.com/contest/junior-challenge-2017-day-1/task/palindromic-tree/&amp;sa=D&amp;ust=1605639816092000&amp;usg=AFQjCNGyhX-1MtrIsR6QZyvc4eyORF9yZg" xr:uid="{89558C76-8AB2-45AE-AE00-BC64F1DE883B}"/>
    <hyperlink ref="B526" r:id="rId929" display="https://www.google.com/url?q=https://oj.uz/problems/source/121&amp;sa=D&amp;ust=1605639816092000&amp;usg=AFQjCNHfPzjOOKw3x9ontL2kuAExhkqVug" xr:uid="{6D77CBE5-0456-46FC-BD7B-183B7C4FE57F}"/>
    <hyperlink ref="F526" r:id="rId930" display="https://www.google.com/url?q=https://github.com/tmwilliamlin168/CompetitiveProgramming/blob/master/CEOI/14-007.cpp&amp;sa=D&amp;ust=1605639816092000&amp;usg=AFQjCNHBmMzXzGW5GVqctLPrUGT1ojlemQ" xr:uid="{AB5F768F-25CB-469E-8B08-12239E3B6E80}"/>
    <hyperlink ref="B527" r:id="rId931" display="https://www.google.com/url?q=http://usaco.org/index.php?page%3Dviewproblem2%26cpid%3D514&amp;sa=D&amp;ust=1605639816092000&amp;usg=AFQjCNGgcr56f-0w-I02Bi_Ik1OOqrsZ8Q" xr:uid="{F9B58F90-3284-4218-8D6A-607D4C55BF75}"/>
    <hyperlink ref="B528" r:id="rId932" display="https://www.google.com/url?q=https://szkopul.edu.pl/problemset/problem/mjJWZowf-KgF_KX1Hi0bUDZN/site/&amp;sa=D&amp;ust=1605639816093000&amp;usg=AFQjCNGFtECsJrRGnWydNq7eYxnWzd0xxQ" xr:uid="{55364AF4-1B58-4877-A8C0-BAC6A03A9738}"/>
    <hyperlink ref="F528" r:id="rId933" display="https://www.google.com/url?q=https://github.com/mostafa-saad/MyCompetitiveProgramming/blob/master/Olympiad/POI/official/find_editorial_sols_guidelines.txt&amp;sa=D&amp;ust=1605639816093000&amp;usg=AFQjCNFBWOa9trTFRLPZlgDXgr85vgNGFA" xr:uid="{1145BB23-6075-4D56-A813-CFE8EC266327}"/>
    <hyperlink ref="B529" r:id="rId934" display="https://www.google.com/url?q=https://oj.uz/problem/view/IOI15_horses&amp;sa=D&amp;ust=1605639816093000&amp;usg=AFQjCNGQbkXxQyFbZIxW_r9VsDnbCYJfPQ" xr:uid="{ECB5499F-39A6-4666-9A2D-650E5D47C53F}"/>
    <hyperlink ref="F529" r:id="rId935" display="https://www.google.com/url?q=https://github.com/mostafa-saad/MyCompetitiveProgramming/blob/master/Olympiad/IOI/official/2015&amp;sa=D&amp;ust=1605639816094000&amp;usg=AFQjCNFZc0tHGiCDeu38ajc_fgy8BHn_-A" xr:uid="{E196FC06-4130-43E6-AD7A-02D95455A891}"/>
    <hyperlink ref="B530" r:id="rId936" display="https://www.google.com/url?q=https://oj.uz/problems/source/59&amp;sa=D&amp;ust=1605639816095000&amp;usg=AFQjCNH6e7s-5c4P9QFtcaRv_Y4u4V-y7Q" xr:uid="{07C0AEEB-0A7D-4936-A69C-409E41ED02B8}"/>
    <hyperlink ref="F530" r:id="rId937" display="https://www.google.com/url?q=https://github.com/tmwilliamlin168/CompetitiveProgramming/blob/master/CEOI/13-Tram.cpp&amp;sa=D&amp;ust=1605639816095000&amp;usg=AFQjCNHGOdZ3E0Ej1Pigr5VbRGnJRtT0dQ" xr:uid="{9B329050-6028-4CCB-BDAA-9DB7B776DD94}"/>
    <hyperlink ref="B531" r:id="rId938" display="https://www.google.com/url?q=https://www.infoarena.ro/problema/cover&amp;sa=D&amp;ust=1605639816095000&amp;usg=AFQjCNGtxEBUntbot3xvslmWWUSFVB8utA" xr:uid="{1F8B6C91-7145-4FF2-A42B-9E0722906C56}"/>
    <hyperlink ref="F531" r:id="rId939" display="https://www.google.com/url?q=https://github.com/stefdasca/CompetitiveProgramming/blob/master/Infoarena/cover.cpp&amp;sa=D&amp;ust=1605639816095000&amp;usg=AFQjCNFzoEgx7gDwsHTZUGqKAaXWU_THUg" xr:uid="{7AF5A208-B08D-4D18-8F9A-9BF74F778634}"/>
    <hyperlink ref="B532" r:id="rId940" display="https://www.google.com/url?q=http://usaco.org/index.php?page%3Dviewproblem2%26cpid%3D722&amp;sa=D&amp;ust=1605639816096000&amp;usg=AFQjCNGWhzeOwkE9TfWc4YOQfTGNG1cx3w" xr:uid="{8FF66A1D-0269-453A-8B27-3847BD134A96}"/>
    <hyperlink ref="B533" r:id="rId941" display="https://www.google.com/url?q=https://oj.uz/problem/view/COI14_kosta&amp;sa=D&amp;ust=1605639816096000&amp;usg=AFQjCNGE-QYxScCfSxOasqvScLExA4Bruw" xr:uid="{A2FF4FF9-D150-41A0-8375-3D3F886BFC42}"/>
    <hyperlink ref="F533" r:id="rId942" display="https://www.google.com/url?q=https://github.com/mostafa-saad/MyCompetitiveProgramming/tree/master/Olympiad/COI/official/2014&amp;sa=D&amp;ust=1605639816096000&amp;usg=AFQjCNGaX-MdGDswjOFvecm6xkWldYt6JA" xr:uid="{FA8CBE8C-C285-4739-9BF7-FF7387EC6CC2}"/>
    <hyperlink ref="B534" r:id="rId943" display="https://www.google.com/url?q=https://oj.uz/problem/view/COCI16_meksikanac&amp;sa=D&amp;ust=1605639816097000&amp;usg=AFQjCNGmyn-zwb_zHZc3VmsU4Cp_uUXwJw" xr:uid="{D9FA640B-CF05-496C-AC4C-5B08086F62AB}"/>
    <hyperlink ref="F534" r:id="rId944" display="https://www.google.com/url?q=https://github.com/mostafa-saad/MyCompetitiveProgramming/blob/master/Olympiad/COCI/official/2017/contest3_solutions&amp;sa=D&amp;ust=1605639816097000&amp;usg=AFQjCNFv6UzIdke8aABPEzs4cdhW_FJ3Mw" xr:uid="{7A7EE61E-1856-41A1-B504-766D1507B7FF}"/>
    <hyperlink ref="B535" r:id="rId945" display="https://www.google.com/url?q=https://oj.uz/problem/view/COI16_relay&amp;sa=D&amp;ust=1605639816097000&amp;usg=AFQjCNFCk3EsUVkls_aaNtTf4NAMnCFCjA" xr:uid="{D507CCAB-3409-4600-A708-B6B5641BF2D7}"/>
    <hyperlink ref="F535" r:id="rId946" display="https://www.google.com/url?q=https://github.com/mostafa-saad/MyCompetitiveProgramming/blob/master/Olympiad/COI/COI-16-relay.txt&amp;sa=D&amp;ust=1605639816097000&amp;usg=AFQjCNGO-ZjHXJ_5U9wHrkWVcLxs3w-qWA" xr:uid="{58888331-65FD-455F-8E75-129C7D8C4F86}"/>
    <hyperlink ref="B536" r:id="rId947" display="https://www.google.com/url?q=https://www.hackerrank.com/contests/boi-2016/challenges&amp;sa=D&amp;ust=1605639816098000&amp;usg=AFQjCNHid4Ely1Nf4XK5FyAGOeHOdX-QFg" xr:uid="{0D7EEDF4-76A8-4BCA-A51B-47CBBF1E25EF}"/>
    <hyperlink ref="F536" r:id="rId948" display="https://www.google.com/url?q=https://github.com/mostafa-saad/MyCompetitiveProgramming/tree/master/Olympiad/Balkan/official/2016&amp;sa=D&amp;ust=1605639816098000&amp;usg=AFQjCNHVcIU-42R6ZIY1DLxPq41swD8icA" xr:uid="{2B983E3F-556E-4E6C-A221-CC39801F18AB}"/>
    <hyperlink ref="B537" r:id="rId949" display="https://www.google.com/url?q=https://oj.uz/problem/view/COI15_sir&amp;sa=D&amp;ust=1605639816098000&amp;usg=AFQjCNFt2wcX6gnMSco61rDFhC-mxTJdjA" xr:uid="{0C9CF3C5-83DD-482E-99A2-B147DA53AF46}"/>
    <hyperlink ref="F537" r:id="rId950" display="https://www.google.com/url?q=https://github.com/mostafa-saad/MyCompetitiveProgramming/tree/master/Olympiad/COI/official/2015&amp;sa=D&amp;ust=1605639816098000&amp;usg=AFQjCNG9dn9vYfee8Mnx2lfEqYvSkUSQsA" xr:uid="{277476E6-9574-434D-ACAB-131DF0215D21}"/>
    <hyperlink ref="B538" r:id="rId951" display="https://www.google.com/url?q=https://csacademy.com/contest/ejoi-2017-day-1/task/particles/&amp;sa=D&amp;ust=1605639816099000&amp;usg=AFQjCNEC5kvsBhYRcd1B-QJhXNuExcYNaw" xr:uid="{5938CAB0-B831-4E39-9B80-7EA2B5A0ACCC}"/>
    <hyperlink ref="B539" r:id="rId952" display="https://www.google.com/url?q=https://oj.uz/problem/view/JOI17_amusement_park&amp;sa=D&amp;ust=1605639816099000&amp;usg=AFQjCNHsius5EWFuSHW-EMvj3bJk8Hxrrg" xr:uid="{11897082-5486-4F98-9A2D-B3579C29AC5B}"/>
    <hyperlink ref="F539" r:id="rId953" display="https://www.google.com/url?q=https://github.com/mostafa-saad/MyCompetitiveProgramming/blob/master/Olympiad/JOI/JOIOC-17-amusementPark.txt&amp;sa=D&amp;ust=1605639816099000&amp;usg=AFQjCNGt_iDfizbcTimaMBGzf__3om218w" xr:uid="{887AA960-09AA-4979-A0EC-6B209FA10698}"/>
    <hyperlink ref="B540" r:id="rId954" display="https://www.google.com/url?q=https://szkopul.edu.pl/problemset/problem/YXgT8J1eHCc3h8z5RW69thmy/site/?key%3Dstatement&amp;sa=D&amp;ust=1605639816099000&amp;usg=AFQjCNFu-lf98RkZlF3mMeEvhJLtN0J22g" xr:uid="{8D03C787-F075-4C64-8739-34D3B532D2F1}"/>
    <hyperlink ref="F540" r:id="rId955" display="https://www.google.com/url?q=https://github.com/mostafa-saad/MyCompetitiveProgramming/blob/master/Olympiad/POI/official/find_editorial_sols_guidelines.txt&amp;sa=D&amp;ust=1605639816100000&amp;usg=AFQjCNHp3DxapBn_iF9ttcAPUeq33Z2DFg" xr:uid="{CFA5753E-6E92-4EA8-8479-4D6A4737B148}"/>
    <hyperlink ref="B541" r:id="rId956" display="https://www.google.com/url?q=https://oj.uz/problem/view/JOI20_ho_t4&amp;sa=D&amp;ust=1605639816100000&amp;usg=AFQjCNG4krnKdHOPxhADcCxJ2Fi99_7Eow" xr:uid="{3D04D5DC-B264-4F9E-A61F-C388BED01834}"/>
    <hyperlink ref="F541" r:id="rId957" display="https://www.google.com/url?q=https://github.com/mostafa-saad/MyCompetitiveProgramming/tree/master/Olympiad/JOI/official/JOI/2020&amp;sa=D&amp;ust=1605639816100000&amp;usg=AFQjCNEMu3j2G9Jtc4IOf1kSSj_JpQBdBw" xr:uid="{F700AF39-FDCD-4D8B-A2C5-B4BBF73A4E33}"/>
    <hyperlink ref="B542" r:id="rId958" display="https://www.google.com/url?q=https://joi2014ho.contest.atcoder.jp/tasks/joi2014ho4&amp;sa=D&amp;ust=1605639816100000&amp;usg=AFQjCNE5VJdffMfY6CrF9IOzJpPAGqzL3w" xr:uid="{7D352EC6-C6ED-43B1-9832-0D4F66BDF310}"/>
    <hyperlink ref="B543" r:id="rId959" display="https://www.google.com/url?q=http://www.usaco.org/index.php?page%3Dviewproblem2%26cpid%3D996&amp;sa=D&amp;ust=1605639816101000&amp;usg=AFQjCNG9MH69UrIBpUYow-wZTH1jkOHMUg" xr:uid="{A8A28815-5EC3-42D8-9DDC-6D5EAC8D0A7B}"/>
    <hyperlink ref="B544" r:id="rId960" display="https://www.google.com/url?q=https://joisc2013-day1.contest.atcoder.jp/tasks/joisc2013_communication&amp;sa=D&amp;ust=1605639816101000&amp;usg=AFQjCNEEMPy_LtGhzrn2NhIRiAu4SYM9zQ" xr:uid="{5FFADDC3-7A95-4B24-B74E-93653D20AB29}"/>
    <hyperlink ref="B545" r:id="rId961" display="https://www.google.com/url?q=https://oj.uz/problem/view/POI11_smi&amp;sa=D&amp;ust=1605639816102000&amp;usg=AFQjCNGjHlDk7bi9fc7VaXAi27miQxpW_Q" xr:uid="{8DF2A94D-06D7-4D74-B564-D6C3C9467CF9}"/>
    <hyperlink ref="F545" r:id="rId962" display="https://www.google.com/url?q=https://github.com/nikolapesic2802/Programming-Practice/blob/master/Garbage/main.cpp&amp;sa=D&amp;ust=1605639816102000&amp;usg=AFQjCNH-KFaTHc3brVl3UfhmxzEz6YD59w" xr:uid="{BB64A91E-F60D-4E0A-9240-B4ACAB3DBBCA}"/>
    <hyperlink ref="B546" r:id="rId963" display="https://www.google.com/url?q=https://tioj.ck.tp.edu.tw/problems/1744&amp;sa=D&amp;ust=1605639816102000&amp;usg=AFQjCNGoY69v7VcJjbwlgchmue6p1orNaA" xr:uid="{0E7342C5-4A38-4791-8B53-E32F9CB6607D}"/>
    <hyperlink ref="F546" r:id="rId964" display="https://www.google.com/url?q=https://github.com/goar5670/CompetitiveProgramming/blob/master/APIO%252009-ATM.cpp&amp;sa=D&amp;ust=1605639816102000&amp;usg=AFQjCNH-HKzetV7dK8qwvLCt8sEDO2tq0w" xr:uid="{3B55AC2B-1645-43C3-A1A6-BE87EAD5714A}"/>
    <hyperlink ref="B547" r:id="rId965" display="https://www.google.com/url?q=https://dmoj.ca/problem/coci07c1p6&amp;sa=D&amp;ust=1605639816103000&amp;usg=AFQjCNHbAR9TxrB-V-pqASfTJsdNOslHPw" xr:uid="{06CE1BC0-6AD0-4072-A049-7D315546F9DD}"/>
    <hyperlink ref="F547" r:id="rId966" display="https://www.google.com/url?q=https://github.com/mostafa-saad/MyCompetitiveProgramming/blob/master/Olympiad/COCI/COCI-07-Staza.txt&amp;sa=D&amp;ust=1605639816104000&amp;usg=AFQjCNHUuaF4to5TkIBI1x9PMHjf4S68zA" xr:uid="{4FF98FFC-D524-4DE9-801C-C896953659C5}"/>
    <hyperlink ref="B548" r:id="rId967" display="https://www.google.com/url?q=http://usaco.org/index.php?page%3Dviewproblem2%26cpid%3D769&amp;sa=D&amp;ust=1605639816104000&amp;usg=AFQjCNEbqTcpfbjoMA0vmYZ0jFzBooqynQ" xr:uid="{DD59ABC7-373B-40C3-A2B2-7337AF0E759F}"/>
    <hyperlink ref="B549" r:id="rId968" display="https://www.google.com/url?q=https://infoarena.ro/problema/hacker2&amp;sa=D&amp;ust=1605639816105000&amp;usg=AFQjCNH9tKRNI3ZH2qnqnqtQ97fkW8qH6g" xr:uid="{30EFFC6C-8AC9-4B30-A5D0-6F2428C50188}"/>
    <hyperlink ref="F549" r:id="rId969" display="https://www.google.com/url?q=https://github.com/stefdasca/CompetitiveProgramming/blob/master/Infoarena/hacker2.cpp&amp;sa=D&amp;ust=1605639816105000&amp;usg=AFQjCNHZom4Dg_63u0CtTtMQnlzLNFEAEA" xr:uid="{3182B0A3-6C94-47F2-9323-6B2577105CD7}"/>
    <hyperlink ref="B550" r:id="rId970" display="https://www.google.com/url?q=https://oj.uz/problems/source/55&amp;sa=D&amp;ust=1605639816105000&amp;usg=AFQjCNH9YfujbXy9AdTYAN26Er3xVWdyrg" xr:uid="{036A3958-9B08-4F81-A0C4-C5AC16CD8B44}"/>
    <hyperlink ref="B551" r:id="rId971" display="https://www.google.com/url?q=https://oj.uz/problem/view/balkan11_trapezoid&amp;sa=D&amp;ust=1605639816106000&amp;usg=AFQjCNE_L61kyyUX4r6RUHjBPlDcGxD8yA" xr:uid="{8C7B8C2C-2095-479A-9E82-C3BB99219FFD}"/>
    <hyperlink ref="F551" r:id="rId972" display="https://www.google.com/url?q=https://github.com/mostafa-saad/MyCompetitiveProgramming/blob/master/Olympiad/Balkan/Balkan-11-Trapezoid.txt&amp;sa=D&amp;ust=1605639816106000&amp;usg=AFQjCNHMM0ixJEbm2-m3fFNllAT3nxJEYQ" xr:uid="{7A4C839F-F7CB-4E00-BF69-C3BBA61C5BEE}"/>
    <hyperlink ref="B552" r:id="rId973" display="https://www.google.com/url?q=https://www.infoarena.ro/problema/aiacubiti&amp;sa=D&amp;ust=1605639816106000&amp;usg=AFQjCNHfZg6jL0DHlVRVYQTPWERi82Xdbg" xr:uid="{62D5D5D8-E6EA-4C80-86F2-63BD0F8FCF39}"/>
    <hyperlink ref="F552" r:id="rId974" display="https://www.google.com/url?q=https://github.com/mostafa-saad/MyCompetitiveProgramming/blob/master/Olympiad/infoarena/infoarena-aiacubiti.txt&amp;sa=D&amp;ust=1605639816106000&amp;usg=AFQjCNHkSO6HQ4LZ8SGcL4RARu3Z48UKoQ" xr:uid="{A1DC79B4-E393-4815-94D4-3D807752C57C}"/>
    <hyperlink ref="B553" r:id="rId975" display="https://www.google.com/url?q=https://dmoj.ca/problem/coci15c4p5&amp;sa=D&amp;ust=1605639816107000&amp;usg=AFQjCNHRDboWiHkdF9Pn2GPn6wd8R-eaEw" xr:uid="{1E2BEEC6-3269-4725-BD48-C3853ABD92A1}"/>
    <hyperlink ref="F553" r:id="rId976" display="https://www.google.com/url?q=https://github.com/mostafa-saad/MyCompetitiveProgramming/blob/master/Olympiad/COCI/COCI-15-galaksija.txt&amp;sa=D&amp;ust=1605639816107000&amp;usg=AFQjCNHtLv5i0LCDCIgjRKvhV70hyDCdEQ" xr:uid="{311804AA-E628-4390-80CD-4525298BAEBD}"/>
    <hyperlink ref="B554" r:id="rId977" display="https://www.google.com/url?q=https://oj.uz/problem/view/NOI14_cats&amp;sa=D&amp;ust=1605639816107000&amp;usg=AFQjCNGYGwc9sJUGoybVHRrhtLoGtlXg_A" xr:uid="{94FB8780-B65C-4C8C-88D3-9691AE68B4E8}"/>
    <hyperlink ref="F554" r:id="rId978" display="https://www.google.com/url?q=https://github.com/mostafa-saad/MyCompetitiveProgramming/blob/master/Olympiad/NOI/NOI-14-cats.txt&amp;sa=D&amp;ust=1605639816107000&amp;usg=AFQjCNFpk4sSPB1hDK7SQROiMV9GoRkb-Q" xr:uid="{227DFDFF-22DC-464E-8D10-7D51FDC996A2}"/>
    <hyperlink ref="B555" r:id="rId979" display="https://www.google.com/url?q=https://csacademy.com/contest/ioi-2016-training-round-2/task/increasing_subarrays/&amp;sa=D&amp;ust=1605639816108000&amp;usg=AFQjCNG1jwWZKvtTUmtPo9YcXfdHgp2oWQ" xr:uid="{D87F5A4B-1575-4554-965B-80A7AC58D981}"/>
    <hyperlink ref="F555" r:id="rId980" display="https://www.google.com/url?q=https://github.com/mostafa-saad/MyCompetitiveProgramming/blob/master/Olympiad/IOI/IOIPractice-16-increasing_subarrays.txt&amp;sa=D&amp;ust=1605639816108000&amp;usg=AFQjCNEPvJaubX2730SrsxtW_WS9Te1ykQ" xr:uid="{DC8BC0A2-AAA3-436A-A754-897FE134688E}"/>
    <hyperlink ref="B556" r:id="rId981" display="https://www.google.com/url?q=https://www.infoarena.ro/problema/desc&amp;sa=D&amp;ust=1605639816108000&amp;usg=AFQjCNHh4q5DTC1Vd6xsdRyHtxz95E56Pg" xr:uid="{855B630E-812D-48AD-A5A0-B3661603627C}"/>
    <hyperlink ref="F556" r:id="rId982" display="https://www.google.com/url?q=https://github.com/mostafa-saad/MyCompetitiveProgramming/blob/master/Olympiad/infoarena/Infoarena_Desc.txt&amp;sa=D&amp;ust=1605639816108000&amp;usg=AFQjCNGJxphKBHVaWSx4Ompv-tFEyGDcjQ" xr:uid="{BDC1540B-C189-4336-9743-8379D38D32D8}"/>
    <hyperlink ref="B557" r:id="rId983" display="https://www.google.com/url?q=https://cses.fi/107/list/&amp;sa=D&amp;ust=1605639816109000&amp;usg=AFQjCNHo4RjvxEgaaNbhr-_ldeodQ5u3iQ" xr:uid="{5EC2B3B2-EA6A-4A33-88C6-98AFDB0E2BC7}"/>
    <hyperlink ref="F557" r:id="rId984" display="https://www.google.com/url?q=https://github.com/mostafa-saad/MyCompetitiveProgramming/blob/master/Olympiad/Baltic/Baltic-09-Subway.txt&amp;sa=D&amp;ust=1605639816109000&amp;usg=AFQjCNHwSTlPM5_oWUWmcGfchINeLzqRnw" xr:uid="{F8909C1C-6565-4568-AC1A-7D3E797BEED2}"/>
    <hyperlink ref="B558" r:id="rId985" display="https://www.google.com/url?q=https://oj.uz/problem/view/JOI19_naan&amp;sa=D&amp;ust=1605639816109000&amp;usg=AFQjCNG2ockQfTJ328NMKtbEJLpI8XXloA" xr:uid="{9B38CDBA-B5B1-48CD-A959-F98811D3F376}"/>
    <hyperlink ref="F558" r:id="rId986" display="https://www.google.com/url?q=https://github.com/mostafa-saad/MyCompetitiveProgramming/blob/master/Olympiad/JOI/JOISC-19-Naan.txt&amp;sa=D&amp;ust=1605639816109000&amp;usg=AFQjCNGBqHXIC9szCZpDYUs7ZSqcIkd4QQ" xr:uid="{8C172039-ECBD-4607-B6FB-6BF1F08AD9A1}"/>
    <hyperlink ref="B559" r:id="rId987" display="https://www.google.com/url?q=https://www.acmicpc.net/problem/7056&amp;sa=D&amp;ust=1605639816109000&amp;usg=AFQjCNFi7xXytkdAsRRV6VgdfGX2aMnEiQ" xr:uid="{DC09EBF9-7220-4635-84E5-6D2ED5BA7A35}"/>
    <hyperlink ref="F559" r:id="rId988" display="https://www.google.com/url?q=https://github.com/mostafa-saad/MyCompetitiveProgramming/blob/master/Olympiad/CEOI/CEOI-02-Fence.txt&amp;sa=D&amp;ust=1605639816110000&amp;usg=AFQjCNH0mWrZ_1NqcGnsxQL9Mjr8Nkz_Ow" xr:uid="{25C8ECEE-8715-44A4-BE0F-812250CB4360}"/>
    <hyperlink ref="B560" r:id="rId989" display="https://www.google.com/url?q=https://oj.uz/problem/view/JOI19_ho_t3&amp;sa=D&amp;ust=1605639816110000&amp;usg=AFQjCNFjHf_fsv-Tp90kNVon_h5txmB9fw" xr:uid="{3F97736A-6CB3-4CC4-B26B-D4BF6D9C97FA}"/>
    <hyperlink ref="F560" r:id="rId990" display="https://www.google.com/url?q=https://github.com/mostafa-saad/MyCompetitiveProgramming/blob/master/Olympiad/JOI/JOI-19-GrowingVegetable.txt&amp;sa=D&amp;ust=1605639816110000&amp;usg=AFQjCNEtRI0oOQr50kppinz5szI3JwpSHg" xr:uid="{F04C71BC-F8C8-48FF-BD80-7599F984D155}"/>
    <hyperlink ref="B561" r:id="rId991" display="https://www.google.com/url?q=https://po.kattis.com/problems/kattis/no&amp;sa=D&amp;ust=1605639816110000&amp;usg=AFQjCNGbFAAyPY0zaD0K8Q2fVAAy1kNC9Q" xr:uid="{B49A1CA8-CE98-495F-8234-14ED2A55044D}"/>
    <hyperlink ref="F561" r:id="rId992" display="https://www.google.com/url?q=https://github.com/guskal01/CompetitiveProgramming/blob/master/Kattis/PO-Kattis.cpp&amp;sa=D&amp;ust=1605639816111000&amp;usg=AFQjCNGOA00KDodE4MNnvSTkywRNiouJEQ" xr:uid="{C0AA860F-7821-42B7-837B-FE6825B3C8CB}"/>
    <hyperlink ref="B562" r:id="rId993" display="https://www.google.com/url?q=https://szkopul.edu.pl/problemset/problem/vvd6w7n7EXFVEg3nkqGxEirV/site/?key%3Dstatement&amp;sa=D&amp;ust=1605639816111000&amp;usg=AFQjCNEITRQOVpMdBOYlXFGRAfSb69gKIw" xr:uid="{F3CF7BDE-FBCF-4923-BB95-270305390C6C}"/>
    <hyperlink ref="F562" r:id="rId994" display="https://www.google.com/url?q=https://github.com/mostafa-saad/MyCompetitiveProgramming/blob/master/Olympiad/POI/POI-18-Plan_Metra.txt&amp;sa=D&amp;ust=1605639816111000&amp;usg=AFQjCNEWT9vU57c8y3dG22Sel_XTcM177A" xr:uid="{245119E0-9748-4783-B958-2A623025D41A}"/>
    <hyperlink ref="B563" r:id="rId995" display="https://www.google.com/url?q=http://usaco.org/index.php?page%3Dviewproblem2%26cpid%3D842&amp;sa=D&amp;ust=1605639816111000&amp;usg=AFQjCNEIam3m-WZ7kTL4IohD9Wb85JYlGA" xr:uid="{8EE5AF0A-862F-4748-AC44-3F2DC3A541CA}"/>
    <hyperlink ref="F563" r:id="rId996" display="https://www.google.com/url?q=https://github.com/luciocf/OI-Problems/blob/master/USACO/USACO%25202017-2018/Plat/US%2520Open/disrupt.cpp&amp;sa=D&amp;ust=1605639816112000&amp;usg=AFQjCNGT0QFKV7hCFy6rzRTlF8YZIyI5-g" xr:uid="{EB53F777-C05D-408B-A3A2-BA9FC6F9658D}"/>
    <hyperlink ref="B564" r:id="rId997" display="https://www.google.com/url?q=https://oj.uz/problems/source/307&amp;sa=D&amp;ust=1605639816112000&amp;usg=AFQjCNFpFMhyDvH7-R2eCk3rjHQsWFDANw" xr:uid="{EBDE414D-6C40-4116-97FD-41DB9510A9C2}"/>
    <hyperlink ref="F564" r:id="rId998" display="https://www.google.com/url?q=https://github.com/mostafa-saad/MyCompetitiveProgramming/blob/master/Olympiad/JOI/JOI-18-commuterpass.txt&amp;sa=D&amp;ust=1605639816114000&amp;usg=AFQjCNEYAqMwlI9WX-3SqKeWjimlCzWDEA" xr:uid="{DCFAEA46-43BA-4381-BEB5-9C75117422C4}"/>
    <hyperlink ref="B565" r:id="rId999" display="https://www.google.com/url?q=https://szkopul.edu.pl/problemset/problem/9TaxfuNdAv2FPpQ6PeB-vlti/site/&amp;sa=D&amp;ust=1605639816114000&amp;usg=AFQjCNE_zYkOYe8PM9ssWi2mQyNrYAiTsg" xr:uid="{BF2BBF1E-0DC0-45EA-B54E-0D981A6F1758}"/>
    <hyperlink ref="F565" r:id="rId1000" display="https://www.google.com/url?q=https://github.com/mostafa-saad/MyCompetitiveProgramming/blob/master/Olympiad/POI/POI-16-Streets.txt&amp;sa=D&amp;ust=1605639816114000&amp;usg=AFQjCNGil4IW6OHuJekL1NMBe6XKptpuew" xr:uid="{E50E4B7B-218F-4ACC-AE8A-99D8C77A1ED0}"/>
    <hyperlink ref="B566" r:id="rId1001" display="https://www.google.com/url?q=https://oj.uz/problem/view/IOI09_regions&amp;sa=D&amp;ust=1605639816115000&amp;usg=AFQjCNHDI5cAA5drvb1Ya50BG3G5ZcB75g" xr:uid="{E514A896-E5B1-4268-98F8-6CE9EC8E5AB6}"/>
    <hyperlink ref="F566" r:id="rId1002" display="https://www.google.com/url?q=https://github.com/mostafa-saad/MyCompetitiveProgramming/blob/master/Olympiad/IOI/IOI-09-regions.txt&amp;sa=D&amp;ust=1605639816115000&amp;usg=AFQjCNF7xwB9bYj2IOSsN2l7b_8ftFiClw" xr:uid="{37271C8E-07C9-4AAC-A535-791C0BFEB917}"/>
    <hyperlink ref="B567" r:id="rId1003" display="https://www.google.com/url?q=https://www.acmicpc.net/problem/7058&amp;sa=D&amp;ust=1605639816115000&amp;usg=AFQjCNEptjpf7F92JbYvfT9AdsWZK2zdVw" xr:uid="{24234C89-4266-4366-B61A-E194E589D41C}"/>
    <hyperlink ref="F567" r:id="rId1004" display="https://www.google.com/url?q=https://github.com/mostafa-saad/MyCompetitiveProgramming/blob/master/Olympiad/CEOI/CEOI-02-Guards.txt&amp;sa=D&amp;ust=1605639816115000&amp;usg=AFQjCNEsL8ur_TkAoeV0Z4Q96MyhhLAgMA" xr:uid="{5126BD06-E50E-4A08-B2D9-6173C9D6B068}"/>
    <hyperlink ref="B568" r:id="rId1005" display="https://www.google.com/url?q=https://oj.uz/problem/view/CEOI17_museum&amp;sa=D&amp;ust=1605639816116000&amp;usg=AFQjCNG38PaqOZr3NXmOIqB7HVBRYzgB2Q" xr:uid="{5431D325-6C7C-4891-BD73-4EC65FAB16CE}"/>
    <hyperlink ref="F568" r:id="rId1006" display="https://www.google.com/url?q=https://github.com/mostafa-saad/MyCompetitiveProgramming/blob/master/Olympiad/CEOI/CEOIPractice_17-Museum.txt&amp;sa=D&amp;ust=1605639816116000&amp;usg=AFQjCNGIIoZisekMF4lGxbEJ0PxLfGkZ1w" xr:uid="{C8D73F87-F7A1-4EC0-8CE3-4859E556DCC3}"/>
    <hyperlink ref="B569" r:id="rId1007" display="https://www.google.com/url?q=https://oj.uz/problems/source/307&amp;sa=D&amp;ust=1605639816116000&amp;usg=AFQjCNHao78sK98nSKLJQpExz5TO0KrT_Q" xr:uid="{53DA7693-4834-4C0C-B9D9-15584D3FEC89}"/>
    <hyperlink ref="F569" r:id="rId1008" display="https://www.google.com/url?q=https://github.com/mostafa-saad/MyCompetitiveProgramming/blob/master/Olympiad/JOI/JOI-18-Dangomaker.txt&amp;sa=D&amp;ust=1605639816116000&amp;usg=AFQjCNFzgyKLqBnnBlVUTRql1YtexW2kdg" xr:uid="{85B44D56-287A-4111-B5C0-C8771F71A958}"/>
    <hyperlink ref="B570" r:id="rId1009" display="https://www.google.com/url?q=https://oj.uz/problem/view/COCI19_transport&amp;sa=D&amp;ust=1605639816116000&amp;usg=AFQjCNEXewocP5LQyTbCfi7OlV68VLLjJg" xr:uid="{E50ACB80-ECF6-4EB0-B47D-307F4C8AE555}"/>
    <hyperlink ref="F570" r:id="rId1010" display="https://www.google.com/url?q=https://github.com/mostafa-saad/MyCompetitiveProgramming/blob/master/Olympiad/COCI/COCI-19-transport.txt&amp;sa=D&amp;ust=1605639816117000&amp;usg=AFQjCNGISW40fC-tv6kKA-ZBtu_HPUmHeQ" xr:uid="{1629C6ED-8D6F-4CA9-98F2-F0AA30CA591F}"/>
    <hyperlink ref="B571" r:id="rId1011" display="https://www.google.com/url?q=https://szkopul.edu.pl/problemset/problem/YPme8cPuC1zbS3oA0euLxywx/site/&amp;sa=D&amp;ust=1605639816117000&amp;usg=AFQjCNEap5iD6iAPUbVNUJRnHHpOCUyacw" xr:uid="{F1A35708-2F74-4351-BC39-293C390B7CF4}"/>
    <hyperlink ref="F571" r:id="rId1012" display="https://www.google.com/url?q=https://github.com/dolphingarlic/CompetitiveProgramming/blob/master/POI/POI-11-Lollipop.txt&amp;sa=D&amp;ust=1605639816117000&amp;usg=AFQjCNECSoGvAuNeTO85EX4mcLcGw6KONQ" xr:uid="{1D3EEBA7-5033-4B66-A97A-DA53CABAE105}"/>
    <hyperlink ref="B572" r:id="rId1013" display="https://www.google.com/url?q=https://oj.uz/problem/view/COCI18_planinarenje&amp;sa=D&amp;ust=1605639816117000&amp;usg=AFQjCNHLLpYkA6gs6nWAlN0pqg8veKAUAQ" xr:uid="{7F420E96-F965-4870-A957-66AA09C31837}"/>
    <hyperlink ref="F572" r:id="rId1014" display="https://www.google.com/url?q=http://blog.brucemerry.org.za/2018/01/coci-20172018-r5-analysis.html&amp;sa=D&amp;ust=1605639816117000&amp;usg=AFQjCNEoZX1BkWEwBdtI-jpj0EgFLm1gbA" xr:uid="{88D83648-58A7-41BC-9D9A-D2F4E0AC0516}"/>
    <hyperlink ref="B573" r:id="rId1015" display="https://www.google.com/url?q=https://wcipeg.com/problem/coi07p2&amp;sa=D&amp;ust=1605639816164000&amp;usg=AFQjCNEdATjHrWr_3VzwkDYYWgs3N8cUPA" xr:uid="{96106B64-D098-4ADE-A6A5-0A4BB324D591}"/>
    <hyperlink ref="F573" r:id="rId1016" display="https://www.google.com/url?q=https://github.com/mostafa-saad/MyCompetitiveProgramming/blob/master/Olympiad/COI/COI_07-Kolekcija.txt&amp;sa=D&amp;ust=1605639816164000&amp;usg=AFQjCNFDJOr-bd7Cs0EaNwmv-zq2w2QY_w" xr:uid="{60A02307-0448-4366-A84A-F731D00FB0DA}"/>
    <hyperlink ref="B574" r:id="rId1017" display="https://www.google.com/url?q=https://www.spoj.com/problems/ZOO/&amp;sa=D&amp;ust=1605639816165000&amp;usg=AFQjCNEj2VXVvRJ5IBBbEJCEcz9tJnxwTA" xr:uid="{843C0FFB-B044-4D08-A07F-A9B8B20ABE3D}"/>
    <hyperlink ref="F574" r:id="rId1018" display="https://www.google.com/url?q=https://github.com/mostafa-saad/MyCompetitiveProgramming/blob/master/Olympiad/APIO/APIO-07-Zoo.txt&amp;sa=D&amp;ust=1605639816165000&amp;usg=AFQjCNHlzYkt-rxD9S6XMKYm6KS-VMVsHw" xr:uid="{AD27EBC3-AF2C-4943-8644-993E99CBC7CB}"/>
    <hyperlink ref="B575" r:id="rId1019" display="https://www.google.com/url?q=https://szkopul.edu.pl/problemset/problem/rfG3gSJfUHoOk3t6379xduHr/site/&amp;sa=D&amp;ust=1605639816165000&amp;usg=AFQjCNGEzZZKpGI-HxjqRgLAtouVpNK5tw" xr:uid="{32ECD744-A1D5-4556-A2DA-0A581AB807C2}"/>
    <hyperlink ref="F575" r:id="rId1020" display="https://www.google.com/url?q=https://github.com/mostafa-saad/MyCompetitiveProgramming/blob/master/Olympiad/POI/POI-14-Panels.txt&amp;sa=D&amp;ust=1605639816166000&amp;usg=AFQjCNE9360Sdli_LGM7Fkx76DkmvCUgWQ" xr:uid="{0DE05FD5-0B45-409C-9969-2FCA8485638E}"/>
    <hyperlink ref="B576" r:id="rId1021" display="https://www.google.com/url?q=https://dmoj.ca/problem/dmopc18c3p4&amp;sa=D&amp;ust=1605639816166000&amp;usg=AFQjCNFv4ZFeYIpJCMk8DU0R19dZG9e6eA" xr:uid="{FEC320E0-DC86-41E8-9D0E-40CEAF269BAA}"/>
    <hyperlink ref="F576" r:id="rId1022" display="https://www.google.com/url?q=https://github.com/mostafa-saad/MyCompetitiveProgramming/blob/master/Olympiad/Misc/DMOPC-18-BobEnglishClass.txt&amp;sa=D&amp;ust=1605639816166000&amp;usg=AFQjCNHe7ZkUBuIBQ5M9xrqejRcGbpHBMg" xr:uid="{CB94AF4E-8F7F-459D-A6F9-AEA5756C5E3F}"/>
    <hyperlink ref="B577" r:id="rId1023" display="https://www.google.com/url?q=https://oj.uz/problem/view/COI14_krave&amp;sa=D&amp;ust=1605639816166000&amp;usg=AFQjCNGUmamsLK0pEdjkZj7b529mlb9tIw" xr:uid="{55D072F2-6365-4242-AA48-BBA58ED9A241}"/>
    <hyperlink ref="F577" r:id="rId1024" display="https://www.google.com/url?q=https://github.com/mostafa-saad/MyCompetitiveProgramming/blob/master/Olympiad/COI/COI-14-krave.txt&amp;sa=D&amp;ust=1605639816166000&amp;usg=AFQjCNGQ9gKbgCxHknWLtL1QbM9LdonuMA" xr:uid="{3D145E01-4C5B-4026-97CA-EDE8CDA516C3}"/>
    <hyperlink ref="B578" r:id="rId1025" display="https://www.google.com/url?q=https://oj.uz/problems/source/121&amp;sa=D&amp;ust=1605639816167000&amp;usg=AFQjCNFQW7kYOZ_H7_P_6_qPifuwd-TSGA" xr:uid="{666348BD-BB52-47EB-BE1C-A9E1C9049C93}"/>
    <hyperlink ref="F578" r:id="rId1026" display="https://www.google.com/url?q=https://github.com/stefdasca/CompetitiveProgramming/blob/master/CEOI/CEOI%252014-cake.cpp&amp;sa=D&amp;ust=1605639816167000&amp;usg=AFQjCNEuIGJUbi80Qz0Tz2gRt8wXkmdO5g" xr:uid="{495EB3E2-FA44-49E8-9848-1A7B27508F20}"/>
    <hyperlink ref="B579" r:id="rId1027" display="https://www.google.com/url?q=https://dmoj.ca/problem/coci07c6p6&amp;sa=D&amp;ust=1605639816170000&amp;usg=AFQjCNFRxrou5V0DHAxIeg5wR_i5GFToZw" xr:uid="{88E63F18-0FAC-4F42-8311-6F5894A03207}"/>
    <hyperlink ref="F579" r:id="rId1028" display="https://www.google.com/url?q=https://github.com/mostafa-saad/MyCompetitiveProgramming/blob/master/Olympiad/COCI/COCI-07-Cestarine.txt&amp;sa=D&amp;ust=1605639816171000&amp;usg=AFQjCNFrt5wHxblfCFMwfe-zwNCYI_Bgvg" xr:uid="{076DC29A-38BC-4DC5-BEB2-7A1748D228E4}"/>
    <hyperlink ref="B580" r:id="rId1029" display="https://www.google.com/url?q=https://szkopul.edu.pl/problemset/problem/lo_jOsVfQ4ajCSHxFGZS27W-/site/?key%3Dstatement&amp;sa=D&amp;ust=1605639816171000&amp;usg=AFQjCNFK2H97Dj1Z4AiJu-NCkiUFUFEMRQ" xr:uid="{66A74A53-ABEE-4929-8521-FFDC884A7606}"/>
    <hyperlink ref="F580" r:id="rId1030" display="https://www.google.com/url?q=https://github.com/mostafa-saad/MyCompetitiveProgramming/blob/master/Olympiad/POI/POI-12-Squarks.txt&amp;sa=D&amp;ust=1605639816171000&amp;usg=AFQjCNFMMLcj7sMPKY-D1BphBGivCHXSWA" xr:uid="{2253426E-D076-4FEB-8662-4AFC3C001C25}"/>
    <hyperlink ref="B581" r:id="rId1031" display="https://www.google.com/url?q=https://szkopul.edu.pl/problemset/problem/xfpVU8vFP2RzZ0hrqWq9kTZM/site/&amp;sa=D&amp;ust=1605639816173000&amp;usg=AFQjCNHlte1VmxC_v84grHtfNS-9HwU9kg" xr:uid="{E20E7376-7CBC-4435-9EF4-C57686A45711}"/>
    <hyperlink ref="F581" r:id="rId1032" display="https://www.google.com/url?q=https://github.com/mostafa-saad/MyCompetitiveProgramming/blob/master/Olympiad/POI/POI-14-Little_Bird.txt&amp;sa=D&amp;ust=1605639816173000&amp;usg=AFQjCNG82vVd2rY_7Biv1rigEhI6MvKMDA" xr:uid="{A5FB4891-73C8-4204-8AF7-06D287DCB900}"/>
    <hyperlink ref="B582" r:id="rId1033" display="https://www.google.com/url?q=https://oj.uz/problem/view/BOI15_hac&amp;sa=D&amp;ust=1605639816173000&amp;usg=AFQjCNHm_vZ9DotZwDCcDA07KpBW6NCgxA" xr:uid="{72DD5917-E583-4B73-9F37-762C1C9C7114}"/>
    <hyperlink ref="F582" r:id="rId1034" display="https://www.google.com/url?q=https://github.com/mostafa-saad/MyCompetitiveProgramming/blob/master/Olympiad/Baltic/Baltic-15-hac.txt&amp;sa=D&amp;ust=1605639816174000&amp;usg=AFQjCNH16Y8pMbatWcq5zCPV3c4eFZ8sTQ" xr:uid="{C95C3868-2921-45A1-927C-87011A84ADE6}"/>
    <hyperlink ref="B583" r:id="rId1035" display="https://www.google.com/url?q=https://oj.uz/problem/view/COCI16_mag&amp;sa=D&amp;ust=1605639816174000&amp;usg=AFQjCNG4GbYl3trRo1-COmQaGZ-3EfB8Cg" xr:uid="{810145F6-F877-4043-84E2-384A84CEEB46}"/>
    <hyperlink ref="F583" r:id="rId1036" display="https://www.google.com/url?q=https://github.com/mostafa-saad/MyCompetitiveProgramming/blob/master/Olympiad/COCI/COCI-16-mag.txt&amp;sa=D&amp;ust=1605639816174000&amp;usg=AFQjCNGBYFiTZjyRkO-GgtbLK9KYIN-BNw" xr:uid="{3E0221F6-5F02-474E-84C0-007FAB846999}"/>
    <hyperlink ref="B584" r:id="rId1037" display="https://www.google.com/url?q=https://szkopul.edu.pl/problemset/problem/KiL8P3oSgImWGI5GT4QMCQpO/site/&amp;sa=D&amp;ust=1605639816175000&amp;usg=AFQjCNHSp3xOrFgoIEOecvyGrQHdpQxBYA" xr:uid="{BB7681A8-386B-4E43-B0C7-A24D390490F3}"/>
    <hyperlink ref="F584" r:id="rId1038" display="https://www.google.com/url?q=https://github.com/mostafa-saad/MyCompetitiveProgramming/blob/master/Olympiad/POI/POI-04-East_West.txt&amp;sa=D&amp;ust=1605639816175000&amp;usg=AFQjCNFU2uaZNGGsVKTg8hWyqITfhdWxFw" xr:uid="{96564990-83AB-4A15-92AD-A43C5BDEBD69}"/>
    <hyperlink ref="B585" r:id="rId1039" display="https://www.google.com/url?q=https://oj.uz/problem/view/IOI11_garden&amp;sa=D&amp;ust=1605639816175000&amp;usg=AFQjCNHvG6NcEsmPL-tg5TCK4cQnOPYuOQ" xr:uid="{55A3FE20-386A-4FDF-BB54-A621676A1F36}"/>
    <hyperlink ref="F585" r:id="rId1040" display="https://www.google.com/url?q=https://github.com/mostafa-saad/MyCompetitiveProgramming/blob/master/Olympiad/IOI/IOI-11-garden.txt&amp;sa=D&amp;ust=1605639816176000&amp;usg=AFQjCNETnrTXe5Rx2waCGGzgk-33xQyOFA" xr:uid="{5F41CDCE-7728-416E-AFF6-9934AECC5A55}"/>
    <hyperlink ref="B586" r:id="rId1041" display="https://www.google.com/url?q=https://oj.uz/problem/view/COCI17_ceste&amp;sa=D&amp;ust=1605639816176000&amp;usg=AFQjCNFFdiU3-rwoqulsa1fnA20_RV-HFg" xr:uid="{3579A030-C396-46B2-B067-6392818C8E80}"/>
    <hyperlink ref="F586" r:id="rId1042" display="https://www.google.com/url?q=https://github.com/MohamedAhmed04/Competitive-programming/blob/master/COCI/COCI%252017-Ceste.cpp&amp;sa=D&amp;ust=1605639816176000&amp;usg=AFQjCNFP3sX2RqXkpdIjeQi2H06MAQOh6w" xr:uid="{E5F22D20-454D-42E4-9EDE-2395EC7CDB06}"/>
    <hyperlink ref="B587" r:id="rId1043" display="https://www.google.com/url?q=https://cses.fi/98/list/&amp;sa=D&amp;ust=1605639816177000&amp;usg=AFQjCNFIybyS5KoXzFFacvktyKIHXHF2pA" xr:uid="{778D682F-FDD3-497C-A5AE-29E3518FFC28}"/>
    <hyperlink ref="F587" r:id="rId1044" display="https://www.google.com/url?q=https://github.com/mostafa-saad/MyCompetitiveProgramming/blob/master/Olympiad/Baltic/Baltic-12-Peaks.txt&amp;sa=D&amp;ust=1605639816177000&amp;usg=AFQjCNHN3wDMSmoaz-CBFvKNeC3-5y8wKQ" xr:uid="{990841F6-9365-436B-BC95-89684855EAFB}"/>
    <hyperlink ref="B588" r:id="rId1045" display="https://www.google.com/url?q=https://oj.uz/problem/view/BOI19_valley&amp;sa=D&amp;ust=1605639816177000&amp;usg=AFQjCNGOxf-jRp5KhdQQeqx20Xux60Z9ig" xr:uid="{A9405638-D44B-46FB-9957-2126AD436DF9}"/>
    <hyperlink ref="F588" r:id="rId1046" display="https://www.google.com/url?q=https://github.com/mostafa-saad/MyCompetitiveProgramming/blob/master/Olympiad/Baltic/Baltic-19-valley.txt&amp;sa=D&amp;ust=1605639816177000&amp;usg=AFQjCNFa1aV1M2fKL4NRnUV9It5LPf6qTA" xr:uid="{FDB99CD3-88C8-4613-BEF4-3742A25F196B}"/>
    <hyperlink ref="B589" r:id="rId1047" display="https://www.google.com/url?q=https://dunjudge.me/analysis/problems/573/&amp;sa=D&amp;ust=1605639816178000&amp;usg=AFQjCNEcpb3lnj9QvXJSFF1zRaXGzF3UlQ" xr:uid="{1DA9A963-D33F-4E52-9945-A3EF0C91C99C}"/>
    <hyperlink ref="F589" r:id="rId1048" display="https://www.google.com/url?q=https://github.com/mostafa-saad/MyCompetitiveProgramming/blob/master/Olympiad/Balkan/Balkan-11-decrypt.txt&amp;sa=D&amp;ust=1605639816178000&amp;usg=AFQjCNFvFUznrNmTYSNrRO-RUEVIC9gCRg" xr:uid="{B43BFFE7-2F7A-4F33-8721-2C575BFBC4BE}"/>
    <hyperlink ref="B590" r:id="rId1049" display="https://www.google.com/url?q=https://dmoj.ca/problem/coci08c4p5&amp;sa=D&amp;ust=1605639816179000&amp;usg=AFQjCNGaNS3JXXcutxC_QuCgFCD4rh3tyQ" xr:uid="{A179F306-842B-4F35-A52C-47F7AF87767B}"/>
    <hyperlink ref="F590" r:id="rId1050" display="https://www.google.com/url?q=https://github.com/mostafa-saad/MyCompetitiveProgramming/blob/master/Olympiad/COCI/COCI-08-Trezor.txt&amp;sa=D&amp;ust=1605639816179000&amp;usg=AFQjCNG-MYlb74syGhRsKMMGHIEyc0v30Q" xr:uid="{B8AAA937-7D0F-4B68-8FBC-A2733FE878CE}"/>
    <hyperlink ref="B591" r:id="rId1051" display="https://www.google.com/url?q=https://www.infoarena.ro/problema/password2&amp;sa=D&amp;ust=1605639816179000&amp;usg=AFQjCNHFMFZFPTmsHNfq7ilaYX4FhBG7cg" xr:uid="{1C496358-1742-4EBD-83B1-2B8D75B8642C}"/>
    <hyperlink ref="F591" r:id="rId1052" display="https://www.google.com/url?q=https://github.com/mostafa-saad/MyCompetitiveProgramming/blob/master/Olympiad/infoarena/infoarena-password2.txt&amp;sa=D&amp;ust=1605639816179000&amp;usg=AFQjCNHi0uY5Vnl8m7hms46uTOBogx-uCA" xr:uid="{C9E7A899-54C1-4939-82B8-B9D5F3999B91}"/>
    <hyperlink ref="B592" r:id="rId1053" display="https://www.google.com/url?q=https://oj.uz/problem/view/COI16_torrent&amp;sa=D&amp;ust=1605639816180000&amp;usg=AFQjCNE3Ul8MhGPa3T4H_fUrgE_CoU2wrw" xr:uid="{6F573F66-E78C-420B-A782-91B31D3DE06F}"/>
    <hyperlink ref="F592" r:id="rId1054" display="https://www.google.com/url?q=https://github.com/mostafa-saad/MyCompetitiveProgramming/blob/master/Olympiad/COI/COI-16-torrent.txt&amp;sa=D&amp;ust=1605639816180000&amp;usg=AFQjCNGCYiDXXBRc2tS2MCyBL1cq6_Bm1g" xr:uid="{A524C6B0-95F5-4574-B11A-15355172BB29}"/>
    <hyperlink ref="B593" r:id="rId1055" display="https://www.google.com/url?q=https://oj.uz/problem/view/COI14_mostovi&amp;sa=D&amp;ust=1605639816180000&amp;usg=AFQjCNHygyKcRuzEeYSMMhqkMxCjOcJBeg" xr:uid="{A8E7AF72-B640-4E6F-B98B-DE751D049855}"/>
    <hyperlink ref="F593" r:id="rId1056" display="https://www.google.com/url?q=https://github.com/mostafa-saad/MyCompetitiveProgramming/tree/master/Olympiad/COI/official/2014&amp;sa=D&amp;ust=1605639816181000&amp;usg=AFQjCNHeU2i6LLj0s8TjDUr7JS7p9KrQbw" xr:uid="{0F7255D9-135D-4B4F-AD62-F8A7FEC2CF53}"/>
    <hyperlink ref="B594" r:id="rId1057" display="https://www.google.com/url?q=https://csacademy.com/contest/archive/task/borland&amp;sa=D&amp;ust=1605639816181000&amp;usg=AFQjCNFJbVJ3svJPQzKL4mMT7vMNXMo3Pg" xr:uid="{9DC7A166-212A-4D45-B868-91B5618BB4D6}"/>
    <hyperlink ref="F594" r:id="rId1058" display="https://www.google.com/url?q=https://github.com/MetalBall887/Competitive-Programming/blob/master/CSAcademy/ROJS%252017-borland.cpp&amp;sa=D&amp;ust=1605639816181000&amp;usg=AFQjCNGTkCy-xDq53H2wMxelAt11T1KE7g" xr:uid="{B9175234-C03A-4947-9F97-FA3D878FF6B4}"/>
    <hyperlink ref="B595" r:id="rId1059" display="https://www.google.com/url?q=http://poj.org/problem?id%3D1912&amp;sa=D&amp;ust=1605639816182000&amp;usg=AFQjCNGhqXmUJTQaZ3OR-HEwc3ds3lVc0g" xr:uid="{6C7B595F-3075-4A9B-A60A-3EBA804A6FEB}"/>
    <hyperlink ref="F595" r:id="rId1060" display="https://www.google.com/url?q=https://github.com/mostafa-saad/MyCompetitiveProgramming/tree/master/Olympiad/CEOI/official/2002&amp;sa=D&amp;ust=1605639816182000&amp;usg=AFQjCNEsmNJgaBqo4X6Pe35lLhiFbGLqqg" xr:uid="{49C39940-5652-44B3-B0C2-CBC98E9EDBFE}"/>
    <hyperlink ref="B596" r:id="rId1061" display="https://www.google.com/url?q=https://www.infoarena.ro/problema/curent&amp;sa=D&amp;ust=1605639816182000&amp;usg=AFQjCNEaMx-XG-GMh9KP4xnKyQxXOr6TTA" xr:uid="{CCE396C7-1472-478E-BA91-B672E895442F}"/>
    <hyperlink ref="F596" r:id="rId1062" display="https://www.google.com/url?q=https://github.com/stefdasca/CompetitiveProgramming/blob/master/Infoarena/curent.cpp&amp;sa=D&amp;ust=1605639816182000&amp;usg=AFQjCNEC38L7j7IgaXCeaFhhKyvqElqOXQ" xr:uid="{3FACA688-DE60-4C28-9C1D-F6E4A0620FA7}"/>
    <hyperlink ref="B597" r:id="rId1063" display="https://www.google.com/url?q=https://szkopul.edu.pl/problemset/problem/klvaggzD-q4Acz_WLtkn0JXJ/site/&amp;sa=D&amp;ust=1605639816184000&amp;usg=AFQjCNGlxzNH1VYvUnz6RJ-rztEHMNzRxA" xr:uid="{C8075CD0-799C-48A4-BFF1-16A946F07A50}"/>
    <hyperlink ref="F597" r:id="rId1064" display="https://www.google.com/url?q=https://github.com/mostafa-saad/MyCompetitiveProgramming/blob/master/Olympiad/POI/POI-05-Banknote.txt&amp;sa=D&amp;ust=1605639816184000&amp;usg=AFQjCNGwfAMvPwkSZejbHDQ375EtBAdkjw" xr:uid="{ACF456A5-6101-4781-B626-ED9C9E4BCE40}"/>
    <hyperlink ref="B598" r:id="rId1065" display="https://www.google.com/url?q=https://training.ia-toki.org/problemsets/113/problems/629/&amp;sa=D&amp;ust=1605639816185000&amp;usg=AFQjCNGh_jQFWXUwvUDXWrIBZoQJOm8bVw" xr:uid="{F7E6EE1F-3E4B-497E-B3D6-9C18AB16AC3F}"/>
    <hyperlink ref="F598" r:id="rId1066" display="https://www.google.com/url?q=https://github.com/mostafa-saad/MyCompetitiveProgramming/blob/master/Olympiad/TOKI/TOKIOpen-18-GroupChat.txt&amp;sa=D&amp;ust=1605639816185000&amp;usg=AFQjCNFx2rbI3QgAzssWA2HftnEUsQCSig" xr:uid="{F20B3641-7618-4A34-B260-55AF4AE07E95}"/>
    <hyperlink ref="B599" r:id="rId1067" display="https://www.google.com/url?q=https://szkopul.edu.pl/problemset/problem/4CirgBfxbj9tIAS2C7DWCCd7/site/?key%3Dstatement&amp;sa=D&amp;ust=1605639816185000&amp;usg=AFQjCNGG7JHHswQ-eUFC-RBu1jn8nw4xmA" xr:uid="{90DAD1A9-B203-4C0B-A77A-9D392DC6403B}"/>
    <hyperlink ref="F599" r:id="rId1068" display="https://www.google.com/url?q=https://github.com/mostafa-saad/MyCompetitiveProgramming/blob/master/Olympiad/POI/POI-03-sums.txt&amp;sa=D&amp;ust=1605639816186000&amp;usg=AFQjCNFG4f9Qs_clE2V3BCuK7TM0tFFqSw" xr:uid="{599C5290-562D-4A90-9E68-D722C5BE7ABC}"/>
    <hyperlink ref="B600" r:id="rId1069" display="https://www.google.com/url?q=https://oj.uz/problems/source/59&amp;sa=D&amp;ust=1605639816186000&amp;usg=AFQjCNFd4jWN0oCXMZf_ckbrMnKunRXH9g" xr:uid="{D557BC04-DD4E-4482-B26E-E02215F01A64}"/>
    <hyperlink ref="F600" r:id="rId1070" display="https://www.google.com/url?q=https://github.com/mostafa-saad/MyCompetitiveProgramming/blob/master/Olympiad/CEOI/CEOI-13-treasure2.txt&amp;sa=D&amp;ust=1605639816186000&amp;usg=AFQjCNHMinzTZ0RFBVze_AP322LflIhxhA" xr:uid="{68CBBA46-FC4F-44C8-BFA5-C33D9C700284}"/>
    <hyperlink ref="B601" r:id="rId1071" display="https://www.google.com/url?q=https://oj.uz/problem/view/IOI14_friend&amp;sa=D&amp;ust=1605639816187000&amp;usg=AFQjCNHlUgruhgQxd1dwND44awgXCk8nEA" xr:uid="{55C4AC8C-C4EC-43CB-8ED8-FB2822DAAC53}"/>
    <hyperlink ref="F601" r:id="rId1072" display="https://www.google.com/url?q=https://github.com/mostafa-saad/MyCompetitiveProgramming/blob/master/Olympiad/IOI/IOI-14-friend.txt&amp;sa=D&amp;ust=1605639816187000&amp;usg=AFQjCNG0cWVVS9QdDhaYaNaCo1qMwHZnLQ" xr:uid="{00F25D3A-680E-440F-AB4A-ADFEA066F947}"/>
    <hyperlink ref="B602" r:id="rId1073" display="https://www.google.com/url?q=http://usaco.org/index.php?page%3Dviewproblem2%26cpid%3D533&amp;sa=D&amp;ust=1605639816187000&amp;usg=AFQjCNFkRSZLLODCcjEfn2mtqobLm1pD7w" xr:uid="{F269AD61-368C-447E-934C-6C11D3B7C830}"/>
    <hyperlink ref="B603" r:id="rId1074" display="https://www.google.com/url?q=http://usaco.org/index.php?page%3Dviewproblem2%26cpid%3D768&amp;sa=D&amp;ust=1605639816188000&amp;usg=AFQjCNFXdggPkAxv9iXEKIpFz3V5y-5lvA" xr:uid="{4A45AF3A-5D2D-4F85-B78F-293D04F001F0}"/>
    <hyperlink ref="B604" r:id="rId1075" display="https://www.google.com/url?q=https://oj.uz/problem/view/POI11_pio&amp;sa=D&amp;ust=1605639816188000&amp;usg=AFQjCNHefDATFzDL1K9w5eAxC6II9v4D0g" xr:uid="{34431F70-B3D3-40C1-A8DD-25AB656337AE}"/>
    <hyperlink ref="F604" r:id="rId1076" display="https://www.google.com/url?q=https://github.com/mostafa-saad/MyCompetitiveProgramming/blob/master/Olympiad/POI/POI-11-Conductor.txt&amp;sa=D&amp;ust=1605639816189000&amp;usg=AFQjCNENHmudq-WIefNJirLEg0vXtcBwJQ" xr:uid="{324D8EB8-C582-4948-97E6-9A67EFC3C141}"/>
    <hyperlink ref="B605" r:id="rId1077" display="https://www.google.com/url?q=https://infoarena.ro/problema/arb3&amp;sa=D&amp;ust=1605639816189000&amp;usg=AFQjCNEyVTH3uOyDcCpHt3BvWvBKNVxp0A" xr:uid="{BE70F6E2-DE8E-4F45-9244-8B3642E2904F}"/>
    <hyperlink ref="F605" r:id="rId1078" display="https://www.google.com/url?q=https://github.com/mostafa-saad/MyCompetitiveProgramming/blob/master/Olympiad/infoarena/infoarena-arb3.txt&amp;sa=D&amp;ust=1605639816189000&amp;usg=AFQjCNF47vCciHugWtnYurGb9-ngsSuCgA" xr:uid="{1077B5BB-ACE9-4F23-8549-BF38149EA4E1}"/>
    <hyperlink ref="B606" r:id="rId1079" display="https://www.google.com/url?q=https://oj.uz/problem/view/IZhO14_blocks&amp;sa=D&amp;ust=1605639816190000&amp;usg=AFQjCNGJO9-y2LwcABGdn_unFsQM2A8NVg" xr:uid="{AA717EEA-F285-407F-BB94-B4B1C4CC6CC9}"/>
    <hyperlink ref="F606" r:id="rId1080" display="https://www.google.com/url?q=https://github.com/mostafa-saad/MyCompetitiveProgramming/blob/master/Olympiad/IZhO/IZhO-14-blocks.txt&amp;sa=D&amp;ust=1605639816190000&amp;usg=AFQjCNHYvqQRZoUMkkoWCubQG_4E-pIeJA" xr:uid="{A6CFF230-AA09-4C22-8F54-857068C4E279}"/>
    <hyperlink ref="B607" r:id="rId1081" display="https://www.google.com/url?q=https://www.acmicpc.net/problem/7081&amp;sa=D&amp;ust=1605639816190000&amp;usg=AFQjCNFyI14sKNOkFuvn0xScHe2eKQlRWA" xr:uid="{0402DBFA-C5E7-4E9C-98D2-07C7DB63DFCB}"/>
    <hyperlink ref="F607" r:id="rId1082" display="https://www.google.com/url?q=https://github.com/mostafa-saad/MyCompetitiveProgramming/blob/master/Olympiad/Balkan/Balkan-09-Reading.txt&amp;sa=D&amp;ust=1605639816190000&amp;usg=AFQjCNEr4ocAjK-g9vSHMe4PXs9092oCzw" xr:uid="{E88552B5-DEF3-41B3-9A0D-88061E74263C}"/>
    <hyperlink ref="B608" r:id="rId1083" display="https://www.google.com/url?q=https://contest.yandex.ru/ioi/contest/560/enter/&amp;sa=D&amp;ust=1605639816191000&amp;usg=AFQjCNGEN-6FEQisF6YFKAJKSTpSjePXEA" xr:uid="{AC45D719-78DF-4A70-86DE-0233C9ED8A3B}"/>
    <hyperlink ref="F608" r:id="rId1084" display="https://www.google.com/url?q=https://github.com/mostafa-saad/MyCompetitiveProgramming/blob/master/Olympiad/IOI/IOI-04-polygon.txt&amp;sa=D&amp;ust=1605639816191000&amp;usg=AFQjCNFXvGUVu9_UNuUHrLt7FgpNIDhhLg" xr:uid="{558F5087-1832-4E61-B5C2-9B57924B9DAA}"/>
    <hyperlink ref="B609" r:id="rId1085" display="https://www.google.com/url?q=https://csacademy.com/contest/ceoi-2017-day-2/&amp;sa=D&amp;ust=1605639816191000&amp;usg=AFQjCNFNcROYIzuw9rWdDYnpC3OwxRChZw" xr:uid="{750B9CF9-F083-4A34-A9C7-75B1B101569D}"/>
    <hyperlink ref="F609" r:id="rId1086" display="https://www.google.com/url?q=https://github.com/samyravitoria/olympics-problems/blob/master/CEOI/2017/chase.cpp&amp;sa=D&amp;ust=1605639816191000&amp;usg=AFQjCNHZBRcMQIbeWK3a0wJTKTGXDf4IZw" xr:uid="{DDFB33A5-A079-4ED6-813B-D8E60AFB8CD1}"/>
    <hyperlink ref="B610" r:id="rId1087" display="https://www.google.com/url?q=https://contest.yandex.ru/ioi/contest/566/enter/&amp;sa=D&amp;ust=1605639816192000&amp;usg=AFQjCNFgPNqoPsHeYusCDIxopvk_nj-Iag" xr:uid="{CF1F3D77-16EA-4822-940B-2E1200AFCC6E}"/>
    <hyperlink ref="F610" r:id="rId1088" display="https://www.google.com/url?q=https://github.com/mostafa-saad/MyCompetitiveProgramming/blob/master/Olympiad/IOI/IOI-05-birthday.txt&amp;sa=D&amp;ust=1605639816192000&amp;usg=AFQjCNFFm1hA3PnTMz3o8On1oKglFF1Bkg" xr:uid="{0FE1D330-BAA8-46D1-B4B7-987BE92FAFF6}"/>
    <hyperlink ref="B611" r:id="rId1089" display="https://www.google.com/url?q=https://szkopul.edu.pl/problemset/problem/5TfG0f1dOXc2sUTq9NMM9zSD/site/&amp;sa=D&amp;ust=1605639816192000&amp;usg=AFQjCNH5IKIGN8foCHELNomRT2SRk8qCZA" xr:uid="{97182BF4-7583-4357-9C6E-B9DF9A3A3EAA}"/>
    <hyperlink ref="F611" r:id="rId1090" display="https://www.google.com/url?q=https://github.com/mostafa-saad/MyCompetitiveProgramming/blob/master/Olympiad/CEOI/CEOI-10-Tower.txt&amp;sa=D&amp;ust=1605639816193000&amp;usg=AFQjCNFre5N4vPGZEFp3B-LpTuhNtuCdMw" xr:uid="{A8A500CE-FEB7-445E-855C-765D29727A32}"/>
    <hyperlink ref="B612" r:id="rId1091" display="https://www.google.com/url?q=https://oj.uz/problem/view/COCI17_rima&amp;sa=D&amp;ust=1605639816193000&amp;usg=AFQjCNED4A9b6sn84WgAroL4NtadzB6uUg" xr:uid="{3ACDC8DC-9F1F-4943-86BA-A2235327E5D1}"/>
    <hyperlink ref="F612" r:id="rId1092" display="https://www.google.com/url?q=https://github.com/mostafa-saad/MyCompetitiveProgramming/blob/master/Olympiad/COCI/official/2017/contest4_solutions&amp;sa=D&amp;ust=1605639816193000&amp;usg=AFQjCNGY0XeMmcG83TUXdNLBl2ZMyL1TKw" xr:uid="{016DFBA8-5D7E-45E0-B963-032958E230C2}"/>
    <hyperlink ref="B613" r:id="rId1093" display="https://www.google.com/url?q=http://usaco.org/index.php?page%3Dviewproblem2%26cpid%3D925&amp;sa=D&amp;ust=1605639816194000&amp;usg=AFQjCNGbJOF7F5Hq1UDcSPFXNnU0s04vyw" xr:uid="{BF7E3FF3-6937-4FE9-BBC3-7F915A320BD3}"/>
    <hyperlink ref="F613" r:id="rId1094" display="https://www.google.com/url?q=https://github.com/thecodingwizard/competitive-programming/blob/master/USACO/2019feb/plat/mooriokart.cpp&amp;sa=D&amp;ust=1605639816194000&amp;usg=AFQjCNHvPzOC3-BHGFFuCIXk7XmRih5xPw" xr:uid="{ACF96EA9-E2E3-49AD-9EA7-89C0E601BB5C}"/>
    <hyperlink ref="B614" r:id="rId1095" display="https://www.google.com/url?q=https://dmoj.ca/problem/cco18p5&amp;sa=D&amp;ust=1605639816195000&amp;usg=AFQjCNFEd7Qr7d_CIsG2ApqTcwZJQS1pMQ" xr:uid="{2167C388-AA2D-47E2-8D7B-788C6D8D8215}"/>
    <hyperlink ref="F614" r:id="rId1096" display="https://www.google.com/url?q=https://github.com/luciocf/OI-Problems/blob/master/CCO/CCO%25202018/boring.cpp&amp;sa=D&amp;ust=1605639816196000&amp;usg=AFQjCNHmuWkGsb2mOEmDbtdW_SOFgjKg9g" xr:uid="{89CB683C-1A73-4B38-B6B7-90E48924F59D}"/>
    <hyperlink ref="B615" r:id="rId1097" display="https://www.google.com/url?q=https://www.hackerrank.com/contests/ioi-2014-practice-contest-2/challenges&amp;sa=D&amp;ust=1605639816196000&amp;usg=AFQjCNFQm_z3aqjiLcjvOHzodt1zL_GWtg" xr:uid="{76D1EAF0-060C-4668-B169-C13CE29939BD}"/>
    <hyperlink ref="F615" r:id="rId1098" display="https://www.google.com/url?q=https://github.com/mostafa-saad/MyCompetitiveProgramming/blob/master/Olympiad/IOI/IOIPractice-14-guardians-lunatics-ioi14.txt&amp;sa=D&amp;ust=1605639816196000&amp;usg=AFQjCNHkUY-tT8GQpCKJ6QSiDVGdakVhlQ" xr:uid="{8F9296A2-5F9E-4AE1-892A-05716F4AF82E}"/>
    <hyperlink ref="B616" r:id="rId1099" display="https://www.google.com/url?q=https://oj.uz/problem/view/IZhO12_biochips&amp;sa=D&amp;ust=1605639816197000&amp;usg=AFQjCNHPbMRjcg923HuDiyx6b-s8bWPHpw" xr:uid="{D5777B26-EFDA-4A18-8541-5F093748AF67}"/>
    <hyperlink ref="F616" r:id="rId1100" display="https://www.google.com/url?q=https://github.com/mostafa-saad/MyCompetitiveProgramming/blob/master/Olympiad/IZhO/IZhO-12-biochips.txt&amp;sa=D&amp;ust=1605639816197000&amp;usg=AFQjCNGykDSZHr5ZOnNE-3hQEVL8O3SBaw" xr:uid="{82D784B5-1AC0-456D-A9AB-B6A9D561BC04}"/>
    <hyperlink ref="B617" r:id="rId1101" display="https://www.google.com/url?q=https://oj.uz/problem/view/COCI18_dostavljac&amp;sa=D&amp;ust=1605639816197000&amp;usg=AFQjCNGTUj5oMF_pd--Sy5li_wC0nZg-ug" xr:uid="{586F17FB-7399-4A4A-B103-C3ADF621732B}"/>
    <hyperlink ref="F617" r:id="rId1102" display="https://www.google.com/url?q=https://github.com/luciocf/OI-Problems/blob/master/COCI/COCI%25202017-2018/dostavljac.cpp&amp;sa=D&amp;ust=1605639816198000&amp;usg=AFQjCNEtDuhO-UIK7dfhwig7l0nU994gOQ" xr:uid="{E375D28B-BB3B-4FCC-8B61-062D007F698E}"/>
    <hyperlink ref="B618" r:id="rId1103" display="https://www.google.com/url?q=http://usaco.org/index.php?page%3Dviewproblem2%26cpid%3D532&amp;sa=D&amp;ust=1605639816198000&amp;usg=AFQjCNEegO-lEOEhwzqZN5JU_IcNfubGog" xr:uid="{952E8F67-59B2-437E-8D36-D1F16E45BFFD}"/>
    <hyperlink ref="B619" r:id="rId1104" display="https://www.google.com/url?q=http://usaco.org/index.php?page%3Dviewproblem2%26cpid%3D624&amp;sa=D&amp;ust=1605639816198000&amp;usg=AFQjCNE4wmFMukJjpWnr4r5UG-TBMEK10w" xr:uid="{90C7950D-EE89-4DC7-B96D-2EB97D26DE29}"/>
    <hyperlink ref="B620" r:id="rId1105" display="https://www.google.com/url?q=https://training.olinfo.it/contests/oii2018/tasks/cena/description&amp;sa=D&amp;ust=1605639816199000&amp;usg=AFQjCNHnBO6RfU9zsdy6SsC6OM9I64RHGw" xr:uid="{1FB8BD2A-E9D2-4E9C-A00E-02B4913B014C}"/>
    <hyperlink ref="F620" r:id="rId1106" display="https://www.google.com/url?q=https://github.com/mostafa-saad/MyCompetitiveProgramming/blob/master/Olympiad/OII/OII-18-cena.txt&amp;sa=D&amp;ust=1605639816199000&amp;usg=AFQjCNG8w_0wm5koZZTrlhpDvwsYf-Q1oA" xr:uid="{17997363-50C3-41AF-A1E8-379DA4E100F4}"/>
    <hyperlink ref="B621" r:id="rId1107" display="https://www.google.com/url?q=https://cses.fi/99/list/&amp;sa=D&amp;ust=1605639816200000&amp;usg=AFQjCNHZ8vd1dLqbHh1EQulNSIVCuYBFRQ" xr:uid="{FE47E789-C901-401F-88B6-4A394A25E458}"/>
    <hyperlink ref="F621" r:id="rId1108" display="https://www.google.com/url?q=https://github.com/mostafa-saad/MyCompetitiveProgramming/blob/master/Olympiad/Baltic/Baltic-12-Melody.txt&amp;sa=D&amp;ust=1605639816200000&amp;usg=AFQjCNG9twMjG_GdHW9AsHjjMS1JqTQrwA" xr:uid="{10B4E0E0-CE78-4FC1-9D90-3C763469925A}"/>
    <hyperlink ref="B622" r:id="rId1109" display="https://www.google.com/url?q=https://oj.uz/problem/view/BOI13_brunhilda&amp;sa=D&amp;ust=1605639816200000&amp;usg=AFQjCNGCllhYbut2j8NFZDCakvw_W96O_w" xr:uid="{9E0C819B-9517-4BBA-BE17-75A46088D741}"/>
    <hyperlink ref="F622" r:id="rId1110" display="https://www.google.com/url?q=https://github.com/mostafa-saad/MyCompetitiveProgramming/blob/master/Olympiad/Baltic/Baltic-13-brunhilda.txt&amp;sa=D&amp;ust=1605639816200000&amp;usg=AFQjCNHFZfQdWMekOlebwjEp2cv-r0UBqA" xr:uid="{5DB0E4D4-ECDA-473E-9172-7582CCE879F2}"/>
    <hyperlink ref="B623" r:id="rId1111" display="https://www.google.com/url?q=http://usaco.org/index.php?page%3Dviewproblem2%26cpid%3D792&amp;sa=D&amp;ust=1605639816201000&amp;usg=AFQjCNFtt9aqMtnhJrbWEJOHZQREs6uakQ" xr:uid="{88CA1E1E-10F1-4659-B600-0E001213834C}"/>
    <hyperlink ref="F623" r:id="rId1112" display="https://www.google.com/url?q=https://github.com/thecodingwizard/competitive-programming/blob/master/USACO/2018jan/plat/lifeguards%2520(legit%2520solution).cpp&amp;sa=D&amp;ust=1605639816201000&amp;usg=AFQjCNFKA4u998b1_I8XXPk0NOLCy94yww" xr:uid="{5AEEB3DB-BBD7-4A96-917C-1F67DDB0CE26}"/>
    <hyperlink ref="B624" r:id="rId1113" display="https://www.google.com/url?q=https://codeforces.com/contest/1192/problem/C&amp;sa=D&amp;ust=1605639816201000&amp;usg=AFQjCNGmpHqCyzLZ13WaRgZ4UkJlqEFlQA" xr:uid="{DCC0AE92-8D1C-417D-8EEF-165487E82C5E}"/>
    <hyperlink ref="F624" r:id="rId1114" display="https://www.google.com/url?q=https://codeforces.com/blog/entry/68676&amp;sa=D&amp;ust=1605639816202000&amp;usg=AFQjCNENROK8cu2MpCCQGplSIdKqbgqLlg" xr:uid="{F16944EC-3733-49CF-BFB1-3E5D74927307}"/>
    <hyperlink ref="B625" r:id="rId1115" display="https://www.google.com/url?q=https://www.infoarena.ro/problema/sormin&amp;sa=D&amp;ust=1605639816202000&amp;usg=AFQjCNFxFhJpdBtqNvoL2KrRF4Ss1jcniA" xr:uid="{A02E4CDE-797C-4D0A-AFA6-9EF6713789FF}"/>
    <hyperlink ref="F625" r:id="rId1116" display="https://www.google.com/url?q=https://github.com/mostafa-saad/MyCompetitiveProgramming/blob/master/Olympiad/infoarena/infoarena_sormin.txt&amp;sa=D&amp;ust=1605639816202000&amp;usg=AFQjCNFMa-awfYq6ehNLvS9QW1fpPaLvyw" xr:uid="{DB146597-116C-4F42-8B65-9CE0D0FFA396}"/>
    <hyperlink ref="B626" r:id="rId1117" display="https://www.google.com/url?q=https://szkopul.edu.pl/problemset/problem/YjtAwdQrSiGcE_RLiEJpGiYE/site/&amp;sa=D&amp;ust=1605639816202000&amp;usg=AFQjCNGUWhYyUgT5TB08YZDCgVlRpKAoJA" xr:uid="{2D87AFAD-51BC-4633-8BC5-9AE336D9B2D4}"/>
    <hyperlink ref="F626" r:id="rId1118" display="https://www.google.com/url?q=https://github.com/mostafa-saad/MyCompetitiveProgramming/blob/master/Olympiad/POI/POI-10-Sheep.txt&amp;sa=D&amp;ust=1605639816203000&amp;usg=AFQjCNF_fa4Dw8pbRorxEjcX4mvrmA112g" xr:uid="{5B5B99D8-E4A0-4225-86AF-5581B0B1AE45}"/>
    <hyperlink ref="B627" r:id="rId1119" display="https://www.google.com/url?q=https://csacademy.com/contest/ioi-2016-training-round-1/task/polygon_partition&amp;sa=D&amp;ust=1605639816203000&amp;usg=AFQjCNH9h0viZ0aOTeJgn6NPsuExBKE2_w" xr:uid="{CCE22222-C7A2-4842-9809-5BB12743E478}"/>
    <hyperlink ref="F627" r:id="rId1120" display="https://www.google.com/url?q=https://github.com/thecodingwizard/competitive-programming/blob/master/IOI/IOIPractice%252016-polygon.cpp&amp;sa=D&amp;ust=1605639816203000&amp;usg=AFQjCNH1g2jydrXsO8kRxE0s-Rj7Q02ilg" xr:uid="{4EE6B85D-2D28-48D4-8F9F-00190B31994D}"/>
    <hyperlink ref="B628" r:id="rId1121" display="https://www.google.com/url?q=https://cses.fi/192/list/&amp;sa=D&amp;ust=1605639816204000&amp;usg=AFQjCNFMjYvHc4fjs0zoA7MpHgMmO7M9zw" xr:uid="{CB52AF38-93FB-47BE-9DAD-2B1BB4FE8C78}"/>
    <hyperlink ref="F628" r:id="rId1122" display="https://www.google.com/url?q=https://github.com/mostafa-saad/MyCompetitiveProgramming/blob/master/Olympiad/CEOI/CEOI-05-Ticket.txt&amp;sa=D&amp;ust=1605639816204000&amp;usg=AFQjCNGFYdhkw8e9SRRNI5BOSrP4LcIfzQ" xr:uid="{B2390E9A-A8C0-4F63-A90D-8AC493BC9882}"/>
    <hyperlink ref="B629" r:id="rId1123" display="https://www.google.com/url?q=https://cses.fi/114/list/&amp;sa=D&amp;ust=1605639816204000&amp;usg=AFQjCNFf0eLPNJsVR9C2TO9e2V5FVNu55w" xr:uid="{37A9A909-388F-4860-A151-6B973A19F55C}"/>
    <hyperlink ref="F629" r:id="rId1124" display="https://www.google.com/url?q=https://github.com/mostafa-saad/MyCompetitiveProgramming/blob/master/Olympiad/Baltic/Baltic-08-Gloves.txt&amp;sa=D&amp;ust=1605639816204000&amp;usg=AFQjCNHogsjallDMg0RWHCdaEhVlGMesRA" xr:uid="{5613447D-1B3C-4206-9B7C-EA86B572274D}"/>
    <hyperlink ref="B630" r:id="rId1125" display="https://www.google.com/url?q=https://csacademy.com/contest/ceoi-2018-day-1/task/lottery/&amp;sa=D&amp;ust=1605639816205000&amp;usg=AFQjCNHnP2M-ZleS-scjqdjExDE_QdCG7A" xr:uid="{A78719CB-9C06-45D0-B159-B2CC4D6857E3}"/>
    <hyperlink ref="F630" r:id="rId1126" display="https://www.google.com/url?q=https://github.com/mostafa-saad/MyCompetitiveProgramming/blob/master/Olympiad/CEOI/CEOI-18-Lottery.txt&amp;sa=D&amp;ust=1605639816205000&amp;usg=AFQjCNGgA-oU6SUgTGIP7cPAcTpDSA96eA" xr:uid="{8772876B-A252-4E48-80FD-B2398C577A51}"/>
    <hyperlink ref="B631" r:id="rId1127" display="https://www.google.com/url?q=https://oj.uz/problem/view/COCI18_strah&amp;sa=D&amp;ust=1605639816206000&amp;usg=AFQjCNFSx_8dmigzMcWgoHTh09GSXHSf6A" xr:uid="{67708A3E-3128-4877-88B1-3627DAC7A762}"/>
    <hyperlink ref="F631" r:id="rId1128" display="https://www.google.com/url?q=https://github.com/Szawinis/CompetitiveProgramming/blob/master/Olympiad/COCI/COCI18-strah.cpp&amp;sa=D&amp;ust=1605639816207000&amp;usg=AFQjCNG-e4iYToQBBWPTUzF4zDZ3JAlRgg" xr:uid="{0642D2D0-A4AF-413D-80D2-712B78551FED}"/>
    <hyperlink ref="B632" r:id="rId1129" display="https://www.google.com/url?q=https://oj.uz/problem/view/JOI19_mergers&amp;sa=D&amp;ust=1605639816207000&amp;usg=AFQjCNHCgtj899i1G9RqdvCsrZw8BJ1mmA" xr:uid="{FC1D1685-D635-4F64-8FBA-804A311BEC6B}"/>
    <hyperlink ref="F632" r:id="rId1130" display="https://www.google.com/url?q=https://github.com/mostafa-saad/MyCompetitiveProgramming/blob/master/Olympiad/JOI/JOISC-19-Mergers.txt&amp;sa=D&amp;ust=1605639816207000&amp;usg=AFQjCNEIGoinqz-nVEYuvEvZptY1Nb12uw" xr:uid="{A617E68B-1890-4F21-8909-D9C0C63FB5A1}"/>
    <hyperlink ref="B633" r:id="rId1131" display="https://www.google.com/url?q=https://cses.fi/194/list/&amp;sa=D&amp;ust=1605639816207000&amp;usg=AFQjCNFBhjTP7v2IWeNnXwIg_3vdw4lASA" xr:uid="{B0AA6733-CC0A-4BC2-9BE4-D77E29F53A6F}"/>
    <hyperlink ref="F633" r:id="rId1132" display="https://www.google.com/url?q=https://github.com/SpeedOfMagic/CompetitiveProgramming/blob/master/CEOI/16-router.txt&amp;sa=D&amp;ust=1605639816207000&amp;usg=AFQjCNHdoac5WdO5QlKXZ-BUk_SzF-gH9w" xr:uid="{F1ED9FAD-9B0E-4444-8CBA-47BC81F86A5F}"/>
    <hyperlink ref="B634" r:id="rId1133" display="https://www.google.com/url?q=https://oj.uz/problem/view/COI17_ili&amp;sa=D&amp;ust=1605639816208000&amp;usg=AFQjCNE96r0VI7svqJlsdxGoZiDnONlL_A" xr:uid="{EF94912B-EA42-4809-A413-0F2F42907571}"/>
    <hyperlink ref="F634" r:id="rId1134" display="https://www.google.com/url?q=https://github.com/mostafa-saad/MyCompetitiveProgramming/blob/master/Olympiad/COI/COI+17-ili.txt&amp;sa=D&amp;ust=1605639816208000&amp;usg=AFQjCNGn7Esyi1bOjrAvKO2s8huGXj11PQ" xr:uid="{E627850B-5852-4BEE-9823-C47527515973}"/>
    <hyperlink ref="B635" r:id="rId1135" display="https://www.google.com/url?q=http://usaco.org/index.php?page%3Dviewproblem2%26cpid%3D625&amp;sa=D&amp;ust=1605639816208000&amp;usg=AFQjCNFI0IDCKyLdVrZUs3JQ9EmFkXwYdA" xr:uid="{555EF23C-8CED-44CE-B5CC-0786C197AE9A}"/>
    <hyperlink ref="B636" r:id="rId1136" display="https://www.google.com/url?q=https://www.acmicpc.net/problem/5253&amp;sa=D&amp;ust=1605639816209000&amp;usg=AFQjCNGZYHIti-WHbWrHgcVMka_ETp83rQ" xr:uid="{E229BADE-637A-4F85-8C8E-30462E95381C}"/>
    <hyperlink ref="F636" r:id="rId1137" display="https://www.google.com/url?q=https://github.com/mostafa-saad/MyCompetitiveProgramming/blob/master/Olympiad/Balkan/Balkan-12-Fan_Groups.txt&amp;sa=D&amp;ust=1605639816209000&amp;usg=AFQjCNExfmS-d00TjJDoqg8Pts7N02i2dA" xr:uid="{9D49B475-6500-4BEA-A9D3-BEFF53D83A36}"/>
    <hyperlink ref="B637" r:id="rId1138" display="https://www.google.com/url?q=https://codeforces.com/gym/102257/&amp;sa=D&amp;ust=1605639816209000&amp;usg=AFQjCNGjGTSPcJRCXi4XWwTrK_28rFXTfQ" xr:uid="{F75AC2DC-AD21-4E8B-B7D4-24A2B469CC21}"/>
    <hyperlink ref="F637" r:id="rId1139" display="https://www.google.com/url?q=https://github.com/mostafa-saad/MyCompetitiveProgramming/blob/master/Olympiad/APIO/APIO-19-strange_device.txt&amp;sa=D&amp;ust=1605639816209000&amp;usg=AFQjCNFYsrDSjxFR6tKoc7hzlwcIujiogg" xr:uid="{6CB174BA-EE2E-40F3-9438-8DBA2351D87E}"/>
    <hyperlink ref="B638" r:id="rId1140" display="https://www.google.com/url?q=https://www.infoarena.ro/problema/permsort2&amp;sa=D&amp;ust=1605639816210000&amp;usg=AFQjCNFa5g5kJJfuXTvIUultLwwyqXcfbQ" xr:uid="{964636AE-6009-4619-A9B2-E9762B553A66}"/>
    <hyperlink ref="F638" r:id="rId1141" display="https://www.google.com/url?q=https://github.com/mostafa-saad/MyCompetitiveProgramming/blob/master/Olympiad/infoarena/infoarena_permsort2.txt&amp;sa=D&amp;ust=1605639816210000&amp;usg=AFQjCNH00i0TI39llrUbjEF_3SvPpXEgHA" xr:uid="{F8CF0703-7459-4E97-A5A0-76DDA51509B8}"/>
    <hyperlink ref="B639" r:id="rId1142" display="https://www.google.com/url?q=https://oj.uz/problem/view/IOI11_crocodile&amp;sa=D&amp;ust=1605639816210000&amp;usg=AFQjCNEMfYTLBoair1ai6PFpD-Q-xOAujg" xr:uid="{45D90332-576F-44F8-81A7-24E9FFCB429E}"/>
    <hyperlink ref="F639" r:id="rId1143" display="https://www.google.com/url?q=http://www.ioi2011.or.th/hsc/tasks/solutions/crocodile.pdf&amp;sa=D&amp;ust=1605639816210000&amp;usg=AFQjCNE3LFWv8UFD4qG0Em438tQfBN4m3A" xr:uid="{83AB6F95-1ED0-45B4-942B-0BB6261D0A8E}"/>
    <hyperlink ref="B640" r:id="rId1144" display="https://www.google.com/url?q=https://tioj.ck.tp.edu.tw/problems/1742&amp;sa=D&amp;ust=1605639816211000&amp;usg=AFQjCNGJYgQnefRjWMcZFE4XnrCCy6JvHQ" xr:uid="{232AD637-29B0-444D-A5E0-8FCDACA7DACE}"/>
    <hyperlink ref="F640" r:id="rId1145" display="https://www.google.com/url?q=https://github.com/mostafa-saad/MyCompetitiveProgramming/blob/master/Olympiad/APIO/APIO-09-Oil.txt&amp;sa=D&amp;ust=1605639816211000&amp;usg=AFQjCNHL-6qMrawjKIVjMiwCqghkajAvZg" xr:uid="{F9A0C850-8182-46F1-AD3F-EEB1E20DD812}"/>
    <hyperlink ref="B641" r:id="rId1146" display="https://www.google.com/url?q=https://oj.uz/problem/view/BOI19_olympiads&amp;sa=D&amp;ust=1605639816211000&amp;usg=AFQjCNHQLzPDtKl21MQOcSj8KQAqOLGX4A" xr:uid="{89F1165E-4036-4EBF-B396-09B5BC17E5E2}"/>
    <hyperlink ref="F641" r:id="rId1147" display="https://www.google.com/url?q=https://github.com/mostafa-saad/MyCompetitiveProgramming/blob/master/Olympiad/Baltic/Baltic-19-olympiads.txt&amp;sa=D&amp;ust=1605639816211000&amp;usg=AFQjCNGfOJpiHKVWUQjQe1zSkc8iUidscg" xr:uid="{0F40A544-7102-4C01-AD8B-A9056E22C028}"/>
    <hyperlink ref="B642" r:id="rId1148" display="https://www.google.com/url?q=http://usaco.org/index.php?page%3Dviewproblem2%26cpid%3D817&amp;sa=D&amp;ust=1605639816211000&amp;usg=AFQjCNFh3wsOcLUj3TDvgbUBbH3yOBss5w" xr:uid="{6787D6E8-B183-4ACB-8F9B-50204F8AFF1D}"/>
    <hyperlink ref="B643" r:id="rId1149" display="https://www.google.com/url?q=https://oj.uz/problem/view/COI19_ljetopica&amp;sa=D&amp;ust=1605639816212000&amp;usg=AFQjCNFS_EsNCGmdURAA5ASRzDwHDBCVFw" xr:uid="{41762F56-287D-46F2-92C8-33D0A09E60F2}"/>
    <hyperlink ref="F643" r:id="rId1150" display="https://www.google.com/url?q=https://github.com/mostafa-saad/MyCompetitiveProgramming/blob/master/Olympiad/COI/COI-19-ljetopica.txt&amp;sa=D&amp;ust=1605639816212000&amp;usg=AFQjCNExFGuaQgfCC9qwaiO8kSKsKWgi7w" xr:uid="{47CF6DE5-2ED0-4A4F-B707-39F367BC58F4}"/>
    <hyperlink ref="B644" r:id="rId1151" display="https://www.google.com/url?q=https://cses.fi/105/list/&amp;sa=D&amp;ust=1605639816212000&amp;usg=AFQjCNHDxd8HZVkH6FuWzXmnobDoVcrS2g" xr:uid="{A5E12F17-34B7-461E-A95E-8376F8167EE8}"/>
    <hyperlink ref="F644" r:id="rId1152" display="https://www.google.com/url?q=https://github.com/mostafa-saad/MyCompetitiveProgramming/blob/master/Olympiad/Baltic/official/boi2010_solutions&amp;sa=D&amp;ust=1605639816212000&amp;usg=AFQjCNFG7El1c0P5lxUPYp5kJHB8BiWfFA" xr:uid="{8EACBE82-FEED-4353-9324-B94205D62D25}"/>
    <hyperlink ref="B645" r:id="rId1153" display="https://www.google.com/url?q=https://contest.yandex.ru/ioi/contest/568/enter/&amp;sa=D&amp;ust=1605639816213000&amp;usg=AFQjCNH9mGlMPf929C8xIxR1Ye8Ec2kGsA" xr:uid="{BCB2A367-05B2-4D7F-ACF7-C0FB2456CAB4}"/>
    <hyperlink ref="F645" r:id="rId1154" display="https://www.google.com/url?q=https://github.com/mostafa-saad/MyCompetitiveProgramming/blob/master/Olympiad/IOI/official/2009&amp;sa=D&amp;ust=1605639816213000&amp;usg=AFQjCNFs7Jm4D9xfJ76p1Y8foTYbVh1Q9Q" xr:uid="{496EE5E2-E41A-4E4E-B3CE-A7EE4469B6C3}"/>
    <hyperlink ref="B646" r:id="rId1155" display="https://www.google.com/url?q=https://dmoj.ca/problem/coci07c2p6&amp;sa=D&amp;ust=1605639816213000&amp;usg=AFQjCNFBACJGLTwgd597ZRli1w0i5delFw" xr:uid="{FFB36D56-8C74-4904-BCAB-917E5D20DE56}"/>
    <hyperlink ref="F646" r:id="rId1156" display="https://www.google.com/url?q=https://github.com/mostafa-saad/MyCompetitiveProgramming/blob/master/Olympiad/COCI/COCI-07-Pravokutni.txt&amp;sa=D&amp;ust=1605639816213000&amp;usg=AFQjCNEjM5w8aQ1yjkTccDurgGb6TrPGNQ" xr:uid="{1D4BC004-8225-4EFC-8A46-4E37530EEEDC}"/>
    <hyperlink ref="B647" r:id="rId1157" display="https://www.google.com/url?q=https://dmoj.ca/problem/coci14c1p6&amp;sa=D&amp;ust=1605639816214000&amp;usg=AFQjCNG0KwR_ht_ryLd90itTxe8Xw8zoiQ" xr:uid="{768B994B-C011-4C3B-9372-9396A34D6E07}"/>
    <hyperlink ref="F647" r:id="rId1158" display="https://www.google.com/url?q=https://github.com/mostafa-saad/MyCompetitiveProgramming/blob/master/Olympiad/COCI/COCI-14-Kamp.txt&amp;sa=D&amp;ust=1605639816214000&amp;usg=AFQjCNGRGAdgralNCLHu6NVUQl3FKm4ZJA" xr:uid="{A89A976F-8F3A-4D16-BE17-48E650024AF2}"/>
    <hyperlink ref="B648" r:id="rId1159" display="https://www.google.com/url?q=https://oj.uz/problem/view/IOI08_islands&amp;sa=D&amp;ust=1605639816215000&amp;usg=AFQjCNE8Iwmt4M2BDNlGwrC4CGK3UjF6Mg" xr:uid="{BE1C34BD-C04B-4999-AC52-3AA1B75D6AFE}"/>
    <hyperlink ref="F648" r:id="rId1160" display="https://www.google.com/url?q=https://github.com/mostafa-saad/MyCompetitiveProgramming/blob/master/Olympiad/IOI/official/2008&amp;sa=D&amp;ust=1605639816215000&amp;usg=AFQjCNGrxM6EK7r0ZB_gn219dMDV8wbGTw" xr:uid="{80BDAFAC-E9A7-49AF-9E59-E4BDD5477F9F}"/>
    <hyperlink ref="B649" r:id="rId1161" display="https://www.google.com/url?q=https://oj.uz/problem/view/IOI14_game&amp;sa=D&amp;ust=1605639816215000&amp;usg=AFQjCNE2xXEAAGzC7_WgYAAvhWKGqD6XWw" xr:uid="{EE3B2D6A-37DC-4C90-AC70-D3B58E561230}"/>
    <hyperlink ref="F649" r:id="rId1162" display="https://www.google.com/url?q=https://github.com/mostafa-saad/MyCompetitiveProgramming/blob/master/Olympiad/IOI/IOI-14-game.txt&amp;sa=D&amp;ust=1605639816215000&amp;usg=AFQjCNFttb1evjUxtYcU7OHzQHojZtuE_Q" xr:uid="{9642C9E8-2EBC-4FEB-A0D1-A140128FE704}"/>
    <hyperlink ref="B650" r:id="rId1163" display="https://www.google.com/url?q=https://oj.uz/problem/view/BOI14_postmen&amp;sa=D&amp;ust=1605639816216000&amp;usg=AFQjCNGlmhQRo1nO-r80BJrp9_IKhZIELw" xr:uid="{E92868D0-6100-4737-B5E7-C069D9745836}"/>
    <hyperlink ref="F650" r:id="rId1164" display="https://www.google.com/url?q=https://github.com/mostafa-saad/MyCompetitiveProgramming/blob/master/Olympiad/Baltic/Baltic-14-postmen.txt&amp;sa=D&amp;ust=1605639816216000&amp;usg=AFQjCNG264a6xTkWdlFyb9O4qgc7Hnuqeg" xr:uid="{380CC1A8-D75B-4DF2-AA9E-39BEDD16056B}"/>
    <hyperlink ref="B651" r:id="rId1165" display="https://www.google.com/url?q=https://szkopul.edu.pl/problemset/problem/kTJwMBMs_vXtliFNlHAZ0Hcu/site/&amp;sa=D&amp;ust=1605639816216000&amp;usg=AFQjCNFCMN7fTZ6ialcxMlf0jSBj6nvSEA" xr:uid="{D96643BF-3E42-44D5-B1A7-4C076A85CA40}"/>
    <hyperlink ref="F651" r:id="rId1166" display="https://www.google.com/url?q=https://github.com/mostafa-saad/MyCompetitiveProgramming/blob/master/Olympiad/CEOI/CEOI-04-Football.txt&amp;sa=D&amp;ust=1605639816216000&amp;usg=AFQjCNFxdl0uV6Z3MOKc6U3g4i0yADIplQ" xr:uid="{3CBE1F5C-2CC8-421F-B43B-10DF1580744D}"/>
    <hyperlink ref="B652" r:id="rId1167" display="https://www.google.com/url?q=https://cses.fi/186/list/&amp;sa=D&amp;ust=1605639816217000&amp;usg=AFQjCNG2FxhD1WEYR3ROrICEf1Oc23w8pw" xr:uid="{9EA222D3-D08B-4520-A7C4-0EAAE273746E}"/>
    <hyperlink ref="F652" r:id="rId1168" display="https://www.google.com/url?q=https://github.com/mostafa-saad/MyCompetitiveProgramming/blob/master/Olympiad/CEOI/CEOI-06-Meandian.txt&amp;sa=D&amp;ust=1605639816217000&amp;usg=AFQjCNGQ-o8et40vHtmrBrSlxJafbROLtg" xr:uid="{2805C2F0-0478-4A96-91A9-60DBD4AE465D}"/>
    <hyperlink ref="B653" r:id="rId1169" display="https://www.google.com/url?q=https://joisc2013-day4.contest.atcoder.jp/tasks/joisc2013_messenger&amp;sa=D&amp;ust=1605639816217000&amp;usg=AFQjCNG5djOztOpWUAlUrxVUZCyygiCU3g" xr:uid="{14FE0634-6325-405A-937D-83A85FAB2DF0}"/>
    <hyperlink ref="B654" r:id="rId1170" display="https://www.google.com/url?q=https://oj.uz/problem/view/COCI18_clickbait&amp;sa=D&amp;ust=1605639816217000&amp;usg=AFQjCNHNTgFsnZKoG-9W2JLl-kwLI6wckA" xr:uid="{D47E78CD-CA7B-42E6-8EDD-9E57F6ADC4F8}"/>
    <hyperlink ref="B655" r:id="rId1171" display="https://www.google.com/url?q=https://oj.uz/problem/view/COI17_zagrade&amp;sa=D&amp;ust=1605639816218000&amp;usg=AFQjCNFMIjMudTCMfYyL3OKVCxS2W1Pbyg" xr:uid="{5BC6DF19-7486-42FE-BBF0-B80F58396BC2}"/>
    <hyperlink ref="F655" r:id="rId1172" display="https://www.google.com/url?q=https://github.com/mostafa-saad/MyCompetitiveProgramming/blob/master/Olympiad/COI/COI-17-zagrade.txt&amp;sa=D&amp;ust=1605639816218000&amp;usg=AFQjCNGrDE6NLTdrh72mKlJI-zeob1I1oQ" xr:uid="{F94C1878-D48E-467B-A439-F1A03994D4F5}"/>
    <hyperlink ref="B656" r:id="rId1173" display="https://www.google.com/url?q=https://oj.uz/problem/view/APIO14_sequence&amp;sa=D&amp;ust=1605639816218000&amp;usg=AFQjCNFRE-ZhyNrB1uBRUL4F3E31blpFvw" xr:uid="{7734E03E-430E-47D2-9C13-54A35B19B17A}"/>
    <hyperlink ref="F656" r:id="rId1174" display="https://www.google.com/url?q=https://github.com/mostafa-saad/MyCompetitiveProgramming/blob/master/Olympiad/APIO/APIO-14-Sequence.txt&amp;sa=D&amp;ust=1605639816218000&amp;usg=AFQjCNE7vcOo0zqYtZxYISj7F_ZZ0OejCQ" xr:uid="{F480F670-C21E-4A59-8E55-65017A9339C5}"/>
    <hyperlink ref="B657" r:id="rId1175" display="https://www.google.com/url?q=https://dmoj.ca/problem/apio10p1&amp;sa=D&amp;ust=1605639816219000&amp;usg=AFQjCNH3zY5zsSSDPckkUlpPrCyLBmLeTQ" xr:uid="{B5BEDCD9-9041-4E91-B0E2-B425745127D0}"/>
    <hyperlink ref="F657" r:id="rId1176" display="https://www.google.com/url?q=https://github.com/timpostuvan/CompetitiveProgramming/blob/master/Olympiad/APIO/Commando2010.cpp&amp;sa=D&amp;ust=1605639816219000&amp;usg=AFQjCNGCHBL43E5qAg_1Vth2l4JewXvDSQ" xr:uid="{07DACCE2-BBE0-4FB9-B727-7FDE78B9B554}"/>
    <hyperlink ref="B658" r:id="rId1177" display="https://www.google.com/url?q=https://open.kattis.com/problem-sources/Baltic%2520Olympiad%2520in%2520Informatics%25202017%252C%2520Day%25201&amp;sa=D&amp;ust=1605639816219000&amp;usg=AFQjCNEKXWwiR5A7BWNyxursbwogmaEnwA" xr:uid="{585A1139-B756-4A7E-AB5B-A40D18007DA5}"/>
    <hyperlink ref="F658" r:id="rId1178" display="https://www.google.com/url?q=https://github.com/Szawinis/CompetitiveProgramming/blob/master/Olympiad/Baltic/Baltic17-toll.cpp&amp;sa=D&amp;ust=1605639816219000&amp;usg=AFQjCNHWUeru1u7EtJL-jNPtZ3VW_KI8AA" xr:uid="{55732EBA-1050-41F4-B052-D296CFEB2522}"/>
    <hyperlink ref="B659" r:id="rId1179" display="https://www.google.com/url?q=https://oj.uz/problem/view/COCI17_plahte&amp;sa=D&amp;ust=1605639816219000&amp;usg=AFQjCNHR8I0kd7UqD3yGD-Btu_e6nSkrXg" xr:uid="{4E67F7A9-D789-4070-B510-A445972129B5}"/>
    <hyperlink ref="F659" r:id="rId1180" display="https://www.google.com/url?q=https://github.com/mostafa-saad/MyCompetitiveProgramming/blob/master/Olympiad/COCI/official/2018/contest1_solutions&amp;sa=D&amp;ust=1605639816219000&amp;usg=AFQjCNFyReJx7C6mWBM1TOo8q2B4beq9pQ" xr:uid="{8E201D32-B31F-4A8F-AECD-E91CA93C2F56}"/>
    <hyperlink ref="B660" r:id="rId1181" display="https://www.google.com/url?q=https://szkopul.edu.pl/problemset/problem/k-RYEjhwNTo_XdaCidXQUGMU/site/&amp;sa=D&amp;ust=1605639816220000&amp;usg=AFQjCNE3H5Ez2I7GUy-iWCDdP6-1blpUnQ" xr:uid="{6E6DE768-7ABF-4810-AEC0-539A70DA5077}"/>
    <hyperlink ref="F660" r:id="rId1182" display="https://www.google.com/url?q=https://github.com/mostafa-saad/MyCompetitiveProgramming/blob/master/Olympiad/POI/official/find_editorial_sols_guidelines.txt&amp;sa=D&amp;ust=1605639816220000&amp;usg=AFQjCNGg6TYItJyIf_IFTK7tvhtSGnZ9zg" xr:uid="{59121096-A997-48C6-B6D1-761F9C277AAB}"/>
    <hyperlink ref="B661" r:id="rId1183" display="https://www.google.com/url?q=https://cses.fi/179/list/&amp;sa=D&amp;ust=1605639816220000&amp;usg=AFQjCNF4nfUwWvkiNVBTyFPtIGvowr5qkA" xr:uid="{4690D7F4-2F42-4AAC-A68A-AF1F1DA54440}"/>
    <hyperlink ref="F661" r:id="rId1184" display="https://www.google.com/url?q=https://github.com/mostafa-saad/MyCompetitiveProgramming/tree/master/Olympiad/CEOI/official/2009&amp;sa=D&amp;ust=1605639816220000&amp;usg=AFQjCNFa7nYFRBQQz8c1D5Aw5Jgwixx-tg" xr:uid="{0E4F3E47-AAD3-48A1-8042-EEA9BC16CEB2}"/>
    <hyperlink ref="B662" r:id="rId1185" display="https://www.google.com/url?q=https://oj.uz/problem/view/COI15_dostava&amp;sa=D&amp;ust=1605639816221000&amp;usg=AFQjCNH_Kb4ISgcCAAqOJ1hIP4GXxiscGQ" xr:uid="{96FC8169-9FEC-4262-8AC7-407A7113F0ED}"/>
    <hyperlink ref="F662" r:id="rId1186" display="https://www.google.com/url?q=https://github.com/mostafa-saad/MyCompetitiveProgramming/tree/master/Olympiad/COI/official/2015&amp;sa=D&amp;ust=1605639816221000&amp;usg=AFQjCNHXjvngiSiE8gMLYMNziwRg3TvCnA" xr:uid="{496D918B-F566-436E-B699-6F10086BBB43}"/>
    <hyperlink ref="B663" r:id="rId1187" display="https://www.google.com/url?q=https://szkopul.edu.pl/problemset/problem/9JvSAnyf5d1FlPAEXEdUAtCz/site/&amp;sa=D&amp;ust=1605639816221000&amp;usg=AFQjCNHm1G9Gwcbi8IDb1gAwKzxwoYV_6g" xr:uid="{46296D46-7A42-47ED-B74C-1DAE6FB39F73}"/>
    <hyperlink ref="F663" r:id="rId1188" display="https://www.google.com/url?q=https://github.com/tmwilliamlin168/CompetitiveProgramming/blob/master/POI/25-Polynomial.cpp&amp;sa=D&amp;ust=1605639816221000&amp;usg=AFQjCNFvriGMWTyiNGZEs6KDUqaefZ9xfw" xr:uid="{DE0F2711-A7E8-45E3-8FCF-BB874BFFA3D9}"/>
    <hyperlink ref="B664" r:id="rId1189" display="https://www.google.com/url?q=https://szkopul.edu.pl/problemset/problem/VeQ6A1Xb8DUSlbUb8eQncsFX/site/&amp;sa=D&amp;ust=1605639816222000&amp;usg=AFQjCNHtTPbHwxT8b8UZBxDoc3amQG14OQ" xr:uid="{FEC3BCCE-E563-4213-A336-ECBB2A774670}"/>
    <hyperlink ref="F664" r:id="rId1190" display="https://www.google.com/url?q=https://github.com/mostafa-saad/MyCompetitiveProgramming/blob/master/Olympiad/POI/POI-15-Squares.txt&amp;sa=D&amp;ust=1605639816222000&amp;usg=AFQjCNFNuYsuz4x-O0a6luH5KOD5_vy9WA" xr:uid="{B800AAAA-E5E7-4F9A-88C3-20B87813217E}"/>
    <hyperlink ref="B665" r:id="rId1191" display="https://www.google.com/url?q=https://contest.yandex.ru/ioi/contest/562/problems/D/&amp;sa=D&amp;ust=1605639816272000&amp;usg=AFQjCNGR1X_umO0d9Un-NrwiNGzVVkEr4w" xr:uid="{6894FA6E-2248-42BC-9A59-F953317BCA03}"/>
    <hyperlink ref="F665" r:id="rId1192" display="https://www.google.com/url?q=https://github.com/mostafa-saad/MyCompetitiveProgramming/blob/master/Olympiad/IOI/official/2006/ioi06_mexico_sol.pdf&amp;sa=D&amp;ust=1605639816272000&amp;usg=AFQjCNHLKF39YQCYqI515AsrsaBeFYVIYg" xr:uid="{5B6455FF-128F-447A-A415-6738E83FF8D3}"/>
    <hyperlink ref="B666" r:id="rId1193" display="https://www.google.com/url?q=https://www.infoarena.ro/problema/aiacupalindroame&amp;sa=D&amp;ust=1605639816273000&amp;usg=AFQjCNEYsOqB5s7ujXZFBVgYWPRm2LZgXw" xr:uid="{B3BED3F1-EF09-4BDF-9BDC-34834A930906}"/>
    <hyperlink ref="F666" r:id="rId1194" display="https://www.google.com/url?q=https://github.com/stefdasca/CompetitiveProgramming/blob/master/Infoarena/aiacupalindroame.cpp&amp;sa=D&amp;ust=1605639816273000&amp;usg=AFQjCNG9-SB7am61QsUMiodh8QBzyooA8A" xr:uid="{EE503C45-1146-4B34-BE5F-B79326DC2D08}"/>
    <hyperlink ref="B667" r:id="rId1195" display="https://www.google.com/url?q=https://dunjudge.me/analysis/problems/753/&amp;sa=D&amp;ust=1605639816273000&amp;usg=AFQjCNEO3Cj5Po4XFlmojKG2V0406wKR3Q" xr:uid="{B807927F-7886-4967-B1B5-BC676FD0BBB9}"/>
    <hyperlink ref="F667" r:id="rId1196" display="https://www.google.com/url?q=https://github.com/mostafa-saad/MyCompetitiveProgramming/blob/master/Olympiad/IOI/official/2001&amp;sa=D&amp;ust=1605639816273000&amp;usg=AFQjCNEif2x3KkNH-sUdFlZ7r2GcUzJE-Q" xr:uid="{2BF070CC-ADED-4668-BF71-0FBCF1C913F0}"/>
    <hyperlink ref="B668" r:id="rId1197" display="https://www.google.com/url?q=https://oj.uz/problem/view/POI13_tak&amp;sa=D&amp;ust=1605639816274000&amp;usg=AFQjCNG-u-MrAMxrk5Jrq6IXE1LlFG1UZg" xr:uid="{8A48DB22-BD38-40D8-B95B-875E5288D883}"/>
    <hyperlink ref="B669" r:id="rId1198" display="https://www.google.com/url?q=https://cses.fi/187/list/&amp;sa=D&amp;ust=1605639816274000&amp;usg=AFQjCNGbHaUsD_8D99WZegdKVK1WsxzjcQ" xr:uid="{2BA54665-A81C-444F-8160-739CFD48F291}"/>
    <hyperlink ref="B670" r:id="rId1199" display="https://www.google.com/url?q=https://joisc2014.contest.atcoder.jp/tasks/joisc2014_j&amp;sa=D&amp;ust=1605639816274000&amp;usg=AFQjCNGWZ7RzqrYMbwrdJRv5n7DwrNu6lg" xr:uid="{DD1CB3C9-72A9-4BC7-8EBB-AABCF95CE39F}"/>
    <hyperlink ref="B671" r:id="rId1200" display="https://www.google.com/url?q=https://joisc2016.contest.atcoder.jp/tasks/joisc2016_e&amp;sa=D&amp;ust=1605639816275000&amp;usg=AFQjCNEbuExHrV_lrkomejfv_59voIqIIw" xr:uid="{5467ABDD-1E97-4D9E-BC1D-10B6BC339EAE}"/>
    <hyperlink ref="B672" r:id="rId1201" display="https://www.google.com/url?q=https://joisc2016.contest.atcoder.jp/tasks/joisc2016_j&amp;sa=D&amp;ust=1605639816275000&amp;usg=AFQjCNFKbTnw1PN76oYP6hghHZATYuyfFw" xr:uid="{5E3ED1A8-FE51-4EC3-BA20-16864F6B2BD0}"/>
    <hyperlink ref="B673" r:id="rId1202" display="https://www.google.com/url?q=https://joisc2016.contest.atcoder.jp/tasks/joisc2016_c&amp;sa=D&amp;ust=1605639816275000&amp;usg=AFQjCNHQKfx6gVaecjCTu-Xs_mHBn0z3kg" xr:uid="{9BB2764B-3384-4B3A-BA0C-45D9A60A4CD5}"/>
    <hyperlink ref="B674" r:id="rId1203" display="https://www.google.com/url?q=https://joisc2016.contest.atcoder.jp/tasks/joisc2016_h&amp;sa=D&amp;ust=1605639816276000&amp;usg=AFQjCNG3cv8FoPHufdQHdvT2lAFJ3mVUIQ" xr:uid="{614065EC-167E-43C3-AA48-233EAB5E678B}"/>
    <hyperlink ref="B675" r:id="rId1204" display="https://www.google.com/url?q=https://joisc2016.contest.atcoder.jp/tasks/joisc2016_f&amp;sa=D&amp;ust=1605639816276000&amp;usg=AFQjCNG3a-v6TIvyavPn1wkKHLYdN3hFLA" xr:uid="{64496D1A-EC9F-4C33-8FFD-04FDD4B422C8}"/>
    <hyperlink ref="B676" r:id="rId1205" display="https://www.google.com/url?q=https://szkopul.edu.pl/problemset/problem/Orc2Z7ti1xLaUUQDT1a6RGR5/site/&amp;sa=D&amp;ust=1605639816277000&amp;usg=AFQjCNHR2W6s9i3-DqALFQle6yBcIkeOcw" xr:uid="{55744AB8-0AF1-4438-8A13-95AC6FC33D9A}"/>
    <hyperlink ref="F676" r:id="rId1206" display="https://www.google.com/url?q=https://github.com/mostafa-saad/MyCompetitiveProgramming/blob/master/Olympiad/POI/POI-16-Stutter.txt&amp;sa=D&amp;ust=1605639816277000&amp;usg=AFQjCNEnxTTxbeMtCajTJMUrmVvtyGmJAw" xr:uid="{89683959-525C-45B4-A2E0-EEA6A3BEA154}"/>
    <hyperlink ref="B677" r:id="rId1207" display="https://www.google.com/url?q=https://oj.uz/problem/view/JOI17_long_mansion&amp;sa=D&amp;ust=1605639816277000&amp;usg=AFQjCNFb3i3tdCM_0CbNbOCr6Sb2V1xBqQ" xr:uid="{D8EAD7FF-AF6F-45CA-89A5-8035459E34B4}"/>
    <hyperlink ref="F677" r:id="rId1208" display="https://www.google.com/url?q=https://github.com/nikolapesic2802/Programming-Practice/blob/master/Long%2520Mansion/main.cpp&amp;sa=D&amp;ust=1605639816278000&amp;usg=AFQjCNEgPU_s8-WoRDu1Y-7HsOWqj5Ju1g" xr:uid="{C34DD115-57E6-41FB-9ABE-BCA0EFA4F078}"/>
    <hyperlink ref="B678" r:id="rId1209" display="https://www.google.com/url?q=https://wcipeg.com/problem/coci092p6&amp;sa=D&amp;ust=1605639816278000&amp;usg=AFQjCNGvMuCNyFIdymuIXKF7yBWfXYDFuw" xr:uid="{EEA9293B-FA77-4041-AC0B-EFF4382A0681}"/>
    <hyperlink ref="F678" r:id="rId1210" display="https://www.google.com/url?q=https://github.com/mostafa-saad/MyCompetitiveProgramming/blob/master/Olympiad/COCI/official/2010/contest2_solutions&amp;sa=D&amp;ust=1605639816278000&amp;usg=AFQjCNGESSG9ytei_Mjk57e3yEqyLw86jA" xr:uid="{D1440E1D-2330-40CC-B08A-908E687467AE}"/>
    <hyperlink ref="B679" r:id="rId1211" display="https://www.google.com/url?q=https://dunjudge.me/analysis/problems/704/&amp;sa=D&amp;ust=1605639816278000&amp;usg=AFQjCNGoNtm9GIEttmkJ_0fdDem8Bm6SFQ" xr:uid="{424D9106-F96E-4AC4-A771-83DB0103D923}"/>
    <hyperlink ref="F679" r:id="rId1212" display="https://www.google.com/url?q=https://github.com/mostafa-saad/MyCompetitiveProgramming/blob/master/Olympiad/NOI/official&amp;sa=D&amp;ust=1605639816279000&amp;usg=AFQjCNHY9MI6_miBkAHLzPtq9i_Bm9b4RA" xr:uid="{0F76A619-F315-4F55-A9B6-DB0997DB3625}"/>
    <hyperlink ref="B680" r:id="rId1213" display="https://www.google.com/url?q=https://joisc2013-day2.contest.atcoder.jp/tasks/joisc2013_construction&amp;sa=D&amp;ust=1605639816279000&amp;usg=AFQjCNEzsDHf1CvAFEN--7hlkznAl80Jwg" xr:uid="{C7E593D5-E1E9-4C1A-B291-1A0D3030BFE9}"/>
    <hyperlink ref="B681" r:id="rId1214" display="https://www.google.com/url?q=https://www.infoarena.ro/problema/jap2&amp;sa=D&amp;ust=1605639816279000&amp;usg=AFQjCNHoiQxCNhSHTWDREd4yt7bawMiIuA" xr:uid="{67B3038E-E8B9-405D-A06B-3EF48DE2A103}"/>
    <hyperlink ref="F681" r:id="rId1215" display="https://www.google.com/url?q=https://github.com/mostafa-saad/MyCompetitiveProgramming/blob/master/Olympiad/infoarena/infoarena-jap2.txt&amp;sa=D&amp;ust=1605639816280000&amp;usg=AFQjCNFu50Js2ETMVTHjMYSW-vKNvJ7hlw" xr:uid="{4AC9C0E9-099C-43F0-9CDD-102484915659}"/>
    <hyperlink ref="B682" r:id="rId1216" display="https://www.google.com/url?q=https://www.infoarena.ro/problema/meneaito&amp;sa=D&amp;ust=1605639816280000&amp;usg=AFQjCNEg7T4BDaAjxXXQ6sZYudX0_FABog" xr:uid="{B6AFC2AF-3527-4BA4-955E-BF40E5114034}"/>
    <hyperlink ref="F682" r:id="rId1217" display="https://www.google.com/url?q=https://github.com/stefdasca/CompetitiveProgramming/blob/master/Infoarena/meneaito.cpp&amp;sa=D&amp;ust=1605639816280000&amp;usg=AFQjCNFvRaGI4a9tw7K2EnkjcgLhzTOm3g" xr:uid="{CEF2E3AD-B0CF-4069-9B39-7A232168E4C4}"/>
    <hyperlink ref="B683" r:id="rId1218" display="https://www.google.com/url?q=https://contest.yandex.ru/roiarchive/contest/2170/problems/8&amp;sa=D&amp;ust=1605639816280000&amp;usg=AFQjCNFv8-sG0PXKh-H1X3tZk1Q46Hf28w" xr:uid="{39FE9B1A-687C-49FA-B728-6DE3B2682997}"/>
    <hyperlink ref="B684" r:id="rId1219" display="https://www.google.com/url?q=https://oj.uz/problem/view/IZhO13_school&amp;sa=D&amp;ust=1605639816283000&amp;usg=AFQjCNElsITBs5bisTKEx65SHFIeyUZqEg" xr:uid="{5D8271C3-C52D-45BE-B050-5F8B21A4D6F7}"/>
    <hyperlink ref="F684" r:id="rId1220" display="https://www.google.com/url?q=https://github.com/mostafa-saad/MyCompetitiveProgramming/blob/master/Olympiad/IZhO/IZhO-13-school.txt&amp;sa=D&amp;ust=1605639816283000&amp;usg=AFQjCNEN5v_j0DrDt-dPDWHptf1BmM84nw" xr:uid="{FB5988C0-AB23-41D0-A26A-CBC8969BA108}"/>
    <hyperlink ref="B685" r:id="rId1221" display="https://www.google.com/url?q=https://dunjudge.me/analysis/problems/1663/&amp;sa=D&amp;ust=1605639816284000&amp;usg=AFQjCNH1J4-FBYlGhF1-ux_Y2GUKw-9Miw" xr:uid="{933D60E9-EF2C-41E7-BE42-7FF9F0388D16}"/>
    <hyperlink ref="F685" r:id="rId1222" display="https://www.google.com/url?q=https://github.com/mostafa-saad/MyCompetitiveProgramming/blob/master/Olympiad/IOI/IOIPractice-17-coins.txt&amp;sa=D&amp;ust=1605639816284000&amp;usg=AFQjCNH5QLaNGERBaL_rCO01QUsuzY-fkQ" xr:uid="{03F5C3A8-CBBC-470F-A57A-53B119AEB87E}"/>
    <hyperlink ref="B686" r:id="rId1223" display="https://www.google.com/url?q=https://oj.uz/problem/view/APIO15_skyscraper&amp;sa=D&amp;ust=1605639816284000&amp;usg=AFQjCNHZ4E5jeF_Nz0Utn51lJw0ZNJEWFg" xr:uid="{6E931389-BD43-4E48-BD77-25086424336B}"/>
    <hyperlink ref="F686" r:id="rId1224" display="https://www.google.com/url?q=https://github.com/mostafa-saad/MyCompetitiveProgramming/blob/master/Olympiad/APIO/APIO-15-skyscraper.txt&amp;sa=D&amp;ust=1605639816285000&amp;usg=AFQjCNF-7eiaLt1ictKZPAEl3Dt6ZPJV_g" xr:uid="{356F7646-7696-4F7C-90CE-D614D1EC91C2}"/>
    <hyperlink ref="B687" r:id="rId1225" display="https://www.google.com/url?q=https://oj.uz/problem/view/BOI19_nautilus&amp;sa=D&amp;ust=1605639816285000&amp;usg=AFQjCNFzrlteMPUu_Yur2iA3xVPEC936UA" xr:uid="{EF5C381E-CEA7-4B40-986C-B474C16D34E8}"/>
    <hyperlink ref="F687" r:id="rId1226" display="https://www.google.com/url?q=https://github.com/mostafa-saad/MyCompetitiveProgramming/blob/master/Olympiad/Baltic/Baltic-19-nautilus.txt&amp;sa=D&amp;ust=1605639816285000&amp;usg=AFQjCNHxqjfypMc_Dqol0XwsD8HaQNgxYw" xr:uid="{6C9CF224-46F1-4A63-87D4-F9AFC422D4BC}"/>
    <hyperlink ref="B688" r:id="rId1227" display="https://www.google.com/url?q=http://usaco.org/index.php?page%3Dviewproblem2%26cpid%3D947&amp;sa=D&amp;ust=1605639816285000&amp;usg=AFQjCNHbVyTtFn1C2A4AJN-PVTam-dbmmw" xr:uid="{F87F50AD-6553-4691-B985-4C7BC0D4E6D0}"/>
    <hyperlink ref="B689" r:id="rId1228" display="https://www.google.com/url?q=https://dmoj.ca/problem/ioi02p4&amp;sa=D&amp;ust=1605639816286000&amp;usg=AFQjCNGqwOt4kVN5uYdQT2cO_p9K2NQVaQ" xr:uid="{82C20C84-9EDD-44C2-81FB-5EBE4F7A681A}"/>
    <hyperlink ref="F689" r:id="rId1229" display="https://www.google.com/url?q=https://github.com/mostafa-saad/MyCompetitiveProgramming/blob/master/Olympiad/IOI/IOI-02-Batch.txt&amp;sa=D&amp;ust=1605639816286000&amp;usg=AFQjCNFDkTz0FWSIyoM2fMcoygIQYwb5aA" xr:uid="{8681BF07-E01B-490E-ACDE-5AB18AE0F32B}"/>
    <hyperlink ref="B690" r:id="rId1230" display="https://www.google.com/url?q=https://wcipeg.com/problem/coci096p4&amp;sa=D&amp;ust=1605639816287000&amp;usg=AFQjCNEunZrFh2kwO5-Y4h98-K6fvQh3sg" xr:uid="{CE66D88D-579A-4AED-9319-6755A4496A2A}"/>
    <hyperlink ref="F690" r:id="rId1231" display="https://www.google.com/url?q=https://github.com/mostafa-saad/MyCompetitiveProgramming/blob/master/Olympiad/COCI/COCI-09-Xor.txt&amp;sa=D&amp;ust=1605639816287000&amp;usg=AFQjCNElriMlU9iPcglXC4g-axHIHnrB3g" xr:uid="{40C4544A-6318-49C6-B0C6-FF9E58B197F0}"/>
    <hyperlink ref="B691" r:id="rId1232" display="https://www.google.com/url?q=https://oj.uz/problem/view/IZhO18_plan&amp;sa=D&amp;ust=1605639816287000&amp;usg=AFQjCNEq6vrVp9Q9Xww-FQSpGoWJ1OTuAg" xr:uid="{69BEE85E-A6B3-4595-990B-534A39163C2D}"/>
    <hyperlink ref="B692" r:id="rId1233" display="https://www.google.com/url?q=https://szkopul.edu.pl/problemset/problem/APWi6y6XTt5ujve8ynI_FNJ1/site/&amp;sa=D&amp;ust=1605639816288000&amp;usg=AFQjCNFbxzGGCaMBAdS8H_m4w0jrjwh4-w" xr:uid="{7BBC39FE-3A87-4118-A1FD-BA50FBB7D85C}"/>
    <hyperlink ref="F692" r:id="rId1234" display="https://www.google.com/url?q=https://github.com/mostafa-saad/MyCompetitiveProgramming/blob/master/Olympiad/POI/POI-14-Criminals.txt&amp;sa=D&amp;ust=1605639816288000&amp;usg=AFQjCNEgzZ96Rktr16q2miwsPtLr32Ouog" xr:uid="{B5FB7581-42CD-4B8C-8EA5-9C50FEA208F1}"/>
    <hyperlink ref="B693" r:id="rId1235" display="https://www.google.com/url?q=https://www.infoarena.ro/problema/arb&amp;sa=D&amp;ust=1605639816288000&amp;usg=AFQjCNEvfC1VUkP3jTxqMUbzcTpFmuAFRw" xr:uid="{E714DD40-ED95-4A16-AA0A-B53770636732}"/>
    <hyperlink ref="B694" r:id="rId1236" display="https://www.google.com/url?q=https://dmoj.ca/problem/utso15p3&amp;sa=D&amp;ust=1605639816289000&amp;usg=AFQjCNFT_95TlWKi4WtWRzTb8VFcDmc2wg" xr:uid="{939116E2-7A08-41E9-B2AC-E50DFA210750}"/>
    <hyperlink ref="B695" r:id="rId1237" display="https://www.google.com/url?q=https://szkopul.edu.pl/problemset/problem/Hj7Ko64-xPs_FrzJ4WucMde9/site/&amp;sa=D&amp;ust=1605639816289000&amp;usg=AFQjCNGpEAqNtIjQZ2CWVf1qaP2c8XySlA" xr:uid="{11720B8A-9442-4B59-A67A-64B586803376}"/>
    <hyperlink ref="F695" r:id="rId1238" display="https://www.google.com/url?q=https://github.com/mostafa-saad/MyCompetitiveProgramming/blob/master/Olympiad/POI/POI-15-Gluttons.txt&amp;sa=D&amp;ust=1605639816290000&amp;usg=AFQjCNH0HNldPoRM2M2q35ipINMmRQA8rA" xr:uid="{2ED1B88A-709D-4F4C-A27F-DDCD433B8926}"/>
    <hyperlink ref="B696" r:id="rId1239" display="https://www.google.com/url?q=https://oj.uz/problem/view/IZhO14_shymbulak&amp;sa=D&amp;ust=1605639816290000&amp;usg=AFQjCNGAIY6JJR_4T01f4i27wFvIAIPYzQ" xr:uid="{BE19116A-699A-43A6-A669-78AE786D3F92}"/>
    <hyperlink ref="F696" r:id="rId1240" display="https://www.google.com/url?q=https://github.com/tmwilliamlin168/CompetitiveProgramming/blob/master/IZhO/14-Shymbulak.cpp&amp;sa=D&amp;ust=1605639816290000&amp;usg=AFQjCNE8tZ--Y1KQWbjhmcTC4mb7Iv4fGA" xr:uid="{6137A18C-2BA8-4225-889A-BD15B508A890}"/>
    <hyperlink ref="B697" r:id="rId1241" display="https://www.google.com/url?q=https://infoarena.ro/problema/overpower&amp;sa=D&amp;ust=1605639816291000&amp;usg=AFQjCNFOY-Qu7sfQJjHjhUDwEzoigYJ_gw" xr:uid="{5669CC28-7692-4BF3-9DF6-0A1B934F2D0C}"/>
    <hyperlink ref="F697" r:id="rId1242" display="https://www.google.com/url?q=https://github.com/stefdasca/CompetitiveProgramming/blob/master/Infoarena/overpower.cpp&amp;sa=D&amp;ust=1605639816291000&amp;usg=AFQjCNHxSj8w-bnx_QgiCcdZO2xiTBiSEw" xr:uid="{D6F0E1A1-25E5-4671-B6DD-81F2BEC2E260}"/>
    <hyperlink ref="B698" r:id="rId1243" display="https://www.google.com/url?q=https://oj.uz/problem/view/IOI13_robots&amp;sa=D&amp;ust=1605639816291000&amp;usg=AFQjCNFZBMlKQ9WNonbxE5lCN8p7cfP4Dw" xr:uid="{8896B96B-415D-4031-B564-6D0597F9A724}"/>
    <hyperlink ref="F698" r:id="rId1244" display="https://www.google.com/url?q=https://github.com/mostafa-saad/MyCompetitiveProgramming/blob/master/Olympiad/IOI/IOI-13-robots.txt&amp;sa=D&amp;ust=1605639816292000&amp;usg=AFQjCNHrIyW5OohMALw6NmmXgwA_2s2uZA" xr:uid="{6B98AEA6-51DD-44E7-887A-AE056A887790}"/>
    <hyperlink ref="B699" r:id="rId1245" display="https://www.google.com/url?q=https://csacademy.com/contest/rmi-2017-day-1/task/hangman2/&amp;sa=D&amp;ust=1605639816292000&amp;usg=AFQjCNH_0A3fbjVAKShc-cgkwZo3EQ1fuA" xr:uid="{D174612C-7C1A-4C20-A20D-F739FAE861E8}"/>
    <hyperlink ref="F699" r:id="rId1246" display="https://www.google.com/url?q=https://github.com/mostafa-saad/MyCompetitiveProgramming/blob/master/Olympiad/RMI/RMI-17-D1-Hangman-2.txt&amp;sa=D&amp;ust=1605639816292000&amp;usg=AFQjCNGkjHmlk-eY1LEJdykwntpjh6YkRQ" xr:uid="{9F811BB2-580F-404A-87B4-182C60FF0120}"/>
    <hyperlink ref="B700" r:id="rId1247" display="https://www.google.com/url?q=https://dunjudge.me/analysis/problems/153/&amp;sa=D&amp;ust=1605639816293000&amp;usg=AFQjCNFCHBNrkYSmaakmhMJO7_4EgcORJA" xr:uid="{FE9CE95C-2CBD-4EA3-A642-BF81C30FFD5C}"/>
    <hyperlink ref="F700" r:id="rId1248" display="https://www.google.com/url?q=https://github.com/mostafa-saad/MyCompetitiveProgramming/blob/master/Olympiad/CEOI/COCI-09-snowwhite.txt&amp;sa=D&amp;ust=1605639816293000&amp;usg=AFQjCNG1ikaInogGIGJSEVGbpd3hio4HrQ" xr:uid="{9F89D2CC-E2FD-418D-9B77-CC95B5D6F689}"/>
    <hyperlink ref="B701" r:id="rId1249" display="https://www.google.com/url?q=https://oj.uz/problem/view/BOI13_pipes&amp;sa=D&amp;ust=1605639816293000&amp;usg=AFQjCNEWD-3AXurnoLcMkULSarIui9qTbQ" xr:uid="{03136B7D-002F-4112-9842-B9CE37174FB9}"/>
    <hyperlink ref="F701" r:id="rId1250" display="https://www.google.com/url?q=https://github.com/mostafa-saad/MyCompetitiveProgramming/blob/master/Olympiad/Baltic/Baltic-13-pipes.txt&amp;sa=D&amp;ust=1605639816294000&amp;usg=AFQjCNG6zhxwqTqSoa1UIJ7L5XDIH4ZdNw" xr:uid="{473ED2A2-D894-491D-961B-0E170099A0C1}"/>
    <hyperlink ref="B702" r:id="rId1251" display="https://www.google.com/url?q=https://oj.uz/problem/view/COCI15_vudu&amp;sa=D&amp;ust=1605639816295000&amp;usg=AFQjCNGyKbLoAdwLYoblzNTXhWgnkYwNPA" xr:uid="{644D983A-6F66-402C-80DD-41E83A6760ED}"/>
    <hyperlink ref="F702" r:id="rId1252" display="https://www.google.com/url?q=https://github.com/mostafa-saad/MyCompetitiveProgramming/blob/master/Olympiad/JOI/COCI/COCI-15-vudu.txt&amp;sa=D&amp;ust=1605639816296000&amp;usg=AFQjCNEb-RxUQWmLorRaNiLUrqsbyVL83A" xr:uid="{BC5F6983-C929-4EE2-880B-A2EFCD9D0F35}"/>
    <hyperlink ref="B703" r:id="rId1253" display="https://www.google.com/url?q=https://oj.uz/problem/view/COCI16_vjestica&amp;sa=D&amp;ust=1605639816296000&amp;usg=AFQjCNHwKA8MG7NzlF2CzgH3T5Dzb9tAYA" xr:uid="{C9F00AA1-3717-484F-AD89-1A2DBF961DC4}"/>
    <hyperlink ref="F703" r:id="rId1254" display="https://www.google.com/url?q=https://github.com/mostafa-saad/MyCompetitiveProgramming/blob/master/Olympiad/COCI/COCI-16-vjestica.txt&amp;sa=D&amp;ust=1605639816296000&amp;usg=AFQjCNE9VXLyHurmLdetmx6L2L9in94IbA" xr:uid="{F4E499C2-6F76-4107-802D-017878063D68}"/>
    <hyperlink ref="B704" r:id="rId1255" display="https://www.google.com/url?q=http://usaco.org/index.php?page%3Dviewproblem2%26cpid%3D697&amp;sa=D&amp;ust=1605639816297000&amp;usg=AFQjCNF1wDBli1bAIYQxBo6fYmLoGkDfqw" xr:uid="{3B149F8B-DC78-4141-AB6F-8DBF7E111531}"/>
    <hyperlink ref="F704" r:id="rId1256" display="https://www.google.com/url?q=https://github.com/zoooma13/Competitive-Programming/blob/master/tallbarn.cpp&amp;sa=D&amp;ust=1605639816297000&amp;usg=AFQjCNEphOt6Nh6M6hdz4TciYZKSChM0KQ" xr:uid="{4DB5C552-7BAD-402D-B42F-9FB5EC10E9E4}"/>
    <hyperlink ref="B705" r:id="rId1257" display="https://www.google.com/url?q=https://cses.fi/189/list/&amp;sa=D&amp;ust=1605639816297000&amp;usg=AFQjCNGhRB5nrQYfXy3kwUYt4IiuuD7khQ" xr:uid="{62E1C4FA-2CE4-4021-9ABE-DAEB3604E1FC}"/>
    <hyperlink ref="F705" r:id="rId1258" display="https://www.google.com/url?q=https://github.com/mostafa-saad/MyCompetitiveProgramming/blob/master/Olympiad/CEOI/CEOI-08-Knights.txt&amp;sa=D&amp;ust=1605639816297000&amp;usg=AFQjCNGTbaQPmg3PqzIaupfWTIP0DjZbSQ" xr:uid="{D3289D09-DFCD-42B6-9623-559ADC825C9C}"/>
    <hyperlink ref="B706" r:id="rId1259" display="https://www.google.com/url?q=https://dunjudge.me/analysis/problems/732/&amp;sa=D&amp;ust=1605639816298000&amp;usg=AFQjCNH2S2NQChN1Eu28GMFwyI6K9-xoIw" xr:uid="{26AB8A67-B0CD-4241-B22E-1DDFDB524141}"/>
    <hyperlink ref="F706" r:id="rId1260" display="https://www.google.com/url?q=https://github.com/mostafa-saad/MyCompetitiveProgramming/blob/master/Olympiad/JOI/JOISC-15-inheritance.txt&amp;sa=D&amp;ust=1605639816298000&amp;usg=AFQjCNG-t3eHaSL-6M-N2gSaX9IiM44f4g" xr:uid="{D64995E8-BE06-4A88-A651-D25B791F6283}"/>
    <hyperlink ref="B707" r:id="rId1261" display="https://www.google.com/url?q=https://oj.uz/problem/view/COCI18_pictionary&amp;sa=D&amp;ust=1605639816298000&amp;usg=AFQjCNF4fy6Uj1yhF-EjiIeqR9f22FVSDQ" xr:uid="{D1FCA77E-2A9B-4FEF-A2BD-035524C89F44}"/>
    <hyperlink ref="F707" r:id="rId1262" display="https://www.google.com/url?q=https://github.com/mostafa-saad/MyCompetitiveProgramming/blob/master/Olympiad/COCI/COCI-18-pictionary.txt&amp;sa=D&amp;ust=1605639816298000&amp;usg=AFQjCNEe-Z7O_Dif1npkAvBoikHSK-v3Og" xr:uid="{7676C992-F54E-4574-81F9-09C3BE22A0E8}"/>
    <hyperlink ref="B708" r:id="rId1263" display="https://www.google.com/url?q=https://oj.uz/problem/view/IZhO18_treearray&amp;sa=D&amp;ust=1605639816299000&amp;usg=AFQjCNEqEN2L-vkMtzTmlmSDl0r7fL4Eqw" xr:uid="{27F79CEC-D18E-4DE0-BF49-81E6E2ACCB23}"/>
    <hyperlink ref="F708" r:id="rId1264" display="https://www.google.com/url?q=https://github.com/mostafa-saad/MyCompetitiveProgramming/blob/master/Olympiad/IZhO/IZhO-18-treearray.txt&amp;sa=D&amp;ust=1605639816299000&amp;usg=AFQjCNG730z2bIDY4OOvZrLq4Xe7hYzSMQ" xr:uid="{B3C4616F-775E-4728-9342-279368DBEC94}"/>
    <hyperlink ref="B709" r:id="rId1265" display="https://www.google.com/url?q=https://github.com/mostafa-saad/MyCompetitiveProgramming/blob/master/Olympiad/Baltic/Baltic-09-Beetles.txt&amp;sa=D&amp;ust=1605639816299000&amp;usg=AFQjCNGuTUSY4n255cTaV2TWZj9rdRULpA" xr:uid="{BC496538-71AF-46D0-BF44-066F5E7458B5}"/>
    <hyperlink ref="F709" r:id="rId1266" display="https://www.google.com/url?q=https://github.com/mostafa-saad/MyCompetitiveProgramming/blob/master/Olympiad/Baltic/Baltic-09-Beetles.txt&amp;sa=D&amp;ust=1605639816299000&amp;usg=AFQjCNGuTUSY4n255cTaV2TWZj9rdRULpA" xr:uid="{1D3C426D-FA77-4DAD-A0A1-165AEA8D0D80}"/>
    <hyperlink ref="B710" r:id="rId1267" display="https://www.google.com/url?q=https://szkopul.edu.pl/problemset/problem/zWn2E-v-nn-bozeXQrykmCgD/site/&amp;sa=D&amp;ust=1605639816300000&amp;usg=AFQjCNEZQ-tY2GNihiiq1fA-8kT-21Ofog" xr:uid="{2B09FA6F-5698-4D0B-9C27-2776E635AB8E}"/>
    <hyperlink ref="F710" r:id="rId1268" display="https://www.google.com/url?q=https://github.com/mostafa-saad/MyCompetitiveProgramming/blob/master/Olympiad/POI/POI-07-Pipelines.txt&amp;sa=D&amp;ust=1605639816300000&amp;usg=AFQjCNHZJuJiR7MTERC7OfgSCihb3cV_YA" xr:uid="{60EA05FC-9182-4EE6-B0B0-7641009D6DD9}"/>
    <hyperlink ref="B711" r:id="rId1269" display="https://www.google.com/url?q=https://szkopul.edu.pl/problemset/problem/U6ajLqOdhbPOfK02zqN8MmZf/site/&amp;sa=D&amp;ust=1605639816300000&amp;usg=AFQjCNGsFGLVSEPn0AAXT-MXKI1qj6aLAQ" xr:uid="{9F097488-98C1-421A-AC80-488F29031855}"/>
    <hyperlink ref="F711" r:id="rId1270" display="https://www.google.com/url?q=https://github.com/mostafa-saad/MyCompetitiveProgramming/blob/master/Olympiad/POI/POI-07-Tetris.txt&amp;sa=D&amp;ust=1605639816300000&amp;usg=AFQjCNFI_J47P1Pj75hKgw5T0bGyxp98ow" xr:uid="{461BF99E-4402-4D86-BC7E-0C7CB631B65C}"/>
    <hyperlink ref="B712" r:id="rId1271" display="https://www.google.com/url?q=https://open.kattis.com/problem-sources/Baltic%2520Olympiad%2520in%2520Informatics%25202017%252C%2520Day%25201&amp;sa=D&amp;ust=1605639816301000&amp;usg=AFQjCNH75r_BZW955BFP6v2vHyYRXo_QIw" xr:uid="{4061BC64-7572-4680-AE19-4CFF7DE9BDE6}"/>
    <hyperlink ref="F712" r:id="rId1272" display="https://www.google.com/url?q=https://github.com/mostafa-saad/MyCompetitiveProgramming/blob/master/Olympiad/Baltic/Baltic-17-Railway.txt&amp;sa=D&amp;ust=1605639816301000&amp;usg=AFQjCNGAEfYklvw2TVckOVUAUGB_ZMsJyQ" xr:uid="{71406C2B-6096-49B7-88EA-A3492FFC3194}"/>
    <hyperlink ref="B713" r:id="rId1273" display="https://www.google.com/url?q=https://szkopul.edu.pl/problemset/problem/4yTtNIf4H61mJrquuAIhoSh_/site/&amp;sa=D&amp;ust=1605639816301000&amp;usg=AFQjCNHv1VbdKB31v9SgI1iUulZodn4kew" xr:uid="{FC9F55F1-F6F9-470C-8EE5-903B9269A07A}"/>
    <hyperlink ref="F713" r:id="rId1274" display="https://www.google.com/url?q=https://github.com/mostafa-saad/MyCompetitiveProgramming/blob/master/Olympiad/POI/POI-06-Invasion.txt&amp;sa=D&amp;ust=1605639816301000&amp;usg=AFQjCNHu13abEIS1cFJJNJxUs1uurpaCTA" xr:uid="{719B37EA-4F71-4639-A4DA-C71B99FA9177}"/>
    <hyperlink ref="B714" r:id="rId1275" display="https://www.google.com/url?q=https://codeforces.com/group/R2SERIff4f/contest/213171&amp;sa=D&amp;ust=1605639816302000&amp;usg=AFQjCNEP9-SZePb_e3zhwdnKBQVYVFlncw" xr:uid="{134BAC83-4BA3-4D40-94DD-BC3AADAC48CC}"/>
    <hyperlink ref="F714" r:id="rId1276" display="https://www.google.com/url?q=https://github.com/mostafa-saad/MyCompetitiveProgramming/blob/master/Olympiad/MCO/MCO-17-NewbieHacker.txt&amp;sa=D&amp;ust=1605639816302000&amp;usg=AFQjCNEfbgrGwan4KXHES0OuhxizbR0EYg" xr:uid="{B787AE53-FDB7-4465-BAB3-675F38B42DB6}"/>
    <hyperlink ref="B715" r:id="rId1277" display="https://www.google.com/url?q=https://dunjudge.me/analysis/problems/1408/&amp;sa=D&amp;ust=1605639816302000&amp;usg=AFQjCNErv0nkDom9NjKBO_L4SF9zlRd0sw" xr:uid="{540CBBBF-CAB0-4BB7-B524-57161043FD39}"/>
    <hyperlink ref="F715" r:id="rId1278" display="https://www.google.com/url?q=https://github.com/mostafa-saad/MyCompetitiveProgramming/blob/master/Olympiad/COCI/COCI-13-parovi.txt&amp;sa=D&amp;ust=1605639816303000&amp;usg=AFQjCNEofNOfj37vbJNwM3E0r59SnqXUBw" xr:uid="{AC2FE8CD-AD5A-4082-B14A-8571E32D89CF}"/>
    <hyperlink ref="B716" r:id="rId1279" display="https://www.google.com/url?q=https://oj.uz/problem/view/JOI14_factories&amp;sa=D&amp;ust=1605639816303000&amp;usg=AFQjCNG8dohWYNVnrCyyWze_rT3vxkzAAQ" xr:uid="{448AEFE7-62D8-429D-8506-860048AC10AE}"/>
    <hyperlink ref="F716" r:id="rId1280" display="https://www.google.com/url?q=https://github.com/Yehezkiel01/CompetitiveProgramming/blob/master/JOIOC/JOIOC-14-factories.cpp&amp;sa=D&amp;ust=1605639816303000&amp;usg=AFQjCNEGQbbEcgmziHrNb4s7SpOJddnaAQ" xr:uid="{D997642E-D64B-48BD-879D-61F42E027534}"/>
    <hyperlink ref="B717" r:id="rId1281" display="https://www.google.com/url?q=https://dunjudge.me/analysis/problems/964/&amp;sa=D&amp;ust=1605639816303000&amp;usg=AFQjCNFlnma-WYhQoNKpTvJgdD9X9N0Efg" xr:uid="{2AAD215B-0749-4242-B7CE-47A1C91B2C8E}"/>
    <hyperlink ref="F717" r:id="rId1282" display="https://www.google.com/url?q=https://github.com/mostafa-saad/MyCompetitiveProgramming/blob/master/Olympiad/MCO/MCO-16-acorn.txt&amp;sa=D&amp;ust=1605639816304000&amp;usg=AFQjCNGAiVHFKb_mNYF4OG_uAOj8sAB7sw" xr:uid="{9D355264-05AC-46A6-97E8-6BFFDF1A33BC}"/>
    <hyperlink ref="B718" r:id="rId1283" display="https://www.google.com/url?q=https://oj.uz/problem/view/JOI18_bubblesort2&amp;sa=D&amp;ust=1605639816305000&amp;usg=AFQjCNHVTH-yZJUksYlGChtmMmLM-dI41g" xr:uid="{2D1F2D3F-3640-4380-A109-1A279E6C388C}"/>
    <hyperlink ref="F718" r:id="rId1284" display="https://www.google.com/url?q=https://github.com/mostafa-saad/MyCompetitiveProgramming/blob/master/Olympiad/JOI/JOIOC-18-bubblesort2.txt&amp;sa=D&amp;ust=1605639816306000&amp;usg=AFQjCNGpybrYS5znJ2W97xd_wRdNdOGS3Q" xr:uid="{092F7FE7-9EB4-4C25-B689-0DE87DE5F196}"/>
    <hyperlink ref="B719" r:id="rId1285" display="https://www.google.com/url?q=https://contest.yandex.ru/ioi/contest/566/enter/&amp;sa=D&amp;ust=1605639816306000&amp;usg=AFQjCNEILBG_wBwsyMV7YS7Z9-6yf0GY5A" xr:uid="{E0447DD8-93F8-4655-BC7D-581B3682FCE7}"/>
    <hyperlink ref="F719" r:id="rId1286" display="https://www.google.com/url?q=https://github.com/mostafa-saad/MyCompetitiveProgramming/blob/master/Olympiad/IOI/IOI-05-mountains.txt&amp;sa=D&amp;ust=1605639816306000&amp;usg=AFQjCNHuEFpiT8Sz6naLn1Fz6yfda6x6pA" xr:uid="{09FEDF4D-3952-4032-9599-96501ED8D23C}"/>
    <hyperlink ref="B720" r:id="rId1287" display="https://www.google.com/url?q=https://www.infoarena.ro/problema/fibo4&amp;sa=D&amp;ust=1605639816307000&amp;usg=AFQjCNEriPRhyV88p39-Gmyu8YcGWKx6LA" xr:uid="{3EBC1B6B-61F0-42EA-AA18-FA33AB73F971}"/>
    <hyperlink ref="F720" r:id="rId1288" display="https://www.google.com/url?q=https://github.com/mostafa-saad/MyCompetitiveProgramming/blob/master/Olympiad/infoarena/infoarena_fibo4.txt&amp;sa=D&amp;ust=1605639816307000&amp;usg=AFQjCNFrHzNZSUQivPHmVUhjYD9FfG--1g" xr:uid="{19E25259-258B-410B-B301-23A7D9BD48D8}"/>
    <hyperlink ref="B721" r:id="rId1289" display="https://www.google.com/url?q=https://infoarena.ro/problema/plimbare3&amp;sa=D&amp;ust=1605639816307000&amp;usg=AFQjCNFW7b9qBgwv-1zZTJBVP7RKYOfkHw" xr:uid="{E6725912-9B02-45F6-AE5E-E1F2BC56F03C}"/>
    <hyperlink ref="F721" r:id="rId1290" display="https://www.google.com/url?q=https://github.com/mostafa-saad/MyCompetitiveProgramming/blob/master/Olympiad/infoarena/infoarena-plimbare3.txt&amp;sa=D&amp;ust=1605639816308000&amp;usg=AFQjCNGbsamrOvUs7FHY1MQ1Q420n4FCiA" xr:uid="{DB74FF64-8FAF-4349-9C7A-E4E98C58B931}"/>
    <hyperlink ref="B722" r:id="rId1291" display="https://www.google.com/url?q=https://dmoj.ca/problem/coci08c3p6&amp;sa=D&amp;ust=1605639816308000&amp;usg=AFQjCNESs-wYjktsWu3yf3j6WFVfyoXyhQ" xr:uid="{4F7EC8DE-CD4A-4DBD-979D-DCCBEE96E98F}"/>
    <hyperlink ref="F722" r:id="rId1292" display="https://www.google.com/url?q=https://github.com/mostafa-saad/MyCompetitiveProgramming/blob/master/Olympiad/COCI/COCI-08-Najkraci.txt&amp;sa=D&amp;ust=1605639816308000&amp;usg=AFQjCNHZvJaneApJk1gWEGjxf40aomdEAg" xr:uid="{8577EB9B-D759-4C67-B0B5-5D93C0F3968A}"/>
    <hyperlink ref="B723" r:id="rId1293" display="https://www.google.com/url?q=https://www.infoarena.ro/problema/sabin&amp;sa=D&amp;ust=1605639816308000&amp;usg=AFQjCNGjtpn1JpAfT5XU4HEPYnQqv943tw" xr:uid="{FE858C5B-BFF4-4FB2-9535-EB554C9E88D9}"/>
    <hyperlink ref="F723" r:id="rId1294" display="https://www.google.com/url?q=https://github.com/mostafa-saad/MyCompetitiveProgramming/blob/master/Olympiad/infoarena/infoarena_sabin.txt&amp;sa=D&amp;ust=1605639816309000&amp;usg=AFQjCNEPb3vg4rxC12UfuKrhJSyby9lnUw" xr:uid="{DC0DE80C-D626-4967-82B9-364FE9A42D4B}"/>
    <hyperlink ref="B724" r:id="rId1295" display="https://www.google.com/url?q=http://usaco.org/index.php?page%3Dviewproblem2%26cpid%3D722&amp;sa=D&amp;ust=1605639816309000&amp;usg=AFQjCNFkzi43l9QU-Z1JvGk9wv5SRv5w0A" xr:uid="{A26C6C7E-7B19-4EE5-8EE7-14033A199371}"/>
    <hyperlink ref="F724" r:id="rId1296" display="https://www.google.com/url?q=https://github.com/MohamedAhmed04/Competitive-programming/blob/master/USACO/17-February-Platinum-WhyDidTheCowCrossTheRoadIII.cpp&amp;sa=D&amp;ust=1605639816309000&amp;usg=AFQjCNEmKFcCV1jynEfeSSKsvh5d6XsnHA" xr:uid="{2A61D91F-F932-4FEA-8AE7-2B861A1CFDAD}"/>
    <hyperlink ref="B725" r:id="rId1297" display="https://www.google.com/url?q=https://www.infoarena.ro/problema/pitici3&amp;sa=D&amp;ust=1605639816310000&amp;usg=AFQjCNGut_Q69SHBHopPkyLVmjwejNwLiA" xr:uid="{D19EC903-D85F-4524-BC97-1CD5074F1C82}"/>
    <hyperlink ref="F725" r:id="rId1298" display="https://www.google.com/url?q=https://github.com/mostafa-saad/MyCompetitiveProgramming/blob/master/Olympiad/infoarena/infoarena-pitici3.txt&amp;sa=D&amp;ust=1605639816310000&amp;usg=AFQjCNGktm4cvQghSRXYjiPxkbTNbR3OsA" xr:uid="{F2E74FF3-3D55-4C6B-AA53-77E31C1298B6}"/>
    <hyperlink ref="B726" r:id="rId1299" display="https://www.google.com/url?q=https://cses.fi/116/list/&amp;sa=D&amp;ust=1605639816310000&amp;usg=AFQjCNGH3PxvMQfOTMPxixfsKFkRn0l89A" xr:uid="{3C192E1E-5F7C-493A-A165-7F08FA755960}"/>
    <hyperlink ref="F726" r:id="rId1300" display="https://www.google.com/url?q=https://github.com/mostafa-saad/MyCompetitiveProgramming/blob/master/Olympiad/Baltic/Baltic-05-Bus_Trip.txt&amp;sa=D&amp;ust=1605639816311000&amp;usg=AFQjCNGpEOds4bPvIt_yOGxzlrATV9jzGw" xr:uid="{1946C9EB-7732-4A31-927F-7418CB816456}"/>
    <hyperlink ref="B727" r:id="rId1301" display="https://www.google.com/url?q=https://www.infoarena.ro/problema/lcdr&amp;sa=D&amp;ust=1605639816311000&amp;usg=AFQjCNG9KZ2MAGyT77tEvNEPgcJNkBskyw" xr:uid="{1B323CCE-4E39-4582-9F91-EB99322EEFAD}"/>
    <hyperlink ref="F727" r:id="rId1302" display="https://www.google.com/url?q=https://github.com/mostafa-saad/MyCompetitiveProgramming/blob/master/Olympiad/infoarena/infoarena_lcdr.txt&amp;sa=D&amp;ust=1605639816311000&amp;usg=AFQjCNF4aPC36UwiwlGsJ9hoxwSRHWxkdg" xr:uid="{1CAB0ECA-5848-4897-B767-5A2AB00227F9}"/>
    <hyperlink ref="B728" r:id="rId1303" display="https://www.google.com/url?q=http://www.usaco.org/index.php?page%3Dviewproblem2%26cpid%3D994&amp;sa=D&amp;ust=1605639816312000&amp;usg=AFQjCNFGPLjSFH3jZASrbjjxfpqgsMeqhg" xr:uid="{9F1587D4-0C9A-4E09-8FFE-C8FC1C082E03}"/>
    <hyperlink ref="F729" r:id="rId1304" display="https://www.google.com/url?q=https://github.com/win11905/submission/blob/master/COI/19/ljepotica.cpp&amp;sa=D&amp;ust=1605639816312000&amp;usg=AFQjCNFngBgtxwi_Av1bZGm9XJ1dXdq7Sw" xr:uid="{7157E5C6-9B20-4E42-9483-35E01214E1B2}"/>
    <hyperlink ref="B730" r:id="rId1305" display="https://www.google.com/url?q=https://csacademy.com/contest/ceoi-2018-day-1/task/cloud-computing/&amp;sa=D&amp;ust=1605639816313000&amp;usg=AFQjCNFYTybYgOdD-PD_kXjGobT_ziaJTQ" xr:uid="{1F451798-62A7-410D-A1A0-171B0355930B}"/>
    <hyperlink ref="F730" r:id="rId1306" display="https://www.google.com/url?q=https://github.com/mostafa-saad/MyCompetitiveProgramming/blob/master/Olympiad/CEOI/CEOI-18-Cloud.txt&amp;sa=D&amp;ust=1605639816313000&amp;usg=AFQjCNFLQufNI57lH2s5PuuHhci15LzG3w" xr:uid="{38FE2BAB-BB59-4B79-B68A-C5ADAC39963F}"/>
    <hyperlink ref="B731" r:id="rId1307" display="https://www.google.com/url?q=https://oj.uz/problem/view/IOI17_mountains&amp;sa=D&amp;ust=1605639816313000&amp;usg=AFQjCNHujGPDHUciLPGOeI3cM4hROAUHcw" xr:uid="{5F4AA630-9702-4F34-9539-43BF87C12982}"/>
    <hyperlink ref="F731" r:id="rId1308" display="https://www.google.com/url?q=https://github.com/ZeyadKhattab/Competitive-Programming/blob/master/Problems/IOI%252017-mountains.cpp&amp;sa=D&amp;ust=1605639816314000&amp;usg=AFQjCNF0OBDOCBHnrw_CfUBcv98R5fK4Rw" xr:uid="{5569933D-C435-4202-8B29-B0A7963EA547}"/>
    <hyperlink ref="B732" r:id="rId1309" display="https://www.google.com/url?q=https://wcipeg.com/problem/coci094p4&amp;sa=D&amp;ust=1605639816314000&amp;usg=AFQjCNE8FoW5tGl6Im-oyZRWZgDY04FlmQ" xr:uid="{FBB9447A-0877-4EE8-B8A8-D7BA2679D6BB}"/>
    <hyperlink ref="F732" r:id="rId1310" display="https://www.google.com/url?q=https://github.com/mostafa-saad/MyCompetitiveProgramming/blob/master/Olympiad/COCI/COCI-09-Ograda.txt&amp;sa=D&amp;ust=1605639816314000&amp;usg=AFQjCNGokSJQeb0RGIGyFo5Z18MEScEUCg" xr:uid="{439E3819-C3B6-4641-A4CC-BFF928F6DB09}"/>
    <hyperlink ref="B733" r:id="rId1311" display="https://www.google.com/url?q=https://infoarena.ro/problema/kdtree&amp;sa=D&amp;ust=1605639816315000&amp;usg=AFQjCNEPQytKLfoAblfhAXMWJQGmNFkvrQ" xr:uid="{E18333EA-AF7C-424E-85AC-14CC3E58C955}"/>
    <hyperlink ref="F733" r:id="rId1312" display="https://www.google.com/url?q=https://github.com/stefdasca/CompetitiveProgramming/blob/master/Infoarena/kdtree.cpp&amp;sa=D&amp;ust=1605639816315000&amp;usg=AFQjCNErUA8DE2_9sOtwmLJfLqeA2z8YGA" xr:uid="{BB0AD950-F042-4006-A7D6-0CD885DE033B}"/>
    <hyperlink ref="B734" r:id="rId1313" display="https://www.google.com/url?q=https://contest.yandex.ru/ioi/contest/562/problems/B/&amp;sa=D&amp;ust=1605639816315000&amp;usg=AFQjCNF4rcL6Q1oreIXx8tKOyMIH13ro9w" xr:uid="{6A27802A-2802-4D09-81BB-E9E47360612C}"/>
    <hyperlink ref="F734" r:id="rId1314" display="https://www.google.com/url?q=https://github.com/mostafa-saad/MyCompetitiveProgramming/blob/master/Olympiad/IOI/IOI-06-pyramid.txt&amp;sa=D&amp;ust=1605639816316000&amp;usg=AFQjCNEeCGYsRBpK2StX-10Mk6s4K7IJSw" xr:uid="{1A301ABE-49B9-4AC5-A617-7106692B0EA2}"/>
    <hyperlink ref="B735" r:id="rId1315" display="https://www.google.com/url?q=https://cses.fi/180/list/&amp;sa=D&amp;ust=1605639816317000&amp;usg=AFQjCNFK_w0Jn42ZyVXeFlObKZcipE-ENQ" xr:uid="{6DB7E09A-E25D-48A9-B3BC-C4194DE7BE57}"/>
    <hyperlink ref="F735" r:id="rId1316" display="https://www.google.com/url?q=https://github.com/MetalBall887/Competitive-Programming/blob/master/Olympiad/CEOI/CEOI%252009-Logs.cpp&amp;sa=D&amp;ust=1605639816317000&amp;usg=AFQjCNGGiw3r3c7rqMHDR5VhLTDtuQaZuw" xr:uid="{AE6F8514-C447-4AE9-A9DE-7CD737A8AFAC}"/>
    <hyperlink ref="B736" r:id="rId1317" display="https://www.google.com/url?q=https://infoarena.ro/problema/eq&amp;sa=D&amp;ust=1605639816318000&amp;usg=AFQjCNFieZe2uq-Vu-qNd9-QORuSZoZxMg" xr:uid="{A365B429-E8E3-49ED-840D-744700833A85}"/>
    <hyperlink ref="F736" r:id="rId1318" display="https://www.google.com/url?q=https://github.com/mostafa-saad/MyCompetitiveProgramming/blob/master/Olympiad/infoarena/infoarena-eq.txt&amp;sa=D&amp;ust=1605639816318000&amp;usg=AFQjCNEwIlMqNuQzXkoMBDAQG2bcWCjmOw" xr:uid="{30BA3978-C307-4FF8-8CFF-EAA1D76FFDBA}"/>
    <hyperlink ref="B737" r:id="rId1319" display="https://www.google.com/url?q=https://dmoj.ca/problem/apio12p1&amp;sa=D&amp;ust=1605639816318000&amp;usg=AFQjCNFgE3c4kgnioxDtQ0U_H38M3Qa-PQ" xr:uid="{95F17373-4247-41C1-8D67-565AC39D2161}"/>
    <hyperlink ref="F737" r:id="rId1320" display="https://www.google.com/url?q=https://github.com/mostafa-saad/MyCompetitiveProgramming/blob/master/Olympiad/APIO/APIO-12-Dispatching.txt&amp;sa=D&amp;ust=1605639816319000&amp;usg=AFQjCNE8rfVBmpxq0hlO0qvYTysjUVgfFw" xr:uid="{0C571EB5-1443-4370-B5D6-A39D9AB9B2DC}"/>
    <hyperlink ref="B738" r:id="rId1321" display="https://www.google.com/url?q=https://cses.fi/100/list/&amp;sa=D&amp;ust=1605639816319000&amp;usg=AFQjCNF0QxWbtOXMVjlcamctwkufYZGDUw" xr:uid="{3F005118-04AE-488D-A87D-F9554E2C5D90}"/>
    <hyperlink ref="F738" r:id="rId1322" display="https://www.google.com/url?q=https://github.com/mostafa-saad/MyCompetitiveProgramming/blob/master/Olympiad/Baltic/Baltic-11-Vikings.txt&amp;sa=D&amp;ust=1605639816319000&amp;usg=AFQjCNGtxRcFsHZh6blVCFzNqA1dZvjLIw" xr:uid="{9F5480B9-1FF3-4973-B14A-122389981F67}"/>
    <hyperlink ref="B739" r:id="rId1323" display="https://www.google.com/url?q=https://szkopul.edu.pl/problemset/problem/_L_YGzT5VYJO9zHTfVRwPjwh/site/&amp;sa=D&amp;ust=1605639816320000&amp;usg=AFQjCNEbmnMDtJSgDg1uICRU7z8oL9dVgQ" xr:uid="{35032641-F545-417E-892F-5C823B223565}"/>
    <hyperlink ref="F739" r:id="rId1324" display="https://www.google.com/url?q=https://github.com/mostafa-saad/MyCompetitiveProgramming/blob/master/Olympiad/POI/POI-07-Tourist.txt&amp;sa=D&amp;ust=1605639816320000&amp;usg=AFQjCNG_qUw7FsNlQZMesg6hnBMpj36kuQ" xr:uid="{80C61A10-6F22-415E-87BA-4991F463F8D3}"/>
    <hyperlink ref="B740" r:id="rId1325" display="https://www.google.com/url?q=https://www.infoarena.ro/problema/mexc&amp;sa=D&amp;ust=1605639816320000&amp;usg=AFQjCNG7WdZAvJCwFyXzbbCsadg37VfT4g" xr:uid="{8EDBEBDF-A7DF-4790-AAF5-EE7C82B0970B}"/>
    <hyperlink ref="F740" r:id="rId1326" display="https://www.google.com/url?q=https://github.com/mostafa-saad/MyCompetitiveProgramming/blob/master/Olympiad/infoarena/infoarena_mexc.txt&amp;sa=D&amp;ust=1605639816320000&amp;usg=AFQjCNFBTvj9DEf9fA0_vZCflXe0SvEGtg" xr:uid="{610B49D8-BF74-4244-BCC5-6F7AC12A102F}"/>
    <hyperlink ref="B741" r:id="rId1327" display="https://www.google.com/url?q=https://www.infoarena.ro/problema/karb&amp;sa=D&amp;ust=1605639816321000&amp;usg=AFQjCNFpGyrp9UzR7HB0UJdivAOTMJ4a4w" xr:uid="{DC3608E9-4E4C-4A08-B469-3080D0A3CB18}"/>
    <hyperlink ref="F741" r:id="rId1328" display="https://www.google.com/url?q=https://github.com/mostafa-saad/MyCompetitiveProgramming/blob/master/Olympiad/infoarena/infoarena-karb.txt&amp;sa=D&amp;ust=1605639816321000&amp;usg=AFQjCNH_DOyaB61NXmgA54KBaOKgOtjTAA" xr:uid="{F2FDB8CF-1FC4-450E-925A-202E9DBF8474}"/>
    <hyperlink ref="B742" r:id="rId1329" display="https://www.google.com/url?q=https://szkopul.edu.pl/problemset/problem/pWnFB3uRHH0y29PwkMBS2T0Z/site/&amp;sa=D&amp;ust=1605639816321000&amp;usg=AFQjCNFgCEL9JXc0lypYcIE-WlHnWHYXEA" xr:uid="{9F8472E2-0BAF-434B-BACE-F51F07C704BD}"/>
    <hyperlink ref="F742" r:id="rId1330" display="https://www.google.com/url?q=https://github.com/mostafa-saad/MyCompetitiveProgramming/blob/master/Olympiad/CEOI/CEOI-11-Traffic.txt&amp;sa=D&amp;ust=1605639816322000&amp;usg=AFQjCNHIVLTsbmd03oS7bh7hKrkb1PWDVg" xr:uid="{1CC852F6-827F-4537-96B3-6635D8243004}"/>
    <hyperlink ref="B743" r:id="rId1331" display="https://www.google.com/url?q=https://training.ia-toki.org/problemsets/113/problems&amp;sa=D&amp;ust=1605639816322000&amp;usg=AFQjCNFmso4oM2lvSK1OHSVBdXvGDmZg7A" xr:uid="{F08E5985-05CE-44F8-B734-8BDBAB9FC4E8}"/>
    <hyperlink ref="F743" r:id="rId1332" display="https://www.google.com/url?q=https://github.com/mostafa-saad/MyCompetitiveProgramming/blob/master/Olympiad/TOKI/TOKIOpen-18-TileCovering.txt&amp;sa=D&amp;ust=1605639816322000&amp;usg=AFQjCNFnwZPfLFfnlUgfI8VPsfBjIUcAdA" xr:uid="{21B451E7-1271-413D-BAC7-0D3B2B0748F0}"/>
    <hyperlink ref="B744" r:id="rId1333" display="https://www.google.com/url?q=http://usaco.org/index.php?page%3Dviewproblem2%26cpid%3D924&amp;sa=D&amp;ust=1605639816323000&amp;usg=AFQjCNES-VYreAbKi4a2jClIgqDpKeptsg" xr:uid="{D1B0E4BB-2FA3-4013-A30F-ACB69AE7FD9F}"/>
    <hyperlink ref="B745" r:id="rId1334" display="https://www.google.com/url?q=https://szkopul.edu.pl/problemset/problem/y7tXjqVq0gPZjc8kPrscs2CJ/site/&amp;sa=D&amp;ust=1605639816323000&amp;usg=AFQjCNFhROBk3k0NHrmWTE8KBv9Bm00kiA" xr:uid="{14CF8C1D-6716-4DD8-A4D7-8D3BB3A758E4}"/>
    <hyperlink ref="F745" r:id="rId1335" display="https://www.google.com/url?q=https://github.com/peon-pasado/CompetitiveProgramming/blob/master/szkoput/POI_07-Weights.cpp&amp;sa=D&amp;ust=1605639816324000&amp;usg=AFQjCNFvXjwEN-Jhd8uW3bwB1hNxrq93Zw" xr:uid="{ACBDB15B-4B00-4AE7-90F4-CA6EDA904D3F}"/>
    <hyperlink ref="B746" r:id="rId1336" display="https://www.google.com/url?q=https://dunjudge.me/analysis/problems/1229/&amp;sa=D&amp;ust=1605639816324000&amp;usg=AFQjCNEblrAy4i6fUEMtvWIs-_Z3PDlRrw" xr:uid="{CCA73C97-0146-4BDB-A865-9AB88DE95AA9}"/>
    <hyperlink ref="F746" r:id="rId1337" display="https://www.google.com/url?q=https://github.com/mostafa-saad/MyCompetitiveProgramming/blob/master/Olympiad/NOI/NOI-17-rmq.txt&amp;sa=D&amp;ust=1605639816324000&amp;usg=AFQjCNFbxeVVwn1U4voYn42VTSMT4dirhg" xr:uid="{A638F9F4-ADD4-4FAA-9EEE-D4DE3D9EB424}"/>
    <hyperlink ref="B747" r:id="rId1338" display="https://www.google.com/url?q=https://szkopul.edu.pl/portal/problemset_eng/oi/21&amp;sa=D&amp;ust=1605639816325000&amp;usg=AFQjCNGGQK5g180YoC-jJSVEKju-37i7NA" xr:uid="{9AA7B594-B487-436D-B79B-AF3F6BB55DDE}"/>
    <hyperlink ref="F747" r:id="rId1339" display="https://www.google.com/url?q=https://github.com/mostafa-saad/MyCompetitiveProgramming/blob/master/Olympiad/POI/POI-14-FarmCraft.txt&amp;sa=D&amp;ust=1605639816325000&amp;usg=AFQjCNHwC8-TnLZVAZ59vnWRNYgxVdqKqA" xr:uid="{652379FC-C391-4CFA-B837-B8B8B96C57A9}"/>
    <hyperlink ref="B748" r:id="rId1340" display="https://www.google.com/url?q=https://cses.fi/189/list/&amp;sa=D&amp;ust=1605639816325000&amp;usg=AFQjCNGZ6e2t4bLcoPIq8jJJ6huV5vD7xA" xr:uid="{B3366F7E-F81F-4638-B06A-134D351969B0}"/>
    <hyperlink ref="F748" r:id="rId1341" display="https://www.google.com/url?q=https://github.com/mostafa-saad/MyCompetitiveProgramming/blob/master/Olympiad/CEOI/CEOI-08-Dominance.txt&amp;sa=D&amp;ust=1605639816325000&amp;usg=AFQjCNHdgpJ6p5879-X4r7PTA_J6dt7Stw" xr:uid="{28979FA3-2B8B-43F5-A807-E3252608C20A}"/>
    <hyperlink ref="B749" r:id="rId1342" display="https://www.google.com/url?q=https://training.ia-toki.org/problemsets/2/problems/6/&amp;sa=D&amp;ust=1605639816326000&amp;usg=AFQjCNH59MPZ6OJKWZOyREbEBPcdK4itqg" xr:uid="{4CE1A43D-3B35-43F5-BC26-5CBD0BC5D718}"/>
    <hyperlink ref="F749" r:id="rId1343" display="https://www.google.com/url?q=https://github.com/mostafa-saad/MyCompetitiveProgramming/blob/master/Olympiad/OSN/OSN_15-1C.txt&amp;sa=D&amp;ust=1605639816326000&amp;usg=AFQjCNF01iTHMyKHqxW1g8q6iig2KbFJcA" xr:uid="{83D33B84-C9FD-4BC0-A9EF-E40D126F6EEB}"/>
    <hyperlink ref="B750" r:id="rId1344" display="https://www.google.com/url?q=https://oj.uz/problem/view/IOI11_race&amp;sa=D&amp;ust=1605639816326000&amp;usg=AFQjCNEwVRiK_oT_Rhfi_rwS84ZJ1I8Sqg" xr:uid="{A883C298-6B4B-4C8B-9DEB-405D873F3CE9}"/>
    <hyperlink ref="F750" r:id="rId1345" display="https://www.google.com/url?q=https://github.com/aviroop123/CompetitiveProgramming/blob/master/Olympiad/IOI/IOI%252011-race.cpp&amp;sa=D&amp;ust=1605639816327000&amp;usg=AFQjCNHh2eHZgER6TwTPh5PxJNbJFhivyA" xr:uid="{8BB18898-9125-4975-B229-56542B2F6229}"/>
    <hyperlink ref="B751" r:id="rId1346" display="https://www.google.com/url?q=https://www.infoarena.ro/problema/arbore&amp;sa=D&amp;ust=1605639816327000&amp;usg=AFQjCNF3-JEZuCbXlxn9pkaRVZDYt5PSEw" xr:uid="{F47908C3-F17A-4C78-B6A2-AB7CB8D4BB95}"/>
    <hyperlink ref="F751" r:id="rId1347" display="https://www.google.com/url?q=https://github.com/mostafa-saad/MyCompetitiveProgramming/blob/master/Olympiad/infoarena/infoarena_arbore.txt&amp;sa=D&amp;ust=1605639816327000&amp;usg=AFQjCNGn_BJzXfAgXRkbKDZWKXcIGYWQQg" xr:uid="{2AC043EF-9702-4F9A-88E0-84E5D96043F6}"/>
    <hyperlink ref="B752" r:id="rId1348" display="https://www.google.com/url?q=https://csacademy.com/contest/ceoi-2018-day-1/task/global-warming/&amp;sa=D&amp;ust=1605639816329000&amp;usg=AFQjCNGO9HVJNGPtb0f9k6yzEi7ogqAtyg" xr:uid="{944F8EA2-24BC-4442-9AED-9E1356326C00}"/>
    <hyperlink ref="F752" r:id="rId1349" display="https://www.google.com/url?q=https://github.com/mostafa-saad/MyCompetitiveProgramming/blob/master/Olympiad/CEOI/CEOI-18-Global.txt&amp;sa=D&amp;ust=1605639816329000&amp;usg=AFQjCNHLcr1ivLXbEr-NO300JSmexoqjAQ" xr:uid="{E34BB17E-CB2A-45C5-8073-E655AF213597}"/>
    <hyperlink ref="B753" r:id="rId1350" display="https://www.google.com/url?q=https://csacademy.com/contest/junior-challenge-2017-day-2/task/cntgigelmat&amp;sa=D&amp;ust=1605639816330000&amp;usg=AFQjCNE2ykidZQVY9gXKAKyeBm_jcvrDlQ" xr:uid="{F7BD1537-99C4-479D-9ECF-B45B235AA427}"/>
    <hyperlink ref="F753" r:id="rId1351" display="https://www.google.com/url?q=https://github.com/MetalBall887/Competitive-Programming/blob/master/CSAcademy/ROJS%252017-cntgigelmat.cpp&amp;sa=D&amp;ust=1605639816330000&amp;usg=AFQjCNGq6WmhIZ73cUidE9LzGaTQqaMntg" xr:uid="{19C2A703-51C8-4309-89A8-689016B376B1}"/>
    <hyperlink ref="B754" r:id="rId1352" display="https://www.google.com/url?q=https://dmoj.ca/problem/coci06c4p6&amp;sa=D&amp;ust=1605639816330000&amp;usg=AFQjCNEWBy7zuX9YrJwlkJMBMt-FD9MFvA" xr:uid="{DF89BA40-DD9C-4F0A-A50E-F81EBFCBA456}"/>
    <hyperlink ref="F754" r:id="rId1353" display="https://www.google.com/url?q=https://github.com/mostafa-saad/MyCompetitiveProgramming/blob/master/Olympiad/COCI/COCI-06-Ispiti.txt&amp;sa=D&amp;ust=1605639816331000&amp;usg=AFQjCNGJymqRlDyIvGYNy3OPEaQulnUWZw" xr:uid="{F22D7506-10F4-42AF-9A19-45801B73FA18}"/>
    <hyperlink ref="B755" r:id="rId1354" display="https://www.google.com/url?q=https://www.infoarena.ro/problema/minuni&amp;sa=D&amp;ust=1605639816331000&amp;usg=AFQjCNFM3KER86C4Tn5iVkJfeV1r-fgoDA" xr:uid="{E363BFFC-EC5E-4320-9089-B3A6BDAC0813}"/>
    <hyperlink ref="F755" r:id="rId1355" display="https://www.google.com/url?q=https://github.com/stefdasca/CompetitiveProgramming/blob/master/Infoarena/minuni.cpp&amp;sa=D&amp;ust=1605639816331000&amp;usg=AFQjCNFmGIR6LHVOkLJN_6EzvoiDEwuJuw" xr:uid="{9AC6CD19-C1D9-4BF1-A5E3-98CFFD0BF810}"/>
    <hyperlink ref="B756" r:id="rId1356" display="https://www.google.com/url?q=https://csacademy.com/contest/balkan-oi-2017-day-2/&amp;sa=D&amp;ust=1605639816332000&amp;usg=AFQjCNGnTDc8BtzPIcBhh_2-MaSs5rPanQ" xr:uid="{962C0F42-0CCD-443E-AA6C-62F205431309}"/>
    <hyperlink ref="F756" r:id="rId1357" display="https://www.google.com/url?q=https://github.com/mostafa-saad/MyCompetitiveProgramming/blob/master/Olympiad/Balkan/Balkan-17-CityAttractions.txt&amp;sa=D&amp;ust=1605639816332000&amp;usg=AFQjCNHzhL8YoEoxIIVUERHnqdJbGLTssw" xr:uid="{3DFBE325-8974-4543-8F83-C5E126F79DAD}"/>
    <hyperlink ref="B757" r:id="rId1358" display="https://www.google.com/url?q=https://dmoj.ca/problem/coci06c1p6&amp;sa=D&amp;ust=1605639816332000&amp;usg=AFQjCNFiTW6vr0IhjtNUMk8iJ6_-I0xwyQ" xr:uid="{82A3A870-8C20-4D23-8182-E3D47944C020}"/>
    <hyperlink ref="F757" r:id="rId1359" display="https://www.google.com/url?q=https://github.com/mostafa-saad/MyCompetitiveProgramming/blob/master/Olympiad/COCI/COCI-06-Debug.txt&amp;sa=D&amp;ust=1605639816332000&amp;usg=AFQjCNG3kTudXgARt9CPkaqvA0Gr3HMyvw" xr:uid="{5B58AE7A-2958-4577-8C5D-80A20C90C012}"/>
    <hyperlink ref="B758" r:id="rId1360" display="https://www.google.com/url?q=https://oj.uz/problem/view/IOI15_boxes&amp;sa=D&amp;ust=1605639816333000&amp;usg=AFQjCNEjbEKZAX6AM6GbwJNIExXuwjXYKQ" xr:uid="{7AB0CC7C-BC61-4147-8B16-B98B70A70B38}"/>
    <hyperlink ref="F758" r:id="rId1361" display="https://www.google.com/url?q=https://github.com/mostafa-saad/MyCompetitiveProgramming/blob/master/Olympiad/IOI/IOI-15-boxes.txt&amp;sa=D&amp;ust=1605639816333000&amp;usg=AFQjCNEzr-sH9rIl5tG3rkZpbPCEUCxv-Q" xr:uid="{DF6E5A97-5B05-4ACE-9370-4A26DD1AA63D}"/>
    <hyperlink ref="B759" r:id="rId1362" display="https://www.google.com/url?q=https://oj.uz/problem/view/COCI14_bob&amp;sa=D&amp;ust=1605639816333000&amp;usg=AFQjCNGnRQvtDQaEPHjhE9j_-viorRXWAQ" xr:uid="{07676E08-9786-43A3-8DD1-2CE9182CDF6C}"/>
    <hyperlink ref="F759" r:id="rId1363" display="https://www.google.com/url?q=https://github.com/mostafa-saad/MyCompetitiveProgramming/blob/master/Olympiad/COCI/COCI-14-bob.txt&amp;sa=D&amp;ust=1605639816333000&amp;usg=AFQjCNGtksbvNUyrAzRRXVfL31mbrPqEag" xr:uid="{7793851C-03A4-4C76-B089-D0C450534676}"/>
    <hyperlink ref="B760" r:id="rId1364" display="https://www.google.com/url?q=https://www.infoarena.ro/problema/retea3&amp;sa=D&amp;ust=1605639816334000&amp;usg=AFQjCNHWDWlKBT_Et-DoT0CettgT3sn8lA" xr:uid="{C71B95F8-DDFE-4696-A447-EE8328E21A16}"/>
    <hyperlink ref="F760" r:id="rId1365" display="https://www.google.com/url?q=https://github.com/mostafa-saad/MyCompetitiveProgramming/blob/master/Olympiad/infoarena/infoarena-retea3.txt&amp;sa=D&amp;ust=1605639816334000&amp;usg=AFQjCNFow6rTo6mHEl0scp8huuULPV5jQw" xr:uid="{7E19C3FE-BA33-4067-9113-50F1900D4D20}"/>
    <hyperlink ref="B761" r:id="rId1366" display="https://www.google.com/url?q=https://oj.uz/problem/view/COCI15_savez&amp;sa=D&amp;ust=1605639816334000&amp;usg=AFQjCNGCcMVxtHpCKnbVip4E7bWZ9pePeA" xr:uid="{01EA0512-92ED-4C7C-A113-83F1E6E5F2CD}"/>
    <hyperlink ref="F761" r:id="rId1367" display="https://www.google.com/url?q=https://github.com/mostafa-saad/MyCompetitiveProgramming/blob/master/Olympiad/COCI/COCI-15-savez.txt&amp;sa=D&amp;ust=1605639816335000&amp;usg=AFQjCNHyDThUyKrJoQQFUSUFMuibrDsFFw" xr:uid="{491A0796-713A-434F-AE79-5F660C5B4781}"/>
    <hyperlink ref="B762" r:id="rId1368" display="https://www.google.com/url?q=https://cses.fi/185/list/&amp;sa=D&amp;ust=1605639816335000&amp;usg=AFQjCNE6bpaVVVhw0dvvikrg58AUHIgX2g" xr:uid="{32A292E9-F676-412D-9D5D-2F01F89E1750}"/>
    <hyperlink ref="F762" r:id="rId1369" display="https://www.google.com/url?q=https://github.com/mostafa-saad/MyCompetitiveProgramming/blob/master/Olympiad/CEOI/CEOI-06-Queue.txt&amp;sa=D&amp;ust=1605639816335000&amp;usg=AFQjCNF2kcpkxbabOICe8UDhWZ_FGS_uwA" xr:uid="{0B0B111A-D299-4CF4-B2BC-045DE9F65CE5}"/>
    <hyperlink ref="B763" r:id="rId1370" display="https://www.google.com/url?q=http://usaco.org/index.php?page%3Dviewproblem2%26cpid%3D92&amp;sa=D&amp;ust=1605639816335000&amp;usg=AFQjCNGwEDvYDD6qKd2UaCJgdJnE21wOTg" xr:uid="{49220DCC-4E96-4757-805E-4CDB969300FD}"/>
    <hyperlink ref="B764" r:id="rId1371" display="https://www.google.com/url?q=https://dunjudge.me/analysis/problems/542/&amp;sa=D&amp;ust=1605639816336000&amp;usg=AFQjCNEiyVBW9z9gZtb8cmhNMOPPnG85bA" xr:uid="{8C5BAAF1-9AF4-4647-A11D-6BF90B850D75}"/>
    <hyperlink ref="F764" r:id="rId1372" display="https://www.google.com/url?q=https://github.com/mostafa-saad/MyCompetitiveProgramming/blob/master/Olympiad/APIO/APIO-08-DNA.txt&amp;sa=D&amp;ust=1605639816336000&amp;usg=AFQjCNGny4_6stiQR-OlqzzR176AbeU-PQ" xr:uid="{74D987DC-DD96-484F-951A-E402BDCAC258}"/>
    <hyperlink ref="B765" r:id="rId1373" display="https://www.google.com/url?q=https://oj.uz/problem/view/BOI12_mobile&amp;sa=D&amp;ust=1605639816336000&amp;usg=AFQjCNGu9b3hBGsEdhsVmpWsn4btOF9Keg" xr:uid="{DE852BD4-1C3D-4B6B-A616-2EE3F5A71D10}"/>
    <hyperlink ref="F765" r:id="rId1374" display="https://www.google.com/url?q=https://github.com/mostafa-saad/MyCompetitiveProgramming/blob/master/Olympiad/Baltic/Baltic-12-mobile.txt&amp;sa=D&amp;ust=1605639816337000&amp;usg=AFQjCNH34wCAANtWpVqBzzXZiDjWQTjJSg" xr:uid="{CB45A6C5-39C9-4858-951C-9000600AA710}"/>
    <hyperlink ref="B766" r:id="rId1375" display="https://www.google.com/url?q=https://szkopul.edu.pl/problemset/problem/VutzcR1iPvGuYRGZgvNksmV1/site/&amp;sa=D&amp;ust=1605639816337000&amp;usg=AFQjCNEw0ZzCkLZtWyQbnXSHJ2D1gebpRg" xr:uid="{3C0CC5CC-353A-45E5-BF0B-79F8DB27A2EA}"/>
    <hyperlink ref="F766" r:id="rId1376" display="https://www.google.com/url?q=https://github.com/mostafa-saad/MyCompetitiveProgramming/blob/master/Olympiad/POI/POI-07-Flood.txt&amp;sa=D&amp;ust=1605639816337000&amp;usg=AFQjCNHucjn5i_Do2sgMEG7sddnZi9foPA" xr:uid="{809EE660-5783-4729-AF4F-11B4BFA2523F}"/>
    <hyperlink ref="B767" r:id="rId1377" display="https://www.google.com/url?q=https://oj.uz/problem/view/IOI19_packing&amp;sa=D&amp;ust=1605639816338000&amp;usg=AFQjCNFIgMrlrQvak7JJHBa0WzLEhb9gkA" xr:uid="{DA30A6EC-B78A-4AE2-BAB3-806C7F46289F}"/>
    <hyperlink ref="F767" r:id="rId1378" display="https://www.google.com/url?q=https://github.com/tmwilliamlin168/CompetitiveProgramming/blob/master/IOI/19P-Packing.cpp&amp;sa=D&amp;ust=1605639816338000&amp;usg=AFQjCNHjTKH8aKrYbYNzUitVCVr2znyqSA" xr:uid="{EAD463FF-7C9C-4623-979A-F75000F8513D}"/>
    <hyperlink ref="B768" r:id="rId1379" display="https://www.google.com/url?q=https://szkopul.edu.pl/problemset/problem/XcxwG3EBHwd-6_fIF1NG3Wfg/site/?key%3Dstatement&amp;sa=D&amp;ust=1605639816338000&amp;usg=AFQjCNG0Nt8FzjojQzzM10vnq-_lw9s23w" xr:uid="{79CC3FDC-BD59-4419-B033-53C820C6B269}"/>
    <hyperlink ref="B769" r:id="rId1380" display="https://www.google.com/url?q=http://usaco.org/index.php?page%3Dviewproblem2%26cpid%3D770&amp;sa=D&amp;ust=1605639816340000&amp;usg=AFQjCNFEq3d8NopxieTWbHyTjYsxuEHTIA" xr:uid="{C69B156F-380B-4CE3-9F1C-35028B47B7DB}"/>
    <hyperlink ref="B770" r:id="rId1381" display="https://www.google.com/url?q=http://usaco.org/index.php?page%3Dviewproblem2%26cpid%3D816&amp;sa=D&amp;ust=1605639816341000&amp;usg=AFQjCNFvs8ZoLLJvZzo-8HqWcuMAtgWBOg" xr:uid="{43F27708-F095-40C3-9CF4-DB51A71F7B97}"/>
    <hyperlink ref="B771" r:id="rId1382" display="https://www.google.com/url?q=https://www.hackerrank.com/contests/boi-2016/challenges&amp;sa=D&amp;ust=1605639816341000&amp;usg=AFQjCNET7N68nVqFEK_ETomF3RBVa_OiEw" xr:uid="{73E9F6F6-D243-40BC-B207-3C7AB84DFD16}"/>
    <hyperlink ref="F771" r:id="rId1383" display="https://www.google.com/url?q=https://github.com/mostafa-saad/MyCompetitiveProgramming/blob/master/Olympiad/Balkan/Balkan-16-Conference.txt&amp;sa=D&amp;ust=1605639816341000&amp;usg=AFQjCNEoHKYTt0J_rjN_9SognV6pSe_9XQ" xr:uid="{EA7B8341-0163-41AD-B31F-93BB433D962E}"/>
    <hyperlink ref="B772" r:id="rId1384" display="https://www.google.com/url?q=https://szkopul.edu.pl/problemset/problem/kqBM3UKWL-qlFiXIOxPXL35m/site/&amp;sa=D&amp;ust=1605639816342000&amp;usg=AFQjCNFolVQY4XF9Q-0SeujynUCKxZ0LZg" xr:uid="{D2ED370F-75F0-471E-87D8-9D16130A92C0}"/>
    <hyperlink ref="F772" r:id="rId1385" display="https://www.google.com/url?q=https://github.com/Shash-Wat/competitive-programming/blob/master/POI/poi_sport.cpp&amp;sa=D&amp;ust=1605639816342000&amp;usg=AFQjCNErF-0MTiMRBO1TNYGqEgfea3Sxlg" xr:uid="{92542399-AB31-4B05-AEFB-A919F8C7F611}"/>
    <hyperlink ref="B773" r:id="rId1386" display="https://www.google.com/url?q=https://www.infoarena.ro/problema/matrice2&amp;sa=D&amp;ust=1605639816342000&amp;usg=AFQjCNEztRlYnY4JhhplQgJ6bQtPjK92UA" xr:uid="{4A690A96-820B-4CB6-828A-0EE48F544716}"/>
    <hyperlink ref="F773" r:id="rId1387" display="https://www.google.com/url?q=https://github.com/mostafa-saad/MyCompetitiveProgramming/blob/master/Olympiad/infoarena/infoarena_matrice2.txt&amp;sa=D&amp;ust=1605639816342000&amp;usg=AFQjCNEy-JVqIJlMET6NXhCjrotGxwCDHw" xr:uid="{0B8D055E-9D8A-43A4-8805-C418891BC8C6}"/>
    <hyperlink ref="B774" r:id="rId1388" display="https://www.google.com/url?q=https://www.infoarena.ro/problema/nrsubsecv&amp;sa=D&amp;ust=1605639816343000&amp;usg=AFQjCNFe7sKGmalEqQ93axeKhdpV4kUJOQ" xr:uid="{D50167BD-FB59-4C29-B03D-7FB0B60178CD}"/>
    <hyperlink ref="F774" r:id="rId1389" display="https://www.google.com/url?q=https://github.com/stefdasca/CompetitiveProgramming/blob/master/Infoarena/nrsubsecv.cpp&amp;sa=D&amp;ust=1605639816343000&amp;usg=AFQjCNHTMIYjZfZC08FjnEIkSM6g7aCq8Q" xr:uid="{81C6F71B-61E8-49E1-9B56-D035D81E0195}"/>
    <hyperlink ref="B775" r:id="rId1390" display="https://www.google.com/url?q=https://cses.fi/108/list/&amp;sa=D&amp;ust=1605639816343000&amp;usg=AFQjCNH29M28_HPsNyx78uEuNSIfWnMbcA" xr:uid="{CE266CEB-D770-4D8F-9825-9B4CC31DF793}"/>
    <hyperlink ref="F775" r:id="rId1391" display="https://www.google.com/url?q=https://github.com/mostafa-saad/MyCompetitiveProgramming/blob/master/Olympiad/Baltic/Baltic-09-Triangulate.txt&amp;sa=D&amp;ust=1605639816343000&amp;usg=AFQjCNFZhT7D_DvvcjFW1vMN3F-DHpZL1g" xr:uid="{002FA504-56D4-477E-9975-F3378C43FB56}"/>
    <hyperlink ref="B776" r:id="rId1392" display="https://www.google.com/url?q=https://www.infoarena.ro/problema/matrice&amp;sa=D&amp;ust=1605639816344000&amp;usg=AFQjCNGytnRgWniebK9N42TUGdHqJ90_VA" xr:uid="{E0342AD3-5AD4-4794-BC8D-50E3A6452F1A}"/>
    <hyperlink ref="F776" r:id="rId1393" display="https://www.google.com/url?q=https://github.com/stefdasca/CompetitiveProgramming/blob/master/Infoarena/matrice.cpp&amp;sa=D&amp;ust=1605639816344000&amp;usg=AFQjCNG3XcUIxFQtt0iF6J_WWPB1umF74g" xr:uid="{9A0C4A63-745F-4103-B3E3-10549F31B7C0}"/>
    <hyperlink ref="B777" r:id="rId1394" display="https://www.google.com/url?q=https://csacademy.com/contest/ioi-2016-training-round-1/task/farey_sequence&amp;sa=D&amp;ust=1605639816344000&amp;usg=AFQjCNHb6hVLaENLyA90Q6hELS1FY3rK4A" xr:uid="{9D5D50EE-0971-4F94-9D15-9B56B5FF593E}"/>
    <hyperlink ref="B778" r:id="rId1395" display="https://www.google.com/url?q=http://usaco.org/index.php?page%3Dviewproblem2%26cpid%3D744&amp;sa=D&amp;ust=1605639816344000&amp;usg=AFQjCNETPI6HHhjlcCh1rmVTsbsegsEysQ" xr:uid="{B9F79E24-895A-48F4-A0E8-E6ED3F4CE0AA}"/>
    <hyperlink ref="B779" r:id="rId1396" display="https://www.google.com/url?q=https://open.kattis.com/problems/catinatree&amp;sa=D&amp;ust=1605639816345000&amp;usg=AFQjCNHqLxKQstp3CAWZS4t5lghwWsMr0A" xr:uid="{D3EBA80E-F0F2-43D8-9C7E-924C9D07080C}"/>
    <hyperlink ref="F779" r:id="rId1397" display="https://www.google.com/url?q=https://github.com/mostafa-saad/MyCompetitiveProgramming/blob/master/Olympiad/Baltic/Baltic-17-Cat.txt&amp;sa=D&amp;ust=1605639816345000&amp;usg=AFQjCNGuPXAuR40IjuI3WnYNDUkdvrASSw" xr:uid="{5AAFCC82-7D24-44EB-AB2E-891B5F1CF14A}"/>
    <hyperlink ref="B780" r:id="rId1398" display="https://www.google.com/url?q=http://www.usaco.org/index.php?page%3Dviewproblem2%26cpid%3D973&amp;sa=D&amp;ust=1605639816345000&amp;usg=AFQjCNH_UIt9pLcOB6hqmL_vNWc24Jc-rg" xr:uid="{BDCB09D0-DB69-450B-80FE-464F5BFF2125}"/>
    <hyperlink ref="B781" r:id="rId1399" display="https://www.google.com/url?q=https://wcipeg.com/problem/coci094p5&amp;sa=D&amp;ust=1605639816346000&amp;usg=AFQjCNGR7fsBaBNf8XcI2h1DHA4sWxTtGA" xr:uid="{44709489-9BAD-464F-ADE4-0FF9D6A8CBB3}"/>
    <hyperlink ref="F781" r:id="rId1400" display="https://www.google.com/url?q=https://github.com/mostafa-saad/MyCompetitiveProgramming/blob/master/Olympiad/CEOI/COCI-09-Kaboom&amp;sa=D&amp;ust=1605639816346000&amp;usg=AFQjCNGLayg-u_d4oAWH0a4Tr3yL3lxhKA" xr:uid="{90387499-6C43-4489-AD97-CBC5C29CC140}"/>
    <hyperlink ref="B782" r:id="rId1401" display="https://www.google.com/url?q=https://cses.fi/186/list/&amp;sa=D&amp;ust=1605639816346000&amp;usg=AFQjCNFWXxmKK2dxOJ_wj6T_kMHMIbMC3g" xr:uid="{5E5561D1-3CCE-42C2-9C12-24450E978F05}"/>
    <hyperlink ref="F782" r:id="rId1402" display="https://www.google.com/url?q=https://github.com/mostafa-saad/MyCompetitiveProgramming/tree/master/Olympiad/CEOI/official/2006&amp;sa=D&amp;ust=1605639816347000&amp;usg=AFQjCNHPFqf5MFDD-8AddXL75wTVIDC5jQ" xr:uid="{700532F1-3B08-4FE5-BEDB-18E6CE8DFD5B}"/>
    <hyperlink ref="B783" r:id="rId1403" display="https://www.google.com/url?q=http://usaco.org/index.php?page%3Dviewproblem2%26cpid%3D533&amp;sa=D&amp;ust=1605639816347000&amp;usg=AFQjCNGHPye7ZNPT_hhKeQ2elUuqzJiypg" xr:uid="{DD535986-5D50-474F-8ABE-44ED5186438A}"/>
    <hyperlink ref="F783" r:id="rId1404" display="https://www.google.com/url?q=https://github.com/updown2/OI-Practice/blob/master/USACO/2014-2015/February/Gold/Censoring.cpp&amp;sa=D&amp;ust=1605639816347000&amp;usg=AFQjCNEdRrHpg0kYaa1R3w-3q2MeIybyJw" xr:uid="{371A6E14-1264-4451-808A-586D8F9BF826}"/>
    <hyperlink ref="B784" r:id="rId1405" display="https://www.google.com/url?q=https://www.infoarena.ro/problema/identice&amp;sa=D&amp;ust=1605639816348000&amp;usg=AFQjCNG8sCMqil9tUGmu9R_YIWfOFCCEmQ" xr:uid="{9536371A-5FB5-4AC3-8EDF-890BCBAC9BF5}"/>
    <hyperlink ref="F784" r:id="rId1406" display="https://www.google.com/url?q=https://github.com/stefdasca/CompetitiveProgramming/blob/master/Infoarena/identice&amp;sa=D&amp;ust=1605639816348000&amp;usg=AFQjCNH7vKWlseqOLzE9ZeR_uGj8C-fTfQ" xr:uid="{9F57AFCA-3542-49A7-B7CB-D2643BD5609B}"/>
    <hyperlink ref="B785" r:id="rId1407" display="https://www.google.com/url?q=https://contest.yandex.ru/ioi/contest/558/enter/&amp;sa=D&amp;ust=1605639816348000&amp;usg=AFQjCNGjssdCEmpNr44GO9YApAo4JlXuvw" xr:uid="{813E6FAA-8E48-4CB8-8B66-13404C3472DD}"/>
    <hyperlink ref="F785" r:id="rId1408" display="https://www.google.com/url?q=https://github.com/mostafa-saad/MyCompetitiveProgramming/blob/master/Olympiad/IOI/IOI-03-guess.txt&amp;sa=D&amp;ust=1605639816349000&amp;usg=AFQjCNE1AJ-orf6eHtjtLDK47mgrS-hsUQ" xr:uid="{E76AEAC3-36C6-4A0D-A88D-EF424FAAE8C6}"/>
    <hyperlink ref="B786" r:id="rId1409" display="https://www.google.com/url?q=http://www.usaco.org/index.php?page%3Dviewproblem2%26cpid%3D1021&amp;sa=D&amp;ust=1605639816349000&amp;usg=AFQjCNEPVp3cc8hzUel2lCSm5VlMP4GzNg" xr:uid="{7C2773AA-388B-42A0-9595-CBA8E1CB7AF7}"/>
    <hyperlink ref="B787" r:id="rId1410" display="https://www.google.com/url?q=https://dunjudge.me/analysis/problems/698/&amp;sa=D&amp;ust=1605639816350000&amp;usg=AFQjCNF_jfjIzkXUY5Vwgx1Fx6Jj3v8KZg" xr:uid="{222FFA80-1375-450F-8783-6EDC57AC0C5E}"/>
    <hyperlink ref="B788" r:id="rId1411" display="https://www.google.com/url?q=https://oj.uz/problem/view/IOI12_scrivener&amp;sa=D&amp;ust=1605639816351000&amp;usg=AFQjCNHENSsQn6VuwpM7lKJdSiJFBEzytQ" xr:uid="{4CDAB5AE-472F-4854-8B25-751002B4DEA1}"/>
    <hyperlink ref="F788" r:id="rId1412" display="https://www.google.com/url?q=https://github.com/mostafa-saad/MyCompetitiveProgramming/blob/master/Olympiad/IOI/IOI-12-scrivener.txt&amp;sa=D&amp;ust=1605639816351000&amp;usg=AFQjCNG78hbKuvTfQkhwTLW2NTVM4GjDNA" xr:uid="{E6561880-482E-4493-84C7-6356AB44F853}"/>
    <hyperlink ref="B789" r:id="rId1413" display="https://www.google.com/url?q=https://szkopul.edu.pl/problemset/problem/in7jx1ATY7fnkmK87b9m_Nu_/site/&amp;sa=D&amp;ust=1605639816352000&amp;usg=AFQjCNF61DqSBhXn9H0VRiK1mQdmo4EzEQ" xr:uid="{737522E5-02F9-4490-BDB7-1B2BA2A05CA8}"/>
    <hyperlink ref="F789" r:id="rId1414" display="https://www.google.com/url?q=https://github.com/mostafa-saad/MyCompetitiveProgramming/blob/master/Olympiad/CEOI/official/2011/&amp;sa=D&amp;ust=1605639816365000&amp;usg=AFQjCNGZlYW-JOk1wntSVnrl7FQ4NdjdVw" xr:uid="{7614FDC1-9BF5-4DB5-BBEB-6665AD00BD42}"/>
    <hyperlink ref="B790" r:id="rId1415" display="https://www.google.com/url?q=https://dmoj.ca/problem/stnbd4&amp;sa=D&amp;ust=1605639816366000&amp;usg=AFQjCNG9dl3ZVetX96Ap-MXYtcF1ERJGcg" xr:uid="{5A2BB31A-6715-4C78-A358-B803CDE3D095}"/>
    <hyperlink ref="F790" r:id="rId1416" display="https://www.google.com/url?q=https://github.com/tsouza0/CompetitiveProgramming/blob/master/DMOJ/stnbd4.cpp&amp;sa=D&amp;ust=1605639816366000&amp;usg=AFQjCNF7bggHxYIMQS3hEACsh2p7b0-vew" xr:uid="{6A3829B3-A9E3-4B22-8F13-72E521C7DAC7}"/>
    <hyperlink ref="B791" r:id="rId1417" display="https://www.google.com/url?q=https://dmoj.ca/problem/dmopc16c4p4&amp;sa=D&amp;ust=1605639816367000&amp;usg=AFQjCNHhTsw8xoK1Lp3EBOr3EymHdvpokQ" xr:uid="{968A7D03-A993-41AE-898C-B85F51681993}"/>
    <hyperlink ref="B792" r:id="rId1418" display="https://www.google.com/url?q=https://dmoj.ca/problem/coci08c3p4&amp;sa=D&amp;ust=1605639816367000&amp;usg=AFQjCNH2Rvbf6wGUixXc0yjdaaJ4jGbjOg" xr:uid="{769FCE8B-8FB5-4E56-9B7E-5216434DB63C}"/>
    <hyperlink ref="F792" r:id="rId1419" display="https://www.google.com/url?q=https://github.com/mostafa-saad/MyCompetitiveProgramming/blob/master/Olympiad/COCI/COCI-08-Matrica&amp;sa=D&amp;ust=1605639816367000&amp;usg=AFQjCNHZOO94E6x7GQs6Oy6TooanX1_XYg" xr:uid="{000F3BCF-762A-4A2C-ACF5-34278C54B0E1}"/>
    <hyperlink ref="B793" r:id="rId1420" display="https://www.google.com/url?q=https://oj.uz/problem/view/IZhO18_chessboard&amp;sa=D&amp;ust=1605639816368000&amp;usg=AFQjCNFwFpx9G6iJvsZU3r4rZCMTcBW2kQ" xr:uid="{C5BA4E1D-4385-4C83-8203-A60B141C5D46}"/>
    <hyperlink ref="B794" r:id="rId1421" display="https://www.google.com/url?q=https://oj.uz/problem/view/JOI17_broken_device&amp;sa=D&amp;ust=1605639816368000&amp;usg=AFQjCNHviQ7689QBwW1bugavtEh1SYgkCQ" xr:uid="{5381908A-7EEC-4B3B-A364-434CB691D7E7}"/>
    <hyperlink ref="F794" r:id="rId1422" display="https://www.google.com/url?q=https://ivaniscoding.wordpress.com/2018/08/25/communication-3-broken-device/&amp;sa=D&amp;ust=1605639816368000&amp;usg=AFQjCNEZe2jaAd8dZdUnqOetl-P4FeOmRg" xr:uid="{A1B9F633-9C77-46EB-9AFF-A34A8E38538F}"/>
    <hyperlink ref="B795" r:id="rId1423" display="https://www.google.com/url?q=https://codeforces.com/group/swEqtABRxe/contest/243429/problem/A&amp;sa=D&amp;ust=1605639816369000&amp;usg=AFQjCNEGjrDjLdl9812EY32qxjP7b3vRvQ" xr:uid="{92F6F5AF-CCDA-4FB7-AA56-43E31EC4FCBF}"/>
    <hyperlink ref="B796" r:id="rId1424" display="https://www.google.com/url?q=https://dunjudge.me/analysis/problems/961/&amp;sa=D&amp;ust=1605639816369000&amp;usg=AFQjCNFs9qU55_yZheTAOF6vZzYm2iCsZg" xr:uid="{8BE35B0D-2681-411D-A816-9A074692BC4D}"/>
    <hyperlink ref="F796" r:id="rId1425" display="https://www.google.com/url?q=https://github.com/mostafa-saad/MyCompetitiveProgramming/blob/master/Olympiad/MCO/MCO-16-town_planning.txt&amp;sa=D&amp;ust=1605639816369000&amp;usg=AFQjCNGph9GMMq8UYP6vSI5A8NY9FVhIoA" xr:uid="{FC113C80-CF4A-440D-9507-7315112FA725}"/>
    <hyperlink ref="B797" r:id="rId1426" display="https://www.google.com/url?q=https://www.acmicpc.net/problem/5254&amp;sa=D&amp;ust=1605639816370000&amp;usg=AFQjCNFMhc8Jzv-2GKi0frPzN2MElgTGTA" xr:uid="{A471C4CD-FC24-45FE-B836-48B205CAFFF3}"/>
    <hyperlink ref="F797" r:id="rId1427" display="https://www.google.com/url?q=https://github.com/mostafa-saad/MyCompetitiveProgramming/blob/master/Olympiad/Balkan/Balkan-12-balls.txt&amp;sa=D&amp;ust=1605639816370000&amp;usg=AFQjCNHf--LPBMNdz8D12_jhEJnRJnzI9w" xr:uid="{DD2F7640-77AB-43DD-AEF8-DDD2069B0B38}"/>
    <hyperlink ref="B798" r:id="rId1428" display="https://www.google.com/url?q=https://szkopul.edu.pl/problemset/problem/ovRIpLFK3IhyFPjnVXeZtGxH/site/?key%3Dstatement&amp;sa=D&amp;ust=1605639816370000&amp;usg=AFQjCNEJSSbDrKSHqwPyYHRWvLXSP6iMDw" xr:uid="{20FE62DE-889B-4622-B798-3A25DDE1C39F}"/>
    <hyperlink ref="F798" r:id="rId1429" display="https://www.google.com/url?q=https://github.com/mostafa-saad/MyCompetitiveProgramming/blob/master/Olympiad/CEOI/CEOI-04-Two.txt&amp;sa=D&amp;ust=1605639816371000&amp;usg=AFQjCNGnwJCqp89IIwqPlXWyW3R4K-HhfA" xr:uid="{970BBF0F-E788-410C-84C5-114BB6810AB2}"/>
    <hyperlink ref="B799" r:id="rId1430" display="https://www.google.com/url?q=https://www.infoarena.ro/problema/padurari&amp;sa=D&amp;ust=1605639816371000&amp;usg=AFQjCNG7JFaba84Rz0G3YhbbNQHy_cl-Nw" xr:uid="{997BD9A9-565C-4AB8-88BD-DD0BCB704231}"/>
    <hyperlink ref="F799" r:id="rId1431" display="https://www.google.com/url?q=https://github.com/stefdasca/CompetitiveProgramming/blob/master/Infoarena/padurari.cpp&amp;sa=D&amp;ust=1605639816371000&amp;usg=AFQjCNHr8l2TZGRkvkRb6L40c8iEILDBFQ" xr:uid="{7F6349FD-8FA6-4030-B33C-10AF1D3B0012}"/>
    <hyperlink ref="B800" r:id="rId1432" display="https://www.google.com/url?q=https://oj.uz/problem/view/BOI11_grow&amp;sa=D&amp;ust=1605639816372000&amp;usg=AFQjCNGCm9o1HX0gGD4WQKJwYVmBsm9hrA" xr:uid="{42003698-5A53-4007-A77F-C2132B3389B2}"/>
    <hyperlink ref="B801" r:id="rId1433" display="https://www.google.com/url?q=https://oj.uz/problem/view/POI13_kon&amp;sa=D&amp;ust=1605639816372000&amp;usg=AFQjCNEkBtpaMMyUrkIUGbbhVSG9hpHIzA" xr:uid="{160D3233-62EC-4A9F-8AA5-A0CE27251A7D}"/>
    <hyperlink ref="F801" r:id="rId1434" display="https://www.google.com/url?q=https://github.com/mostafa-saad/MyCompetitiveProgramming/blob/master/Olympiad/POI/POI-13-kon.txt&amp;sa=D&amp;ust=1605639816372000&amp;usg=AFQjCNEmCg_qTNtNbZx3KypF4Q0Bc7ax5w" xr:uid="{475A2F9A-0909-471D-AD30-BD6624A8B63C}"/>
    <hyperlink ref="B802" r:id="rId1435" display="https://www.google.com/url?q=https://szkopul.edu.pl/problemset/problem/BnzEADCfeJFjjev1Y9iHQANg/site/&amp;sa=D&amp;ust=1605639816373000&amp;usg=AFQjCNGk5-_dbpqEXT1eBx8KwHpiaUzDEA" xr:uid="{3271C0A8-13A8-4CE0-BEF4-3E2C5F2B49D9}"/>
    <hyperlink ref="B803" r:id="rId1436" display="https://www.google.com/url?q=https://oj.uz/problem/view/IOI12_tournament&amp;sa=D&amp;ust=1605639816373000&amp;usg=AFQjCNH1xLFEDUAENfrjQRhBfdLioFIP3g" xr:uid="{9DE52E41-4E66-432E-8CBD-5C3A72D1C02E}"/>
    <hyperlink ref="F803" r:id="rId1437" display="https://www.google.com/url?q=https://github.com/mostafa-saad/MyCompetitiveProgramming/blob/master/Olympiad/IOI/IOI-12-tournament.txt&amp;sa=D&amp;ust=1605639816373000&amp;usg=AFQjCNGeJmrta_USrj56fF62KSyeTKtSlQ" xr:uid="{0F6E2665-9C45-4F9C-A5AA-445F7A9E3BF4}"/>
    <hyperlink ref="B804" r:id="rId1438" display="https://www.google.com/url?q=http://usaco.org/index.php?page%3Dviewproblem2%26cpid%3D213&amp;sa=D&amp;ust=1605639816374000&amp;usg=AFQjCNGw1kTZa5QzQYkjInjXVYE-Fdn9Mg" xr:uid="{C70C9E78-C1C3-4893-B1BF-94C54A6642CB}"/>
    <hyperlink ref="F804" r:id="rId1439" display="https://www.google.com/url?q=https://github.com/mostafa-saad/MyCompetitiveProgramming/blob/master/Olympiad/USACO/USACO-12dec-runaway.txt&amp;sa=D&amp;ust=1605639816374000&amp;usg=AFQjCNGGrqspRKlDzESQLnd_zRje-yGFhQ" xr:uid="{D577F000-7B69-489B-B811-99C1EFD8F7CE}"/>
    <hyperlink ref="B805" r:id="rId1440" display="https://www.google.com/url?q=https://www.infoarena.ro/problema/arb2&amp;sa=D&amp;ust=1605639816374000&amp;usg=AFQjCNEgnkWJT7Fw1B4KcJZJ5qMwQwPP0w" xr:uid="{C7EEAD75-2F6F-441A-87AD-5A7558A3FE4C}"/>
    <hyperlink ref="F805" r:id="rId1441" display="https://www.google.com/url?q=https://github.com/stefdasca/CompetitiveProgramming/blob/master/Infoarena/arb2.cpp&amp;sa=D&amp;ust=1605639816376000&amp;usg=AFQjCNFFjzOd1T8gNc4hKA58b4d2_RvO9w" xr:uid="{A159C4B1-0C2C-4A73-9E78-7E3FEF073FC3}"/>
    <hyperlink ref="B806" r:id="rId1442" display="https://www.google.com/url?q=https://contest.yandex.ru/ioi/contest/568/enter/&amp;sa=D&amp;ust=1605639816376000&amp;usg=AFQjCNF3n3eiFRDzCEmIEklitj1JiS2alg" xr:uid="{4CC56DEE-5D6F-4F85-8236-EEC2B53761F4}"/>
    <hyperlink ref="F806" r:id="rId1443" display="https://www.google.com/url?q=https://github.com/mostafa-saad/MyCompetitiveProgramming/blob/master/Olympiad/IOI/official/2009&amp;sa=D&amp;ust=1605639816376000&amp;usg=AFQjCNHG-zsQuhS8SFQX3n5NZq_wLEBcng" xr:uid="{58EC7894-32ED-45C7-A0AF-6314D223FCFD}"/>
    <hyperlink ref="B807" r:id="rId1444" display="https://www.google.com/url?q=https://oj.uz/problem/view/IZhO17_bootfall&amp;sa=D&amp;ust=1605639816377000&amp;usg=AFQjCNGiTdT0vXbNx-rhIdCYQNp2_Yo-Pg" xr:uid="{81BD2829-17B9-4949-AC8E-940F23F15193}"/>
    <hyperlink ref="F807" r:id="rId1445" display="https://www.google.com/url?q=https://github.com/stefdasca/CompetitiveProgramming/blob/master/IZhO/IZhO%252017-bootfall.cpp&amp;sa=D&amp;ust=1605639816377000&amp;usg=AFQjCNG3gt3b83yZN1t6FEa5-2lVjQktlg" xr:uid="{A79F5191-9B7D-4803-BD81-90F23AF11748}"/>
    <hyperlink ref="B808" r:id="rId1446" display="https://www.google.com/url?q=https://cses.fi/191/list/&amp;sa=D&amp;ust=1605639816377000&amp;usg=AFQjCNEP3usiAPHEoVoBhzAWrZK5EOmUbA" xr:uid="{1D00E99A-9AA1-40B6-92EB-568B4BBCAA13}"/>
    <hyperlink ref="F808" r:id="rId1447" display="https://www.google.com/url?q=https://github.com/mostafa-saad/MyCompetitiveProgramming/tree/master/Olympiad/CEOI/official/2005&amp;sa=D&amp;ust=1605639816378000&amp;usg=AFQjCNHgBTMOe9cgaDBXdEYhRE41cLa35Q" xr:uid="{797BF98B-25B6-4CCD-9B86-F37F1A507C5C}"/>
    <hyperlink ref="B809" r:id="rId1448" display="https://www.google.com/url?q=https://www.infoarena.ro/problema/pitici&amp;sa=D&amp;ust=1605639816378000&amp;usg=AFQjCNFaJ0Wb7D0IPFr8JX99djVvdUE_sA" xr:uid="{30676F67-854E-4844-B34A-F61FCE5BD058}"/>
    <hyperlink ref="B810" r:id="rId1449" display="https://www.google.com/url?q=https://oj.uz/problem/view/JOI19_lamps&amp;sa=D&amp;ust=1605639816378000&amp;usg=AFQjCNEPhBwoOwRpCG-BC8RPBQSWwtdqyw" xr:uid="{6F94EDC6-A69E-46D7-B9BC-0BD0BB629CC8}"/>
    <hyperlink ref="B811" r:id="rId1450" display="https://www.google.com/url?q=https://www.infoarena.ro/problema/v2d&amp;sa=D&amp;ust=1605639816379000&amp;usg=AFQjCNHSpxCbgxVHav9jtojaxCs9J9M4Kg" xr:uid="{EDC23A9C-B078-422D-BC79-33B8E8B7A263}"/>
    <hyperlink ref="F811" r:id="rId1451" display="https://www.google.com/url?q=https://github.com/stefdasca/CompetitiveProgramming/blob/master/Infoarena/v2d.cpp&amp;sa=D&amp;ust=1605639816379000&amp;usg=AFQjCNELgnwtLiZfXx-cn4xVsF7rRy6LEw" xr:uid="{A1CFC8F7-9CFD-4070-859D-99DFC2ECAA44}"/>
    <hyperlink ref="B812" r:id="rId1452" display="https://www.google.com/url?q=https://oj.uz/problem/view/COCI18_sajam&amp;sa=D&amp;ust=1605639816379000&amp;usg=AFQjCNEFH1vYD4VJB2ou-PB8IyVcBqwTew" xr:uid="{0FFDAE87-6EAD-4755-AA7D-80B804767B8F}"/>
    <hyperlink ref="B813" r:id="rId1453" display="https://www.google.com/url?q=https://oj.uz/problem/view/JOI15_election_campaign&amp;sa=D&amp;ust=1605639816380000&amp;usg=AFQjCNE2JnPPYbyPVtS7Pj4JFw4lWiljFg" xr:uid="{45B80FB0-6A28-4946-8EC3-5569173E934D}"/>
    <hyperlink ref="B814" r:id="rId1454" display="https://www.google.com/url?q=https://dmoj.ca/problem/coci14c7p4&amp;sa=D&amp;ust=1605639816380000&amp;usg=AFQjCNEckiroBjdVNoq1ARh7NJ1Gx6g4AQ" xr:uid="{7776D31A-6EFC-4F0B-8376-E8D5BC4724CE}"/>
    <hyperlink ref="B815" r:id="rId1455" display="https://www.google.com/url?q=https://joisc2014.contest.atcoder.jp/tasks/joisc2014_e&amp;sa=D&amp;ust=1605639816381000&amp;usg=AFQjCNEgS6EZwZVKy9lrYofk1J22UCAO7A" xr:uid="{840404E7-E4DF-48E5-8468-72CFD91838BE}"/>
    <hyperlink ref="B816" r:id="rId1456" display="https://www.google.com/url?q=https://joisc2014.contest.atcoder.jp/tasks/joisc2014_d&amp;sa=D&amp;ust=1605639816381000&amp;usg=AFQjCNFh8WoOXdh2k-kF1sE0WOKpU-GTVg" xr:uid="{67D5F75E-ADDE-45C6-8FDB-303616F29E4C}"/>
    <hyperlink ref="B817" r:id="rId1457" display="https://www.google.com/url?q=https://joisc2014.contest.atcoder.jp/tasks/joisc2014_g&amp;sa=D&amp;ust=1605639816382000&amp;usg=AFQjCNEkgIUyT2uRa2rTrVxBxUF_8AO6SA" xr:uid="{BA11C72F-BC91-489F-8A82-1F9BBE505B6D}"/>
    <hyperlink ref="B818" r:id="rId1458" display="https://www.google.com/url?q=https://joisc2015.contest.atcoder.jp/tasks/joisc2015_e&amp;sa=D&amp;ust=1605639816382000&amp;usg=AFQjCNH9L6PYG2QBwNVsKB1AjbR1JriURQ" xr:uid="{0F7F4FA5-3310-4735-9582-BF3BBADB471F}"/>
    <hyperlink ref="B819" r:id="rId1459" display="https://www.google.com/url?q=https://joisc2015.contest.atcoder.jp/tasks/joisc2015_i&amp;sa=D&amp;ust=1605639816383000&amp;usg=AFQjCNH4u-4TIiz_Q2_nBAVIFxFlvP6HjA" xr:uid="{8A1D24F4-AB7E-4E82-BC14-D65DE21DFC90}"/>
    <hyperlink ref="B820" r:id="rId1460" display="https://www.google.com/url?q=https://joisc2015.contest.atcoder.jp/tasks/joisc2015_c&amp;sa=D&amp;ust=1605639816383000&amp;usg=AFQjCNGIH5H6cb2Z7pECu7ebXukFComIUA" xr:uid="{B3C34D52-5FBB-42C2-ABA9-E9A6D73301A2}"/>
    <hyperlink ref="B821" r:id="rId1461" display="https://www.google.com/url?q=https://joisc2016.contest.atcoder.jp/tasks/joisc2016_d&amp;sa=D&amp;ust=1605639816384000&amp;usg=AFQjCNF64_CeUrgZy9iSy6bQnTtG4RgrVA" xr:uid="{DE3CFD55-3345-44F2-9EC0-B8AAFB8F71F4}"/>
    <hyperlink ref="B822" r:id="rId1462" display="https://www.google.com/url?q=https://joisc2016.contest.atcoder.jp/tasks/joisc2016_a&amp;sa=D&amp;ust=1605639816384000&amp;usg=AFQjCNEtuiB5-VdiV7VfA1LKvA5dU1dGYQ" xr:uid="{60110005-60CD-41FB-8E87-5842B41B4122}"/>
    <hyperlink ref="B823" r:id="rId1463" display="https://www.google.com/url?q=https://joisc2016.contest.atcoder.jp/tasks/joisc2016_l&amp;sa=D&amp;ust=1605639816384000&amp;usg=AFQjCNHVzY17N9TmiFKxbaWPELE4Uc1soA" xr:uid="{FF750033-AC61-49E7-BB7D-595BBF2479DE}"/>
    <hyperlink ref="B824" r:id="rId1464" display="https://www.google.com/url?q=https://joisc2016.contest.atcoder.jp/tasks/joisc2016_i&amp;sa=D&amp;ust=1605639816385000&amp;usg=AFQjCNEpQDLcRY_czefjvttaCxXEXir5Lw" xr:uid="{A8AA6B4B-A4AE-49CD-B31E-2C988DD32F8B}"/>
    <hyperlink ref="B825" r:id="rId1465" display="https://www.google.com/url?q=https://szkopul.edu.pl/problemset/problem/i5L29vV7ud8D_VU-PXyaA_2L/site/&amp;sa=D&amp;ust=1605639816385000&amp;usg=AFQjCNHVyBFehaKDqhj6xCXME3hCZXTXCA" xr:uid="{642EB622-71CB-4172-81E3-E66A229B61B2}"/>
    <hyperlink ref="B826" r:id="rId1466" display="https://www.google.com/url?q=https://szkopul.edu.pl/problemset/problem/xFjhysZvLsUxEXMI-nHXao74/site/&amp;sa=D&amp;ust=1605639816386000&amp;usg=AFQjCNGbe54v9U1VVSAX6CRolZvFGgS9Mw" xr:uid="{E48387A1-BCAB-4F7F-A937-52CB254D8230}"/>
    <hyperlink ref="F826" r:id="rId1467" display="https://www.google.com/url?q=https://github.com/mostafa-saad/MyCompetitiveProgramming/blob/master/Olympiad/POI/POI-06-Teddies.txt&amp;sa=D&amp;ust=1605639816387000&amp;usg=AFQjCNF5DXZiXbzXmTNWKZhIlvwD43fVtw" xr:uid="{5EABB6FB-D935-4989-81BB-462751CF97B8}"/>
    <hyperlink ref="B827" r:id="rId1468" display="https://www.google.com/url?q=https://oj.uz/problem/view/IZhO14_bank&amp;sa=D&amp;ust=1605639816388000&amp;usg=AFQjCNFKsiRznN6ZqYF3EAQ3JlXssLIN7w" xr:uid="{5EBF6B3C-5D5B-4292-A4CC-37CE280ABA62}"/>
    <hyperlink ref="B828" r:id="rId1469" display="https://www.google.com/url?q=https://szkopul.edu.pl/problemset/problem/uE3dNVOWuXj4SSOrCrNoFSgF/site/&amp;sa=D&amp;ust=1605639816388000&amp;usg=AFQjCNGXWEPvBVqZZT4WgUzktwFDiCd4Gg" xr:uid="{0B4E2708-2940-4C41-AA27-A008104EB94F}"/>
    <hyperlink ref="F828" r:id="rId1470" display="https://www.google.com/url?q=https://github.com/mostafa-saad/MyCompetitiveProgramming/blob/master/Olympiad/POI/POI-04-Passage.txt&amp;sa=D&amp;ust=1605639816388000&amp;usg=AFQjCNEObGJIdzB4jVYy68k_faqwHhUlOQ" xr:uid="{F2F39F2B-5F6E-4D23-A281-036D69DFE9BA}"/>
    <hyperlink ref="B829" r:id="rId1471" display="https://www.google.com/url?q=https://contest.yandex.ru/ioi/contest/560/enter/&amp;sa=D&amp;ust=1605639816389000&amp;usg=AFQjCNEUgltNaqANms6uHxeOwtISmEykUw" xr:uid="{2AC349EA-0256-4FE2-B84D-860D7F3F6B4E}"/>
    <hyperlink ref="F829" r:id="rId1472" display="https://www.google.com/url?q=https://github.com/mostafa-saad/MyCompetitiveProgramming/blob/master/Olympiad/IOI/IOI-04-artemis.txt&amp;sa=D&amp;ust=1605639816389000&amp;usg=AFQjCNG9LG7zZyvKf7ptOSebzieH0LB4Cw" xr:uid="{3652B81E-5D49-4487-998B-F23007C2047E}"/>
    <hyperlink ref="B830" r:id="rId1473" display="https://www.google.com/url?q=https://oj.uz/problems/source/120&amp;sa=D&amp;ust=1605639816389000&amp;usg=AFQjCNFJqkfQ1QYB4WILZOUODXpFiRcsvQ" xr:uid="{3CEA011C-C14F-402F-97E0-4124C21DC5F6}"/>
    <hyperlink ref="F830" r:id="rId1474" display="https://www.google.com/url?q=https://github.com/tmwilliamlin168/CompetitiveProgramming/blob/master/CEOI/14-Fangorn.cpp&amp;sa=D&amp;ust=1605639816390000&amp;usg=AFQjCNEeMySZ68CkKwkcZ3FXfSLO4cyM0g" xr:uid="{8AA80A8C-3043-4407-8067-54C524F9137A}"/>
    <hyperlink ref="B831" r:id="rId1475" display="https://www.google.com/url?q=https://wcipeg.com/problem/coci093p5&amp;sa=D&amp;ust=1605639816390000&amp;usg=AFQjCNHV_I_rBkOtpAnYNdOrZp9VQMdKeA" xr:uid="{6DE546CF-1770-446E-A5AE-70F203F9800D}"/>
    <hyperlink ref="F831" r:id="rId1476" display="https://www.google.com/url?q=https://github.com/mostafa-saad/MyCompetitiveProgramming/blob/master/Olympiad/COCI/official/2010/contest3_solutions&amp;sa=D&amp;ust=1605639816390000&amp;usg=AFQjCNGmkf9sBgK1_5oYpOldQ_yJoOpAbA" xr:uid="{70A8844E-9EAF-4F03-87DB-8949888A03BA}"/>
    <hyperlink ref="B832" r:id="rId1477" display="https://www.google.com/url?q=https://www.infoarena.ro/problema/struti&amp;sa=D&amp;ust=1605639816390000&amp;usg=AFQjCNHaVGK-gTeG6uGZ3Jo3TDJVIi7tQw" xr:uid="{66134954-CE3A-4145-8F10-61451F3D5DE9}"/>
    <hyperlink ref="F832" r:id="rId1478" display="https://www.google.com/url?q=https://github.com/stefdasca/CompetitiveProgramming/blob/master/Infoarena/struti.cpp&amp;sa=D&amp;ust=1605639816391000&amp;usg=AFQjCNHFF8hIeQHw37vr0D5TeoXomIq1qg" xr:uid="{284688F2-3D29-4F27-A82D-99D35996BF0F}"/>
    <hyperlink ref="B833" r:id="rId1479" display="https://www.google.com/url?q=https://training.ia-toki.org/problemsets/87/problems/445/&amp;sa=D&amp;ust=1605639816391000&amp;usg=AFQjCNF4jkmGrvjllUQTIYUbe49FfuMgZQ" xr:uid="{FF59DA44-165D-40EA-9399-A89EA99BF13E}"/>
    <hyperlink ref="F833" r:id="rId1480" display="https://www.google.com/url?q=https://github.com/win11905/submission/blob/master/TOKI/17/radius/radius.cpp&amp;sa=D&amp;ust=1605639816391000&amp;usg=AFQjCNGtIoimUShkF1qlCaz8W_vJ1I--JQ" xr:uid="{74CA64E6-5326-4FAF-8BFA-9141D2B05C2B}"/>
    <hyperlink ref="B834" r:id="rId1481" display="https://www.google.com/url?q=https://dmoj.ca/problem/coci07c4p5&amp;sa=D&amp;ust=1605639816392000&amp;usg=AFQjCNF08qcI3FHEXCGWoDgzGOdmPOUO5g" xr:uid="{C1A5243D-82C1-49EC-B66F-C8D4C5DBB7A1}"/>
    <hyperlink ref="F834" r:id="rId1482" display="https://www.google.com/url?q=https://github.com/mostafa-saad/MyCompetitiveProgramming/tree/master/Olympiad/COCI/official/2008/contest4_solutions&amp;sa=D&amp;ust=1605639816392000&amp;usg=AFQjCNEnkkJXxAGMH0gzdSSC5h1cR4b-7Q" xr:uid="{4BFA560D-0F22-45A5-8A51-DAF8D1B0D9BD}"/>
    <hyperlink ref="B835" r:id="rId1483" display="https://www.google.com/url?q=http://www.infoarena.ro/problema/copaci&amp;sa=D&amp;ust=1605639816392000&amp;usg=AFQjCNEk_Pi1uY8v4zdbq0ZwZBR2AOXd8Q" xr:uid="{1D2117E1-8BCF-428D-B9E2-EA34E728F7BF}"/>
    <hyperlink ref="F835" r:id="rId1484" display="https://www.google.com/url?q=https://ideone.com/iT1ggW&amp;sa=D&amp;ust=1605639816393000&amp;usg=AFQjCNEHc2uzU-Hwoueo9pHowdsWwLn6vA" xr:uid="{137C1C4D-622D-49A3-83D3-7021860419EC}"/>
    <hyperlink ref="B836" r:id="rId1485" display="https://www.google.com/url?q=https://dmoj.ca/problem/coci14c1p4&amp;sa=D&amp;ust=1605639816393000&amp;usg=AFQjCNHQQq8SvjfcMwqdEByTwl4Chnw1RQ" xr:uid="{DA10EECF-B424-4CFD-A977-660F52AE8E72}"/>
    <hyperlink ref="F836" r:id="rId1486" display="https://www.google.com/url?q=https://github.com/mostafa-saad/MyCompetitiveProgramming/blob/master/Olympiad/COCI/COCI-14-Mafija.txt&amp;sa=D&amp;ust=1605639816393000&amp;usg=AFQjCNE2wj_vGi8A8n4IPtvn6svvAfXI6Q" xr:uid="{27D47114-0E3C-4DA5-A9AF-68B88173DDDB}"/>
    <hyperlink ref="B837" r:id="rId1487" display="https://www.google.com/url?q=https://joisc2013-day4.contest.atcoder.jp/tasks/joisc2013_presents&amp;sa=D&amp;ust=1605639816394000&amp;usg=AFQjCNF1u_szn1IXRX_73LRtvkTlaUKPPw" xr:uid="{4128D4C5-5B7B-492B-80C7-076A145995DA}"/>
    <hyperlink ref="B838" r:id="rId1488" display="https://www.google.com/url?q=https://cses.fi/115/list/&amp;sa=D&amp;ust=1605639816394000&amp;usg=AFQjCNFyZjhllAHaoRLCEwDhgvbu0vp8Hg" xr:uid="{37024D06-764B-47AC-8492-AD1B25D01368}"/>
    <hyperlink ref="F838" r:id="rId1489" display="https://www.google.com/url?q=https://github.com/mostafa-saad/MyCompetitiveProgramming/blob/master/Olympiad/Baltic/official/boi2005_solutions&amp;sa=D&amp;ust=1605639816394000&amp;usg=AFQjCNGWFqEpoN1Ya82QhGeOgIo41zBEDQ" xr:uid="{484862FA-CF08-460C-A390-75BDE2EB9D52}"/>
    <hyperlink ref="B839" r:id="rId1490" display="https://www.google.com/url?q=https://oj.uz/problem/view/CEOI18_toy&amp;sa=D&amp;ust=1605639816395000&amp;usg=AFQjCNFJR5bQyPmRKJQiKmum7tQeEpfonw" xr:uid="{FA8B81A2-C891-4A7A-93FC-B85323F630C6}"/>
    <hyperlink ref="F839" r:id="rId1491" display="https://www.google.com/url?q=https://github.com/tmwilliamlin168/CompetitiveProgramming/blob/master/CEOI/18-Toy.cpp&amp;sa=D&amp;ust=1605639816395000&amp;usg=AFQjCNEgexrtNi45k9aUVMX5s-20gNVIXA" xr:uid="{F6CAC6D4-0046-45C8-A4CF-2A90C3CCCBC2}"/>
    <hyperlink ref="B840" r:id="rId1492" display="https://www.google.com/url?q=https://oj.uz/problem/view/COCI17_usmjeri&amp;sa=D&amp;ust=1605639816395000&amp;usg=AFQjCNFFrLq11kLwIZHr3v3nt-kEFxBxQQ" xr:uid="{42BFFD9E-A792-4D40-B0AC-EA6C70BAFE34}"/>
    <hyperlink ref="F840" r:id="rId1493" display="https://www.google.com/url?q=https://github.com/mostafa-saad/MyCompetitiveProgramming/blob/master/Olympiad/COCI/official/2018/contest2_solutions&amp;sa=D&amp;ust=1605639816396000&amp;usg=AFQjCNFUfb6xQ_nna0Ke-rSpnBrOV4UjIA" xr:uid="{49AEB046-5D79-4928-BB9E-9761C09BD982}"/>
    <hyperlink ref="B841" r:id="rId1494" display="https://www.google.com/url?q=https://boi18-day1-open.kattis.com/problems&amp;sa=D&amp;ust=1605639816396000&amp;usg=AFQjCNFiWYe-eeA2NPb8G6QM2_uDgRmA2A" xr:uid="{6A5D7A2D-7348-42C1-8AFB-A7F9DD528C79}"/>
    <hyperlink ref="F841" r:id="rId1495" display="https://www.google.com/url?q=https://github.com/updown2/OI-Practice/blob/master/BOI/2018/Love%2520Polygon.txt&amp;sa=D&amp;ust=1605639816396000&amp;usg=AFQjCNGzy4vBWxpcxD9YhqwfTcVQLY26vA" xr:uid="{07DD9A66-C34D-41B0-B09A-890EF5FCF8F5}"/>
    <hyperlink ref="B842" r:id="rId1496" display="https://www.google.com/url?q=https://www.infoarena.ro/problema/treesearch&amp;sa=D&amp;ust=1605639816396000&amp;usg=AFQjCNHKDdy5eJVJqIfVooPlT4CgWHWXAQ" xr:uid="{E0B4616B-FAA7-41EE-B87A-CDD8E16D6A28}"/>
    <hyperlink ref="F842" r:id="rId1497" display="https://www.google.com/url?q=https://github.com/stefdasca/CompetitiveProgramming/blob/master/Infoarena/treesearch.cpp&amp;sa=D&amp;ust=1605639816397000&amp;usg=AFQjCNFvTkyHsD1NisirACnQdieNjP-60A" xr:uid="{28870B46-2783-42D1-8EBF-F605E3F6BF5B}"/>
    <hyperlink ref="B843" r:id="rId1498" display="https://www.google.com/url?q=https://oj.uz/problem/view/BOI14_portals&amp;sa=D&amp;ust=1605639816397000&amp;usg=AFQjCNGFrLlc0qlSEB7ZGPGDl87geBUaFg" xr:uid="{7CBF51C9-FBA1-4039-A78C-8C26FBBA28B1}"/>
    <hyperlink ref="F843" r:id="rId1499" display="https://www.google.com/url?q=https://github.com/tmwilliamlin168/CompetitiveProgramming/blob/master/BtOI/14-Portals.cpp&amp;sa=D&amp;ust=1605639816398000&amp;usg=AFQjCNFUMVHAZuItFk-DnsrIUIjL7OhexQ" xr:uid="{23A5ACFD-7E36-44B0-A9EF-7381F225C464}"/>
    <hyperlink ref="B844" r:id="rId1500" display="https://www.google.com/url?q=https://joisc2013-day1.contest.atcoder.jp/tasks/joisc2013_bustour&amp;sa=D&amp;ust=1605639816399000&amp;usg=AFQjCNGepg2rwm7jLJV4B03kL-RDV7wsRA" xr:uid="{739363F7-83A1-4EA2-9E77-B1C88DD2B338}"/>
    <hyperlink ref="B845" r:id="rId1501" display="https://www.google.com/url?q=https://dmoj.ca/problem/coci14c2p5&amp;sa=D&amp;ust=1605639816399000&amp;usg=AFQjCNEqTzFX_KM7JM4L8eeKKddDkyFH-A" xr:uid="{BC9A8CF4-A6DC-4AC2-ABF5-749B30755A2E}"/>
    <hyperlink ref="F845" r:id="rId1502" display="https://www.google.com/url?q=https://github.com/mostafa-saad/MyCompetitiveProgramming/blob/master/Olympiad/CEOI/COCI-14-Suma.txt&amp;sa=D&amp;ust=1605639816400000&amp;usg=AFQjCNEev-YFdWKiuy0-DwL9ER3eP1vIXQ" xr:uid="{5773F4EE-3DA8-4E5D-9938-AEBFD50A0981}"/>
    <hyperlink ref="B846" r:id="rId1503" display="https://www.google.com/url?q=http://usaco.org/index.php?page%3Dviewproblem2%26cpid%3D93&amp;sa=D&amp;ust=1605639816400000&amp;usg=AFQjCNEgbPwaClazaKUs28KLsoOGEgeA4A" xr:uid="{2C564749-5EBC-4663-B9F6-D05A3409A962}"/>
    <hyperlink ref="B847" r:id="rId1504" display="https://www.google.com/url?q=https://contest.yandex.ru/ioi/contest/558/enter/&amp;sa=D&amp;ust=1605639816400000&amp;usg=AFQjCNHbr6oSYV4lnevJLVwoCCGX0JZWQw" xr:uid="{9A6D4E35-55AB-4A49-8F25-4D1F3A7FAAB4}"/>
    <hyperlink ref="F847" r:id="rId1505" display="https://www.google.com/url?q=https://github.com/zoooma13/Competitive-Programming/blob/master/trail_maintenance.cpp&amp;sa=D&amp;ust=1605639816401000&amp;usg=AFQjCNFAkcmRrmHLQlUaGnNdjoYTXCUBbQ" xr:uid="{471709BF-9FB4-4111-A1B1-96901A66B3B5}"/>
    <hyperlink ref="B848" r:id="rId1506" display="https://www.google.com/url?q=http://usaco.org/index.php?page%3Dviewproblem2%26cpid%3D101&amp;sa=D&amp;ust=1605639816401000&amp;usg=AFQjCNEaHJS645H3fZp-5VdNTjSdh2GeBg" xr:uid="{F6DA764A-0ED6-4B81-AF5B-CDCF7275982A}"/>
    <hyperlink ref="B849" r:id="rId1507" display="https://www.google.com/url?q=https://szkopul.edu.pl/problemset/problem/p9uJo01RR9ouMLLAYroFuQ-7/site/&amp;sa=D&amp;ust=1605639816402000&amp;usg=AFQjCNEb6c-8ZLXGLZxQT7bXYu8DmPJPuw" xr:uid="{E96D2D47-7A87-4666-A493-58D3054F3F29}"/>
    <hyperlink ref="F849" r:id="rId1508" display="https://www.google.com/url?q=https://github.com/mostafa-saad/MyCompetitiveProgramming/blob/master/Olympiad/POI/official/find_editorial_sols_guidelines.txt&amp;sa=D&amp;ust=1605639816402000&amp;usg=AFQjCNGCOTe4rUu5MDlif61w-mBIe2Boxg" xr:uid="{AD7DD8CD-6DF5-4F26-8186-17A30BA2C0C5}"/>
    <hyperlink ref="B850" r:id="rId1509" display="https://www.google.com/url?q=https://oj.uz/problems/source/245&amp;sa=D&amp;ust=1605639816402000&amp;usg=AFQjCNFC_evJx2GZL8-G_4lK86IlvXyI6A" xr:uid="{FF1876AE-3894-4AEA-8989-3B670252A7C2}"/>
    <hyperlink ref="B851" r:id="rId1510" display="https://www.google.com/url?q=https://szkopul.edu.pl/problemset/problem/1ACC1pIG2nDGZefi1v5BVSmw/site/?key%3Dstatement&amp;sa=D&amp;ust=1605639816403000&amp;usg=AFQjCNGcxHaCczYMLn6Sp6Wu0wWHSVHsBQ" xr:uid="{59A78CB3-076E-40A8-A5BB-50729887E6D0}"/>
    <hyperlink ref="F851" r:id="rId1511" display="https://www.google.com/url?q=https://github.com/HeartBlue/CompetitiveProgramming/blob/master/POI/POI%252000-SPO%2520Peaceful%2520Commission.cpp&amp;sa=D&amp;ust=1605639816403000&amp;usg=AFQjCNEGz9sXhawFEbBKORj-IUxVh0MFrQ" xr:uid="{0B689603-1AC1-42DF-B875-9B54FC58C004}"/>
    <hyperlink ref="B852" r:id="rId1512" display="https://www.google.com/url?q=https://cses.fi/113/list/&amp;sa=D&amp;ust=1605639816403000&amp;usg=AFQjCNEE89m3DyxqYIYWLs-h4_edl0U1Lw" xr:uid="{092173E2-4BA3-47C2-B3F5-7C8A643B9F22}"/>
    <hyperlink ref="F852" r:id="rId1513" display="https://www.google.com/url?q=https://github.com/mostafa-saad/MyCompetitiveProgramming/blob/master/Olympiad/Baltic/Baltic-08-Gates.txt&amp;sa=D&amp;ust=1605639816404000&amp;usg=AFQjCNEXVYgWhdmfYUUlqY3pZn9AASRspw" xr:uid="{E29A2F2C-0521-4F2B-B8B4-C4EF2F8EA71A}"/>
    <hyperlink ref="F853" r:id="rId1514" display="https://www.google.com/url?q=https://github.com/dolphingarlic/CompetitiveProgramming/blob/master/COI/COCI%252020-zapina.cpp&amp;sa=D&amp;ust=1605639816404000&amp;usg=AFQjCNGO6bxYEnYfuCvfwEHBG0FVKJvb2w" xr:uid="{D2DBBB8C-7660-47E1-B33A-6FA47B5F9608}"/>
    <hyperlink ref="B854" r:id="rId1515" display="https://www.google.com/url?q=https://www.infoarena.ro/problema/penal&amp;sa=D&amp;ust=1605639816404000&amp;usg=AFQjCNF6PQLbSTU8C3blH929ykJOQn2Tpw" xr:uid="{1A7EB30C-8578-4470-ABFA-F6FF004B11B7}"/>
    <hyperlink ref="F854" r:id="rId1516" display="https://www.google.com/url?q=https://github.com/stefdasca/CompetitiveProgramming/blob/master/Infoarena/penal.cpp&amp;sa=D&amp;ust=1605639816405000&amp;usg=AFQjCNGA7vkyofMrHl6FkBuwovj8762MpA" xr:uid="{188421AC-FE2C-436C-AEB6-E0EBA3394B8A}"/>
    <hyperlink ref="B855" r:id="rId1517" display="https://www.google.com/url?q=https://oj.uz/problem/view/NOI12_modsum&amp;sa=D&amp;ust=1605639816405000&amp;usg=AFQjCNH_BzlhCDp-bKLdQedAsE9CqlywyA" xr:uid="{69D12E4D-4FFF-4487-B310-B05B48922C9C}"/>
    <hyperlink ref="F855" r:id="rId1518" display="https://www.google.com/url?q=https://github.com/win11905/submission/blob/master/NOI/12/modsum.cpp&amp;sa=D&amp;ust=1605639816405000&amp;usg=AFQjCNHsML5R5ivMcWwaGRsBEG3wVpNu9g" xr:uid="{B2533320-5FD9-4127-BA2C-B46250F03D1D}"/>
    <hyperlink ref="B856" r:id="rId1519" display="https://www.google.com/url?q=https://cses.fi/187/list/&amp;sa=D&amp;ust=1605639816406000&amp;usg=AFQjCNGajw4zD0uWU36OYTlz6nLeCUuN9w" xr:uid="{EB92FC18-A406-4FAF-BA1D-6FEE5C517B83}"/>
    <hyperlink ref="B857" r:id="rId1520" display="https://www.google.com/url?q=https://www.infoarena.ro/problema/porcjoc&amp;sa=D&amp;ust=1605639816406000&amp;usg=AFQjCNF3355Z7AOQmd6v8b4LP_53GKF1rw" xr:uid="{44EA0A91-FDAD-495E-A153-BF527A9091ED}"/>
    <hyperlink ref="F857" r:id="rId1521" display="https://www.google.com/url?q=https://github.com/stefdasca/CompetitiveProgramming/blob/master/Infoarena/porcjoc.cpp&amp;sa=D&amp;ust=1605639816406000&amp;usg=AFQjCNE-FQX4wjYrzU0TlFaA6iMchKMQ3g" xr:uid="{A04276BE-D8DA-4AEB-A0C9-F46E6D39E04A}"/>
    <hyperlink ref="B858" r:id="rId1522" display="https://www.google.com/url?q=https://oj.uz/problem/view/IOI11_ricehub&amp;sa=D&amp;ust=1605639816407000&amp;usg=AFQjCNGAYNfuObCiNc0e0prMQzGyF8I6bA" xr:uid="{99BB9804-0127-46E3-A472-39DA7DEC17A3}"/>
    <hyperlink ref="F858" r:id="rId1523" display="https://www.google.com/url?q=https://github.com/mostafa-saad/MyCompetitiveProgramming/blob/master/Olympiad/IOI/official/2011&amp;sa=D&amp;ust=1605639816407000&amp;usg=AFQjCNHlNg49ot65WTFAScDy_Z6kcFOqsg" xr:uid="{1B09620F-E183-4B81-9425-8021EA3D8B8A}"/>
    <hyperlink ref="B859" r:id="rId1524" display="https://www.google.com/url?q=http://www.spoj.com/problems/MINSUB/&amp;sa=D&amp;ust=1605639816407000&amp;usg=AFQjCNEN3Jvpukp66BNm48Ai0sXYbCDo5w" xr:uid="{D3A5AFA4-7902-4BC0-A391-FED841883904}"/>
    <hyperlink ref="F859" r:id="rId1525" display="https://www.google.com/url?q=https://github.com/tmwilliamlin168/CompetitiveProgramming/blob/master/IZHO/13-Burrow.cpp&amp;sa=D&amp;ust=1605639816407000&amp;usg=AFQjCNGrDIWg2DGk9v5d9SmStbJKHXmtrA" xr:uid="{C40CC744-73F6-4606-8200-B020BADB2B71}"/>
    <hyperlink ref="B860" r:id="rId1526" display="https://www.google.com/url?q=https://tioj.ck.tp.edu.tw/problems/1739&amp;sa=D&amp;ust=1605639816408000&amp;usg=AFQjCNEmjv9zyOrpkSWUZrSGu28tqcnKtw" xr:uid="{D2191937-2A07-4888-8768-884A92097E87}"/>
    <hyperlink ref="F860" r:id="rId1527" display="https://www.google.com/url?q=https://github.com/mostafa-saad/MyCompetitiveProgramming/blob/master/Olympiad/APIO/APIO-08-Beads.txt&amp;sa=D&amp;ust=1605639816408000&amp;usg=AFQjCNHvQzP-AehIlnKtI2LmsUEpc4VOyQ" xr:uid="{D7559548-CE1E-46CD-AC48-B13014A4E0EE}"/>
    <hyperlink ref="B861" r:id="rId1528" display="https://www.google.com/url?q=https://www.infoarena.ro/problema/minim2&amp;sa=D&amp;ust=1605639816408000&amp;usg=AFQjCNFZMOjkcpRGEsa_86ypd8Q3A5nyzQ" xr:uid="{34172D05-F29A-4B0F-8943-0AC0D7FBCBE3}"/>
    <hyperlink ref="F861" r:id="rId1529" display="https://www.google.com/url?q=https://github.com/stefdasca/CompetitiveProgramming/blob/master/Infoarena/minim2.cpp&amp;sa=D&amp;ust=1605639816409000&amp;usg=AFQjCNGH0D7xCjwueHlExgdc_6huJhXuZw" xr:uid="{0E5AE5E8-818D-45A9-9234-E75E8FB3B381}"/>
    <hyperlink ref="B862" r:id="rId1530" display="https://www.google.com/url?q=https://dunjudge.me/analysis/problems/973/&amp;sa=D&amp;ust=1605639816410000&amp;usg=AFQjCNFiVaLRsiapCu9_Asq4k6IFk84HFw" xr:uid="{BEB9A82E-3BC4-41A2-9EC3-C0E4DC9D46A8}"/>
    <hyperlink ref="F862" r:id="rId1531" display="https://www.google.com/url?q=https://github.com/fyquah95/ioi-malaysia-2016-training-camp&amp;sa=D&amp;ust=1605639816411000&amp;usg=AFQjCNEPZxGVSoUfQ41YAMp52KUBwtF47A" xr:uid="{E13F212C-8244-4727-8BA6-E7BE658FF1F3}"/>
    <hyperlink ref="B863" r:id="rId1532" display="https://www.google.com/url?q=https://codeforces.com/group/R2SERIff4f/contest/213171&amp;sa=D&amp;ust=1605639816411000&amp;usg=AFQjCNHtux-i9A1gclcaINh7nC-4U40Fxg" xr:uid="{D9DFF918-7540-4A20-9589-17EC99D802D9}"/>
    <hyperlink ref="F863" r:id="rId1533" display="https://www.google.com/url?q=https://github.com/mostafa-saad/MyCompetitiveProgramming/tree/master/Olympiad/MCO/official&amp;sa=D&amp;ust=1605639816411000&amp;usg=AFQjCNFtIEc-lkPsJT0CnIgbaKwQ75eaxg" xr:uid="{01BD258D-1730-4F81-A10C-F9AC73E087EE}"/>
    <hyperlink ref="B864" r:id="rId1534" display="https://www.google.com/url?q=https://wcipeg.com/problem/coci095p4&amp;sa=D&amp;ust=1605639816411000&amp;usg=AFQjCNF3hsdSUpNU8FBUpGGuPG-hWqKkXQ" xr:uid="{ECCD5B02-487C-42E2-BFD4-B0EFCDD2F8E0}"/>
    <hyperlink ref="F864" r:id="rId1535" display="https://www.google.com/url?q=https://github.com/mostafa-saad/MyCompetitiveProgramming/blob/master/Olympiad/COCI/COCI-09-Zuma.txt&amp;sa=D&amp;ust=1605639816412000&amp;usg=AFQjCNEzr3tUDm77hIVgsplpnss92n7HOw" xr:uid="{08122311-42E3-4656-B8BA-7484C27391DE}"/>
    <hyperlink ref="B865" r:id="rId1536" display="https://www.google.com/url?q=https://szkopul.edu.pl/problemset/problem/Fej8rGpqWzXEi_qjK2Cmfe4Y/site/&amp;sa=D&amp;ust=1605639816412000&amp;usg=AFQjCNG6LhJ6sL_n6YZVkf0y8gapVB6iMA" xr:uid="{DDED4A07-351B-42C8-BF18-FF3A991E59A3}"/>
    <hyperlink ref="F865" r:id="rId1537" display="https://www.google.com/url?q=https://github.com/mostafa-saad/MyCompetitiveProgramming/blob/master/Olympiad/POI/POI-08-BBB.txt&amp;sa=D&amp;ust=1605639816412000&amp;usg=AFQjCNFkW9SFRHNKj0GQXToqVWdQ42gGPQ" xr:uid="{F8526174-C0F9-46F2-BFBB-ED977DF1A2B8}"/>
    <hyperlink ref="B866" r:id="rId1538" display="https://www.google.com/url?q=https://szkopul.edu.pl/problemset/problem/fKO3YZL0f_UM1nHQNDvw7mku/site/&amp;sa=D&amp;ust=1605639816412000&amp;usg=AFQjCNGyIXPsCjtkShL3zE_R2k7Br_LL0A" xr:uid="{76592AD0-1C62-4E54-A236-15D1BFC71FE4}"/>
    <hyperlink ref="F866" r:id="rId1539" display="https://www.google.com/url?q=https://github.com/mostafa-saad/MyCompetitiveProgramming/blob/master/Olympiad/POI/official/find_editorial_sols_guidelines.txt&amp;sa=D&amp;ust=1605639816413000&amp;usg=AFQjCNGAgwpm2hEBtMGfL2z_W3kWtyRS8A" xr:uid="{0D45E1BB-9B7B-45A0-AAD7-A6BD84054A59}"/>
    <hyperlink ref="B867" r:id="rId1540" display="https://www.google.com/url?q=https://oj.uz/problem/view/IOI16_paint&amp;sa=D&amp;ust=1605639816413000&amp;usg=AFQjCNEGr9FEmy424ort3m-hUAzQMfvKiQ" xr:uid="{AAD0B869-6CC3-43AB-8987-0B17400EB2C2}"/>
    <hyperlink ref="F867" r:id="rId1541" display="https://www.google.com/url?q=https://github.com/mostafa-saad/MyCompetitiveProgramming/blob/master/Olympiad/IOI/IOI-16-paint.txt&amp;sa=D&amp;ust=1605639816413000&amp;usg=AFQjCNGqI1ae5B0A80ops-kp6vrP6TKyWw" xr:uid="{89DD869E-8344-43A7-A5B9-E87D5CFC347A}"/>
    <hyperlink ref="B868" r:id="rId1542" display="https://www.google.com/url?q=https://oj.uz/problem/view/BOI18_zalmoxis&amp;sa=D&amp;ust=1605639816413000&amp;usg=AFQjCNGNlGUhRo9egk860DHYGADo4ZaSwg" xr:uid="{60AC7C0A-21DB-4A57-9220-BA79C12D75A6}"/>
    <hyperlink ref="F868" r:id="rId1543" display="https://www.google.com/url?q=https://github.com/mostafa-saad/MyCompetitiveProgramming/blob/master/Olympiad/Balkan/Balkan-18-zalmoxis.txt&amp;sa=D&amp;ust=1605639816414000&amp;usg=AFQjCNEFoPUTj2ujlvnKZ8UKlDRNIYKq9w" xr:uid="{E7BF3745-11E4-45C5-960A-BEE1A8917B37}"/>
    <hyperlink ref="B869" r:id="rId1544" display="https://www.google.com/url?q=https://oj.uz/problem/view/IOI08_linear_garden&amp;sa=D&amp;ust=1605639816414000&amp;usg=AFQjCNFuwooUOIO2an9bB1nyWM5YMtQCzg" xr:uid="{8991E564-C3FA-43AC-B54F-2BDE31887E28}"/>
    <hyperlink ref="F869" r:id="rId1545" display="https://www.google.com/url?q=https://github.com/mostafa-saad/MyCompetitiveProgramming/blob/master/Olympiad/IOI/IOI-08-linear.txt&amp;sa=D&amp;ust=1605639816414000&amp;usg=AFQjCNELdfJHKfb_Qsn65FA7ckB2S55IuQ" xr:uid="{393A2C8C-AAF6-4B65-AAA0-D76E3FDFFDFC}"/>
    <hyperlink ref="B870" r:id="rId1546" display="https://www.google.com/url?q=https://csacademy.com/contest/ceoi-2017-day-2/&amp;sa=D&amp;ust=1605639816415000&amp;usg=AFQjCNG5zZAK5fGeya73JpFOvdKQEYMpPg" xr:uid="{70EEB1AB-309F-4753-9452-3B97AD18FF41}"/>
    <hyperlink ref="F870" r:id="rId1547" display="https://www.google.com/url?q=https://github.com/mostafa-saad/MyCompetitiveProgramming/blob/master/Olympiad/CEOI/CEOI-17-Building.txt&amp;sa=D&amp;ust=1605639816415000&amp;usg=AFQjCNHwkMpbNmg635SHTLZ3V2bIfVsCNw" xr:uid="{2855A41C-3031-4FA1-8447-DE04B94FB7EF}"/>
    <hyperlink ref="B871" r:id="rId1548" display="https://www.google.com/url?q=http://usaco.org/index.php?page%3Dviewproblem2%26cpid%3D698&amp;sa=D&amp;ust=1605639816415000&amp;usg=AFQjCNFY62rzNppVCsQnLmNM3Vd-hH3g2A" xr:uid="{F461FC12-78AD-4A3F-8A07-A4A3D001EAC4}"/>
    <hyperlink ref="B872" r:id="rId1549" display="https://www.google.com/url?q=https://oj.uz/problem/view/COCI17_kas&amp;sa=D&amp;ust=1605639816415000&amp;usg=AFQjCNGmk1BRJt0CkhRuzI4_yDC86GFYvw" xr:uid="{19A7C9FF-C48E-4E58-A96E-284DF56A9C3F}"/>
    <hyperlink ref="F872" r:id="rId1550" display="https://www.google.com/url?q=https://github.com/mostafa-saad/MyCompetitiveProgramming/blob/master/Olympiad/COCI/COCI-17-kas.txt&amp;sa=D&amp;ust=1605639816416000&amp;usg=AFQjCNF5Pg6VC6LIfQpWC5wIm3VzFtXL_w" xr:uid="{5BE7AC1E-9A97-4D77-984A-E9D394874F6A}"/>
    <hyperlink ref="B873" r:id="rId1551" display="https://www.google.com/url?q=https://cses.fi/problemset/task/1112/&amp;sa=D&amp;ust=1605639816416000&amp;usg=AFQjCNFOY0Q6jp4ORTapUVRZJtfhrUDIIg" xr:uid="{60F5FC1B-6EB9-4D5C-A4C6-75DF1DE2404A}"/>
    <hyperlink ref="F873" r:id="rId1552" display="https://www.google.com/url?q=https://github.com/nya-nya-meow/CompetitiveProgramming/blob/master/CSES/CSES%25201112%2520-%2520Substrings.cpp&amp;sa=D&amp;ust=1605639816416000&amp;usg=AFQjCNFgCQOR4m7_UdHa3N94_MEE-9_chQ" xr:uid="{1E8CBC4D-E4A8-478B-9741-3F47B714EAEE}"/>
    <hyperlink ref="B874" r:id="rId1553" display="https://www.google.com/url?q=https://dmoj.ca/problem/coci08c4p4&amp;sa=D&amp;ust=1605639816417000&amp;usg=AFQjCNGjuTVIrT9Q4BPGppaUuV9XMKDj7g" xr:uid="{E57321E4-AA61-4E4B-BC6B-52947CCF0E8A}"/>
    <hyperlink ref="F874" r:id="rId1554" display="https://www.google.com/url?q=https://github.com/mostafa-saad/MyCompetitiveProgramming/blob/master/Olympiad/COCI/COCI-08-Slikar.txt&amp;sa=D&amp;ust=1605639816417000&amp;usg=AFQjCNEvD9WhXo-TNQ_RRmX4VyCYZgC4KQ" xr:uid="{E318D704-4D7C-4F7A-9CC5-717F8E6BE641}"/>
    <hyperlink ref="B875" r:id="rId1555" display="https://www.google.com/url?q=https://www.hackerrank.com/contests/ioi-2014-practice-contest-1/challenges&amp;sa=D&amp;ust=1605639816417000&amp;usg=AFQjCNEhQ1gH3ex5JuDP6kwU83XDZH-jOw" xr:uid="{12848D5C-F722-4A6E-991D-AB43F5AF5CFE}"/>
    <hyperlink ref="F875" r:id="rId1556" display="https://www.google.com/url?q=https://github.com/mostafa-saad/MyCompetitiveProgramming/blob/master/Olympiad/IOI/IOIPractice-14-skwishinese-ioi14.txt&amp;sa=D&amp;ust=1605639816417000&amp;usg=AFQjCNFxfI4ESo3qh6lfrEeAA3jKm8DjJg" xr:uid="{6F0DC305-4F17-4C46-9AC1-179AB7E0ADD2}"/>
    <hyperlink ref="B876" r:id="rId1557" display="https://www.google.com/url?q=https://www.infoarena.ro/problema/scara2&amp;sa=D&amp;ust=1605639816418000&amp;usg=AFQjCNEhVLViL0nLt7ZlLVcNAsg_-nMV6w" xr:uid="{0E14EB5B-C70F-4B35-9D1A-9195499ABEEB}"/>
    <hyperlink ref="F876" r:id="rId1558" display="https://www.google.com/url?q=https://github.com/stefdasca/CompetitiveProgramming/blob/master/Infoarena/scara2.cpp&amp;sa=D&amp;ust=1605639816418000&amp;usg=AFQjCNHppWuEgYF8QJKEu7kCRPw7Sfm4fA" xr:uid="{69DF5703-9ECC-4E88-BE6D-FEA73EE2EE6C}"/>
    <hyperlink ref="B877" r:id="rId1559" display="https://www.google.com/url?q=https://oj.uz/problem/view/IOI19_shoes&amp;sa=D&amp;ust=1605639816418000&amp;usg=AFQjCNEMR_CGsApLE1mn6fN_1F8bWrOpng" xr:uid="{5A61A0C5-C2E3-4F18-9515-E751FEA60D16}"/>
    <hyperlink ref="F877" r:id="rId1560" display="https://www.google.com/url?q=https://github.com/mostafa-saad/MyCompetitiveProgramming/tree/master/Olympiad/IOI/official/2019&amp;sa=D&amp;ust=1605639816419000&amp;usg=AFQjCNFs5wuLiG0EQ6B7-dz8BEUUTXPqIA" xr:uid="{3E07EC33-8141-4167-9548-BAF6B0F2FEB6}"/>
    <hyperlink ref="B878" r:id="rId1561" display="https://www.google.com/url?q=https://www.infoarena.ro/problema/regat&amp;sa=D&amp;ust=1605639816419000&amp;usg=AFQjCNGIjtHzsKmtpEJZBDYKh602VViPAw" xr:uid="{8EB39617-1B38-4E64-8D02-D2C9610D6EF3}"/>
    <hyperlink ref="F878" r:id="rId1562" display="https://www.google.com/url?q=https://github.com/mostafa-saad/MyCompetitiveProgramming/blob/master/Olympiad/infoarena/infoarena_regat.txt&amp;sa=D&amp;ust=1605639816420000&amp;usg=AFQjCNHpsH5vv_l2_4-C8mwSLuvpgntt9g" xr:uid="{A69E2E3B-C189-4BF1-B61C-86366FFA1DF7}"/>
    <hyperlink ref="B879" r:id="rId1563" display="https://www.google.com/url?q=https://oj.uz/problem/view/IOI13_dreaming&amp;sa=D&amp;ust=1605639816421000&amp;usg=AFQjCNFqNAYgHQ363p0Jz2twnlbXKS8-qQ" xr:uid="{E11357DB-DEB9-46DB-A2F5-3529E6247E81}"/>
    <hyperlink ref="F879" r:id="rId1564" display="https://www.google.com/url?q=https://github.com/MohamedAhmed04/Competitive-programming/blob/master/IOI/IOI%25202013-Dreaming.cpp&amp;sa=D&amp;ust=1605639816421000&amp;usg=AFQjCNFARlbtDhYnv4yhyT5paoDj7VX3WA" xr:uid="{3F731E0B-D384-4940-B67E-1E8339BF3D1A}"/>
    <hyperlink ref="B880" r:id="rId1565" display="https://www.google.com/url?q=https://wcipeg.com/problem/coi07p3&amp;sa=D&amp;ust=1605639816421000&amp;usg=AFQjCNFyippslAxUABbdZTNfpbrq_zPd8A" xr:uid="{28D2F69A-A2C0-4CFC-BABC-B049B033FC6F}"/>
    <hyperlink ref="F880" r:id="rId1566" display="https://www.google.com/url?q=https://github.com/mostafa-saad/MyCompetitiveProgramming/blob/master/Olympiad/COI/COI-07-Tamnica.txt&amp;sa=D&amp;ust=1605639816421000&amp;usg=AFQjCNEcbcmuJG03UlrNZJbkk3K4FPozKA" xr:uid="{D4701149-14AA-465F-817B-56FBA77D1D03}"/>
    <hyperlink ref="B881" r:id="rId1567" display="https://www.google.com/url?q=https://csacademy.com/contest/ioi-2016-training-round-1/task/hallway&amp;sa=D&amp;ust=1605639816421000&amp;usg=AFQjCNG9s5DtSA59sHe2CH1Kf52josFezg" xr:uid="{53DA2DC1-7416-4FBF-93E5-D2686F9A9F14}"/>
    <hyperlink ref="B882" r:id="rId1568" display="https://www.google.com/url?q=https://oj.uz/problem/view/JOI17_joioi&amp;sa=D&amp;ust=1605639816422000&amp;usg=AFQjCNEFx2-v_b6YNT9VnEzXE7JTRR86ig" xr:uid="{E9384B83-A8E4-4114-B98A-58FDE5A77679}"/>
    <hyperlink ref="F882" r:id="rId1569" display="https://www.google.com/url?q=https://github.com/stefdasca/CompetitiveProgramming/blob/master/JOI/JOI%252017-joioi.cpp&amp;sa=D&amp;ust=1605639816422000&amp;usg=AFQjCNFY3z5yN-BkqShig4HkENQB0ESjpg" xr:uid="{A46A5CF6-D82F-4866-A317-5CB9147164F6}"/>
    <hyperlink ref="B883" r:id="rId1570" display="https://www.google.com/url?q=https://dmoj.ca/problem/coci16c1p3&amp;sa=D&amp;ust=1605639816422000&amp;usg=AFQjCNFHJNSO65fkwZQwumlll-c_dmJfdw" xr:uid="{ED4A013C-A598-4FC8-BDE1-5B0AA0AEF620}"/>
    <hyperlink ref="F883" r:id="rId1571" display="https://www.google.com/url?q=https://github.com/nikolapesic2802/Programming-Practice/blob/master/Cezar/main.cpp&amp;sa=D&amp;ust=1605639816422000&amp;usg=AFQjCNHSD4dRpiqdZiQG2Vhx0iK6PNruZQ" xr:uid="{7020375D-EFA3-407F-8A1B-824ACA1D4409}"/>
    <hyperlink ref="B884" r:id="rId1572" display="https://www.google.com/url?q=https://cses.fi/111/list/&amp;sa=D&amp;ust=1605639816423000&amp;usg=AFQjCNGxkTwB7IdUt3eHpzfXyLrnAi6Guw" xr:uid="{C82F98C0-2D00-49DF-AD04-3F3471BF8FEF}"/>
    <hyperlink ref="F884" r:id="rId1573" display="https://www.google.com/url?q=https://github.com/mostafa-saad/MyCompetitiveProgramming/blob/master/Olympiad/Baltic/Baltic-07-Escape.txt&amp;sa=D&amp;ust=1605639816423000&amp;usg=AFQjCNEJ7wJCMfKxcwM4gc8eFjaXGegecA" xr:uid="{81EF0373-0423-482B-9C20-3A7C2E31AA22}"/>
    <hyperlink ref="B885" r:id="rId1574" display="https://www.google.com/url?q=http://usaco.org/index.php?page%3Dviewproblem2%26cpid%3D721&amp;sa=D&amp;ust=1605639816423000&amp;usg=AFQjCNFAbvFsGqcPJZj62q8M8V741ABP9Q" xr:uid="{FC6E95E9-30A3-490B-B519-BA365B1F903A}"/>
    <hyperlink ref="B886" r:id="rId1575" display="https://www.google.com/url?q=https://www.infoarena.ro/problema/secvbest&amp;sa=D&amp;ust=1605639816424000&amp;usg=AFQjCNEL6FPgEPU1Qm5fU07tSwhGeC_71w" xr:uid="{38AC0CDC-1E53-45D2-8FA0-A2648D482EC0}"/>
    <hyperlink ref="F886" r:id="rId1576" display="https://www.google.com/url?q=https://github.com/stefdasca/CompetitiveProgramming/blob/master/Infoarena/secvbest.cpp&amp;sa=D&amp;ust=1605639816424000&amp;usg=AFQjCNG5Fs-AvPqUgZcujrZjmMx80LakXg" xr:uid="{43162663-CAEB-4BB6-89B4-273666403BF3}"/>
    <hyperlink ref="B887" r:id="rId1577" display="https://www.google.com/url?q=https://dmoj.ca/problem/coci14c6p5&amp;sa=D&amp;ust=1605639816424000&amp;usg=AFQjCNFK8WCweWsWKFBrH2-ETNq2Pw3fRQ" xr:uid="{60C8DCB7-C3F4-4D17-8739-326A6C79278C}"/>
    <hyperlink ref="F887" r:id="rId1578" display="https://www.google.com/url?q=https://github.com/mostafa-saad/MyCompetitiveProgramming/blob/master/Olympiad/COCI/official/2015/contest6_solutions&amp;sa=D&amp;ust=1605639816424000&amp;usg=AFQjCNH8Oux9a04kMTw0eHRlfFLhSzue8g" xr:uid="{878D61C7-ADBC-4506-962A-0D0FDE3DF7ED}"/>
    <hyperlink ref="B888" r:id="rId1579" display="https://www.google.com/url?q=http://usaco.org/index.php?page%3Dviewproblem2%26cpid%3D861&amp;sa=D&amp;ust=1605639816425000&amp;usg=AFQjCNFyzgNdNdt5OlbpfmXw2EdKwowzhw" xr:uid="{061E6B82-4459-49F8-8CA7-DC06B3983A74}"/>
    <hyperlink ref="B889" r:id="rId1580" display="https://www.google.com/url?q=https://szkopul.edu.pl/problemset/problem/lcU5m2RAICwNHsdzydb8JTQw/site/&amp;sa=D&amp;ust=1605639816425000&amp;usg=AFQjCNE51k1xSPH7mZ2saAuRhJ6R3bVGdw" xr:uid="{4CD63183-42F9-45B2-A78D-7B500F9BC7FA}"/>
    <hyperlink ref="F889" r:id="rId1581" display="https://www.google.com/url?q=https://github.com/mostafa-saad/MyCompetitiveProgramming/blob/master/Olympiad/POI/POI-10-Pilots.txt&amp;sa=D&amp;ust=1605639816425000&amp;usg=AFQjCNEn6bVnW3QHdHuhx-uFSjiaqgvOYw" xr:uid="{6E777441-274F-4EC3-8D3B-8BE2C85BCB1A}"/>
    <hyperlink ref="B890" r:id="rId1582" display="https://www.google.com/url?q=https://www.acmicpc.net/problem/2270&amp;sa=D&amp;ust=1605639816426000&amp;usg=AFQjCNGcRA99E4We1ZUcnzo8NhHZ01f4TQ" xr:uid="{0E7063B7-13EF-43BB-86E3-9630252BC842}"/>
    <hyperlink ref="F890" r:id="rId1583" display="https://www.google.com/url?q=https://github.com/mostafa-saad/MyCompetitiveProgramming/blob/master/Olympiad/CEOI/CEOI-03-Hanoi.txt&amp;sa=D&amp;ust=1605639816426000&amp;usg=AFQjCNHNNAiNZcvq0QtfyK-rogyp3NwoiQ" xr:uid="{BBBB7231-1012-4989-8EF3-11D74964504D}"/>
    <hyperlink ref="B891" r:id="rId1584" display="https://www.google.com/url?q=https://contest.yandex.com/roiarchive/contest/2012/problems/D&amp;sa=D&amp;ust=1605639816426000&amp;usg=AFQjCNHgIX_KLT1iZpti_kKKrIhStMVHSA" xr:uid="{44608707-BA06-4AA0-84CA-EA57B97D0F00}"/>
    <hyperlink ref="B892" r:id="rId1585" display="https://www.google.com/url?q=https://dunjudge.me/analysis/problems/26/&amp;sa=D&amp;ust=1605639816427000&amp;usg=AFQjCNF9JeWA1F6LWuuKEQCSa9EgEKOGyw" xr:uid="{9EEB41D7-FD30-47FC-AE70-0BABD057EB74}"/>
    <hyperlink ref="F892" r:id="rId1586" display="https://www.google.com/url?q=https://github.com/mostafa-saad/MyCompetitiveProgramming/blob/master/Olympiad/NOI/official/2011.pptx&amp;sa=D&amp;ust=1605639816427000&amp;usg=AFQjCNF82PLZ2rKytr-AF35R6SgfyPKdSA" xr:uid="{4167A6C5-5F53-4A0D-92FB-E945E29A04A9}"/>
    <hyperlink ref="B893" r:id="rId1587" display="https://www.google.com/url?q=https://codeforces.com/group/swEqtABRxe/contest/227530/problem/B&amp;sa=D&amp;ust=1605639816427000&amp;usg=AFQjCNHBtBwHrOfqkfkwCp4_C2oXkv3_FQ" xr:uid="{49AFDCBC-1689-449E-8AA4-9079EB5196D5}"/>
    <hyperlink ref="F893" r:id="rId1588" display="https://www.google.com/url?q=https://github.com/ahmedibrahim404/CompetitiveProgramming/blob/master/EOI/IOI_Quals%2718/18-R2-B/src/main.cpp&amp;sa=D&amp;ust=1605639816427000&amp;usg=AFQjCNE3HpuSM8MDwwK9HsNl1AXz6-_-bg" xr:uid="{A2B3E498-9C36-44BC-BC65-11387C64A8B2}"/>
    <hyperlink ref="B894" r:id="rId1589" display="https://www.google.com/url?q=https://szkopul.edu.pl/problemset/problem/JyanwtKuk_ER10eZ7Yv0q72d/site/&amp;sa=D&amp;ust=1605639816428000&amp;usg=AFQjCNHZfcfYBrSqIEHjlL5l3vLZOh-sXw" xr:uid="{447AB526-8D20-4217-84D6-63CBF7F29433}"/>
    <hyperlink ref="F894" r:id="rId1590" display="https://www.google.com/url?q=https://github.com/mostafa-saad/MyCompetitiveProgramming/blob/master/Olympiad/POI/official/find_editorial_sols_guidelines.txt&amp;sa=D&amp;ust=1605639816428000&amp;usg=AFQjCNFWJf0CH9nD8vY3y5WiVjcxhbj_4Q" xr:uid="{201587B3-A565-423B-9B01-0CD140981B43}"/>
    <hyperlink ref="B895" r:id="rId1591" display="https://www.google.com/url?q=https://dunjudge.me/analysis/problems/955/&amp;sa=D&amp;ust=1605639816428000&amp;usg=AFQjCNH0eXd4vYG6OZFXjV1Lh0gszXRYeA" xr:uid="{30BD4454-7100-4766-83BA-9DC0F56AEAB2}"/>
    <hyperlink ref="F895" r:id="rId1592" display="https://www.google.com/url?q=https://github.com/mostafa-saad/MyCompetitiveProgramming/blob/master/Olympiad/NOI/official&amp;sa=D&amp;ust=1605639816429000&amp;usg=AFQjCNEXkcmnFdc3jFZWORM5czVAgzo-6w" xr:uid="{F4D1F05B-7443-4229-8588-6615D3C89C00}"/>
    <hyperlink ref="B896" r:id="rId1593" display="https://www.google.com/url?q=https://szkopul.edu.pl/problemset/problem/kZ-a2gIkpjJEOzq6pJ5jUW7f/site/&amp;sa=D&amp;ust=1605639816430000&amp;usg=AFQjCNGFYdQFZyLMKUuKQ-Ui0XnMNsX07g" xr:uid="{B15A6B84-E20A-465A-8BC0-D6536A5F3BD2}"/>
    <hyperlink ref="F896" r:id="rId1594" display="https://www.google.com/url?q=https://github.com/mostafa-saad/MyCompetitiveProgramming/blob/master/Olympiad/POI/POI-09-Fire.txt&amp;sa=D&amp;ust=1605639816430000&amp;usg=AFQjCNHB0N2Czcp5Q7thxCidHv4PjJkdpw" xr:uid="{0B779DE0-6083-477C-80D4-96199BE9AB90}"/>
    <hyperlink ref="B897" r:id="rId1595" display="https://www.google.com/url?q=https://www.acmicpc.net/problem/2284&amp;sa=D&amp;ust=1605639816430000&amp;usg=AFQjCNGhddORh0EYtWPLAxkkU0OaSI69CA" xr:uid="{46FF9EF0-E03F-44B3-8E2F-8C58DB5DB3FA}"/>
    <hyperlink ref="F897" r:id="rId1596" display="https://www.google.com/url?q=https://github.com/mostafa-saad/MyCompetitiveProgramming/blob/master/Olympiad/CEOI/CEOI-03-Therace.txt&amp;sa=D&amp;ust=1605639816430000&amp;usg=AFQjCNEZRIkfar3c6wgGGTVPg-daB2wpOg" xr:uid="{A38E38E8-1BB1-4572-A211-F45C86DAA4CC}"/>
    <hyperlink ref="B898" r:id="rId1597" display="https://www.google.com/url?q=https://szkopul.edu.pl/problemset/problem/07Q0fFk7fU2TmGr6wpPeDCZj/site/&amp;sa=D&amp;ust=1605639816431000&amp;usg=AFQjCNG4kEI-pr8JCKF9FONKtsAELo0ltA" xr:uid="{D25F82D5-A5A8-42CF-8B60-FD7A21AF80EC}"/>
    <hyperlink ref="F898" r:id="rId1598" display="https://www.google.com/url?q=https://github.com/mostafa-saad/MyCompetitiveProgramming/blob/master/Olympiad/POI/POI-15-Trous.txt&amp;sa=D&amp;ust=1605639816431000&amp;usg=AFQjCNGxot5YOC6lSmx792NCCZflBuqJpw" xr:uid="{8CB38BBD-ECCF-4EF8-8564-96A5B526A70A}"/>
    <hyperlink ref="B899" r:id="rId1599" display="https://www.google.com/url?q=https://oj.uz/problem/view/IOI16_dna&amp;sa=D&amp;ust=1605639816431000&amp;usg=AFQjCNF5qVUQQNf9OzamaGQndN4f15dUZA" xr:uid="{E9C30A4D-9CE1-4B79-ADEE-795076A9BE9A}"/>
    <hyperlink ref="F899" r:id="rId1600" display="https://www.google.com/url?q=https://codeforces.com/blog/entry/46525?%23comment-310021&amp;sa=D&amp;ust=1605639816432000&amp;usg=AFQjCNGg_bZK4ons8yRbq2Uk2ou_VhYH_A" xr:uid="{2A9FD34A-C07D-4B60-BF2B-15D82ECB9CCF}"/>
    <hyperlink ref="B900" r:id="rId1601" display="https://www.google.com/url?q=https://csacademy.com/contest/balkan-oi-2017-day-2/&amp;sa=D&amp;ust=1605639816432000&amp;usg=AFQjCNExqyBnMervIPYUIvcwWQYtfJRUUQ" xr:uid="{C3B97395-0C32-49E8-BACB-2FD921BED49E}"/>
    <hyperlink ref="F900" r:id="rId1602" display="https://www.google.com/url?q=https://github.com/mostafa-saad/MyCompetitiveProgramming/blob/master/Olympiad/Balkan/Balkan-17-Monsters.txt&amp;sa=D&amp;ust=1605639816432000&amp;usg=AFQjCNFF6-SLTitnZ1cGR03aaNsqeekUVg" xr:uid="{51889DEC-8104-4EBE-8B6B-B2CF5B241944}"/>
    <hyperlink ref="B901" r:id="rId1603" display="https://www.google.com/url?q=https://csacademy.com/contest/junior-challenge-2017-day-2/task/ultimateorbs&amp;sa=D&amp;ust=1605639816433000&amp;usg=AFQjCNF_MIVsXn1AnblXvMuFy9e7wFE3Kw" xr:uid="{2A4E03C8-0736-48BD-A29F-B7DC846E82E0}"/>
    <hyperlink ref="F901" r:id="rId1604" display="https://www.google.com/url?q=https://github.com/mostafa-saad/MyCompetitiveProgramming/blob/master/Olympiad/ROS/ROJS-17-ultimateorbs.txt&amp;sa=D&amp;ust=1605639816433000&amp;usg=AFQjCNGrcBWjQHO2WfEb3oPGwdKIarNzbw" xr:uid="{32C1D395-D173-4315-BB64-5483AB75BF60}"/>
    <hyperlink ref="B902" r:id="rId1605" display="https://www.google.com/url?q=https://oj.uz/problem/view/IOI18_combo&amp;sa=D&amp;ust=1605639816433000&amp;usg=AFQjCNFVHEXbNqbesLU84t3AH-PnCaoE7A" xr:uid="{1D281115-22F0-4A7F-97AE-A364BD9EB720}"/>
    <hyperlink ref="F902" r:id="rId1606" display="https://www.google.com/url?q=https://github.com/mostafa-saad/MyCompetitiveProgramming/blob/master/Olympiad/IOI/IOI-18-Combo.txt&amp;sa=D&amp;ust=1605639816433000&amp;usg=AFQjCNEmRZT-EMSO5XsRYqloi1b35VOqJA" xr:uid="{B5F4F830-18D4-4DDC-8FE6-CE28BF0F1707}"/>
    <hyperlink ref="B903" r:id="rId1607" display="https://www.google.com/url?q=https://oj.uz/problems/source/351&amp;sa=D&amp;ust=1605639816434000&amp;usg=AFQjCNEbWv4hFcdKWiKeEkzBvWoXrcC58g" xr:uid="{CF5587F4-A8EA-47D2-88C6-9DCEFE826E92}"/>
    <hyperlink ref="F903" r:id="rId1608" display="https://www.google.com/url?q=https://github.com/mostafa-saad/MyCompetitiveProgramming/blob/master/Olympiad/JOI/JOIOC-18-Xylophone.txt&amp;sa=D&amp;ust=1605639816434000&amp;usg=AFQjCNF3VuVye98wyCDJrnW1G6HXFNWYeQ" xr:uid="{047AB82E-14D3-49CC-9A51-28B3E7BC7A18}"/>
    <hyperlink ref="B904" r:id="rId1609" display="https://www.google.com/url?q=https://www.infoarena.ro/problema/interact&amp;sa=D&amp;ust=1605639816434000&amp;usg=AFQjCNGAf7HmCj_vUU8o1w2rn-o3EafuXw" xr:uid="{3DB439BC-4F69-40C4-B377-25D47ED8E795}"/>
    <hyperlink ref="F904" r:id="rId1610" display="https://www.google.com/url?q=https://github.com/mostafa-saad/MyCompetitiveProgramming/blob/master/Olympiad/infoarena/infoarena-interact.txt&amp;sa=D&amp;ust=1605639816434000&amp;usg=AFQjCNEBdF9LHJ2bJF7W1LSlAP7Gx2HlMw" xr:uid="{C04CB1E3-8BA2-4D23-846B-529038AFF576}"/>
    <hyperlink ref="B905" r:id="rId1611" display="https://www.google.com/url?q=https://www.ioi-jp.org/camp/2018/2018-sp-tasks/index.html&amp;sa=D&amp;ust=1605639816435000&amp;usg=AFQjCNGHu1W3lkCt0CmhGF80gt4UeJZTAw" xr:uid="{287E0CC1-C5A6-4BA0-AF32-62BAC634D162}"/>
    <hyperlink ref="F905" r:id="rId1612" display="https://www.google.com/url?q=https://github.com/mostafa-saad/MyCompetitiveProgramming/blob/master/Olympiad/JOI/JOISC-18-library.txt&amp;sa=D&amp;ust=1605639816435000&amp;usg=AFQjCNHpoqI-x3AyrfrfvxIWJxtrGKDw-Q" xr:uid="{EFC8E0EE-44C2-4804-B120-92F6BB661206}"/>
    <hyperlink ref="B906" r:id="rId1613" display="https://www.google.com/url?q=https://szkopul.edu.pl/problemset/problem/3buviDQZWLE83AxVhvJJurgU/site/&amp;sa=D&amp;ust=1605639816435000&amp;usg=AFQjCNFGY-ODQcioK2Wi098RQL1ZQxFwCg" xr:uid="{6CD21677-513C-47D0-952B-D364E951B425}"/>
    <hyperlink ref="F906" r:id="rId1614" display="https://www.google.com/url?q=https://github.com/mostafa-saad/MyCompetitiveProgramming/blob/master/Olympiad/POI/official/find_editorial_sols_guidelines.txt&amp;sa=D&amp;ust=1605639816435000&amp;usg=AFQjCNHhySJ5bx9mxZK3m009Dfq5ChYaCA" xr:uid="{11B15CC2-2D83-436B-B4B7-E998D0DD6775}"/>
    <hyperlink ref="B907" r:id="rId1615" display="https://www.google.com/url?q=https://oj.uz/problem/view/COCI19_parametriziran&amp;sa=D&amp;ust=1605639816436000&amp;usg=AFQjCNGmp-YrQvhAugGAGLEWCyg8dcSrCg" xr:uid="{393B5B88-2E90-4F02-9B15-4F67193ECAED}"/>
    <hyperlink ref="F907" r:id="rId1616" display="https://www.google.com/url?q=https://github.com/Szawinis/CompetitiveProgramming/blob/master/Olympiad/COCI/COCI19-parametriziran.cpp&amp;sa=D&amp;ust=1605639816436000&amp;usg=AFQjCNGqVD4fZ99G5WMRm2hQA-T_XTUQmg" xr:uid="{C246C1A1-1BC9-4465-9385-3C71DD176935}"/>
    <hyperlink ref="B908" r:id="rId1617" display="https://www.google.com/url?q=https://dmoj.ca/contest/cco18d2&amp;sa=D&amp;ust=1605639816436000&amp;usg=AFQjCNH19tg5zYxc0W_WT7UVgNQU8dhUuA" xr:uid="{E5510D3A-A7C9-4C0A-8168-60B74C3B9263}"/>
    <hyperlink ref="F908" r:id="rId1618" display="https://www.google.com/url?q=https://github.com/mostafa-saad/MyCompetitiveProgramming/blob/master/Olympiad/CCO/CCO-18-GradientDescent.txt&amp;sa=D&amp;ust=1605639816436000&amp;usg=AFQjCNFpiQhwzzkwp81iJnHmS1OQCPi0QQ" xr:uid="{B29A9C4B-A3ED-4868-AC03-6C660377BBA7}"/>
    <hyperlink ref="B909" r:id="rId1619" display="https://www.google.com/url?q=https://oj.uz/problem/view/CEOI15_bobek&amp;sa=D&amp;ust=1605639816437000&amp;usg=AFQjCNH5q8jfl4BN-eiXlPpqtx9t3c8BpQ" xr:uid="{33C83A3D-2F65-4843-84B2-C685B2D9A2DB}"/>
    <hyperlink ref="F909" r:id="rId1620" display="https://www.google.com/url?q=https://github.com/SpeedOfMagic/CompetitiveProgramming/blob/master/CEOI/15-bobek.cpp&amp;sa=D&amp;ust=1605639816437000&amp;usg=AFQjCNFZIIUM81BaVmsBZ0RpTJnVyFhC-Q" xr:uid="{214CC14C-C5DD-44EE-8F21-C74BE786A605}"/>
    <hyperlink ref="B910" r:id="rId1621" display="https://www.google.com/url?q=https://oj.uz/problem/view/COCI17_san&amp;sa=D&amp;ust=1605639816437000&amp;usg=AFQjCNGkx8YlIEnX-MKsjbPBSPW42qbjQw" xr:uid="{36A3B5DF-E506-47E8-9DF4-CE9C84155017}"/>
    <hyperlink ref="F910" r:id="rId1622" display="https://www.google.com/url?q=https://github.com/mostafa-saad/MyCompetitiveProgramming/blob/master/Olympiad/COCI/official/2018/contest2_solutions&amp;sa=D&amp;ust=1605639816437000&amp;usg=AFQjCNE4vQbGswwMsdBNkGwDVzN20resuQ" xr:uid="{27084416-C674-4908-A640-0667452583C2}"/>
    <hyperlink ref="B911" r:id="rId1623" display="https://www.google.com/url?q=https://codeforces.com/group/swEqtABRxe/contest/227531/problem/C&amp;sa=D&amp;ust=1605639816438000&amp;usg=AFQjCNGHBDC5s9BvooLUkQTDUZESDLvZzg" xr:uid="{BA93466F-5856-48F1-836B-EC06B233A627}"/>
    <hyperlink ref="F911" r:id="rId1624" display="https://www.google.com/url?q=https://ideone.com/iyHw7X&amp;sa=D&amp;ust=1605639816438000&amp;usg=AFQjCNEJWiGTYNDKewXABRjT9-faFNJbzw" xr:uid="{CBABBEAD-BA5F-45A2-9980-1483C0820757}"/>
    <hyperlink ref="B912" r:id="rId1625" display="https://www.google.com/url?q=https://szkopul.edu.pl/problemset/problem/4BL9eUWjrvT7ecMUJcmSuJI3/site/&amp;sa=D&amp;ust=1605639816438000&amp;usg=AFQjCNENAqorNJmChtm-cMB-hR7-090vKQ" xr:uid="{18C35BAF-8F37-448B-86CC-2270B6ABFD52}"/>
    <hyperlink ref="F912" r:id="rId1626" display="https://www.google.com/url?q=https://ideone.com/iOUxs7&amp;sa=D&amp;ust=1605639816438000&amp;usg=AFQjCNEuU4FswcvoX3Thb8nVLf3EDz1j4A" xr:uid="{8BB04152-35D1-4B91-BBD8-8B0C4E1F5172}"/>
    <hyperlink ref="B913" r:id="rId1627" display="https://www.google.com/url?q=https://www.infoarena.ro/problema/puncte&amp;sa=D&amp;ust=1605639816439000&amp;usg=AFQjCNFADnNmwT3cuH_DlUAjiDNkcl-Ncg" xr:uid="{6F2C2D7C-5463-436A-BE0D-44AA2F26F4E8}"/>
    <hyperlink ref="F913" r:id="rId1628" display="https://www.google.com/url?q=https://github.com/mostafa-saad/MyCompetitiveProgramming/blob/master/Olympiad/infoarena/infoarena_puncte.txt&amp;sa=D&amp;ust=1605639816440000&amp;usg=AFQjCNFPjbXK51a_msUjDF8kOefZ9Waxvg" xr:uid="{8A422781-942C-4D0D-A9BF-2AC1DEAD02D7}"/>
    <hyperlink ref="B914" r:id="rId1629" display="https://www.google.com/url?q=https://oj.uz/problem/view/IZhO14_divide&amp;sa=D&amp;ust=1605639816440000&amp;usg=AFQjCNEkwcW6h9kTuYopI70E75ZkPTvusA" xr:uid="{118CDCDB-0422-435E-86A0-AEB07320D273}"/>
    <hyperlink ref="F914" r:id="rId1630" display="https://www.google.com/url?q=https://github.com/Coder-Boy1/Others/blob/master/IZHO%252014-divide&amp;sa=D&amp;ust=1605639816440000&amp;usg=AFQjCNHXsKy1vMlEMvhQhColkBSKLCqSSQ" xr:uid="{8A21F28F-8997-45C6-B068-CFBA4023BCB9}"/>
    <hyperlink ref="B915" r:id="rId1631" display="https://www.google.com/url?q=https://dunjudge.me/analysis/problems/1230/&amp;sa=D&amp;ust=1605639816440000&amp;usg=AFQjCNHm0yY3tliJfacNJvgbglElBx6etA" xr:uid="{85AD8547-74ED-4CA7-BD30-030E8C6E4B88}"/>
    <hyperlink ref="F915" r:id="rId1632" display="https://www.google.com/url?q=https://github.com/mostafa-saad/MyCompetitiveProgramming/blob/master/Olympiad/NOI/NOI-17-very_best_pokemon.txt&amp;sa=D&amp;ust=1605639816441000&amp;usg=AFQjCNHkv7qxQUkIZ3KJB6nBmsKrO6NftA" xr:uid="{1BC53E18-1A68-4A80-A551-2E09F1AB48E4}"/>
    <hyperlink ref="B916" r:id="rId1633" display="https://www.google.com/url?q=https://www.infoarena.ro/problema/sir3&amp;sa=D&amp;ust=1605639816441000&amp;usg=AFQjCNE6itsSYUhcMo5KmHCFelrggGkIVQ" xr:uid="{249A91C9-C801-4338-9291-DC60DF07C9A7}"/>
    <hyperlink ref="F916" r:id="rId1634" display="https://www.google.com/url?q=https://github.com/stefdasca/CompetitiveProgramming/blob/master/Infoarena/sir3.cpp&amp;sa=D&amp;ust=1605639816441000&amp;usg=AFQjCNGS-CR_1PjpH09Nq1R0qaASUIQqjQ" xr:uid="{4300DE6A-0BE1-4AF1-BD38-F6894A4ED5F4}"/>
    <hyperlink ref="B917" r:id="rId1635" display="https://www.google.com/url?q=http://usaco.org/index.php?page%3Dviewproblem2%26cpid%3D515&amp;sa=D&amp;ust=1605639816441000&amp;usg=AFQjCNEAip_x7p8b8vcqhaCf9s8agBtAgg" xr:uid="{14CBEDC5-DB92-40B5-9127-E9E63729DD7C}"/>
    <hyperlink ref="B918" r:id="rId1636" display="https://www.google.com/url?q=https://cses.fi/problemset/task/1654&amp;sa=D&amp;ust=1605639816442000&amp;usg=AFQjCNEbNRNuRHhJZVqOTIg3bXAob3M_7Q" xr:uid="{8B5CFB81-FD7C-4043-BF67-B7425F44D9A6}"/>
    <hyperlink ref="F918" r:id="rId1637" display="https://www.google.com/url?q=https://github.com/nikolapesic2802/Programming-Practice/blob/master/Bit%2520problem/main.cpp&amp;sa=D&amp;ust=1605639816442000&amp;usg=AFQjCNHC-JiMQOZuT2aPuWdgTxRHLeOqkQ" xr:uid="{9D6D0EF9-A55F-4845-9FDE-E3CEC4261697}"/>
    <hyperlink ref="B919" r:id="rId1638" display="https://www.google.com/url?q=https://oj.uz/problem/view/BOI19_kitchen&amp;sa=D&amp;ust=1605639816442000&amp;usg=AFQjCNGZzXVkB38yAZtAWBFrSxip_x9pvQ" xr:uid="{FADE387F-F8DD-418B-99F3-02C0565FA4A3}"/>
    <hyperlink ref="F919" r:id="rId1639" display="https://www.google.com/url?q=https://github.com/mostafa-saad/MyCompetitiveProgramming/tree/master/Olympiad/Baltic/official/boi2019_solutions&amp;sa=D&amp;ust=1605639816443000&amp;usg=AFQjCNG8H-mT26L1yOBWIygiYiDt0HHW5A" xr:uid="{E239FCB6-A1AA-4BAC-90D2-5BA03A651B5C}"/>
    <hyperlink ref="B920" r:id="rId1640" display="https://www.google.com/url?q=https://oj.uz/problem/view/COCI17_vode&amp;sa=D&amp;ust=1605639816443000&amp;usg=AFQjCNHZF8iBxyJoTQYHP_R0Ohj5BP8Nag" xr:uid="{A35996FB-6178-408D-88DC-58BCFEE021EC}"/>
    <hyperlink ref="F920" r:id="rId1641" display="https://www.google.com/url?q=https://github.com/Rockbet/Problems/blob/master/COCI/COCI%25202017-2018/Vode.cpp&amp;sa=D&amp;ust=1605639816443000&amp;usg=AFQjCNFUVv-yHiP-QWY9BGu47dOYAxO3jw" xr:uid="{040B6C79-8072-47FD-BBD8-DD412422C6D9}"/>
    <hyperlink ref="B921" r:id="rId1642" display="https://www.google.com/url?q=http://usaco.org/index.php?page%3Dviewproblem2%26cpid%3D648&amp;sa=D&amp;ust=1605639816443000&amp;usg=AFQjCNGHbjt__BKH9Ci5pD_RC6zMDY1lhw" xr:uid="{B7CED52C-4193-4036-BD1A-49ED0BFD6501}"/>
    <hyperlink ref="B922" r:id="rId1643" display="https://www.google.com/url?q=https://szkopul.edu.pl/problemset/problem/_cVmDXXn2TjF0dF1rW6eazA0/site/&amp;sa=D&amp;ust=1605639816444000&amp;usg=AFQjCNEk3zuNyPNCdtrs-tyuL9YLy6YXZA" xr:uid="{204A0DC6-3F6A-49F1-9911-658AFA5195D8}"/>
    <hyperlink ref="F922" r:id="rId1644" display="https://www.google.com/url?q=https://github.com/mostafa-saad/MyCompetitiveProgramming/blob/master/Olympiad/POI/POI-05-Banknote.txt&amp;sa=D&amp;ust=1605639816444000&amp;usg=AFQjCNHDRhSa7ar6-n0YBnCE1cWYtB2UGA" xr:uid="{48474AAD-25EB-4B13-83FE-2E8C921D75AA}"/>
    <hyperlink ref="B923" r:id="rId1645" display="https://www.google.com/url?q=https://szkopul.edu.pl/problemset/problem/i3cF1qQtiXwmwOc_5qRB0ufC/site/&amp;sa=D&amp;ust=1605639816444000&amp;usg=AFQjCNG0tug_b_oCKyjwg-UJfHJmcN4Brg" xr:uid="{726D4CB3-B99D-47F2-B506-FD6663A0A589}"/>
    <hyperlink ref="F923" r:id="rId1646" display="https://www.google.com/url?q=https://www.dropbox.com/s/smryqdsty3vu5br/Bytecomputer.cpp?dl%3D0&amp;sa=D&amp;ust=1605639816444000&amp;usg=AFQjCNF9ypoTG3Ho2mRZGsxO8GDqm43pyQ" xr:uid="{611E4FA9-36FF-40E0-A0BE-F2AE54A601B6}"/>
    <hyperlink ref="B924" r:id="rId1647" display="https://www.google.com/url?q=https://www.infoarena.ro/problema/amenzi&amp;sa=D&amp;ust=1605639816444000&amp;usg=AFQjCNGDGuSzM7xGeVyxfkw5T8G9_TG3Ug" xr:uid="{8C3CCB32-AAFD-4B3E-B226-F4268302C810}"/>
    <hyperlink ref="F924" r:id="rId1648" display="https://www.google.com/url?q=https://github.com/stefdasca/CompetitiveProgramming/blob/master/Infoarena/amenzi.cpp&amp;sa=D&amp;ust=1605639816445000&amp;usg=AFQjCNExUX2F3-9pZbvMBy_yHnLzB10aRQ" xr:uid="{4A703BDD-945C-430F-84A1-2C910AE147DD}"/>
    <hyperlink ref="B925" r:id="rId1649" display="https://www.google.com/url?q=https://www.infoarena.ro/problema/peri&amp;sa=D&amp;ust=1605639816445000&amp;usg=AFQjCNGvjeU6wdK53oPRcmMNiTtaOXgt_w" xr:uid="{006CDB8F-29FE-4229-9C92-DEDD31EB95FC}"/>
    <hyperlink ref="F925" r:id="rId1650" display="https://www.google.com/url?q=https://github.com/stefdasca/CompetitiveProgramming/blob/master/Infoarena/peri.cpp&amp;sa=D&amp;ust=1605639816445000&amp;usg=AFQjCNE6jwLvE-8aZcsvmMSOsG3NF8XRig" xr:uid="{0BBCEAF6-7163-4CEF-95A6-1C1C35A80581}"/>
    <hyperlink ref="B926" r:id="rId1651" display="https://www.google.com/url?q=https://oj.uz/problem/view/COCI17_automobil&amp;sa=D&amp;ust=1605639816445000&amp;usg=AFQjCNFeilCXjqC8YVEFlhtv16V7lYSZYA" xr:uid="{51547C24-AF13-4CB0-9762-5A20E2002E49}"/>
    <hyperlink ref="F926" r:id="rId1652" display="https://www.google.com/url?q=https://ideone.com/Ejf10T&amp;sa=D&amp;ust=1605639816446000&amp;usg=AFQjCNEJn6O8vfL_e3sfJ6rIAGxqp-F9YA" xr:uid="{1D1BDF66-28E6-45D1-90A8-7530EC92FA03}"/>
    <hyperlink ref="B927" r:id="rId1653" display="https://www.google.com/url?q=https://csacademy.com/contest/archive/task/circuits/&amp;sa=D&amp;ust=1605639816446000&amp;usg=AFQjCNFKyHkM28VfP1SgOghfufQMFLz7pg" xr:uid="{A066C66D-7A06-469B-83C6-84DA77B22E0F}"/>
    <hyperlink ref="F927" r:id="rId1654" display="https://www.google.com/url?q=https://gist.github.com/luciocf/a551e013ef15b77288ff4786276d2dee&amp;sa=D&amp;ust=1605639816446000&amp;usg=AFQjCNFyGpaAkRinKkO7NomzR9x9UxZwFQ" xr:uid="{050ACA68-74F7-4775-A269-16AE761D99EE}"/>
    <hyperlink ref="B928" r:id="rId1655" display="https://www.google.com/url?q=https://oj.uz/problem/view/COI19_segway&amp;sa=D&amp;ust=1605639816446000&amp;usg=AFQjCNFTXLqtAYPYFcTaAHeKWBKeXFi-VA" xr:uid="{6BC3699A-5156-49A4-81FA-ABDB736CCCA3}"/>
    <hyperlink ref="F928" r:id="rId1656" display="https://www.google.com/url?q=https://github.com/mostafa-saad/MyCompetitiveProgramming/blob/master/Olympiad/COI/COI-19-segway.txt&amp;sa=D&amp;ust=1605639816446000&amp;usg=AFQjCNG-JcBrodQ8FkybBJYYn_BiFBm4xQ" xr:uid="{B76B96BF-4FA5-4141-A874-6C39C94E4876}"/>
    <hyperlink ref="B929" r:id="rId1657" display="https://www.google.com/url?q=https://szkopul.edu.pl/problemset/problem/dIejmvqlAbsoU1hkjNbd4KtF/site/?key%3Dstatement&amp;sa=D&amp;ust=1605639816447000&amp;usg=AFQjCNEcFbc63YkslimIX_-l-bLD1TOCsw" xr:uid="{85F69425-7F0E-4760-8055-BA4FE8E8F9F7}"/>
    <hyperlink ref="F929" r:id="rId1658" display="https://www.google.com/url?q=https://github.com/mostafa-saad/MyCompetitiveProgramming/blob/master/Olympiad/POI/POI-96-wie.txt&amp;sa=D&amp;ust=1605639816447000&amp;usg=AFQjCNEFBbRJiWaOIrCn5Tajqdg01LL3nQ" xr:uid="{0F14CFB6-39B0-4DD9-8179-00AA61CE2E3E}"/>
    <hyperlink ref="B930" r:id="rId1659" display="https://www.google.com/url?q=https://oj.uz/problems/source/113&amp;sa=D&amp;ust=1605639816447000&amp;usg=AFQjCNEAusrm7X2_tYuoxpv095oQ4d8DyQ" xr:uid="{EA801093-03E0-48CD-9260-80E646A92749}"/>
    <hyperlink ref="F930" r:id="rId1660" display="https://www.google.com/url?q=https://github.com/mostafa-saad/MyCompetitiveProgramming/blob/master/Olympiad/Balkan/Balkan-11-Medians.txt&amp;sa=D&amp;ust=1605639816448000&amp;usg=AFQjCNHZG5p6IICVDWx1FPpGJAuyegOy_w" xr:uid="{A7AB2EE7-6A69-475B-84FF-7CF4106DEB89}"/>
    <hyperlink ref="B931" r:id="rId1661" display="https://www.google.com/url?q=https://szkopul.edu.pl/problemset/problem/a9Oxizbg6JUS3CkEZr9BOd_H/site/?key%3Dstatement&amp;sa=D&amp;ust=1605639816448000&amp;usg=AFQjCNHcOOBIVszfzhTeASvnZ0Ljvy7rSA" xr:uid="{6CC86E4F-EDCD-4CFB-A9EB-30BB955BBD56}"/>
    <hyperlink ref="F931" r:id="rId1662" display="https://www.google.com/url?q=https://github.com/mostafa-saad/MyCompetitiveProgramming/blob/master/Olympiad/CEOI/CEOI-11-Hotel.txt&amp;sa=D&amp;ust=1605639816449000&amp;usg=AFQjCNGqoOpGKiVych0rhGIfNx7c8RYAIQ" xr:uid="{6638D713-B14F-4EFA-AC47-12614885C2A5}"/>
    <hyperlink ref="B932" r:id="rId1663" display="https://www.google.com/url?q=https://dmoj.ca/problem/coi06p1&amp;sa=D&amp;ust=1605639816449000&amp;usg=AFQjCNG_F9fi8GHLWVfQSB_WZiVotD6I6Q" xr:uid="{CC792490-0858-4052-A5E9-47F92EDAAB99}"/>
    <hyperlink ref="F932" r:id="rId1664" display="https://www.google.com/url?q=https://github.com/mostafa-saad/MyCompetitiveProgramming/blob/master/Olympiad/COI/COI-06-Patrik.txt&amp;sa=D&amp;ust=1605639816449000&amp;usg=AFQjCNFzOliEzrOdGOlfrxJTV-n-aoNpDA" xr:uid="{09C6DE07-8619-46B5-A8FB-0D106CC4DFAB}"/>
    <hyperlink ref="B933" r:id="rId1665" display="https://www.google.com/url?q=https://www.infoarena.ro/problema/permsort&amp;sa=D&amp;ust=1605639816449000&amp;usg=AFQjCNFGemMtbFHqRDIwhygLugKCMdzEEA" xr:uid="{A13CF152-89E8-411E-BFF8-4267CB82E77F}"/>
    <hyperlink ref="F933" r:id="rId1666" display="https://www.google.com/url?q=https://github.com/mostafa-saad/MyCompetitiveProgramming/blob/master/Olympiad/infoarena/infoarena-permsort.txt&amp;sa=D&amp;ust=1605639816450000&amp;usg=AFQjCNFSWXtQc3BUTHvPp6d3ej-Cmn7xtw" xr:uid="{FF9F3820-C394-4513-AAFE-305560C4CC60}"/>
    <hyperlink ref="B934" r:id="rId1667" display="https://www.google.com/url?q=https://cses.fi/185/list/&amp;sa=D&amp;ust=1605639816450000&amp;usg=AFQjCNGpQxlIDsVkVU1FFlZIMPHSVA0eCg" xr:uid="{D9D91B42-A8A3-46E8-B203-09588C7E16F3}"/>
    <hyperlink ref="F934" r:id="rId1668" display="https://www.google.com/url?q=https://github.com/mostafa-saad/MyCompetitiveProgramming/blob/master/Olympiad/CEOI/CEOI-06-Antenna.txt&amp;sa=D&amp;ust=1605639816450000&amp;usg=AFQjCNG8YVESR3QB6zARbP6xf40QwpzbMQ" xr:uid="{BCED91AE-B212-4BD5-AD14-E0EA83289868}"/>
    <hyperlink ref="B935" r:id="rId1669" display="https://www.google.com/url?q=https://szkopul.edu.pl/problemset/problem/cB5m-M5ddsFOWLds2CwcYKge/site/&amp;sa=D&amp;ust=1605639816450000&amp;usg=AFQjCNGOo5AM9tMj0St52jIi--i-3TluhA" xr:uid="{F9D7022B-0637-4342-94AC-57014B13EC03}"/>
    <hyperlink ref="F935" r:id="rId1670" display="https://www.google.com/url?q=https://github.com/mostafa-saad/MyCompetitiveProgramming/blob/master/Olympiad/POI/POI-05-Double_Row.txt&amp;sa=D&amp;ust=1605639816450000&amp;usg=AFQjCNGsrI1jWoN6xnNG1Ji_88T8pQ6jcQ" xr:uid="{DC6E0101-8AD3-44F8-923B-262E93C44328}"/>
    <hyperlink ref="B936" r:id="rId1671" display="https://www.google.com/url?q=http://usaco.org/index.php?page%3Dviewproblem2%26cpid%3D230&amp;sa=D&amp;ust=1605639816451000&amp;usg=AFQjCNGjkGLQoKRKgxkReIqIa1PHHhTeog" xr:uid="{0AD6BAF4-7BED-4A36-9C99-6411A32D042E}"/>
    <hyperlink ref="B937" r:id="rId1672" display="https://www.google.com/url?q=https://dmoj.ca/problem/coci07c2p5&amp;sa=D&amp;ust=1605639816451000&amp;usg=AFQjCNHtJqlnUlWrkuYN61NKejMTTFbEkA" xr:uid="{0B0DA52E-3D47-48FD-8C02-640971E8C808}"/>
    <hyperlink ref="F937" r:id="rId1673" display="https://www.google.com/url?q=https://github.com/mostafa-saad/MyCompetitiveProgramming/blob/master/Olympiad/COCI/COCI-07-Kemija.txt&amp;sa=D&amp;ust=1605639816451000&amp;usg=AFQjCNFx2c42MqBDC9Sajb4EhFMkGN23tw" xr:uid="{34CFB62C-C640-4FAA-BE5C-88AA73DF8299}"/>
    <hyperlink ref="B938" r:id="rId1674" display="https://www.google.com/url?q=https://dmoj.ca/problem/coci07c6p3&amp;sa=D&amp;ust=1605639816451000&amp;usg=AFQjCNHED37fcRmE5WPqusO84giJ9ytRJg" xr:uid="{36F3660E-8821-427A-9B66-11159486E8A2}"/>
    <hyperlink ref="F938" r:id="rId1675" display="https://www.google.com/url?q=https://github.com/mostafa-saad/MyCompetitiveProgramming/blob/master/Olympiad/COCI/COCI-07-Granica.txt&amp;sa=D&amp;ust=1605639816452000&amp;usg=AFQjCNFd0gvzeV6B11t9Es0bxgY_Xa5-Qg" xr:uid="{C11A5A9D-93EC-4188-B97E-E8699D468518}"/>
    <hyperlink ref="B939" r:id="rId1676" display="https://www.google.com/url?q=https://cses.fi/114/list/&amp;sa=D&amp;ust=1605639816452000&amp;usg=AFQjCNGfH9Op8B8hiKNXGmb-8GukiabjgQ" xr:uid="{4C3D1658-A596-4F62-8CF8-E68ACC378DD7}"/>
    <hyperlink ref="F939" r:id="rId1677" display="https://www.google.com/url?q=https://github.com/mostafa-saad/MyCompetitiveProgramming/blob/master/Olympiad/Baltic/Baltic-08-Grid.txt&amp;sa=D&amp;ust=1605639816452000&amp;usg=AFQjCNEcLnTaszENx4vZ4iXdpCQqdaFmKw" xr:uid="{930130FC-C53F-4449-A13D-02CFD3AF47B3}"/>
    <hyperlink ref="B940" r:id="rId1678" display="https://www.google.com/url?q=https://szkopul.edu.pl/problemset/problem/Cs38m8lWFnOfDskXf43HR3lN/site/&amp;sa=D&amp;ust=1605639816452000&amp;usg=AFQjCNFV2IfvKCzIB8oxx82dpPvN2oiGMw" xr:uid="{E9371744-CAF5-4DD6-88E7-36EAAAB50B2F}"/>
    <hyperlink ref="F940" r:id="rId1679" display="https://www.google.com/url?q=https://github.com/mostafa-saad/MyCompetitiveProgramming/blob/master/Olympiad/POI/POI-14-Couriers.txt&amp;sa=D&amp;ust=1605639816453000&amp;usg=AFQjCNEHCPAWc-J1CyQD_sY_UDvrzx3r2Q" xr:uid="{5F1CF5C2-703C-4A47-936A-5396B2195D55}"/>
    <hyperlink ref="B941" r:id="rId1680" display="https://www.google.com/url?q=https://oj.uz/problem/view/IOI08_printer&amp;sa=D&amp;ust=1605639816453000&amp;usg=AFQjCNG0zFgot77xngxiTfTU0_Mdv42rvg" xr:uid="{F3EA2AA8-0D7D-437B-B925-05E136A36B9A}"/>
    <hyperlink ref="F941" r:id="rId1681" display="https://www.google.com/url?q=https://github.com/updown2/OI-Practice/blob/master/IOI/IOI%25202008/Type%2520Printer.cpp&amp;sa=D&amp;ust=1605639816453000&amp;usg=AFQjCNE7473mBu4bcA4kkbFiN0rGDgidrQ" xr:uid="{7686E87D-AD22-445E-BE8F-70B63C1A6BBC}"/>
    <hyperlink ref="B942" r:id="rId1682" display="https://www.google.com/url?q=https://oj.uz/problem/view/BOI14_friends&amp;sa=D&amp;ust=1605639816454000&amp;usg=AFQjCNGtBvuuD5wkxbvxyZF6m3jCxVhV4g" xr:uid="{7A1DADFC-E743-4C75-B469-F58F4624AC6E}"/>
    <hyperlink ref="F942" r:id="rId1683" display="https://www.google.com/url?q=https://github.com/SpeedOfMagic/CompetitiveProgramming/blob/master/Baltic/14-friends.cpp&amp;sa=D&amp;ust=1605639816454000&amp;usg=AFQjCNFX6aUeLconYZgVre6rot5wv7grYA" xr:uid="{B38A7741-E961-4CF4-906B-BFB99CB323EF}"/>
    <hyperlink ref="B943" r:id="rId1684" display="https://www.google.com/url?q=https://szkopul.edu.pl/problemset/problem/GqRTa-xd7d9cGS5RL5Os-qTV/site/?key%3Dstatement&amp;sa=D&amp;ust=1605639816454000&amp;usg=AFQjCNGak2p32jZ1tSRVunsZ7l01nnfzPg" xr:uid="{705D5EFB-FB55-4964-BFCD-7B371020D072}"/>
    <hyperlink ref="F943" r:id="rId1685" display="https://www.google.com/url?q=https://github.com/SpeedOfMagic/CompetitiveProgramming/blob/master/POI/96-kod.cpp&amp;sa=D&amp;ust=1605639816454000&amp;usg=AFQjCNFxA39F9uuc3XxWc9A9kJm_TSbMMA" xr:uid="{03EF9847-E7AE-4706-B022-D12F18249267}"/>
    <hyperlink ref="B944" r:id="rId1686" display="https://www.google.com/url?q=https://oj.uz/problem/view/IOI16_molecules&amp;sa=D&amp;ust=1605639816455000&amp;usg=AFQjCNEG9AClw_JiC13S-47tho_a9SDGQQ" xr:uid="{5DD89392-96A6-464F-ACAE-C553380EF535}"/>
    <hyperlink ref="F944" r:id="rId1687" display="https://www.google.com/url?q=https://github.com/mostafa-saad/MyCompetitiveProgramming/blob/master/Olympiad/IOI/official/2016&amp;sa=D&amp;ust=1605639816455000&amp;usg=AFQjCNHoxnEIk8sCHoGZGouEVfAapFYoWw" xr:uid="{F9918B03-E2D1-4E7D-A52A-5D12D16B3911}"/>
    <hyperlink ref="B945" r:id="rId1688" display="https://www.google.com/url?q=https://codeforces.com/group/swEqtABRxe/contest/227531/problem/C&amp;sa=D&amp;ust=1605639816455000&amp;usg=AFQjCNGHZXNCeNwOvG7ZBdZENhoOaP8SZQ" xr:uid="{F4363F98-2EB5-4EC8-BA34-985E6493A1D3}"/>
    <hyperlink ref="F945" r:id="rId1689" display="https://www.google.com/url?q=https://ideone.com/iw7JBC&amp;sa=D&amp;ust=1605639816455000&amp;usg=AFQjCNHF9goWTsjryZN-FyZuPJ41z49QiQ" xr:uid="{51BB3D41-9AC4-40C8-89EA-86178E70F588}"/>
    <hyperlink ref="B946" r:id="rId1690" display="https://www.google.com/url?q=https://www.acmicpc.net/problem/7054&amp;sa=D&amp;ust=1605639816456000&amp;usg=AFQjCNHn1ZeE6-dfWyWzm7wiLE3eH6J-bg" xr:uid="{85AE0653-BC32-41BE-8150-07D3346FD456}"/>
    <hyperlink ref="F946" r:id="rId1691" display="https://www.google.com/url?q=https://github.com/mostafa-saad/MyCompetitiveProgramming/tree/master/Olympiad/CEOI/official/2003&amp;sa=D&amp;ust=1605639816456000&amp;usg=AFQjCNGSrdtvzNZldku_Gfv2Ei4w8I_7Gg" xr:uid="{A40AA78F-5C5A-4166-9EBF-75DD3DD3E6EC}"/>
    <hyperlink ref="B947" r:id="rId1692" display="https://www.google.com/url?q=https://oj.uz/problem/view/BOI13_numbers&amp;sa=D&amp;ust=1605639816456000&amp;usg=AFQjCNEU1RFpSqFVqf_3icJcNyijkU3V2w" xr:uid="{93D6B812-E4E7-470B-8F7D-68C7DDE360AD}"/>
    <hyperlink ref="F947" r:id="rId1693" display="https://www.google.com/url?q=https://github.com/mostafa-saad/MyCompetitiveProgramming/blob/master/Olympiad/Baltic/Baltic-13-numbers.txt&amp;sa=D&amp;ust=1605639816457000&amp;usg=AFQjCNG3qiVZFWVLW18udCy-Es6wpH6oog" xr:uid="{7F23CF61-0B31-4FF3-BA48-3852395752CB}"/>
    <hyperlink ref="B948" r:id="rId1694" display="https://www.google.com/url?q=https://dmoj.ca/problem/coci08c5p5&amp;sa=D&amp;ust=1605639816458000&amp;usg=AFQjCNEhuKMYWSeFmd332LhLRb77UCjWdg" xr:uid="{894D5AEB-B767-4D0D-97B1-282C7AC28D81}"/>
    <hyperlink ref="F948" r:id="rId1695" display="https://www.google.com/url?q=https://github.com/mostafa-saad/MyCompetitiveProgramming/blob/master/Olympiad/COCI/COCI-08-Tresnja.txt&amp;sa=D&amp;ust=1605639816458000&amp;usg=AFQjCNFAsJdMBmAwaQ33BiRElpGNzr-Yww" xr:uid="{3B105D19-0E39-4FDA-A7A5-3F5127BF434C}"/>
    <hyperlink ref="B949" r:id="rId1696" display="https://www.google.com/url?q=https://dmoj.ca/problem/coci07c3p5&amp;sa=D&amp;ust=1605639816458000&amp;usg=AFQjCNF3s2vZaz-P3KDKASOI6nE0r4NsYw" xr:uid="{E8644C5C-8470-4B15-81B9-2BB970C6A9A7}"/>
    <hyperlink ref="F949" r:id="rId1697" display="https://www.google.com/url?q=https://github.com/mostafa-saad/MyCompetitiveProgramming/tree/master/Olympiad/COCI/official/2008/contest3_solutions&amp;sa=D&amp;ust=1605639816458000&amp;usg=AFQjCNE05iq-KxRko1uQ03Swn5lbwiiFKQ" xr:uid="{34F14ECB-5949-4AFA-B30C-695A66336D82}"/>
    <hyperlink ref="B950" r:id="rId1698" display="https://www.google.com/url?q=http://usaco.org/index.php?page%3Dviewproblem2%26cpid%3D900&amp;sa=D&amp;ust=1605639816459000&amp;usg=AFQjCNEdNo_YoXGd3L_TlDgXPT9K5Ey5vg" xr:uid="{8CCBC0AD-9AE9-466E-B728-0A21CB1FC49D}"/>
    <hyperlink ref="B951" r:id="rId1699" display="https://www.google.com/url?q=https://oj.uz/problem/view/COCI17_poklon&amp;sa=D&amp;ust=1605639816459000&amp;usg=AFQjCNE-b0pV6CROSP0rhf56Jq_GT9JpvA" xr:uid="{CBD8A9E8-1B2A-46CE-95CE-CFB6BDB04132}"/>
    <hyperlink ref="F951" r:id="rId1700" display="https://www.google.com/url?q=https://github.com/mostafa-saad/MyCompetitiveProgramming/blob/master/Olympiad/COCI/official/2017/contest5_solutions&amp;sa=D&amp;ust=1605639816459000&amp;usg=AFQjCNF6FxpIoxNdqgl7apBJnqdIVHJKOw" xr:uid="{19D6B041-7E34-4DC0-9598-EB5D5660687C}"/>
    <hyperlink ref="B952" r:id="rId1701" display="https://www.google.com/url?q=https://cses.fi/109/list/&amp;sa=D&amp;ust=1605639816459000&amp;usg=AFQjCNHGqOsc6katIEfpP9Ikml_prAep-w" xr:uid="{A5D7D818-0D3D-4C58-A796-39AA213879D1}"/>
    <hyperlink ref="F952" r:id="rId1702" display="https://www.google.com/url?q=https://github.com/mostafa-saad/MyCompetitiveProgramming/blob/master/Olympiad/Baltic/Baltic-06-Countries.txt&amp;sa=D&amp;ust=1605639816460000&amp;usg=AFQjCNFnMR3SwDbL8Z7TL2hzDbjtlXTdoQ" xr:uid="{27F7F1CB-F4F6-4491-B78B-80D5DE46D797}"/>
    <hyperlink ref="B953" r:id="rId1703" display="https://www.google.com/url?q=https://joi2015ho.contest.atcoder.jp/tasks/joi2015ho_b&amp;sa=D&amp;ust=1605639816460000&amp;usg=AFQjCNFIlE183jq_1j2SDK-BYQU47S5AXw" xr:uid="{DC63A37A-979D-4A4E-B22C-A6E89DA3205C}"/>
    <hyperlink ref="F953" r:id="rId1704" display="https://www.google.com/url?q=https://github.com/nikolapesic2802/Programming-Practice/blob/master/Cake%2520Division2/main.cpp&amp;sa=D&amp;ust=1605639816460000&amp;usg=AFQjCNH2vS6eTssRKGx6GhsNC9IOy0G-lA" xr:uid="{8E9B7EC9-88BF-4FF3-928E-057C1E41F3FF}"/>
    <hyperlink ref="B954" r:id="rId1705" display="https://www.google.com/url?q=https://cses.fi/101/list/&amp;sa=D&amp;ust=1605639816460000&amp;usg=AFQjCNEzQGZliEp1rHkH7NyHdddn5UOTLQ" xr:uid="{0E30B419-F75A-463C-9E7B-BC1F4E740D04}"/>
    <hyperlink ref="F954" r:id="rId1706" display="https://www.google.com/url?q=https://github.com/mostafa-saad/MyCompetitiveProgramming/blob/master/Olympiad/Baltic/Baltic-11-Meetings.txt&amp;sa=D&amp;ust=1605639816461000&amp;usg=AFQjCNGjpuNdEl0uLAxb16EqqellGmqAFg" xr:uid="{B44FF30D-305B-4C90-91BB-29B23E0BE9F3}"/>
    <hyperlink ref="B955" r:id="rId1707" display="https://www.google.com/url?q=https://oj.uz/problem/view/COI18_paprike&amp;sa=D&amp;ust=1605639816461000&amp;usg=AFQjCNETly71EQ16OtQbQ9sBIWTxuUWU7A" xr:uid="{56BEE715-67B4-402F-961F-F69740EDA4F0}"/>
    <hyperlink ref="B956" r:id="rId1708" display="https://www.google.com/url?q=https://contest.yandex.ru/ioi/contest/560/enter/&amp;sa=D&amp;ust=1605639816461000&amp;usg=AFQjCNHce-dIvFbD1X2cq010gnf0cP7s3w" xr:uid="{EEC71919-0A66-4990-B5D7-AE9DF5A0B2C8}"/>
    <hyperlink ref="F956" r:id="rId1709" display="https://www.google.com/url?q=https://github.com/mostafa-saad/MyCompetitiveProgramming/blob/master/Olympiad/IOI/IOI-04-farmer.txt&amp;sa=D&amp;ust=1605639816462000&amp;usg=AFQjCNGQ9H4mw4qX7yf7cy0v1G48FMvN5A" xr:uid="{F7C2092D-740C-4D23-8C20-9FF36029138C}"/>
    <hyperlink ref="B957" r:id="rId1710" display="https://www.google.com/url?q=https://szkopul.edu.pl/problemset/problem/bNkLWTHzQeDyEuAUiKCwuxnG/site/&amp;sa=D&amp;ust=1605639816462000&amp;usg=AFQjCNEAjvTV3jmm1WjoBz7p0leaPWzxPQ" xr:uid="{88496D5A-429A-4757-A5B0-2C77C64D52B2}"/>
    <hyperlink ref="F957" r:id="rId1711" display="https://www.google.com/url?q=https://github.com/mostafa-saad/MyCompetitiveProgramming/blob/master/Olympiad/CEOI/CEOI-04-Trips.txt&amp;sa=D&amp;ust=1605639816462000&amp;usg=AFQjCNHxjIFAJ4_zO8c1bGjfeTXLoOcKHg" xr:uid="{1C7F7FFD-0495-46EC-8850-AD93FD820453}"/>
    <hyperlink ref="B958" r:id="rId1712" display="https://www.google.com/url?q=https://oj.uz/problem/view/POI13_usu&amp;sa=D&amp;ust=1605639816462000&amp;usg=AFQjCNET13o5CTBNmvMxUOiwFDuaKsTOKw" xr:uid="{91241D3F-64DA-481C-9796-E23F54BCEB95}"/>
    <hyperlink ref="F958" r:id="rId1713" display="https://www.google.com/url?q=https://github.com/mostafa-saad/MyCompetitiveProgramming/blob/master/Olympiad/POI/POI-13-Takeout.txt&amp;sa=D&amp;ust=1605639816462000&amp;usg=AFQjCNFROovxHwBRhkpguD20PYv_WpYGiA" xr:uid="{AEDC7B6A-5B8C-4422-9700-D8ED34DD7BA1}"/>
    <hyperlink ref="B959" r:id="rId1714" display="https://www.google.com/url?q=http://usaco.org/index.php?page%3Dviewproblem2%26cpid%3D577&amp;sa=D&amp;ust=1605639816463000&amp;usg=AFQjCNHltFUG4q68Q4v_FlhPc2F3YV-SiQ" xr:uid="{0ACF4984-1BD1-4B59-A133-59122262CE35}"/>
    <hyperlink ref="B960" r:id="rId1715" display="https://www.google.com/url?q=https://www.infoarena.ro/problema/aranjare&amp;sa=D&amp;ust=1605639816463000&amp;usg=AFQjCNHSc5aSn-4oQCIREYpKzHn4W2klJQ" xr:uid="{10B061BD-56F6-43AF-BE0B-8125DAF03A02}"/>
    <hyperlink ref="F960" r:id="rId1716" display="https://www.google.com/url?q=https://github.com/stefdasca/CompetitiveProgramming/blob/master/Infoarena/aranjare.cpp&amp;sa=D&amp;ust=1605639816463000&amp;usg=AFQjCNHN-akBqROQbjOKvFO6Ap0DpQsu4A" xr:uid="{DCAA57DC-CB76-4AE1-9322-43C694AAA024}"/>
    <hyperlink ref="B961" r:id="rId1717" display="https://www.google.com/url?q=https://oj.uz/problem/view/POI11_pat&amp;sa=D&amp;ust=1605639816464000&amp;usg=AFQjCNGjEGHCpAkc3vG5eJ5SqIAqwi3yyw" xr:uid="{162C59FE-85E7-43AF-9BFA-C3344C91E370}"/>
    <hyperlink ref="F961" r:id="rId1718" display="https://www.google.com/url?q=https://github.com/mostafa-saad/MyCompetitiveProgramming/blob/master/Olympiad/POI/POI-11-Sticks.txt&amp;sa=D&amp;ust=1605639816464000&amp;usg=AFQjCNE7XJ9xm92LV6tyxC3KCst-SywnJg" xr:uid="{B1D10EEA-AE19-442F-A200-B50127C35D4A}"/>
    <hyperlink ref="B962" r:id="rId1719" display="https://www.google.com/url?q=https://oj.uz/problem/view/JOI17_sparklers&amp;sa=D&amp;ust=1605639816464000&amp;usg=AFQjCNEEiC4rQshej7z0oySELXi_J9uTHQ" xr:uid="{111B43F3-ABEE-4F81-83E8-52C914EEB648}"/>
    <hyperlink ref="F962" r:id="rId1720" display="https://www.google.com/url?q=https://github.com/nikolapesic2802/Programming-Practice/blob/master/Sparklersd/main.cpp&amp;sa=D&amp;ust=1605639816465000&amp;usg=AFQjCNFjdkiHobLAhrgr9q1cDDgxs4K77w" xr:uid="{0A15DD58-8ECC-4D46-A2D8-AEB00A8D6DA0}"/>
    <hyperlink ref="B963" r:id="rId1721" display="https://www.google.com/url?q=https://dmoj.ca/problem/cco15p1&amp;sa=D&amp;ust=1605639816465000&amp;usg=AFQjCNE1zgexq1UcuHXaozRgZV2lDxQBvA" xr:uid="{26FCE901-D7B0-4047-88AA-46AF9EEE65D4}"/>
    <hyperlink ref="B964" r:id="rId1722" display="https://www.google.com/url?q=https://oj.uz/problem/view/JOI19_examination&amp;sa=D&amp;ust=1605639816466000&amp;usg=AFQjCNELksTl9ODfV1-lVaNTKQTW3_Xmuw" xr:uid="{3106FA4A-7197-4A24-91BF-0972039F43FE}"/>
    <hyperlink ref="F964" r:id="rId1723" display="https://www.google.com/url?q=https://github.com/Szawinis/CompetitiveProgramming/blob/master/Olympiad/JOI/JOISC19-examination.cpp&amp;sa=D&amp;ust=1605639816466000&amp;usg=AFQjCNFdrHnfyzymKsrE3oqJWOkwVKkp8w" xr:uid="{CA61C675-C175-4A86-A138-B558BA689AD5}"/>
    <hyperlink ref="B965" r:id="rId1724" display="https://www.google.com/url?q=https://csacademy.com/contest/ejoi-2017-day-1/task/magic/&amp;sa=D&amp;ust=1605639816467000&amp;usg=AFQjCNGUt2ui62aUw1xwigpM04PtARhf1Q" xr:uid="{F25F128B-35CD-430F-90B8-1B840E317DD2}"/>
    <hyperlink ref="F965" r:id="rId1725" display="https://www.google.com/url?q=https://github.com/Rockbet/Problems/blob/master/EJOI/2017/Day%25201/Magic.cpp&amp;sa=D&amp;ust=1605639816468000&amp;usg=AFQjCNE8n0WS6CTTA7A5OjL0SdVesdhbfw" xr:uid="{6B24DD95-46A0-4E65-9226-1BCB19F008DA}"/>
    <hyperlink ref="B966" r:id="rId1726" display="https://www.google.com/url?q=http://www.usaco.org/index.php?page%3Dviewproblem2%26cpid%3D645&amp;sa=D&amp;ust=1605639816468000&amp;usg=AFQjCNEeTj5R84uASpp7KLcw0ozPRdpo7Q" xr:uid="{452E74AC-F1A3-421F-AD46-2B1BF6376B49}"/>
    <hyperlink ref="B967" r:id="rId1727" display="https://www.google.com/url?q=https://www.infoarena.ro/problema/color5&amp;sa=D&amp;ust=1605639816469000&amp;usg=AFQjCNFdEyGIMf5vxU-sRdjOnSwKLTqwaA" xr:uid="{5CEF3953-7B1F-4343-B4C5-23F8EACF3BD8}"/>
    <hyperlink ref="B968" r:id="rId1728" display="https://www.google.com/url?q=https://oj.uz/problem/view/COCI17_portal&amp;sa=D&amp;ust=1605639816469000&amp;usg=AFQjCNHLBcxB5QJCIPoCnfeYr7tQQX4hpQ" xr:uid="{9A73F4DC-F127-4199-9033-0E3875FEB90C}"/>
    <hyperlink ref="F968" r:id="rId1729" display="https://www.google.com/url?q=https://github.com/luciocf/OI-Problems/blob/master/COCI/COCI%25202017-2018/portals.cpp&amp;sa=D&amp;ust=1605639816469000&amp;usg=AFQjCNF_fzs6djYm5baHQ2jv2AqNTgpgyQ" xr:uid="{8EFBC1C0-9D5A-4870-A4C5-A4F14CBD4A35}"/>
    <hyperlink ref="B969" r:id="rId1730" display="https://www.google.com/url?q=https://dunjudge.me/analysis/problems/1824/&amp;sa=D&amp;ust=1605639816470000&amp;usg=AFQjCNHbZeNkGdCYTUrnAXsHmcoGE8GkHg" xr:uid="{D708B6C8-0514-4EF2-9531-CDC7AD03E258}"/>
    <hyperlink ref="F969" r:id="rId1731" display="https://www.google.com/url?q=https://github.com/MohamedAhmed04/Competitive-programming/blob/master/SingaporeNOI/2019-Pilot.cpp&amp;sa=D&amp;ust=1605639816470000&amp;usg=AFQjCNF8W6scG0RiQMTXhDw8a9EJd-QZuQ" xr:uid="{D6E4DE7E-E2FC-4253-B93C-CCD34A870CE5}"/>
    <hyperlink ref="B970" r:id="rId1732" display="https://www.google.com/url?q=https://oj.uz/problem/view/COCI18_priglavci&amp;sa=D&amp;ust=1605639816470000&amp;usg=AFQjCNGOjbPM_I39RtrhL3BIY9RX_h9s6g" xr:uid="{297234B3-7CC9-42D4-8419-1488969517DB}"/>
    <hyperlink ref="F970" r:id="rId1733" display="https://www.google.com/url?q=https://github.com/farmerboy95/CompetitiveProgramming/blob/master/COCI/COCI%252018-priglavci.cpp&amp;sa=D&amp;ust=1605639816471000&amp;usg=AFQjCNGr8TFQKNy7uu5LOic-yWqKGYUPqA" xr:uid="{B249A825-2159-4F3F-8055-2CA3DA4C90FB}"/>
    <hyperlink ref="B971" r:id="rId1734" display="https://www.google.com/url?q=http://usaco.org/index.php?page%3Dviewproblem2%26cpid%3D516&amp;sa=D&amp;ust=1605639816471000&amp;usg=AFQjCNEMVdslrAodl4lyS0-u-q65RrjxjQ" xr:uid="{AA783E16-12D6-491A-888D-3E2BA611D557}"/>
    <hyperlink ref="F971" r:id="rId1735" display="https://www.google.com/url?q=https://github.com/updown2/OI-Practice/blob/master/USACO/2014-2015/January/Problem%25203%2520grass.cpp&amp;sa=D&amp;ust=1605639816471000&amp;usg=AFQjCNHKIp4SLqdDKn07yIUdBzh-nj3s9g" xr:uid="{089EA7DA-639F-4F71-A71C-21014F543582}"/>
    <hyperlink ref="B972" r:id="rId1736" display="https://www.google.com/url?q=https://www.infoarena.ro/problema/cifru&amp;sa=D&amp;ust=1605639816471000&amp;usg=AFQjCNGie5NZO7ct7kOI0Bu7ZcYqdmvbUQ" xr:uid="{86497C4B-A5F9-415A-8739-BE62B58E6975}"/>
    <hyperlink ref="F972" r:id="rId1737" display="https://www.google.com/url?q=https://github.com/stefdasca/CompetitiveProgramming/blob/master/Infoarena/cifru.cpp&amp;sa=D&amp;ust=1605639816472000&amp;usg=AFQjCNHN6WIqNfMrwyRz3fwogTr7r41ilw" xr:uid="{F979A703-7E36-42CA-B910-E96EB1161C45}"/>
    <hyperlink ref="B973" r:id="rId1738" display="https://www.google.com/url?q=http://usaco.org/index.php?page%3Dviewproblem2%26cpid%3D862&amp;sa=D&amp;ust=1605639816472000&amp;usg=AFQjCNGkL9i7gp_H8WfO4p9rbTbhEQVV2g" xr:uid="{C81EA669-073C-40A8-A8E1-7B06700F5F25}"/>
    <hyperlink ref="B974" r:id="rId1739" display="https://www.google.com/url?q=https://www.hackerrank.com/contests/ioi-2014-practice-contest-2/challenges&amp;sa=D&amp;ust=1605639816473000&amp;usg=AFQjCNEgpJzZX8PjF3TJL0um438qMJjXIQ" xr:uid="{D60780CB-5CAE-4053-ADAF-D693DF00AD8E}"/>
    <hyperlink ref="F974" r:id="rId1740" display="https://www.google.com/url?q=https://github.com/Yehezkiel01/CompetitiveProgramming/blob/master/IOIPractice/IOIPractice-14-questions-i-ask-myself-ioi14.cpp&amp;sa=D&amp;ust=1605639816473000&amp;usg=AFQjCNEXCSIG3HeuOEQk4C-WYTn4YA8dUA" xr:uid="{8E48F689-F388-435F-9D9C-05DC4CC1177A}"/>
    <hyperlink ref="B975" r:id="rId1741" display="https://www.google.com/url?q=https://dmoj.ca/problem/phantom3&amp;sa=D&amp;ust=1605639816473000&amp;usg=AFQjCNEZcdy5KP2U2UyB1cUBewAiEH9Xiw" xr:uid="{FCA84497-9ECB-4E1E-8CFF-6BE3250101E0}"/>
    <hyperlink ref="B976" r:id="rId1742" display="https://www.google.com/url?q=http://usaco.org/index.php?page%3Dviewproblem2%26cpid%3D720&amp;sa=D&amp;ust=1605639816474000&amp;usg=AFQjCNGnZhg_dD9uinZ7IEk8tXyWhrIFDw" xr:uid="{99B5EB83-2360-4596-9A28-DCC62D5E7608}"/>
    <hyperlink ref="B977" r:id="rId1743" display="https://www.google.com/url?q=https://oj.uz/problem/view/BOI14_network&amp;sa=D&amp;ust=1605639816474000&amp;usg=AFQjCNEhZ0jutCMPSzG99J6-WPKX_fLJ0Q" xr:uid="{78451120-5981-428E-B317-53C9D83901AA}"/>
    <hyperlink ref="F977" r:id="rId1744" display="https://www.google.com/url?q=https://github.com/mushisgosuuu/oj-solutions/blob/master/BOI/network2014.cpp&amp;sa=D&amp;ust=1605639816475000&amp;usg=AFQjCNGPLByZXj2LTcRV9OOawit96nhJJQ" xr:uid="{F485AF0F-0542-4750-8011-93E1F968DC2A}"/>
    <hyperlink ref="B978" r:id="rId1745" display="https://www.google.com/url?q=https://dmoj.ca/problem/coci06c5p6&amp;sa=D&amp;ust=1605639816475000&amp;usg=AFQjCNGx-O7oThl1NQha7UCyh5AzDEJK5w" xr:uid="{2B98A8E3-CCE1-4DD2-97BF-A08FE18BEA5F}"/>
    <hyperlink ref="F978" r:id="rId1746" display="https://www.google.com/url?q=https://github.com/mostafa-saad/MyCompetitiveProgramming/blob/master/Olympiad/COCI/COCI-06-Dvaput.txt&amp;sa=D&amp;ust=1605639816475000&amp;usg=AFQjCNEuyFrFmQP31wN20q5ttDa0IXeZng" xr:uid="{CF1F8066-62A8-477D-9C6C-C12E9716F547}"/>
    <hyperlink ref="B979" r:id="rId1747" display="https://www.google.com/url?q=https://oj.uz/problem/view/IOI19_transfer&amp;sa=D&amp;ust=1605639816475000&amp;usg=AFQjCNHC6nNH8zEgv7uN6M5kEzfr608FoA" xr:uid="{E35CE06B-E184-46DB-9F84-0B722E6B3BB7}"/>
    <hyperlink ref="F979" r:id="rId1748" display="https://www.google.com/url?q=https://github.com/tmwilliamlin168/CompetitiveProgramming/blob/master/IOI/19P-Transfer.cpp&amp;sa=D&amp;ust=1605639816476000&amp;usg=AFQjCNFF2fcPlqkwiuIV9uS0d2xoVUGFRw" xr:uid="{8466FF88-E62A-4E52-B522-ADF18BA5E4D2}"/>
    <hyperlink ref="B980" r:id="rId1749" display="https://www.google.com/url?q=https://szkopul.edu.pl/problemset/problem/Syg2bcb2gzeOcCBXcL4ap80b/site/&amp;sa=D&amp;ust=1605639816476000&amp;usg=AFQjCNEyQbWGgNcEQrdb6-T3GpXlQJ41xQ" xr:uid="{F1C2A12D-2EF3-4357-A203-1026B762E18C}"/>
    <hyperlink ref="F980" r:id="rId1750" display="https://www.google.com/url?q=https://github.com/mostafa-saad/MyCompetitiveProgramming/blob/master/Olympiad/POI/POI-05-Bus.txt&amp;sa=D&amp;ust=1605639816476000&amp;usg=AFQjCNFt9IsVZR7Asa7izn45IRPEAiX1UA" xr:uid="{BD2DB223-7810-4B55-875B-BA8761E4C8BF}"/>
    <hyperlink ref="B981" r:id="rId1751" display="https://www.google.com/url?q=https://joisc2013-day3.contest.atcoder.jp/tasks/joisc2013_mountain&amp;sa=D&amp;ust=1605639816477000&amp;usg=AFQjCNEKOkFiYbTEkfSDde-J3iQBFNqJAw" xr:uid="{78EA4C7C-6028-4D3F-82D9-C96C90D6C971}"/>
    <hyperlink ref="B982" r:id="rId1752" display="https://www.google.com/url?q=https://www.acmicpc.net/category/94&amp;sa=D&amp;ust=1605639816477000&amp;usg=AFQjCNHAqyj1nqx9womRVpU8ZMmKiPp3Ew" xr:uid="{4BE07BF6-F2DE-48D9-825E-07E4E9AB3BC2}"/>
    <hyperlink ref="B983" r:id="rId1753" display="https://www.google.com/url?q=https://joi2016ho.contest.atcoder.jp/tasks/joi2016ho_b&amp;sa=D&amp;ust=1605639816478000&amp;usg=AFQjCNFIQ9pv10k_cFlPceI2IDL5j7MxHw" xr:uid="{662CFD83-16FA-44BA-B226-EDBDB7A21503}"/>
    <hyperlink ref="F983" r:id="rId1754" display="https://www.google.com/url?q=https://github.com/nikolapesic2802/Programming-Practice/blob/master/Collecting%2520stamps/main.cpp&amp;sa=D&amp;ust=1605639816479000&amp;usg=AFQjCNHEOmsrfhfGaYmmpS2yZwnOmzwu_Q" xr:uid="{41E07F32-9526-41BE-A870-96EBC6BA4649}"/>
    <hyperlink ref="B984" r:id="rId1755" display="https://www.google.com/url?q=https://dmoj.ca/problem/coci06c3p6&amp;sa=D&amp;ust=1605639816479000&amp;usg=AFQjCNFt5ctBiycn8bmk1HKfI0izwunZUA" xr:uid="{A53D8997-1895-447B-A57C-D46F42A5376B}"/>
    <hyperlink ref="F984" r:id="rId1756" display="https://www.google.com/url?q=https://github.com/tsouza0/CompetitiveProgramming/blob/master/Olympiads/COCI/lista.cpp&amp;sa=D&amp;ust=1605639816480000&amp;usg=AFQjCNHNy1XkYXRnrNRvZmbz5bSfyOsa4w" xr:uid="{B0A18141-C396-458C-AA0A-EC0504F8B100}"/>
    <hyperlink ref="B985" r:id="rId1757" display="https://www.google.com/url?q=https://joi2014ho.contest.atcoder.jp/tasks/joi2014ho1&amp;sa=D&amp;ust=1605639816480000&amp;usg=AFQjCNEFLpegFYXNUyhYmVUwBbiKBQxsJg" xr:uid="{1819847D-E7FB-4F40-B9FD-51B5A3278AD8}"/>
    <hyperlink ref="B986" r:id="rId1758" display="https://www.google.com/url?q=https://oj.uz/problem/view/JOI17_semiexpress&amp;sa=D&amp;ust=1605639816480000&amp;usg=AFQjCNHR5QiLtOuis5Wv7uKUcEAIaMHe2g" xr:uid="{23776674-C242-46CB-ACDC-1DA89D0BD53D}"/>
    <hyperlink ref="B987" r:id="rId1759" display="https://www.google.com/url?q=https://www.infoarena.ro/problema/drept2&amp;sa=D&amp;ust=1605639816481000&amp;usg=AFQjCNGNDtmEX7x1wM40lzi6OeMvr-qU1g" xr:uid="{F0A47E24-2F2E-4613-8A38-61827C6F070A}"/>
    <hyperlink ref="B988" r:id="rId1760" display="https://www.google.com/url?q=https://oj.uz/problem/view/COCI18_deblo&amp;sa=D&amp;ust=1605639816481000&amp;usg=AFQjCNFT8G3cCHHGxysY-Q-Z76N2AQsATg" xr:uid="{15F456DA-6B70-465F-91C4-EB07A2D45044}"/>
    <hyperlink ref="F988" r:id="rId1761" display="https://www.google.com/url?q=https://github.com/YazanZebak/CompetitiveProgramming/blob/master/Olympiad/COCI/COCI-18-DEBLO.cpp&amp;sa=D&amp;ust=1605639816481000&amp;usg=AFQjCNF4utFs0YDhnGDgh6TCyvVNJssycA" xr:uid="{4CCD30E8-5A0B-4169-A844-6F7F8D9AF262}"/>
    <hyperlink ref="B989" r:id="rId1762" display="https://www.google.com/url?q=https://szkopul.edu.pl/problemset/problem/b0BM0al2crQBt6zovEtJfOc6/site/?key%3Dstatement&amp;sa=D&amp;ust=1605639816482000&amp;usg=AFQjCNEc_o04_X-M_Wsj4F-DqiVaIvbd3g" xr:uid="{FD2B07FF-2E42-4412-9770-F25BEF06A99C}"/>
    <hyperlink ref="F989" r:id="rId1763" display="https://www.google.com/url?q=https://github.com/Szawinis/CompetitiveProgramming/blob/master/Olympiad/POI/POI11-Rotation2.cpp&amp;sa=D&amp;ust=1605639816482000&amp;usg=AFQjCNHomCYWD_kb2SXKfCi7-XCqF4c1HA" xr:uid="{C82B8818-304B-4299-A62B-C4C894E78FC6}"/>
    <hyperlink ref="B990" r:id="rId1764" display="https://www.google.com/url?q=https://joisc2013-day1.contest.atcoder.jp/tasks/joisc2013_collecting&amp;sa=D&amp;ust=1605639816482000&amp;usg=AFQjCNHCkoS99xIiFqWVYjQdJM8SuOsSGg" xr:uid="{D360B2AA-3848-4B2E-B742-16BF39FC2EEE}"/>
    <hyperlink ref="B991" r:id="rId1765" display="https://www.google.com/url?q=https://www.infoarena.ro/problema/arbore7&amp;sa=D&amp;ust=1605639816483000&amp;usg=AFQjCNG95LgimupoJcu6qSsZSZVTyZfOoQ" xr:uid="{EC818917-6C7A-4F62-B78F-B1D7070AC0AA}"/>
    <hyperlink ref="F991" r:id="rId1766" display="https://www.google.com/url?q=https://github.com/mostafa-saad/MyCompetitiveProgramming/blob/master/Olympiad/infoarena/infoarena-arbore7.txt&amp;sa=D&amp;ust=1605639816483000&amp;usg=AFQjCNHG7RNazrjYNCiIrgmbLVt0cIaGtQ" xr:uid="{A34DF45A-EC7F-401F-9C70-0348C2BDAA87}"/>
    <hyperlink ref="B992" r:id="rId1767" display="https://www.google.com/url?q=http://usaco.org/index.php?page%3Dviewproblem2%26cpid%3D195&amp;sa=D&amp;ust=1605639816483000&amp;usg=AFQjCNGH_vwftWVnRWbOG1YTI7OovCbV0A" xr:uid="{2F40445B-F800-40CD-B153-FB815747232F}"/>
    <hyperlink ref="B993" r:id="rId1768" display="https://www.google.com/url?q=http://usaco.org/index.php?page%3Dviewproblem2%26cpid%3D696&amp;sa=D&amp;ust=1605639816484000&amp;usg=AFQjCNGII1Xy4Bl9XpRxaO4pv5r48ofpAA" xr:uid="{195AEA88-4E0A-4EDE-97BA-BFB25FDC5341}"/>
    <hyperlink ref="B994" r:id="rId1769" display="https://www.google.com/url?q=http://usaco.org/index.php?page%3Dviewproblem2%26cpid%3D91&amp;sa=D&amp;ust=1605639816484000&amp;usg=AFQjCNGkcEJAu8ov7hLXobTBJ86rtx1FbQ" xr:uid="{A4696955-38F2-44AB-9AB1-E7E2B339DDA7}"/>
    <hyperlink ref="B995" r:id="rId1770" display="https://www.google.com/url?q=https://oj.uz/problem/view/BOI13_ballmachine&amp;sa=D&amp;ust=1605639816485000&amp;usg=AFQjCNHdp1sNpikbSXY7rqjDsI64Oxoa0A" xr:uid="{07236ABB-2BDD-4BA6-A620-54AB643B7D9A}"/>
    <hyperlink ref="F995" r:id="rId1771" display="https://www.google.com/url?q=https://github.com/SpeedOfMagic/CompetitiveProgramming/blob/master/Baltic/13-ballmachine.cpp&amp;sa=D&amp;ust=1605639816485000&amp;usg=AFQjCNGjg6XznRbxpC-z5sqLyag9LZmZAg" xr:uid="{04416CDA-7387-42FC-8A43-079B8FBD68B5}"/>
    <hyperlink ref="B996" r:id="rId1772" display="https://www.google.com/url?q=https://www.acmicpc.net/problem/1752&amp;sa=D&amp;ust=1605639816486000&amp;usg=AFQjCNFQYzEfcbRNBmCSHDogRF2oWjSL1A" xr:uid="{E9E6C906-6878-499E-B701-F4ADF7A6B025}"/>
    <hyperlink ref="F996" r:id="rId1773" display="https://www.google.com/url?q=https://github.com/mostafa-saad/MyCompetitiveProgramming/blob/master/Olympiad/IOI/IOI-02-Frog.txt&amp;sa=D&amp;ust=1605639816486000&amp;usg=AFQjCNFicXBz9Zc5bLUaPUvOEd5bzfVKFQ" xr:uid="{4E8903AA-D0A4-431B-BFCD-5D3C0E4039B9}"/>
    <hyperlink ref="B997" r:id="rId1774" display="https://www.google.com/url?q=http://usaco.org/index.php?page%3Dviewproblem2%26cpid%3D285&amp;sa=D&amp;ust=1605639816486000&amp;usg=AFQjCNFPBWOM9YPg0whFnciIGQblgPoaUw" xr:uid="{7180418A-AF29-45B1-8B32-2E43E56EBCDF}"/>
    <hyperlink ref="B998" r:id="rId1775" display="https://www.google.com/url?q=https://oj.uz/problem/view/COI15_kovanice&amp;sa=D&amp;ust=1605639816487000&amp;usg=AFQjCNFOKWVSvqZXuhCD9Ihfb6UENyu7lw" xr:uid="{754F16CB-6D44-4ADE-ABB8-086123E1046C}"/>
    <hyperlink ref="F998" r:id="rId1776" display="https://www.google.com/url?q=https://github.com/tmwilliamlin168/CompetitiveProgramming/blob/master/COI/15-Koviance.cpp&amp;sa=D&amp;ust=1605639816487000&amp;usg=AFQjCNF0C36JMc1bNOecQc9FKqQzAyKHiQ" xr:uid="{E7E64235-A702-405C-8112-75C9F3A60EDA}"/>
    <hyperlink ref="B999" r:id="rId1777" display="https://www.google.com/url?q=https://boi18-practice-open.kattis.com/problems&amp;sa=D&amp;ust=1605639816487000&amp;usg=AFQjCNGQ1gKy2ncxuYvlWSFApuUaBpiz5A" xr:uid="{A1F42571-314A-4DF1-8A3F-CB6DB56B8B66}"/>
    <hyperlink ref="F999" r:id="rId1778" display="https://www.google.com/url?q=https://github.com/updown2/OI-Practice/blob/master/BOI/2018/Citations%2520(Practice%2520Session).txt&amp;sa=D&amp;ust=1605639816488000&amp;usg=AFQjCNE5wPF5dXdJdrEz6Ao6Xqj6lk64xQ" xr:uid="{89AF1C4C-CD32-4F9D-9E0D-EF90788722B2}"/>
    <hyperlink ref="B1000" r:id="rId1779" display="https://www.google.com/url?q=https://www.infoarena.ro/problema/asmin&amp;sa=D&amp;ust=1605639816488000&amp;usg=AFQjCNGB5UIiBgHFDozUYqvFPxQSz2UdHA" xr:uid="{2F242835-DA4D-43A1-878D-21F50BB130B5}"/>
    <hyperlink ref="F1000" r:id="rId1780" display="https://www.google.com/url?q=https://github.com/stefdasca/CompetitiveProgramming/blob/master/Infoarena/asmin.cpp&amp;sa=D&amp;ust=1605639816488000&amp;usg=AFQjCNEErL274XjQ8PsBXzb81l1PWxqVIw" xr:uid="{07FA69C7-3CC5-40D6-8C70-4771CEBE95F6}"/>
    <hyperlink ref="B1001" r:id="rId1781" display="https://www.google.com/url?q=https://www.infoarena.ro/problema/nkbiti&amp;sa=D&amp;ust=1605639816489000&amp;usg=AFQjCNHXqMPKMB9u4_WdJ17Tqxp0fgrMKw" xr:uid="{40EF5383-D3F8-47E2-B127-A9B381967A8D}"/>
    <hyperlink ref="F1001" r:id="rId1782" display="https://www.google.com/url?q=https://github.com/stefdasca/CompetitiveProgramming/blob/master/Infoarena/nkbiti.cpp&amp;sa=D&amp;ust=1605639816489000&amp;usg=AFQjCNG-684S2vQ_hXemPv1Z5daq8a2XsA" xr:uid="{0D35A76B-8851-4DB9-9B9B-9C56E172AB20}"/>
    <hyperlink ref="B1002" r:id="rId1783" display="https://www.google.com/url?q=https://www.infoarena.ro/problema/profit&amp;sa=D&amp;ust=1605639816489000&amp;usg=AFQjCNEVGSza_X-kFoAAii_o281VW_E4gw" xr:uid="{C9185F13-0B92-4B89-A1C4-A201DEC8AEB9}"/>
    <hyperlink ref="F1002" r:id="rId1784" display="https://www.google.com/url?q=https://github.com/stefdasca/CompetitiveProgramming/blob/master/Infoarena/profit.cpp&amp;sa=D&amp;ust=1605639816490000&amp;usg=AFQjCNHMLY4dz_luHqunyV7PIUrhUak8uA" xr:uid="{2C7E4A6A-F548-4613-98B0-421E65470DB8}"/>
    <hyperlink ref="B1003" r:id="rId1785" display="https://www.google.com/url?q=https://www.infoarena.ro/problema/zip&amp;sa=D&amp;ust=1605639816491000&amp;usg=AFQjCNEZFZUnCMcKZ-cLbH8DIsclA-1nTw" xr:uid="{95B4B0E3-2D60-4268-B7D6-2E308184300D}"/>
    <hyperlink ref="F1003" r:id="rId1786" display="https://www.google.com/url?q=https://github.com/stefdasca/CompetitiveProgramming/blob/master/Infoarena/zip.cpp&amp;sa=D&amp;ust=1605639816491000&amp;usg=AFQjCNGX5vRPxcRg9hH-rFvYXXDIC2oILQ" xr:uid="{844B8E72-F7E2-4F54-A05B-877E2CC6BF91}"/>
    <hyperlink ref="B1004" r:id="rId1787" display="https://www.google.com/url?q=https://www.infoarena.ro/problema/zmeu&amp;sa=D&amp;ust=1605639816492000&amp;usg=AFQjCNGnN376SCBO6joceTxCQ9XZHFZUCA" xr:uid="{782059C6-C0FF-4A14-8FF9-81094D0EF265}"/>
    <hyperlink ref="F1004" r:id="rId1788" display="https://www.google.com/url?q=https://github.com/stefdasca/CompetitiveProgramming/blob/master/Infoarena/zmeu.cpp&amp;sa=D&amp;ust=1605639816492000&amp;usg=AFQjCNE3k6nAu88GY5R766TPeSTxIaEMKg" xr:uid="{8ABF700C-3662-4C5B-A632-3FC1510DB50B}"/>
    <hyperlink ref="B1005" r:id="rId1789" display="https://www.google.com/url?q=https://csacademy.com/contest/ioi-2016-training-round-5/task/lights-out/&amp;sa=D&amp;ust=1605639816492000&amp;usg=AFQjCNFK-XG2Pg2UWpcsZRp8OxG3CQvTKQ" xr:uid="{7DDC719A-EBA3-4C02-B915-FDDE26E802D8}"/>
    <hyperlink ref="B1006" r:id="rId1790" display="https://www.google.com/url?q=https://joisc2013-day2.contest.atcoder.jp/tasks/joisc2013_mascots&amp;sa=D&amp;ust=1605639816493000&amp;usg=AFQjCNFlUKoB0hAksMENTXXh3TdTmhgopA" xr:uid="{DB4B67AE-FB8C-40A0-B544-CC674014B491}"/>
    <hyperlink ref="B1007" r:id="rId1791" display="https://www.google.com/url?q=https://szkopul.edu.pl/problemset/problem/qDH9CkBHZKHY4vbKRBlXPrA7/site/&amp;sa=D&amp;ust=1605639816493000&amp;usg=AFQjCNEshkLUy4QhAxM2ZvJeD5xPAy37iQ" xr:uid="{0EBAC9E5-FCA3-4C2A-A9C4-D00DC6BF5A8A}"/>
    <hyperlink ref="F1007" r:id="rId1792" display="https://www.google.com/url?q=https://github.com/mostafa-saad/MyCompetitiveProgramming/blob/master/Olympiad/POI/official/find_editorial_sols_guidelines.txt&amp;sa=D&amp;ust=1605639816493000&amp;usg=AFQjCNGMmf8iYPq75DZuPWYnyFOQzx0HvA" xr:uid="{3EE1896E-5C90-4426-B272-FEEAB34AECA4}"/>
    <hyperlink ref="B1008" r:id="rId1793" display="https://www.google.com/url?q=https://dmoj.ca/problem/gfssoc2s4&amp;sa=D&amp;ust=1605639816494000&amp;usg=AFQjCNFCZLxh2Ybo9IWP63atT7CcZN6-6w" xr:uid="{E0D480E5-9629-4114-9570-7DAE9BD1E982}"/>
    <hyperlink ref="B1009" r:id="rId1794" display="https://www.google.com/url?q=https://dmoj.ca/problem/dmopc14c4p6&amp;sa=D&amp;ust=1605639816494000&amp;usg=AFQjCNHxUwv8VyUTdAFwHHFGTZATThX8SQ" xr:uid="{CC2CB895-7FC1-4327-ADB8-B40E830585A9}"/>
    <hyperlink ref="B1010" r:id="rId1795" display="https://www.google.com/url?q=https://dmoj.ca/problem/dmpg16s4&amp;sa=D&amp;ust=1605639816495000&amp;usg=AFQjCNEMmhw48jAFVvJ-InO5MDZTEQOA9A" xr:uid="{2458E675-0570-4EF7-BBBA-956D71F90309}"/>
    <hyperlink ref="B1011" r:id="rId1796" display="https://www.google.com/url?q=https://dmoj.ca/problem/utso18p2&amp;sa=D&amp;ust=1605639816495000&amp;usg=AFQjCNEpBmTU4F9GWtZ7FdysUmnZ0ujkmg" xr:uid="{9D0A715A-66A2-45E0-8823-12E38DAFEFEB}"/>
    <hyperlink ref="B1012" r:id="rId1797" display="https://www.google.com/url?q=https://dmoj.ca/problem/utso18p1&amp;sa=D&amp;ust=1605639816496000&amp;usg=AFQjCNHXJ-eIrOU2v3UI-tumdMMjTujYGg" xr:uid="{5F3F5EC2-B6B1-4618-B6E7-28223207EB2D}"/>
    <hyperlink ref="B1013" r:id="rId1798" display="https://www.google.com/url?q=https://szkopul.edu.pl/problemset/problem/d30xri2XGeuQ45CDrB7DWijK/site/&amp;sa=D&amp;ust=1605639816496000&amp;usg=AFQjCNEiCzyFDoj3jUjzIkDF1poMOLLLBA" xr:uid="{E8307110-DB88-49E2-BAEA-FACA2F7053E9}"/>
    <hyperlink ref="F1013" r:id="rId1799" display="https://www.google.com/url?q=https://github.com/mostafa-saad/MyCompetitiveProgramming/blob/master/Olympiad/POI/official/find_editorial_sols_guidelines.txt&amp;sa=D&amp;ust=1605639816496000&amp;usg=AFQjCNGctO2RuLbeQb45fyLepD1vQn174g" xr:uid="{F8A63B98-9880-41F6-84B2-740104F58946}"/>
    <hyperlink ref="B1014" r:id="rId1800" display="https://www.google.com/url?q=https://joisc2014.contest.atcoder.jp/tasks/joisc2014_f&amp;sa=D&amp;ust=1605639816497000&amp;usg=AFQjCNGp2myX8DETJP1XpTOHvjuUxYEAbg" xr:uid="{D52A7958-66D1-4EC4-8245-57B7C9A999D6}"/>
    <hyperlink ref="B1015" r:id="rId1801" display="https://www.google.com/url?q=https://joisc2015.contest.atcoder.jp/tasks/joisc2015_a&amp;sa=D&amp;ust=1605639816497000&amp;usg=AFQjCNF08WTRhCsxCjykSAwz2S_Ehp8H7A" xr:uid="{5359DF9E-2761-4417-899F-12495AF4F48C}"/>
    <hyperlink ref="B1016" r:id="rId1802" display="https://www.google.com/url?q=https://joisc2015.contest.atcoder.jp/tasks/joisc2015_g&amp;sa=D&amp;ust=1605639816498000&amp;usg=AFQjCNFwkpMnQS0bmrhHhLuxCsXiCwiU1w" xr:uid="{7B68375A-29C7-4525-8105-491B988955B4}"/>
    <hyperlink ref="B1017" r:id="rId1803" display="https://www.google.com/url?q=https://dunjudge.me/analysis/problems/976/&amp;sa=D&amp;ust=1605639816498000&amp;usg=AFQjCNErXTKW3a0VhvpnjRk6YWd3Lb2jzg" xr:uid="{E3BA3441-C3E9-45A6-B91E-ECA742CCCB4D}"/>
    <hyperlink ref="B1018" r:id="rId1804" display="https://www.google.com/url?q=https://dmoj.ca/problem/coci08c5p4&amp;sa=D&amp;ust=1605639816498000&amp;usg=AFQjCNEDCTsxeOB9vtld4e69-o70hDmZBQ" xr:uid="{9EBB1362-8891-4A70-8BE3-707F68D70974}"/>
    <hyperlink ref="F1018" r:id="rId1805" display="https://www.google.com/url?q=https://github.com/mostafa-saad/MyCompetitiveProgramming/blob/master/Olympiad/COCI/COCI-08-Lubenica.txt&amp;sa=D&amp;ust=1605639816499000&amp;usg=AFQjCNFTkxElZjzm-xiIHko8WEBNF7pXyA" xr:uid="{840065E7-0949-488E-958C-FC6FEBFD711A}"/>
    <hyperlink ref="B1019" r:id="rId1806" display="https://www.google.com/url?q=https://dmoj.ca/problem/coci06c6p5&amp;sa=D&amp;ust=1605639816499000&amp;usg=AFQjCNGl8CYDhGAfhJdO3tf2iuv22PKypA" xr:uid="{02CF1FD3-D104-4B94-B4CB-62B3D3BA3D22}"/>
    <hyperlink ref="F1019" r:id="rId1807" display="https://www.google.com/url?q=https://github.com/mostafa-saad/MyCompetitiveProgramming/tree/master/Olympiad/COCI/official/2007/contest6_solutions&amp;sa=D&amp;ust=1605639816499000&amp;usg=AFQjCNHz9LNQ19wr8RlF18DRtLKKqfCtXw" xr:uid="{9EB0C976-4C68-4A26-BAB1-7F76BB1EECA3}"/>
    <hyperlink ref="B1020" r:id="rId1808" display="https://www.google.com/url?q=https://oj.uz/problem/view/IZhO17_money&amp;sa=D&amp;ust=1605639816500000&amp;usg=AFQjCNGDZtEgUJN4anZJTakUQvMwsz26qA" xr:uid="{E92EA088-933A-44CB-8E91-392B24178E5C}"/>
    <hyperlink ref="F1020" r:id="rId1809" display="https://www.google.com/url?q=https://github.com/stefdasca/CompetitiveProgramming/blob/master/IZhO/IZhO%252017-money.cpp&amp;sa=D&amp;ust=1605639816500000&amp;usg=AFQjCNHUiNK_evRC1461pLYThQ40f6txbg" xr:uid="{2939F16F-D12B-4290-8AA4-12381476F694}"/>
    <hyperlink ref="B1021" r:id="rId1810" display="https://www.google.com/url?q=http://www.spoj.com/problems/MCAMP/&amp;sa=D&amp;ust=1605639816500000&amp;usg=AFQjCNFTxRp6hNFzCNFgRddEKNUbfInhdQ" xr:uid="{B661868E-65C9-40FA-9488-B47E538F5C3C}"/>
    <hyperlink ref="F1021" r:id="rId1811" display="https://www.google.com/url?q=https://github.com/mostafa-saad/MyCompetitiveProgramming/blob/master/Olympiad/APIO/APIOPractice-14-mcamp.txt&amp;sa=D&amp;ust=1605639816500000&amp;usg=AFQjCNFaDhLUZxHFbtN0g-onSuDWoVdp3A" xr:uid="{2723BBD6-442F-4C45-8159-BB2B30017DC0}"/>
    <hyperlink ref="B1022" r:id="rId1812" display="https://www.google.com/url?q=https://github.com/mostafa-saad/MyCompetitiveProgramming/blob/master/Olympiad/POI/POI-15-Seals-desc.txt&amp;sa=D&amp;ust=1605639816502000&amp;usg=AFQjCNHSiB6OjOjlDS_OCP5H_BBk-3E3sQ" xr:uid="{3DB28877-747C-405C-97C8-20A3B5B3E60D}"/>
    <hyperlink ref="F1022" r:id="rId1813" display="https://www.google.com/url?q=https://github.com/mostafa-saad/MyCompetitiveProgramming/blob/master/Olympiad/POI/POI-15-Seals.txt&amp;sa=D&amp;ust=1605639816502000&amp;usg=AFQjCNEvoVnUiCNnkiAN3O4LncjLR-3RoA" xr:uid="{1330EE3C-A4D7-4554-A0ED-7D6895A72364}"/>
    <hyperlink ref="B1023" r:id="rId1814" display="https://www.google.com/url?q=https://training.ia-toki.org/problemsets/87/problems/447/&amp;sa=D&amp;ust=1605639816503000&amp;usg=AFQjCNFDKnbjvoL29rIsrIlSNKc6x8_eLg" xr:uid="{7B3A2B28-519F-41E7-92F1-291F527D42D5}"/>
    <hyperlink ref="F1023" r:id="rId1815" display="https://www.google.com/url?q=https://github.com/win11905/submission/tree/master/TOKI/17/magic&amp;sa=D&amp;ust=1605639816503000&amp;usg=AFQjCNHQEGCaCRu8cdsiQ9j_nMvMvav4mg" xr:uid="{E481728C-7B90-496F-8F3B-3B187B901345}"/>
    <hyperlink ref="B1024" r:id="rId1816" display="https://www.google.com/url?q=https://oj.uz/problem/view/COCI16_kvalitetni&amp;sa=D&amp;ust=1605639816503000&amp;usg=AFQjCNEedUXfXyixLXSceR-fTMa6MYW9vw" xr:uid="{49E08294-D327-46E7-9C0D-2069F0FBFE5A}"/>
    <hyperlink ref="F1024" r:id="rId1817" display="https://www.google.com/url?q=https://github.com/mostafa-saad/MyCompetitiveProgramming/blob/master/Olympiad/COCI/official/2017/contest3_solutions&amp;sa=D&amp;ust=1605639816503000&amp;usg=AFQjCNHa1bKaoOz0tu6f8ACQkmMr05usug" xr:uid="{760E0F5C-84FE-448C-829B-09810F581B80}"/>
    <hyperlink ref="B1025" r:id="rId1818" display="https://www.google.com/url?q=https://contest.yandex.ru/ioi/contest/566/enter/&amp;sa=D&amp;ust=1605639816504000&amp;usg=AFQjCNEnPcDYi2QMwP4iG6eXRQ6x1bM88g" xr:uid="{F17186AD-D2EA-435F-BDC9-6173935B0305}"/>
    <hyperlink ref="F1025" r:id="rId1819" display="https://www.google.com/url?q=https://github.com/mostafa-saad/MyCompetitiveProgramming/blob/master/Olympiad/IOI/IOI-05-game.txt&amp;sa=D&amp;ust=1605639816504000&amp;usg=AFQjCNFXL6ObnNqPY1Az2lAmVJg1oSbyKQ" xr:uid="{142CDBF0-1A71-4CF4-A86F-F8EC91CE4761}"/>
    <hyperlink ref="B1026" r:id="rId1820" display="https://www.google.com/url?q=https://www.infoarena.ro/problema/euclid1&amp;sa=D&amp;ust=1605639816504000&amp;usg=AFQjCNHWKM8XJmV48ReJJAetK0qj6Z5zJw" xr:uid="{8223AACB-7D8D-4854-ADDE-8851223CC24C}"/>
    <hyperlink ref="F1026" r:id="rId1821" display="https://www.google.com/url?q=https://github.com/stefdasca/CompetitiveProgramming/blob/master/Infoarena/cuiburi.cpp&amp;sa=D&amp;ust=1605639816505000&amp;usg=AFQjCNFQPgo3pVehF6LW5AOz1kmnGDSfGQ" xr:uid="{7944F7B8-DF7B-49BD-9804-A4CB6B6919DF}"/>
    <hyperlink ref="B1027" r:id="rId1822" display="https://www.google.com/url?q=http://usaco.org/index.php?page%3Dviewproblem2%26cpid%3D495&amp;sa=D&amp;ust=1605639816505000&amp;usg=AFQjCNHD4xPdLD-b5qi_4AeDkg2jE-4LbA" xr:uid="{25A02FC3-B62F-4520-A6B8-0DFD72F9C9E9}"/>
    <hyperlink ref="F1027" r:id="rId1823" display="https://www.google.com/url?q=https://github.com/SpeedOfMagic/CompetitiveProgramming/blob/master/USACO/USACO%252014dec-marathon.cpp&amp;sa=D&amp;ust=1605639816505000&amp;usg=AFQjCNGVuGfcy3uwRkvb3OmVn9kq_Jviwg" xr:uid="{43085440-D41A-4B57-BE30-ECB3B239F3F0}"/>
    <hyperlink ref="B1028" r:id="rId1824" display="https://www.google.com/url?q=https://github.com/stefdasca/CompetitiveProgramming/blob/master/Info1Cup/National%2520Round/Simple%2520(Ro)%2520(1).pdf&amp;sa=D&amp;ust=1605639816506000&amp;usg=AFQjCNHmxz3X39vu9P1Zw2DO7t5teuZulQ" xr:uid="{0E17D006-756B-4177-876A-1DBC8D41A37B}"/>
    <hyperlink ref="F1028" r:id="rId1825" display="https://www.google.com/url?q=https://github.com/stefdasca/CompetitiveProgramming/blob/master/Info1Cup/National%2520Round/simple.cpp&amp;sa=D&amp;ust=1605639816506000&amp;usg=AFQjCNFui3vuMqqF70f89t1hYkVgMdDHkA" xr:uid="{CC1DFC60-9AA1-463E-9072-CA79D2537304}"/>
    <hyperlink ref="B1029" r:id="rId1826" display="https://www.google.com/url?q=https://www.infoarena.ro/problema/omizi&amp;sa=D&amp;ust=1605639816506000&amp;usg=AFQjCNHP97kPefjABWCs-BGXYJEIGczygA" xr:uid="{1E0B5115-9494-41E3-8ED3-39A6BF9610FF}"/>
    <hyperlink ref="F1029" r:id="rId1827" display="https://www.google.com/url?q=https://github.com/stefdasca/CompetitiveProgramming/blob/master/Infoarena/omizi.cpp&amp;sa=D&amp;ust=1605639816506000&amp;usg=AFQjCNH51oynHVXyxMEjPyxpFm1axtfyrQ" xr:uid="{2699074A-E9ED-4B87-AB27-AB2006C0646A}"/>
    <hyperlink ref="B1030" r:id="rId1828" display="https://www.google.com/url?q=https://dunjudge.me/analysis/problems/727/&amp;sa=D&amp;ust=1605639816507000&amp;usg=AFQjCNEe24e7HFGNO3CrLtZzU-BGmfKMzw" xr:uid="{F90314CE-464E-4DF3-B463-9591AC2F26D8}"/>
    <hyperlink ref="F1030" r:id="rId1829" display="https://www.google.com/url?q=https://github.com/mostafa-saad/MyCompetitiveProgramming/blob/master/Olympiad/IOI/official/2000&amp;sa=D&amp;ust=1605639816507000&amp;usg=AFQjCNE_WZbxFnEoRqhyYSMHScIAtURIqg" xr:uid="{4C51C86B-6718-4752-B41C-B3058F71132B}"/>
    <hyperlink ref="B1031" r:id="rId1830" display="https://www.google.com/url?q=https://www.infoarena.ro/problema/grea&amp;sa=D&amp;ust=1605639816507000&amp;usg=AFQjCNGhrecoWWtsqYBa0aOeNNmZp4-ZEw" xr:uid="{C7A8F776-23D0-447D-B464-34C4D474C2D1}"/>
    <hyperlink ref="F1031" r:id="rId1831" display="https://www.google.com/url?q=https://github.com/stefdasca/CompetitiveProgramming/blob/master/Infoarena/grea.cpp&amp;sa=D&amp;ust=1605639816507000&amp;usg=AFQjCNFaGtCgf6fPP6vqL_2ZJ8OLgqGSHA" xr:uid="{5EB5E279-A118-403A-9CAB-39D0493631CF}"/>
    <hyperlink ref="B1032" r:id="rId1832" display="https://www.google.com/url?q=https://szkopul.edu.pl/problemset/problem/EijIYL4qkxxGJGHaVVnvdmgY/site/&amp;sa=D&amp;ust=1605639816508000&amp;usg=AFQjCNHq6Q0Gz0EL2tVCjMHRJ19BeV6TSw" xr:uid="{EB310DF7-00FC-40B1-855E-26C214C4E5EE}"/>
    <hyperlink ref="F1032" r:id="rId1833" display="https://www.google.com/url?q=https://github.com/mostafa-saad/MyCompetitiveProgramming/blob/master/Olympiad/POI/official/find_editorial_sols_guidelines.txt&amp;sa=D&amp;ust=1605639816508000&amp;usg=AFQjCNGavwH1cVT8MeyKUXB7qLjRP71XPA" xr:uid="{F2B99DE8-D140-4D13-8BB0-382A46A42DEC}"/>
    <hyperlink ref="B1033" r:id="rId1834" display="https://www.google.com/url?q=https://szkopul.edu.pl/problemset/problem/gDw3iFkeVm7ZA3j_16-XR7jI/site/&amp;sa=D&amp;ust=1605639816508000&amp;usg=AFQjCNFFOjjo8iaBhDgjJDvAGHlXApqtNw" xr:uid="{9B09381A-9031-47D7-BE7C-42A5F576294E}"/>
    <hyperlink ref="F1033" r:id="rId1835" display="https://www.google.com/url?q=https://github.com/mostafa-saad/MyCompetitiveProgramming/blob/master/Olympiad/POI/official/find_editorial_sols_guidelines.txt&amp;sa=D&amp;ust=1605639816508000&amp;usg=AFQjCNGavwH1cVT8MeyKUXB7qLjRP71XPA" xr:uid="{CCED2B94-DE43-4FF7-9346-02505177A4A5}"/>
    <hyperlink ref="B1034" r:id="rId1836" display="https://www.google.com/url?q=https://joi2016ho.contest.atcoder.jp/tasks/joi2016ho_c&amp;sa=D&amp;ust=1605639816509000&amp;usg=AFQjCNGbS9nZNX1jJ9LN7THW1ehaNM9mHA" xr:uid="{E517E8C8-577E-4D55-B745-92D9920F9319}"/>
    <hyperlink ref="B1035" r:id="rId1837" display="https://www.google.com/url?q=https://joisc2013-day2.contest.atcoder.jp/tasks/joisc2013_spy&amp;sa=D&amp;ust=1605639816509000&amp;usg=AFQjCNFyiAy1NnFfDl5ErpZ2bnRKUPEPAg" xr:uid="{FE5C3DDC-A436-4223-8F42-7BE3E5BABE32}"/>
    <hyperlink ref="B1036" r:id="rId1838" display="https://www.google.com/url?q=https://joi2015ho.contest.atcoder.jp/tasks/joi2015ho_c&amp;sa=D&amp;ust=1605639816510000&amp;usg=AFQjCNG-B4uf_UVQmVzGt2bXngg32DAVJA" xr:uid="{E3154C72-0F5C-4877-B0D0-A9F0CF72E397}"/>
    <hyperlink ref="B1037" r:id="rId1839" display="https://www.google.com/url?q=https://oj.uz/problem/view/NOI14_sightseeing&amp;sa=D&amp;ust=1605639816510000&amp;usg=AFQjCNHFzwzQZYrLaQxfM1tMoRVlSCHtSg" xr:uid="{B9F50BD4-DF30-4A70-92B9-7A9593C01F71}"/>
    <hyperlink ref="F1037" r:id="rId1840" display="https://www.google.com/url?q=https://github.com/mostafa-saad/MyCompetitiveProgramming/blob/master/Olympiad/NOI/official&amp;sa=D&amp;ust=1605639816510000&amp;usg=AFQjCNGj0xJWBZejfdY_wxMfOio4rTei5Q" xr:uid="{4EFCBBE7-E148-4154-ADCC-A9E7596A12BB}"/>
    <hyperlink ref="B1038" r:id="rId1841" display="https://www.google.com/url?q=https://training.ia-toki.org/problemsets/87/problems/445/&amp;sa=D&amp;ust=1605639816510000&amp;usg=AFQjCNFUNigp_cwjBxNNi9VJQP22v0PL6w" xr:uid="{EF96C080-F7B7-43F6-86A8-6F40CC87ADB9}"/>
    <hyperlink ref="F1038" r:id="rId1842" display="https://www.google.com/url?q=https://github.com/win11905/submission/blob/master/TOKI/17/beauty/beauty.cpp&amp;sa=D&amp;ust=1605639816511000&amp;usg=AFQjCNFHShqitRzZUdiRzke7N9Z9hSRk9g" xr:uid="{023291FD-866E-4C8F-BFC6-B9F4ABB142EB}"/>
    <hyperlink ref="B1039" r:id="rId1843" display="https://www.google.com/url?q=http://usaco.org/index.php?page%3Dviewproblem2%26cpid%3D576&amp;sa=D&amp;ust=1605639816511000&amp;usg=AFQjCNGqu9S7_W0rCjsXxSImvDPikyC89A" xr:uid="{C21A9B16-5522-4F16-AB51-0AFCB7216C26}"/>
    <hyperlink ref="B1040" r:id="rId1844" display="https://www.google.com/url?q=https://csacademy.com/contest/ceoi-2017-day-1/tasks/&amp;sa=D&amp;ust=1605639816512000&amp;usg=AFQjCNHWfZd21rvi9Fmgt_iY6yovyrjWRw" xr:uid="{D4F1FE75-4200-4E03-BEEC-0089E112BCA4}"/>
    <hyperlink ref="F1040" r:id="rId1845" display="https://www.google.com/url?q=https://github.com/mostafa-saad/MyCompetitiveProgramming/tree/master/Olympiad/JOI/CEOI/official/2017&amp;sa=D&amp;ust=1605639816512000&amp;usg=AFQjCNH1q9-5oHsrBHeZMVKkVD9oQ6701Q" xr:uid="{23F97135-D8CD-4C7F-BC88-0D7AB789131E}"/>
    <hyperlink ref="B1041" r:id="rId1846" display="https://www.google.com/url?q=https://joi2013ho.contest.atcoder.jp/tasks/joi2013ho4&amp;sa=D&amp;ust=1605639816513000&amp;usg=AFQjCNFzaAy6ZblykMyxU-VPdKpOHmvTEw" xr:uid="{976843D8-002D-4E79-8CE8-3C7C977B142C}"/>
    <hyperlink ref="B1042" r:id="rId1847" display="https://www.google.com/url?q=https://joi2014ho.contest.atcoder.jp/tasks/joi2014ho3&amp;sa=D&amp;ust=1605639816513000&amp;usg=AFQjCNEchJPRdTd3VQzGEUG7HBO2Nbr-Zw" xr:uid="{EF2E4EC7-A5CB-48D9-BC11-C81075309FBF}"/>
    <hyperlink ref="B1043" r:id="rId1848" display="https://www.google.com/url?q=https://oj.uz/problem/view/IOI16_tetris&amp;sa=D&amp;ust=1605639816513000&amp;usg=AFQjCNHclOT3jGwH3JMiImLfbrMoQSXjMQ" xr:uid="{0C953851-612E-4EE5-A113-5487A202D12E}"/>
    <hyperlink ref="F1043" r:id="rId1849" display="https://www.google.com/url?q=https://github.com/mostafa-saad/MyCompetitiveProgramming/blob/master/Olympiad/IOI/IOI-16-tetris.txt&amp;sa=D&amp;ust=1605639816514000&amp;usg=AFQjCNHLUoPRmwnOrk9IkmLc_z_0m5K79A" xr:uid="{EEDE40F2-0711-4D0C-9561-DA2AE94DA6DC}"/>
    <hyperlink ref="B1044" r:id="rId1850" display="https://www.google.com/url?q=https://dmoj.ca/problem/coci07c2p4&amp;sa=D&amp;ust=1605639816514000&amp;usg=AFQjCNFauwWu-87R1WfP19deQ9v4TLZM8g" xr:uid="{8F88165C-8408-4A14-8271-34EED11CC782}"/>
    <hyperlink ref="F1044" r:id="rId1851" display="https://www.google.com/url?q=https://github.com/mostafa-saad/MyCompetitiveProgramming/tree/master/Olympiad/COCI/official/2008/contest2_solutions&amp;sa=D&amp;ust=1605639816514000&amp;usg=AFQjCNHBRsCJ57S2vfVxPYYw3BWALytfXg" xr:uid="{85548345-2B51-47E9-99DE-9DB91204253D}"/>
    <hyperlink ref="B1045" r:id="rId1852" display="https://www.google.com/url?q=https://wcipeg.com/problem/coci097p5&amp;sa=D&amp;ust=1605639816515000&amp;usg=AFQjCNFN7V1oFww_GWiLCJMIs1eEMlV5bw" xr:uid="{94FB3C62-74CD-4015-89E4-29D26C4C8361}"/>
    <hyperlink ref="F1045" r:id="rId1853" display="https://www.google.com/url?q=https://github.com/mostafa-saad/MyCompetitiveProgramming/blob/master/Olympiad/COCI/official/2010/contest7_solutions&amp;sa=D&amp;ust=1605639816515000&amp;usg=AFQjCNG_Hemf27IEsaKLgXXPIjMRBeJLUw" xr:uid="{9E18303C-8454-4640-A6DD-B7476C9B5D0A}"/>
    <hyperlink ref="B1046" r:id="rId1854" display="https://www.google.com/url?q=https://contest.yandex.ru/ioi/contest/560/enter/&amp;sa=D&amp;ust=1605639816515000&amp;usg=AFQjCNGyZoFOEmYyIbrIom8URmEWuBpOXw" xr:uid="{66C7AFE6-089A-47B1-BD01-63D645D3FB8E}"/>
    <hyperlink ref="F1046" r:id="rId1855" display="https://www.google.com/url?q=https://github.com/mostafa-saad/MyCompetitiveProgramming/blob/master/Olympiad/IOI/official/2004&amp;sa=D&amp;ust=1605639816516000&amp;usg=AFQjCNHJGqgD4764j0lc0GmnXnM3HYuoSg" xr:uid="{CD7FEE28-9B80-4D76-9A86-B961EB4FB9EF}"/>
    <hyperlink ref="B1047" r:id="rId1856" display="https://www.google.com/url?q=https://contest.yandex.ru/ioi/contest/560/enter/&amp;sa=D&amp;ust=1605639816516000&amp;usg=AFQjCNHNnEvLnK4TVMqMyMRWy_K2MN_SRQ" xr:uid="{F7A1BD95-2A41-49C1-A0BB-F97206B53C7F}"/>
    <hyperlink ref="F1047" r:id="rId1857" display="https://www.google.com/url?q=https://github.com/mostafa-saad/MyCompetitiveProgramming/blob/master/Olympiad/IOI/official/2004&amp;sa=D&amp;ust=1605639816516000&amp;usg=AFQjCNHJGqgD4764j0lc0GmnXnM3HYuoSg" xr:uid="{13180F00-1092-46B0-A5F7-7ED4F2B80597}"/>
    <hyperlink ref="B1048" r:id="rId1858" display="https://www.google.com/url?q=https://contest.yandex.ru/snss2018/contest/8760/problems/B&amp;sa=D&amp;ust=1605639816516000&amp;usg=AFQjCNGhOE7mS_lwk79nAKZA7gSvLe6tLw" xr:uid="{8E475C2C-9E4F-41B2-88F5-626C38F7B822}"/>
    <hyperlink ref="B1049" r:id="rId1859" display="https://www.google.com/url?q=https://dmoj.ca/problem/coci07c6p5&amp;sa=D&amp;ust=1605639816517000&amp;usg=AFQjCNFGMigndgy2GUvye_nCbd3q6taDAA" xr:uid="{2E4B205B-3228-4CA9-ABF0-FD3C6110169E}"/>
    <hyperlink ref="F1049" r:id="rId1860" display="https://www.google.com/url?q=https://github.com/mostafa-saad/MyCompetitiveProgramming/tree/master/Olympiad/COCI/official/2008/contest6_solutions&amp;sa=D&amp;ust=1605639816517000&amp;usg=AFQjCNFCsfktlayFyzIzM6H_f3-RC0Oh-w" xr:uid="{7EADA653-11E1-4A88-B6B5-A17BB356B34E}"/>
    <hyperlink ref="B1050" r:id="rId1861" display="https://www.google.com/url?q=https://dmoj.ca/problem/coci06c4p5&amp;sa=D&amp;ust=1605639816517000&amp;usg=AFQjCNEkpfrzs-XRzlG0aJQGPR9C2mf8bw" xr:uid="{02AD6360-6EDF-4002-9911-742931BDD48E}"/>
    <hyperlink ref="F1050" r:id="rId1862" display="https://www.google.com/url?q=https://github.com/mostafa-saad/MyCompetitiveProgramming/blob/master/Olympiad/COCI/COCI-06-Jogurt.txt&amp;sa=D&amp;ust=1605639816518000&amp;usg=AFQjCNH_ij95y0q0faCQ-07X_OkY7Fhq8Q" xr:uid="{D1DA2FB3-DA0B-4092-9F33-E918CB4280B0}"/>
    <hyperlink ref="B1051" r:id="rId1863" display="https://www.google.com/url?q=https://cses.fi/100/list/&amp;sa=D&amp;ust=1605639816518000&amp;usg=AFQjCNFdcZ1iMQI6dAh4ZXNqBIbtoeF9kg" xr:uid="{39BD72D5-20BA-43A3-A0C6-2335DB49DA24}"/>
    <hyperlink ref="F1051" r:id="rId1864" display="https://www.google.com/url?q=https://github.com/mostafa-saad/MyCompetitiveProgramming/blob/master/Olympiad/Baltic/Baltic-11-Lamp.txt&amp;sa=D&amp;ust=1605639816518000&amp;usg=AFQjCNGRXRu2kSwGA8UuynN5XdGEhorvbQ" xr:uid="{4C5A39CD-9396-47B1-86ED-DF7F4D111977}"/>
    <hyperlink ref="B1052" r:id="rId1865" display="https://www.google.com/url?q=https://dmoj.ca/problem/coci06c6p4&amp;sa=D&amp;ust=1605639816519000&amp;usg=AFQjCNFNc-k7kRyVUvO4ZgNI51eyB4nAtQ" xr:uid="{82A7F50A-E01F-4AD1-86CD-35FBA9905586}"/>
    <hyperlink ref="F1052" r:id="rId1866" display="https://www.google.com/url?q=https://github.com/mostafa-saad/MyCompetitiveProgramming/blob/master/Olympiad/CEOI/COCI-06-Kamen.txt&amp;sa=D&amp;ust=1605639816519000&amp;usg=AFQjCNHURpRcL41uEOWdAug2qo7D_dYQ3Q" xr:uid="{E4D6C4B9-5928-4E70-B6B1-2EAAD26D65C1}"/>
    <hyperlink ref="B1053" r:id="rId1867" display="https://www.google.com/url?q=https://szkopul.edu.pl/problemset/problem/w3YAoAT3ej27YeiaNWjK57_G/site/&amp;sa=D&amp;ust=1605639816519000&amp;usg=AFQjCNEE0ws3Hod5Kl6iE0ja12w_jFwGjw" xr:uid="{A3D322B5-F3D9-4CBE-A3A3-55FB477148C4}"/>
    <hyperlink ref="F1053" r:id="rId1868" display="https://www.google.com/url?q=https://github.com/mostafa-saad/MyCompetitiveProgramming/blob/master/Olympiad/POI/POI-08-Mafia.txt&amp;sa=D&amp;ust=1605639816519000&amp;usg=AFQjCNF3OdjuQXONXdpqR7sU3PsQDZEYIw" xr:uid="{AEC4AF82-ABDF-491E-B295-DA7B7D11EB12}"/>
    <hyperlink ref="B1054" r:id="rId1869" display="https://www.google.com/url?q=https://cses.fi/231/task/D&amp;sa=D&amp;ust=1605639816520000&amp;usg=AFQjCNHhDrJIOj8iS55KEIFW8cpcKRA2oA" xr:uid="{786B869A-CEE1-4097-9F34-954262E6641E}"/>
    <hyperlink ref="B1055" r:id="rId1870" display="https://www.google.com/url?q=https://dmoj.ca/problem/coci07c5p5&amp;sa=D&amp;ust=1605639816520000&amp;usg=AFQjCNGl_93Vy2sdtZyA-KQAYEc8kTNhOQ" xr:uid="{42C8CD15-521C-43B7-B65A-4A73709E6434}"/>
    <hyperlink ref="F1055" r:id="rId1871" display="https://www.google.com/url?q=https://github.com/mostafa-saad/MyCompetitiveProgramming/blob/master/Olympiad/COCI/COCI-07-Barica.txt&amp;sa=D&amp;ust=1605639816520000&amp;usg=AFQjCNGlVEcnY6jAtHO8JR6NRbZlFnHgxw" xr:uid="{4F88A985-0133-4180-B316-CA24D38B8561}"/>
    <hyperlink ref="B1056" r:id="rId1872" display="https://www.google.com/url?q=https://dunjudge.me/analysis/problems/1226/&amp;sa=D&amp;ust=1605639816521000&amp;usg=AFQjCNF3VifKXIgJDwdxKuhuAp9o8fY-7Q" xr:uid="{5D5CABB9-EEE3-4FCA-BC13-9F8E2F3A7549}"/>
    <hyperlink ref="F1056" r:id="rId1873" display="https://www.google.com/url?q=https://github.com/mostafa-saad/MyCompetitiveProgramming/blob/master/Olympiad/NOI/official&amp;sa=D&amp;ust=1605639816521000&amp;usg=AFQjCNH2bTbZjhcwA-wUJRzAGiUdFXw2mQ" xr:uid="{97E859BE-2ABF-45DD-BBB8-23181B469EEE}"/>
    <hyperlink ref="B1057" r:id="rId1874" display="https://www.google.com/url?q=https://codeforces.com/group/swEqtABRxe/contest/243438/problem/C&amp;sa=D&amp;ust=1605639816521000&amp;usg=AFQjCNF3y6_vOH2babGvMgqmy8TriSSNww" xr:uid="{866F916D-C55F-4342-AAFD-0C86D9C2A2B1}"/>
    <hyperlink ref="B1058" r:id="rId1875" display="https://www.google.com/url?q=https://dunjudge.me/analysis/problems/1385/&amp;sa=D&amp;ust=1605639816523000&amp;usg=AFQjCNEVCAML5u3p-pr4G6D-4w7f8mgjvA" xr:uid="{A303639E-2DC0-42BF-BC90-7C0253C0ABE3}"/>
    <hyperlink ref="F1058" r:id="rId1876" display="https://www.google.com/url?q=https://github.com/mostafa-saad/MyCompetitiveProgramming/blob/master/Olympiad/COCI/official/2013/contest6_solutions&amp;sa=D&amp;ust=1605639816523000&amp;usg=AFQjCNF0rknCOO7vKLBprTpupHArPueJgQ" xr:uid="{A25BAA36-65D7-4DDB-9A49-72C0A6DAC82F}"/>
    <hyperlink ref="B1059" r:id="rId1877" display="https://www.google.com/url?q=https://dunjudge.me/analysis/problems/699/&amp;sa=D&amp;ust=1605639816523000&amp;usg=AFQjCNEV5venZ-BB6Vlb0MBzDTlaFqsd_Q" xr:uid="{77309D9C-3CF2-40AF-B5A2-9AEF870CE906}"/>
    <hyperlink ref="B1060" r:id="rId1878" display="https://www.google.com/url?q=http://poj.org/problem?id%3D1196&amp;sa=D&amp;ust=1605639816524000&amp;usg=AFQjCNFr9tRGvwB9iN0M4uif6KwehI-UJw" xr:uid="{8045516C-DFDB-4332-8308-F69FFD5CA328}"/>
    <hyperlink ref="F1060" r:id="rId1879" display="https://www.google.com/url?q=https://github.com/mostafa-saad/MyCompetitiveProgramming/blob/master/Olympiad/IOI/official/2001&amp;sa=D&amp;ust=1605639816524000&amp;usg=AFQjCNFN5ItVGRfsoXvBJMH6qivIvR_g4A" xr:uid="{330BFAB1-E971-44CD-B79C-8DC49FA3BC97}"/>
    <hyperlink ref="B1061" r:id="rId1880" display="https://www.google.com/url?q=https://dmoj.ca/problem/coci08c2p4&amp;sa=D&amp;ust=1605639816524000&amp;usg=AFQjCNEldYPar2eikm90NYX8_j5FogotOQ" xr:uid="{92E7858F-3D2C-46FA-93FD-874203569B3D}"/>
    <hyperlink ref="F1061" r:id="rId1881" display="https://www.google.com/url?q=https://github.com/mostafa-saad/MyCompetitiveProgramming/blob/master/Olympiad/COCI/official/2009/contest2_solutions&amp;sa=D&amp;ust=1605639816524000&amp;usg=AFQjCNG4U5mWM8AR3s0O6DujOxfV_XVDjQ" xr:uid="{BFF854A1-BEDF-4105-B42F-1A60414FCEA7}"/>
    <hyperlink ref="B1062" r:id="rId1882" display="https://www.google.com/url?q=https://dmoj.ca/problem/coci08c3p5&amp;sa=D&amp;ust=1605639816525000&amp;usg=AFQjCNFas5dAmLWFF1N4ScEyJY6-LKJTHQ" xr:uid="{58C120EF-E640-4EBC-87C8-4F72FFAA1779}"/>
    <hyperlink ref="F1062" r:id="rId1883" display="https://www.google.com/url?q=https://github.com/mostafa-saad/MyCompetitiveProgramming/blob/master/Olympiad/COCI/COCI-08-BST.txt&amp;sa=D&amp;ust=1605639816525000&amp;usg=AFQjCNHFyxwOynHBxwcnAZ3AP8MLhFVQGQ" xr:uid="{00EAF342-C542-48C2-ACEA-E98CF16B9A8B}"/>
    <hyperlink ref="B1063" r:id="rId1884" display="https://www.google.com/url?q=https://szkopul.edu.pl/problemset/problem/TJVrS_hRC8W5Q6ZBW6mETAIm/site/&amp;sa=D&amp;ust=1605639816525000&amp;usg=AFQjCNGVFfasOJ4PmrthZxEEwXCcGjWTTQ" xr:uid="{4E6718CF-6F07-42DC-B9A0-00269271B157}"/>
    <hyperlink ref="F1063" r:id="rId1885" display="https://www.google.com/url?q=https://github.com/mostafa-saad/MyCompetitiveProgramming/blob/master/Olympiad/POI/official/find_editorial_sols_guidelines.txt&amp;sa=D&amp;ust=1605639816526000&amp;usg=AFQjCNGgROSSh6DOIu8v78NsCz-w-7Ir3g" xr:uid="{55884AB6-13D4-4F14-9F5E-5E33EA4CA10D}"/>
    <hyperlink ref="B1064" r:id="rId1886" display="https://www.google.com/url?q=https://oj.uz/problem/view/COCI17_poklon7&amp;sa=D&amp;ust=1605639816526000&amp;usg=AFQjCNGCMaVaZvYPjRIQ0mv4oYieMiQLTA" xr:uid="{CC480F5C-6F32-447D-A02F-63D8CB64A5EE}"/>
    <hyperlink ref="F1064" r:id="rId1887" display="https://www.google.com/url?q=https://github.com/mostafa-saad/MyCompetitiveProgramming/blob/master/Olympiad/COCI/official/2017/contest7_solutions&amp;sa=D&amp;ust=1605639816526000&amp;usg=AFQjCNGf-dXEmGSMyGZCaTRtBm1vR4isTA" xr:uid="{6282C393-A6A5-4725-B19A-B75B7121D2A6}"/>
    <hyperlink ref="B1065" r:id="rId1888" display="https://www.google.com/url?q=https://contest.yandex.ru/ioi/contest/570/problems/C/&amp;sa=D&amp;ust=1605639816526000&amp;usg=AFQjCNFkmsjzDbtRWUvj05HQ4HTDqxfzJw" xr:uid="{127385F2-4646-4E46-8A0E-E2491FD208AB}"/>
    <hyperlink ref="F1065" r:id="rId1889" display="https://www.google.com/url?q=https://github.com/mostafa-saad/MyCompetitiveProgramming/blob/master/Olympiad/IOI/IOI-10-quality.txt&amp;sa=D&amp;ust=1605639816527000&amp;usg=AFQjCNHZGDx19uY4Mh4R0_Kd99vN-1PkFg" xr:uid="{4E600594-CA3C-48CB-BFAD-406F70CE808F}"/>
    <hyperlink ref="B1066" r:id="rId1890" display="https://www.google.com/url?q=https://oj.uz/problem/view/BOI15_net&amp;sa=D&amp;ust=1605639816527000&amp;usg=AFQjCNEAsNGBksHSNfocw0tQQjXrEiv9qA" xr:uid="{000154D0-1A13-402D-87BD-4F8783536A21}"/>
    <hyperlink ref="F1066" r:id="rId1891" display="https://www.google.com/url?q=https://github.com/mostafa-saad/MyCompetitiveProgramming/blob/master/Olympiad/Baltic/Baltic-15-net.txt&amp;sa=D&amp;ust=1605639816527000&amp;usg=AFQjCNFMiKDwNn1IZJai2eOEUUeRNROI1g" xr:uid="{D92087F1-B917-4521-8E9F-C1C95B21B8D0}"/>
    <hyperlink ref="B1067" r:id="rId1892" display="https://www.google.com/url?q=https://oj.uz/problem/view/IOI13_cave&amp;sa=D&amp;ust=1605639816528000&amp;usg=AFQjCNH6QmsYr0MRRlHycjknWf1qYfIPdw" xr:uid="{A5805284-DDF7-43C4-AF7A-ECB765D14B07}"/>
    <hyperlink ref="F1067" r:id="rId1893" display="https://www.google.com/url?q=https://github.com/mostafa-saad/MyCompetitiveProgramming/blob/master/Olympiad/IOI/IOI-13-cave.txt&amp;sa=D&amp;ust=1605639816528000&amp;usg=AFQjCNGUYW26DEtOXBN-k__VFAoTitOLxQ" xr:uid="{BC56FFC9-DF05-4A37-87F0-67AD75F489B0}"/>
    <hyperlink ref="B1068" r:id="rId1894" display="https://www.google.com/url?q=https://szkopul.edu.pl/problemset/problem/70gcrAV-ccXlJa6gMBpOqV1u/site/&amp;sa=D&amp;ust=1605639816528000&amp;usg=AFQjCNHCEBA4rvp8jb0omn6wj43Hywx1Yg" xr:uid="{71800002-0811-4214-93E9-069B5229AD96}"/>
    <hyperlink ref="F1068" r:id="rId1895" display="https://www.google.com/url?q=https://github.com/mostafa-saad/MyCompetitiveProgramming/blob/master/Olympiad/POI/POI-12-WarehouseStore.txt&amp;sa=D&amp;ust=1605639816528000&amp;usg=AFQjCNG1kckBiqXmvFBYkrwj5bHwg-eq2w" xr:uid="{88DC3A36-46B9-4A00-96C7-901BC7A910DD}"/>
    <hyperlink ref="B1069" r:id="rId1896" display="https://www.google.com/url?q=http://usaco.org/index.php?page%3Dviewproblem2%26cpid%3D100&amp;sa=D&amp;ust=1605639816529000&amp;usg=AFQjCNFxJo7N5oaMyf9qqpFqAbVTwHNZ1g" xr:uid="{66555B99-156A-4231-A791-02A061D81B4B}"/>
    <hyperlink ref="B1070" r:id="rId1897" display="https://www.google.com/url?q=https://dmoj.ca/problem/coci13c1p2&amp;sa=D&amp;ust=1605639816529000&amp;usg=AFQjCNHuq_2iMhnNKGar8yIMHO3DHgffgw" xr:uid="{C7FA0C25-F848-4F96-82F2-EF72ED0477CC}"/>
    <hyperlink ref="F1070" r:id="rId1898" display="https://www.google.com/url?q=https://github.com/mostafa-saad/MyCompetitiveProgramming/blob/master/Olympiad/COCI/official/2014/contest1_solutions&amp;sa=D&amp;ust=1605639816529000&amp;usg=AFQjCNETcEByBRbeznYRjGWB9rnq58ZpzA" xr:uid="{B9AC437E-9A6F-4C38-9444-DF3480022023}"/>
    <hyperlink ref="B1071" r:id="rId1899" display="https://www.google.com/url?q=https://cses.fi/191/list/&amp;sa=D&amp;ust=1605639816529000&amp;usg=AFQjCNHzdfGUv_jKG4gjD1fIXXvJylpvjg" xr:uid="{1A8BA479-0074-4DA8-A8EA-D628689A8B8A}"/>
    <hyperlink ref="F1071" r:id="rId1900" display="https://www.google.com/url?q=https://github.com/mostafa-saad/MyCompetitiveProgramming/blob/master/Olympiad/CEOI/CEOI-05-keys.txt&amp;sa=D&amp;ust=1605639816530000&amp;usg=AFQjCNE6LAbGIVdPjgPXkHZtQyKF59cGCQ" xr:uid="{D423E936-3DB3-4FD9-A940-C0AEFF776C82}"/>
    <hyperlink ref="B1072" r:id="rId1901" display="https://www.google.com/url?q=https://www.infoarena.ro/problema/bitcost&amp;sa=D&amp;ust=1605639816530000&amp;usg=AFQjCNFaCTFnH1OE1lpa1Ju8Mr0v9DUt5A" xr:uid="{0786AA71-1097-4ABC-B407-3A8E673D18B2}"/>
    <hyperlink ref="F1072" r:id="rId1902" display="https://www.google.com/url?q=https://github.com/stefdasca/CompetitiveProgramming/blob/master/Infoarena/bitcost.cpp&amp;sa=D&amp;ust=1605639816530000&amp;usg=AFQjCNFmFtnEGRYg509ki0_5JB23e7wQfA" xr:uid="{C9DAE89E-20E1-438B-A315-54E65734A958}"/>
    <hyperlink ref="B1073" r:id="rId1903" display="https://www.google.com/url?q=https://oj.uz/problem/view/COCI15_topovi&amp;sa=D&amp;ust=1605639816530000&amp;usg=AFQjCNELPI0N5qMdkWk8opJs1qu_PCmqRg" xr:uid="{7478F630-C914-4D5A-8F12-9A8DB314FAD0}"/>
    <hyperlink ref="F1073" r:id="rId1904" display="https://www.google.com/url?q=https://github.com/mostafa-saad/MyCompetitiveProgramming/blob/master/Olympiad/COCI/COCI-15-topovi.txt&amp;sa=D&amp;ust=1605639816530000&amp;usg=AFQjCNEXwTdXBZWAipoDRRz8sYw-YWKqOQ" xr:uid="{B8C567FC-A1AD-4E1B-9E4C-1FBD22D7D3AC}"/>
    <hyperlink ref="B1074" r:id="rId1905" display="https://www.google.com/url?q=https://boi18-day1-open.kattis.com/problems&amp;sa=D&amp;ust=1605639816531000&amp;usg=AFQjCNH9h7G3wnhy9322Y_d_90kEWFgGyg" xr:uid="{A56FBBE8-A54D-4AB3-A200-CD5E51F05B86}"/>
    <hyperlink ref="F1074" r:id="rId1906" display="https://www.google.com/url?q=https://github.com/mostafa-saad/MyCompetitiveProgramming/blob/master/Olympiad/Baltic/Baltic-18-MartianDNA.txt&amp;sa=D&amp;ust=1605639816531000&amp;usg=AFQjCNGINPlyB7qKpsXenKIyu5nRJ2RH3w" xr:uid="{C316322D-CEF6-4B7E-9CCA-40A8410C95D8}"/>
    <hyperlink ref="B1075" r:id="rId1907" display="https://www.google.com/url?q=https://csacademy.com/contest/ejoi-2017-day-2/task/game/&amp;sa=D&amp;ust=1605639816532000&amp;usg=AFQjCNHhdBlNZ6Qf0FQIURzsX0q9fGi05A" xr:uid="{C18293FD-6BE0-4020-8E99-310D50229944}"/>
    <hyperlink ref="F1075" r:id="rId1908" display="https://www.google.com/url?q=https://github.com/Rockbet/Problems/blob/master/EJOI/2017/Day%25202/Game.cpp&amp;sa=D&amp;ust=1605639816532000&amp;usg=AFQjCNGXDG0-EAW7boT7EG6p_dNkywCbAA" xr:uid="{C236E72B-2207-47B3-83AA-FAE1E8FB7318}"/>
    <hyperlink ref="B1076" r:id="rId1909" display="https://www.google.com/url?q=https://cses.fi/106/list/&amp;sa=D&amp;ust=1605639816533000&amp;usg=AFQjCNGfbWcO2HbI7YQLJ4FlA7a-zSbRtw" xr:uid="{067A7C1B-0F1C-4961-B899-BD665F4C0368}"/>
    <hyperlink ref="F1076" r:id="rId1910" display="https://www.google.com/url?q=https://github.com/mostafa-saad/MyCompetitiveProgramming/blob/master/Olympiad/Baltic/Baltic-10-Bins.txt&amp;sa=D&amp;ust=1605639816533000&amp;usg=AFQjCNFu2QmIpe62kE3jstzuoXG4KWaBEw" xr:uid="{AEBB4512-C213-4A23-BCF2-C1221F60D11D}"/>
    <hyperlink ref="B1077" r:id="rId1911" display="https://www.google.com/url?q=https://oj.uz/problem/view/JOI17_foehn_phenomena&amp;sa=D&amp;ust=1605639816533000&amp;usg=AFQjCNGz2jhj6uJy9x2qJ0AxcHb1MxfRlA" xr:uid="{4D596306-E81D-4BE7-8676-A739F8AB2EBC}"/>
    <hyperlink ref="F1077" r:id="rId1912" display="https://www.google.com/url?q=https://github.com/nikolapesic2802/Programming-Practice/blob/master/Foehn%2520Phenomena/main.cpp&amp;sa=D&amp;ust=1605639816534000&amp;usg=AFQjCNEJwrZYSpsFTgqiQ2KmA1mNNsSH_w" xr:uid="{B7FF784F-1C05-4DB3-97C8-E8ACA2EDE2F7}"/>
    <hyperlink ref="B1078" r:id="rId1913" display="https://www.google.com/url?q=https://cses.fi/231/task/C&amp;sa=D&amp;ust=1605639816534000&amp;usg=AFQjCNG3hkAE76KmnfxONIqNvZJi_5A6JA" xr:uid="{3E5B9E41-7A60-4E6E-B22D-37F8B755F1DD}"/>
    <hyperlink ref="B1079" r:id="rId1914" display="https://www.google.com/url?q=https://cses.fi/105/list/&amp;sa=D&amp;ust=1605639816534000&amp;usg=AFQjCNFtlFCYZzk-T6wwrM_b2YUM31e57A" xr:uid="{0273B5C3-E478-4514-B489-374944F45C87}"/>
    <hyperlink ref="F1079" r:id="rId1915" display="https://www.google.com/url?q=https://github.com/mostafa-saad/MyCompetitiveProgramming/blob/master/Olympiad/Baltic/Baltic-10-PCB.txt&amp;sa=D&amp;ust=1605639816534000&amp;usg=AFQjCNEb-S2KOz7CMPxRMo2lL_kzJ80qHw" xr:uid="{32177494-DEE6-4E8D-B521-B321711C1524}"/>
    <hyperlink ref="B1080" r:id="rId1916" display="https://www.google.com/url?q=https://dunjudge.me/analysis/problems/1417/&amp;sa=D&amp;ust=1605639816535000&amp;usg=AFQjCNEc0ev-y8FKZ29DTr7UKWsjx3BMNw" xr:uid="{B9E3035B-F764-425F-B2B2-78D458E341EB}"/>
    <hyperlink ref="F1080" r:id="rId1917" display="https://www.google.com/url?q=https://github.com/mostafa-saad/MyCompetitiveProgramming/blob/master/Olympiad/COCI/official/2014/contest5_solutions&amp;sa=D&amp;ust=1605639816535000&amp;usg=AFQjCNF3XvFFxX-jlgC-wRCmnnBzY5pj2w" xr:uid="{9388C284-F714-475E-9CF5-B6D581DB20EC}"/>
    <hyperlink ref="B1081" r:id="rId1918" display="https://www.google.com/url?q=https://dmoj.ca/problem/coci14c4p5&amp;sa=D&amp;ust=1605639816535000&amp;usg=AFQjCNFSW2DS3KedOjD8uMAc1z1ounErVQ" xr:uid="{4E4F6DF2-5B27-4F4F-88E4-2C56DBC6CDA3}"/>
    <hyperlink ref="F1081" r:id="rId1919" display="https://www.google.com/url?q=https://github.com/mostafa-saad/MyCompetitiveProgramming/blob/master/Olympiad/COCI/COCI-14-Sabor.txt&amp;sa=D&amp;ust=1605639816535000&amp;usg=AFQjCNGhx9m0O8sETMBye2kUkx21rNTT7w" xr:uid="{4D5735E2-E02B-4E9D-8589-C01C9301894A}"/>
    <hyperlink ref="B1082" r:id="rId1920" display="https://www.google.com/url?q=https://dmoj.ca/problem/cco08p5&amp;sa=D&amp;ust=1605639816536000&amp;usg=AFQjCNF1u9tSndkd5V4uo4Gjv_k801pMDw" xr:uid="{F84239FA-944B-44CA-B46B-6672EF8B02F7}"/>
    <hyperlink ref="B1083" r:id="rId1921" display="https://www.google.com/url?q=https://dmoj.ca/problem/dmopc17c5p4&amp;sa=D&amp;ust=1605639816536000&amp;usg=AFQjCNFhXAk7FXjJDlYa_R2P_S1z07pNaQ" xr:uid="{9A250D5C-093E-4935-ABEF-2D60A4BBC495}"/>
    <hyperlink ref="B1084" r:id="rId1922" display="https://www.google.com/url?q=https://dmoj.ca/problem/dmopc17c1p5&amp;sa=D&amp;ust=1605639816536000&amp;usg=AFQjCNG7W75cBI_bqOTaWFuqBZN9IAKAyA" xr:uid="{045E9F2E-5115-42EF-AF83-0EEF9A381F1C}"/>
    <hyperlink ref="B1085" r:id="rId1923" display="https://www.google.com/url?q=https://oj.uz/problem/view/IZhO12_beauty&amp;sa=D&amp;ust=1605639816537000&amp;usg=AFQjCNFQo5jdkUZ5P1woIdTx1hRDnUroDQ" xr:uid="{08C2735D-60A1-4CA3-8987-818EAFDB63C7}"/>
    <hyperlink ref="F1085" r:id="rId1924" display="https://www.google.com/url?q=https://github.com/ShabdanBatyrkulov/codee/blob/master/IZhO%252012-beauty.cpp&amp;sa=D&amp;ust=1605639816537000&amp;usg=AFQjCNFaSc7IyhPhgnWJuWwkwQ2T1eW80w" xr:uid="{DFE0ED43-C4ED-4599-9AEE-500B1558A6C4}"/>
    <hyperlink ref="B1086" r:id="rId1925" display="https://www.google.com/url?q=https://oj.uz/problem/view/COCI18_maja&amp;sa=D&amp;ust=1605639816537000&amp;usg=AFQjCNHJQfKPOILJu0_0DskIdQk6bcenCA" xr:uid="{5D1DDE30-8B0A-46D4-B808-D3F3F31789B8}"/>
    <hyperlink ref="F1086" r:id="rId1926" display="https://www.google.com/url?q=https://github.com/sofhiasouza/CompetitiveProgramming/blob/master/COCI/2018-2019/Contest%2520%25232/maja.cpp&amp;sa=D&amp;ust=1605639816537000&amp;usg=AFQjCNFYtOnS7HGqn77PvUc9yYf1jm0GEQ" xr:uid="{CD387DD2-AA48-490C-B874-D20EF523258D}"/>
    <hyperlink ref="B1087" r:id="rId1927" display="https://www.google.com/url?q=https://szkopul.edu.pl/problemset/problem/XZhW8DteK37aYwrB_JoHxd2E/site/&amp;sa=D&amp;ust=1605639816538000&amp;usg=AFQjCNGabDiIrkze0k0cDl-CzcUWx9-4qw" xr:uid="{4546548D-203A-44A8-914E-D9295F833CDA}"/>
    <hyperlink ref="F1087" r:id="rId1928" display="https://www.google.com/url?q=https://github.com/mostafa-saad/MyCompetitiveProgramming/blob/master/Olympiad/CEOI/CEOI-11-Similarity.txt&amp;sa=D&amp;ust=1605639816538000&amp;usg=AFQjCNF2mYtniK1sX-nxkBUxeHrlno8pBA" xr:uid="{509942A9-4994-4EDF-851A-AC23EED03F2E}"/>
    <hyperlink ref="B1088" r:id="rId1929" display="https://www.google.com/url?q=https://oj.uz/problem/view/COCI18_cover&amp;sa=D&amp;ust=1605639816538000&amp;usg=AFQjCNFUIcZ8sOUOmGQLDQV4qhluHaRWRA" xr:uid="{362DAC8B-036B-4089-9C1E-263C226C9657}"/>
    <hyperlink ref="F1088" r:id="rId1930" display="https://www.google.com/url?q=https://github.com/luciocf/OI-Problems/blob/master/COCI/COCI%25202017-2018/cover.cpp&amp;sa=D&amp;ust=1605639816538000&amp;usg=AFQjCNFPtuylWs9oUixCjv0vR7TqzUHjug" xr:uid="{F21874D7-7205-45FB-9B04-18596AE459B7}"/>
    <hyperlink ref="B1089" r:id="rId1931" display="https://www.google.com/url?q=https://tioj.ck.tp.edu.tw/problems/1740&amp;sa=D&amp;ust=1605639816539000&amp;usg=AFQjCNEAZ0CuiEq7cNxFmsYRT_LiM4UNHA" xr:uid="{B552B0F8-2C3D-4F6E-8C1A-F1AFD77874CC}"/>
    <hyperlink ref="F1089" r:id="rId1932" display="https://www.google.com/url?q=https://github.com/mostafa-saad/MyCompetitiveProgramming/blob/master/Olympiad/APIO/APIO-08-Roads.txt&amp;sa=D&amp;ust=1605639816539000&amp;usg=AFQjCNEOHbUXuhbc2qsNY09oc4SFfeexXA" xr:uid="{5347A8C4-E62B-4F7E-81B2-86FC057D77D0}"/>
    <hyperlink ref="B1090" r:id="rId1933" display="https://www.google.com/url?q=https://www.infoarena.ro/problema/borcane&amp;sa=D&amp;ust=1605639816539000&amp;usg=AFQjCNHUae91bAusL5Yo5xwgCLlShGEklA" xr:uid="{B25F68EE-6EDC-4024-BCF6-9BDC601121F8}"/>
    <hyperlink ref="F1090" r:id="rId1934" display="https://www.google.com/url?q=https://github.com/stefdasca/CompetitiveProgramming/blob/master/Infoarena/borcane.cpp&amp;sa=D&amp;ust=1605639816539000&amp;usg=AFQjCNGHCYiXgSdRZDusCBE_TiKTiA06tg" xr:uid="{FC22BE9E-75ED-4B1C-9255-E7AC56DC8AE0}"/>
    <hyperlink ref="B1091" r:id="rId1935" display="https://www.google.com/url?q=https://dmoj.ca/problem/coci07c5p4&amp;sa=D&amp;ust=1605639816540000&amp;usg=AFQjCNHhycf9_aR66sKRK32NOaRQb1R2iA" xr:uid="{1186DF63-CEA0-4A76-B438-9ED3BB52BABF}"/>
    <hyperlink ref="F1091" r:id="rId1936" display="https://www.google.com/url?q=https://github.com/mostafa-saad/MyCompetitiveProgramming/tree/master/Olympiad/COCI/official/2008/contest5_solutions&amp;sa=D&amp;ust=1605639816540000&amp;usg=AFQjCNEbtwW6yVnv5Td0jB3yfCMUhO68pg" xr:uid="{37E58A52-3F7B-44CA-B157-0C0823F30409}"/>
    <hyperlink ref="B1092" r:id="rId1937" display="https://www.google.com/url?q=https://infoarena.ro/problema/metrouri&amp;sa=D&amp;ust=1605639816540000&amp;usg=AFQjCNEbBvmvbj8AcKIiVGqBDE27HpbTvA" xr:uid="{34237F4E-C158-4392-BA29-428DBA418A06}"/>
    <hyperlink ref="F1092" r:id="rId1938" display="https://www.google.com/url?q=https://github.com/stefdasca/CompetitiveProgramming/blob/master/Infoarena/metrouri.cpp&amp;sa=D&amp;ust=1605639816540000&amp;usg=AFQjCNG4ubIglYL-TKx6VaiaT2d8Oph2Cw" xr:uid="{89E49BED-40B6-4422-B843-885E6585365A}"/>
    <hyperlink ref="B1093" r:id="rId1939" display="https://www.google.com/url?q=https://oj.uz/problem/view/COCI17_doktor&amp;sa=D&amp;ust=1605639816542000&amp;usg=AFQjCNFgetqjduFCzZVYjdlfo45xAYtqxQ" xr:uid="{0D75B987-EFAF-455A-B988-FE1E65E0087F}"/>
    <hyperlink ref="F1093" r:id="rId1940" display="https://www.google.com/url?q=https://github.com/mostafa-saad/MyCompetitiveProgramming/blob/master/Olympiad/COCI/official/2018/contest2_solutions&amp;sa=D&amp;ust=1605639816542000&amp;usg=AFQjCNEWy0_UnyQal2-paHegPd_3dI3Qwg" xr:uid="{5CBD2AD8-3624-477E-BDF1-ADB99190215B}"/>
    <hyperlink ref="B1094" r:id="rId1941" display="https://www.google.com/url?q=https://szkopul.edu.pl/problemset/problem/big2NUEzhdCqgGj0wGBjbw14/site/&amp;sa=D&amp;ust=1605639816542000&amp;usg=AFQjCNELjeRFlTQ_Oz7e20JhgHcmTJoWsA" xr:uid="{02EB9FEC-C56F-4131-A415-B3082B45AF4F}"/>
    <hyperlink ref="F1094" r:id="rId1942" display="https://www.google.com/url?q=https://github.com/mostafa-saad/MyCompetitiveProgramming/blob/master/Olympiad/POI/POI-07-Megalopolis.txt&amp;sa=D&amp;ust=1605639816542000&amp;usg=AFQjCNFD5oLOcW5Ei6qBT8AgK8fnlMUqGg" xr:uid="{77443B4B-240F-4452-871A-759B666E3488}"/>
    <hyperlink ref="B1095" r:id="rId1943" display="https://www.google.com/url?q=https://oj.uz/problem/view/COCI17_ronald&amp;sa=D&amp;ust=1605639816543000&amp;usg=AFQjCNFhajl9y-OZ2S7y6cIO1wVoosnIeQ" xr:uid="{2AE0EDA2-E4B8-4A93-A27D-E832EFE1AAE0}"/>
    <hyperlink ref="F1095" r:id="rId1944" display="https://www.google.com/url?q=https://github.com/mostafa-saad/MyCompetitiveProgramming/blob/master/Olympiad/COCI/official/2017/contest5_solutions&amp;sa=D&amp;ust=1605639816543000&amp;usg=AFQjCNGH6jdfiThxSs6w4rADtc_yItfn8Q" xr:uid="{F89ADA19-59A8-4298-B036-A5F51572FCC6}"/>
    <hyperlink ref="B1096" r:id="rId1945" display="https://www.google.com/url?q=https://wcipeg.com/problem/coci092p4&amp;sa=D&amp;ust=1605639816543000&amp;usg=AFQjCNHCnjT22zKCcwtY3q5BMtT0toWeYg" xr:uid="{164F7DEC-3308-4C6A-B2B8-4778420F0989}"/>
    <hyperlink ref="F1096" r:id="rId1946" display="https://www.google.com/url?q=https://github.com/mostafa-saad/MyCompetitiveProgramming/blob/master/Olympiad/COCI/official/2010/contest2_solutions&amp;sa=D&amp;ust=1605639816543000&amp;usg=AFQjCNFms9HuIL-JbVaDWAzgszz_eHUnOw" xr:uid="{5F2BAA73-E58F-447F-ABEE-9E7C9BC34B48}"/>
    <hyperlink ref="B1097" r:id="rId1947" display="https://www.google.com/url?q=https://www.hackerrank.com/contests/ioi-2014-practice-contest-2/challenges/world-peace-ioi14&amp;sa=D&amp;ust=1605639816544000&amp;usg=AFQjCNFUnwgG6FZHspb3By4TTlVoWMnEJQ" xr:uid="{86E7C507-5EEA-49D3-B4BF-6AA10984F5BE}"/>
    <hyperlink ref="F1097" r:id="rId1948" display="https://www.google.com/url?q=https://github.com/updown2/OI-Practice/blob/master/IOI/IOI%25202014/World%2520Peace%2520%255BPractice%255D.cpp&amp;sa=D&amp;ust=1605639816544000&amp;usg=AFQjCNEiqScjurmDMvIHfZmE7NKt72b38w" xr:uid="{9EA390CF-1894-472E-BFCC-B41D60EFF396}"/>
    <hyperlink ref="B1098" r:id="rId1949" display="https://www.google.com/url?q=https://dmoj.ca/problem/cco07p6&amp;sa=D&amp;ust=1605639816544000&amp;usg=AFQjCNEKlCplYUvLcRnFqpOnXdkVZ6CRZw" xr:uid="{048FD35E-5A29-4EAE-9A74-B54ABFB39A83}"/>
    <hyperlink ref="F1098" r:id="rId1950" display="https://www.google.com/url?q=https://github.com/win11905/submission/blob/61c76f8b073e5e5446e7688626c487a4dcbfcd9e/CCO/14/RoadConstruction.cpp&amp;sa=D&amp;ust=1605639816544000&amp;usg=AFQjCNFPSSZ_ON5z3mzMppw8vIuBBjNyIw" xr:uid="{3193425A-F951-4321-8992-69DD51EAA7CD}"/>
    <hyperlink ref="B1099" r:id="rId1951" display="https://www.google.com/url?q=https://dmoj.ca/problem/mmcc15p1&amp;sa=D&amp;ust=1605639816545000&amp;usg=AFQjCNF29Z6ABhO51PKvAVIuGP4cTFwhhw" xr:uid="{CC611566-2E9A-45CF-9768-2D65F057059C}"/>
    <hyperlink ref="B1100" r:id="rId1952" display="https://www.google.com/url?q=https://training.ia-toki.org/problemsets/113/problems/632/&amp;sa=D&amp;ust=1605639816545000&amp;usg=AFQjCNGPXLCVPwfoC8_mFTcGiiIf_nWPbQ" xr:uid="{BAF0AC40-175D-4771-B55E-A56DC4B04055}"/>
    <hyperlink ref="F1100" r:id="rId1953" display="https://www.google.com/url?q=https://github.com/timpostuvan/CompetitiveProgramming/blob/master/Olympiad/TOKI/CellsTour2018.cpp&amp;sa=D&amp;ust=1605639816545000&amp;usg=AFQjCNF9rD6DdZqnQx6neKzyUv5EGZHhjQ" xr:uid="{E5C04806-04BF-4CAB-8C76-E73F7251462E}"/>
    <hyperlink ref="B1101" r:id="rId1954" display="https://www.google.com/url?q=https://szkopul.edu.pl/problemset/problem/dABzva_j1-BvzKMsyxkuRoue/site/&amp;sa=D&amp;ust=1605639816546000&amp;usg=AFQjCNHMJ7J5r2dyZNlQGxEQvl7Z19hpPw" xr:uid="{F272EF6F-B261-4463-83EE-5543F043A686}"/>
    <hyperlink ref="F1101" r:id="rId1955" display="https://www.google.com/url?q=https://github.com/mostafa-saad/MyCompetitiveProgramming/blob/master/Olympiad/POI/POI-16-Hedge.txt&amp;sa=D&amp;ust=1605639816546000&amp;usg=AFQjCNEEDyps-_emd6afXAILFrY72XfE0A" xr:uid="{AB530205-0871-4708-B447-CBDD5199F768}"/>
    <hyperlink ref="B1102" r:id="rId1956" display="https://www.google.com/url?q=https://dmoj.ca/problem/coci14c3p5&amp;sa=D&amp;ust=1605639816546000&amp;usg=AFQjCNHfTmGcwYqloM7n6TnWT5rtD3-rgQ" xr:uid="{3455C5C3-7D76-4DB1-A59E-8689D6CF4FF1}"/>
    <hyperlink ref="F1102" r:id="rId1957" display="https://www.google.com/url?q=https://github.com/mostafa-saad/MyCompetitiveProgramming/blob/master/Olympiad/COCI/COCI-14-Stogovi.txt&amp;sa=D&amp;ust=1605639816546000&amp;usg=AFQjCNGTWwaeq4Liq-YTS1chFwt5agPWlg" xr:uid="{CA63360B-E57E-4BFC-B355-4A432C2CDEE8}"/>
    <hyperlink ref="B1103" r:id="rId1958" display="https://www.google.com/url?q=https://dmoj.ca/problem/utso15p5&amp;sa=D&amp;ust=1605639816547000&amp;usg=AFQjCNG4SpJvsGUDSznLPlOP7p4kzMZYSQ" xr:uid="{4C963535-A2B6-47A3-B7E6-5015E998C0DB}"/>
    <hyperlink ref="F1103" r:id="rId1959" display="https://www.google.com/url?q=https://github.com/win11905/submission/blob/61c76f8b073e5e5446e7688626c487a4dcbfcd9e/Dmoj/utso15p5.cpp&amp;sa=D&amp;ust=1605639816547000&amp;usg=AFQjCNEwCsLgMGxk7YuDgTsXPIdv2_Nd4A" xr:uid="{DCFEC6FB-A780-4B1E-8A04-BF56D8D1DB07}"/>
    <hyperlink ref="B1104" r:id="rId1960" display="https://www.google.com/url?q=https://dunjudge.me/analysis/problems/1413/&amp;sa=D&amp;ust=1605639816548000&amp;usg=AFQjCNHc4EFwGLfzQSD8wkPSgzwJepOYeA" xr:uid="{1B3DFF21-60A2-40A7-ABDF-F3E7446D77F7}"/>
    <hyperlink ref="F1104" r:id="rId1961" display="https://www.google.com/url?q=https://github.com/mostafa-saad/MyCompetitiveProgramming/blob/master/Olympiad/COCI/COCI-13-cokolade.txt&amp;sa=D&amp;ust=1605639816548000&amp;usg=AFQjCNFMyYQ_kt7kSva95vXyxW5XN5OfUQ" xr:uid="{84C95614-F539-4D88-AEEA-A0DC66A08CEB}"/>
    <hyperlink ref="B1105" r:id="rId1962" display="https://www.google.com/url?q=https://oj.uz/problems/source/120&amp;sa=D&amp;ust=1605639816548000&amp;usg=AFQjCNFRvnyzAerVqca8h9tac7W8ggt3fg" xr:uid="{0AEF1AD4-FBDB-48AA-B120-2A73043E15FA}"/>
    <hyperlink ref="F1105" r:id="rId1963" display="https://www.google.com/url?q=https://github.com/mostafa-saad/MyCompetitiveProgramming/blob/master/Olympiad/CEOI/CEOI-14-carnival.txt&amp;sa=D&amp;ust=1605639816549000&amp;usg=AFQjCNE_13D_7EiXIet4fHdALULF7NitVg" xr:uid="{42CB0252-F926-4F9E-9C5B-A6F4FD5EA985}"/>
    <hyperlink ref="B1106" r:id="rId1964" display="https://www.google.com/url?q=https://wcipeg.com/problem/coi07p1&amp;sa=D&amp;ust=1605639816549000&amp;usg=AFQjCNG22OuwuiURsw9fADOs7RLd5--nPA" xr:uid="{4F2C1EA0-35A9-40DE-9CE1-A4BB6A76A72A}"/>
    <hyperlink ref="F1106" r:id="rId1965" display="https://www.google.com/url?q=https://github.com/mostafa-saad/MyCompetitiveProgramming/tree/master/Olympiad/COCI/official/2008/olympiad_solutions&amp;sa=D&amp;ust=1605639816549000&amp;usg=AFQjCNH_4KgYN3ccEUlv6ZlDr3UodgHAKQ" xr:uid="{19CD58E7-9BD0-4AB6-A0FA-3232A8244649}"/>
    <hyperlink ref="B1107" r:id="rId1966" display="https://www.google.com/url?q=https://oj.uz/problem/view/IOI07_aliens&amp;sa=D&amp;ust=1605639816549000&amp;usg=AFQjCNEI-tf9eXiNR4-Vus5VM_967KNOKg" xr:uid="{A36F728D-A25F-479C-ABD7-B4CD0DEBCE90}"/>
    <hyperlink ref="F1107" r:id="rId1967" display="https://www.google.com/url?q=https://github.com/mostafa-saad/MyCompetitiveProgramming/blob/master/Olympiad/IOI/official/2007&amp;sa=D&amp;ust=1605639816549000&amp;usg=AFQjCNFkL-hg4q04yCqzCXCSzv67CiGxhQ" xr:uid="{D350E466-B8C9-4347-9917-18F51B98E957}"/>
    <hyperlink ref="B1108" r:id="rId1968" display="https://www.google.com/url?q=https://oj.uz/problem/view/NOI13_gw&amp;sa=D&amp;ust=1605639816550000&amp;usg=AFQjCNHtHdQ9bIf_PZf9eMy5PgofFTROig" xr:uid="{CFB4119E-A32E-4E33-B6A3-5CB277D505E1}"/>
    <hyperlink ref="F1108" r:id="rId1969" display="https://www.google.com/url?q=https://github.com/sjhuang26/competitive-programming/blob/master/noi/NOI%252013-gw.cpp&amp;sa=D&amp;ust=1605639816550000&amp;usg=AFQjCNEN6cADgA7tXnE2Gq1PRjK2yBCFIw" xr:uid="{F15E4839-3363-498D-930A-E04EFFA867B8}"/>
    <hyperlink ref="B1109" r:id="rId1970" display="https://www.google.com/url?q=https://dmoj.ca/problem/coci15c3p4&amp;sa=D&amp;ust=1605639816550000&amp;usg=AFQjCNFCwZDQoUrMg4KUnyZ6KtGSooq3qA" xr:uid="{8706A263-A881-4C22-8FDA-C5525A745142}"/>
    <hyperlink ref="F1109" r:id="rId1971" display="https://www.google.com/url?q=https://github.com/mostafa-saad/MyCompetitiveProgramming/blob/master/Olympiad/COCI/official/2016/contest3_solutions&amp;sa=D&amp;ust=1605639816551000&amp;usg=AFQjCNGbnxbZGdQf9GDNgcjcmOtye2-Sig" xr:uid="{C7C5C036-68B2-4E93-8228-08278EFFB603}"/>
    <hyperlink ref="B1110" r:id="rId1972" display="https://www.google.com/url?q=https://wcipeg.com/problem/coci091p4&amp;sa=D&amp;ust=1605639816552000&amp;usg=AFQjCNFq7l9vzYCY_FjUKyDpdIVBoJohcQ" xr:uid="{FFFB78B4-CC43-4FAF-9176-25BDFB82E421}"/>
    <hyperlink ref="F1110" r:id="rId1973" display="https://www.google.com/url?q=https://github.com/mostafa-saad/MyCompetitiveProgramming/blob/master/Olympiad/COCI/official/2010/contest1_solutions&amp;sa=D&amp;ust=1605639816552000&amp;usg=AFQjCNGIKOvjjbwJQTl2o6dVBZe6QM1wUA" xr:uid="{7F52E528-70E8-4A17-8E0D-6E6358726A93}"/>
    <hyperlink ref="B1111" r:id="rId1974" display="https://www.google.com/url?q=https://dmoj.ca/problem/coci14c5p5&amp;sa=D&amp;ust=1605639816552000&amp;usg=AFQjCNHWeQSeV6s28D9JsLT9QYKsFVYahw" xr:uid="{F0C2587D-EF5E-4ED7-95C5-D6207A1FCBD7}"/>
    <hyperlink ref="F1111" r:id="rId1975" display="https://www.google.com/url?q=https://github.com/mostafa-saad/MyCompetitiveProgramming/blob/master/Olympiad/COCI/official/2015/contest5_solutions&amp;sa=D&amp;ust=1605639816552000&amp;usg=AFQjCNEA7JfPW4JCNRbODVAbRW3upkMiQQ" xr:uid="{E183BDBD-90CD-4A13-9967-5B47D3649412}"/>
    <hyperlink ref="B1112" r:id="rId1976" display="https://www.google.com/url?q=http://usaco.org/index.php?page%3Dviewproblem2%26cpid%3D923&amp;sa=D&amp;ust=1605639816553000&amp;usg=AFQjCNEVvZuh7V3yb3dFyQx108NcihJNhQ" xr:uid="{95D7373A-ABAD-4596-BB7D-930C3205ECE2}"/>
    <hyperlink ref="B1113" r:id="rId1977" display="https://www.google.com/url?q=https://oj.uz/problem/view/NOI14_orchard&amp;sa=D&amp;ust=1605639816553000&amp;usg=AFQjCNHvQ3ujkXYlqnoy6g4qRXE9W1cVBQ" xr:uid="{AB222D66-7218-4824-806F-1B1ADA4D24C9}"/>
    <hyperlink ref="F1113" r:id="rId1978" display="https://www.google.com/url?q=https://github.com/mostafa-saad/MyCompetitiveProgramming/blob/master/Olympiad/NOI/official&amp;sa=D&amp;ust=1605639816553000&amp;usg=AFQjCNEK64cqj8nZy9u8hQEBB6Sx_YbF_A" xr:uid="{E3ADDFCC-DF76-41CA-A970-9D36226FC3FF}"/>
    <hyperlink ref="B1114" r:id="rId1979" display="https://www.google.com/url?q=http://usaco.org/index.php?page%3Dviewproblem2%26cpid%3D924&amp;sa=D&amp;ust=1605639816554000&amp;usg=AFQjCNEax04Q8RuGkmUBwQQCOp72qMFv5Q" xr:uid="{FE85E0DF-DAA2-420E-B321-7B7E018A702C}"/>
    <hyperlink ref="B1115" r:id="rId1980" display="https://www.google.com/url?q=https://www.infoarena.ro/problema/vmin&amp;sa=D&amp;ust=1605639816554000&amp;usg=AFQjCNGCyV6w1vTr-jySjonCSlH7ellkRA" xr:uid="{6D5C1ACD-C8BE-49B9-8CB8-E00D6BBAD6E6}"/>
    <hyperlink ref="F1115" r:id="rId1981" display="https://www.google.com/url?q=https://github.com/mostafa-saad/MyCompetitiveProgramming/blob/master/Olympiad/infoarena/Infoarena_vmin.txt&amp;sa=D&amp;ust=1605639816554000&amp;usg=AFQjCNG04hmod3OUtcgG9YXywEhWgBj4cw" xr:uid="{2C7FCA10-B6DB-4594-B4DE-3B73A0450AC0}"/>
    <hyperlink ref="B1116" r:id="rId1982" display="https://www.google.com/url?q=https://oj.uz/problem/view/POI11_rot&amp;sa=D&amp;ust=1605639816554000&amp;usg=AFQjCNGI5l6fYdnVHBdgrRXn23nsoLa2Iw" xr:uid="{92C9D58F-EE2E-479D-9138-0AED2E98C81D}"/>
    <hyperlink ref="F1116" r:id="rId1983" display="https://www.google.com/url?q=https://github.com/mostafa-saad/MyCompetitiveProgramming/blob/master/Olympiad/POI/official/find_editorial_sols_guidelines.txt&amp;sa=D&amp;ust=1605639816555000&amp;usg=AFQjCNFx8T_Q7Mq9E085_Nye1f2Uwg_D8A" xr:uid="{CBD9D2BE-8F79-4976-9F24-FB1ABC382658}"/>
    <hyperlink ref="B1117" r:id="rId1984" display="https://www.google.com/url?q=https://dmoj.ca/problem/ccoprep16c2q3&amp;sa=D&amp;ust=1605639816555000&amp;usg=AFQjCNFGC3HQnS3rRT_ckEttd-SWSwiI-w" xr:uid="{C17D5AC1-8ADF-44D4-A8B9-011A4E85F8F0}"/>
    <hyperlink ref="B1118" r:id="rId1985" display="https://www.google.com/url?q=https://oj.uz/problem/view/COCI17_deda&amp;sa=D&amp;ust=1605639816555000&amp;usg=AFQjCNEASufvnF5yyPiulHdx9hTbbbMcLg" xr:uid="{EC9C068D-FD91-443E-9934-E824747510E4}"/>
    <hyperlink ref="F1118" r:id="rId1986" display="https://www.google.com/url?q=https://github.com/mostafa-saad/MyCompetitiveProgramming/blob/master/Olympiad/COCI/COCI-17-deda.txt&amp;sa=D&amp;ust=1605639816555000&amp;usg=AFQjCNEUC9iX-E-A_kujQKgitQFtuhuc1w" xr:uid="{64EFDC32-374C-412D-BD4A-06287B0C8EF6}"/>
    <hyperlink ref="B1119" r:id="rId1987" display="https://www.google.com/url?q=https://oj.uz/problem/view/JOI15_sterilizing&amp;sa=D&amp;ust=1605639816556000&amp;usg=AFQjCNG1KlZBiFmCLL4yScXPRVkwxuO2KA" xr:uid="{80CAB0A2-2F9C-4574-9A2A-FF658402B379}"/>
    <hyperlink ref="F1119" r:id="rId1988" display="https://www.google.com/url?q=https://github.com/SpeedOfMagic/CompetitiveProgramming/blob/master/JOIOC/15-sterilizing.cpp&amp;sa=D&amp;ust=1605639816556000&amp;usg=AFQjCNFUTKiOdeKNUJCpLLmKolwi71IG4w" xr:uid="{8014FFD5-7EE7-4827-B2DA-A3D289335215}"/>
    <hyperlink ref="B1120" r:id="rId1989" display="https://www.google.com/url?q=https://szkopul.edu.pl/problemset/problem/lR_LabSUC2n7EMmDHpw-wk_b/site/&amp;sa=D&amp;ust=1605639816556000&amp;usg=AFQjCNG2GSsOmUAIVQM4aNT05dbpEEAY3g" xr:uid="{31D3971C-BA35-4E19-AAA9-30A658B9DDC8}"/>
    <hyperlink ref="F1120" r:id="rId1990" display="https://www.google.com/url?q=https://github.com/Shash-Wat/competitive-programming/blob/master/POI/poi_strike.cpp&amp;sa=D&amp;ust=1605639816556000&amp;usg=AFQjCNH-USPO9J-kIjQ7pqda23wucis2hw" xr:uid="{4E3FDE4D-0FB9-495B-964E-F41CDEEDCCA9}"/>
    <hyperlink ref="B1121" r:id="rId1991" display="https://www.google.com/url?q=https://oj.uz/problem/view/COCI17_krov&amp;sa=D&amp;ust=1605639816557000&amp;usg=AFQjCNGr8y4hUFu1BVAN9jsEhhR2p3ED1g" xr:uid="{A2EEF977-37D9-451D-9C00-2B507F8E5D1D}"/>
    <hyperlink ref="B1122" r:id="rId1992" display="https://www.google.com/url?q=https://wcipeg.com/problem/coci063p4&amp;sa=D&amp;ust=1605639816557000&amp;usg=AFQjCNEhLwK-DfSYoJ56shQ-g6x0gOpNPg" xr:uid="{76F84273-FFC0-4A7A-A90E-4F5EA422F62B}"/>
    <hyperlink ref="F1122" r:id="rId1993" display="https://www.google.com/url?q=https://github.com/mostafa-saad/MyCompetitiveProgramming/blob/master/Olympiad/CEOI/COCI-06-Tenkici&amp;sa=D&amp;ust=1605639816557000&amp;usg=AFQjCNHeO0AeqUAi0lW3Bm9VZxQdZR256w" xr:uid="{8B3F63E6-5376-41E5-BF68-38F5921A9C63}"/>
    <hyperlink ref="B1123" r:id="rId1994" display="https://www.google.com/url?q=https://wcipeg.com/problem/coci077p4&amp;sa=D&amp;ust=1605639816557000&amp;usg=AFQjCNGDPIexQjh6Kp1RrENcb4Cn5S75GQ" xr:uid="{168F404C-4B47-42B5-AD66-E2ED964575F6}"/>
    <hyperlink ref="F1123" r:id="rId1995" display="https://www.google.com/url?q=https://github.com/mostafa-saad/MyCompetitiveProgramming/blob/master/Olympiad/COCI/COCI-07-Jednakost.txt&amp;sa=D&amp;ust=1605639816558000&amp;usg=AFQjCNEAr2e5aD3LcYTrGyjtnFgPDDwN0A" xr:uid="{D8AA2359-9171-4F98-BDA3-943758876636}"/>
    <hyperlink ref="B1124" r:id="rId1996" display="https://www.google.com/url?q=https://dmoj.ca/problem/coci07c1p4&amp;sa=D&amp;ust=1605639816558000&amp;usg=AFQjCNEUoBqibRXDH_OOPJRg4w4FPXqkgg" xr:uid="{62966E05-9B1B-4377-B232-BDA7AC0847C2}"/>
    <hyperlink ref="F1124" r:id="rId1997" display="https://www.google.com/url?q=https://github.com/mostafa-saad/MyCompetitiveProgramming/tree/master/Olympiad/COCI/official/2008/contest1_solutions&amp;sa=D&amp;ust=1605639816558000&amp;usg=AFQjCNHdKedCQNMv5xby5NLW8-WacSFufQ" xr:uid="{3B0D1BF5-CD66-47EE-A5A3-3C486457D08D}"/>
    <hyperlink ref="B1125" r:id="rId1998" display="https://www.google.com/url?q=http://usaco.org/index.php?page%3Dviewproblem2%26cpid%3D673&amp;sa=D&amp;ust=1605639816558000&amp;usg=AFQjCNF9WNet4ALQub_yd0re9v9MW9W0lg" xr:uid="{1381A79B-17AF-4B29-8F94-552CD4C488FF}"/>
    <hyperlink ref="B1126" r:id="rId1999" display="https://www.google.com/url?q=https://oj.uz/problem/view/COCI18_go&amp;sa=D&amp;ust=1605639816559000&amp;usg=AFQjCNF8jvRobzfSCy0nQMyu2DVIKYjeXg" xr:uid="{957E751D-F520-4EAC-A70B-8D8347022D82}"/>
    <hyperlink ref="F1126" r:id="rId2000" display="https://www.google.com/url?q=https://ideone.com/xq3cEb&amp;sa=D&amp;ust=1605639816559000&amp;usg=AFQjCNFynzKMWE-3kvTaznelfq0zB3JBvw" xr:uid="{461C0418-BF3C-4F2A-BAF8-176E1866946D}"/>
    <hyperlink ref="B1127" r:id="rId2001" display="https://www.google.com/url?q=https://dmoj.ca/problem/ccc16s4&amp;sa=D&amp;ust=1605639816559000&amp;usg=AFQjCNFxRJS-PcPHl0ybsAvzCDWNoOGXhg" xr:uid="{0F06EA60-D4D1-4816-B3EC-0020BD4DD448}"/>
    <hyperlink ref="B1128" r:id="rId2002" display="https://www.google.com/url?q=https://dmoj.ca/problem/ccc18s4&amp;sa=D&amp;ust=1605639816560000&amp;usg=AFQjCNETFy8wPYtOiHI5DgSVbmY9MCgNoA" xr:uid="{3A354A08-928E-4685-AF3A-D9382CFF8179}"/>
    <hyperlink ref="B1129" r:id="rId2003" display="https://www.google.com/url?q=http://poj.org/problem?id%3D1160&amp;sa=D&amp;ust=1605639816561000&amp;usg=AFQjCNG0KCMYnJ2OTax_J8DzsGtUO3Iewg" xr:uid="{3FAB8285-BD56-426F-B03D-E9FAA2283B3D}"/>
    <hyperlink ref="F1129" r:id="rId2004" display="https://www.google.com/url?q=https://github.com/mostafa-saad/MyCompetitiveProgramming/blob/master/Olympiad/IOI/official/2000&amp;sa=D&amp;ust=1605639816561000&amp;usg=AFQjCNHtpMfEf3JufkqkF49hCfJUFqls8A" xr:uid="{3C4F416E-BB00-4C57-9C83-25CFFB464CDE}"/>
    <hyperlink ref="B1130" r:id="rId2005" display="https://www.google.com/url?q=http://usaco.org/index.php?page%3Dviewproblem2%26cpid%3D496&amp;sa=D&amp;ust=1605639816561000&amp;usg=AFQjCNHIG8uvYM9-Jo-Cwe1YolfSHyMBAQ" xr:uid="{0E39645E-28D9-4042-ACA0-0099001ECB2E}"/>
    <hyperlink ref="B1131" r:id="rId2006" display="https://www.google.com/url?q=https://www.infoarena.ro/problema/cuplaje&amp;sa=D&amp;ust=1605639816561000&amp;usg=AFQjCNEeLB5HaAVo_XjPPh7mY3utBpHBLg" xr:uid="{AC35B738-451F-4B42-A8F4-D2950E4A3D39}"/>
    <hyperlink ref="B1132" r:id="rId2007" display="https://www.google.com/url?q=https://www.hackerrank.com/contests/ioi-2014-practice-contest-1/challenges&amp;sa=D&amp;ust=1605639816562000&amp;usg=AFQjCNH4OnDRRUcBlNEY0fRWMA9AIl-N1g" xr:uid="{D501F9BE-F203-413B-9E4D-F9B4F8C9B2CF}"/>
    <hyperlink ref="F1132" r:id="rId2008" display="https://www.google.com/url?q=https://github.com/tmwilliamlin168/CompetitiveProgramming/blob/master/HackerRank/bounce-bounce-bounce-ioi14.cpp&amp;sa=D&amp;ust=1605639816562000&amp;usg=AFQjCNHHt_b9yOfsjSOooWoP1waY5-8xvg" xr:uid="{398C2D66-B4B1-47E0-B227-3DBBCB1AC73A}"/>
    <hyperlink ref="B1133" r:id="rId2009" display="https://www.google.com/url?q=https://wcipeg.com/problem/coci067p4&amp;sa=D&amp;ust=1605639816562000&amp;usg=AFQjCNFljQ4ZZl91eCUvGAqzRHMWQ9GQ7Q" xr:uid="{17B26E65-587C-4F68-B700-46D0935272AE}"/>
    <hyperlink ref="F1133" r:id="rId2010" display="https://www.google.com/url?q=https://github.com/mostafa-saad/MyCompetitiveProgramming/blob/master/Olympiad/COCI/COCI-06-Circle.txt&amp;sa=D&amp;ust=1605639816562000&amp;usg=AFQjCNHvVC3pMpNJUtmhStP4wDhSUqw_9Q" xr:uid="{62749D5D-9E90-449E-AC4D-4A91F143B245}"/>
    <hyperlink ref="B1134" r:id="rId2011" display="https://www.google.com/url?q=https://dunjudge.me/analysis/problems/1227/&amp;sa=D&amp;ust=1605639816562000&amp;usg=AFQjCNFWuI7ya9ydGE5vPOIxWZnr3HoQ4g" xr:uid="{D7895A0F-1951-4990-83C2-2AFF764170FC}"/>
    <hyperlink ref="F1134" r:id="rId2012" display="https://www.google.com/url?q=https://github.com/mostafa-saad/MyCompetitiveProgramming/blob/master/Olympiad/NOI/official&amp;sa=D&amp;ust=1605639816563000&amp;usg=AFQjCNGHsLo8vHRKVSlXfyO6fgfqmkUxrA" xr:uid="{A786D1F4-919D-4CD0-8FEA-E983E5847A64}"/>
    <hyperlink ref="B1135" r:id="rId2013" display="https://www.google.com/url?q=https://oj.uz/problem/view/COI16_dijament&amp;sa=D&amp;ust=1605639816563000&amp;usg=AFQjCNEY05k1QlGbQ_5MKm2VaFjEqJlu3Q" xr:uid="{5C1BAA40-BC46-4C1A-B75A-314C6D8D7358}"/>
    <hyperlink ref="F1135" r:id="rId2014" display="https://www.google.com/url?q=https://github.com/mostafa-saad/MyCompetitiveProgramming/tree/master/Olympiad/COI/official/2016&amp;sa=D&amp;ust=1605639816563000&amp;usg=AFQjCNFtgXaUPWsdm7Sy8KiReFbm0x5tLg" xr:uid="{B8E94357-8F2E-4720-A261-DA764D0896B9}"/>
    <hyperlink ref="B1136" r:id="rId2015" display="https://www.google.com/url?q=https://dunjudge.me/analysis/problems/1228/&amp;sa=D&amp;ust=1605639816563000&amp;usg=AFQjCNFkY1Dk1AhG7Fey5TNLFc-AeCTRYg" xr:uid="{05B8C2B0-3166-4991-82D6-075A5E42EE7C}"/>
    <hyperlink ref="F1136" r:id="rId2016" display="https://www.google.com/url?q=https://github.com/mostafa-saad/MyCompetitiveProgramming/blob/master/Olympiad/NOI/official&amp;sa=D&amp;ust=1605639816564000&amp;usg=AFQjCNHQmovgcOaoi4JzCWM5qC3NqDz5qQ" xr:uid="{6953C21D-14A4-407F-8DF0-0B6ECC32BD75}"/>
    <hyperlink ref="B1137" r:id="rId2017" display="https://www.google.com/url?q=https://oj.uz/problem/view/COCI16_prosjecni&amp;sa=D&amp;ust=1605639816564000&amp;usg=AFQjCNEP-qyVh0tM6oHCe-3o_sux68oCBA" xr:uid="{EA39BCA2-5C17-4933-B252-D2C7B2892B4B}"/>
    <hyperlink ref="F1137" r:id="rId2018" display="https://www.google.com/url?q=https://github.com/mostafa-saad/MyCompetitiveProgramming/blob/master/Olympiad/COCI/official/2017/contest2_solutions&amp;sa=D&amp;ust=1605639816564000&amp;usg=AFQjCNHvRnSP13VQ7MMgouZ5wLei5HARvg" xr:uid="{F33DF73C-56D4-480C-90DE-D7523DD99FDB}"/>
    <hyperlink ref="B1138" r:id="rId2019" display="https://www.google.com/url?q=https://dmoj.ca/problem/coci15c4p4&amp;sa=D&amp;ust=1605639816565000&amp;usg=AFQjCNHcMn402l000DBHCXmGP_xXChp_PQ" xr:uid="{96F1A42F-34CC-40A9-99A9-8205B27F48DD}"/>
    <hyperlink ref="B1139" r:id="rId2020" display="https://www.google.com/url?q=https://dmoj.ca/problem/fibonacci2&amp;sa=D&amp;ust=1605639816565000&amp;usg=AFQjCNHqwfK98nBevcn1smGBZSJ0rRIJBQ" xr:uid="{78D90FD1-C826-4348-A704-0D15B30BCFC5}"/>
    <hyperlink ref="B1140" r:id="rId2021" display="https://www.google.com/url?q=https://contest.yandex.ru/contest/8699/problems/A&amp;sa=D&amp;ust=1605639816566000&amp;usg=AFQjCNF9JXZmdvBeREUsn5SgRLgdF-OeqA" xr:uid="{EA74E39A-2871-423C-BC5C-5D5CE2A2C826}"/>
    <hyperlink ref="F1140" r:id="rId2022" display="https://www.google.com/url?q=https://github.com/SpeedOfMagic/CompetitiveProgramming/blob/master/SNSS/18-R1-A.cpp&amp;sa=D&amp;ust=1605639816566000&amp;usg=AFQjCNF01IA49QhuIQe-L5CpeLvzcqUAxQ" xr:uid="{7BB92713-8323-4D4A-9181-C3C0CB192644}"/>
    <hyperlink ref="B1141" r:id="rId2023" display="https://www.google.com/url?q=https://training.ia-toki.org/problemsets/3/problems/9/&amp;sa=D&amp;ust=1605639816567000&amp;usg=AFQjCNEvo2Bm_-fbA4NxW7C8MjiYJ4Lf6A" xr:uid="{62BAA6F0-922E-4840-B456-F6BC10133A72}"/>
    <hyperlink ref="F1141" r:id="rId2024" display="https://www.google.com/url?q=https://github.com/win11905/submission/blob/master/OCN/15/2C.cpp&amp;sa=D&amp;ust=1605639816567000&amp;usg=AFQjCNG3mghzS2z4DV9xASxkBe5NichOOQ" xr:uid="{E15C03DF-7654-4FBB-9A05-C1FF54808993}"/>
    <hyperlink ref="B1142" r:id="rId2025" display="https://www.google.com/url?q=https://dmoj.ca/problem/stnbd4&amp;sa=D&amp;ust=1605639816567000&amp;usg=AFQjCNHqtdadYBpKAVF2r7t_PpmZsiYDcA" xr:uid="{8C41F383-AFE2-4E96-BC34-D6DB1A55FBA7}"/>
    <hyperlink ref="F1142" r:id="rId2026" display="https://www.google.com/url?q=https://github.com/win11905/submission/blob/master/Dmoj/EllisFahrengart.cpp&amp;sa=D&amp;ust=1605639816568000&amp;usg=AFQjCNHv9wxlyd2lkGfeVSQ_JQ-bi7NNKA" xr:uid="{F952B946-752E-474C-9008-BD48B06BF1C6}"/>
    <hyperlink ref="B1143" r:id="rId2027" display="https://www.google.com/url?q=http://poj.org/problem?id%3D1161&amp;sa=D&amp;ust=1605639816568000&amp;usg=AFQjCNFq5C4R3a6wiOiWbI_stDe2ePpetA" xr:uid="{80F57487-371A-40DD-9E00-3ACB3F8CA9AF}"/>
    <hyperlink ref="F1143" r:id="rId2028" display="https://www.google.com/url?q=https://github.com/mostafa-saad/MyCompetitiveProgramming/blob/master/Olympiad/IOI/IOI-00-walls.txt&amp;sa=D&amp;ust=1605639816568000&amp;usg=AFQjCNHWfocVAbA6jpAl6B4mLvisPtUk7A" xr:uid="{DC9F75B3-9EF3-4CC2-BDAB-4A54A0116166}"/>
    <hyperlink ref="B1144" r:id="rId2029" display="https://www.google.com/url?q=https://cses.fi/192/list/&amp;sa=D&amp;ust=1605639816569000&amp;usg=AFQjCNGocskPuEVVH9VgbvRNubTjLxkynA" xr:uid="{18C60FE7-6305-46B3-ADC7-AA438B0970E7}"/>
    <hyperlink ref="F1144" r:id="rId2030" display="https://www.google.com/url?q=https://github.com/mostafa-saad/MyCompetitiveProgramming/blob/master/Olympiad/CEOI/CEOI-05-Net.txt&amp;sa=D&amp;ust=1605639816569000&amp;usg=AFQjCNEALM3unt1b85bhL-WSuIIa6uEG_Q" xr:uid="{0BAC3C4F-39EC-4D9A-8093-7CE1DB0E08D5}"/>
    <hyperlink ref="B1145" r:id="rId2031" display="https://www.google.com/url?q=https://oj.uz/problem/view/IOI14_gondola&amp;sa=D&amp;ust=1605639816569000&amp;usg=AFQjCNFAcWTnGbEcZeZ1Sm0cjF8-svJMJg" xr:uid="{825380D4-F9A8-4E93-9D7B-67C477BA7C2A}"/>
    <hyperlink ref="F1145" r:id="rId2032" display="https://www.google.com/url?q=http://blog.brucemerry.org.za/2014/07/&amp;sa=D&amp;ust=1605639816570000&amp;usg=AFQjCNEOyYYnmnmxFooG3ysZSZd5psrFrA" xr:uid="{696D4BF7-F653-48E9-B8FE-CB12B86ED99D}"/>
    <hyperlink ref="B1146" r:id="rId2033" display="https://www.google.com/url?q=https://oj.uz/problems/source/56&amp;sa=D&amp;ust=1605639816570000&amp;usg=AFQjCNFD1s5jiHHzBwcyRyV7dv3lDx0XhA" xr:uid="{05CBD409-D8C6-44BC-ADAD-FEB43B25CFE3}"/>
    <hyperlink ref="F1146" r:id="rId2034" display="https://www.google.com/url?q=https://github.com/Yehezkiel01/CompetitiveProgramming/blob/master/JOIOC/JOIOC-14-secret.cpp&amp;sa=D&amp;ust=1605639816572000&amp;usg=AFQjCNGkrInUlfHWLdGr0Wjej8jhVX78pQ" xr:uid="{12893144-B56D-4D32-84B4-EDFB4961104F}"/>
    <hyperlink ref="B1147" r:id="rId2035" display="https://www.google.com/url?q=https://szkopul.edu.pl/problemset/problem/iiSZmNzhLW2p6YVBDu0gIf4G/site/&amp;sa=D&amp;ust=1605639816572000&amp;usg=AFQjCNFPqu-w_T88juG_BL1Mu8CeSHsVmg" xr:uid="{6F86479A-DF2C-4654-83FC-55763A52A232}"/>
    <hyperlink ref="F1147" r:id="rId2036" display="https://www.google.com/url?q=https://github.com/peon-pasado/CompetitiveProgramming/blob/master/szkoput/POI-10-Beads.cpp&amp;sa=D&amp;ust=1605639816572000&amp;usg=AFQjCNFFceIt6NY0s2lLdPxdD_p1w66fWw" xr:uid="{FC76BD67-D9B3-4C8C-ABE3-FDFFA892B158}"/>
    <hyperlink ref="B1148" r:id="rId2037" display="https://www.google.com/url?q=https://www.hackerrank.com/contests/ioi-2014-practice-contest-1/challenges&amp;sa=D&amp;ust=1605639816573000&amp;usg=AFQjCNE2ztY0tt1RMCWlo6Ccmzh8NFNiuA" xr:uid="{AC5ACF4B-8D30-4BD2-BE10-E8683AC201F4}"/>
    <hyperlink ref="F1148" r:id="rId2038" display="https://www.google.com/url?q=https://github.com/mostafa-saad/MyCompetitiveProgramming/blob/master/Olympiad/IOI/IOIPractice-14-color-grid-ioi14.txt&amp;sa=D&amp;ust=1605639816573000&amp;usg=AFQjCNFCYtajWQaa-cq495HNFKADLJG4Aw" xr:uid="{24B10A23-4181-48B0-8BCF-412535DF4CD4}"/>
    <hyperlink ref="B1149" r:id="rId2039" display="https://www.google.com/url?q=https://dmoj.ca/problem/dmpg15s5&amp;sa=D&amp;ust=1605639816573000&amp;usg=AFQjCNFG1p98ix7VOd0Q_5S6IF4KQc6ljQ" xr:uid="{DA6BF75C-C3DC-429A-B7C9-674E7FF99482}"/>
    <hyperlink ref="B1150" r:id="rId2040" display="https://www.google.com/url?q=https://www.hackerrank.com/contests/ioi-2014-practice-contest-1/challenges&amp;sa=D&amp;ust=1605639816574000&amp;usg=AFQjCNFmLZKuEcGPSGQNcSuH0N9vuGGOSw" xr:uid="{973A10F4-638A-4D82-8A82-8F68A38191C5}"/>
    <hyperlink ref="F1150" r:id="rId2041" display="https://www.google.com/url?q=https://github.com/Yehezkiel01/CompetitiveProgramming/blob/master/IOIPractice/IOIPractice-14-christopher-candy-ioi14.cpp&amp;sa=D&amp;ust=1605639816574000&amp;usg=AFQjCNFy-uyTYbKe3CZyMHmy-k3Yw3cTVA" xr:uid="{687656ED-3D24-4583-B214-EF92113FEBE8}"/>
    <hyperlink ref="B1151" r:id="rId2042" display="https://www.google.com/url?q=https://www.infoarena.ro/problema/covor&amp;sa=D&amp;ust=1605639816575000&amp;usg=AFQjCNHqW6LO1zC5p5ssqIFvRMXGwGwbuw" xr:uid="{0752F078-C808-4AD6-B9AC-03B505E3FFEE}"/>
    <hyperlink ref="F1151" r:id="rId2043" display="https://www.google.com/url?q=https://github.com/stefdasca/CompetitiveProgramming/blob/master/Infoarena/covor&amp;sa=D&amp;ust=1605639816575000&amp;usg=AFQjCNEhz0vaCB-4x_IdSHZOc_iBAeBFow" xr:uid="{8F50AD76-7809-4735-B37B-0EF4D3DB352D}"/>
    <hyperlink ref="B1152" r:id="rId2044" display="https://www.google.com/url?q=https://www.infoarena.ro/problema/greutati&amp;sa=D&amp;ust=1605639816575000&amp;usg=AFQjCNEbP3S4Pg9RqbaAHQLz4n2QyADrfw" xr:uid="{F71CCFC4-3DD1-4DF3-A028-11A13D7048B8}"/>
    <hyperlink ref="F1152" r:id="rId2045" display="https://www.google.com/url?q=https://github.com/stefdasca/CompetitiveProgramming/blob/master/Infoarena/greutati.cpp&amp;sa=D&amp;ust=1605639816575000&amp;usg=AFQjCNFZeOiboRJVxp1jNcBYJ2ERzwdVww" xr:uid="{0AADA5EA-0DFD-4BF9-A624-98159C0CB0B9}"/>
    <hyperlink ref="B1153" r:id="rId2046" display="https://www.google.com/url?q=https://cses.fi/115/list/&amp;sa=D&amp;ust=1605639816576000&amp;usg=AFQjCNGFCKmAndNloD98vu6w_rGXCEmjBg" xr:uid="{CDA516FC-B960-4D5B-9367-3ED8064B5B18}"/>
    <hyperlink ref="F1153" r:id="rId2047" display="https://www.google.com/url?q=https://github.com/mostafa-saad/MyCompetitiveProgramming/blob/master/Olympiad/Baltic/official/boi2005_solutions&amp;sa=D&amp;ust=1605639816576000&amp;usg=AFQjCNFHU6YsJywZ-x2-WRRyN_Hc70Hr_Q" xr:uid="{CF438713-D8E0-4079-9167-220658F77538}"/>
    <hyperlink ref="B1154" r:id="rId2048" display="https://www.google.com/url?q=https://szkopul.edu.pl/problemset/problem/k9UKIj11V6iPRc3LaiYQYHyi/site/&amp;sa=D&amp;ust=1605639816576000&amp;usg=AFQjCNFw4YssIHEf9aPshP3Q4pCD8xqS-A" xr:uid="{18A80745-0378-4D5F-AFE8-A3EC618A18C1}"/>
    <hyperlink ref="F1154" r:id="rId2049" display="https://www.google.com/url?q=https://github.com/mostafa-saad/MyCompetitiveProgramming/blob/master/Olympiad/POI/official/find_editorial_sols_guidelines.txt&amp;sa=D&amp;ust=1605639816577000&amp;usg=AFQjCNFiyfCtK3O82JadjB2Hn5uTAhJ3nw" xr:uid="{A2447465-530A-4DE1-BBB7-CF48E8FB3B98}"/>
    <hyperlink ref="B1155" r:id="rId2050" display="https://www.google.com/url?q=https://dmoj.ca/problem/coci06c5p5&amp;sa=D&amp;ust=1605639816577000&amp;usg=AFQjCNFhhfKQD_tSZWQyMpexbDvXERjJ0Q" xr:uid="{5E5C0F99-CA3E-42BD-B996-5DF7B4FE9BA3}"/>
    <hyperlink ref="F1155" r:id="rId2051" display="https://www.google.com/url?q=https://github.com/mostafa-saad/MyCompetitiveProgramming/tree/master/Olympiad/COCI/official/2007/contest5_solutions&amp;sa=D&amp;ust=1605639816577000&amp;usg=AFQjCNFLtPMrEf8qDmFokMGVaSfkY1GtGA" xr:uid="{01E17487-98D5-4325-9C21-29B2555B1E71}"/>
    <hyperlink ref="B1156" r:id="rId2052" display="https://www.google.com/url?q=https://dmoj.ca/problem/coci07c4p4&amp;sa=D&amp;ust=1605639816578000&amp;usg=AFQjCNFO8iNSr0bIT3qeCC5zrrG_2p2Amw" xr:uid="{289268A9-5B8A-48B5-8EF6-F0189E4F20B2}"/>
    <hyperlink ref="F1156" r:id="rId2053" display="https://www.google.com/url?q=https://github.com/mostafa-saad/MyCompetitiveProgramming/tree/master/Olympiad/COCI/official/2008/contest4_solutions&amp;sa=D&amp;ust=1605639816578000&amp;usg=AFQjCNFJ3JkFuWylDpDjG2BXalJVKWm0TQ" xr:uid="{DD7C2CBA-A34E-4FF0-9CBC-016F33F19588}"/>
    <hyperlink ref="B1157" r:id="rId2054" display="https://www.google.com/url?q=https://oj.uz/problem/view/COCI18_kocka&amp;sa=D&amp;ust=1605639816578000&amp;usg=AFQjCNF3AIlbCiRFcGjO4-jgK2oQKHZmCQ" xr:uid="{66124A09-F25C-4227-B32E-495D37B94557}"/>
    <hyperlink ref="F1157" r:id="rId2055" display="https://www.google.com/url?q=https://github.com/ZeyadKhattab/Competitive-Programming/blob/master/Problems/COCI%252019-kocka.java&amp;sa=D&amp;ust=1605639816579000&amp;usg=AFQjCNEGQ_xcMhTXLSVb-VlA2Bl71v9ePQ" xr:uid="{81237DA5-21D3-4A3A-BC46-8E47CB4A69F4}"/>
    <hyperlink ref="B1158" r:id="rId2056" display="https://www.google.com/url?q=https://dmoj.ca/problem/ccc16s5&amp;sa=D&amp;ust=1605639816579000&amp;usg=AFQjCNE2Gn2UbCAZLE4weGc1dHWi6gJkog" xr:uid="{634000FD-FC38-49B1-8773-A2E483CF2A30}"/>
    <hyperlink ref="B1159" r:id="rId2057" display="https://www.google.com/url?q=http://usaco.org/index.php?page%3Dviewproblem2%26cpid%3D946&amp;sa=D&amp;ust=1605639816579000&amp;usg=AFQjCNFU0PokGPSQnoVpS_KaWq_5XJc51Q" xr:uid="{6EFF6FB0-3DD1-40BD-9778-AE37C99B64FA}"/>
    <hyperlink ref="B1160" r:id="rId2058" display="https://www.google.com/url?q=https://szkopul.edu.pl/problemset/problem/S-cyTRH8ScRh-XfLPAsXCQ0e/site/&amp;sa=D&amp;ust=1605639816580000&amp;usg=AFQjCNGY1f3pGYUFgRjoo-XOhFhayNB8Pw" xr:uid="{5D54A34F-2BF5-482E-99FE-1575F76777AF}"/>
    <hyperlink ref="F1160" r:id="rId2059" display="https://www.google.com/url?q=https://github.com/mostafa-saad/MyCompetitiveProgramming/blob/master/Olympiad/POI/official/find_editorial_sols_guidelines.txt&amp;sa=D&amp;ust=1605639816580000&amp;usg=AFQjCNFD8KhMQ759AFX_CIsAk2aKUxO1sA" xr:uid="{F903D407-03AA-4248-9F66-F82C456FFFD8}"/>
    <hyperlink ref="B1161" r:id="rId2060" display="https://www.google.com/url?q=https://dunjudge.me/analysis/problems/963/&amp;sa=D&amp;ust=1605639816581000&amp;usg=AFQjCNFrbdUgh3rjKs60gKIaxOdxxJNPyg" xr:uid="{4DA295B4-B9D7-43EC-8C29-27DFF94B75A4}"/>
    <hyperlink ref="F1161" r:id="rId2061" display="https://www.google.com/url?q=https://github.com/mostafa-saad/MyCompetitiveProgramming/tree/master/Olympiad/MCO/official&amp;sa=D&amp;ust=1605639816581000&amp;usg=AFQjCNFvbjp2vWe9dWyVXTs-3TC9Kt1vOg" xr:uid="{E79334D8-6F9B-4767-8AEB-711A5D9DC227}"/>
    <hyperlink ref="B1162" r:id="rId2062" display="https://www.google.com/url?q=https://dunjudge.me/analysis/problems/553/&amp;sa=D&amp;ust=1605639816581000&amp;usg=AFQjCNFh3k2R_oPapSmOnFmEKOiWCOt3CQ" xr:uid="{0A6E2483-A1EF-42CE-BD71-094F607DE58E}"/>
    <hyperlink ref="F1162" r:id="rId2063" display="https://www.google.com/url?q=https://github.com/mostafa-saad/MyCompetitiveProgramming/tree/master/Olympiad/MCO/official/2014&amp;sa=D&amp;ust=1605639816581000&amp;usg=AFQjCNE-m8GSvonTa8F4e5l1fR54H9q3NQ" xr:uid="{4E379121-D54D-4292-AE3E-96EE35104F95}"/>
    <hyperlink ref="B1163" r:id="rId2064" display="https://www.google.com/url?q=https://dunjudge.me/analysis/problems/701/&amp;sa=D&amp;ust=1605639816582000&amp;usg=AFQjCNEgKhTllwRvCoaF-zYaNSVJAOrjYA" xr:uid="{33E215F3-ED9D-4FD4-ADBD-89699463A855}"/>
    <hyperlink ref="B1164" r:id="rId2065" display="https://www.google.com/url?q=https://oj.uz/problem/view/BOI11_grow&amp;sa=D&amp;ust=1605639816582000&amp;usg=AFQjCNGgZXaUJadguxt_2PxFBcADPo63FQ" xr:uid="{3C9E0576-44C6-4271-9B18-793E904BC7CD}"/>
    <hyperlink ref="F1164" r:id="rId2066" display="https://www.google.com/url?q=https://github.com/mostafa-saad/MyCompetitiveProgramming/blob/master/Olympiad/Baltic/Baltic-11-grow.txt&amp;sa=D&amp;ust=1605639816584000&amp;usg=AFQjCNGOuPy_BdMgyf7qwYP7xTOAbqwM4Q" xr:uid="{E7753029-0586-4674-84FA-3BBF775EE416}"/>
    <hyperlink ref="B1165" r:id="rId2067" display="https://www.google.com/url?q=https://joisc2013-day4.contest.atcoder.jp/tasks/joisc2013_spaceships&amp;sa=D&amp;ust=1605639816584000&amp;usg=AFQjCNGzV9Ru7_EbyqMSLV-WKWMHbf-diA" xr:uid="{57B3FE67-DF35-4A1C-A746-42CD2208146C}"/>
    <hyperlink ref="B1166" r:id="rId2068" display="https://www.google.com/url?q=https://infoarena.ro/problema/poarta2&amp;sa=D&amp;ust=1605639816585000&amp;usg=AFQjCNFKc4PdZQd_q4bbBBwK3eSvLOnmew" xr:uid="{9EF98BD4-A101-444E-A59E-D3E409D804C0}"/>
    <hyperlink ref="F1166" r:id="rId2069" display="https://www.google.com/url?q=https://github.com/stefdasca/CompetitiveProgramming/blob/master/Infoarena/poarta2.cpp&amp;sa=D&amp;ust=1605639816585000&amp;usg=AFQjCNG6K18mu8A_ot0NX8CMPUCIzTYWrw" xr:uid="{7BF9C796-F5CD-4EB1-B5AE-0379AE4B6870}"/>
    <hyperlink ref="B1167" r:id="rId2070" display="https://www.google.com/url?q=https://codeforces.com/group/swEqtABRxe/contest/243427/problem/C&amp;sa=D&amp;ust=1605639816585000&amp;usg=AFQjCNGq3ik06dxh8JDXfeik6YdGPz1j8w" xr:uid="{95E92614-AEC5-4793-A7F6-C21D5BB9985F}"/>
    <hyperlink ref="B1168" r:id="rId2071" display="https://www.google.com/url?q=https://szkopul.edu.pl/problemset/problem/NuGiXg5BO8iuLFU7vmhCmNWK/site/&amp;sa=D&amp;ust=1605639816586000&amp;usg=AFQjCNG31duDsCPScDcIYwFiFmJ-NmJEfw" xr:uid="{DDAAE4D3-BCA8-4717-8E59-0C8963618EC9}"/>
    <hyperlink ref="F1168" r:id="rId2072" display="https://www.google.com/url?q=https://github.com/mostafa-saad/MyCompetitiveProgramming/blob/master/Olympiad/POI/official/find_editorial_sols_guidelines.txt&amp;sa=D&amp;ust=1605639816586000&amp;usg=AFQjCNEB3W5RGp3CWpQOMzonYGtV0Ldopw" xr:uid="{BFF18616-2F4A-4FF7-BA2E-516ABF78D87E}"/>
    <hyperlink ref="B1169" r:id="rId2073" display="https://www.google.com/url?q=https://szkopul.edu.pl/problemset/problem/70I-ks8dXjgq3xwzRzLV1w4p/site/&amp;sa=D&amp;ust=1605639816586000&amp;usg=AFQjCNEdaOe6jhySCnr3MATTw6xfoKEJeA" xr:uid="{DFE9D57E-8B47-4E20-95F7-39075DE6557C}"/>
    <hyperlink ref="F1169" r:id="rId2074" display="https://www.google.com/url?q=https://github.com/mostafa-saad/MyCompetitiveProgramming/blob/master/Olympiad/POI/official/find_editorial_sols_guidelines.txt&amp;sa=D&amp;ust=1605639816586000&amp;usg=AFQjCNEB3W5RGp3CWpQOMzonYGtV0Ldopw" xr:uid="{7C5941F4-F2BD-407F-8FF5-E22A4A40CBA5}"/>
    <hyperlink ref="B1170" r:id="rId2075" display="https://www.google.com/url?q=https://oj.uz/problem/view/IZhO19_stones&amp;sa=D&amp;ust=1605639816587000&amp;usg=AFQjCNGKyI59Qc7c5KyTIwl7N43QW8c2TQ" xr:uid="{8982564E-A5A6-4D45-AFC3-BE14EED3CFA7}"/>
    <hyperlink ref="B1171" r:id="rId2076" display="https://www.google.com/url?q=https://joisc2013-day1.contest.atcoder.jp/tasks/joisc2013_joi_poster&amp;sa=D&amp;ust=1605639816587000&amp;usg=AFQjCNEZwRh7XmUpIsP--KijEAiMrD2eZg" xr:uid="{38B6E85D-4BB6-4075-8ECD-58C3E63C2097}"/>
    <hyperlink ref="B1172" r:id="rId2077" display="https://www.google.com/url?q=https://oj.uz/problem/view/JOI19_ho_t2&amp;sa=D&amp;ust=1605639816588000&amp;usg=AFQjCNEzAqas8UQQc9AS5Y9_xolOSTJucA" xr:uid="{8D85025E-4806-4577-9B8D-214B141B94CF}"/>
    <hyperlink ref="B1173" r:id="rId2078" display="https://www.google.com/url?q=http://usaco.org/index.php?page%3Dviewproblem2%26cpid%3D229&amp;sa=D&amp;ust=1605639816588000&amp;usg=AFQjCNEWRlFBxRTuv-F2GAkehm1g8NGyEg" xr:uid="{D7597334-E23C-4529-A13B-AE086964D895}"/>
    <hyperlink ref="F1173" r:id="rId2079" display="https://www.google.com/url?q=https://github.com/mostafa-saad/MyCompetitiveProgramming/blob/master/Olympiad/USACO/USACO-13jan-lineup.txt&amp;sa=D&amp;ust=1605639816588000&amp;usg=AFQjCNGMzDFhziJT7wMfureWabTx3Igwxw" xr:uid="{604BC095-CFF2-4EA7-9478-6E22994FAB7F}"/>
    <hyperlink ref="B1174" r:id="rId2080" display="https://www.google.com/url?q=https://szkopul.edu.pl/problemset/problem/SXtZ8jxPUjMD5cLWqCI1EZLT/site/&amp;sa=D&amp;ust=1605639816589000&amp;usg=AFQjCNGNLdqcHbvtVVAeOXmtpTnUgZIy5Q" xr:uid="{232CB0F4-8162-43C6-AE42-4E39D4CDD4B7}"/>
    <hyperlink ref="F1174" r:id="rId2081" display="https://www.google.com/url?q=https://github.com/mostafa-saad/MyCompetitiveProgramming/blob/master/Olympiad/POI/official/find_editorial_sols_guidelines.txt&amp;sa=D&amp;ust=1605639816589000&amp;usg=AFQjCNEH3aCqR9Un1xqS4x5DqQ3Us99jjA" xr:uid="{12994EA6-F1CC-4275-8ADE-2EBCC6557DA5}"/>
    <hyperlink ref="B1175" r:id="rId2082" display="https://www.google.com/url?q=https://www.infoarena.ro/problema/cifra4&amp;sa=D&amp;ust=1605639816589000&amp;usg=AFQjCNFTgi76J2Sj9r1Zmlm6pZppqft56A" xr:uid="{EE3F10B3-7275-4D2E-856F-1B12A4B672CC}"/>
    <hyperlink ref="F1175" r:id="rId2083" display="https://www.google.com/url?q=https://github.com/stefdasca/CompetitiveProgramming/blob/master/Infoarena/cifra4.cpp&amp;sa=D&amp;ust=1605639816589000&amp;usg=AFQjCNGkkuaBoMDXePyYKx0UNB-8ijXAww" xr:uid="{F7567FAB-B0E9-4BA6-AF82-899068EB04DD}"/>
    <hyperlink ref="B1176" r:id="rId2084" display="https://www.google.com/url?q=http://usaco.org/index.php?page%3Dviewproblem2%26cpid%3D921&amp;sa=D&amp;ust=1605639816590000&amp;usg=AFQjCNFgWnQZUcPxPL1Q2pd2EZLXTaBu4g" xr:uid="{EE5A6B55-1072-4E6E-BD68-082CB1231A6E}"/>
    <hyperlink ref="B1177" r:id="rId2085" display="https://www.google.com/url?q=https://dmoj.ca/problem/dmpg18s5&amp;sa=D&amp;ust=1605639816590000&amp;usg=AFQjCNEfDGl538fxPqmq4m6QerOI3duqjA" xr:uid="{8D7E7368-73D7-48AD-BC71-3CDE9DD93CB7}"/>
    <hyperlink ref="B1178" r:id="rId2086" display="https://www.google.com/url?q=https://dmoj.ca/problem/coci07c3p6&amp;sa=D&amp;ust=1605639816590000&amp;usg=AFQjCNF5fgXMfoFQ3HssKIX1EKSM2LKoow" xr:uid="{E4C18DD8-738F-4D7B-973F-B547AF1BF73C}"/>
    <hyperlink ref="F1178" r:id="rId2087" display="https://www.google.com/url?q=https://github.com/mostafa-saad/MyCompetitiveProgramming/blob/master/Olympiad/COCI/COCI-07-Redoks.txt&amp;sa=D&amp;ust=1605639816591000&amp;usg=AFQjCNFClv-ZlIXAwZHn1rMIGw_NoJ818Q" xr:uid="{C2856547-AD4B-4CE0-AEF5-FAD7DCE51128}"/>
    <hyperlink ref="B1179" r:id="rId2088" display="https://www.google.com/url?q=https://codeforces.com/group/swEqtABRxe/contest/243435/problem/A&amp;sa=D&amp;ust=1605639816591000&amp;usg=AFQjCNEjVqbmqBc631tenm3Hsjt3DhX1cw" xr:uid="{72189310-4193-4D8A-BD76-2B11650FB6BA}"/>
    <hyperlink ref="B1180" r:id="rId2089" display="https://www.google.com/url?q=https://wcipeg.com/problem/coci087p6&amp;sa=D&amp;ust=1605639816591000&amp;usg=AFQjCNEZZK1GvIkRbJyQzpVrkXrufYkpMw" xr:uid="{14AA35FE-D410-40A0-8DDF-E1AE7CB13697}"/>
    <hyperlink ref="F1180" r:id="rId2090" display="https://www.google.com/url?q=https://github.com/mostafa-saad/MyCompetitiveProgramming/blob/master/Olympiad/COI/COI-08-Cvjetici.txt&amp;sa=D&amp;ust=1605639816592000&amp;usg=AFQjCNGAyRHmkJFS4nMxd1wsO2AxtpD5dA" xr:uid="{7EDB970B-DAAF-4DC4-8FF5-1C6293C4F125}"/>
    <hyperlink ref="B1181" r:id="rId2091" display="https://www.google.com/url?q=https://csacademy.com/contest/junior-challenge-2017-day-1/task/remove-update&amp;sa=D&amp;ust=1605639816592000&amp;usg=AFQjCNFfNV9V8_0Stz_Y3MxMqxz0iroJuw" xr:uid="{817E02F2-FF88-4444-94D8-1192ED10E99A}"/>
    <hyperlink ref="F1181" r:id="rId2092" display="https://www.google.com/url?q=https://github.com/nikolapesic2802/Programming-Practice/blob/master/Remove%2520Update/main.cpp&amp;sa=D&amp;ust=1605639816592000&amp;usg=AFQjCNEcbMEArVriGhyZVjLxCbVgKNpvaA" xr:uid="{66F18631-D230-4010-B974-43930DD2BF5A}"/>
    <hyperlink ref="B1182" r:id="rId2093" display="https://www.google.com/url?q=https://dmoj.ca/problem/cco13p2&amp;sa=D&amp;ust=1605639816593000&amp;usg=AFQjCNGz_37VspRpjvqVoVkiyEHSKVCAqg" xr:uid="{1570A6CB-0134-45A2-B949-F28697F78083}"/>
    <hyperlink ref="B1183" r:id="rId2094" display="https://www.google.com/url?q=https://dmoj.ca/problem/dmopc18c4p4&amp;sa=D&amp;ust=1605639816593000&amp;usg=AFQjCNGfswiLLoI8w5lvE-Xsgg2DqAaYGw" xr:uid="{EDA9E41F-4137-4F66-B5AA-B497787B5D39}"/>
    <hyperlink ref="B1184" r:id="rId2095" display="https://www.google.com/url?q=http://usaco.org/index.php?page%3Dviewproblem2%26cpid%3D578&amp;sa=D&amp;ust=1605639816594000&amp;usg=AFQjCNH10dAa5zMFtMdVTAJOQzdZ41Lvew" xr:uid="{D13DEED5-9D6E-4AB1-AB9F-E05C87F5E040}"/>
    <hyperlink ref="B1185" r:id="rId2096" display="https://www.google.com/url?q=http://hsin.hr/coci/archive/2011_2012/&amp;sa=D&amp;ust=1605639816595000&amp;usg=AFQjCNEVEO_QhaWmeyLsIMp1OTrt9gdbAA" xr:uid="{2903707F-7A24-48AE-A16E-3587FBDE361F}"/>
    <hyperlink ref="F1185" r:id="rId2097" display="https://www.google.com/url?q=https://github.com/mostafa-saad/MyCompetitiveProgramming/tree/master/Olympiad/COCI/official/2012/contest6_solutions&amp;sa=D&amp;ust=1605639816595000&amp;usg=AFQjCNEHMpjEjWjcTHKEURaJIsd4iV2vFw" xr:uid="{EB538F06-E175-4D31-80D4-FCE635676BF7}"/>
    <hyperlink ref="B1186" r:id="rId2098" display="https://www.google.com/url?q=https://infoarena.ro/problema/posta2&amp;sa=D&amp;ust=1605639816595000&amp;usg=AFQjCNE5KekiwixR3YWuImxtMxCrYD9JZQ" xr:uid="{E89EF903-A7D9-422F-9588-AB340F92B0C8}"/>
    <hyperlink ref="F1186" r:id="rId2099" display="https://www.google.com/url?q=https://github.com/stefdasca/CompetitiveProgramming/blob/master/Infoarena/posta2.cpp&amp;sa=D&amp;ust=1605639816596000&amp;usg=AFQjCNEovN83ZNhcnRN2CPvWNqLKIFbllg" xr:uid="{EC582421-B6FA-4930-AE69-B57B011C6801}"/>
    <hyperlink ref="B1187" r:id="rId2100" display="https://www.google.com/url?q=https://szkopul.edu.pl/problemset/problem/1QaUWE_ePAmitZjgAszOVD1U/site/&amp;sa=D&amp;ust=1605639816596000&amp;usg=AFQjCNEjrLUd9TOu0BmVrIWhWwKm-GVgKA" xr:uid="{E5B91E14-3E21-4F58-BDE0-20E09484F0CF}"/>
    <hyperlink ref="F1187" r:id="rId2101" display="https://www.google.com/url?q=https://github.com/win11905/submission/blob/master/POI/parade.cpp&amp;sa=D&amp;ust=1605639816596000&amp;usg=AFQjCNEsX5BCu4SHPPgjR5-YuXuRmIboGQ" xr:uid="{917EE448-4C02-40F3-93B6-76CA3DCEE487}"/>
    <hyperlink ref="B1188" r:id="rId2102" display="https://www.google.com/url?q=http://usaco.org/index.php?page%3Dviewproblem2%26cpid%3D814&amp;sa=D&amp;ust=1605639816596000&amp;usg=AFQjCNHJUscWwZJSx0IwM_9a5YuIR500jw" xr:uid="{8FECC1EA-3D4A-43F4-A950-9673F960AA32}"/>
    <hyperlink ref="B1189" r:id="rId2103" display="https://www.google.com/url?q=https://dunjudge.me/analysis/problems/725/&amp;sa=D&amp;ust=1605639816597000&amp;usg=AFQjCNEMN4rKrE6E6avQYijxSgEzDdF9mg" xr:uid="{91CAEE6B-1950-4934-A778-46776F847FA3}"/>
    <hyperlink ref="F1189" r:id="rId2104" display="https://www.google.com/url?q=https://github.com/mostafa-saad/MyCompetitiveProgramming/tree/master/Olympiad/MCO/official/2015&amp;sa=D&amp;ust=1605639816597000&amp;usg=AFQjCNHWSDdHRHucvNPcF-OTsY3qENJ9Ww" xr:uid="{0A1C25FF-EBE3-427E-8680-F196D7B4DC1A}"/>
    <hyperlink ref="B1190" r:id="rId2105" display="https://www.google.com/url?q=https://oj.uz/problem/view/IZhO17_game&amp;sa=D&amp;ust=1605639816597000&amp;usg=AFQjCNGTuXy5-Rm7bzGdaLbhoWs5RuFeUg" xr:uid="{E12CAEE5-D72E-4804-B42A-6EB92F1A66B3}"/>
    <hyperlink ref="B1191" r:id="rId2106" display="https://www.google.com/url?q=http://usaco.org/index.php?page%3Dviewproblem2%26cpid%3D102&amp;sa=D&amp;ust=1605639816598000&amp;usg=AFQjCNFLMU4NSYtuJRpZvDFgyIXHRpGtjg" xr:uid="{CB9034DF-4B3A-448D-ACFB-86D96012115F}"/>
    <hyperlink ref="B1192" r:id="rId2107" display="https://www.google.com/url?q=https://oj.uz/problem/view/IZhO19_sortbooks&amp;sa=D&amp;ust=1605639816598000&amp;usg=AFQjCNEYlHIP19_03SiewTCwR_sFfigR0Q" xr:uid="{89AFF5ED-5F5B-4512-A636-F876B943EDFF}"/>
    <hyperlink ref="B1193" r:id="rId2108" display="https://www.google.com/url?q=https://oj.uz/problems/source/307&amp;sa=D&amp;ust=1605639816598000&amp;usg=AFQjCNGfUtPhyDLZu2LubWrLZsboCw0Qgw" xr:uid="{A451A279-E440-4EA7-82AE-91E08A681F20}"/>
    <hyperlink ref="F1193" r:id="rId2109" display="https://www.google.com/url?q=https://github.com/updown2/OI-Practice/blob/master/JOI/2018/Art.cpp&amp;sa=D&amp;ust=1605639816598000&amp;usg=AFQjCNGxnggDN9QCiLSKTJwPrG8nGu4zsQ" xr:uid="{E0300F81-6220-4EB9-8AA3-C47943C80279}"/>
    <hyperlink ref="B1194" r:id="rId2110" display="https://www.google.com/url?q=https://boi18-day2-open.kattis.com/problems&amp;sa=D&amp;ust=1605639816599000&amp;usg=AFQjCNGqKqWAHZiohpDF1HyASBzekMbKgQ" xr:uid="{04024567-92AE-4043-88F8-8795509757EA}"/>
    <hyperlink ref="F1194" r:id="rId2111" display="https://www.google.com/url?q=https://github.com/mostafa-saad/MyCompetitiveProgramming/blob/master/Olympiad/Baltic/Baltic-18-Paths.txt&amp;sa=D&amp;ust=1605639816599000&amp;usg=AFQjCNFmKINxqFoAhr2jNl-4iw2fTO2OpQ" xr:uid="{D067DB2D-94F4-470A-967B-3FA1D88F433E}"/>
    <hyperlink ref="B1195" r:id="rId2112" display="https://www.google.com/url?q=https://oj.uz/problems/source/6&amp;sa=D&amp;ust=1605639816599000&amp;usg=AFQjCNE8gZxijdz2VkhGsmKFCj0x5ZPttw" xr:uid="{DB2E5249-1BE0-4B84-A7E4-60FB60455AED}"/>
    <hyperlink ref="F1195" r:id="rId2113" display="https://www.google.com/url?q=https://github.com/mostafa-saad/MyCompetitiveProgramming/blob/master/Olympiad/JOI/JOIOC-13-Watching.txt&amp;sa=D&amp;ust=1605639816599000&amp;usg=AFQjCNE_umwfo5oZLSri-AGyKySVnoJ6-g" xr:uid="{2AAA14A5-F314-47BB-BEF1-70361C825464}"/>
    <hyperlink ref="B1196" r:id="rId2114" display="https://www.google.com/url?q=http://usaco.org/index.php?page%3Dviewproblem2%26cpid%3D494&amp;sa=D&amp;ust=1605639816600000&amp;usg=AFQjCNHQXnG1QXipA8z7C4ZEp1KxrcUI_Q" xr:uid="{E655499B-A390-4D75-A582-77F807237AD5}"/>
    <hyperlink ref="F1196" r:id="rId2115" display="https://www.google.com/url?q=https://github.com/goar5670/CompetitiveProgramming/blob/master/USACO%252014dec-guard.cpp&amp;sa=D&amp;ust=1605639816600000&amp;usg=AFQjCNGlNEDzrltk3iP0ONTfu141LF37ew" xr:uid="{B0D7D012-F632-4310-B055-3CD4AB2DF3F2}"/>
    <hyperlink ref="B1197" r:id="rId2116" display="https://www.google.com/url?q=https://contest.yandex.ru/ioi/contest/570/enter/&amp;sa=D&amp;ust=1605639816600000&amp;usg=AFQjCNEpTs-a0C3Ph8thIGqTjYevXq0c8Q" xr:uid="{6345C2F4-79A1-41CF-BC9B-4D045A292F4E}"/>
    <hyperlink ref="F1197" r:id="rId2117" display="https://www.google.com/url?q=https://github.com/mostafa-saad/MyCompetitiveProgramming/blob/master/Olympiad/IOI/IOI-10-traffic.txt&amp;sa=D&amp;ust=1605639816600000&amp;usg=AFQjCNEtDWkv8AmWAonMDhcuYFnE5r6pcg" xr:uid="{C3C7A1DE-D55D-4D61-82C6-1119AEC1B4FC}"/>
    <hyperlink ref="B1198" r:id="rId2118" display="https://www.google.com/url?q=https://oj.uz/problem/view/JOI20_ho_t3&amp;sa=D&amp;ust=1605639816600000&amp;usg=AFQjCNHtiPQE1LA_Bk_FDabNffUQUMuMXg" xr:uid="{A01364BB-0061-43EC-B9C4-93EE757B2770}"/>
    <hyperlink ref="F1198" r:id="rId2119" display="https://www.google.com/url?q=https://github.com/mostafa-saad/MyCompetitiveProgramming/blob/master/Olympiad/JOI/JOI-20-CollectingStamps3.txt&amp;sa=D&amp;ust=1605639816601000&amp;usg=AFQjCNFY6gSNXKo8ynZl9H85hdMSDTxHIg" xr:uid="{9D086AF6-DEAB-4F56-B5ED-3514B97AE887}"/>
    <hyperlink ref="B1199" r:id="rId2120" display="https://www.google.com/url?q=https://dmoj.ca/problem/coci06c2p5&amp;sa=D&amp;ust=1605639816601000&amp;usg=AFQjCNHapd7O2U5MmNtQeerSiP4naGi1yA" xr:uid="{776BE346-7BB2-4E52-A3DA-5AAC0FB7EDA9}"/>
    <hyperlink ref="F1199" r:id="rId2121" display="https://www.google.com/url?q=https://github.com/mostafa-saad/MyCompetitiveProgramming/tree/master/Olympiad/COCI/official/2007/contest2_solutions&amp;sa=D&amp;ust=1605639816601000&amp;usg=AFQjCNEropMZ1xR8KUf7q90O5rHhzdq-2Q" xr:uid="{C9A015D6-930E-411D-BA66-B5922C1AFF52}"/>
    <hyperlink ref="B1200" r:id="rId2122" display="https://www.google.com/url?q=https://dunjudge.me/analysis/problems/13/&amp;sa=D&amp;ust=1605639816601000&amp;usg=AFQjCNGobnNXpa2u1qP-qZUTCTWFSbeQcg" xr:uid="{8A940034-62FC-484A-8000-995C89B568D8}"/>
    <hyperlink ref="B1201" r:id="rId2123" display="https://www.google.com/url?q=https://www.infoarena.ro/problema/panza&amp;sa=D&amp;ust=1605639816602000&amp;usg=AFQjCNGoFVOypP0TNEq65CC12a3LFJ7SuQ" xr:uid="{9EB9AA3A-830F-4B06-9087-3F4BE4C59A6D}"/>
    <hyperlink ref="F1201" r:id="rId2124" display="https://www.google.com/url?q=https://github.com/stefdasca/CompetitiveProgramming/blob/master/Infoarena/panza.cpp&amp;sa=D&amp;ust=1605639816602000&amp;usg=AFQjCNGAGVyHm9pGPHG1B1dYq2oCIAY1rQ" xr:uid="{884E618E-431F-48C4-81F1-81191DBEC66C}"/>
    <hyperlink ref="B1202" r:id="rId2125" display="https://www.google.com/url?q=https://cses.fi/114/list/&amp;sa=D&amp;ust=1605639816602000&amp;usg=AFQjCNGuj9_RZgjNyIzWLTw3PIznz_yrJw" xr:uid="{5EC92649-BA74-4D0A-B44B-AE8F245B9371}"/>
    <hyperlink ref="F1202" r:id="rId2126" display="https://www.google.com/url?q=https://github.com/mostafa-saad/MyCompetitiveProgramming/blob/master/Olympiad/Baltic/official/boi2008_solutions&amp;sa=D&amp;ust=1605639816603000&amp;usg=AFQjCNH4MA1oMjOUGuGEtKWuctnVzpFCnQ" xr:uid="{41A82126-2640-4A20-BFA0-274BC05D4FFC}"/>
    <hyperlink ref="B1203" r:id="rId2127" display="https://www.google.com/url?q=https://dmoj.ca/problem/coci08c2p5&amp;sa=D&amp;ust=1605639816604000&amp;usg=AFQjCNFjCdiTiVtn-Y4f7NdqSb4JDZEK9A" xr:uid="{B8102028-83E0-42A6-987F-75862AE35817}"/>
    <hyperlink ref="F1203" r:id="rId2128" display="https://www.google.com/url?q=https://github.com/mostafa-saad/MyCompetitiveProgramming/blob/master/Olympiad/COCI/official/2009/contest2_solutions&amp;sa=D&amp;ust=1605639816604000&amp;usg=AFQjCNEcoTrHlkVGBIG_XPoSMGeYMl_IHw" xr:uid="{59FD9F86-1B56-4CE4-A4F2-31CCD7A33F6B}"/>
    <hyperlink ref="B1204" r:id="rId2129" display="https://www.google.com/url?q=https://dunjudge.me/analysis/problems/134/&amp;sa=D&amp;ust=1605639816604000&amp;usg=AFQjCNF7jTjWkcg1qgDAAWrYGDA3fkagKQ" xr:uid="{7F8D8C45-E821-441F-945C-99DC199AB139}"/>
    <hyperlink ref="F1204" r:id="rId2130" display="https://www.google.com/url?q=https://github.com/mostafa-saad/MyCompetitiveProgramming/blob/master/Olympiad/NOI/official&amp;sa=D&amp;ust=1605639816604000&amp;usg=AFQjCNG2AauRK-S1zWkI_5oo2WfH8tKLQg" xr:uid="{90E952CA-0F6D-421C-9F7D-F015EBC07AE7}"/>
    <hyperlink ref="B1205" r:id="rId2131" display="https://www.google.com/url?q=https://dunjudge.me/analysis/problems/67/&amp;sa=D&amp;ust=1605639816605000&amp;usg=AFQjCNFsJ36d8OYMfIYosc1TKbG28EPKRA" xr:uid="{97855711-A3EC-4A89-80AB-2A4D2F1526D0}"/>
    <hyperlink ref="F1205" r:id="rId2132" display="https://www.google.com/url?q=https://github.com/mostafa-saad/MyCompetitiveProgramming/blob/master/Olympiad/NOI/official&amp;sa=D&amp;ust=1605639816605000&amp;usg=AFQjCNFGQuRJniYeukB0pUVEcAGgOU5VQA" xr:uid="{D3AF979E-9A3A-40B8-8CAB-7E6E25A18F0A}"/>
    <hyperlink ref="B1206" r:id="rId2133" display="https://www.google.com/url?q=https://dunjudge.me/analysis/problems/703/&amp;sa=D&amp;ust=1605639816605000&amp;usg=AFQjCNGQeRIqRIQgIBbKLjh3I_4fjThgEQ" xr:uid="{1AD56A5A-02CD-4838-A710-92B1DCC23FC2}"/>
    <hyperlink ref="F1206" r:id="rId2134" display="https://www.google.com/url?q=https://github.com/mostafa-saad/MyCompetitiveProgramming/blob/master/Olympiad/NOI/official&amp;sa=D&amp;ust=1605639816605000&amp;usg=AFQjCNFGQuRJniYeukB0pUVEcAGgOU5VQA" xr:uid="{367613B8-538A-4C60-9D1D-FC29BB22EC75}"/>
    <hyperlink ref="B1207" r:id="rId2135" display="https://www.google.com/url?q=https://dmoj.ca/problem/ccoprep16q1&amp;sa=D&amp;ust=1605639816606000&amp;usg=AFQjCNE8oiVDLq4f8zvqX2eEW_9qIJuYIA" xr:uid="{5B1963AE-A8B4-4C26-89F3-6F6ED5A5ADE6}"/>
    <hyperlink ref="B1208" r:id="rId2136" display="https://www.google.com/url?q=https://oj.uz/problem/view/info1cup18_maxcomp&amp;sa=D&amp;ust=1605639816606000&amp;usg=AFQjCNEzV0A8IJ0aALn-lQbejNf9NpaQLA" xr:uid="{8B0EC332-F984-44F1-A655-88EDDE45F2F0}"/>
    <hyperlink ref="B1209" r:id="rId2137" display="https://www.google.com/url?q=http://usaco.org/index.php?page%3Dviewproblem2%26cpid%3D945&amp;sa=D&amp;ust=1605639816606000&amp;usg=AFQjCNGY1uXbSPuTJqnpc4XDkHNmBDGRvg" xr:uid="{BC6073D9-50F3-43D1-858F-19E8D4421998}"/>
    <hyperlink ref="B1210" r:id="rId2138" display="https://www.google.com/url?q=https://cses.fi/110/list/&amp;sa=D&amp;ust=1605639816607000&amp;usg=AFQjCNHDeY8mLGi2YffeADHYCQf6EDuxfg" xr:uid="{676F2CCA-81EE-431B-BDC8-93B8BE4E80BE}"/>
    <hyperlink ref="F1210" r:id="rId2139" display="https://www.google.com/url?q=https://github.com/mostafa-saad/MyCompetitiveProgramming/blob/master/Olympiad/Baltic/official/boi2006_solutions&amp;sa=D&amp;ust=1605639816607000&amp;usg=AFQjCNHCR8iIzVaCC0DCsYfVUX69DSyw-A" xr:uid="{FC295003-4235-4D86-A7B8-DDD10A246663}"/>
    <hyperlink ref="B1211" r:id="rId2140" display="https://www.google.com/url?q=https://dunjudge.me/analysis/problems/958/&amp;sa=D&amp;ust=1605639816607000&amp;usg=AFQjCNF4FlgvazZOVA_vB9rdkf_7_7z4Kw" xr:uid="{8E0CAE99-4CAC-41E5-9F29-FA597049731C}"/>
    <hyperlink ref="F1211" r:id="rId2141" display="https://www.google.com/url?q=https://github.com/mostafa-saad/MyCompetitiveProgramming/blob/master/Olympiad/NOI/official&amp;sa=D&amp;ust=1605639816607000&amp;usg=AFQjCNGC1eP99-Kvh1yxUfRLYfRUGsrPWQ" xr:uid="{C4B874D3-68B3-4455-A67F-A968070C8255}"/>
    <hyperlink ref="B1212" r:id="rId2142" display="https://www.google.com/url?q=https://szkopul.edu.pl/problemset/problem/uABxo7lIMMVDn0-HB1wCE02w/site/&amp;sa=D&amp;ust=1605639816608000&amp;usg=AFQjCNEbKE6WkHyeQZKm0t3V4ZULgf-OcQ" xr:uid="{036A7C64-E0F3-4C54-823B-0769CA14640D}"/>
    <hyperlink ref="F1212" r:id="rId2143" display="https://www.google.com/url?q=https://github.com/mostafa-saad/MyCompetitiveProgramming/blob/master/Olympiad/POI/official/find_editorial_sols_guidelines.txt&amp;sa=D&amp;ust=1605639816608000&amp;usg=AFQjCNHdgToeyiSb5AsM-D3hQD2RxvG5GA" xr:uid="{ABDD0DCA-BD8A-41DD-89C2-5C500B083016}"/>
    <hyperlink ref="B1213" r:id="rId2144" display="https://www.google.com/url?q=https://szkopul.edu.pl/problemset/problem/xmyBMI5AsEiW30_RyePNSXiG/site/&amp;sa=D&amp;ust=1605639816608000&amp;usg=AFQjCNEjE8cgXik10CtWIUNgof44H2z-_g" xr:uid="{899523C7-2193-4625-B3D9-46E6EB26DC32}"/>
    <hyperlink ref="F1213" r:id="rId2145" display="https://www.google.com/url?q=https://github.com/mostafa-saad/MyCompetitiveProgramming/blob/master/Olympiad/POI/official/find_editorial_sols_guidelines.txt&amp;sa=D&amp;ust=1605639816608000&amp;usg=AFQjCNHdgToeyiSb5AsM-D3hQD2RxvG5GA" xr:uid="{C6350E05-C473-4C8A-96BF-D81BBEA6F1D7}"/>
    <hyperlink ref="B1214" r:id="rId2146" display="https://www.google.com/url?q=https://oj.uz/problem/view/POI13_luk&amp;sa=D&amp;ust=1605639816609000&amp;usg=AFQjCNGSNRGG3EF_iPBcfVVAFqGaceJ02w" xr:uid="{18224398-5CCD-4B63-B423-7BED896CB77E}"/>
    <hyperlink ref="F1214" r:id="rId2147" display="https://www.google.com/url?q=https://github.com/mostafa-saad/MyCompetitiveProgramming/blob/master/Olympiad/POI/official/find_editorial_sols_guidelines.txt&amp;sa=D&amp;ust=1605639816609000&amp;usg=AFQjCNF8R0TqnFcAKub6Tk74ukYQzMu1_g" xr:uid="{2775ACA9-1478-4EE9-9C81-AE7373AED088}"/>
    <hyperlink ref="B1215" r:id="rId2148" display="https://www.google.com/url?q=https://oj.uz/problem/view/POI13_mor&amp;sa=D&amp;ust=1605639816609000&amp;usg=AFQjCNF0X8ETfT6RjKOiB9X8VBZ0anEHnw" xr:uid="{6DF236D7-9B6C-4FD1-B604-77AE910200DA}"/>
    <hyperlink ref="F1215" r:id="rId2149" display="https://www.google.com/url?q=https://github.com/mostafa-saad/MyCompetitiveProgramming/blob/master/Olympiad/POI/official/find_editorial_sols_guidelines.txt&amp;sa=D&amp;ust=1605639816610000&amp;usg=AFQjCNE5XXdn66bByVgeQ_h98OB0x0VG4w" xr:uid="{9AD79547-7895-4FB9-8F74-D303C5B5D3EF}"/>
    <hyperlink ref="B1216" r:id="rId2150" display="https://www.google.com/url?q=https://joi2014ho.contest.atcoder.jp/tasks/joi2014ho2&amp;sa=D&amp;ust=1605639816610000&amp;usg=AFQjCNEMFRW9PWr4okVUr_eCPSvkX_8Nug" xr:uid="{ABD422CD-4F9B-4998-8138-C384AAF512A6}"/>
    <hyperlink ref="B1217" r:id="rId2151" display="https://www.google.com/url?q=https://dunjudge.me/analysis/problems/700/&amp;sa=D&amp;ust=1605639816610000&amp;usg=AFQjCNEDSYWtd0oH-hcbAsj-DFkgaDDTEg" xr:uid="{93B5E936-5624-498D-B46A-2C34886E8B33}"/>
    <hyperlink ref="B1218" r:id="rId2152" display="https://www.google.com/url?q=https://www.infoarena.ro/problema/cartite&amp;sa=D&amp;ust=1605639816611000&amp;usg=AFQjCNH2Tpsm8nNn81v41dYCVbmu1RoU2w" xr:uid="{C078E72D-7203-4816-87CF-718B1577143A}"/>
    <hyperlink ref="F1218" r:id="rId2153" display="https://www.google.com/url?q=https://github.com/stefdasca/CompetitiveProgramming/blob/master/Infoarena/cartite.cpp&amp;sa=D&amp;ust=1605639816611000&amp;usg=AFQjCNFPVkVf7KZoMEky60KLZUW5yNW68w" xr:uid="{DB5D1510-FA92-4BE1-A173-E392ECC48D7B}"/>
    <hyperlink ref="B1219" r:id="rId2154" display="https://www.google.com/url?q=https://dmoj.ca/problem/coci08c5p6&amp;sa=D&amp;ust=1605639816611000&amp;usg=AFQjCNHWEwT9P6OErJ5ho8LHUIvx4CdFqQ" xr:uid="{54EADA1E-C519-4DF3-8649-7B7EA7BBAED0}"/>
    <hyperlink ref="F1219" r:id="rId2155" display="https://www.google.com/url?q=https://github.com/mostafa-saad/MyCompetitiveProgramming/blob/master/Olympiad/COCI/official/2009/contest5_solutions&amp;sa=D&amp;ust=1605639816612000&amp;usg=AFQjCNFWPy1Ncxo22sx6BRQ7ONSm-2RNGw" xr:uid="{4FAAA47C-755D-46DC-A93D-394825B19D9B}"/>
    <hyperlink ref="B1220" r:id="rId2156" display="https://www.google.com/url?q=https://dmoj.ca/problem/coci07c4p3&amp;sa=D&amp;ust=1605639816612000&amp;usg=AFQjCNE3TLf1Ym6SYcOwrISTavhQRNmkWQ" xr:uid="{8005A922-EFA5-45A0-93DF-ABC648B75515}"/>
    <hyperlink ref="F1220" r:id="rId2157" display="https://www.google.com/url?q=https://github.com/mostafa-saad/MyCompetitiveProgramming/tree/master/Olympiad/COCI/official/2008/contest4_solutions&amp;sa=D&amp;ust=1605639816613000&amp;usg=AFQjCNHHKuE4JaM1gdc_opuPFNP6mIhNvw" xr:uid="{FA452EC1-777E-4EA1-9A7A-3982F539FD2A}"/>
    <hyperlink ref="B1221" r:id="rId2158" display="https://www.google.com/url?q=https://oj.uz/problem/view/COCI20_nivelle&amp;sa=D&amp;ust=1605639816613000&amp;usg=AFQjCNFJhFGyad_ar6SYOqfCpEGyK5378Q" xr:uid="{C5D20F25-FF41-4965-BF12-82E444968C1F}"/>
    <hyperlink ref="B1222" r:id="rId2159" display="https://www.google.com/url?q=https://dmoj.ca/problem/coci08c1p5&amp;sa=D&amp;ust=1605639816614000&amp;usg=AFQjCNELKgcy2_BodRzO56OSmHNj28rBhA" xr:uid="{2E83CE33-3772-4E6E-B9BB-33FEC315E205}"/>
    <hyperlink ref="F1222" r:id="rId2160" display="https://www.google.com/url?q=https://github.com/mostafa-saad/MyCompetitiveProgramming/blob/master/Olympiad/COCI/official/2009/contest1_solutions&amp;sa=D&amp;ust=1605639816614000&amp;usg=AFQjCNFurB7coJAQtJUETOi89Szh2hIbJg" xr:uid="{162F4C30-8DC8-4244-9146-6BA01917743D}"/>
    <hyperlink ref="B1223" r:id="rId2161" display="https://www.google.com/url?q=https://wcipeg.com/problem/coci095p3&amp;sa=D&amp;ust=1605639816615000&amp;usg=AFQjCNEyJzi3gsI2fVV971ohGTQ9RMOnoA" xr:uid="{88062C87-038C-4DEE-A024-C58143D41F13}"/>
    <hyperlink ref="F1223" r:id="rId2162" display="https://www.google.com/url?q=https://github.com/mostafa-saad/MyCompetitiveProgramming/blob/master/Olympiad/COCI/official/2010/contest5_solutions&amp;sa=D&amp;ust=1605639816615000&amp;usg=AFQjCNEbFFBO7VDud-4kwFBm4zfE0fZBdA" xr:uid="{265716FA-E918-4FD6-B452-0E9E4495B629}"/>
    <hyperlink ref="B1224" r:id="rId2163" display="https://www.google.com/url?q=https://wcipeg.com/problem/coci097p3&amp;sa=D&amp;ust=1605639816615000&amp;usg=AFQjCNGLm0jgiOuyp4HyTmrEJvjJ1C_qBQ" xr:uid="{85029535-110B-46F1-905F-50FE4D6CEB76}"/>
    <hyperlink ref="F1224" r:id="rId2164" display="https://www.google.com/url?q=https://github.com/mostafa-saad/MyCompetitiveProgramming/blob/master/Olympiad/COCI/official/2010/contest7_solutions&amp;sa=D&amp;ust=1605639816615000&amp;usg=AFQjCNGMDQU4dx1ERnlnhZNTG_156b5DQQ" xr:uid="{7CC48246-0867-4B6D-B46A-8848CD106D83}"/>
    <hyperlink ref="B1225" r:id="rId2165" display="https://www.google.com/url?q=https://dmoj.ca/problem/coci14c5p4&amp;sa=D&amp;ust=1605639816616000&amp;usg=AFQjCNHzGqL8kyNNXvCvrOPmbkPOoa8ygw" xr:uid="{249D99C3-41B1-4B2C-B200-D29D0F1E5C56}"/>
    <hyperlink ref="F1225" r:id="rId2166" display="https://www.google.com/url?q=https://github.com/mostafa-saad/MyCompetitiveProgramming/blob/master/Olympiad/COCI/official/2015/contest5_solutions&amp;sa=D&amp;ust=1605639816616000&amp;usg=AFQjCNH9L4dIprlUVlblGDCUH_Io0De3bQ" xr:uid="{3590FD2E-FB84-4425-9331-7C323E66CF91}"/>
    <hyperlink ref="B1226" r:id="rId2167" display="https://www.google.com/url?q=https://dunjudge.me/analysis/problems/957/&amp;sa=D&amp;ust=1605639816616000&amp;usg=AFQjCNE_85XqrKS1cgPusLXghGIjC0yzoQ" xr:uid="{D21EBD1D-260D-4952-8A2D-A8B79EAC51C5}"/>
    <hyperlink ref="F1226" r:id="rId2168" display="https://www.google.com/url?q=https://github.com/mostafa-saad/MyCompetitiveProgramming/blob/master/Olympiad/NOI/official&amp;sa=D&amp;ust=1605639816617000&amp;usg=AFQjCNFFf4KlBegDeCCgybLl0M2Pb7MjBQ" xr:uid="{C9379123-3E4F-455E-B5D9-BE0DA42AD7D9}"/>
    <hyperlink ref="B1227" r:id="rId2169" display="https://www.google.com/url?q=https://dmoj.ca/problem/cco07p1&amp;sa=D&amp;ust=1605639816617000&amp;usg=AFQjCNFNCcBrojlVSvONReP6z1ZRNA9dBg" xr:uid="{B3613B69-F7E6-4454-8D37-5C10B52AC34A}"/>
    <hyperlink ref="B1228" r:id="rId2170" display="https://www.google.com/url?q=https://www.acmicpc.net/problem/1760&amp;sa=D&amp;ust=1605639816617000&amp;usg=AFQjCNE0T7Dvlg5CaNelaD03Q1gVK-gPnQ" xr:uid="{E54C7295-7191-461A-B303-3B8D41962813}"/>
    <hyperlink ref="B1229" r:id="rId2171" display="https://www.google.com/url?q=https://wcipeg.com/problem/coci094p3&amp;sa=D&amp;ust=1605639816618000&amp;usg=AFQjCNHevUk94eFfPoz_8kjVEK_9C8KAQw" xr:uid="{4200B501-D4E1-4B22-B127-F00D2BF9B1DB}"/>
    <hyperlink ref="B1230" r:id="rId2172" display="https://www.google.com/url?q=https://oj.uz/problem/view/COCI20_skandi&amp;sa=D&amp;ust=1605639816618000&amp;usg=AFQjCNE9qLbC2fvNjzOYdmjhf9uWA4iYiA" xr:uid="{950D0A4E-0A13-4C36-AEDA-38177AF9BEE5}"/>
    <hyperlink ref="B1231" r:id="rId2173" display="https://www.google.com/url?q=https://oj.uz/problem/view/COCI20_trener&amp;sa=D&amp;ust=1605639816619000&amp;usg=AFQjCNHNsC4ShkOd5qQPv7gmls7jDDIUEw" xr:uid="{AAF2A563-DCFE-4219-BF25-CC353BD4A5E4}"/>
    <hyperlink ref="B1232" r:id="rId2174" display="https://www.google.com/url?q=https://wcipeg.com/problem/coi09p1&amp;sa=D&amp;ust=1605639816619000&amp;usg=AFQjCNHlEKBqXcvDPe2QbTgtL9T0u9a3og" xr:uid="{69F894F7-042D-4054-A260-1E441B002CD9}"/>
    <hyperlink ref="F1232" r:id="rId2175" display="https://www.google.com/url?q=https://github.com/mostafa-saad/MyCompetitiveProgramming/blob/master/COI/official/2010&amp;sa=D&amp;ust=1605639816619000&amp;usg=AFQjCNFysLyUakWjicT0fJYkHDSL4VgS7Q" xr:uid="{C1D5CC49-9AD4-4715-B0ED-229EE190CD74}"/>
    <hyperlink ref="B1233" r:id="rId2176" display="https://www.google.com/url?q=https://wcipeg.com/problem/coci087p4&amp;sa=D&amp;ust=1605639816619000&amp;usg=AFQjCNHSn6iCUPcsVNd03vJ4YLR6vzHQYA" xr:uid="{1FBFD442-DF00-4969-BD25-CE347E9962B7}"/>
    <hyperlink ref="F1233" r:id="rId2177" display="https://www.google.com/url?q=https://github.com/mostafa-saad/MyCompetitiveProgramming/blob/master/Olympiad/COCI/official/2009/regional_solutions&amp;sa=D&amp;ust=1605639816620000&amp;usg=AFQjCNFpM193fwOPTE3tI-BlPA4Iuu5L9w" xr:uid="{18B36A53-D56C-4457-9C50-C61B6794C145}"/>
    <hyperlink ref="B1234" r:id="rId2178" display="https://www.google.com/url?q=https://szkopul.edu.pl/problemset/problem/xfTByTABS18uZ1lmg4wQkVf2/site/&amp;sa=D&amp;ust=1605639816620000&amp;usg=AFQjCNHRny9Ruy_1nB8ngz7F2AXTCKLnuQ" xr:uid="{C044BF5C-A401-4E49-8715-7D1CA08435C1}"/>
    <hyperlink ref="F1234" r:id="rId2179" display="https://www.google.com/url?q=https://github.com/mostafa-saad/MyCompetitiveProgramming/blob/master/Olympiad/POI/official/find_editorial_sols_guidelines.txt&amp;sa=D&amp;ust=1605639816620000&amp;usg=AFQjCNGRRtYJnOqxEckiqlx6JCWys2jSUw" xr:uid="{AD420BB2-7190-43B8-A62E-254FEC1BB8E2}"/>
    <hyperlink ref="B1235" r:id="rId2180" display="https://www.google.com/url?q=https://dunjudge.me/analysis/problems/723/&amp;sa=D&amp;ust=1605639816620000&amp;usg=AFQjCNHxg2QtDQgHVUEFLyErVjw3Dmza3A" xr:uid="{8D192726-79EA-49D6-B84C-9BB5C4FA1A20}"/>
    <hyperlink ref="F1235" r:id="rId2181" display="https://www.google.com/url?q=https://github.com/mostafa-saad/MyCompetitiveProgramming/tree/master/Olympiad/MCO/official/2015&amp;sa=D&amp;ust=1605639816620000&amp;usg=AFQjCNHWWqNVKPNq4Y3pqiJU47U1v7ROgQ" xr:uid="{961BB03A-1DE7-4C38-9A5E-784D1F971C1B}"/>
    <hyperlink ref="B1236" r:id="rId2182" display="https://www.google.com/url?q=https://joisc2014.contest.atcoder.jp/tasks/joisc2014_a&amp;sa=D&amp;ust=1605639816621000&amp;usg=AFQjCNG0cKVztvKcLpDw94hQG_SYCiznGg" xr:uid="{17FE6956-4E7A-4B25-943B-C9700860E3CB}"/>
    <hyperlink ref="B1237" r:id="rId2183" display="https://www.google.com/url?q=https://joisc2014.contest.atcoder.jp/tasks/joisc2014_m&amp;sa=D&amp;ust=1605639816621000&amp;usg=AFQjCNHJkkevgQHbVx8zJ6cF5Q4XvMsGnA" xr:uid="{7C531402-99EB-4C09-BD79-41AFE0D67398}"/>
    <hyperlink ref="B1238" r:id="rId2184" display="https://www.google.com/url?q=https://joisc2014.contest.atcoder.jp/tasks/joisc2014_b&amp;sa=D&amp;ust=1605639816622000&amp;usg=AFQjCNGivUCyyYPpw_mPvDB4QgPSowuV_w" xr:uid="{0C3CD141-0926-425D-97F3-4B40BF221FDE}"/>
    <hyperlink ref="B1239" r:id="rId2185" display="https://www.google.com/url?q=https://joisc2015.contest.atcoder.jp/tasks/joisc2015_b&amp;sa=D&amp;ust=1605639816622000&amp;usg=AFQjCNGyANfYe4-nnO1NlB25iUrvYNgAlg" xr:uid="{9E501F05-AAC8-46DB-89C7-76EC0C488BB7}"/>
    <hyperlink ref="B1240" r:id="rId2186" display="https://www.google.com/url?q=https://csacademy.com/contest/ceoi-2017-day-2/&amp;sa=D&amp;ust=1605639816624000&amp;usg=AFQjCNH2N68_-EPPSsbRb8TF96fDu2ehjg" xr:uid="{C0C381CD-8F95-4010-9788-7536465547D2}"/>
    <hyperlink ref="B1241" r:id="rId2187" display="https://www.google.com/url?q=https://csacademy.com/contest/ceoi-2017-day-1/tasks/&amp;sa=D&amp;ust=1605639816624000&amp;usg=AFQjCNHiA-py2iKIhDrzvrWchMj-rc6pvw" xr:uid="{BC458D3D-5B61-49A5-86CD-A0A08A3147FF}"/>
    <hyperlink ref="F1241" r:id="rId2188" display="https://www.google.com/url?q=https://github.com/tmwilliamlin168/CompetitiveProgramming/blob/master/CEOI/17-Sure.cpp&amp;sa=D&amp;ust=1605639816624000&amp;usg=AFQjCNEPKExeTt-46HSanvsJ9OcV39BDpg" xr:uid="{4C57B0E4-4BB7-438A-A69E-BDC4F9748634}"/>
    <hyperlink ref="B1242" r:id="rId2189" display="https://www.google.com/url?q=http://www.spoj.com/problems/MOBILE2/&amp;sa=D&amp;ust=1605639816625000&amp;usg=AFQjCNFAq_InQis1rePCG8CwoYamnjzrWg" xr:uid="{24F58848-C980-44B0-93A1-88DAB72F06C8}"/>
    <hyperlink ref="F1242" r:id="rId2190" display="https://www.google.com/url?q=https://github.com/cacophonix/SPOJ/blob/master/MOBILE2.cpp&amp;sa=D&amp;ust=1605639816625000&amp;usg=AFQjCNEJUVTd8X4e1DS0DhWgbNyv5PT0QQ" xr:uid="{974311FE-F514-4F18-AACF-1D94FAFA924E}"/>
    <hyperlink ref="B1243" r:id="rId2191" display="https://www.google.com/url?q=https://www.infoarena.ro/problema/asmin&amp;sa=D&amp;ust=1605639816625000&amp;usg=AFQjCNHEaZhD6S27vW6EdtkAu8EOjKQHaA" xr:uid="{CC3C3538-63CD-4BA9-8336-5699E67E3578}"/>
    <hyperlink ref="F1243" r:id="rId2192" display="https://www.google.com/url?q=https://github.com/stefdasca/CompetitiveProgramming/blob/master/Infoarena/danger.cpp&amp;sa=D&amp;ust=1605639816625000&amp;usg=AFQjCNH27WQaxmLGuFv4yyj_nbqhpdqguA" xr:uid="{51379994-6976-42F7-883E-EDD776D0CEB1}"/>
    <hyperlink ref="B1244" r:id="rId2193" display="https://www.google.com/url?q=https://cses.fi/112/list/&amp;sa=D&amp;ust=1605639816626000&amp;usg=AFQjCNGClHg4VmxeGJN0NYf-Z_ugGUEkeg" xr:uid="{2F56C7E4-69A2-4339-A92B-E637B1C317E8}"/>
    <hyperlink ref="F1244" r:id="rId2194" display="https://www.google.com/url?q=https://github.com/mostafa-saad/MyCompetitiveProgramming/blob/master/Olympiad/Baltic/Baltic-07-Sequence.txt&amp;sa=D&amp;ust=1605639816626000&amp;usg=AFQjCNHEiJCzIhw7YrkOdRO1YC3-9P4TOA" xr:uid="{74A7F374-4656-4318-BF60-62EAFE97D056}"/>
    <hyperlink ref="B1245" r:id="rId2195" display="https://www.google.com/url?q=https://oj.uz/problem/view/COCI17_hokej&amp;sa=D&amp;ust=1605639816626000&amp;usg=AFQjCNEOop6lSbCTJaAD5nRyZHtEfEBWaQ" xr:uid="{1E8D77A7-9549-49B3-AD19-E6B193912C90}"/>
    <hyperlink ref="F1245" r:id="rId2196" display="https://www.google.com/url?q=https://github.com/mostafa-saad/MyCompetitiveProgramming/blob/master/Olympiad/COCI/official/2018/contest1_solutions&amp;sa=D&amp;ust=1605639816626000&amp;usg=AFQjCNH8rM0M-h60kj9oCf-sr0Ctt13c9A" xr:uid="{4C555266-255E-4029-AC3A-55C4019DCCFB}"/>
    <hyperlink ref="B1246" r:id="rId2197" display="https://www.google.com/url?q=https://cses.fi/115/list/&amp;sa=D&amp;ust=1605639816626000&amp;usg=AFQjCNFRrD0ryhYSVvU7Nav7VFNVhYmTCw" xr:uid="{1D3DBB02-5A28-4EE3-9320-251A82526CAE}"/>
    <hyperlink ref="F1246" r:id="rId2198" display="https://www.google.com/url?q=https://github.com/mostafa-saad/MyCompetitiveProgramming/blob/master/Olympiad/JOI/Baltic/Baltic-05-Magic.txt&amp;sa=D&amp;ust=1605639816627000&amp;usg=AFQjCNHcWMA_eLq2AlvYKThORxBs_ITqHg" xr:uid="{D3F5C9F2-562A-4240-9D5C-112F83E51669}"/>
    <hyperlink ref="B1247" r:id="rId2199" display="https://www.google.com/url?q=https://szkopul.edu.pl/problemset/problem/TPo3Eb_q2NKymvHo6kNvd5yx/site/&amp;sa=D&amp;ust=1605639816627000&amp;usg=AFQjCNHAUV3rnBrCPJqpfAwJKnjre-xclA" xr:uid="{E1061849-28BE-447C-B6F1-E974A67210B6}"/>
    <hyperlink ref="F1247" r:id="rId2200" display="https://www.google.com/url?q=https://github.com/mostafa-saad/MyCompetitiveProgramming/blob/master/Olympiad/POI/official/find_editorial_sols_guidelines.txt&amp;sa=D&amp;ust=1605639816627000&amp;usg=AFQjCNH3jIfySh3p9Y0r4xQut25d9jyTJA" xr:uid="{1ABE8F0B-B4B7-4660-8282-0AF6D69FE458}"/>
    <hyperlink ref="B1248" r:id="rId2201" display="https://www.google.com/url?q=https://szkopul.edu.pl/problemset/problem/hepq5oWcHLsMo3oOy-dp3OZC/site/&amp;sa=D&amp;ust=1605639816627000&amp;usg=AFQjCNEDaEVnqIj1IyO0ZT4XuH_-RM7L5A" xr:uid="{CD40840B-03CF-438A-8968-713051B07FD6}"/>
    <hyperlink ref="F1248" r:id="rId2202" display="https://www.google.com/url?q=https://github.com/peon-pasado/CompetitiveProgramming/blob/master/szkoput/POI-14-Bricks.cpp&amp;sa=D&amp;ust=1605639816627000&amp;usg=AFQjCNHvS9Rwuic5Lgv9_Z8OYHJUDAo09Q" xr:uid="{709D7DB2-2001-4CFF-8D98-8853A771363F}"/>
    <hyperlink ref="B1249" r:id="rId2203" display="https://www.google.com/url?q=https://csacademy.com/contest/round-80/task/shampoo-exchange/&amp;sa=D&amp;ust=1605639816628000&amp;usg=AFQjCNHOsxQpKi3aqYeuYQKiQsk5Jldk3A" xr:uid="{4EFFCE5A-52A3-49DF-ADED-DE0C4DFD556C}"/>
    <hyperlink ref="B1250" r:id="rId2204" display="https://www.google.com/url?q=https://cses.fi/108/list/&amp;sa=D&amp;ust=1605639816628000&amp;usg=AFQjCNGf6Kld1Dq29BokonZ0Xt97MN8iEg" xr:uid="{3BA47B59-DCC7-4FE7-873D-FA0902B8E41C}"/>
    <hyperlink ref="F1250" r:id="rId2205" display="https://www.google.com/url?q=https://github.com/mostafa-saad/MyCompetitiveProgramming/blob/master/Olympiad/Baltic/Baltic-09-Rectangle.txt&amp;sa=D&amp;ust=1605639816628000&amp;usg=AFQjCNEF1mLSgmBiAD06iACP1RhpC1KcDw" xr:uid="{6DF2F142-16EC-4A2B-892A-77BFE09258D8}"/>
    <hyperlink ref="B1251" r:id="rId2206" display="https://www.google.com/url?q=https://szkopul.edu.pl/problemset/problem/XcJ1RDGPzzspbYBm4xHCVpWM/site/&amp;sa=D&amp;ust=1605639816628000&amp;usg=AFQjCNF0Iadnzos7_E3mjYPm7x7xz-EGYw" xr:uid="{37EF45FF-A99D-4FA8-A489-010BB7EEA2F3}"/>
    <hyperlink ref="F1251" r:id="rId2207" display="https://www.google.com/url?q=https://github.com/mostafa-saad/MyCompetitiveProgramming/blob/master/Olympiad/POI/official/find_editorial_sols_guidelines.txt&amp;sa=D&amp;ust=1605639816629000&amp;usg=AFQjCNH6WeieXfuef-oe9lFbTzFdK6NEKg" xr:uid="{C9AC3B31-2478-46FF-B478-2FA7F8F72085}"/>
    <hyperlink ref="B1252" r:id="rId2208" display="https://www.google.com/url?q=https://contest.yandex.ru/ioi/contest/558/enter/&amp;sa=D&amp;ust=1605639816629000&amp;usg=AFQjCNEsmgMU-gmfMYbdSJ4f3UTxutPVaQ" xr:uid="{D8B6B551-AA44-48D3-BD69-7F18447B75F2}"/>
    <hyperlink ref="F1252" r:id="rId2209" display="https://www.google.com/url?q=https://github.com/mostafa-saad/MyCompetitiveProgramming/blob/master/Olympiad/IOI/official/2003&amp;sa=D&amp;ust=1605639816629000&amp;usg=AFQjCNEpmAwYSgnhCzncfX_S8sB3nE_sHw" xr:uid="{728EB951-F423-4A44-B274-E736DB4595F5}"/>
    <hyperlink ref="B1253" r:id="rId2210" display="https://www.google.com/url?q=https://open.kattis.com/problem-sources/Baltic%2520Olympiad%2520in%2520Informatics%25202017%252C%2520Warmup&amp;sa=D&amp;ust=1605639816629000&amp;usg=AFQjCNFWMQ29D5vUI-MS7pijDlYzdMX_Cw" xr:uid="{BB89807E-4C34-45AF-BFBE-6F961ABD0E11}"/>
    <hyperlink ref="F1253" r:id="rId2211" display="https://www.google.com/url?q=https://github.com/mostafa-saad/MyCompetitiveProgramming/blob/master/Olympiad/Baltic/BalticWarmup-17-Toast.txt&amp;sa=D&amp;ust=1605639816629000&amp;usg=AFQjCNH7DQTK3cUARJE0TmutG6o5YxQaXw" xr:uid="{5AF4F76E-5CA9-4D6E-9EFE-AF72ED43A86F}"/>
    <hyperlink ref="B1254" r:id="rId2212" display="https://www.google.com/url?q=https://dmoj.ca/problem/dmopc15c1p6&amp;sa=D&amp;ust=1605639816630000&amp;usg=AFQjCNEyGWY2_oVol9COULSFfxwNdyw9uA" xr:uid="{3D27F11A-B618-49B6-B4FE-888D20E9F2A9}"/>
    <hyperlink ref="B1255" r:id="rId2213" display="https://www.google.com/url?q=https://www.infoarena.ro/problema/troll&amp;sa=D&amp;ust=1605639816630000&amp;usg=AFQjCNEIUBfNk38Y1uRGg2X2DexLXFet1w" xr:uid="{9AC00B90-87F2-4ACF-8759-8C0D9DAAD867}"/>
    <hyperlink ref="F1255" r:id="rId2214" display="https://www.google.com/url?q=https://github.com/stefdasca/CompetitiveProgramming/blob/master/Infoarena/troll.cpp&amp;sa=D&amp;ust=1605639816630000&amp;usg=AFQjCNH77qxNlqrP2s-UzoiT0QdWcxWALA" xr:uid="{257C84C6-FFCC-42B1-BD5F-6E0DBF74BE66}"/>
    <hyperlink ref="B1256" r:id="rId2215" display="https://www.google.com/url?q=https://dunjudge.me/analysis/problems/959/&amp;sa=D&amp;ust=1605639816630000&amp;usg=AFQjCNFvIi_8PRUfNnZPZiB2wNTz053l1A" xr:uid="{F6178DA6-F30D-436A-81E7-F53FD84F25BC}"/>
    <hyperlink ref="F1256" r:id="rId2216" display="https://www.google.com/url?q=https://github.com/mostafa-saad/MyCompetitiveProgramming/tree/master/Olympiad/MCO/official&amp;sa=D&amp;ust=1605639816631000&amp;usg=AFQjCNFd6ZwUA3zVj9JPIVQA5UBCuyjIaQ" xr:uid="{BB2FA3FA-D375-4AA6-B0CF-D49B21816AA8}"/>
    <hyperlink ref="B1257" r:id="rId2217" display="https://www.google.com/url?q=https://dmoj.ca/problem/ccc15s4&amp;sa=D&amp;ust=1605639816631000&amp;usg=AFQjCNHeTrX3nmBnYCd5bhUSDEhbduvHlw" xr:uid="{2765916D-0B71-48D0-AA51-3896DAE429CE}"/>
    <hyperlink ref="B1258" r:id="rId2218" display="https://www.google.com/url?q=https://dmoj.ca/problem/dmopc14ce1p4&amp;sa=D&amp;ust=1605639816632000&amp;usg=AFQjCNEC3MJRgFbLdo_sCiVRF4iurcY2YQ" xr:uid="{16D8E2DE-794E-41E8-81F4-DA793831E321}"/>
    <hyperlink ref="B1259" r:id="rId2219" display="https://www.google.com/url?q=https://dmoj.ca/problem/dmpg15s6&amp;sa=D&amp;ust=1605639816632000&amp;usg=AFQjCNHNIZkhb2egXjmnTB0tANiGwZQ80g" xr:uid="{B554C772-5040-4B4C-B3DA-9CD18F8C95A4}"/>
    <hyperlink ref="B1260" r:id="rId2220" display="https://www.google.com/url?q=https://dmoj.ca/problem/ioi97p1&amp;sa=D&amp;ust=1605639816633000&amp;usg=AFQjCNEDzjQIwRUYJ7TA7603zGkImTiIcg" xr:uid="{F3ACC73B-D3A3-425C-8B7D-95CC57C86AAA}"/>
    <hyperlink ref="F1260" r:id="rId2221" display="https://www.google.com/url?q=http://olympiads.win.tue.nl/ioi/ioi97/contest/index.html&amp;sa=D&amp;ust=1605639816633000&amp;usg=AFQjCNG09EmSIBMpTX6quO6GuBLl8pyGPw" xr:uid="{1C2D10E8-744A-4515-9653-0C0BE7704056}"/>
    <hyperlink ref="B1261" r:id="rId2222" display="https://www.google.com/url?q=https://szkopul.edu.pl/problemset/problem/Phel_x2Ny30OUh7z1RhCtzEG/site/&amp;sa=D&amp;ust=1605639816633000&amp;usg=AFQjCNERttRWTX3mUmGVzLludjUAU3FTmQ" xr:uid="{E1D46E28-1428-49C7-9790-9CBED658BAAF}"/>
    <hyperlink ref="F1261" r:id="rId2223" display="https://www.google.com/url?q=https://github.com/mostafa-saad/MyCompetitiveProgramming/blob/master/Olympiad/POI/official/find_editorial_sols_guidelines.txt&amp;sa=D&amp;ust=1605639816633000&amp;usg=AFQjCNGQDAbOrF4yr41xb5L30AirBUQ3Yg" xr:uid="{1F20F023-B07C-4131-A96F-8E919FC6415D}"/>
    <hyperlink ref="B1262" r:id="rId2224" display="https://www.google.com/url?q=https://dunjudge.me/analysis/problems/150/&amp;sa=D&amp;ust=1605639816633000&amp;usg=AFQjCNGZkkp7jsocagEjC3sz_iKlnkHIew" xr:uid="{EC1B33B0-CEC4-437B-B1D2-2EC8AA94FBFD}"/>
    <hyperlink ref="F1262" r:id="rId2225" display="https://www.google.com/url?q=https://github.com/mostafa-saad/MyCompetitiveProgramming/blob/master/Olympiad/NOI/official&amp;sa=D&amp;ust=1605639816634000&amp;usg=AFQjCNGLatC17F1otDO6Khaf72KOuId-Qw" xr:uid="{E679E0AC-301A-4CD7-8788-646EF1AA274A}"/>
    <hyperlink ref="B1263" r:id="rId2226" display="https://www.google.com/url?q=https://oj.uz/problem/view/NOI12_pancake&amp;sa=D&amp;ust=1605639816634000&amp;usg=AFQjCNHGuZnQFgcXjUmxs_zGSh18FaUsjw" xr:uid="{B3AD859B-FCA2-4794-8A41-FC365B97029E}"/>
    <hyperlink ref="F1263" r:id="rId2227" display="https://www.google.com/url?q=https://www.comp.nus.edu.sg/~noi/2012/2012_soln.pdf&amp;sa=D&amp;ust=1605639816634000&amp;usg=AFQjCNEdzjmQMAm2CaSv7fVKj_UUBWdZjQ" xr:uid="{4C740AD7-F1C2-430F-AC77-9786D6759FFD}"/>
    <hyperlink ref="B1264" r:id="rId2228" display="https://www.google.com/url?q=https://codeforces.com/group/swEqtABRxe/contest/243430/problem/B&amp;sa=D&amp;ust=1605639816634000&amp;usg=AFQjCNGTfUaSOcJJNnzG8nAM_pHpdc79Jg" xr:uid="{1FBA371F-A062-412B-BD27-8CA7619F5130}"/>
    <hyperlink ref="B1265" r:id="rId2229" display="https://www.google.com/url?q=https://codeforces.com/group/swEqtABRxe/contest/227527/problem/A&amp;sa=D&amp;ust=1605639816635000&amp;usg=AFQjCNHBNI1wLBzTnFlQ2KIWaS0wMEhOaA" xr:uid="{AB5A16C2-240C-4BE8-B7CC-9260AE635555}"/>
    <hyperlink ref="F1265" r:id="rId2230" display="https://www.google.com/url?q=https://ideone.com/gbGHt9&amp;sa=D&amp;ust=1605639816635000&amp;usg=AFQjCNHnbTBNAdAepqDs8fzhA32mBGp9iw" xr:uid="{79A3C3FA-0597-4ADB-93A6-73F317EDA8B6}"/>
    <hyperlink ref="B1266" r:id="rId2231" display="https://www.google.com/url?q=https://oj.uz/problem/view/BOI13_tracks&amp;sa=D&amp;ust=1605639816635000&amp;usg=AFQjCNEb4L9IbkZXt1VyqF08xJ6spyR_og" xr:uid="{A725BEDF-4E65-48A4-8BBB-5B59E9DDA592}"/>
    <hyperlink ref="F1266" r:id="rId2232" display="https://www.google.com/url?q=https://github.com/mostafa-saad/MyCompetitiveProgramming/blob/master/Olympiad/Baltic/Baltic-13-tracks.txt&amp;sa=D&amp;ust=1605639816635000&amp;usg=AFQjCNF0lnlUQY2YQ0ywAYhn31tYoqT-Pg" xr:uid="{77E2BB36-1A5B-4472-942C-66103ABC6481}"/>
    <hyperlink ref="B1267" r:id="rId2233" display="https://www.google.com/url?q=https://oj.uz/problem/view/POI11_ins&amp;sa=D&amp;ust=1605639816635000&amp;usg=AFQjCNEk7vrPGoedh5RtH6FCioEPi-WQiw" xr:uid="{64660C95-E307-45AB-A9B8-1C76A9887B88}"/>
    <hyperlink ref="F1267" r:id="rId2234" display="https://www.google.com/url?q=https://github.com/mostafa-saad/MyCompetitiveProgramming/blob/master/Olympiad/POI/POI-11-ins.txt&amp;sa=D&amp;ust=1605639816636000&amp;usg=AFQjCNGLS_3ioPVeNwUePEIfiITpof7YUA" xr:uid="{BC7E18C9-5CE8-4026-923B-3E2260257CBE}"/>
    <hyperlink ref="B1268" r:id="rId2235" display="https://www.google.com/url?q=https://dunjudge.me/analysis/problems/960/&amp;sa=D&amp;ust=1605639816636000&amp;usg=AFQjCNEeSlKGUr7lcTbs2qLsRkJOWvciCQ" xr:uid="{CA48A369-6847-4F9E-A81E-1783969CC443}"/>
    <hyperlink ref="F1268" r:id="rId2236" display="https://www.google.com/url?q=https://github.com/mostafa-saad/MyCompetitiveProgramming/tree/master/Olympiad/MCO/official&amp;sa=D&amp;ust=1605639816636000&amp;usg=AFQjCNFlhOUhD5Z5WQdUAYw9qp5NgNYs4Q" xr:uid="{255150E3-AA01-427D-92C4-3F799CC2BEAB}"/>
    <hyperlink ref="B1269" r:id="rId2237" display="https://www.google.com/url?q=https://oj.uz/problem/view/NOI12_forensic&amp;sa=D&amp;ust=1605639816636000&amp;usg=AFQjCNF4odscYWoIGWBPfaHz7MlbVxm2mg" xr:uid="{305D3F63-36F6-456D-B45E-4FEB265BEA54}"/>
    <hyperlink ref="F1269" r:id="rId2238" display="https://www.google.com/url?q=https://github.com/mostafa-saad/MyCompetitiveProgramming/blob/master/Olympiad/NOI/official/2011.pptx&amp;sa=D&amp;ust=1605639816636000&amp;usg=AFQjCNGAWurzILbcD4WF3VC4lQqF3XHV_w" xr:uid="{F2FD1ABA-314C-4E73-9793-E909903925A7}"/>
    <hyperlink ref="B1270" r:id="rId2239" display="https://www.google.com/url?q=https://szkopul.edu.pl/problemset/problem/sKmyIHBMNi9EV3WO6GQ4xoFt/site/&amp;sa=D&amp;ust=1605639816637000&amp;usg=AFQjCNFHgSqSBqKqB1HlrqIM35Xpk3XNGA" xr:uid="{D193F76B-A24A-4274-8214-FDCC82E4CEB3}"/>
    <hyperlink ref="F1270" r:id="rId2240" display="https://www.google.com/url?q=https://github.com/mostafa-saad/MyCompetitiveProgramming/blob/master/Olympiad/POI/official/find_editorial_sols_guidelines.txt&amp;sa=D&amp;ust=1605639816637000&amp;usg=AFQjCNHC1ga7SUVsnaM-cG9Hj_YcemDiww" xr:uid="{1A4CBA5A-DFF6-4F76-97F0-682B50CD1BDD}"/>
    <hyperlink ref="B1271" r:id="rId2241" display="https://www.google.com/url?q=https://www.infoarena.ro/problema/pesaptecarari&amp;sa=D&amp;ust=1605639816637000&amp;usg=AFQjCNF8WqLPqeZmsRqd0p-CWJFTV9azEw" xr:uid="{11D0AF7C-78B7-4A3B-935A-191C15A25FEE}"/>
    <hyperlink ref="F1271" r:id="rId2242" display="https://www.google.com/url?q=https://github.com/stefdasca/CompetitiveProgramming/blob/master/Infoarena/pesaptecarari.cpp&amp;sa=D&amp;ust=1605639816637000&amp;usg=AFQjCNEFqdN49u6rlOTbeOMPK_y2C7uH_g" xr:uid="{D29CCA1D-8F37-4A34-93D4-BA06FA04CB27}"/>
    <hyperlink ref="B1272" r:id="rId2243" display="https://www.google.com/url?q=https://oj.uz/problem/view/NOI13_ferries&amp;sa=D&amp;ust=1605639816637000&amp;usg=AFQjCNGJRvxBC9mA8AoYN3eNq4ETiO_OQQ" xr:uid="{25D9B30C-73CF-4CF9-8903-9F20E38BDA6C}"/>
    <hyperlink ref="B1273" r:id="rId2244" display="https://www.google.com/url?q=https://szkopul.edu.pl/problemset/problem/Jnq0pGf9q3nVm-b1h6Bg23G9/site/&amp;sa=D&amp;ust=1605639816638000&amp;usg=AFQjCNHZOOh1oiQ6D0Ggi15-eobDiQ3cNw" xr:uid="{F4AAAB74-0790-4A50-934C-82A4F0E7BBEE}"/>
    <hyperlink ref="F1273" r:id="rId2245" display="https://www.google.com/url?q=https://github.com/mostafa-saad/MyCompetitiveProgramming/blob/master/Olympiad/POI/official/find_editorial_sols_guidelines.txt&amp;sa=D&amp;ust=1605639816638000&amp;usg=AFQjCNHDxr5YidAOMi76iiC-QtK_CzgyYw" xr:uid="{38C4FA27-8F32-4978-BA26-7DF78CAEA903}"/>
    <hyperlink ref="B1274" r:id="rId2246" display="https://www.google.com/url?q=https://dunjudge.me/analysis/problems/962/&amp;sa=D&amp;ust=1605639816638000&amp;usg=AFQjCNGKH-KxeKJlD3Pz0zO-GvZtLQc9Lg" xr:uid="{0956F55C-5824-48E9-99C8-ACD312DE56D6}"/>
    <hyperlink ref="F1274" r:id="rId2247" display="https://www.google.com/url?q=https://github.com/mostafa-saad/MyCompetitiveProgramming/tree/master/Olympiad/MCO/official&amp;sa=D&amp;ust=1605639816638000&amp;usg=AFQjCNE4OaAB4oN2MfCE-kyvl0tMnN1SgQ" xr:uid="{CF8E295E-D1A2-44E2-AAB9-F5907345F11C}"/>
    <hyperlink ref="B1275" r:id="rId2248" display="https://www.google.com/url?q=https://joi2013ho.contest.atcoder.jp/tasks/joi2013ho3&amp;sa=D&amp;ust=1605639816638000&amp;usg=AFQjCNGBh69HV_wnY4p0xeLpa2pALGov5Q" xr:uid="{F8AFC717-9BC7-488A-9920-9386722DCF64}"/>
    <hyperlink ref="B1276" r:id="rId2249" display="https://www.google.com/url?q=https://www.infoarena.ro/problema/secvmax&amp;sa=D&amp;ust=1605639816639000&amp;usg=AFQjCNEmYhf8Ot1LeRiUBiZJLDS3qCgsQw" xr:uid="{5A26321C-6BD6-4711-9EB7-412815FC47D3}"/>
    <hyperlink ref="F1276" r:id="rId2250" display="https://www.google.com/url?q=https://github.com/stefdasca/CompetitiveProgramming/blob/master/Infoarena/secvmax.cpp&amp;sa=D&amp;ust=1605639816640000&amp;usg=AFQjCNG4Nf7-1iyJEu-u2Gei1U95S-FzLA" xr:uid="{FFDA6050-96BB-4DAA-80D3-5D92F51F6099}"/>
    <hyperlink ref="B1277" r:id="rId2251" display="https://www.google.com/url?q=https://szkopul.edu.pl/problemset/problem/G-ZVHDa7y3xWk2PQM27uNq3n/site/&amp;sa=D&amp;ust=1605639816640000&amp;usg=AFQjCNHVJWM5IXSaF46vVn6dRQcugyoBMQ" xr:uid="{E2FD7355-AC2D-43B4-BD54-E31423500518}"/>
    <hyperlink ref="F1277" r:id="rId2252" display="https://www.google.com/url?q=https://github.com/mostafa-saad/MyCompetitiveProgramming/blob/master/Olympiad/POI/official/find_editorial_sols_guidelines.txt&amp;sa=D&amp;ust=1605639816640000&amp;usg=AFQjCNHj_m6OWEo9Nc-RF3UfV54mWSnyVg" xr:uid="{9C0AB58E-5AC2-4B41-BFA7-B84B19EFF7C6}"/>
    <hyperlink ref="B1278" r:id="rId2253" display="https://www.google.com/url?q=https://dunjudge.me/analysis/problems/956/&amp;sa=D&amp;ust=1605639816640000&amp;usg=AFQjCNGgiaWB3_K0RNJoBG07PEOoiFzaGw" xr:uid="{19312EAD-2BAB-44C8-9485-EC4A4907A3E5}"/>
    <hyperlink ref="F1278" r:id="rId2254" display="https://www.google.com/url?q=https://github.com/mostafa-saad/MyCompetitiveProgramming/blob/master/Olympiad/NOI/official&amp;sa=D&amp;ust=1605639816640000&amp;usg=AFQjCNFHzwzAZgYxFYIaHuXH4QCkYaCvZA" xr:uid="{11A23C05-44C8-43EA-AD20-D04653FD8C63}"/>
    <hyperlink ref="B1279" r:id="rId2255" display="https://www.google.com/url?q=https://dmoj.ca/problem/crci07p3&amp;sa=D&amp;ust=1605639816641000&amp;usg=AFQjCNF7VdbsTBMu9E3uCNcK8QKIvrYIUg" xr:uid="{623DAE85-31A1-4FAB-A181-CB1A42907EB8}"/>
    <hyperlink ref="F1279" r:id="rId2256" display="https://www.google.com/url?q=https://github.com/mostafa-saad/MyCompetitiveProgramming/tree/master/Olympiad/COCI/official/2008/regional_solutions&amp;sa=D&amp;ust=1605639816641000&amp;usg=AFQjCNH-wn-JERoKF9J0zxE1xMRwgHLdhQ" xr:uid="{7F843B4F-9C58-4584-A577-48DDC77AB464}"/>
    <hyperlink ref="B1280" r:id="rId2257" display="https://www.google.com/url?q=https://contest.yandex.ru/ioi/contest/566/enter/&amp;sa=D&amp;ust=1605639816641000&amp;usg=AFQjCNE5An-UKju65v3HtaAEojR2bmHK0g" xr:uid="{9813D7F0-EB6D-4730-86E1-080A232C42C6}"/>
    <hyperlink ref="F1280" r:id="rId2258" display="https://www.google.com/url?q=https://www.oi.edu.pl/old/ioi/downloads/ioi2005-tasks-and-solutions-a5.pdf&amp;sa=D&amp;ust=1605639816641000&amp;usg=AFQjCNHmAxMY0NMS9LSWQJA8FtG-21udTg" xr:uid="{B0B65785-7150-403C-A216-0CFE5D9463B3}"/>
    <hyperlink ref="B1281" r:id="rId2259" display="https://www.google.com/url?q=https://dunjudge.me/analysis/problems/705/&amp;sa=D&amp;ust=1605639816642000&amp;usg=AFQjCNEa4CAZu3EXSRJ0ZKfHMiHHSQ-ytw" xr:uid="{87FFACAB-471F-4FA1-949C-BDFEF898B7C0}"/>
    <hyperlink ref="F1281" r:id="rId2260" display="https://www.google.com/url?q=https://github.com/mostafa-saad/MyCompetitiveProgramming/blob/master/Olympiad/NOI/official&amp;sa=D&amp;ust=1605639816642000&amp;usg=AFQjCNH49XTYwguOsQX-6IQxRBrVI124kA" xr:uid="{D840EEBC-4179-4079-B32A-AD7FB9D8A338}"/>
    <hyperlink ref="B1282" r:id="rId2261" display="https://www.google.com/url?q=https://szkopul.edu.pl/problemset/problem/v6-xa-25AJSF4_oV5LAKvz7H/site/&amp;sa=D&amp;ust=1605639816642000&amp;usg=AFQjCNFblur2pCLSUCUbaNZAQpl3gnBGyw" xr:uid="{8B5996B9-5F36-4467-9E9E-48C52FD67983}"/>
    <hyperlink ref="F1282" r:id="rId2262" display="https://www.google.com/url?q=https://github.com/mostafa-saad/MyCompetitiveProgramming/blob/master/Olympiad/CEOI/CEOI%252010-pin.cpp&amp;sa=D&amp;ust=1605639816642000&amp;usg=AFQjCNE8rpjJuFmoJmgrSfUJJhXlblynaQ" xr:uid="{F6B5BC28-1C11-4734-B1DA-5BF1ED2D5DE0}"/>
    <hyperlink ref="B1283" r:id="rId2263" display="https://www.google.com/url?q=https://codeforces.com/group/swEqtABRxe/contest/243438/problem/A&amp;sa=D&amp;ust=1605639816642000&amp;usg=AFQjCNFZlztAMk6zT8HjfwwCWwXTqKOLRg" xr:uid="{F8593E30-0621-4468-80F7-552D2C6A070E}"/>
    <hyperlink ref="F1283" r:id="rId2264" display="https://www.google.com/url?q=https://github.com/ahmedibrahim404/CompetitiveProgramming/blob/master/EOI/IOI_Quals%2719/D2_A/main.cpp&amp;sa=D&amp;ust=1605639816642000&amp;usg=AFQjCNGOlvY0csRMxvOQO9UBfhbj7qcuow" xr:uid="{1A3D860C-FC48-402B-814D-62EDDF178724}"/>
    <hyperlink ref="B1284" r:id="rId2265" display="https://www.google.com/url?q=https://codeforces.com/group/swEqtABRxe/contest/243437/problem/A&amp;sa=D&amp;ust=1605639816643000&amp;usg=AFQjCNFpV-aMRbJuv6gZfDAXm7hSApikgQ" xr:uid="{E49E77B0-F52C-402B-AFBA-00B141E154DA}"/>
    <hyperlink ref="B1285" r:id="rId2266" display="https://www.google.com/url?q=https://www.acmicpc.net/problem/7053&amp;sa=D&amp;ust=1605639816643000&amp;usg=AFQjCNGwoWYOblFrsP8wBGPnocu74VrgWw" xr:uid="{8F89FEFB-2407-4BD6-A172-43DEE0A0615A}"/>
    <hyperlink ref="F1285" r:id="rId2267" display="https://www.google.com/url?q=https://github.com/mostafa-saad/MyCompetitiveProgramming/tree/master/Olympiad/CEOI/official/2003&amp;sa=D&amp;ust=1605639816643000&amp;usg=AFQjCNGGQh10ZvXMIsIffBOEJ7JIVIFRag" xr:uid="{8442ACF0-BF9C-4896-8FB4-06A1FB75EC09}"/>
    <hyperlink ref="B1286" r:id="rId2268" display="https://www.google.com/url?q=https://dmoj.ca/problem/bf3hard&amp;sa=D&amp;ust=1605639816643000&amp;usg=AFQjCNFuJ9awU713-tqswQeJOsKmcVmc_A" xr:uid="{82A404AA-D326-4F0A-B9E2-EF4A2D920C7A}"/>
    <hyperlink ref="B1287" r:id="rId2269" display="https://www.google.com/url?q=https://szkopul.edu.pl/problemset/problem/MVjuhH4JZu17rusHweyEdyJx/site/&amp;sa=D&amp;ust=1605639816644000&amp;usg=AFQjCNHATX8ESawtAFaZeIng7LdCJJk_FQ" xr:uid="{94F5818C-D7A2-4A55-B106-C4A8BD1E26F5}"/>
    <hyperlink ref="F1287" r:id="rId2270" display="https://www.google.com/url?q=https://github.com/mostafa-saad/MyCompetitiveProgramming/blob/master/Olympiad/POI/official/find_editorial_sols_guidelines.txt&amp;sa=D&amp;ust=1605639816644000&amp;usg=AFQjCNFSGxz9af2nKfHplog-9gYRprNekQ" xr:uid="{2CA97AC7-0BB8-4214-9AAB-232323066D85}"/>
    <hyperlink ref="B1288" r:id="rId2271" display="https://www.google.com/url?q=https://szkopul.edu.pl/problemset/problem/hOwg83Xw_OnTpfQ9SroS0OJA/site/&amp;sa=D&amp;ust=1605639816644000&amp;usg=AFQjCNE6-rJjd68MbCPvjRcYbQHJR66M2Q" xr:uid="{33296DBF-BC6A-4343-9739-DD227B310FE3}"/>
    <hyperlink ref="F1288" r:id="rId2272" display="https://www.google.com/url?q=https://github.com/mostafa-saad/MyCompetitiveProgramming/blob/master/Olympiad/POI/official/find_editorial_sols_guidelines.txt&amp;sa=D&amp;ust=1605639816644000&amp;usg=AFQjCNFSGxz9af2nKfHplog-9gYRprNekQ" xr:uid="{7093A46A-3C01-42FB-B0A8-D68E007BEA5C}"/>
    <hyperlink ref="B1289" r:id="rId2273" display="https://www.google.com/url?q=https://dunjudge.me/analysis/problems/270/&amp;sa=D&amp;ust=1605639816645000&amp;usg=AFQjCNG8AsUuSRnkQYallEf54xTF7ZbElg" xr:uid="{C7921F37-8D01-431D-884A-8A897D0B31E8}"/>
    <hyperlink ref="F1289" r:id="rId2274" display="https://www.google.com/url?q=https://github.com/mostafa-saad/MyCompetitiveProgramming/blob/master/Olympiad/NOI/official&amp;sa=D&amp;ust=1605639816645000&amp;usg=AFQjCNE8QBW_7KPFt_-DwUiQlNFa1XqX_A" xr:uid="{DBA433B8-6281-4D68-9768-6231C6780928}"/>
    <hyperlink ref="B1290" r:id="rId2275" display="https://www.google.com/url?q=https://dmoj.ca/problem/coci06c3p5&amp;sa=D&amp;ust=1605639816645000&amp;usg=AFQjCNEJv9MCwsfgcsB6dDDlMNB9N2PSGA" xr:uid="{6DC8DD66-C34A-4DC3-94D1-6CD04F95AD60}"/>
    <hyperlink ref="F1290" r:id="rId2276" display="https://www.google.com/url?q=https://github.com/mostafa-saad/MyCompetitiveProgramming/blob/master/Olympiad/CEOI/06-Bicikli.txt&amp;sa=D&amp;ust=1605639816645000&amp;usg=AFQjCNHCkNxf__tdPsbojbutPGRCY6c_bA" xr:uid="{C07EDEFA-37C4-4441-B56F-3E369D4F946E}"/>
    <hyperlink ref="B1291" r:id="rId2277" display="https://www.google.com/url?q=https://dmoj.ca/problem/coci13c1p5&amp;sa=D&amp;ust=1605639816645000&amp;usg=AFQjCNEYcHGHVyGLoeXvyq3xKbUNZR2ffQ" xr:uid="{7FB4FE92-47F0-4B7A-9AE3-19265413D40D}"/>
    <hyperlink ref="F1291" r:id="rId2278" display="https://www.google.com/url?q=https://github.com/mostafa-saad/MyCompetitiveProgramming/blob/master/Olympiad/COCI/official/2014/contest1_solutions&amp;sa=D&amp;ust=1605639816646000&amp;usg=AFQjCNFDu6v8XHpfkUelbXghaM4Qev0mvA" xr:uid="{91DE6FDB-4006-4A2B-945F-70852EA668E1}"/>
    <hyperlink ref="B1292" r:id="rId2279" display="https://www.google.com/url?q=https://dmoj.ca/problem/coci06c4p4&amp;sa=D&amp;ust=1605639816646000&amp;usg=AFQjCNGwZBwvRtG52WN9jjItwstZSNR2kg" xr:uid="{A618BD95-FCF2-4C4B-8EA9-6E87C0DC5135}"/>
    <hyperlink ref="F1292" r:id="rId2280" display="https://www.google.com/url?q=https://github.com/mostafa-saad/MyCompetitiveProgramming/tree/master/Olympiad/COCI/official/2007/contest4_solutions&amp;sa=D&amp;ust=1605639816646000&amp;usg=AFQjCNGVIT9ahce4ODakvmWdkkW8fwKx9g" xr:uid="{DF02C4E5-8D17-454B-AE86-EA1D365AEAEE}"/>
    <hyperlink ref="B1293" r:id="rId2281" display="https://www.google.com/url?q=https://dmoj.ca/problem/coci06c1p5&amp;sa=D&amp;ust=1605639816646000&amp;usg=AFQjCNGJxfJM2tUpNR8fp4d_AB_gV1qDOA" xr:uid="{BA76F624-1C0C-4930-ACA5-AFBA8EA8CAAE}"/>
    <hyperlink ref="F1293" r:id="rId2282" display="https://www.google.com/url?q=https://github.com/mostafa-saad/MyCompetitiveProgramming/tree/master/Olympiad/COCI/official/2007/contest1_solutions&amp;sa=D&amp;ust=1605639816647000&amp;usg=AFQjCNHdaqyTTQjar23fmGB4bcPfkx3ZUw" xr:uid="{46E63995-3CF2-4829-A0F5-06A4FCCECA5F}"/>
    <hyperlink ref="B1294" r:id="rId2283" display="https://www.google.com/url?q=https://oj.uz/problem/view/BOI16_bosses&amp;sa=D&amp;ust=1605639816648000&amp;usg=AFQjCNEzR5f-YoECyfHi03WHUZ1CpqUB1Q" xr:uid="{7459289C-9609-4EE0-BF05-3C52D1B6EA9F}"/>
    <hyperlink ref="F1294" r:id="rId2284" display="https://www.google.com/url?q=https://github.com/mostafa-saad/MyCompetitiveProgramming/blob/master/Olympiad/Baltic/Baltic-16-bosses.txt&amp;sa=D&amp;ust=1605639816648000&amp;usg=AFQjCNFExO904qw2LxmRqefaU82-RJN_ag" xr:uid="{8CBEE044-0972-45B8-925B-D069D28FC473}"/>
    <hyperlink ref="B1295" r:id="rId2285" display="https://www.google.com/url?q=https://dunjudge.me/analysis/problems/146/&amp;sa=D&amp;ust=1605639816648000&amp;usg=AFQjCNGZLDd4g0qRURZKuZYjONpizuu5Cw" xr:uid="{806AB9A5-3E73-46AF-8B3A-41C4B17517AA}"/>
    <hyperlink ref="F1295" r:id="rId2286" display="https://www.google.com/url?q=https://github.com/mostafa-saad/MyCompetitiveProgramming/blob/master/Olympiad/NOI/NOI-07-hole.txt&amp;sa=D&amp;ust=1605639816648000&amp;usg=AFQjCNFNVbuJ4qj3BYuAQiV0rr4zVoePSA" xr:uid="{D5C7F7E4-2F69-47D8-9260-77F31B7D88C8}"/>
    <hyperlink ref="B1296" r:id="rId2287" display="https://www.google.com/url?q=https://dmoj.ca/problem/coci13c1p3&amp;sa=D&amp;ust=1605639816648000&amp;usg=AFQjCNH2HZL8nEbrTFJKmqjlW0rPTKF15w" xr:uid="{F7AF186C-F8AC-40A3-B441-ACBD7C3693B5}"/>
    <hyperlink ref="F1296" r:id="rId2288" display="https://www.google.com/url?q=https://github.com/mostafa-saad/MyCompetitiveProgramming/blob/master/Olympiad/COCI/official/2014/contest1_solutions&amp;sa=D&amp;ust=1605639816649000&amp;usg=AFQjCNE2ZJWcTIjIAE_j7tk5vjCbjhFY3g" xr:uid="{20D689DA-6A5F-487D-9186-57B169887429}"/>
    <hyperlink ref="B1297" r:id="rId2289" display="https://www.google.com/url?q=https://contest.yandex.ru/snss2018/contest/8703/problems/A&amp;sa=D&amp;ust=1605639816649000&amp;usg=AFQjCNE-6UlmR8PmD7GCG9xEfA_XX44DPA" xr:uid="{6AEB0FC9-0762-40BF-849D-DCD970E1C5AB}"/>
    <hyperlink ref="F1297" r:id="rId2290" display="https://www.google.com/url?q=https://github.com/SpeedOfMagic/CompetitiveProgramming/blob/master/SNSS/18-R5-A.cpp&amp;sa=D&amp;ust=1605639816649000&amp;usg=AFQjCNGKlJSKRxMdB2fRhhy_bVqb6BKp5w" xr:uid="{EB1EF169-57F9-46F4-BD3C-D5612D75FDEB}"/>
    <hyperlink ref="B1298" r:id="rId2291" display="https://www.google.com/url?q=https://csacademy.com/contest/junior-challenge-2017-day-2/task/set-subtraction&amp;sa=D&amp;ust=1605639816649000&amp;usg=AFQjCNHMeESLM7laGLlVbeRl6ZqOAbTcCw" xr:uid="{7E8C74FD-972C-4277-9BD4-7170A9705897}"/>
    <hyperlink ref="B1299" r:id="rId2292" display="https://www.google.com/url?q=https://dunjudge.me/analysis/problems/281/&amp;sa=D&amp;ust=1605639816650000&amp;usg=AFQjCNF48myWH5afDb2BVw0akKta0xQrMA" xr:uid="{612249B6-8C90-407D-A7F0-36464DF33305}"/>
    <hyperlink ref="F1299" r:id="rId2293" display="https://www.google.com/url?q=https://github.com/mostafa-saad/MyCompetitiveProgramming/blob/master/Olympiad/NOI/official&amp;sa=D&amp;ust=1605639816650000&amp;usg=AFQjCNHqn-JaCvPgX17ddH2mEtrj474ilQ" xr:uid="{08033C64-B03B-49D2-831E-5C44F6A504F3}"/>
    <hyperlink ref="B1300" r:id="rId2294" display="https://www.google.com/url?q=https://wcipeg.com/problem/coci087p5&amp;sa=D&amp;ust=1605639816650000&amp;usg=AFQjCNG05WASeI0LWslEuDA_HkM4f3ZWWA" xr:uid="{2A96E7E6-F522-45C0-8FFA-F8E37883780F}"/>
    <hyperlink ref="F1300" r:id="rId2295" display="https://www.google.com/url?q=https://github.com/mostafa-saad/MyCompetitiveProgramming/blob/master/Olympiad/COCI/official/2009/regional_solutions&amp;sa=D&amp;ust=1605639816650000&amp;usg=AFQjCNHmXZfWZN9pJudaF9QOFjjigHjSDQ" xr:uid="{EA1CA927-727F-4F11-BBBD-606916C798D0}"/>
    <hyperlink ref="B1301" r:id="rId2296" display="https://www.google.com/url?q=https://szkopul.edu.pl/problemset/problem/p5XIDH2wrPz6KrUOJCv2RjGq/site/&amp;sa=D&amp;ust=1605639816651000&amp;usg=AFQjCNHzlXbNjXlRkxsf02lVr3NtcTHVhg" xr:uid="{DBA94B48-36D2-4C34-97C0-B762F81D5C07}"/>
    <hyperlink ref="F1301" r:id="rId2297" display="https://www.google.com/url?q=https://github.com/sofhiasouza/CompetitiveProgramming/blob/master/POI/cash.cpp&amp;sa=D&amp;ust=1605639816651000&amp;usg=AFQjCNG4weBnUvTHu4-NwfqueRzSnpeS1g" xr:uid="{F1A4C9A6-76FD-4236-A6EF-D72AF633EB8E}"/>
    <hyperlink ref="B1302" r:id="rId2298" display="https://www.google.com/url?q=https://www.infoarena.ro/problema/bile6&amp;sa=D&amp;ust=1605639816651000&amp;usg=AFQjCNFDfnie4oPXhvpuezycb0fhBkZZcQ" xr:uid="{028372B5-F674-46F8-8D4D-240DC660F96F}"/>
    <hyperlink ref="F1302" r:id="rId2299" display="https://www.google.com/url?q=https://github.com/stefdasca/CompetitiveProgramming/blob/master/Infoarena/bile6.cpp&amp;sa=D&amp;ust=1605639816651000&amp;usg=AFQjCNGEMcVd_1XSwGFSw8GT-iSeNc3nhg" xr:uid="{34627F30-C604-486F-8621-AA3946B57A3A}"/>
    <hyperlink ref="B1303" r:id="rId2300" display="https://www.google.com/url?q=https://oj.uz/problem/view/COCI18_preokret&amp;sa=D&amp;ust=1605639816651000&amp;usg=AFQjCNHcltz8ddf_KPeuIvZgLWbb588dgg" xr:uid="{27A184DA-505A-44A8-BDD2-4CD7C57A112A}"/>
    <hyperlink ref="B1304" r:id="rId2301" display="https://www.google.com/url?q=https://codeforces.com/group/swEqtABRxe/contest/243427/problem/A&amp;sa=D&amp;ust=1605639816652000&amp;usg=AFQjCNENJBnWVOrSZfVHnwfFbvOUUppBAA" xr:uid="{C9281954-01A5-4C96-A771-404F7E9E5CEC}"/>
    <hyperlink ref="B1305" r:id="rId2302" display="https://www.google.com/url?q=https://www.e-olymp.com/en/problems/7482&amp;sa=D&amp;ust=1605639816652000&amp;usg=AFQjCNE2bpvS88xABBMjhhsOmMeoEOd9gw" xr:uid="{644F0C74-A50A-4194-873F-813EEB56F466}"/>
    <hyperlink ref="F1305" r:id="rId2303" display="https://www.google.com/url?q=https://github.com/tmwilliamlin168/CompetitiveProgramming/blob/master/IZHO/13-Trading.cpp&amp;sa=D&amp;ust=1605639816652000&amp;usg=AFQjCNFQGnDZ5EXF7_SpyGsRO-bqnIyoqg" xr:uid="{7B649BF0-8B7E-416F-B323-A87A2B58FE70}"/>
    <hyperlink ref="B1306" r:id="rId2304" display="https://www.google.com/url?q=https://www.infoarena.ro/problema/nrsec&amp;sa=D&amp;ust=1605639816652000&amp;usg=AFQjCNHU4xkp-vDSrA5KjHK-FqyN510KNQ" xr:uid="{F58DB06F-548E-43FA-A430-C7B3DCCD6241}"/>
    <hyperlink ref="F1306" r:id="rId2305" display="https://www.google.com/url?q=https://github.com/stefdasca/CompetitiveProgramming/blob/master/Infoarena/nrsec.cpp&amp;sa=D&amp;ust=1605639816653000&amp;usg=AFQjCNF-w1coNxvpL-YIRkXxzeHqGdz-OQ" xr:uid="{7F537C10-E47A-4F39-9A9E-B17147638DE3}"/>
    <hyperlink ref="B1307" r:id="rId2306" display="https://www.google.com/url?q=https://dmoj.ca/problem/ioi01p1&amp;sa=D&amp;ust=1605639816653000&amp;usg=AFQjCNGyJKRSdj1_Agp_fR86DYS15cu-Gg" xr:uid="{857A4CF5-E832-42C1-BBF3-2673A5B20F90}"/>
    <hyperlink ref="F1307" r:id="rId2307" display="https://www.google.com/url?q=https://github.com/mostafa-saad/MyCompetitiveProgramming/blob/master/Olympiad/IOI/official/2001&amp;sa=D&amp;ust=1605639816653000&amp;usg=AFQjCNHfm9xi2FByTEQvnOrPIc2QKtDaAA" xr:uid="{2834F163-0809-4D52-AEC0-4C84E83A6BD5}"/>
    <hyperlink ref="B1308" r:id="rId2308" display="https://www.google.com/url?q=https://cses.fi/116/list/&amp;sa=D&amp;ust=1605639816653000&amp;usg=AFQjCNEqjFhxun6YwH8JTi-lRnfTTSCUpg" xr:uid="{BB56BE5D-E6D6-4FCD-9068-EAF1942B90DF}"/>
    <hyperlink ref="F1308" r:id="rId2309" display="https://www.google.com/url?q=https://github.com/mostafa-saad/MyCompetitiveProgramming/blob/master/Olympiad/Baltic/official/boi2005_solutions&amp;sa=D&amp;ust=1605639816654000&amp;usg=AFQjCNEwIaPu60FZoP0iYKB27zLNgJbXxA" xr:uid="{238C803A-9A19-401D-B095-8781D6706E5A}"/>
    <hyperlink ref="B1309" r:id="rId2310" display="https://www.google.com/url?q=https://joi2016ho.contest.atcoder.jp/tasks/joi2016ho_a&amp;sa=D&amp;ust=1605639816654000&amp;usg=AFQjCNEvupGb38Im8bJLZyvaV22D3U5iyw" xr:uid="{686B40CE-3319-4D99-B7B2-C247559C5E80}"/>
    <hyperlink ref="F1309" r:id="rId2311" display="https://www.google.com/url?q=https://github.com/nikolapesic2802/Programming-Practice/blob/master/Oranges/main.cpp&amp;sa=D&amp;ust=1605639816654000&amp;usg=AFQjCNF6pfucfI1_N59bpsdu9d8yxUi4Aw" xr:uid="{9BC21025-07B0-4E69-908D-DA8A39B9B88F}"/>
    <hyperlink ref="B1310" r:id="rId2312" display="https://www.google.com/url?q=https://www.infoarena.ro/problema/tablou&amp;sa=D&amp;ust=1605639816654000&amp;usg=AFQjCNH8ds3NERxgt3jFU9BH9BITRlHzCQ" xr:uid="{175F4F21-5FFE-416C-98EA-256696B9A85B}"/>
    <hyperlink ref="F1310" r:id="rId2313" display="https://www.google.com/url?q=https://github.com/stefdasca/CompetitiveProgramming/blob/master/Infoarena/tablou.cpp&amp;sa=D&amp;ust=1605639816654000&amp;usg=AFQjCNEwxywq-yWbOtsw4QBgBRpAy5aHsw" xr:uid="{533FB35D-D112-48AA-8A7C-9C2FC4474811}"/>
    <hyperlink ref="B1311" r:id="rId2314" display="https://www.google.com/url?q=http://usaco.org/index.php?page%3Dviewproblem2%26cpid%3D193&amp;sa=D&amp;ust=1605639816655000&amp;usg=AFQjCNF_y-FHoFJGWCJcN0fJncL1QdBU6A" xr:uid="{BE2B1176-5381-449B-AD7A-040A5BED6CC6}"/>
    <hyperlink ref="B1312" r:id="rId2315" display="https://www.google.com/url?q=https://dunjudge.me/analysis/problems/695/&amp;sa=D&amp;ust=1605639816656000&amp;usg=AFQjCNHcX0utbODpR80dcW1aG2gnKLEVbw" xr:uid="{3C4A01CE-A29E-4C38-9B16-BE97DDF3F0C8}"/>
    <hyperlink ref="B1313" r:id="rId2316" display="https://www.google.com/url?q=https://dmoj.ca/problem/coci06c5p3&amp;sa=D&amp;ust=1605639816656000&amp;usg=AFQjCNERQuOJ-krXBl37mFo_lIyuX9q0Gw" xr:uid="{41D3D1E1-8185-4120-9682-66F272D2CC29}"/>
    <hyperlink ref="F1313" r:id="rId2317" display="https://www.google.com/url?q=https://github.com/mostafa-saad/MyCompetitiveProgramming/tree/master/Olympiad/COCI/official/2007/contest5_solutions&amp;sa=D&amp;ust=1605639816656000&amp;usg=AFQjCNEtwHIp5SWsrXemHssl_plCGBo4-Q" xr:uid="{BE68DFC0-8E68-4C0F-A983-D4B4F05FB571}"/>
    <hyperlink ref="B1314" r:id="rId2318" display="https://www.google.com/url?q=https://dmoj.ca/problem/coci08c1p4&amp;sa=D&amp;ust=1605639816657000&amp;usg=AFQjCNHut8pGzKPtlhr64sXnt9u-DnxFAw" xr:uid="{D62A5CF7-0688-451C-AB74-C1192E7F13E6}"/>
    <hyperlink ref="F1314" r:id="rId2319" display="https://www.google.com/url?q=https://github.com/mostafa-saad/MyCompetitiveProgramming/blob/master/Olympiad/COCI/official/2009/contest1_solutions&amp;sa=D&amp;ust=1605639816657000&amp;usg=AFQjCNHoM3h67DJQvJUt5bhn0-Ure3Jd6A" xr:uid="{E8FBD1E2-4A64-4911-9190-CBBE5CB6AA3E}"/>
    <hyperlink ref="B1315" r:id="rId2320" display="https://www.google.com/url?q=https://dmoj.ca/problem/coci08c6p4&amp;sa=D&amp;ust=1605639816657000&amp;usg=AFQjCNFYZw2zGxl34Qo1IWIqIIIU9ufQDg" xr:uid="{3E59F4D4-CCE7-4F84-AD85-E42589B6CAD9}"/>
    <hyperlink ref="F1315" r:id="rId2321" display="https://www.google.com/url?q=https://github.com/mostafa-saad/MyCompetitiveProgramming/blob/master/Olympiad/COCI/official/2009/contest6_solutions&amp;sa=D&amp;ust=1605639816657000&amp;usg=AFQjCNEbV8OdOtAxwMAV2oZfDQKLfSJW8Q" xr:uid="{8408BCA9-4043-44DC-8319-FDBD9160C676}"/>
    <hyperlink ref="B1316" r:id="rId2322" display="https://www.google.com/url?q=https://wcipeg.com/problem/coci065p4&amp;sa=D&amp;ust=1605639816657000&amp;usg=AFQjCNGOKe796CEVdS1vNgNLZfT-zvQIkg" xr:uid="{0AA2F384-934C-49E6-8FE3-EED37DE345F7}"/>
    <hyperlink ref="F1316" r:id="rId2323" display="https://www.google.com/url?q=https://github.com/mostafa-saad/MyCompetitiveProgramming/tree/master/Olympiad/COCI/official/2007/contest5_solutions&amp;sa=D&amp;ust=1605639816657000&amp;usg=AFQjCNESX_lIponwBr7_e6lnMEtMzpwpFw" xr:uid="{0EE8FD5C-1F1A-4489-9821-CED6260C07F1}"/>
    <hyperlink ref="B1317" r:id="rId2324" display="https://www.google.com/url?q=https://codeforces.com/group/swEqtABRxe/contest/243429/problem/B&amp;sa=D&amp;ust=1605639816658000&amp;usg=AFQjCNFnlb-Inmzp38BQSY70AQP5d36h9w" xr:uid="{6630B96E-4FD9-4C06-86D0-9142A1F402F1}"/>
    <hyperlink ref="B1318" r:id="rId2325" display="https://www.google.com/url?q=https://www.infoarena.ro/problema/copii2&amp;sa=D&amp;ust=1605639816658000&amp;usg=AFQjCNHLck8UbMoPzHl7-Cr7gMJM7f7nHQ" xr:uid="{F72D34D5-C001-4DB5-B021-D3A1E78783AE}"/>
    <hyperlink ref="F1318" r:id="rId2326" display="https://www.google.com/url?q=https://github.com/stefdasca/CompetitiveProgramming/blob/master/Infoarena/copii2.cpp&amp;sa=D&amp;ust=1605639816658000&amp;usg=AFQjCNGya9AYMPbicD77b5KQkzhFHXUQzA" xr:uid="{14DD072D-4822-4113-B47C-9FC52C2B45A5}"/>
    <hyperlink ref="B1319" r:id="rId2327" display="https://www.google.com/url?q=https://www.infoarena.ro/problema/sir42&amp;sa=D&amp;ust=1605639816658000&amp;usg=AFQjCNELDYfHJ8p-5UIekOv_HeoklkQ-fA" xr:uid="{B150C741-3DC5-48CA-863F-F858F9A7E211}"/>
    <hyperlink ref="F1319" r:id="rId2328" display="https://www.google.com/url?q=https://github.com/stefdasca/CompetitiveProgramming/blob/master/Infoarena/sir42.cpp&amp;sa=D&amp;ust=1605639816659000&amp;usg=AFQjCNFQHy2pSyOJi2o-tnhPpPkehCNYFQ" xr:uid="{C22ACC08-EF77-421F-973A-1D7811E8CBE9}"/>
    <hyperlink ref="B1320" r:id="rId2329" display="https://www.google.com/url?q=https://www.infoarena.ro/problema/incurcatura&amp;sa=D&amp;ust=1605639816659000&amp;usg=AFQjCNFlUmi2o8xy-ZERob4CGphfygR7fQ" xr:uid="{FEEF8F65-0E24-457C-BF36-6D183E766057}"/>
    <hyperlink ref="F1320" r:id="rId2330" display="https://www.google.com/url?q=https://github.com/stefdasca/CompetitiveProgramming/blob/master/Infoarena/incurcatura.cpp&amp;sa=D&amp;ust=1605639816659000&amp;usg=AFQjCNF_o1j7pG36UV4OhXh4A2KPqRf4Iw" xr:uid="{0B600C0D-7935-4841-B0A2-5C75C5497CA3}"/>
    <hyperlink ref="B1321" r:id="rId2331" display="https://www.google.com/url?q=https://infoarena.ro/problema/abx&amp;sa=D&amp;ust=1605639816659000&amp;usg=AFQjCNHJ9fdA2PVZ7pfWYL13XP9tGpDxyQ" xr:uid="{BB39D509-397A-469C-ADE9-C794ED38B9FE}"/>
    <hyperlink ref="F1321" r:id="rId2332" display="https://www.google.com/url?q=https://github.com/stefdasca/CompetitiveProgramming/blob/master/Infoarena/abx.cpp&amp;sa=D&amp;ust=1605639816660000&amp;usg=AFQjCNE_XPbx0XBT8gZR9bPUso3RWUe6rw" xr:uid="{48525DCC-86F9-46F3-9AAB-618E59FE2A68}"/>
    <hyperlink ref="B1322" r:id="rId2333" display="https://www.google.com/url?q=https://dunjudge.me/analysis/problems/552/&amp;sa=D&amp;ust=1605639816660000&amp;usg=AFQjCNFPkFBs8FBy3f9QnI42r6tGQSB5dA" xr:uid="{84EB5537-6D08-4E8E-8792-0FD70E29D81F}"/>
    <hyperlink ref="F1322" r:id="rId2334" display="https://www.google.com/url?q=https://github.com/mostafa-saad/MyCompetitiveProgramming/tree/master/Olympiad/MCO/official/2014&amp;sa=D&amp;ust=1605639816660000&amp;usg=AFQjCNFODD5pl3gIKySOsRWL9jmUM7Kf1w" xr:uid="{7C3206CD-3912-40CE-B44C-52FE51BB60F4}"/>
    <hyperlink ref="B1323" r:id="rId2335" display="https://www.google.com/url?q=https://www.infoarena.ro/problema/color&amp;sa=D&amp;ust=1605639816660000&amp;usg=AFQjCNHWlIDrN9Rb-9EUjvIH-zFoHQKKaQ" xr:uid="{C180C50F-3A32-4239-86A1-A0D8354B1CF7}"/>
    <hyperlink ref="F1323" r:id="rId2336" display="https://www.google.com/url?q=https://github.com/stefdasca/CompetitiveProgramming/blob/master/Infoarena/color.cpp&amp;sa=D&amp;ust=1605639816660000&amp;usg=AFQjCNGLcMvauCNoNZAakFd_UXnS1fjfSQ" xr:uid="{335260B1-C88B-4058-8148-FC5D0E981AE9}"/>
    <hyperlink ref="B1324" r:id="rId2337" display="https://www.google.com/url?q=https://oj.uz/problem/view/COCI18_karte&amp;sa=D&amp;ust=1605639816661000&amp;usg=AFQjCNFStTdxGqUc-PQHr-VAgtmoWWFBtQ" xr:uid="{07840D9C-E65D-48E9-BC4E-3B1440D87B99}"/>
    <hyperlink ref="F1324" r:id="rId2338" display="https://www.google.com/url?q=https://github.com/mostafa-saad/MyCompetitiveProgramming/blob/master/Olympiad/COCI/COCI-18-karte.txt&amp;sa=D&amp;ust=1605639816661000&amp;usg=AFQjCNEtyssvRsHZChpmbssK38wqL0-A4A" xr:uid="{7E522BE5-4FC2-4EA9-8B36-7EF768E73E85}"/>
    <hyperlink ref="B1325" r:id="rId2339" display="https://www.google.com/url?q=https://oj.uz/problem/view/COCI17_igra&amp;sa=D&amp;ust=1605639816661000&amp;usg=AFQjCNFoPqeb84EvzA4eyZhl47rR7T65nw" xr:uid="{F4746E78-F3F2-4E8B-9F6D-F1BE855A80E5}"/>
    <hyperlink ref="F1325" r:id="rId2340" display="https://www.google.com/url?q=https://github.com/mostafa-saad/MyCompetitiveProgramming/blob/master/Olympiad/COCI/official/2017/contest7_solutions&amp;sa=D&amp;ust=1605639816661000&amp;usg=AFQjCNG7Wqo8T9vT773HktW7cDz2wzB2zw" xr:uid="{B506432A-25AE-435C-ACF5-2C046F89DCB5}"/>
    <hyperlink ref="B1326" r:id="rId2341" display="https://www.google.com/url?q=https://dunjudge.me/analysis/problems/1825/&amp;sa=D&amp;ust=1605639816662000&amp;usg=AFQjCNE7lL3gCIxjjQiHv0-ocdtSGsbyyA" xr:uid="{A02F6B19-E5B6-48BC-97FC-A83DB8702E6E}"/>
    <hyperlink ref="B1327" r:id="rId2342" display="https://www.google.com/url?q=https://oj.uz/problem/view/COCI14_studentsko&amp;sa=D&amp;ust=1605639816662000&amp;usg=AFQjCNFbtZ6_gAEKkzgeWOLI5-Mo061q0Q" xr:uid="{2C1C5C66-B77B-4DC9-804B-BF482D85974B}"/>
    <hyperlink ref="F1327" r:id="rId2343" display="https://www.google.com/url?q=https://github.com/mostafa-saad/MyCompetitiveProgramming/blob/master/Olympiad/COCI/COCI-14-studentsko.txt&amp;sa=D&amp;ust=1605639816662000&amp;usg=AFQjCNGoOx7B5xD_twkv2_L0wsZ6Yg3Spg" xr:uid="{AFABA886-E626-4519-A022-B45AE333EB29}"/>
    <hyperlink ref="B1328" r:id="rId2344" display="https://www.google.com/url?q=https://oj.uz/problem/view/POI11_tem&amp;sa=D&amp;ust=1605639816663000&amp;usg=AFQjCNF4NZKH8lC-4Ov0jMiKQLw866ntxQ" xr:uid="{ECB7F9C7-4BEB-43D1-AA52-D06CEACB3745}"/>
    <hyperlink ref="F1328" r:id="rId2345" display="https://www.google.com/url?q=https://github.com/nikolapesic2802/Programming-Practice/blob/master/Temperature/main.cpp&amp;sa=D&amp;ust=1605639816663000&amp;usg=AFQjCNFrO38dqbkRE6qdvIYp5E-cHtrAHg" xr:uid="{3EDD0BF9-ED25-4B44-ACDC-0E93E0A3FFDB}"/>
    <hyperlink ref="B1329" r:id="rId2346" display="https://www.google.com/url?q=https://dunjudge.me/analysis/problems/777/&amp;sa=D&amp;ust=1605639816663000&amp;usg=AFQjCNFNK1BTBLiedrsr75oaKUQXHVLnNA" xr:uid="{FA90A18E-7D53-40FF-A9F3-3F5B0A84A7D1}"/>
    <hyperlink ref="F1329" r:id="rId2347" display="https://www.google.com/url?q=https://github.com/mostafa-saad/MyCompetitiveProgramming/blob/master/Olympiad/COCI/official/2014/contest5_solutions&amp;sa=D&amp;ust=1605639816664000&amp;usg=AFQjCNHxJYUpMqkXwr6CaZyRTq1VD5TrDw" xr:uid="{65A086A2-87B3-4F37-8E24-B9CB9DD13D03}"/>
    <hyperlink ref="B1330" r:id="rId2348" display="https://www.google.com/url?q=https://infoarena.ro/problema/cate3cifre&amp;sa=D&amp;ust=1605639816664000&amp;usg=AFQjCNG-SYnyiMzfo8xHuHvFExjgzwbdGQ" xr:uid="{B0728192-C938-48C0-BF28-0C89A2187F09}"/>
    <hyperlink ref="F1330" r:id="rId2349" display="https://www.google.com/url?q=https://github.com/stefdasca/CompetitiveProgramming/blob/master/Infoarena/cate3cifre.cpp&amp;sa=D&amp;ust=1605639816665000&amp;usg=AFQjCNHxk-svpBl60FE5AEUkaRQWEJ6lWg" xr:uid="{280688A6-A11F-44CE-922D-F38E54C3E888}"/>
    <hyperlink ref="B1331" r:id="rId2350" display="https://www.google.com/url?q=https://oj.uz/problem/view/IOI17_coins&amp;sa=D&amp;ust=1605639816665000&amp;usg=AFQjCNHe0elPwaS6l4cFr4O54D1o_p8Ecg" xr:uid="{28D11562-6F29-41A1-B1A8-3DAE311E2414}"/>
    <hyperlink ref="B1332" r:id="rId2351" display="https://www.google.com/url?q=https://oj.uz/problem/view/COCI17_uzastopni&amp;sa=D&amp;ust=1605639816665000&amp;usg=AFQjCNGJj3_GmFXrqBFtngziAcmJFCVaLw" xr:uid="{448CCBC4-78E9-43EF-9E8D-0E6958167026}"/>
    <hyperlink ref="F1332" r:id="rId2352" display="https://www.google.com/url?q=https://github.com/AhmedElsisy/CompetitiveProgramming/blob/master/Olympiad/COCI/COCI%252017-uzastopni.cpp&amp;sa=D&amp;ust=1605639816666000&amp;usg=AFQjCNFBQrjOb6wdiKhMECxIu6nid7Rrsg" xr:uid="{E5F8C453-B561-4A35-9971-A466F6FFEDB4}"/>
    <hyperlink ref="B1333" r:id="rId2353" display="https://www.google.com/url?q=https://oj.uz/problem/view/IOI19_cycle&amp;sa=D&amp;ust=1605639816666000&amp;usg=AFQjCNEVTr7E0Qy6qIjEViGsPQl37DTbSQ" xr:uid="{5A217C8A-4936-4114-9047-C69CB2F8CFCB}"/>
    <hyperlink ref="F1333" r:id="rId2354" display="https://www.google.com/url?q=https://github.com/nikolapesic2802/Programming-Practice/blob/master/Cycle/main.cpp&amp;sa=D&amp;ust=1605639816666000&amp;usg=AFQjCNECy_6dHwcMfcYaGdm6Y9dVwIGlAQ" xr:uid="{99EF3FAF-38B5-4A83-915A-DB4DF46705D8}"/>
    <hyperlink ref="B1334" r:id="rId2355" display="https://www.google.com/url?q=https://dmoj.ca/problem/coci14c4p4&amp;sa=D&amp;ust=1605639816667000&amp;usg=AFQjCNFn_fnT3aRmGD2ITMUR_7IkjYX4vw" xr:uid="{1CACF2A5-FF1E-4C46-8FDD-38ADBCD152E4}"/>
    <hyperlink ref="F1334" r:id="rId2356" display="https://www.google.com/url?q=https://github.com/mostafa-saad/MyCompetitiveProgramming/blob/master/Olympiad/COCI/official/2015/contest4_solutions&amp;sa=D&amp;ust=1605639816667000&amp;usg=AFQjCNFn20KF91Ak9zPbDqkLY2iqWdWVMg" xr:uid="{EF5F9CC6-691F-4738-BFE6-DCEEBD761338}"/>
    <hyperlink ref="B1335" r:id="rId2357" display="https://www.google.com/url?q=https://dunjudge.me/analysis/problems/273/&amp;sa=D&amp;ust=1605639816667000&amp;usg=AFQjCNEuS2970QRY4RNGUGggdYDBJITHNA" xr:uid="{9178D406-B03F-4D68-8DE7-CADF8991B8D7}"/>
    <hyperlink ref="F1335" r:id="rId2358" display="https://www.google.com/url?q=https://github.com/mostafa-saad/MyCompetitiveProgramming/blob/master/Olympiad/NOI/official&amp;sa=D&amp;ust=1605639816667000&amp;usg=AFQjCNFcVIzL48xX2czQ56IH3b9Wat1reQ" xr:uid="{A331C007-5662-4FA0-8E90-9283805CBA86}"/>
    <hyperlink ref="B1336" r:id="rId2359" display="https://www.google.com/url?q=https://ipsc.ksp.sk/2018/real/problems/h.html&amp;sa=D&amp;ust=1605639816668000&amp;usg=AFQjCNFn3qPZwhvyxpj2qdbU_ULMtNU-Tw" xr:uid="{700605AA-EADB-486E-9BB2-9B463A0D769C}"/>
    <hyperlink ref="B1337" r:id="rId2360" display="https://www.google.com/url?q=https://ipsc.ksp.sk/2018/real/problems/j.html&amp;sa=D&amp;ust=1605639816668000&amp;usg=AFQjCNFIjWCBgeKz-gSAgcwgPl0dHoTBZQ" xr:uid="{94F5033F-3475-481F-96CB-9A2424482AC1}"/>
    <hyperlink ref="B1338" r:id="rId2361" display="https://www.google.com/url?q=https://www.acmicpc.net/problem/7086&amp;sa=D&amp;ust=1605639816669000&amp;usg=AFQjCNF7X8X8utb1YoKllrLZRv_Gv9nUOg" xr:uid="{132D6300-1C19-442A-AEA9-1C6E48ABA55D}"/>
    <hyperlink ref="F1338" r:id="rId2362" display="https://www.google.com/url?q=https://github.com/koosaga/olympiad/blob/master/Balkan/balkan05_race.cpp&amp;sa=D&amp;ust=1605639816669000&amp;usg=AFQjCNFtvu3QJP_lrr_FWedF3ii_sW85zA" xr:uid="{EF7C8658-5D01-4339-8096-D06A1476FCB7}"/>
    <hyperlink ref="B1339" r:id="rId2363" display="https://www.google.com/url?q=https://oj.uz/problem/view/CEOI12_jobs&amp;sa=D&amp;ust=1605639816669000&amp;usg=AFQjCNHCsAlavZuLl4isrDtPEvxMpbeEEg" xr:uid="{7529D7CE-B730-424B-A9D1-B101AF0E1300}"/>
    <hyperlink ref="F1339" r:id="rId2364" display="https://www.google.com/url?q=https://github.com/SpeedOfMagic/CompetitiveProgramming/blob/master/CEOI/CEOI%252012-Jobs.cpp&amp;sa=D&amp;ust=1605639816670000&amp;usg=AFQjCNHi0qPINV19pnEbuJNyS4u4LFE7TA" xr:uid="{6E8484C8-23AE-4AE8-90B2-121DCAB1752F}"/>
    <hyperlink ref="B1340" r:id="rId2365" display="https://www.google.com/url?q=https://oj.uz/problem/view/COCI17_lozinke&amp;sa=D&amp;ust=1605639816670000&amp;usg=AFQjCNHULIQ5eQni6EwItKjCKAP0v6EIMQ" xr:uid="{F3DCAA22-2BEA-48BC-B631-041C2D58D0EC}"/>
    <hyperlink ref="F1340" r:id="rId2366" display="https://www.google.com/url?q=https://oj.uz/submission/85415&amp;sa=D&amp;ust=1605639816670000&amp;usg=AFQjCNGQALWaistAERs27oEdLF_bGwRvAg" xr:uid="{95222614-1942-4343-824E-1023C0A65522}"/>
    <hyperlink ref="B1341" r:id="rId2367" display="https://www.google.com/url?q=https://dmoj.ca/problem/coci07c3p4&amp;sa=D&amp;ust=1605639816671000&amp;usg=AFQjCNEhz6ZRZkNNU52cjMPhE3a704isAA" xr:uid="{13E1E939-753F-4F88-B304-2A4341C4F649}"/>
    <hyperlink ref="F1341" r:id="rId2368" display="https://www.google.com/url?q=https://github.com/mostafa-saad/MyCompetitiveProgramming/tree/master/Olympiad/COCI/official/2008/contest3_solutions&amp;sa=D&amp;ust=1605639816671000&amp;usg=AFQjCNEyDQvw7ekw94gcWu2lNdzOPHkGfA" xr:uid="{4D7967EA-2DCD-473B-BE7F-A4785784B571}"/>
    <hyperlink ref="B1342" r:id="rId2369" display="https://www.google.com/url?q=https://dunjudge.me/analysis/problems/272/&amp;sa=D&amp;ust=1605639816671000&amp;usg=AFQjCNE1TEPxYe2jueZF4Ty4yRWV_Bjc1Q" xr:uid="{B51AB98B-AAD9-4E76-B95F-C3587878BECE}"/>
    <hyperlink ref="F1342" r:id="rId2370" display="https://www.google.com/url?q=https://github.com/mostafa-saad/MyCompetitiveProgramming/blob/master/Olympiad/NOI/official&amp;sa=D&amp;ust=1605639816672000&amp;usg=AFQjCNFS1UFYHd1VXQCrKXLXHqM4Pw1wDA" xr:uid="{63B70158-349C-4391-821C-9F31ECC0D96F}"/>
    <hyperlink ref="B1343" r:id="rId2371" display="https://www.google.com/url?q=https://dunjudge.me/analysis/problems/115/&amp;sa=D&amp;ust=1605639816672000&amp;usg=AFQjCNG9nx_042_qZ9M8AHvxJ3a0epz9Fw" xr:uid="{BC8D9289-9CBD-452B-986A-E1471B3EEF18}"/>
    <hyperlink ref="F1343" r:id="rId2372" display="https://www.google.com/url?q=https://github.com/mostafa-saad/MyCompetitiveProgramming/blob/master/Olympiad/NOI/official&amp;sa=D&amp;ust=1605639816672000&amp;usg=AFQjCNFS1UFYHd1VXQCrKXLXHqM4Pw1wDA" xr:uid="{FC5C69A5-11E2-487F-A855-8E027FDA591F}"/>
    <hyperlink ref="B1344" r:id="rId2373" display="https://www.google.com/url?q=https://dmoj.ca/problem/dwite11c5p5&amp;sa=D&amp;ust=1605639816672000&amp;usg=AFQjCNHlb6dyb5S-hvuXcyO6h0os2-NfPA" xr:uid="{EC8EFBDF-5071-4866-95C1-0085C0EE57DF}"/>
    <hyperlink ref="B1345" r:id="rId2374" display="https://www.google.com/url?q=https://dmoj.ca/problem/coci06c1p4&amp;sa=D&amp;ust=1605639816673000&amp;usg=AFQjCNG-N1oB9YFNNj7q4JNkhmmt_Wmvwg" xr:uid="{8515D39C-3F74-4D98-A205-38E11500F0CE}"/>
    <hyperlink ref="F1345" r:id="rId2375" display="https://www.google.com/url?q=https://github.com/mostafa-saad/MyCompetitiveProgramming/tree/master/Olympiad/COCI/official/2007/contest1_solutions&amp;sa=D&amp;ust=1605639816673000&amp;usg=AFQjCNEY68qPyvVtBReSGCOzmBFG5bA_FA" xr:uid="{087AD6F9-FD41-4AB2-8DBB-9179E526127A}"/>
    <hyperlink ref="B1346" r:id="rId2376" display="https://www.google.com/url?q=https://dmoj.ca/problem/coci07c5p3&amp;sa=D&amp;ust=1605639816674000&amp;usg=AFQjCNHaHuHzGyCaaa-Nr8McROzc25FI7g" xr:uid="{E235EE0E-34F8-426E-A079-592175054ED4}"/>
    <hyperlink ref="F1346" r:id="rId2377" display="https://www.google.com/url?q=https://github.com/mostafa-saad/MyCompetitiveProgramming/tree/master/Olympiad/COCI/official/2008/contest5_solutions&amp;sa=D&amp;ust=1605639816674000&amp;usg=AFQjCNHt110oJF9SOno1GFEJgvzlyzMC1Q" xr:uid="{D7D6024E-8FCE-45D9-AA9C-822637E8610E}"/>
    <hyperlink ref="B1347" r:id="rId2378" display="https://www.google.com/url?q=https://wcipeg.com/problem/coci091p3&amp;sa=D&amp;ust=1605639816674000&amp;usg=AFQjCNEiNzNmjAhc7SOOF0YLatlf3zkJhw" xr:uid="{2B50027A-CBD6-46CD-AC24-6DF287658969}"/>
    <hyperlink ref="F1347" r:id="rId2379" display="https://www.google.com/url?q=https://github.com/mostafa-saad/MyCompetitiveProgramming/blob/master/Olympiad/COCI/official/2010/contest1_solutions&amp;sa=D&amp;ust=1605639816675000&amp;usg=AFQjCNGpLCc0e4j-buRQ4EaquEIvhDQ-jA" xr:uid="{43B03B7E-7E30-4737-BF02-8B587F74ACB7}"/>
    <hyperlink ref="B1348" r:id="rId2380" display="https://www.google.com/url?q=https://contest.yandex.ru/ioi/contest/562/problems/A/&amp;sa=D&amp;ust=1605639816676000&amp;usg=AFQjCNHAuKLR3ODN9goG-E1mpw3HAJa0dQ" xr:uid="{8A252A1F-6834-497A-BF40-D1BD11749D05}"/>
    <hyperlink ref="F1348" r:id="rId2381" display="https://www.google.com/url?q=https://github.com/mostafa-saad/MyCompetitiveProgramming/blob/master/Olympiad/IOI/official/2006/ioi06_writing_sol.pdf&amp;sa=D&amp;ust=1605639816676000&amp;usg=AFQjCNFGTaYvpoqff0ComNiHBybXt7-NdA" xr:uid="{408A5F2F-2E9B-48D9-B9B8-D36AE19722FE}"/>
    <hyperlink ref="B1349" r:id="rId2382" display="https://www.google.com/url?q=https://dmoj.ca/problem/coci14c7p2&amp;sa=D&amp;ust=1605639816677000&amp;usg=AFQjCNHO5kTPDHUeCPXCUfew1VVMyVV0AA" xr:uid="{03AC5E13-3CD6-4226-A108-D692EEFF11C3}"/>
    <hyperlink ref="F1349" r:id="rId2383" display="https://www.google.com/url?q=https://github.com/mostafa-saad/MyCompetitiveProgramming/blob/master/Olympiad/COCI/official/2015/contest7_solutions&amp;sa=D&amp;ust=1605639816677000&amp;usg=AFQjCNEN3v4NvIEonmluwM72E-0gBbEfSg" xr:uid="{58E4DA54-B128-42BB-8E37-31310E1250CA}"/>
    <hyperlink ref="B1350" r:id="rId2384" display="https://www.google.com/url?q=https://szkopul.edu.pl/problemset/problem/Arkza0f7GKKb-m1YZJulnlMk/site/&amp;sa=D&amp;ust=1605639816677000&amp;usg=AFQjCNH-DyoDs7Dpts3dd7OK2MxJPWz8bw" xr:uid="{F6C083D3-D313-43DB-BF6E-7CFB7DF6972E}"/>
    <hyperlink ref="F1350" r:id="rId2385" display="https://www.google.com/url?q=https://github.com/mostafa-saad/MyCompetitiveProgramming/blob/master/Olympiad/POI/official/find_editorial_sols_guidelines.txt&amp;sa=D&amp;ust=1605639816678000&amp;usg=AFQjCNFr5MO6i-wfIZqgkBUSKwwlYf6ftQ" xr:uid="{91577B09-D52C-4A9A-95C2-752C7A37F4CE}"/>
    <hyperlink ref="B1351" r:id="rId2386" display="https://www.google.com/url?q=https://oj.uz/problem/view/IOI17_cup&amp;sa=D&amp;ust=1605639816678000&amp;usg=AFQjCNG7JNvtbgSW7gjRuMnZeml3aAauvg" xr:uid="{3059189D-58B0-46B3-B05B-4DA66D366EA5}"/>
    <hyperlink ref="B1352" r:id="rId2387" display="https://www.google.com/url?q=https://codeforces.com/group/swEqtABRxe/contest/227524/problem/A&amp;sa=D&amp;ust=1605639816678000&amp;usg=AFQjCNEzA-GSLTuCWvrQ0_PfVPnA0mI4mg" xr:uid="{68D13ED9-A18E-46D6-A28B-74541D9AEF1D}"/>
    <hyperlink ref="B1353" r:id="rId2388" display="https://www.google.com/url?q=https://codeforces.com/group/swEqtABRxe/contest/243435/problem/C&amp;sa=D&amp;ust=1605639816679000&amp;usg=AFQjCNG2IggHhIVZampNoOAhYkywNtNfPA" xr:uid="{3642D495-08F2-45E0-BAF5-492A1D95F338}"/>
    <hyperlink ref="B1354" r:id="rId2389" display="https://www.google.com/url?q=https://www.infoarena.ro/problema/cmmp&amp;sa=D&amp;ust=1605639816679000&amp;usg=AFQjCNGbXcvfBa6fOsNCGdjcyzecxx-39A" xr:uid="{F9A6CA59-C601-402C-8667-49EF7DE8B897}"/>
    <hyperlink ref="F1354" r:id="rId2390" display="https://www.google.com/url?q=https://github.com/stefdasca/CompetitiveProgramming/blob/master/Infoarena/cmmp.cpp&amp;sa=D&amp;ust=1605639816680000&amp;usg=AFQjCNGc5DlkjMfi-OMuT61-6e9f87ShCw" xr:uid="{2885423C-7653-4C2F-82FB-24CBC31BB609}"/>
    <hyperlink ref="B1355" r:id="rId2391" display="https://www.google.com/url?q=https://codeforces.com/group/swEqtABRxe/contest/227524/problem/C&amp;sa=D&amp;ust=1605639816680000&amp;usg=AFQjCNF8rlyQQ-2HGjm_g38GS77SsMo9qw" xr:uid="{1A021EBA-586A-4C50-87A2-76FB1BEF89AB}"/>
    <hyperlink ref="B1356" r:id="rId2392" display="https://www.google.com/url?q=https://codeforces.com/group/swEqtABRxe/contest/227527/problem/B&amp;sa=D&amp;ust=1605639816680000&amp;usg=AFQjCNF8E7hhRRw_RrykpW7i8q72hrtPGQ" xr:uid="{DD4C4AB4-6283-4337-9E43-E6B163FF2131}"/>
    <hyperlink ref="B1357" r:id="rId2393" display="https://www.google.com/url?q=https://www.infoarena.ro/problema/lautari&amp;sa=D&amp;ust=1605639816681000&amp;usg=AFQjCNH3cDLSYbBqxyC1nSppKuqItXd5sQ" xr:uid="{A7C3FB72-D8F5-4D7C-B52A-B3858F202CE9}"/>
    <hyperlink ref="F1357" r:id="rId2394" display="https://www.google.com/url?q=https://github.com/stefdasca/CompetitiveProgramming/blob/master/Infoarena/lautari.cpp&amp;sa=D&amp;ust=1605639816681000&amp;usg=AFQjCNEmuLX2ZndmhYrDdC5NztYKcDy8iQ" xr:uid="{053CA561-DBB8-41EC-BD9D-D5050286FEBE}"/>
    <hyperlink ref="B1358" r:id="rId2395" display="https://www.google.com/url?q=https://oj.uz/problem/view/JOI20_ho_t2&amp;sa=D&amp;ust=1605639816682000&amp;usg=AFQjCNHZDtOgf0tYSSCwcYwiyxmCRDreSg" xr:uid="{6B9F16E4-5F54-48F0-8E1B-298D00EC37D2}"/>
    <hyperlink ref="F1358" r:id="rId2396" display="https://www.google.com/url?q=https://github.com/dolphingarlic/CompetitiveProgramming/blob/master/JOI/JOI%252020-jjooii.cpp&amp;sa=D&amp;ust=1605639816682000&amp;usg=AFQjCNFo8qaNRh0Y3ZMRv65neKlAZAeqMw" xr:uid="{01A5E655-02B3-4805-9CCC-7E179BD6EB4D}"/>
    <hyperlink ref="B1359" r:id="rId2397" display="https://www.google.com/url?q=https://codeforces.com/group/swEqtABRxe/contest/243427/problem/B&amp;sa=D&amp;ust=1605639816682000&amp;usg=AFQjCNGXtQ1lVrjZdCU0JOGoKxSLmYjUTw" xr:uid="{3176996C-9508-42C0-8392-6672778F2FF3}"/>
    <hyperlink ref="B1360" r:id="rId2398" display="https://www.google.com/url?q=https://dunjudge.me/analysis/problems/274/&amp;sa=D&amp;ust=1605639816683000&amp;usg=AFQjCNHVSeu-5E22yO7ecZjuuyFGRlPQhg" xr:uid="{AB816FBA-40C7-4599-A9DB-1F828FED5B93}"/>
    <hyperlink ref="F1360" r:id="rId2399" display="https://www.google.com/url?q=https://github.com/mostafa-saad/MyCompetitiveProgramming/blob/master/Olympiad/NOI/official&amp;sa=D&amp;ust=1605639816683000&amp;usg=AFQjCNE3Tz6w1C0j8BKF7LRdiQ2A6GHQLA" xr:uid="{5093FB35-3DB2-42C4-A2E0-E29AB21B35E7}"/>
    <hyperlink ref="B1361" r:id="rId2400" display="https://www.google.com/url?q=https://oj.uz/problem/view/IOI07_miners&amp;sa=D&amp;ust=1605639816683000&amp;usg=AFQjCNHjk0X8ICSyh_TEpEwxiZQy1GyK2Q" xr:uid="{5387B0AB-5723-4DBC-A366-AB5F1BDD3230}"/>
    <hyperlink ref="F1361" r:id="rId2401" display="https://www.google.com/url?q=https://github.com/mostafa-saad/MyCompetitiveProgramming/blob/master/Olympiad/IOI/official/2007&amp;sa=D&amp;ust=1605639816684000&amp;usg=AFQjCNGYKSduj3GE3EPEMypDL3uvKXNJDQ" xr:uid="{2261C068-A3A9-4723-95DD-1FAB04DDD7D4}"/>
    <hyperlink ref="B1362" r:id="rId2402" display="https://www.google.com/url?q=https://oj.uz/problem/view/COCI19_slicice&amp;sa=D&amp;ust=1605639816684000&amp;usg=AFQjCNGk0OryN1WLkMxywj6efc7a0mAF0g" xr:uid="{5F1E809F-F797-44C0-AEF4-8F414EEB92E5}"/>
    <hyperlink ref="F1362" r:id="rId2403" display="https://www.google.com/url?q=https://github.com/CPSolutionsSzawinis/CompetitiveProgramming/blob/master/Olympiad/COCI/COCI19-slicice.cpp&amp;sa=D&amp;ust=1605639816684000&amp;usg=AFQjCNH28OfSfE6bDDO4vna5ccQcDSt5Iw" xr:uid="{8E24CB5E-846B-4D28-BDDC-AD6954AC75DC}"/>
    <hyperlink ref="B1363" r:id="rId2404" display="https://www.google.com/url?q=https://oj.uz/problem/view/COCI18_mate&amp;sa=D&amp;ust=1605639816684000&amp;usg=AFQjCNF7ld3ykClvB6_d8_qu6GbNW8NsWA" xr:uid="{A1A81DAE-1CC7-4AF0-8582-AC88C156492A}"/>
    <hyperlink ref="B1364" r:id="rId2405" display="https://www.google.com/url?q=https://codeforces.com/group/swEqtABRxe/contest/243431/problem/B&amp;sa=D&amp;ust=1605639816685000&amp;usg=AFQjCNGAsjCqwulA-KFmYwGOAZtJnK86ZA" xr:uid="{58C013CD-87AB-4796-A415-651655450172}"/>
    <hyperlink ref="B1365" r:id="rId2406" display="https://www.google.com/url?q=https://dunjudge.me/analysis/problems/73/&amp;sa=D&amp;ust=1605639816685000&amp;usg=AFQjCNFQjAY4CbeGl_WPNaoYF3NiUaQVeQ" xr:uid="{B3EE2369-E5FF-49D1-8F23-85556284CB5C}"/>
    <hyperlink ref="F1365" r:id="rId2407" display="https://www.google.com/url?q=https://github.com/mostafa-saad/MyCompetitiveProgramming/blob/master/Olympiad/NOI/official&amp;sa=D&amp;ust=1605639816686000&amp;usg=AFQjCNH-zvs_mKNWR_7T_5EAgdq03zPgmw" xr:uid="{593A0626-B890-4888-BFF0-66BB286357EE}"/>
    <hyperlink ref="B1366" r:id="rId2408" display="https://www.google.com/url?q=https://oj.uz/problem/view/NOI18_journey&amp;sa=D&amp;ust=1605639816686000&amp;usg=AFQjCNGAERm9_Y0IS_Dhd2-Xak9EPSIVRQ" xr:uid="{306A66E9-EB27-4329-9A20-FE16830D7B16}"/>
    <hyperlink ref="F1366" r:id="rId2409" display="https://www.google.com/url?q=https://github.com/mostafa-saad/MyCompetitiveProgramming/blob/master/Olympiad/NOI/official&amp;sa=D&amp;ust=1605639816686000&amp;usg=AFQjCNH-zvs_mKNWR_7T_5EAgdq03zPgmw" xr:uid="{E1D3CCF3-3813-4EEC-945B-2F18FB6AD814}"/>
    <hyperlink ref="B1367" r:id="rId2410" display="https://www.google.com/url?q=https://dmoj.ca/contest/cco18d1&amp;sa=D&amp;ust=1605639816688000&amp;usg=AFQjCNHAbHoLglhoQts8wHDg5bjmfXS7Vw" xr:uid="{16B3D601-216B-4544-9C4D-231F92B7E780}"/>
    <hyperlink ref="F1367" r:id="rId2411" display="https://www.google.com/url?q=https://github.com/timpostuvan/CompetitiveProgramming/blob/master/Olympiad/CCO/GeeseVsHawks2018.cpp&amp;sa=D&amp;ust=1605639816688000&amp;usg=AFQjCNHrqyhTzS3P_MY_8I76LgjgXA8tog" xr:uid="{F0C50D88-A3BD-4A1D-ACBC-60E6FB5D2188}"/>
    <hyperlink ref="B1368" r:id="rId2412" display="https://www.google.com/url?q=https://oj.uz/problem/view/NOI12_walking&amp;sa=D&amp;ust=1605639816688000&amp;usg=AFQjCNG5aYfCt2hnRf2w2hAgbeNKJRNzPg" xr:uid="{84DF89EC-9588-47B4-B14F-967172E21596}"/>
    <hyperlink ref="F1368" r:id="rId2413" display="https://www.google.com/url?q=https://www.comp.nus.edu.sg/~noi/2012/2012_soln.pdf&amp;sa=D&amp;ust=1605639816689000&amp;usg=AFQjCNGr48vjE-WHZtqXrRp6e4UrSAm91A" xr:uid="{5984CA62-070F-4DAD-A4E3-D82FB42F6BEF}"/>
    <hyperlink ref="B1369" r:id="rId2414" display="https://www.google.com/url?q=https://joi2013ho.contest.atcoder.jp/tasks/joi2013ho2&amp;sa=D&amp;ust=1605639816689000&amp;usg=AFQjCNGL-lRQfPTovapGHIjP5YzrbrjeFg" xr:uid="{B722A5EC-0333-44DE-BC48-15896257D7A0}"/>
    <hyperlink ref="B1370" r:id="rId2415" display="https://www.google.com/url?q=https://oj.uz/problem/view/JOI19_ho_t1&amp;sa=D&amp;ust=1605639816690000&amp;usg=AFQjCNGaSZM5hvuizYhRu8Ybru4PLigMEQ" xr:uid="{488F6489-3B3C-4868-8E54-B14D25E03529}"/>
    <hyperlink ref="B1371" r:id="rId2416" display="https://www.google.com/url?q=https://dmoj.ca/problem/coci06c2p4&amp;sa=D&amp;ust=1605639816690000&amp;usg=AFQjCNG9xwWTD_iljCgeu5FhhJd0v2iHHQ" xr:uid="{EC956D4B-C5A9-4B8B-A372-D5408408E517}"/>
    <hyperlink ref="F1371" r:id="rId2417" display="https://www.google.com/url?q=https://github.com/mostafa-saad/MyCompetitiveProgramming/tree/master/Olympiad/COCI/official/2007/contest2_solutions&amp;sa=D&amp;ust=1605639816690000&amp;usg=AFQjCNGhJdpKUOv90pWD4DaC0TFO_72ZKA" xr:uid="{C75A17AF-DA1C-4908-8105-1884DF641F1B}"/>
    <hyperlink ref="B1372" r:id="rId2418" display="https://www.google.com/url?q=https://szkopul.edu.pl/problemset/problem/MZTXfOVnJmac175TTH5Lr9Q3/site/&amp;sa=D&amp;ust=1605639816691000&amp;usg=AFQjCNFt0bYMGcHCa4k2aot72x1vdJV1ZQ" xr:uid="{EFEE4CF1-B733-4368-BB1E-FFE6E8B4FFE3}"/>
    <hyperlink ref="F1372" r:id="rId2419" display="https://www.google.com/url?q=https://github.com/mostafa-saad/MyCompetitiveProgramming/blob/master/Olympiad/POI/official/find_editorial_sols_guidelines.txt&amp;sa=D&amp;ust=1605639816691000&amp;usg=AFQjCNET8Crkt5CwAcJQR-FJMrf3TiFH_w" xr:uid="{19AEEB12-B62B-4EA3-BC31-98548C96E790}"/>
    <hyperlink ref="B1373" r:id="rId2420" display="https://www.google.com/url?q=https://oj.uz/problem/view/COI14_nizovi&amp;sa=D&amp;ust=1605639816691000&amp;usg=AFQjCNGMGbx85zIzRd_FZ2xk7sQkx6xcSw" xr:uid="{C75A61E7-8F5B-4603-84F2-AF048B49C60E}"/>
    <hyperlink ref="F1373" r:id="rId2421" display="https://www.google.com/url?q=https://github.com/mostafa-saad/MyCompetitiveProgramming/tree/master/Olympiad/COI/official/2014&amp;sa=D&amp;ust=1605639816692000&amp;usg=AFQjCNFYyXQOMH06SPbRLNaZ24_6fuuidw" xr:uid="{03FCA2F9-BE7B-4951-A8A8-B51B43F1B21E}"/>
    <hyperlink ref="B1374" r:id="rId2422" display="https://www.google.com/url?q=https://joisc2014.contest.atcoder.jp/tasks/joisc2014_h&amp;sa=D&amp;ust=1605639816692000&amp;usg=AFQjCNHz2ADjg0i-Jqf6EVkx8kr0P3ZtRg" xr:uid="{ABD57B6C-B564-442C-80A0-28C6A062D0EA}"/>
    <hyperlink ref="B1375" r:id="rId2423" display="https://www.google.com/url?q=https://oj.uz/problem/view/COCI16_kronican&amp;sa=D&amp;ust=1605639816692000&amp;usg=AFQjCNGW5Qs2x8x42cENKxdCY4SSIe0NKw" xr:uid="{87803EA9-B728-4509-AEC2-42920287E7D0}"/>
    <hyperlink ref="F1375" r:id="rId2424" display="https://www.google.com/url?q=https://github.com/mostafa-saad/MyCompetitiveProgramming/blob/master/Olympiad/COCI/official/2017/contest3_solutions&amp;sa=D&amp;ust=1605639816693000&amp;usg=AFQjCNGQFnXKWzBDs3ZkDYxh2TJyFQmrAQ" xr:uid="{72D9F2C0-BE21-4BCD-B661-230C2D4381E4}"/>
    <hyperlink ref="B1376" r:id="rId2425" display="https://www.google.com/url?q=https://www.infoarena.ro/problema/jsched&amp;sa=D&amp;ust=1605639816693000&amp;usg=AFQjCNEMPyoM4KZ73Q4Ffn9YGYvAb3aY2A" xr:uid="{0581979E-B59D-4716-8916-110D48246A1C}"/>
    <hyperlink ref="F1376" r:id="rId2426" display="https://www.google.com/url?q=https://github.com/stefdasca/CompetitiveProgramming/blob/master/Infoarena/jsched.cpp&amp;sa=D&amp;ust=1605639816693000&amp;usg=AFQjCNF9hbN05OV1UWq50VEgtlQE-SgUIw" xr:uid="{EF725B15-B3B9-4056-8636-D672DBAFE95B}"/>
    <hyperlink ref="B1377" r:id="rId2427" display="https://www.google.com/url?q=https://www.infoarena.ro/problema/kcover&amp;sa=D&amp;ust=1605639816694000&amp;usg=AFQjCNEi1VIUAn0wPmzS7t6RKygtXJfpkw" xr:uid="{5BBF429A-2601-4321-8350-C788A44D12F1}"/>
    <hyperlink ref="F1377" r:id="rId2428" display="https://www.google.com/url?q=https://github.com/stefdasca/CompetitiveProgramming/blob/master/Infoarena/kcover.cpp&amp;sa=D&amp;ust=1605639816694000&amp;usg=AFQjCNFfNhV8KRdPW12ZUeCK6t9E7yK32g" xr:uid="{E42901E6-ED34-47FF-9A1B-C1E8676CAA9B}"/>
    <hyperlink ref="B1378" r:id="rId2429" display="https://www.google.com/url?q=https://dmoj.ca/problem/coci13c1p4&amp;sa=D&amp;ust=1605639816694000&amp;usg=AFQjCNFGYZHus0qa8o_BAljd3JYCGXOnMw" xr:uid="{47126E43-7997-4749-A9B3-855FF9C8D5B1}"/>
    <hyperlink ref="F1378" r:id="rId2430" display="https://www.google.com/url?q=https://github.com/mostafa-saad/MyCompetitiveProgramming/blob/master/Olympiad/COCI/official/2014/contest1_solutions&amp;sa=D&amp;ust=1605639816694000&amp;usg=AFQjCNEdggRZE7hoi6q-ie8pXgrSoXFTWg" xr:uid="{63DD8785-D0D0-4672-8546-019AE59025A2}"/>
    <hyperlink ref="B1379" r:id="rId2431" display="https://www.google.com/url?q=https://szkopul.edu.pl/problemset/problem/r6tMTfvQFPAEfQioYMCQndQe/site/&amp;sa=D&amp;ust=1605639816695000&amp;usg=AFQjCNGu2pLSNjYBHn3fw7d2piKtUy6QiQ" xr:uid="{15BE0789-4BD0-431F-ACD9-E2F64CF07BE7}"/>
    <hyperlink ref="F1379" r:id="rId2432" display="https://www.google.com/url?q=https://github.com/mostafa-saad/MyCompetitiveProgramming/blob/master/Olympiad/POI/official/find_editorial_sols_guidelines.txt&amp;sa=D&amp;ust=1605639816695000&amp;usg=AFQjCNFs3nc6PWWWYCoTyQrx5N5MZG7ljg" xr:uid="{7DCC04F9-16B9-44BC-980F-D8CBEA825C38}"/>
    <hyperlink ref="B1380" r:id="rId2433" display="https://www.google.com/url?q=https://dunjudge.me/analysis/problems/693/&amp;sa=D&amp;ust=1605639816695000&amp;usg=AFQjCNH22qBmOOSXgWL0bYKSb_DGbZKlVg" xr:uid="{7D5B88A3-7D88-4875-B4BC-0A5C2DC2355D}"/>
    <hyperlink ref="B1381" r:id="rId2434" display="https://www.google.com/url?q=https://www.infoarena.ro/problema/heavymetal&amp;sa=D&amp;ust=1605639816696000&amp;usg=AFQjCNF8lvpNBkf2a1QUmF1gkuxRYCKfYg" xr:uid="{F4FA7030-6C2E-452F-959F-12B7DE8EEF88}"/>
    <hyperlink ref="F1381" r:id="rId2435" display="https://www.google.com/url?q=https://github.com/stefdasca/CompetitiveProgramming/blob/master/Infoarena/heavymetal.cpp&amp;sa=D&amp;ust=1605639816696000&amp;usg=AFQjCNHRrhJsz_JcYHYeDEZZDEl88k6Ivg" xr:uid="{DBF365B0-978B-4F0B-AEA6-CD8E2C2AB733}"/>
    <hyperlink ref="B1382" r:id="rId2436" display="https://www.google.com/url?q=https://dunjudge.me/analysis/problems/694/&amp;sa=D&amp;ust=1605639816696000&amp;usg=AFQjCNEgqt6or9TWRWtc1OOPTFNs5zhLqQ" xr:uid="{D58626B9-96C4-4258-8833-02C6A6391A47}"/>
    <hyperlink ref="B1383" r:id="rId2437" display="https://www.google.com/url?q=https://github.com/stefdasca/CompetitiveProgramming/blob/master/Info1Cup/National%2520Round/Subway%2520(Ro).pdf&amp;sa=D&amp;ust=1605639816697000&amp;usg=AFQjCNG_BaW5vspAwCiQmdQh9BpUVq3A6Q" xr:uid="{A67AC09F-2494-4649-8D68-CAF1AA403AAA}"/>
    <hyperlink ref="F1383" r:id="rId2438" display="https://www.google.com/url?q=https://github.com/stefdasca/CompetitiveProgramming/blob/master/Info1Cup/National%2520Round/subway.cpp&amp;sa=D&amp;ust=1605639816697000&amp;usg=AFQjCNHHxFJccykPC9w_3nTcrvxSej7Nkg" xr:uid="{61474BD4-36B6-4E88-BBB9-5B1D3B5C3BA9}"/>
    <hyperlink ref="B1384" r:id="rId2439" display="https://www.google.com/url?q=https://joi2015ho.contest.atcoder.jp/tasks/joi2015ho_a&amp;sa=D&amp;ust=1605639816697000&amp;usg=AFQjCNEnpDxHFznCbrcTqyLeMs3BHWQA3Q" xr:uid="{3CFFD522-C536-4D0D-AF14-3764C3A41283}"/>
    <hyperlink ref="F1384" r:id="rId2440" display="https://www.google.com/url?q=https://github.com/nikolapesic2802/Programming-Practice/blob/master/Railroad%2520Trip/main.cpp&amp;sa=D&amp;ust=1605639816698000&amp;usg=AFQjCNG7TSxBkFC6G2ps14qSMfjNlk_Vlg" xr:uid="{FCACDEB0-7608-491C-A5F1-53FA8504B47C}"/>
    <hyperlink ref="B1385" r:id="rId2441" display="https://www.google.com/url?q=https://szkopul.edu.pl/problemset/problem/KC7c6nYfAXCbCGszqhIeOGxP/site/&amp;sa=D&amp;ust=1605639816699000&amp;usg=AFQjCNEAhz4Yu1ay-qFFii3_4dp2zNG0DQ" xr:uid="{06872A6C-C535-4CC2-A364-21FD8FD2EFCD}"/>
    <hyperlink ref="F1385" r:id="rId2442" display="https://www.google.com/url?q=https://github.com/mostafa-saad/MyCompetitiveProgramming/blob/master/Olympiad/POI/official/find_editorial_sols_guidelines.txt&amp;sa=D&amp;ust=1605639816699000&amp;usg=AFQjCNFhazA50T5GrExj4htDggzMWNTEdA" xr:uid="{834414C7-6952-4B44-BBD0-BF09957E3C04}"/>
    <hyperlink ref="B1386" r:id="rId2443" display="https://www.google.com/url?q=https://szkopul.edu.pl/problemset/problem/xDISetKx9cPPrOT_t2ZqgEyr/site/&amp;sa=D&amp;ust=1605639816700000&amp;usg=AFQjCNEooBtpFh7fCzAIeal8LBiq9CTADA" xr:uid="{67FB2FF3-2A66-42C0-87D6-DE2AD073318F}"/>
    <hyperlink ref="F1386" r:id="rId2444" display="https://www.google.com/url?q=https://github.com/mostafa-saad/MyCompetitiveProgramming/blob/master/Olympiad/POI/official/find_editorial_sols_guidelines.txt&amp;sa=D&amp;ust=1605639816700000&amp;usg=AFQjCNHrMzIZc8FtLgeuFxxFhKEu9xmvKg" xr:uid="{E4E25E51-4823-4AB0-A5DC-AFE8303C0114}"/>
    <hyperlink ref="F1387" r:id="rId2445" display="https://www.google.com/url?q=https://github.com/dolphingarlic/CompetitiveProgramming/blob/master/COI/COCI%252020-politicari.cpp&amp;sa=D&amp;ust=1605639816701000&amp;usg=AFQjCNE_eGqrURZL7TpfuCbFUUrXnE_IIA" xr:uid="{67C72C60-718E-4CC9-90CB-6D4F9717D9CE}"/>
    <hyperlink ref="B1388" r:id="rId2446" display="https://www.google.com/url?q=https://oj.uz/problem/view/COCI18_alkemija&amp;sa=D&amp;ust=1605639816701000&amp;usg=AFQjCNHGmv1Xofftmg8GPg1Pc5ADTn-RqA" xr:uid="{3B913A5C-6D17-4BA2-8477-165E475DB723}"/>
    <hyperlink ref="B1389" r:id="rId2447" display="https://www.google.com/url?q=https://dmoj.ca/problem/coci07c6p4&amp;sa=D&amp;ust=1605639816701000&amp;usg=AFQjCNEhA-qebroaKgIraYgc0QmRs1yjIw" xr:uid="{404854B3-196E-4AD7-BD8C-92567621A0ED}"/>
    <hyperlink ref="F1389" r:id="rId2448" display="https://www.google.com/url?q=https://github.com/mostafa-saad/MyCompetitiveProgramming/tree/master/Olympiad/COCI/official/2008/contest6_solutions&amp;sa=D&amp;ust=1605639816702000&amp;usg=AFQjCNG7PdYrPb2PALm4NjJVPKEk_p5LLQ" xr:uid="{94FB8BA1-087A-4E77-A9CE-17B9B9B6F6F5}"/>
    <hyperlink ref="B1390" r:id="rId2449" display="https://www.google.com/url?q=https://dunjudge.me/analysis/problems/724/&amp;sa=D&amp;ust=1605639816702000&amp;usg=AFQjCNE0bUbz-Gt_iryspk8RzCZbzt2l2g" xr:uid="{033FCDB8-3465-49C4-942E-CC86F1D48316}"/>
    <hyperlink ref="F1390" r:id="rId2450" display="https://www.google.com/url?q=https://github.com/mostafa-saad/MyCompetitiveProgramming/tree/master/Olympiad/MCO/official/2015&amp;sa=D&amp;ust=1605639816702000&amp;usg=AFQjCNGGMfVjqd69Rx6LrLebheGFj7h2Ew" xr:uid="{E8B3BAF1-FDE7-47DA-B6D3-80694F24EFBC}"/>
    <hyperlink ref="B1391" r:id="rId2451" display="https://www.google.com/url?q=https://joi2013ho.contest.atcoder.jp/tasks/joi2013ho1&amp;sa=D&amp;ust=1605639816703000&amp;usg=AFQjCNEQt0Hmpn49FQniVdcC2H8JyYgPGw" xr:uid="{5299771D-8086-40B6-8FA9-5A05B8C823E7}"/>
    <hyperlink ref="B1392" r:id="rId2452" display="https://www.google.com/url?q=https://dunjudge.me/analysis/problems/540/&amp;sa=D&amp;ust=1605639816703000&amp;usg=AFQjCNEcBoTDiKUb52y3lSV3KAxMwSxebw" xr:uid="{09B50348-AF09-4A1F-9974-741695C27202}"/>
    <hyperlink ref="F1392" r:id="rId2453" display="https://www.google.com/url?q=https://github.com/mostafa-saad/MyCompetitiveProgramming/blob/master/Olympiad/COCI/official/2010/contest7_solutions&amp;sa=D&amp;ust=1605639816703000&amp;usg=AFQjCNEHdGEtzT0oS0hw67YbBovTpu7hjA" xr:uid="{A669E816-6896-425E-BCDA-43E84DB7160E}"/>
    <hyperlink ref="B1393" r:id="rId2454" display="https://www.google.com/url?q=https://dunjudge.me/analysis/problems/271/&amp;sa=D&amp;ust=1605639816704000&amp;usg=AFQjCNHemROQ4vWXGekbr9TsztyJ_uZ5Iw" xr:uid="{D6F0DE72-A3AD-4275-BEEB-440C2C4EB852}"/>
    <hyperlink ref="F1393" r:id="rId2455" display="https://www.google.com/url?q=https://github.com/mostafa-saad/MyCompetitiveProgramming/blob/master/Olympiad/NOI/official&amp;sa=D&amp;ust=1605639816704000&amp;usg=AFQjCNHdw0dS3vyTTsQfmRey3FVRbI8-aw" xr:uid="{30EB2C9E-E9BA-4138-AEFB-1D75EAF309D7}"/>
    <hyperlink ref="B1394" r:id="rId2456" display="https://www.google.com/url?q=https://dunjudge.me/analysis/problems/27/&amp;sa=D&amp;ust=1605639816704000&amp;usg=AFQjCNE7FfT_SYqGxPUwooMR_nQ1d_3SHw" xr:uid="{8571F565-3C21-44E3-A479-845A0060CB7B}"/>
    <hyperlink ref="F1394" r:id="rId2457" display="https://www.google.com/url?q=https://github.com/mostafa-saad/MyCompetitiveProgramming/blob/master/Olympiad/NOI/official/2011.pptx&amp;sa=D&amp;ust=1605639816704000&amp;usg=AFQjCNG-wQEu6lvvrSciSX3ZRpS9dHKPpw" xr:uid="{7E6401A4-E8BE-476E-A651-D7D65CF644A7}"/>
    <hyperlink ref="B1395" r:id="rId2458" display="https://www.google.com/url?q=https://codeforces.com/group/swEqtABRxe/contest/243430/problem/A&amp;sa=D&amp;ust=1605639816705000&amp;usg=AFQjCNGavKhrTTP9nR2cGeWBz2Wu-2pIcQ" xr:uid="{CAB1FCFB-5DC1-4C67-99C6-2F4E306BC3EE}"/>
    <hyperlink ref="B1396" r:id="rId2459" display="https://www.google.com/url?q=https://wcipeg.com/problem/coci091p5&amp;sa=D&amp;ust=1605639816705000&amp;usg=AFQjCNED27ndtL2mrqCj02-poGbKZcVsgQ" xr:uid="{BE7CCB7D-A8C9-4F49-AA70-37B1B9DD471F}"/>
    <hyperlink ref="F1396" r:id="rId2460" display="https://www.google.com/url?q=https://github.com/mostafa-saad/MyCompetitiveProgramming/blob/master/Olympiad/COCI/official/2010/contest1_solutions&amp;sa=D&amp;ust=1605639816705000&amp;usg=AFQjCNG_0-up-TRlnHwl8V4KKpMmIuYUog" xr:uid="{1A322DA5-AAFD-405B-A341-B54AA95C8964}"/>
    <hyperlink ref="B1397" r:id="rId2461" display="https://www.google.com/url?q=https://szkopul.edu.pl/problemset/problem/oTpPdueVv1-3g247_-ejjcR_/site/&amp;sa=D&amp;ust=1605639816705000&amp;usg=AFQjCNGCGeRSE5AnOrVrAtXdW5zhtRFnpA" xr:uid="{17C23542-12F0-4FA2-8414-4936A85D949D}"/>
    <hyperlink ref="F1397" r:id="rId2462" display="https://www.google.com/url?q=https://github.com/mostafa-saad/MyCompetitiveProgramming/blob/master/Olympiad/POI/official/find_editorial_sols_guidelines.txt&amp;sa=D&amp;ust=1605639816706000&amp;usg=AFQjCNHiHPHSo92g8xjVMcAzA_T6iiEd0A" xr:uid="{8994D171-974D-4A12-817C-0A19A38E1209}"/>
    <hyperlink ref="B1398" r:id="rId2463" display="https://www.google.com/url?q=https://oj.uz/problem/view/IOI09_mecho&amp;sa=D&amp;ust=1605639816706000&amp;usg=AFQjCNG4KgD61uLlZdNKxtlTadX1BVUUGA" xr:uid="{ED466175-7BEA-4158-A42F-F48AE4A8EE55}"/>
    <hyperlink ref="F1398" r:id="rId2464" display="https://www.google.com/url?q=https://github.com/tmwilliamlin168/CompetitiveProgramming/blob/master/IOI/09-Mecho.cpp&amp;sa=D&amp;ust=1605639816706000&amp;usg=AFQjCNHkP8K8Eh12swFsEpJs_UMgJ-tjYw" xr:uid="{B45B2FDD-5FE3-4AB9-94C6-D889297B6887}"/>
    <hyperlink ref="B1400" r:id="rId2465" display="https://www.google.com/url?q=https://oj.uz/problem/view/NOI18_lightningrod&amp;sa=D&amp;ust=1605639816707000&amp;usg=AFQjCNGLzu-32Tk-uArhv1N0A9cCwjw0ag" xr:uid="{21D7750D-B85C-4F59-A881-C75464C5CD75}"/>
    <hyperlink ref="F1400" r:id="rId2466" display="https://www.google.com/url?q=https://github.com/mostafa-saad/MyCompetitiveProgramming/blob/master/Olympiad/NOI/official&amp;sa=D&amp;ust=1605639816707000&amp;usg=AFQjCNGhWlmayhlMdhx3-jKBwwDgwNeb0A" xr:uid="{7F951A61-503A-4BD6-88DB-52C7F5EF4A9A}"/>
    <hyperlink ref="B1401" r:id="rId2467" display="https://www.google.com/url?q=https://oj.uz/problem/view/COCI15_baloni&amp;sa=D&amp;ust=1605639816707000&amp;usg=AFQjCNHZJA85m3whaEvgAg_7bFyzYNdxlA" xr:uid="{0417DDC9-A475-41F6-8A14-3D331277D126}"/>
    <hyperlink ref="F1401" r:id="rId2468" display="https://www.google.com/url?q=https://github.com/zoooma13/Competitive-Programming/blob/master/baloni2.cpp&amp;sa=D&amp;ust=1605639816708000&amp;usg=AFQjCNHbgjjvZfX4Qvg76HrJGkR3a53qfA" xr:uid="{11D366FB-3BA2-413A-B1D1-5929CDC84D32}"/>
    <hyperlink ref="B1402" r:id="rId2469" display="https://www.google.com/url?q=https://www.infoarena.ro/problema/munte4&amp;sa=D&amp;ust=1605639816708000&amp;usg=AFQjCNF_mhgA6ZKZv5QKatVxj6hz7kQe_A" xr:uid="{9EFD41F9-DDB6-4B4D-8F10-F3AE7971ABBB}"/>
    <hyperlink ref="F1402" r:id="rId2470" display="https://www.google.com/url?q=https://github.com/stefdasca/CompetitiveProgramming/blob/master/Infoarena/munte4.cpp&amp;sa=D&amp;ust=1605639816708000&amp;usg=AFQjCNGIukTXPy6CeWH5FqBcvR6bkBmR4w" xr:uid="{6D2BAD6B-C031-4516-862C-4212F8D40E79}"/>
    <hyperlink ref="B1403" r:id="rId2471" display="https://www.google.com/url?q=https://dmoj.ca/problem/coci15c4p2&amp;sa=D&amp;ust=1605639816709000&amp;usg=AFQjCNHtMUg0za08Y1WTk6D9KK-2so834Q" xr:uid="{F58E2929-2C50-4F33-A24C-06DFBBC08135}"/>
    <hyperlink ref="B1404" r:id="rId2472" display="https://www.google.com/url?q=https://www.infoarena.ro/problema/pm2&amp;sa=D&amp;ust=1605639816710000&amp;usg=AFQjCNGPBeR2Hk5uhed2PhOWCZDhhwXqwA" xr:uid="{5A8120B1-5997-4901-B855-10BE596A9B3F}"/>
    <hyperlink ref="F1404" r:id="rId2473" display="https://www.google.com/url?q=https://github.com/stefdasca/CompetitiveProgramming/blob/master/Infoarena/pm2.cpp&amp;sa=D&amp;ust=1605639816710000&amp;usg=AFQjCNGb5V2PoHu2kvbBcgcTO5KJ3JxNJw" xr:uid="{6A5C7F01-44A0-4D29-A64E-D6B01A31E9D8}"/>
    <hyperlink ref="B1405" r:id="rId2474" display="https://www.google.com/url?q=https://www.infoarena.ro/problema/cerc3&amp;sa=D&amp;ust=1605639816711000&amp;usg=AFQjCNHS2ajbCM0J9tSfVHj47aFfcLjaEQ" xr:uid="{F580E91E-AB1E-410A-9031-784802393F78}"/>
    <hyperlink ref="F1405" r:id="rId2475" display="https://www.google.com/url?q=https://github.com/stefdasca/CompetitiveProgramming/blob/master/Infoarena/cerc3.cpp&amp;sa=D&amp;ust=1605639816711000&amp;usg=AFQjCNFNVE2EunEv2kWneHrms_pOTpayTA" xr:uid="{1783C3C5-6644-4900-BB9D-D4620C1DA831}"/>
    <hyperlink ref="B1406" r:id="rId2476" display="https://www.google.com/url?q=https://www.infoarena.ro/problema/marceland&amp;sa=D&amp;ust=1605639816711000&amp;usg=AFQjCNF3bdXeEPG7v-ytfG_X8pHF4rWAWA" xr:uid="{AC0DD778-3F4F-408E-8F85-D72CDA19C17E}"/>
    <hyperlink ref="F1406" r:id="rId2477" display="https://www.google.com/url?q=https://github.com/stefdasca/CompetitiveProgramming/blob/master/Infoarena/marceland.cpp&amp;sa=D&amp;ust=1605639816712000&amp;usg=AFQjCNGpV0egLHkbcq5NbBh_RsicVni9hQ" xr:uid="{E3FF22DC-C86F-4D92-A5A3-3100D7FC901E}"/>
    <hyperlink ref="B1407" r:id="rId2478" display="https://www.google.com/url?q=https://dmoj.ca/problem/crci07p2&amp;sa=D&amp;ust=1605639816712000&amp;usg=AFQjCNFVIAtLH-jgmpjNfjGYrus-iiOICg" xr:uid="{1D3A3161-F284-413A-BD4D-0C894908FF45}"/>
    <hyperlink ref="F1407" r:id="rId2479" display="https://www.google.com/url?q=https://github.com/mostafa-saad/MyCompetitiveProgramming/tree/master/Olympiad/COCI/official/2008/regional_solutions&amp;sa=D&amp;ust=1605639816712000&amp;usg=AFQjCNGiCfNku_5-ZDVAcVFdBRy0-CyDyQ" xr:uid="{839183D8-0616-4D83-ADAB-D3A657C88E7E}"/>
    <hyperlink ref="B1408" r:id="rId2480" display="https://www.google.com/url?q=https://dmoj.ca/problem/coci14c3p4&amp;sa=D&amp;ust=1605639816713000&amp;usg=AFQjCNF3ErWDohzHMOF_GNCXdb4tm3AgRw" xr:uid="{109FBA90-1C90-4005-B918-920E7BF91281}"/>
    <hyperlink ref="F1408" r:id="rId2481" display="https://www.google.com/url?q=https://github.com/mostafa-saad/MyCompetitiveProgramming/blob/master/Olympiad/COCI/official/2015/contest3_solutions&amp;sa=D&amp;ust=1605639816713000&amp;usg=AFQjCNEtOGm9drkFjSLFYG0WpYvrsDcLig" xr:uid="{CEEC40C3-FA40-434F-ABAC-1842658D46C0}"/>
    <hyperlink ref="B1409" r:id="rId2482" display="https://www.google.com/url?q=https://dmoj.ca/problem/coci14c3p3&amp;sa=D&amp;ust=1605639816713000&amp;usg=AFQjCNGG9h2YbqiEOvgSwBH9xtk4RUyzcw" xr:uid="{4A792101-9024-4906-9A21-3E9DEBDC0E5C}"/>
    <hyperlink ref="F1409" r:id="rId2483" display="https://www.google.com/url?q=https://github.com/mostafa-saad/MyCompetitiveProgramming/blob/master/Olympiad/COCI/official/2015/contest3_solutions&amp;sa=D&amp;ust=1605639816713000&amp;usg=AFQjCNEtOGm9drkFjSLFYG0WpYvrsDcLig" xr:uid="{D33ED1E2-9EF3-43FC-8855-FE168EF8FFC1}"/>
    <hyperlink ref="B1410" r:id="rId2484" display="https://www.google.com/url?q=https://dmoj.ca/problem/coci14c6p4&amp;sa=D&amp;ust=1605639816714000&amp;usg=AFQjCNEu95ll9irSovloLUbsgkxjEL4vjw" xr:uid="{9A27D598-146E-4C53-AB65-28E289071AF3}"/>
    <hyperlink ref="F1410" r:id="rId2485" display="https://www.google.com/url?q=https://github.com/mostafa-saad/MyCompetitiveProgramming/blob/master/Olympiad/COCI/official/2015/contest6_solutions&amp;sa=D&amp;ust=1605639816714000&amp;usg=AFQjCNHEU1mT_AVyuw1d1i2Jr2ym7mh_tQ" xr:uid="{FBCE3B67-5D58-4844-B8E2-4A7EE0E141B8}"/>
    <hyperlink ref="B1411" r:id="rId2486" display="https://www.google.com/url?q=https://codeforces.com/group/swEqtABRxe/contest/227524/problem/B&amp;sa=D&amp;ust=1605639816714000&amp;usg=AFQjCNG86R7l4mJHFrix_utlvpNLcM4fXA" xr:uid="{B5FC9153-EA58-4ED9-84C9-A6817D98DC84}"/>
    <hyperlink ref="B1412" r:id="rId2487" display="https://www.google.com/url?q=https://oj.uz/problem/view/COCI17_unija&amp;sa=D&amp;ust=1605639816715000&amp;usg=AFQjCNGkBmUGQ2s31tedP0IcHVc00Bdkhw" xr:uid="{DDCD35C7-4968-4DD1-B26A-62CEE1ADEE31}"/>
    <hyperlink ref="F1412" r:id="rId2488" display="https://www.google.com/url?q=https://github.com/mostafa-saad/MyCompetitiveProgramming/blob/master/Olympiad/COCI/official/2017/contest5_solutions&amp;sa=D&amp;ust=1605639816715000&amp;usg=AFQjCNHaLluF7JTpdeJvvrfp7NsovWU0UQ" xr:uid="{448A7C19-D38A-4C0F-97BE-3A62C7DE22B3}"/>
    <hyperlink ref="B1413" r:id="rId2489" display="https://www.google.com/url?q=https://www.infoarena.ro/problema/rfinv&amp;sa=D&amp;ust=1605639816715000&amp;usg=AFQjCNGP7fLwjwgwUMgb1UzQgrycQoH2TA" xr:uid="{BD3ADA83-0C2C-4A4A-B991-2E3C5B675A1D}"/>
    <hyperlink ref="F1413" r:id="rId2490" display="https://www.google.com/url?q=https://github.com/stefdasca/CompetitiveProgramming/blob/master/Infoarena/rfinv.cpp&amp;sa=D&amp;ust=1605639816715000&amp;usg=AFQjCNFTdKY6uzp16qzVYSEhU1_axi0-gg" xr:uid="{CFE7E318-796C-411A-9A50-AFEA6F14970C}"/>
    <hyperlink ref="B1414" r:id="rId2491" display="https://www.google.com/url?q=https://oj.uz/problem/view/COCI18_zamjena&amp;sa=D&amp;ust=1605639816716000&amp;usg=AFQjCNGLSc1WvC1HXTeD8y05HeXcjc3d0w" xr:uid="{A2AA5C9C-C45E-47BC-BCBE-11CCF44E2E8F}"/>
    <hyperlink ref="B1415" r:id="rId2492" display="https://www.google.com/url?q=https://codeforces.com/group/swEqtABRxe/contest/243430/problem/A&amp;sa=D&amp;ust=1605639816716000&amp;usg=AFQjCNG97vfoUWbXI512qqkdIvZ5E58XMg" xr:uid="{5DD378A9-EBA0-43BD-8824-7DFEC2E87875}"/>
    <hyperlink ref="B1416" r:id="rId2493" display="https://www.google.com/url?q=https://oj.uz/problem/view/COCI18_cipele&amp;sa=D&amp;ust=1605639816716000&amp;usg=AFQjCNE-b4znc4sZnumnY-OSyzHN7EhXtg" xr:uid="{0A71DBA6-F77C-461D-A06F-16797CD8A285}"/>
    <hyperlink ref="B1417" r:id="rId2494" display="https://www.google.com/url?q=https://cses.fi/101/list/&amp;sa=D&amp;ust=1605639816717000&amp;usg=AFQjCNEG37JAu93UCrcseN-FAyw7G3qOJQ" xr:uid="{4AEFB412-0A82-4559-B023-942D442D930B}"/>
    <hyperlink ref="F1417" r:id="rId2495" display="https://www.google.com/url?q=https://github.com/mostafa-saad/MyCompetitiveProgramming/blob/master/Olympiad/Baltic/official/boi2011_solutions&amp;sa=D&amp;ust=1605639816717000&amp;usg=AFQjCNE5t9tVhjlLuSH-Xah4D-Ct_ElJXw" xr:uid="{B226CB9F-A4C5-4F2C-884D-396EC0BF7FC6}"/>
    <hyperlink ref="B1418" r:id="rId2496" display="https://www.google.com/url?q=https://infoarena.ro/problema/album2&amp;sa=D&amp;ust=1605639816717000&amp;usg=AFQjCNFOIkzNkaLsXVqgYOaKXo3QOSA16Q" xr:uid="{538099F5-9A57-4D93-913A-30CD792A888A}"/>
    <hyperlink ref="F1418" r:id="rId2497" display="https://www.google.com/url?q=https://github.com/stefdasca/CompetitiveProgramming/blob/master/Infoarena/album2.cpp&amp;sa=D&amp;ust=1605639816718000&amp;usg=AFQjCNEX9xrxSvUTFJm300p8PyN2Kf3_BA" xr:uid="{DCA70BB7-D644-4D17-8299-2EC84A1C5252}"/>
    <hyperlink ref="B1419" r:id="rId2498" display="https://www.google.com/url?q=https://szkopul.edu.pl/problemset/problem/VENspsedQ1oO5IorYs8Ergdn/site/&amp;sa=D&amp;ust=1605639816718000&amp;usg=AFQjCNGbVcSaPuRECxSPTgVyjsgv_d3d2w" xr:uid="{F3CB9CFA-A6C0-4D6D-8CFF-2E23F291A48F}"/>
    <hyperlink ref="F1419" r:id="rId2499" display="https://www.google.com/url?q=https://github.com/mostafa-saad/MyCompetitiveProgramming/blob/master/Olympiad/POI/official/find_editorial_sols_guidelines.txt&amp;sa=D&amp;ust=1605639816718000&amp;usg=AFQjCNEm_2tYSwC-jU9ac0KX4SEpTxIW1Q" xr:uid="{CA51EA1C-5334-41D9-90D2-020510716660}"/>
    <hyperlink ref="B1420" r:id="rId2500" display="https://www.google.com/url?q=https://dunjudge.me/analysis/problems/1411/&amp;sa=D&amp;ust=1605639816719000&amp;usg=AFQjCNH0pV-kfBCXqHoeMAw7o4O7weHOWw" xr:uid="{7E886D0B-72D7-48DE-AFDE-FAF03C87B295}"/>
    <hyperlink ref="F1420" r:id="rId2501" display="https://www.google.com/url?q=https://github.com/mostafa-saad/MyCompetitiveProgramming/blob/master/Olympiad/COCI/official/2014/contest4_solutions&amp;sa=D&amp;ust=1605639816719000&amp;usg=AFQjCNHlsUzDo1tToFNEBxBW48LcsOCgwQ" xr:uid="{CA5E7971-382C-4BD2-8006-CC6F3D84C657}"/>
    <hyperlink ref="B1421" r:id="rId2502" display="https://www.google.com/url?q=https://dmoj.ca/problem/coci07c1p5&amp;sa=D&amp;ust=1605639816719000&amp;usg=AFQjCNF9S5RzKgkvQ01xFqJ9vwEzWv8PZw" xr:uid="{94AC397F-5CEF-43CC-A66C-A87E4D0F1CDD}"/>
    <hyperlink ref="F1421" r:id="rId2503" display="https://www.google.com/url?q=https://github.com/mostafa-saad/MyCompetitiveProgramming/tree/master/Olympiad/COCI/official/2008/contest1_solutions&amp;sa=D&amp;ust=1605639816719000&amp;usg=AFQjCNGoc73gn8icW-XpVXNHAUH6aBRG9Q" xr:uid="{3237593D-BE67-43F6-8883-C37014196557}"/>
    <hyperlink ref="B1422" r:id="rId2504" display="https://www.google.com/url?q=https://dmoj.ca/problem/coci14c1p5&amp;sa=D&amp;ust=1605639816721000&amp;usg=AFQjCNGgHlE0G0GBc3lDwyuRUThWUPbr0w" xr:uid="{58BE337C-982D-43A2-BCF4-C273A149F8C8}"/>
    <hyperlink ref="F1422" r:id="rId2505" display="https://www.google.com/url?q=https://github.com/mostafa-saad/MyCompetitiveProgramming/blob/master/Olympiad/COCI/official/2015/contest1_solutions&amp;sa=D&amp;ust=1605639816721000&amp;usg=AFQjCNETkNy-NbQ6b9ULqbeYM1heTVI_MQ" xr:uid="{47D7C26C-9AEE-4616-9358-8BB61D3D58FF}"/>
    <hyperlink ref="B1423" r:id="rId2506" display="https://www.google.com/url?q=https://oj.uz/problem/view/NOI18_collectmushrooms&amp;sa=D&amp;ust=1605639816721000&amp;usg=AFQjCNHoeFuz_3PsDoaP_GZ1m-_UjwuAmw" xr:uid="{6142FE86-8106-406C-A95B-AA477EDA00C4}"/>
    <hyperlink ref="F1423" r:id="rId2507" display="https://www.google.com/url?q=https://github.com/mostafa-saad/MyCompetitiveProgramming/blob/master/Olympiad/NOI/official&amp;sa=D&amp;ust=1605639816721000&amp;usg=AFQjCNEQP8taivQRmc9mZ8rQ7bzP5F4g4Q" xr:uid="{4BA1ACBF-160C-4B0E-B1C1-9E8FED6EC739}"/>
    <hyperlink ref="B1424" r:id="rId2508" display="https://www.google.com/url?q=https://oj.uz/problem/view/COCI17_zigzag&amp;sa=D&amp;ust=1605639816722000&amp;usg=AFQjCNFFvfK8APHq4xFQkP5fWcF0QUbEWA" xr:uid="{6C4EC775-E66B-4003-B260-E223E0390C44}"/>
    <hyperlink ref="B1425" r:id="rId2509" display="https://www.google.com/url?q=https://oj.uz/problem/view/JOI20_ho_t1&amp;sa=D&amp;ust=1605639816722000&amp;usg=AFQjCNH3_CpJddcRNBSUPPKRdDilbwfuuw" xr:uid="{3DFD335F-5EC2-4025-98DF-A344542B4780}"/>
    <hyperlink ref="F1425" r:id="rId2510" display="https://www.google.com/url?q=https://github.com/dolphingarlic/CompetitiveProgramming/blob/master/JOI/JOI%252020-neckties.cpp&amp;sa=D&amp;ust=1605639816722000&amp;usg=AFQjCNGGUUc2KLhE5_6XKh2RP_JfycMOlw" xr:uid="{BB23AEF7-4CC4-4016-9966-22760B34EA99}"/>
    <hyperlink ref="B1426" r:id="rId2511" display="https://www.google.com/url?q=https://cses.fi/111/list/&amp;sa=D&amp;ust=1605639816723000&amp;usg=AFQjCNHYT8XOIbxflajb7UvipX2clshdog" xr:uid="{ACF16AD3-F84C-4099-AD11-3F31C1D9D7F5}"/>
    <hyperlink ref="F1426" r:id="rId2512" display="https://www.google.com/url?q=https://github.com/mostafa-saad/MyCompetitiveProgramming/blob/master/Olympiad/Baltic/official/boi2007_solutions&amp;sa=D&amp;ust=1605639816723000&amp;usg=AFQjCNF-bKZLa2U-j33l6tV3tD3wQ7xZYA" xr:uid="{3F5073EA-B4B0-46FB-B785-B5385637C2B0}"/>
    <hyperlink ref="B1427" r:id="rId2513" display="https://www.google.com/url?q=https://oj.uz/problem/view/COCI16_pohlepko&amp;sa=D&amp;ust=1605639816723000&amp;usg=AFQjCNHnubnxTh58vf50xQywpE4cODRHWQ" xr:uid="{DE3BC839-6A19-4EB0-A51A-BFE33B9423CA}"/>
    <hyperlink ref="F1427" r:id="rId2514" display="https://www.google.com/url?q=https://github.com/mostafa-saad/MyCompetitiveProgramming/blob/master/Olympiad/COCI/official/2017/contest3_solutions&amp;sa=D&amp;ust=1605639816724000&amp;usg=AFQjCNHTZjqMX4FgyIqfbE5zMxFQ-Z8rEg" xr:uid="{E16C484E-88BB-48E0-B62A-95F20D5CE8C9}"/>
    <hyperlink ref="B1428" r:id="rId2515" display="https://www.google.com/url?q=https://wcipeg.com/problem/coci067p3&amp;sa=D&amp;ust=1605639816724000&amp;usg=AFQjCNETiTO8tpSyx_H9n0eLdblvrE7GZQ" xr:uid="{AA7545D4-5C25-4B03-A3E1-CC78A3055E44}"/>
    <hyperlink ref="F1428" r:id="rId2516" display="https://www.google.com/url?q=https://github.com/mostafa-saad/MyCompetitiveProgramming/tree/master/Olympiad/COCI/official/2007/regional_solutions&amp;sa=D&amp;ust=1605639816724000&amp;usg=AFQjCNFiO-NmUZ0C66bM-IfiguSbdpwYDw" xr:uid="{BE9B057A-6E09-42DC-BB8A-1B419BB9A442}"/>
    <hyperlink ref="B1429" r:id="rId2517" display="https://www.google.com/url?q=https://wcipeg.com/problem/coci067p2&amp;sa=D&amp;ust=1605639816725000&amp;usg=AFQjCNGu46vFYk7GJOJzx21HSvmIFTb5vA" xr:uid="{A73EA7AB-F781-4D8E-8728-61138D9E643C}"/>
    <hyperlink ref="F1429" r:id="rId2518" display="https://www.google.com/url?q=https://github.com/mostafa-saad/MyCompetitiveProgramming/tree/master/Olympiad/COCI/official/2007/regional_solutions&amp;sa=D&amp;ust=1605639816725000&amp;usg=AFQjCNEZ68uWvB_8QCikKVVGufXLlG6BaA" xr:uid="{D4EFC58F-74BD-44ED-91FB-CE7D05427040}"/>
    <hyperlink ref="B1430" r:id="rId2519" display="https://www.google.com/url?q=https://oj.uz/problem/view/COCI18_timovi&amp;sa=D&amp;ust=1605639816725000&amp;usg=AFQjCNF3AmEphvd8x6k05rTScRcmTDjDsQ" xr:uid="{63F21E5F-8A3D-45F5-8486-1FB3F8718E76}"/>
    <hyperlink ref="B1431" r:id="rId2520" display="https://www.google.com/url?q=https://cses.fi/231/task/B&amp;sa=D&amp;ust=1605639816726000&amp;usg=AFQjCNHUbYa4s4Vn4dzRJtmBWcLfL69QaQ" xr:uid="{3E1D8BB4-820A-4A5C-AA04-9D0ED11F22E3}"/>
    <hyperlink ref="B1432" r:id="rId2521" display="https://www.google.com/url?q=https://wcipeg.com/problem/coci096p3&amp;sa=D&amp;ust=1605639816726000&amp;usg=AFQjCNE6UPJsV10sEeK-dWgFJGPHsziX0Q" xr:uid="{BB173032-B055-49E7-B4F1-0A334FDFAF36}"/>
    <hyperlink ref="F1432" r:id="rId2522" display="https://www.google.com/url?q=https://github.com/mostafa-saad/MyCompetitiveProgramming/blob/master/Olympiad/COCI/official/2010/contest6_solutions&amp;sa=D&amp;ust=1605639816727000&amp;usg=AFQjCNEbdrebxUkrGDNmDeq7CxHgcmnskg" xr:uid="{29AB9C59-C2E9-4C1F-A3C5-45A82BBBA29B}"/>
    <hyperlink ref="B1433" r:id="rId2523" display="https://www.google.com/url?q=https://szkopul.edu.pl/problemset/problem/d5W4-JZbz1vSmQCLIJ91__9N/site/&amp;sa=D&amp;ust=1605639816727000&amp;usg=AFQjCNFJUgT6ChdqdDMylo8i3i1xNN1YtQ" xr:uid="{F0B1744F-53F5-44AF-8FE8-A956C39E2860}"/>
    <hyperlink ref="F1433" r:id="rId2524" display="https://www.google.com/url?q=https://github.com/mostafa-saad/MyCompetitiveProgramming/blob/master/Olympiad/POI/official/find_editorial_sols_guidelines.txt&amp;sa=D&amp;ust=1605639816727000&amp;usg=AFQjCNEcvxPlYXfJrA5Jfisy1RypWoqOnQ" xr:uid="{775ACE9D-BE35-447E-BE1B-80F90EFE08F5}"/>
    <hyperlink ref="B1434" r:id="rId2525" display="https://www.google.com/url?q=https://szkopul.edu.pl/problemset/problem/NZhJzNZct1iBas2bPCvlvls5/site/&amp;sa=D&amp;ust=1605639816727000&amp;usg=AFQjCNFkpFOFk4odoWfaVpOBv8Kn6KOntQ" xr:uid="{EA27E27A-B72B-4795-A7C0-F61DCAA59945}"/>
    <hyperlink ref="F1434" r:id="rId2526" display="https://www.google.com/url?q=https://github.com/mostafa-saad/MyCompetitiveProgramming/blob/master/Olympiad/POI/official/find_editorial_sols_guidelines.txt&amp;sa=D&amp;ust=1605639816728000&amp;usg=AFQjCNE0IFj-5UHVWbHgtTHpgUuC60ZjVQ" xr:uid="{CC77F702-6B37-4364-A080-AED738C42444}"/>
    <hyperlink ref="B1435" r:id="rId2527" display="https://www.google.com/url?q=https://szkopul.edu.pl/problemset/problem/Z8dyWFvoZuAJMjzLhqu4IH2o/site/&amp;sa=D&amp;ust=1605639816728000&amp;usg=AFQjCNHKEWH12Q5psoa2ppGmnOfRaPfP3Q" xr:uid="{BF76A7AE-622F-487D-B1CD-362E4FD80350}"/>
    <hyperlink ref="F1435" r:id="rId2528" display="https://www.google.com/url?q=https://github.com/mostafa-saad/MyCompetitiveProgramming/blob/master/Olympiad/POI/official/find_editorial_sols_guidelines.txt&amp;sa=D&amp;ust=1605639816728000&amp;usg=AFQjCNE0IFj-5UHVWbHgtTHpgUuC60ZjVQ" xr:uid="{63D0F116-E656-4593-8F58-C30078E80900}"/>
    <hyperlink ref="B1436" r:id="rId2529" display="https://www.google.com/url?q=https://szkopul.edu.pl/problemset/problem/E4CCHJSbYzxeGWXMnBZHkPnm/site/&amp;sa=D&amp;ust=1605639816728000&amp;usg=AFQjCNEdbSX5gRgxyjqKpada2AuSJVZsjA" xr:uid="{CB68C3B8-B0E5-411D-B78D-ED2420929B45}"/>
    <hyperlink ref="F1436" r:id="rId2530" display="https://www.google.com/url?q=https://github.com/mostafa-saad/MyCompetitiveProgramming/blob/master/Olympiad/POI/official/find_editorial_sols_guidelines.txt&amp;sa=D&amp;ust=1605639816728000&amp;usg=AFQjCNE0IFj-5UHVWbHgtTHpgUuC60ZjVQ" xr:uid="{501CB980-0047-4B9C-800E-347E2D4C7D54}"/>
    <hyperlink ref="B1437" r:id="rId2531" display="https://www.google.com/url?q=https://szkopul.edu.pl/problemset/problem/oTsXNiT3SD45VgVS2zqQWj7F/site/&amp;sa=D&amp;ust=1605639816728000&amp;usg=AFQjCNFoHCJMTbn3QS_mgEIsRkiOxPXe-A" xr:uid="{C3733EC6-B19A-4205-B42D-A495C1E20D08}"/>
    <hyperlink ref="F1437" r:id="rId2532" display="https://www.google.com/url?q=https://github.com/mostafa-saad/MyCompetitiveProgramming/blob/master/Olympiad/POI/official/find_editorial_sols_guidelines.txt&amp;sa=D&amp;ust=1605639816728000&amp;usg=AFQjCNE0IFj-5UHVWbHgtTHpgUuC60ZjVQ" xr:uid="{59B68883-6360-4A12-A230-16646BFF51EB}"/>
    <hyperlink ref="B1438" r:id="rId2533" display="https://www.google.com/url?q=https://oj.uz/problem/view/IOI09_garage&amp;sa=D&amp;ust=1605639816729000&amp;usg=AFQjCNHVo_hsanjXXWnac9_203-3E0WYXA" xr:uid="{B47D65EE-E6FD-49A3-8AE0-F99617595684}"/>
    <hyperlink ref="F1438" r:id="rId2534" display="https://www.google.com/url?q=https://github.com/mostafa-saad/MyCompetitiveProgramming/blob/master/Olympiad/IOI/official/2009&amp;sa=D&amp;ust=1605639816729000&amp;usg=AFQjCNE7a-MoWFqR5jLODx6AYH31Re-0ZA" xr:uid="{A8DE5254-173F-465D-AAE7-A6BC3C1B126D}"/>
    <hyperlink ref="B1439" r:id="rId2535" display="https://www.google.com/url?q=https://codeforces.com/group/swEqtABRxe/contest/243431/problem/A&amp;sa=D&amp;ust=1605639816729000&amp;usg=AFQjCNHqDlJfrmSVpfT5w-Fw2VpP7giHQg" xr:uid="{3EF27597-C8C7-4438-AD3A-EF99DFAE7C69}"/>
    <hyperlink ref="B1440" r:id="rId2536" display="https://www.google.com/url?q=https://codeforces.com/group/swEqtABRxe/contest/243435/problem/B&amp;sa=D&amp;ust=1605639816730000&amp;usg=AFQjCNF-O4Fnem92WaMDASnMf3SrEqaDOQ" xr:uid="{6A84BB3A-1D74-4BDB-94D3-C9405E66F4FD}"/>
    <hyperlink ref="B1441" r:id="rId2537" display="https://www.google.com/url?q=https://oj.uz/problem/view/COCI17_tetris&amp;sa=D&amp;ust=1605639816730000&amp;usg=AFQjCNHkZbo-7qhokMm7UyfPcjdktdtNdA" xr:uid="{215A13F8-CD07-41B1-B782-82BB9BA66F82}"/>
    <hyperlink ref="B1442" r:id="rId2538" display="https://www.google.com/url?q=https://oj.uz/problem/view/COCI16_nizin&amp;sa=D&amp;ust=1605639816730000&amp;usg=AFQjCNG4vduy6Re9oabMqAeMrDXxisoOSw" xr:uid="{A0ECC135-DEEC-47FB-9E99-1728E0E0EB1A}"/>
    <hyperlink ref="F1442" r:id="rId2539" display="https://www.google.com/url?q=https://github.com/mostafa-saad/MyCompetitiveProgramming/blob/master/Olympiad/COCI/official/2017/contest2_solutions&amp;sa=D&amp;ust=1605639816731000&amp;usg=AFQjCNG285GbNjowT8GIy3U__eAME5Td3w" xr:uid="{BB89EDFD-3B65-48A6-BE37-8E9417469E0A}"/>
    <hyperlink ref="B1443" r:id="rId2540" display="https://www.google.com/url?q=https://github.com/stefdasca/CompetitiveProgramming/blob/master/Info1Cup/National%2520Round/Mean%2520(RO).pdf&amp;sa=D&amp;ust=1605639816731000&amp;usg=AFQjCNGD53vKrymwyLZSxsYeomDsUHMlPg" xr:uid="{3F156371-DE82-49FF-9DDE-EC15AF033119}"/>
    <hyperlink ref="F1443" r:id="rId2541" display="https://www.google.com/url?q=https://github.com/stefdasca/CompetitiveProgramming/blob/master/Info1Cup/National%2520Round/mean.cpp&amp;sa=D&amp;ust=1605639816731000&amp;usg=AFQjCNHTWL4-Q1MeJrfPZTl5SjXPi85QMg" xr:uid="{E0B02170-D78D-4CC6-A36A-40C5B5EA3DA5}"/>
    <hyperlink ref="B1444" r:id="rId2542" display="https://www.google.com/url?q=https://dunjudge.me/analysis/problems/1221/&amp;sa=D&amp;ust=1605639816731000&amp;usg=AFQjCNFTBnfW8yeLuj8eSrUVqcEuaZECcw" xr:uid="{11596AD1-ECAD-4418-81C3-7AF3E6566DD0}"/>
    <hyperlink ref="F1444" r:id="rId2543" display="https://www.google.com/url?q=https://github.com/mostafa-saad/MyCompetitiveProgramming/blob/master/Olympiad/COCI/official/2015/contest7_solutions&amp;sa=D&amp;ust=1605639816731000&amp;usg=AFQjCNFvu68YWBsUeXM7o7yUYTOIrrta4g" xr:uid="{38EF8A8C-4F8B-4ADD-8D07-0B343F5FC4F0}"/>
    <hyperlink ref="B1445" r:id="rId2544" display="https://www.google.com/url?q=https://dmoj.ca/problem/coci14c6p2&amp;sa=D&amp;ust=1605639816731000&amp;usg=AFQjCNHvDDRgmZl9ZckTWMuHuRX2zn3rwA" xr:uid="{2E93D5A9-B2ED-4EAE-B243-99B0879471E7}"/>
    <hyperlink ref="F1445" r:id="rId2545" display="https://www.google.com/url?q=https://github.com/mostafa-saad/MyCompetitiveProgramming/blob/master/Olympiad/COCI/official/2015/contest6_solutions&amp;sa=D&amp;ust=1605639816732000&amp;usg=AFQjCNHXWqMOoiYk-k7S4gIOZ7Y3HNjb6Q" xr:uid="{50E24901-C5E6-4594-A026-77C14A16EA2C}"/>
    <hyperlink ref="B1446" r:id="rId2546" display="https://www.google.com/url?q=https://oj.uz/problem/view/IOI16_laugh&amp;sa=D&amp;ust=1605639816732000&amp;usg=AFQjCNFpN0VCfaElGr9bPbjpEOwj87d7rg" xr:uid="{B3EB9AA1-692A-4B8C-A810-E1DC5CEA10EE}"/>
    <hyperlink ref="F1446" r:id="rId2547" display="https://www.google.com/url?q=https://github.com/mostafa-saad/MyCompetitiveProgramming/blob/master/Olympiad/IOI/official/2016&amp;sa=D&amp;ust=1605639816732000&amp;usg=AFQjCNHWbeu47iEvj4rT4KYnAH2osxNOjA" xr:uid="{FDF6D562-BA57-431A-A13B-C58748ED61A3}"/>
    <hyperlink ref="B1447" r:id="rId2548" display="https://www.google.com/url?q=https://cses.fi/100/list/&amp;sa=D&amp;ust=1605639816732000&amp;usg=AFQjCNFtPdixOVUZIm5ZjvN3C9Y_IUhCwg" xr:uid="{FEF56EB0-C642-49F8-946A-61F5406F5C4B}"/>
    <hyperlink ref="F1447" r:id="rId2549" display="https://www.google.com/url?q=https://github.com/mostafa-saad/MyCompetitiveProgramming/blob/master/Olympiad/Baltic/official/boi2011_solutions&amp;sa=D&amp;ust=1605639816732000&amp;usg=AFQjCNE3t8M_SD8Dw0Fzz4EUFY5SeTN5og" xr:uid="{D248F0A8-2EB9-4AC5-BF66-BDA0CE4A48EB}"/>
    <hyperlink ref="B1448" r:id="rId2550" display="https://www.google.com/url?q=https://dmoj.ca/problem/coci08c1p3&amp;sa=D&amp;ust=1605639816732000&amp;usg=AFQjCNGilHb7R6OsftCumgdn6uh-Nep91Q" xr:uid="{DA0F493F-8EEA-486B-BDE2-F4F11737D3C8}"/>
    <hyperlink ref="F1448" r:id="rId2551" display="https://www.google.com/url?q=https://github.com/mostafa-saad/MyCompetitiveProgramming/blob/master/Olympiad/COCI/official/2009/contest1_solutions&amp;sa=D&amp;ust=1605639816733000&amp;usg=AFQjCNFax6Ncsbma1p9to71M2v5NxRv0wg" xr:uid="{521D5468-D358-46D0-A0C9-C1FEB0E30CFA}"/>
    <hyperlink ref="B1449" r:id="rId2552" display="https://www.google.com/url?q=https://dmoj.ca/problem/coci08c1p1&amp;sa=D&amp;ust=1605639816733000&amp;usg=AFQjCNEJ4n0_HMjA4NOrmVxUQcvj22u9bg" xr:uid="{1F92D19A-E69F-432F-BC05-3CE09DAAD582}"/>
    <hyperlink ref="F1449" r:id="rId2553" display="https://www.google.com/url?q=https://github.com/mostafa-saad/MyCompetitiveProgramming/blob/master/Olympiad/COCI/official/2009/contest1_solutions&amp;sa=D&amp;ust=1605639816733000&amp;usg=AFQjCNFax6Ncsbma1p9to71M2v5NxRv0wg" xr:uid="{54FBE3B2-DEA0-458C-96F4-CBFD5EDAD29F}"/>
    <hyperlink ref="B1450" r:id="rId2554" display="https://www.google.com/url?q=https://dmoj.ca/problem/coci08c2p3&amp;sa=D&amp;ust=1605639816733000&amp;usg=AFQjCNEAk4-cfzuwJ46GMy--SuaEchcx7A" xr:uid="{0EC24837-8B08-42F3-A697-B51F90829A78}"/>
    <hyperlink ref="F1450" r:id="rId2555" display="https://www.google.com/url?q=https://github.com/mostafa-saad/MyCompetitiveProgramming/blob/master/Olympiad/COCI/official/2009/contest2_solutions&amp;sa=D&amp;ust=1605639816733000&amp;usg=AFQjCNFltyDcZEmYpxTtrgEWTv5YHrPGNQ" xr:uid="{B9EC477E-5A2C-4305-808E-CC9FFCD36898}"/>
    <hyperlink ref="B1451" r:id="rId2556" display="https://www.google.com/url?q=https://dmoj.ca/problem/coci14c4p2&amp;sa=D&amp;ust=1605639816733000&amp;usg=AFQjCNFcCtvOl8fUZqfccrAgTAEdjfKgng" xr:uid="{E28CD491-71E4-472B-89C9-23A91243CA01}"/>
    <hyperlink ref="F1451" r:id="rId2557" display="https://www.google.com/url?q=https://github.com/mostafa-saad/MyCompetitiveProgramming/blob/master/Olympiad/COCI/official/2015/contest4_solutions&amp;sa=D&amp;ust=1605639816734000&amp;usg=AFQjCNFdBWh7q4l074517bRX1N7GUj8z1A" xr:uid="{F1B365AE-E6CA-4A72-B20B-A5B31CE7D772}"/>
    <hyperlink ref="B1452" r:id="rId2558" display="https://www.google.com/url?q=https://dmoj.ca/problem/coci14c6p3&amp;sa=D&amp;ust=1605639816734000&amp;usg=AFQjCNHoitU3fIKeFxm-qmAjRQkAbhnaEA" xr:uid="{B12BA6A8-F53C-424D-9F04-9B650DB96FD5}"/>
    <hyperlink ref="F1452" r:id="rId2559" display="https://www.google.com/url?q=https://github.com/mostafa-saad/MyCompetitiveProgramming/blob/master/Olympiad/COCI/official/2015/contest6_solutions&amp;sa=D&amp;ust=1605639816734000&amp;usg=AFQjCNG5W_JqTM43sTJ0CcjWWG_9eje9JQ" xr:uid="{D3A0DE64-446A-4C25-9E87-B8FC828FCF3A}"/>
    <hyperlink ref="B1453" r:id="rId2560" display="https://www.google.com/url?q=http://poj.org/problem?id%3D1147&amp;sa=D&amp;ust=1605639816734000&amp;usg=AFQjCNF4oHy2exyHL9zLc2Azr7Epsn4Dqw" xr:uid="{96CDA9B4-B11A-4B54-B445-D6E58AF32FBD}"/>
    <hyperlink ref="F1453" r:id="rId2561" display="https://www.google.com/url?q=https://github.com/mostafa-saad/MyCompetitiveProgramming/blob/master/Olympiad/IOI/official/2001&amp;sa=D&amp;ust=1605639816734000&amp;usg=AFQjCNEmVuryc8PBj2NGZOm3eeIJNwgpaA" xr:uid="{3F075A99-D885-4501-B966-4CE0F60CAF2B}"/>
    <hyperlink ref="B1454" r:id="rId2562" display="https://www.google.com/url?q=https://szkopul.edu.pl/problemset/problem/7u_14yXL3mR3mO0seZLusF5U/site/&amp;sa=D&amp;ust=1605639816734000&amp;usg=AFQjCNGTiPSLf_oj_yMWA9lOjFuf2dSrPA" xr:uid="{068A36BB-5DCE-430D-BD74-00A1271F08B2}"/>
    <hyperlink ref="F1454" r:id="rId2563" display="https://www.google.com/url?q=https://github.com/mostafa-saad/MyCompetitiveProgramming/blob/master/Olympiad/POI/official/find_editorial_sols_guidelines.txt&amp;sa=D&amp;ust=1605639816735000&amp;usg=AFQjCNHQPADjx0ft869z2AqHoZ8JgZBGCA" xr:uid="{DD2A08F6-7E91-45CC-82F6-DD3051D9A4D9}"/>
    <hyperlink ref="B1455" r:id="rId2564" display="https://www.google.com/url?q=https://dmoj.ca/problem/coci06c1p3&amp;sa=D&amp;ust=1605639816735000&amp;usg=AFQjCNHT5I7GSSc32Yq6kPcA7hyeKMKC8Q" xr:uid="{5EFE4F29-32CD-40A6-B894-9ED57B988D18}"/>
    <hyperlink ref="F1455" r:id="rId2565" display="https://www.google.com/url?q=https://github.com/mostafa-saad/MyCompetitiveProgramming/tree/master/Olympiad/COCI/official/2007/contest1_solutions&amp;sa=D&amp;ust=1605639816735000&amp;usg=AFQjCNG6wgbOQ2utMKy-ePayK1snH46T6A" xr:uid="{3A72A702-88D3-4CB8-9470-8A5D252AE83F}"/>
    <hyperlink ref="B1456" r:id="rId2566" display="https://www.google.com/url?q=https://dmoj.ca/problem/coci06c6p3&amp;sa=D&amp;ust=1605639816735000&amp;usg=AFQjCNEJzxFlroUTlFpGAyQ7hxWWpcK_9w" xr:uid="{AB957332-1252-495D-ACB0-28D30E37C459}"/>
    <hyperlink ref="F1456" r:id="rId2567" display="https://www.google.com/url?q=https://github.com/mostafa-saad/MyCompetitiveProgramming/tree/master/Olympiad/COCI/official/2007/contest6_solutions&amp;sa=D&amp;ust=1605639816735000&amp;usg=AFQjCNGya5fQFpHUxvCLrvONaa0s-g6iCw" xr:uid="{A484E4B8-BF09-4799-9063-DE6DBE4C39E8}"/>
    <hyperlink ref="B1457" r:id="rId2568" display="https://www.google.com/url?q=https://wcipeg.com/problem/coci067p1&amp;sa=D&amp;ust=1605639816735000&amp;usg=AFQjCNE9S7nlRfLfzif2jzd2zQxPzEsXcg" xr:uid="{3E233989-63A6-4AA5-A184-90C2C577EE0C}"/>
    <hyperlink ref="F1457" r:id="rId2569" display="https://www.google.com/url?q=https://github.com/mostafa-saad/MyCompetitiveProgramming/tree/master/Olympiad/COCI/official/2007/regional_solutions&amp;sa=D&amp;ust=1605639816737000&amp;usg=AFQjCNH5UmBi7D8RPwF_efXXX5wkb5fuWw" xr:uid="{8A6A6F90-8D5C-4618-BE70-7F366E33EF38}"/>
    <hyperlink ref="B1458" r:id="rId2570" display="https://www.google.com/url?q=https://oj.uz/problems/source/307&amp;sa=D&amp;ust=1605639816737000&amp;usg=AFQjCNFVz9Kube7hl-p2Tu55xJZiiLPP_Q" xr:uid="{90680A0C-B91C-4BF7-92B9-6EB240C5C6FF}"/>
    <hyperlink ref="F1458" r:id="rId2571" display="https://www.google.com/url?q=https://github.com/tmwilliamlin168/CompetitiveProgramming/tree/master/JOI&amp;sa=D&amp;ust=1605639816737000&amp;usg=AFQjCNFxJq1lD27U0TNmm8nlDdwWel_lTA" xr:uid="{AB19B953-1A0F-4366-9D34-4AFE241290CE}"/>
    <hyperlink ref="B1459" r:id="rId2572" display="https://www.google.com/url?q=https://www.infoarena.ro/problema/calorifer&amp;sa=D&amp;ust=1605639816738000&amp;usg=AFQjCNGZ9pGSWoppBMn-bG0KA4D01vfSiw" xr:uid="{470D3A9C-94C7-45F7-8E88-55A2611BB685}"/>
    <hyperlink ref="F1459" r:id="rId2573" display="https://www.google.com/url?q=https://github.com/stefdasca/CompetitiveProgramming/blob/master/Infoarena/calorifer.cpp&amp;sa=D&amp;ust=1605639816738000&amp;usg=AFQjCNGxVAPXp6fuwcLyJToKMAuNEBhKJw" xr:uid="{F153FFB4-D84D-4411-AB04-225BC7035192}"/>
    <hyperlink ref="B1460" r:id="rId2574" display="https://www.google.com/url?q=https://dunjudge.me/analysis/problems/18/&amp;sa=D&amp;ust=1605639816738000&amp;usg=AFQjCNH9ysyXwknxNwGItc9G2YJEDmGlEA" xr:uid="{BD4D56E0-E78D-4085-94AF-88579B33902F}"/>
    <hyperlink ref="F1460" r:id="rId2575" display="https://www.google.com/url?q=https://github.com/mostafa-saad/MyCompetitiveProgramming/blob/master/Olympiad/NOI/official/2011.pptx&amp;sa=D&amp;ust=1605639816738000&amp;usg=AFQjCNFr0AK4ppbJ9IvhV-vXYjx3Dy5vVg" xr:uid="{21CE1379-D4DB-42DA-AD5E-199503C7B0E7}"/>
    <hyperlink ref="B1461" r:id="rId2576" display="https://www.google.com/url?q=https://boi18-practice-open.kattis.com/problems&amp;sa=D&amp;ust=1605639816738000&amp;usg=AFQjCNGriE58ze_ZRs7HKxcOUDF0A8cq5A" xr:uid="{B750FE94-DB3D-4689-82FC-807E37DA7D6D}"/>
    <hyperlink ref="B1462" r:id="rId2577" display="https://www.google.com/url?q=https://oj.uz/problem/view/COCI17_programiranje&amp;sa=D&amp;ust=1605639816739000&amp;usg=AFQjCNH-TCz4U1Qub3rklnMMmfA9o2Mfnw" xr:uid="{DFD5DDA3-F8A5-4C38-90AA-5900D76C306D}"/>
    <hyperlink ref="B1463" r:id="rId2578" display="https://www.google.com/url?q=https://dunjudge.me/analysis/problems/1375/&amp;sa=D&amp;ust=1605639816739000&amp;usg=AFQjCNH3DFGKBKbh0GH2KozNJQKwDHj2UA" xr:uid="{004C6326-72B6-4F9F-93C8-BF8B2F2FF320}"/>
    <hyperlink ref="F1463" r:id="rId2579" display="https://www.google.com/url?q=https://github.com/mostafa-saad/MyCompetitiveProgramming/blob/master/Olympiad/COCI/official/2013/contest4_solutions&amp;sa=D&amp;ust=1605639816739000&amp;usg=AFQjCNFYc9uru4AsBv9KhdZnI5Wiw9agyA" xr:uid="{13E862E2-B9F1-47C9-8FAD-BB3C152133EB}"/>
    <hyperlink ref="B1464" r:id="rId2580" display="https://www.google.com/url?q=https://szkopul.edu.pl/problemset/problem/ETArorvqQVqRUJRa4kx02f8D/site/&amp;sa=D&amp;ust=1605639816739000&amp;usg=AFQjCNFs3H9SokzzF6rpB15JICUS00PPPg" xr:uid="{9B97779B-FEEF-4F4E-BB36-AE218CE4AEC9}"/>
    <hyperlink ref="F1464" r:id="rId2581" display="https://www.google.com/url?q=https://github.com/mostafa-saad/MyCompetitiveProgramming/blob/master/Olympiad/POI/official/find_editorial_sols_guidelines.txt&amp;sa=D&amp;ust=1605639816739000&amp;usg=AFQjCNHtnYm4KngZFicRf1Pg59FBewgGvQ" xr:uid="{95BB48DD-E851-436F-A6D2-E408407B2A0F}"/>
    <hyperlink ref="B1465" r:id="rId2582" display="https://www.google.com/url?q=https://dunjudge.me/analysis/problems/1380/&amp;sa=D&amp;ust=1605639816740000&amp;usg=AFQjCNG_Wa6IqwPWnTdAJlq5Syfk_g66Tw" xr:uid="{31586F76-F1B8-44CA-A1BC-658CB2DFD7F3}"/>
    <hyperlink ref="F1465" r:id="rId2583" display="https://www.google.com/url?q=https://github.com/mostafa-saad/MyCompetitiveProgramming/blob/master/Olympiad/COCI/official/2013/contest5_solutions&amp;sa=D&amp;ust=1605639816740000&amp;usg=AFQjCNHFB-aTPBsZK0Tgz4XY671QOh8FQg" xr:uid="{63B815B4-255E-40EF-A35F-990AA9FFACE0}"/>
    <hyperlink ref="B1466" r:id="rId2584" display="https://www.google.com/url?q=https://oj.uz/problem/view/COCI16_jetpack&amp;sa=D&amp;ust=1605639816740000&amp;usg=AFQjCNEWABsEBD2iWGnd-lMfKmXkYa0nrw" xr:uid="{FC46CA4A-6516-48EF-A220-79E6F5DECB60}"/>
    <hyperlink ref="F1466" r:id="rId2585" display="https://www.google.com/url?q=https://github.com/mostafa-saad/MyCompetitiveProgramming/blob/master/Olympiad/COCI/official/2017/contest1_solutions&amp;sa=D&amp;ust=1605639816740000&amp;usg=AFQjCNF_GHH_Zc5v6JBv7oYGfGfUYmQ5fA" xr:uid="{F5E31A1C-5D20-4851-A63D-7BC3D29DDEDE}"/>
    <hyperlink ref="B1467" r:id="rId2586" display="https://www.google.com/url?q=https://dunjudge.me/analysis/problems/265/&amp;sa=D&amp;ust=1605639816740000&amp;usg=AFQjCNH5oJ4rTbbDJMEMRuqa7lxQ0l4pEw" xr:uid="{0AB80A80-E01E-4A7E-948F-5045FE2D7739}"/>
    <hyperlink ref="F1467" r:id="rId2587" display="https://www.google.com/url?q=https://github.com/mostafa-saad/MyCompetitiveProgramming/blob/master/Olympiad/NOI/official&amp;sa=D&amp;ust=1605639816740000&amp;usg=AFQjCNFsl8ZXraQcTlfeuF6VnqSwzIACWg" xr:uid="{95BE1481-EFAD-472B-A2ED-B6CD18FE36D1}"/>
    <hyperlink ref="B1468" r:id="rId2588" display="https://www.google.com/url?q=https://codeforces.com/group/R2SERIff4f/contest/213171&amp;sa=D&amp;ust=1605639816741000&amp;usg=AFQjCNH5gRP-RRQq2TLhMcrVAfhgVnJnDg" xr:uid="{33A5808E-D25A-40BA-A539-344BA75DE8DE}"/>
    <hyperlink ref="F1468" r:id="rId2589" display="https://www.google.com/url?q=https://github.com/mostafa-saad/MyCompetitiveProgramming/tree/master/Olympiad/MCO/official&amp;sa=D&amp;ust=1605639816741000&amp;usg=AFQjCNHsunDUBr6IO0L9gFwlcezMVhzmqw" xr:uid="{6EC9A247-48EA-4930-A975-D69D108009B2}"/>
    <hyperlink ref="B1469" r:id="rId2590" display="https://www.google.com/url?q=https://dmoj.ca/problem/ccc13s5&amp;sa=D&amp;ust=1605639816741000&amp;usg=AFQjCNEA6STT7o0nvvD4LC_7cZ4eHhR48g" xr:uid="{002CA093-522E-45C1-A97E-3C3944DF2904}"/>
    <hyperlink ref="B1470" r:id="rId2591" display="https://www.google.com/url?q=https://oj.uz/problem/view/COCI16_tavan&amp;sa=D&amp;ust=1605639816741000&amp;usg=AFQjCNEH6UNGHN_P5VANoRf7nlCA5t9XAA" xr:uid="{F68ED063-E234-4089-98AE-AB0BAC1032AB}"/>
    <hyperlink ref="F1470" r:id="rId2592" display="https://www.google.com/url?q=https://github.com/mostafa-saad/MyCompetitiveProgramming/blob/master/Olympiad/COCI/official/2017/contest2_solutions&amp;sa=D&amp;ust=1605639816741000&amp;usg=AFQjCNHk1sz5-a-Qv3dUVC29hfsDnTkzYw" xr:uid="{3A91F98A-16CD-47B4-BC0E-15AD7365DCFC}"/>
    <hyperlink ref="B1471" r:id="rId2593" display="https://www.google.com/url?q=https://oj.uz/problem/view/COCI17_savrsen&amp;sa=D&amp;ust=1605639816742000&amp;usg=AFQjCNF9AxPizL7BTpNtjkLDLi0v8LKQtQ" xr:uid="{BA795FD6-C339-4381-B2D3-F241C1758BDF}"/>
    <hyperlink ref="F1471" r:id="rId2594" display="https://www.google.com/url?q=https://github.com/mostafa-saad/MyCompetitiveProgramming/blob/master/Olympiad/COCI/official/2017/contest6_solutions&amp;sa=D&amp;ust=1605639816742000&amp;usg=AFQjCNFlBWJ-fZ-IP9gEw10q8BJtymWICQ" xr:uid="{7BC2BD67-D4E3-4C2A-91BD-374A0B17EE83}"/>
    <hyperlink ref="B1472" r:id="rId2595" display="https://www.google.com/url?q=https://oj.uz/problem/view/COCI17_cezar&amp;sa=D&amp;ust=1605639816742000&amp;usg=AFQjCNHCuh3tImk3JikrdygBHw5r0TH34w" xr:uid="{03F2E9B6-23BD-4095-B60B-17838FC9042E}"/>
    <hyperlink ref="B1473" r:id="rId2596" display="https://www.google.com/url?q=https://dunjudge.me/analysis/problems/1357/&amp;sa=D&amp;ust=1605639816742000&amp;usg=AFQjCNHj_JNt4MijkEq8fyTQtcWhQ9lymQ" xr:uid="{577B2696-9273-4448-B20F-5F04E127686D}"/>
    <hyperlink ref="F1473" r:id="rId2597" display="https://www.google.com/url?q=https://github.com/mostafa-saad/MyCompetitiveProgramming/blob/master/Olympiad/COCI/official/2013/contest3_solutions&amp;sa=D&amp;ust=1605639816742000&amp;usg=AFQjCNEQ6EyFWfBlgWlxKNgaNqadZ60kYg" xr:uid="{79284B8C-CD36-46DB-BA56-EA6CCCE7D725}"/>
    <hyperlink ref="B1474" r:id="rId2598" display="https://www.google.com/url?q=https://github.com/stefdasca/CompetitiveProgramming/blob/master/Info1Cup/National%2520Round/Treasure%2520(RO).pdf&amp;sa=D&amp;ust=1605639816742000&amp;usg=AFQjCNHGYkMinNGrkgVBREaJpN8RCv7E7A" xr:uid="{336B558D-B7ED-41F2-BF07-2F35472F134B}"/>
    <hyperlink ref="F1474" r:id="rId2599" display="https://www.google.com/url?q=https://github.com/stefdasca/CompetitiveProgramming/blob/master/Info1Cup/National%2520Round/treasure.cpp&amp;sa=D&amp;ust=1605639816743000&amp;usg=AFQjCNGtCk0wl5cMW3eWtZGOLYTbt86ixw" xr:uid="{31B7EF6C-753E-477E-997A-75A3D7B22AEC}"/>
    <hyperlink ref="B1475" r:id="rId2600" display="https://www.google.com/url?q=https://oj.uz/problem/view/COCI18_nadan&amp;sa=D&amp;ust=1605639816743000&amp;usg=AFQjCNGrfDO4vRSmH92Blka0Y2fnfQV00Q" xr:uid="{E199ED68-FB54-46BD-B154-C92AFF555321}"/>
    <hyperlink ref="B1476" r:id="rId2601" display="https://www.google.com/url?q=https://dmoj.ca/problem/coci08c3p3&amp;sa=D&amp;ust=1605639816744000&amp;usg=AFQjCNFIHi5n82TWfN3wEFrcXObwTDW7QA" xr:uid="{3DEBCB11-912A-4A51-92B9-ECA31934358F}"/>
    <hyperlink ref="F1476" r:id="rId2602" display="https://www.google.com/url?q=https://github.com/mostafa-saad/MyCompetitiveProgramming/blob/master/Olympiad/COCI/official/2009/contest3_solutions&amp;sa=D&amp;ust=1605639816744000&amp;usg=AFQjCNFw9hUQqcJlDNtptIL57N3PxjyYRg" xr:uid="{F794EE57-2BEA-4F6A-826E-B1A1B8308B74}"/>
    <hyperlink ref="B1477" r:id="rId2603" display="https://www.google.com/url?q=https://dmoj.ca/problem/coci08c4p3&amp;sa=D&amp;ust=1605639816744000&amp;usg=AFQjCNERamhWJV3_tpIuTELTye_NUKuklg" xr:uid="{0FF2B19B-1A75-4AA7-9312-B8F5A24100C0}"/>
    <hyperlink ref="F1477" r:id="rId2604" display="https://www.google.com/url?q=https://github.com/mostafa-saad/MyCompetitiveProgramming/blob/master/Olympiad/COCI/official/2009/contest4_solutions&amp;sa=D&amp;ust=1605639816744000&amp;usg=AFQjCNHE2lsqEPJ1EZBs4z9OHWcwtgmhqA" xr:uid="{F22E8FE1-B443-484C-BD4B-53F5A19A9BBB}"/>
    <hyperlink ref="B1478" r:id="rId2605" display="https://www.google.com/url?q=https://wcipeg.com/problem/coci096p1&amp;sa=D&amp;ust=1605639816744000&amp;usg=AFQjCNHV1ffSLJX-9bCXpvlz7KhqShm2Sw" xr:uid="{C9759648-F581-414E-999F-2975EAD02CB3}"/>
    <hyperlink ref="F1478" r:id="rId2606" display="https://www.google.com/url?q=https://github.com/mostafa-saad/MyCompetitiveProgramming/blob/master/Olympiad/COCI/official/2010/contest6_solutions&amp;sa=D&amp;ust=1605639816744000&amp;usg=AFQjCNH3vMvv8yMNIr37G4GBtMqBv0DG1w" xr:uid="{5A329E34-6728-4F68-9F9A-7E995452BD57}"/>
    <hyperlink ref="B1479" r:id="rId2607" display="https://www.google.com/url?q=https://dunjudge.me/analysis/problems/1382/&amp;sa=D&amp;ust=1605639816745000&amp;usg=AFQjCNHHFb5WZzk1EfGaf4jWoqD8gcMiuw" xr:uid="{12ED800F-EDDB-4D5D-AB8E-0F8833DEA7C9}"/>
    <hyperlink ref="F1479" r:id="rId2608" display="https://www.google.com/url?q=https://github.com/mostafa-saad/MyCompetitiveProgramming/blob/master/Olympiad/COCI/official/2013/contest6_solutions&amp;sa=D&amp;ust=1605639816745000&amp;usg=AFQjCNGPAj-aXaBWHMvsoxl29r4tl5w9Iw" xr:uid="{2A348AC9-A206-44C7-835D-0B1B376DE2EE}"/>
    <hyperlink ref="B1480" r:id="rId2609" display="https://www.google.com/url?q=https://dunjudge.me/analysis/problems/108/&amp;sa=D&amp;ust=1605639816745000&amp;usg=AFQjCNFRDqYd0juZuD8SduFTDkrvfJyMVQ" xr:uid="{76D8149D-48E2-472A-845C-82B240251294}"/>
    <hyperlink ref="F1480" r:id="rId2610" display="https://www.google.com/url?q=https://github.com/mostafa-saad/MyCompetitiveProgramming/blob/master/Olympiad/NOI/official&amp;sa=D&amp;ust=1605639816745000&amp;usg=AFQjCNFFA_xAMPo-t-NQpxs2mIu05OL-Hg" xr:uid="{E15A36BB-671A-4C16-AA43-A4D497F6D555}"/>
    <hyperlink ref="B1481" r:id="rId2611" display="https://www.google.com/url?q=https://dmoj.ca/problem/coci07c3p3&amp;sa=D&amp;ust=1605639816745000&amp;usg=AFQjCNGMR-iJYObs1YVn3gR_Si_FW47srw" xr:uid="{21ED02E0-0097-4AE9-BA48-5B94645FF873}"/>
    <hyperlink ref="F1481" r:id="rId2612" display="https://www.google.com/url?q=https://github.com/mostafa-saad/MyCompetitiveProgramming/tree/master/Olympiad/COCI/official/2008/contest3_solutions&amp;sa=D&amp;ust=1605639816745000&amp;usg=AFQjCNHic11hsdqkqkFj2RoZuR1id-gFig" xr:uid="{0E48D6C5-812D-4A1E-BEE4-3BC18E0B271A}"/>
    <hyperlink ref="B1482" r:id="rId2613" display="https://www.google.com/url?q=https://oj.uz/problem/view/COCI17_izbori&amp;sa=D&amp;ust=1605639816746000&amp;usg=AFQjCNE65dWhx2c_sn31tWBADMmHFPQ1UQ" xr:uid="{494567EA-99CA-4375-B7A3-E5FDCC03E586}"/>
    <hyperlink ref="B1483" r:id="rId2614" display="https://www.google.com/url?q=https://oj.uz/problem/view/COCI17_rasvjeta&amp;sa=D&amp;ust=1605639816746000&amp;usg=AFQjCNESBnUUgSfBDRxGrteuPhjEMcN-SA" xr:uid="{CD3A6EE9-0FEC-46B7-9D74-6BA3C798273F}"/>
    <hyperlink ref="B1484" r:id="rId2615" display="https://www.google.com/url?q=https://dmoj.ca/problem/coci08c5p2&amp;sa=D&amp;ust=1605639816746000&amp;usg=AFQjCNHUWTV3s9ETvAPlffzVxtox5y-yOQ" xr:uid="{E16377EC-69E3-4F85-9B37-C27450BB2DD4}"/>
    <hyperlink ref="F1484" r:id="rId2616" display="https://www.google.com/url?q=https://github.com/mostafa-saad/MyCompetitiveProgramming/blob/master/Olympiad/COCI/official/2009/contest5_solutions&amp;sa=D&amp;ust=1605639816746000&amp;usg=AFQjCNH72TPz1VxeGAu7uZyYH9lQYsuu6A" xr:uid="{3846D25F-660E-4514-A5A5-A7C2EE44AE5B}"/>
    <hyperlink ref="B1485" r:id="rId2617" display="https://www.google.com/url?q=https://dmoj.ca/problem/coci08c5p3&amp;sa=D&amp;ust=1605639816746000&amp;usg=AFQjCNFdVEysaR3kSwhVszjNnbGyV8w9nw" xr:uid="{3C62833D-4816-4796-BA04-37CE6A7AC605}"/>
    <hyperlink ref="F1485" r:id="rId2618" display="https://www.google.com/url?q=https://github.com/mostafa-saad/MyCompetitiveProgramming/blob/master/Olympiad/COCI/official/2009/contest5_solutions&amp;sa=D&amp;ust=1605639816747000&amp;usg=AFQjCNF3tjv6vVqG-0p1aHDToIsH9h125w" xr:uid="{A3064CD9-2533-437E-AA9A-0BC0AAFF93F0}"/>
    <hyperlink ref="B1486" r:id="rId2619" display="https://www.google.com/url?q=https://dmoj.ca/problem/coci08c5p1&amp;sa=D&amp;ust=1605639816747000&amp;usg=AFQjCNGdOnWSoGj5VIi46riy1F6q1eyqVA" xr:uid="{14D5D4EB-8B31-406D-A516-12873C2D7261}"/>
    <hyperlink ref="F1486" r:id="rId2620" display="https://www.google.com/url?q=https://github.com/mostafa-saad/MyCompetitiveProgramming/blob/master/Olympiad/COCI/official/2009/contest5_solutions&amp;sa=D&amp;ust=1605639816747000&amp;usg=AFQjCNF3tjv6vVqG-0p1aHDToIsH9h125w" xr:uid="{947CC23D-8538-47F6-BCF5-29F907AE9118}"/>
    <hyperlink ref="B1487" r:id="rId2621" display="https://www.google.com/url?q=https://dmoj.ca/problem/coci08c6p2&amp;sa=D&amp;ust=1605639816747000&amp;usg=AFQjCNEUbuPfeiqmCOhkk_zkXl0m7F2BgQ" xr:uid="{E343BE37-B094-4A4F-BA1A-ED71095D2233}"/>
    <hyperlink ref="F1487" r:id="rId2622" display="https://www.google.com/url?q=https://github.com/mostafa-saad/MyCompetitiveProgramming/blob/master/Olympiad/COCI/official/2009/contest6_solutions&amp;sa=D&amp;ust=1605639816747000&amp;usg=AFQjCNHNjyeNepbLJ6gMRx9kn8jAI6HXZQ" xr:uid="{BF777EA8-18CF-4A38-936D-77DC3946CDFA}"/>
    <hyperlink ref="B1488" r:id="rId2623" display="https://www.google.com/url?q=https://dmoj.ca/problem/coci08c6p3&amp;sa=D&amp;ust=1605639816747000&amp;usg=AFQjCNE6EHe9Y3eKAhPg4jaJdXgH-HNZqg" xr:uid="{251FFABD-3E8D-498D-A143-9100CADB8C9A}"/>
    <hyperlink ref="F1488" r:id="rId2624" display="https://www.google.com/url?q=https://github.com/mostafa-saad/MyCompetitiveProgramming/blob/master/Olympiad/COCI/official/2009/contest6_solutions&amp;sa=D&amp;ust=1605639816748000&amp;usg=AFQjCNH69yRpEP2OynQfjiIecX61c3ozrA" xr:uid="{879B1751-074D-4C61-AAF2-164D94F6B89D}"/>
    <hyperlink ref="B1489" r:id="rId2625" display="https://www.google.com/url?q=https://dmoj.ca/problem/coci06c1p2&amp;sa=D&amp;ust=1605639816748000&amp;usg=AFQjCNFLUAzPL86mTCSxNM2sd9_RMs1evA" xr:uid="{5D9F2FC7-F34F-46E2-AD86-66362899D63B}"/>
    <hyperlink ref="F1489" r:id="rId2626" display="https://www.google.com/url?q=https://github.com/mostafa-saad/MyCompetitiveProgramming/tree/master/Olympiad/COCI/official/2007/contest1_solutions&amp;sa=D&amp;ust=1605639816748000&amp;usg=AFQjCNHEiZzrjcbeXJV0uJ6mAvNCqGMhmg" xr:uid="{A3AF56F7-4FFE-4568-9A73-D397E2B4738D}"/>
    <hyperlink ref="B1490" r:id="rId2627" display="https://www.google.com/url?q=https://dmoj.ca/problem/coci06c2p2&amp;sa=D&amp;ust=1605639816748000&amp;usg=AFQjCNGJBkL1YLLL1nceHckGHMlVJHqZDA" xr:uid="{E9DDEB32-A263-4B8A-818D-20F88966EBED}"/>
    <hyperlink ref="F1490" r:id="rId2628" display="https://www.google.com/url?q=https://github.com/mostafa-saad/MyCompetitiveProgramming/tree/master/Olympiad/COCI/official/2007/contest2_solutions&amp;sa=D&amp;ust=1605639816748000&amp;usg=AFQjCNGTsOvjEKPpB8q9VKEuMNftfsGcqg" xr:uid="{FC5367D8-B71E-4D65-BC9F-B44113473101}"/>
    <hyperlink ref="B1491" r:id="rId2629" display="https://www.google.com/url?q=https://dmoj.ca/problem/coci06c3p2&amp;sa=D&amp;ust=1605639816748000&amp;usg=AFQjCNEKs2gTeLGgfXjAKUZ_ci8OA2PBLw" xr:uid="{A5D45BEC-3A05-464B-9369-CA4457E109D4}"/>
    <hyperlink ref="F1491" r:id="rId2630" display="https://www.google.com/url?q=https://github.com/mostafa-saad/MyCompetitiveProgramming/tree/master/Olympiad/COCI/official/2007/contest3_solutions&amp;sa=D&amp;ust=1605639816748000&amp;usg=AFQjCNHfpaa9d5rbUr58jMpw7glXjyDJhA" xr:uid="{CE77C019-0B79-473A-A9DC-B5C24900D436}"/>
    <hyperlink ref="B1492" r:id="rId2631" display="https://www.google.com/url?q=https://dmoj.ca/problem/coci06c4p3&amp;sa=D&amp;ust=1605639816749000&amp;usg=AFQjCNHsIBETO9jbqLLoyGKF-NcxdZtJ3Q" xr:uid="{EDF7B37A-9780-4730-9378-41D15407F4A9}"/>
    <hyperlink ref="F1492" r:id="rId2632" display="https://www.google.com/url?q=https://github.com/mostafa-saad/MyCompetitiveProgramming/tree/master/Olympiad/COCI/official/2007/contest4_solutions&amp;sa=D&amp;ust=1605639816749000&amp;usg=AFQjCNFs4z7CSfhFanwwTTgl5mbNGlBMtQ" xr:uid="{92846D58-B3B7-439C-8A5A-2CA09CD8DBD0}"/>
    <hyperlink ref="B1493" r:id="rId2633" display="https://www.google.com/url?q=https://dmoj.ca/problem/coci06c4p2&amp;sa=D&amp;ust=1605639816750000&amp;usg=AFQjCNHqTjN7VRHNvZeVuzIAbod34TUAkQ" xr:uid="{5FE6452B-8FDC-4B05-90E2-93C08A30E1E7}"/>
    <hyperlink ref="F1493" r:id="rId2634" display="https://www.google.com/url?q=https://github.com/mostafa-saad/MyCompetitiveProgramming/tree/master/Olympiad/COCI/official/2007/contest4_solutions&amp;sa=D&amp;ust=1605639816750000&amp;usg=AFQjCNH8MIx7K8ujRew9yImcSCsoDO4ZYg" xr:uid="{135D0C7F-5375-4832-9086-3CCD47AD2B86}"/>
    <hyperlink ref="B1494" r:id="rId2635" display="https://www.google.com/url?q=https://dmoj.ca/problem/coci06c5p2&amp;sa=D&amp;ust=1605639816751000&amp;usg=AFQjCNGWx8BX8ZcAwiSE8VnRPI3j5GJWOg" xr:uid="{6E5580F3-4C94-42E6-83DF-F53483401B86}"/>
    <hyperlink ref="F1494" r:id="rId2636" display="https://www.google.com/url?q=https://github.com/mostafa-saad/MyCompetitiveProgramming/tree/master/Olympiad/COCI/official/2007/contest5_solutions&amp;sa=D&amp;ust=1605639816751000&amp;usg=AFQjCNETlvOW_7dCXigrNNE5L8L1fEvWTA" xr:uid="{A9B9294F-9E38-474C-952D-BDE7701EF1F6}"/>
    <hyperlink ref="B1495" r:id="rId2637" display="https://www.google.com/url?q=https://dmoj.ca/problem/coci06c6p2&amp;sa=D&amp;ust=1605639816751000&amp;usg=AFQjCNHLt-owIpD4anpOrtNcrrRPLSxBdQ" xr:uid="{A5767C93-0B7E-48F7-8BA4-A28468FF7DD2}"/>
    <hyperlink ref="F1495" r:id="rId2638" display="https://www.google.com/url?q=https://github.com/mostafa-saad/MyCompetitiveProgramming/tree/master/Olympiad/COCI/official/2007/contest6_solutions&amp;sa=D&amp;ust=1605639816752000&amp;usg=AFQjCNEgz5eMog2EF2LOn620qDoVWqmuwg" xr:uid="{64E07422-6613-415B-B3D3-6D154D17464B}"/>
    <hyperlink ref="B1496" r:id="rId2639" display="https://www.google.com/url?q=https://wcipeg.com/problem/coci071p2&amp;sa=D&amp;ust=1605639816752000&amp;usg=AFQjCNGKj2OL0guOK5b3Gc-9JPPRytY2_A" xr:uid="{D987D87E-CBAB-4DFC-A74B-BF57A5597AB2}"/>
    <hyperlink ref="F1496" r:id="rId2640" display="https://www.google.com/url?q=https://github.com/mostafa-saad/MyCompetitiveProgramming/tree/master/Olympiad/COCI/official/2008/contest1_solutions&amp;sa=D&amp;ust=1605639816752000&amp;usg=AFQjCNFDwgRYRpvRoOuCFSgwvJmHp9-TyA" xr:uid="{C6D7D17E-FE33-4CBD-A229-4E4955A0A9D4}"/>
    <hyperlink ref="B1497" r:id="rId2641" display="https://www.google.com/url?q=https://dmoj.ca/problem/coci07c2p3&amp;sa=D&amp;ust=1605639816752000&amp;usg=AFQjCNHBMyT990ayn1yziTyFsdtbtKUdsw" xr:uid="{FE782853-7635-4EBF-8EA8-CD5AA2D398FE}"/>
    <hyperlink ref="F1497" r:id="rId2642" display="https://www.google.com/url?q=https://github.com/mostafa-saad/MyCompetitiveProgramming/tree/master/Olympiad/COCI/official/2008/contest2_solutions&amp;sa=D&amp;ust=1605639816753000&amp;usg=AFQjCNEfKSWQxPer02Pb7nj68aGnh7h1Nw" xr:uid="{43409690-0FDF-4891-A178-802B2353D2E8}"/>
    <hyperlink ref="B1498" r:id="rId2643" display="https://www.google.com/url?q=https://dmoj.ca/problem/coci07c4p1&amp;sa=D&amp;ust=1605639816753000&amp;usg=AFQjCNEpdFiJ8J1O99P2FK-ZcZIMqlTeNw" xr:uid="{7D72CAF6-9339-481D-BF6F-061D3ED86699}"/>
    <hyperlink ref="F1498" r:id="rId2644" display="https://www.google.com/url?q=https://github.com/mostafa-saad/MyCompetitiveProgramming/tree/master/Olympiad/COCI/official/2008/contest4_solutions&amp;sa=D&amp;ust=1605639816753000&amp;usg=AFQjCNFeaHO9cBl4JqOptHffc5EcLtpYbg" xr:uid="{095B0C01-34B1-4279-B352-CAB88B3C4F72}"/>
    <hyperlink ref="B1499" r:id="rId2645" display="https://www.google.com/url?q=https://dmoj.ca/problem/coci07c4p2&amp;sa=D&amp;ust=1605639816753000&amp;usg=AFQjCNGWUstgP52mKcB48SekL8zik3qWxw" xr:uid="{75C49FE6-B4AE-41C4-AC4B-15762A8D1D94}"/>
    <hyperlink ref="F1499" r:id="rId2646" display="https://www.google.com/url?q=https://github.com/mostafa-saad/MyCompetitiveProgramming/tree/master/Olympiad/COCI/official/2008/contest4_solutions&amp;sa=D&amp;ust=1605639816753000&amp;usg=AFQjCNFeaHO9cBl4JqOptHffc5EcLtpYbg" xr:uid="{EC631C7F-AC00-4785-AEB2-9A604F0E182E}"/>
    <hyperlink ref="B1500" r:id="rId2647" display="https://www.google.com/url?q=https://dmoj.ca/problem/coci07c6p1&amp;sa=D&amp;ust=1605639816753000&amp;usg=AFQjCNEqHRKa1Nbj-tqc8kzKie8AC7yInQ" xr:uid="{4CF195D7-A564-4C2D-BEF2-C328665557C5}"/>
    <hyperlink ref="F1500" r:id="rId2648" display="https://www.google.com/url?q=https://github.com/mostafa-saad/MyCompetitiveProgramming/tree/master/Olympiad/COCI/official/2008/contest6_solutions&amp;sa=D&amp;ust=1605639816754000&amp;usg=AFQjCNGpjzKwhK10O2C1tSobL2vFD7SI-w" xr:uid="{7FEC63CF-1BD9-4272-A4F1-B65EBD759A5F}"/>
    <hyperlink ref="B1501" r:id="rId2649" display="https://www.google.com/url?q=https://dmoj.ca/problem/coci07c6p2&amp;sa=D&amp;ust=1605639816754000&amp;usg=AFQjCNGYtyYh8r6mz3_qRt3AUuzyO41gLw" xr:uid="{CC5F07F3-68D0-4F3E-AD67-A4F9782A66A5}"/>
    <hyperlink ref="F1501" r:id="rId2650" display="https://www.google.com/url?q=https://github.com/mostafa-saad/MyCompetitiveProgramming/tree/master/Olympiad/COCI/official/2008/contest6_solutions&amp;sa=D&amp;ust=1605639816754000&amp;usg=AFQjCNGpjzKwhK10O2C1tSobL2vFD7SI-w" xr:uid="{C6F573F9-C6DC-4BB0-A61B-7B4B5CE02EB5}"/>
    <hyperlink ref="B1502" r:id="rId2651" display="https://www.google.com/url?q=https://dmoj.ca/problem/crci07p1&amp;sa=D&amp;ust=1605639816754000&amp;usg=AFQjCNFCyeyHpGPdCEUFs2MgdRdDSPbLqA" xr:uid="{7FB48F3C-D329-4D9B-9734-73E6AAF77619}"/>
    <hyperlink ref="F1502" r:id="rId2652" display="https://www.google.com/url?q=https://github.com/mostafa-saad/MyCompetitiveProgramming/tree/master/Olympiad/COCI/official/2008/regional_solutions&amp;sa=D&amp;ust=1605639816754000&amp;usg=AFQjCNFoXxqtePw2GKlOvXtWGhpw7neJLg" xr:uid="{9052A0C8-17E3-4385-8676-53FC67678E9A}"/>
    <hyperlink ref="B1503" r:id="rId2653" display="https://www.google.com/url?q=https://codeforces.com/group/R2SERIff4f/contest/213171&amp;sa=D&amp;ust=1605639816754000&amp;usg=AFQjCNFkVjzF3WwMvX_5CvIpKollxl1ULw" xr:uid="{8FA64A6B-62DA-428A-9DBD-0486810A6F8D}"/>
    <hyperlink ref="F1503" r:id="rId2654" display="https://www.google.com/url?q=https://github.com/mostafa-saad/MyCompetitiveProgramming/tree/master/Olympiad/MCO/official&amp;sa=D&amp;ust=1605639816755000&amp;usg=AFQjCNGbUrBjSCBOh6EQadSuJySxovouQg" xr:uid="{A8199BC8-61F3-4467-B641-E1F72E9A28C0}"/>
    <hyperlink ref="B1504" r:id="rId2655" display="https://www.google.com/url?q=https://dunjudge.me/analysis/problems/722/&amp;sa=D&amp;ust=1605639816755000&amp;usg=AFQjCNG01uLBqqL9rrJv0L-jHI3wwxFkMQ" xr:uid="{7A988400-587E-48A6-87FC-73FC239ECB5C}"/>
    <hyperlink ref="F1504" r:id="rId2656" display="https://www.google.com/url?q=https://github.com/mostafa-saad/MyCompetitiveProgramming/tree/master/Olympiad/MCO/official/2015&amp;sa=D&amp;ust=1605639816755000&amp;usg=AFQjCNEQ211OmaH3EsZwAbPLCUNlNcwzhw" xr:uid="{1DDE317C-5928-40CF-9245-A41EE08E8A65}"/>
    <hyperlink ref="B1505" r:id="rId2657" display="https://www.google.com/url?q=https://wcipeg.com/problem/coci092p3&amp;sa=D&amp;ust=1605639816755000&amp;usg=AFQjCNHjxL3cTek5EYyjB0E_ZA9woCxE5A" xr:uid="{B7788892-B49F-4471-94BD-683F0F3ED0BF}"/>
    <hyperlink ref="B1506" r:id="rId2658" display="https://www.google.com/url?q=https://contest.yandex.ru/ioi/contest/570/enter/&amp;sa=D&amp;ust=1605639816755000&amp;usg=AFQjCNGLMrBv0cKTEdyRGyvwSr18tRA76Q" xr:uid="{E26FF4C4-6E81-42CB-BCCF-C9589011A899}"/>
    <hyperlink ref="F1506" r:id="rId2659" display="https://www.google.com/url?q=https://github.com/mostafa-saad/MyCompetitiveProgramming/blob/master/Olympiad/IOI/official/2010&amp;sa=D&amp;ust=1605639816756000&amp;usg=AFQjCNGTslrbaZ_IjhdkM4VJa5x8QUQMPg" xr:uid="{43406D20-BE99-4AEE-8179-3144E95DFCA2}"/>
    <hyperlink ref="B1507" r:id="rId2660" display="https://www.google.com/url?q=https://contest.yandex.ru/ioi/contest/570/enter/&amp;sa=D&amp;ust=1605639816756000&amp;usg=AFQjCNHP6lx5xn2LuH-a2YXpL0hpRW2f4w" xr:uid="{8D3BD45E-BA66-45E8-AF3C-2424C3D24B45}"/>
    <hyperlink ref="F1507" r:id="rId2661" display="https://www.google.com/url?q=https://github.com/mostafa-saad/MyCompetitiveProgramming/blob/master/Olympiad/IOI/official/2010&amp;sa=D&amp;ust=1605639816756000&amp;usg=AFQjCNGTslrbaZ_IjhdkM4VJa5x8QUQMPg" xr:uid="{49905C30-D8A7-472D-9D37-981A8A7906CB}"/>
    <hyperlink ref="B1508" r:id="rId2662" display="https://www.google.com/url?q=https://wcipeg.com/problem/coci092p2&amp;sa=D&amp;ust=1605639816756000&amp;usg=AFQjCNF-s0VSAo2zuXOCgVEA93dy61HQfg" xr:uid="{35FBCE80-5832-468A-B3CA-E07AFC25BFAB}"/>
    <hyperlink ref="F1508" r:id="rId2663" display="https://www.google.com/url?q=https://github.com/mostafa-saad/MyCompetitiveProgramming/blob/master/Olympiad/COCI/official/2010/contest2_solutions&amp;sa=D&amp;ust=1605639816756000&amp;usg=AFQjCNH6akmI48K7eqt-xi4943cRyuzz2A" xr:uid="{F12DBF32-DDA5-4677-A54C-745734F8E7DE}"/>
    <hyperlink ref="B1509" r:id="rId2664" display="https://www.google.com/url?q=https://wcipeg.com/problem/coci093p4&amp;sa=D&amp;ust=1605639816756000&amp;usg=AFQjCNFvRH8KREMy5Ku1un45AiSPc3Zt6w" xr:uid="{15C3D698-96B6-4901-BF28-6E713D8C4AFC}"/>
    <hyperlink ref="F1509" r:id="rId2665" display="https://www.google.com/url?q=https://github.com/mostafa-saad/MyCompetitiveProgramming/blob/master/Olympiad/COCI/official/2010/contest3_solutions&amp;sa=D&amp;ust=1605639816757000&amp;usg=AFQjCNEUDdFtmh_Oz6V2yD8eGor00pjmZw" xr:uid="{8F634AD2-3ECB-4D5D-9B22-04EE6225908B}"/>
    <hyperlink ref="B1510" r:id="rId2666" display="https://www.google.com/url?q=https://wcipeg.com/problem/coci095p5&amp;sa=D&amp;ust=1605639816757000&amp;usg=AFQjCNEpEt_pyN2leJ947vybBc9ikxruQg" xr:uid="{D2952F13-C3A0-47B7-8E88-460B2F0099D8}"/>
    <hyperlink ref="F1510" r:id="rId2667" display="https://www.google.com/url?q=https://github.com/mostafa-saad/MyCompetitiveProgramming/blob/master/Olympiad/COCI/official/2010/contest5_solutions&amp;sa=D&amp;ust=1605639816758000&amp;usg=AFQjCNFY7N18lO88G9a_5gSquDLHyRi5Fw" xr:uid="{99E4071A-478D-48A1-9E5C-7A9F8950F7EA}"/>
    <hyperlink ref="B1511" r:id="rId2668" display="https://www.google.com/url?q=http://poj.org/problem?id%3D1159&amp;sa=D&amp;ust=1605639816758000&amp;usg=AFQjCNHILA_BEJBhzeErS3A5MN6DjxDTnA" xr:uid="{8802B153-B08A-4372-9EE3-19C1A99D157E}"/>
    <hyperlink ref="F1511" r:id="rId2669" display="https://www.google.com/url?q=https://github.com/mostafa-saad/MyCompetitiveProgramming/blob/master/Olympiad/IOI/official/2000&amp;sa=D&amp;ust=1605639816758000&amp;usg=AFQjCNHWZ05_Oz0BPR2-GX9Xdj4CJxyGqg" xr:uid="{541E3D73-DF88-4173-BDE1-98828A2237E7}"/>
    <hyperlink ref="B1512" r:id="rId2670" display="https://www.google.com/url?q=https://oj.uz/problem/view/COCI20_emacs&amp;sa=D&amp;ust=1605639816758000&amp;usg=AFQjCNF13rCxhQQt5nF4usI8U4DFeNkOpQ" xr:uid="{CDBFFEFB-65EE-4448-92D1-CBD4ED6E7F34}"/>
    <hyperlink ref="F1512" r:id="rId2671" display="https://www.google.com/url?q=https://github.com/dolphingarlic/CompetitiveProgramming/blob/master/COI/COCI%252020-emacs.cpp&amp;sa=D&amp;ust=1605639816758000&amp;usg=AFQjCNHXoxj7sVZP9_6WQtNBFSnMkRC2Tw" xr:uid="{FB67E5D9-251A-4FF9-9A03-98D498639EFA}"/>
    <hyperlink ref="B1513" r:id="rId2672" display="https://www.google.com/url?q=https://dmoj.ca/problem/nccc6s2&amp;sa=D&amp;ust=1605639816759000&amp;usg=AFQjCNEiP-2P68QwFFMl4uPoRgess6JwJA" xr:uid="{DF83FB19-AC8D-4947-B9E6-5DB0BBB5D9FA}"/>
    <hyperlink ref="B1514" r:id="rId2673" display="https://www.google.com/url?q=https://cses.fi/231/task/A&amp;sa=D&amp;ust=1605639816759000&amp;usg=AFQjCNF5slM3YmoVICNQMdtjC6NpEUQbuw" xr:uid="{76001867-A9B2-40E0-9407-F100521E47BE}"/>
    <hyperlink ref="B1515" r:id="rId2674" display="https://www.google.com/url?q=https://wcipeg.com/problem/coci096p2&amp;sa=D&amp;ust=1605639816759000&amp;usg=AFQjCNHZTlBlPQyPhvIIQlUAVLo5G_n-Iw" xr:uid="{16EABD94-F868-4109-AA7F-39C2430480CF}"/>
    <hyperlink ref="F1515" r:id="rId2675" display="https://www.google.com/url?q=https://github.com/mostafa-saad/MyCompetitiveProgramming/blob/master/Olympiad/COCI/official/2010/contest6_solutions&amp;sa=D&amp;ust=1605639816759000&amp;usg=AFQjCNFW6Ll6AOzKokeW351-jxGUhAdiOQ" xr:uid="{4C733AAF-FE60-4721-8DCB-EF823A8FF4E7}"/>
    <hyperlink ref="B1516" r:id="rId2676" display="https://www.google.com/url?q=https://oj.uz/problem/view/COCI20_birmingham&amp;sa=D&amp;ust=1605639816759000&amp;usg=AFQjCNFV0kc2FS5lZxiaNdQowZeZGSbv-A" xr:uid="{12B3B5B0-6A04-4770-A758-B23792C54911}"/>
    <hyperlink ref="B1517" r:id="rId2677" display="https://www.google.com/url?q=https://wcipeg.com/problem/coci087p3&amp;sa=D&amp;ust=1605639816760000&amp;usg=AFQjCNGkLCyeb7coP89-01hcqkNVZ16XWg" xr:uid="{DA7EBA2E-22D1-484F-B48C-C4F974684B23}"/>
    <hyperlink ref="F1517" r:id="rId2678" display="https://www.google.com/url?q=https://github.com/mostafa-saad/MyCompetitiveProgramming/blob/master/Olympiad/COCI/official/2009/regional_solutions&amp;sa=D&amp;ust=1605639816760000&amp;usg=AFQjCNHZjyNxCq407N6kaFttPd2fOM6K2Q" xr:uid="{ADDE73D2-8E41-49A2-9C46-DC277AFAEBCC}"/>
    <hyperlink ref="B1518" r:id="rId2679" display="https://www.google.com/url?q=https://dmoj.ca/problem/coci14c4p3&amp;sa=D&amp;ust=1605639816760000&amp;usg=AFQjCNF_FeNODcIBN_kZZi9gAQU3BkW3Eg" xr:uid="{E1BB4F73-6C5C-4FBA-9FEC-820EF046BEBE}"/>
    <hyperlink ref="F1518" r:id="rId2680" display="https://www.google.com/url?q=https://github.com/mostafa-saad/MyCompetitiveProgramming/blob/master/Olympiad/COCI/official/2015/contest4_solutions&amp;sa=D&amp;ust=1605639816760000&amp;usg=AFQjCNGLlF6C9oVneW6rp0rwE0mS-KZoFg" xr:uid="{D14D6F33-DC61-4EB7-AD32-7267F8B9CCE6}"/>
    <hyperlink ref="B1519" r:id="rId2681" display="https://www.google.com/url?q=https://dmoj.ca/problem/coci14c5p2&amp;sa=D&amp;ust=1605639816761000&amp;usg=AFQjCNEUmOoqZDQcSqEAHEFdjFBDjvenmg" xr:uid="{7688EADA-2573-4EB2-889A-44C1825567E0}"/>
    <hyperlink ref="F1519" r:id="rId2682" display="https://www.google.com/url?q=https://github.com/mostafa-saad/MyCompetitiveProgramming/blob/master/Olympiad/COCI/official/2015/contest5_solutions&amp;sa=D&amp;ust=1605639816761000&amp;usg=AFQjCNEiap2HtgRldmO2G_ZoDh-Xet4E9A" xr:uid="{1D9BF24E-2EC9-4F7D-9D64-B67B759E82AC}"/>
    <hyperlink ref="B1520" r:id="rId2683" display="https://www.google.com/url?q=https://dmoj.ca/problem/coci15c3p3&amp;sa=D&amp;ust=1605639816761000&amp;usg=AFQjCNFuP8O8FTcPB3n4kDOVp256KQ8b3A" xr:uid="{3B40EE12-2FCE-495C-889E-736096215A8D}"/>
    <hyperlink ref="F1520" r:id="rId2684" display="https://www.google.com/url?q=https://github.com/mostafa-saad/MyCompetitiveProgramming/blob/master/Olympiad/COCI/official/2016/contest3_solutions&amp;sa=D&amp;ust=1605639816761000&amp;usg=AFQjCNFa24CM_PUWCKDB0kmoWL5BKOJThQ" xr:uid="{2177C2F9-96A6-41DD-8CDA-DD90313D01BA}"/>
    <hyperlink ref="B1521" r:id="rId2685" display="https://www.google.com/url?q=https://dunjudge.me/analysis/problems/551/&amp;sa=D&amp;ust=1605639816761000&amp;usg=AFQjCNGY4HsZfKOJLlQvREvYjyqO1sdnZA" xr:uid="{766E11E0-1D18-4C02-A742-F3D50F5D630D}"/>
    <hyperlink ref="F1521" r:id="rId2686" display="https://www.google.com/url?q=https://github.com/mostafa-saad/MyCompetitiveProgramming/tree/master/Olympiad/MCO/official/2014&amp;sa=D&amp;ust=1605639816761000&amp;usg=AFQjCNGFdoR3p3b4gsDl7lNAHwj_75tHew" xr:uid="{2A3E8679-BABE-467B-BDD1-FAC572701C84}"/>
    <hyperlink ref="B1522" r:id="rId2687" display="https://www.google.com/url?q=https://dunjudge.me/analysis/problems/1365/&amp;sa=D&amp;ust=1605639816762000&amp;usg=AFQjCNEr4Yds6goHHRq9BzTRAnxGnp9u9w" xr:uid="{C92CE6D3-2911-4E66-8418-287883CE69CC}"/>
    <hyperlink ref="F1522" r:id="rId2688" display="https://www.google.com/url?q=https://github.com/mostafa-saad/MyCompetitiveProgramming/blob/master/Olympiad/COCI/official/2013/contest2_solutions&amp;sa=D&amp;ust=1605639816762000&amp;usg=AFQjCNEoq3AXjTjNQEMaCieowWVe2G1Uuw" xr:uid="{0AFFF1AB-9355-4648-B650-C8C48E44409C}"/>
    <hyperlink ref="B1523" r:id="rId2689" display="https://www.google.com/url?q=https://www.hackerrank.com/contests/ioi-2014-practice-contest-2/challenges&amp;sa=D&amp;ust=1605639816762000&amp;usg=AFQjCNHBusPFDB0aBxCuqbgefplqRHehOg" xr:uid="{CF96C22E-C6A3-4009-BE6B-59B958EBCF66}"/>
    <hyperlink ref="F1523" r:id="rId2690" display="https://www.google.com/url?q=https://github.com/tmwilliamlin168/CompetitiveProgramming/blob/master/HackerRank/family-ioi14.cpp&amp;sa=D&amp;ust=1605639816762000&amp;usg=AFQjCNG1NfZtETIulRmjvO0lAW6zmDIcjg" xr:uid="{E9FCA641-4CF0-4862-8B68-1DE14B6C84AF}"/>
    <hyperlink ref="B1524" r:id="rId2691" display="https://www.google.com/url?q=https://oj.uz/problem/view/COCI14_utrka&amp;sa=D&amp;ust=1605639816762000&amp;usg=AFQjCNGPPrqRtV5xNlyeJ86ZrOr0Fc7yhA" xr:uid="{CD61A35A-F921-40CF-8787-CDC1C6F2950E}"/>
    <hyperlink ref="B1525" r:id="rId2692" display="https://www.google.com/url?q=https://dmoj.ca/problem/coci06c2p3&amp;sa=D&amp;ust=1605639816763000&amp;usg=AFQjCNGbmLIvxIQiA5OygEJypU_GZFt1DA" xr:uid="{50CFDB92-2F64-445E-BE10-A20360484ED4}"/>
    <hyperlink ref="F1525" r:id="rId2693" display="https://www.google.com/url?q=https://github.com/mostafa-saad/MyCompetitiveProgramming/tree/master/Olympiad/COCI/official/2007/contest2_solutions&amp;sa=D&amp;ust=1605639816763000&amp;usg=AFQjCNHQlyWW3G6pKqg2OHDLdoZ0z8e9Lw" xr:uid="{DDC810D0-DB92-4551-92A2-4088BDAEDF44}"/>
    <hyperlink ref="B1526" r:id="rId2694" display="https://www.google.com/url?q=https://dunjudge.me/analysis/problems/1356/&amp;sa=D&amp;ust=1605639816763000&amp;usg=AFQjCNHDJOC5CkjRJg5WLK3sZfMlKlJgAg" xr:uid="{81EBB281-8D1C-4982-8B9C-ADC9DB71E993}"/>
    <hyperlink ref="F1526" r:id="rId2695" display="https://www.google.com/url?q=https://github.com/mostafa-saad/MyCompetitiveProgramming/blob/master/Olympiad/COCI/official/2013/contest3_solutions&amp;sa=D&amp;ust=1605639816764000&amp;usg=AFQjCNH8Gkips9hDzFrUyrYDc0uoSjcsIg" xr:uid="{00F82761-EBF9-41E4-AF90-932DC3F8832A}"/>
    <hyperlink ref="B1527" r:id="rId2696" display="https://www.google.com/url?q=https://dunjudge.me/analysis/problems/266/&amp;sa=D&amp;ust=1605639816764000&amp;usg=AFQjCNE2I63Tj3t5tTdpOieCbKSE8QSVmQ" xr:uid="{D3F81A85-5E6B-4784-BC1B-14050761D0D6}"/>
    <hyperlink ref="F1527" r:id="rId2697" display="https://www.google.com/url?q=https://github.com/mostafa-saad/MyCompetitiveProgramming/blob/master/Olympiad/NOI/official&amp;sa=D&amp;ust=1605639816764000&amp;usg=AFQjCNF0hqddQH-P5fbN4aaH-SUxnLpjRA" xr:uid="{8A89F755-7DFB-4A5A-9864-89BDCDAF0961}"/>
    <hyperlink ref="B1528" r:id="rId2698" display="https://www.google.com/url?q=https://oj.uz/problem/view/COCI18_birokracija&amp;sa=D&amp;ust=1605639816765000&amp;usg=AFQjCNH0LyVKUeOBRdE5LqUjWhfS9YtqDA" xr:uid="{A7983ABA-C96D-4E99-8F4D-7A53564A7C08}"/>
    <hyperlink ref="B1529" r:id="rId2699" display="https://www.google.com/url?q=https://dmoj.ca/problem/coci06c3p3&amp;sa=D&amp;ust=1605639816767000&amp;usg=AFQjCNFjnlXC-BSgB31jXvbwmESMTRGG2w" xr:uid="{3BB77FAE-BBE6-4C7C-AB96-0C54A575AF19}"/>
    <hyperlink ref="F1529" r:id="rId2700" display="https://www.google.com/url?q=https://github.com/mostafa-saad/MyCompetitiveProgramming/tree/master/Olympiad/COCI/official/2007/contest3_solutions&amp;sa=D&amp;ust=1605639816767000&amp;usg=AFQjCNGcBoNBHFP4Y2ZFm87-m_Gos_7uXw" xr:uid="{F076B160-4856-447D-98E2-5885C0AE312C}"/>
    <hyperlink ref="B1530" r:id="rId2701" display="https://www.google.com/url?q=https://dmoj.ca/problem/nccc6s1&amp;sa=D&amp;ust=1605639816767000&amp;usg=AFQjCNGGAHBd01HKN3dhTxaCle1yAABvhw" xr:uid="{90E366B9-E6BC-446A-83C8-6952286B094B}"/>
    <hyperlink ref="B1531" r:id="rId2702" display="https://www.google.com/url?q=https://oj.uz/problem/view/COCI17_turnir&amp;sa=D&amp;ust=1605639816768000&amp;usg=AFQjCNFBoKRKkYgqMquvH2EqyWuPyUlnVQ" xr:uid="{2F35A24D-1781-45BD-BCF8-B81873BF1678}"/>
    <hyperlink ref="F1531" r:id="rId2703" display="https://www.google.com/url?q=https://github.com/mostafa-saad/MyCompetitiveProgramming/blob/master/Olympiad/COCI/official/2017/contest6_solutions&amp;sa=D&amp;ust=1605639816768000&amp;usg=AFQjCNEadoTtvWgqgb4WQB0xYcRJ9dzclg" xr:uid="{A1732DA7-CDF1-4E85-95B6-A50A8CD869DC}"/>
    <hyperlink ref="B1532" r:id="rId2704" display="https://www.google.com/url?q=https://dunjudge.me/analysis/problems/1360/&amp;sa=D&amp;ust=1605639816768000&amp;usg=AFQjCNFQP3znwcfQMZwm0CT1_bnxKj1nfg" xr:uid="{1EDAA68E-61C2-41F2-88D4-F2C57A8EE94C}"/>
    <hyperlink ref="F1532" r:id="rId2705" display="https://www.google.com/url?q=https://github.com/mostafa-saad/MyCompetitiveProgramming/blob/master/Olympiad/COCI/official/2013/contest1_solutions&amp;sa=D&amp;ust=1605639816769000&amp;usg=AFQjCNFIofuib07EWEwlc-2Q3Nswj88naQ" xr:uid="{95DAD47C-7426-4315-B85C-E305EFDC29A2}"/>
    <hyperlink ref="B1533" r:id="rId2706" display="https://www.google.com/url?q=https://oj.uz/problem/view/COCI18_olivander&amp;sa=D&amp;ust=1605639816769000&amp;usg=AFQjCNHXQwXuOGCfGuksEBn0jIv077uhmg" xr:uid="{E6401232-CE23-47FC-B744-0677DCF15CA5}"/>
    <hyperlink ref="B1534" r:id="rId2707" display="https://www.google.com/url?q=https://oj.uz/problem/view/IOI16_reverse&amp;sa=D&amp;ust=1605639816769000&amp;usg=AFQjCNEqNXT1vwyV6qUNo3yiH4oVbm7SWA" xr:uid="{21596213-5EC7-40FC-B25F-7447DC21B0F4}"/>
    <hyperlink ref="B1535" r:id="rId2708" display="https://www.google.com/url?q=https://dunjudge.me/analysis/problems/1401/&amp;sa=D&amp;ust=1605639816770000&amp;usg=AFQjCNF7leWU7k3X837M1sypn0U4HvzHKQ" xr:uid="{24EB16BC-17C2-4DD0-B918-085C3C89FCC5}"/>
    <hyperlink ref="F1535" r:id="rId2709" display="https://www.google.com/url?q=https://github.com/mostafa-saad/MyCompetitiveProgramming/blob/master/Olympiad/COCI/official/2014/contest2_solutions&amp;sa=D&amp;ust=1605639816770000&amp;usg=AFQjCNEPtzT5EhIQ8CdAksopN8HECmVX-g" xr:uid="{C9275AC4-56D9-4A34-B034-3943307D0F66}"/>
    <hyperlink ref="B1536" r:id="rId2710" display="https://www.google.com/url?q=https://dunjudge.me/analysis/problems/237/&amp;sa=D&amp;ust=1605639816770000&amp;usg=AFQjCNF9sM2gRULGi9F1HTZNs2_fTYAlgg" xr:uid="{D3F6EAC1-F043-49A1-B34F-871893DA49F7}"/>
    <hyperlink ref="F1536" r:id="rId2711" display="https://www.google.com/url?q=https://github.com/mostafa-saad/MyCompetitiveProgramming/blob/master/Olympiad/NOI/official&amp;sa=D&amp;ust=1605639816770000&amp;usg=AFQjCNFFj9Kf2pQwMtXU0DWPBhwkHafnog" xr:uid="{D86F74F1-5BCC-4437-84A0-91525FC8FA85}"/>
    <hyperlink ref="B1537" r:id="rId2712" display="https://www.google.com/url?q=https://dunjudge.me/analysis/problems/215/&amp;sa=D&amp;ust=1605639816771000&amp;usg=AFQjCNF0ID6wXjgZBmXic5w4FkdhMEHiXw" xr:uid="{F40DC3CF-A90D-4B25-B19C-56CA3EF30EE9}"/>
    <hyperlink ref="F1537" r:id="rId2713" display="https://www.google.com/url?q=https://github.com/mostafa-saad/MyCompetitiveProgramming/blob/master/Olympiad/NOI/official/2011.pptx&amp;sa=D&amp;ust=1605639816771000&amp;usg=AFQjCNEjDdk_3eQTae4qGG_6VC0RSVMiUA" xr:uid="{1128D2C9-355A-4454-BBF0-3657F3CED1B8}"/>
    <hyperlink ref="B1538" r:id="rId2714" display="https://www.google.com/url?q=https://dunjudge.me/analysis/problems/721/&amp;sa=D&amp;ust=1605639816771000&amp;usg=AFQjCNGYeeotIuIbiCNY1MvALnjhyZkFJg" xr:uid="{59347D6D-9822-4FB0-B2A3-505BFB47DA0D}"/>
    <hyperlink ref="F1538" r:id="rId2715" display="https://www.google.com/url?q=https://github.com/mostafa-saad/MyCompetitiveProgramming/tree/master/Olympiad/MCO/official/2015&amp;sa=D&amp;ust=1605639816772000&amp;usg=AFQjCNGAEU6E0dRwNlapY6yizG7hP_DIzQ" xr:uid="{621EDA83-222D-403D-B427-DCACDED0AE6F}"/>
    <hyperlink ref="B1539" r:id="rId2716" display="https://www.google.com/url?q=https://dmoj.ca/problem/coci14c3p2&amp;sa=D&amp;ust=1605639816772000&amp;usg=AFQjCNHdeeIpiXvDAcekLeJNF4aOdEjrZg" xr:uid="{8FA0EC49-19CA-4533-B2B4-659D7C67C36D}"/>
    <hyperlink ref="B1540" r:id="rId2717" display="https://www.google.com/url?q=https://dmoj.ca/problem/coci14c1p2&amp;sa=D&amp;ust=1605639816772000&amp;usg=AFQjCNECzSoEwE3_UbX_3CE0lpxYTslH6g" xr:uid="{52F0FBAD-EE65-4295-8A18-538DD0DAF86E}"/>
    <hyperlink ref="B1541" r:id="rId2718" display="https://www.google.com/url?q=https://oj.uz/problem/view/COCI14_prosjek&amp;sa=D&amp;ust=1605639816773000&amp;usg=AFQjCNEoPZD0EHccqjUblafeyBNtUsXMoQ" xr:uid="{ACB69DBD-516D-4CDD-9F28-5EFE25780D0A}"/>
    <hyperlink ref="B1542" r:id="rId2719" display="https://www.google.com/url?q=https://oj.uz/problem/view/COCI15_esej&amp;sa=D&amp;ust=1605639816773000&amp;usg=AFQjCNGnOOoPep5zw9Dn7e1T_3EYeK_jeg" xr:uid="{6E5EDF9C-B7BF-4572-A7FA-ECFA89649DEB}"/>
    <hyperlink ref="B1543" r:id="rId2720" display="https://www.google.com/url?q=https://oj.uz/problem/view/COCI17_aron&amp;sa=D&amp;ust=1605639816774000&amp;usg=AFQjCNEAU6sMGZAuQ_SuikQmvi0Ku8lFnA" xr:uid="{E6F1FE3E-DE4E-4219-83C3-0335D96390E4}"/>
    <hyperlink ref="B1544" r:id="rId2721" display="https://www.google.com/url?q=https://oj.uz/problem/view/COCI17_bridz&amp;sa=D&amp;ust=1605639816774000&amp;usg=AFQjCNF0txlo44BA3QZeMuy4FAjTkFHiCg" xr:uid="{2BE3CCED-22B5-4247-8D45-947FA3AB30BD}"/>
    <hyperlink ref="B1545" r:id="rId2722" display="https://www.google.com/url?q=https://oj.uz/problem/view/COCI17_kosnja&amp;sa=D&amp;ust=1605639816774000&amp;usg=AFQjCNH0UUgY4pTlRp7_C4-SHvdDabeMSg" xr:uid="{55B52B06-DD9F-4008-8ACA-19FCC0250947}"/>
    <hyperlink ref="B1546" r:id="rId2723" display="https://www.google.com/url?q=https://oj.uz/problem/view/COCI17_tuna&amp;sa=D&amp;ust=1605639816775000&amp;usg=AFQjCNHeYdU406GLwMgry8X8fGRxatFGaw" xr:uid="{1DA0F5CB-ACCE-4D8B-ABC0-C3A01B6F0A5C}"/>
    <hyperlink ref="B1547" r:id="rId2724" display="https://www.google.com/url?q=https://oj.uz/problem/view/COCI18_spirale&amp;sa=D&amp;ust=1605639816775000&amp;usg=AFQjCNETDLD7Re2of1rYyHmjkOJ8s9qDOA" xr:uid="{9D493DC8-39CB-42BC-AD67-96AA77B97EA1}"/>
    <hyperlink ref="B1548" r:id="rId2725" display="https://www.google.com/url?q=https://oj.uz/problem/view/IZhO11_triangle&amp;sa=D&amp;ust=1605639816776000&amp;usg=AFQjCNHaHNMVhDE2rMeI5rrBjnC9aiyVyg" xr:uid="{DE7EB7C5-2727-4A87-B60B-952C9F9C16E9}"/>
    <hyperlink ref="B1549" r:id="rId2726" display="https://www.google.com/url?q=https://dmoj.ca/problem/coci08c3p1&amp;sa=D&amp;ust=1605639816776000&amp;usg=AFQjCNFmReHDmiNZQQ16PYIRN6pz2G7F-A" xr:uid="{7E009E2C-CBE4-4C1E-8FDC-4E0D9F5A73E1}"/>
    <hyperlink ref="F1549" r:id="rId2727" display="https://www.google.com/url?q=https://github.com/mostafa-saad/MyCompetitiveProgramming/blob/master/Olympiad/COCI/official/2009/contest3_solutions&amp;sa=D&amp;ust=1605639816776000&amp;usg=AFQjCNGw-hb6UYV2NG4ikYz2SNqoD7zR2w" xr:uid="{DDE9F2A7-0650-4264-A20D-9175E5B9C6B2}"/>
    <hyperlink ref="B1550" r:id="rId2728" display="https://www.google.com/url?q=https://wcipeg.com/problem/coci087p2&amp;sa=D&amp;ust=1605639816778000&amp;usg=AFQjCNHKEfox_z_UmMXAQmqiAIQQZukRXA" xr:uid="{4A766E44-D478-445F-8826-BF1FF43B7B1C}"/>
    <hyperlink ref="F1550" r:id="rId2729" display="https://www.google.com/url?q=https://github.com/mostafa-saad/MyCompetitiveProgramming/blob/master/Olympiad/COCI/official/2009/regional_solutions&amp;sa=D&amp;ust=1605639816778000&amp;usg=AFQjCNFmBRUEAHdnf_BZk93nQuvRSohK5g" xr:uid="{87095515-0A74-4C43-84F7-9C42E1405B96}"/>
    <hyperlink ref="B1551" r:id="rId2730" display="https://www.google.com/url?q=https://wcipeg.com/problem/coci087p1&amp;sa=D&amp;ust=1605639816778000&amp;usg=AFQjCNGgbj8jMEmBJv1aeQFqYjQCXTrMMQ" xr:uid="{A67688CA-26A3-4D0D-86E8-1AA2E5F0B619}"/>
    <hyperlink ref="F1551" r:id="rId2731" display="https://www.google.com/url?q=https://github.com/mostafa-saad/MyCompetitiveProgramming/blob/master/Olympiad/COCI/official/2009/regional_solutions&amp;sa=D&amp;ust=1605639816778000&amp;usg=AFQjCNFmBRUEAHdnf_BZk93nQuvRSohK5g" xr:uid="{D14D4D49-9AC0-42EC-886F-4B6B30F16DF3}"/>
    <hyperlink ref="B1552" r:id="rId2732" display="https://www.google.com/url?q=https://dunjudge.me/analysis/problems/1358/&amp;sa=D&amp;ust=1605639816779000&amp;usg=AFQjCNEDULtHTJ6BgrsTvBJpdfULbFlTmA" xr:uid="{43CD1631-F2DA-4B26-91FB-CD238BBED917}"/>
    <hyperlink ref="F1552" r:id="rId2733" display="https://www.google.com/url?q=https://github.com/mostafa-saad/MyCompetitiveProgramming/blob/master/Olympiad/COCI/official/2013/contest1_solutions&amp;sa=D&amp;ust=1605639816779000&amp;usg=AFQjCNEqxn2n9NogshEDilkKqCRWyELamA" xr:uid="{24F113EB-13F2-4537-9331-0FA0B6E30C95}"/>
    <hyperlink ref="B1553" r:id="rId2734" display="https://www.google.com/url?q=https://dmoj.ca/problem/coci14c6p1&amp;sa=D&amp;ust=1605639816779000&amp;usg=AFQjCNG9ghDy00kyvfxBn9UlxTx6qIGU-w" xr:uid="{7D22EE89-4766-4DCE-B620-941B227A4C7C}"/>
    <hyperlink ref="F1553" r:id="rId2735" display="https://www.google.com/url?q=https://github.com/mostafa-saad/MyCompetitiveProgramming/blob/master/Olympiad/COCI/official/2015/contest6_solutions&amp;sa=D&amp;ust=1605639816779000&amp;usg=AFQjCNG2c8du9JZ5fZwliCW91Qz8Llet2w" xr:uid="{CD925303-8B82-461D-A50F-ECDCE591652D}"/>
    <hyperlink ref="B1554" r:id="rId2736" display="https://www.google.com/url?q=https://dmoj.ca/problem/coci14c7p1&amp;sa=D&amp;ust=1605639816780000&amp;usg=AFQjCNET-NEVkjRriElp6QZRj98IBmz1zQ" xr:uid="{D271DC6C-4003-48A9-A2E2-555B510F1A32}"/>
    <hyperlink ref="F1554" r:id="rId2737" display="https://www.google.com/url?q=https://github.com/mostafa-saad/MyCompetitiveProgramming/blob/master/Olympiad/COCI/official/2015/contest7_solutions&amp;sa=D&amp;ust=1605639816780000&amp;usg=AFQjCNFL9fwlF0OKkc106S48Kogwnj9OKQ" xr:uid="{32003AE0-C4C0-4676-AAD4-41E6A91B93B2}"/>
    <hyperlink ref="B1555" r:id="rId2738" display="https://www.google.com/url?q=https://oj.uz/problem/view/COCI16_go&amp;sa=D&amp;ust=1605639816780000&amp;usg=AFQjCNHXvuq87IXtu_0FZEI6196Vhe_U7A" xr:uid="{4556F6F0-FA21-46B6-B046-0B1F3A1D689F}"/>
    <hyperlink ref="F1555" r:id="rId2739" display="https://www.google.com/url?q=https://github.com/mostafa-saad/MyCompetitiveProgramming/blob/master/Olympiad/COCI/official/2017/contest2_solutions&amp;sa=D&amp;ust=1605639816780000&amp;usg=AFQjCNFc991kEuUpYzHxPGA9S_H37yCmDQ" xr:uid="{E88D94F2-147E-431A-94A8-179F0D6D4FEE}"/>
    <hyperlink ref="B1556" r:id="rId2740" display="https://www.google.com/url?q=https://oj.uz/problem/view/COCI16_imena&amp;sa=D&amp;ust=1605639816780000&amp;usg=AFQjCNGAaH3mh318hCa692xF8l_CJyUG_A" xr:uid="{9FB6657A-E5F8-4E5C-9ECC-C58354570E33}"/>
    <hyperlink ref="F1556" r:id="rId2741" display="https://www.google.com/url?q=https://github.com/mostafa-saad/MyCompetitiveProgramming/blob/master/Olympiad/COCI/official/2017/contest3_solutions&amp;sa=D&amp;ust=1605639816781000&amp;usg=AFQjCNHInbkt8x5otUovOgTG2AvcUQrA4w" xr:uid="{6FAF9E27-E943-417B-8826-5DC9AD78DED6}"/>
    <hyperlink ref="B1557" r:id="rId2742" display="https://www.google.com/url?q=https://oj.uz/problem/view/COCI17_kartomat&amp;sa=D&amp;ust=1605639816781000&amp;usg=AFQjCNFvZP7ZDAjtx5Om9v50Ay3iv4mpCQ" xr:uid="{9D40419B-E01C-4A26-97F9-F0841CE71389}"/>
    <hyperlink ref="F1557" r:id="rId2743" display="https://www.google.com/url?q=https://github.com/mostafa-saad/MyCompetitiveProgramming/blob/master/Olympiad/COCI/official/2017/contest4_solutions&amp;sa=D&amp;ust=1605639816781000&amp;usg=AFQjCNFcuZbDPWul3wJMRoyPg9KHI-s_4w" xr:uid="{692A26C6-392B-448B-BF7A-D9131782288A}"/>
    <hyperlink ref="B1558" r:id="rId2744" display="https://www.google.com/url?q=https://oj.uz/problem/view/COCI17_pareto&amp;sa=D&amp;ust=1605639816781000&amp;usg=AFQjCNGg9N8yQhJZjqTyxN4QGhf5iBEcJg" xr:uid="{092600BF-D378-49D1-9640-83D62F6FFEEE}"/>
    <hyperlink ref="F1558" r:id="rId2745" display="https://www.google.com/url?q=https://github.com/mostafa-saad/MyCompetitiveProgramming/blob/master/Olympiad/COCI/official/2017/contest5_solutions&amp;sa=D&amp;ust=1605639816781000&amp;usg=AFQjCNEiMnlLpOxZ6PckP9umGsw3aocb8w" xr:uid="{21539142-3563-4225-B71D-70DDBFBC0FBB}"/>
    <hyperlink ref="B1559" r:id="rId2746" display="https://www.google.com/url?q=https://oj.uz/problem/view/COCI17_telefoni&amp;sa=D&amp;ust=1605639816782000&amp;usg=AFQjCNHVcDIETapQKFL908fPNWoWvmJHOw" xr:uid="{088C2AD5-05B6-4839-A791-2499A300914F}"/>
    <hyperlink ref="F1559" r:id="rId2747" display="https://www.google.com/url?q=https://github.com/mostafa-saad/MyCompetitiveProgramming/blob/master/Olympiad/COCI/official/2017/contest6_solutions&amp;sa=D&amp;ust=1605639816782000&amp;usg=AFQjCNFW6eMO1T3FWw18PBN6WcRtPyorfQ" xr:uid="{4BD70763-4CB5-4BE0-B38A-190655A0324F}"/>
    <hyperlink ref="B1560" r:id="rId2748" display="https://www.google.com/url?q=https://dunjudge.me/analysis/problems/144/&amp;sa=D&amp;ust=1605639816782000&amp;usg=AFQjCNFOsnoJiZVirkEnN2naBAKPS35BtQ" xr:uid="{34BCE3BD-F553-42F1-8A7E-726C3F1735C6}"/>
    <hyperlink ref="F1560" r:id="rId2749" display="https://www.google.com/url?q=https://github.com/mostafa-saad/MyCompetitiveProgramming/blob/master/Olympiad/NOI/official&amp;sa=D&amp;ust=1605639816782000&amp;usg=AFQjCNEb-ZnfYeYfJj3GK-9SFY7kQKM2hQ" xr:uid="{ED5A98AE-A47D-4F5C-B84D-26FCED220A3B}"/>
    <hyperlink ref="B1561" r:id="rId2750" display="https://www.google.com/url?q=https://dunjudge.me/analysis/problems/238/&amp;sa=D&amp;ust=1605639816783000&amp;usg=AFQjCNHWTF1Ofezu0_oskKatFVKTiG3O-g" xr:uid="{E209490E-A0C9-4D85-AFA2-A96BFFE9A06F}"/>
    <hyperlink ref="F1561" r:id="rId2751" display="https://www.google.com/url?q=https://github.com/mostafa-saad/MyCompetitiveProgramming/blob/master/Olympiad/NOI/official/2011.pptx&amp;sa=D&amp;ust=1605639816783000&amp;usg=AFQjCNFvZJSr4-dGbtUrtJU4Ab6go4AUpg" xr:uid="{1554FE27-9562-492F-B8A2-8B60981D612B}"/>
    <hyperlink ref="B1562" r:id="rId2752" display="https://www.google.com/url?q=https://dmoj.ca/problem/coci06c1p1&amp;sa=D&amp;ust=1605639816783000&amp;usg=AFQjCNGoQgKfCIt_Q52LoGWvSe1BpMW-1Q" xr:uid="{E4094AC5-80F8-4710-8824-2F7DA4BCD1B0}"/>
    <hyperlink ref="F1562" r:id="rId2753" display="https://www.google.com/url?q=https://github.com/mostafa-saad/MyCompetitiveProgramming/tree/master/Olympiad/COCI/official/2007/contest1_solutions&amp;sa=D&amp;ust=1605639816783000&amp;usg=AFQjCNEAMUD2MEuhUXS0zFDryDQXVCv_MQ" xr:uid="{7E2297CD-2826-47F2-9A78-A00C411B780B}"/>
    <hyperlink ref="B1563" r:id="rId2754" display="https://www.google.com/url?q=https://dmoj.ca/problem/coci06c2p1&amp;sa=D&amp;ust=1605639816783000&amp;usg=AFQjCNE4COcIafiOH69F3IhInswrPQQwTQ" xr:uid="{B265BD0A-DBF8-4622-B509-9548637F57B8}"/>
    <hyperlink ref="F1563" r:id="rId2755" display="https://www.google.com/url?q=https://github.com/mostafa-saad/MyCompetitiveProgramming/tree/master/Olympiad/COCI/official/2007/contest2_solutions&amp;sa=D&amp;ust=1605639816784000&amp;usg=AFQjCNHuwczt_9z4cFsBo-URVoA_IEj91g" xr:uid="{3C472447-11C6-49B1-8E12-65C7A76B4DD8}"/>
    <hyperlink ref="B1564" r:id="rId2756" display="https://www.google.com/url?q=https://dmoj.ca/problem/coci07c2p1&amp;sa=D&amp;ust=1605639816784000&amp;usg=AFQjCNFpVKDF5iDJNS5iWk-JjtSFHZEa_Q" xr:uid="{52BA3CB5-3F6B-4478-98A3-7C7168CDF902}"/>
    <hyperlink ref="F1564" r:id="rId2757" display="https://www.google.com/url?q=https://github.com/mostafa-saad/MyCompetitiveProgramming/tree/master/Olympiad/COCI/official/2008/contest2_solutions&amp;sa=D&amp;ust=1605639816784000&amp;usg=AFQjCNHffRhlbFevrjmoI_XdqSibjUVkxw" xr:uid="{E6A55BD1-66E4-4B83-A46E-362574E7CD41}"/>
    <hyperlink ref="B1565" r:id="rId2758" display="https://www.google.com/url?q=https://dmoj.ca/problem/coci07c5p1&amp;sa=D&amp;ust=1605639816784000&amp;usg=AFQjCNGswnaIsJkArRexaLcRBqYyNXlGzw" xr:uid="{1C364BA7-4914-4936-BF34-BF6980A9BBEB}"/>
    <hyperlink ref="F1565" r:id="rId2759" display="https://www.google.com/url?q=https://github.com/mostafa-saad/MyCompetitiveProgramming/tree/master/Olympiad/COCI/official/2008/contest5_solutions&amp;sa=D&amp;ust=1605639816785000&amp;usg=AFQjCNG2eEwHfUJgCPLuxbFisXm88Gjl-Q" xr:uid="{91776D1F-248D-432E-8FE4-02B53282B2B1}"/>
    <hyperlink ref="B1566" r:id="rId2760" display="https://www.google.com/url?q=https://dmoj.ca/problem/coci14c4p1&amp;sa=D&amp;ust=1605639816785000&amp;usg=AFQjCNFqiNaiVgWSR-cnmBD3jVHeJbTswA" xr:uid="{0D089DD9-A95E-4C8A-8D98-F6FB03D56726}"/>
    <hyperlink ref="B1567" r:id="rId2761" display="https://www.google.com/url?q=https://oj.uz/problem/view/COCI14_mobitel&amp;sa=D&amp;ust=1605639816786000&amp;usg=AFQjCNEvd5iDPAX2mXEwdmDAXdqrwTmgiQ" xr:uid="{7D64748C-E506-4B33-95AE-134594481B2F}"/>
    <hyperlink ref="B1568" r:id="rId2762" display="https://www.google.com/url?q=https://dmoj.ca/problem/coci14c1p3&amp;sa=D&amp;ust=1605639816787000&amp;usg=AFQjCNFlv79ntAYY0066vrNCQi4kjrplhw" xr:uid="{F875F037-AFB7-45BA-ACC0-B4B449539114}"/>
    <hyperlink ref="B1569" r:id="rId2763" display="https://www.google.com/url?q=https://dmoj.ca/problem/coci14c3p1&amp;sa=D&amp;ust=1605639816787000&amp;usg=AFQjCNGsU9nSSfRUCb7YNz71AcF9kObr5Q" xr:uid="{47FCC42C-EEBC-4003-BF9F-14D13059C0D6}"/>
    <hyperlink ref="B1570" r:id="rId2764" display="https://www.google.com/url?q=https://dmoj.ca/problem/coci14c5p3&amp;sa=D&amp;ust=1605639816788000&amp;usg=AFQjCNHtXJoWhbNkDzG7dS7N-OHo4TsiFQ" xr:uid="{C865DF2B-E596-41A2-BD1C-5646156885EA}"/>
    <hyperlink ref="B1571" r:id="rId2765" display="https://www.google.com/url?q=https://oj.uz/problem/view/COCI15_akcija&amp;sa=D&amp;ust=1605639816788000&amp;usg=AFQjCNHviMdhfVV-QJ1wfyBxCAJBeqp9ag" xr:uid="{3274BA8D-0E35-4181-8154-ED290C5563BF}"/>
    <hyperlink ref="B1572" r:id="rId2766" display="https://www.google.com/url?q=https://dmoj.ca/problem/coci15c4p3&amp;sa=D&amp;ust=1605639816789000&amp;usg=AFQjCNHSArQ9PWJi8VpXzsprVlaPiAY60g" xr:uid="{7EC62D5C-BDCF-43A9-8D22-0368D6190BFC}"/>
    <hyperlink ref="B1573" r:id="rId2767" display="https://www.google.com/url?q=https://oj.uz/problem/view/COCI15_geppetto&amp;sa=D&amp;ust=1605639816789000&amp;usg=AFQjCNEbj8nhxzkm6JmEhMavgUMa5-eVeA" xr:uid="{258F803B-F784-425F-8FD7-B5336C476BDC}"/>
    <hyperlink ref="B1574" r:id="rId2768" display="https://www.google.com/url?q=https://oj.uz/problem/view/COCI15_marko&amp;sa=D&amp;ust=1605639816790000&amp;usg=AFQjCNEGB5pm-3x65TJQPRo-uvAmBeGEuA" xr:uid="{EC71803C-3237-40E4-B027-06BBDD4BC975}"/>
    <hyperlink ref="B1575" r:id="rId2769" display="https://www.google.com/url?q=https://oj.uz/problem/view/COCI15_pot&amp;sa=D&amp;ust=1605639816790000&amp;usg=AFQjCNEhtfTv9Tr0iHK9JPn4Ak_JMu2Knw" xr:uid="{3253BD03-CA9D-4212-952D-B2F7F99D8BFA}"/>
    <hyperlink ref="B1576" r:id="rId2770" display="https://www.google.com/url?q=https://oj.uz/problem/view/COCI17_hindeks&amp;sa=D&amp;ust=1605639816790000&amp;usg=AFQjCNHbVK3OZA-hA5V1JPAqM3cXrOPrVg" xr:uid="{F66D5B85-4C42-4E83-8093-0B0108D0E82C}"/>
    <hyperlink ref="B1577" r:id="rId2771" display="https://www.google.com/url?q=https://dunjudge.me/analysis/problems/39/&amp;sa=D&amp;ust=1605639816791000&amp;usg=AFQjCNHmJU1UgYCdzSi1qmmI5bLN-KKhzQ" xr:uid="{3BD6C3CA-5D39-4BD7-AE47-9447DED4193D}"/>
    <hyperlink ref="B1578" r:id="rId2772" display="https://www.google.com/url?q=https://oj.uz/problem/view/COCI16_tarifa&amp;sa=D&amp;ust=1605639816791000&amp;usg=AFQjCNErBfFg3OUFfIRa9H9uQevQhb_zHw" xr:uid="{20904938-5A10-453A-A2D3-223081928166}"/>
    <hyperlink ref="B1579" r:id="rId2773" display="https://www.google.com/url?q=https://dmoj.ca/problem/coci13c1p1&amp;sa=D&amp;ust=1605639816792000&amp;usg=AFQjCNFZg1UU3xXEhaBOmVxtbFgt_E4tHQ" xr:uid="{11E829D0-31EE-447D-9937-E0909608CC49}"/>
    <hyperlink ref="F1579" r:id="rId2774" display="https://www.google.com/url?q=https://github.com/mostafa-saad/MyCompetitiveProgramming/blob/master/Olympiad/COCI/official/2014/contest1_solutions&amp;sa=D&amp;ust=1605639816792000&amp;usg=AFQjCNHHg817-Q_nCZ57xb1Yq3l_PMpI3Q" xr:uid="{CE32982F-D089-46D8-A3F9-88CB8A400940}"/>
    <hyperlink ref="B1580" r:id="rId2775" display="https://www.google.com/url?q=https://dmoj.ca/problem/coci15c4p1&amp;sa=D&amp;ust=1605639816792000&amp;usg=AFQjCNE8KGL3OihQQ0Mk2n-6Nvh4xKLnMQ" xr:uid="{D012CCFF-2BB3-4FEB-99F5-73866300FF88}"/>
    <hyperlink ref="B1581" r:id="rId2776" display="https://www.google.com/url?q=https://oj.uz/problem/view/COCI18_magnus&amp;sa=D&amp;ust=1605639816793000&amp;usg=AFQjCNHgT22c6De2ux7ZSbbegq4JpRRbfw" xr:uid="{41634F93-3490-400A-8E4C-092B23AF107A}"/>
    <hyperlink ref="B1582" r:id="rId2777" display="https://www.google.com/url?q=https://oj.uz/problem/view/COCI18_pismo&amp;sa=D&amp;ust=1605639816793000&amp;usg=AFQjCNE1RzMJWLAtGgX0mZPF7zSg9Gqn0Q" xr:uid="{D6DB1157-312F-4174-974F-0E5EFB36DAF0}"/>
    <hyperlink ref="B1583" r:id="rId2778" display="https://www.google.com/url?q=https://oj.uz/problem/view/COCI19_elder&amp;sa=D&amp;ust=1605639816793000&amp;usg=AFQjCNG0XFD314ojnBuz6_If20h7hpgksA" xr:uid="{8037137E-B807-44B7-929B-E3AEDDBEE644}"/>
    <hyperlink ref="B1584" r:id="rId2779" display="https://www.google.com/url?q=https://oj.uz/problem/view/COCI19_konj&amp;sa=D&amp;ust=1605639816794000&amp;usg=AFQjCNH2SyPtuu7Sm7tsUY7oMpAMUJgQCw" xr:uid="{093A34E8-BB35-4A4F-81B8-9A204258BF26}"/>
    <hyperlink ref="B1585" r:id="rId2780" display="https://www.google.com/url?q=https://oj.uz/problem/view/COCI19_lun&amp;sa=D&amp;ust=1605639816794000&amp;usg=AFQjCNEzRiNOLdOfcA858mviOwQIXqfKgA" xr:uid="{4AD3E099-BE1F-4797-9A0B-432937930A11}"/>
    <hyperlink ref="B1586" r:id="rId2781" display="https://www.google.com/url?q=https://contest.yandex.ru/ioi/contest/568/enter/&amp;sa=D&amp;ust=1605639816795000&amp;usg=AFQjCNEO9lj4M-RqLzClv1kj5l_LZfrIFA" xr:uid="{A328BFE1-87A6-4D3C-9A57-07E8337E4AA7}"/>
    <hyperlink ref="F1586" r:id="rId2782" display="https://www.google.com/url?q=https://github.com/updown2/OI-Practice/blob/master/JOI/2018/Stove.cpp&amp;sa=D&amp;ust=1605639816795000&amp;usg=AFQjCNGYf-HYGqTbVIJ2eLGgYE4PfWk1Og" xr:uid="{BA07398E-5B23-442C-B450-FCEB48EC79A7}"/>
    <hyperlink ref="B1587" r:id="rId2783" display="https://www.google.com/url?q=https://oj.uz/problem/view/COCI17_baza&amp;sa=D&amp;ust=1605639816795000&amp;usg=AFQjCNGeFK6CN_FYHsbwRWBrdIqSDHrQjg" xr:uid="{B8FC2D9B-BD5C-4E79-888E-695DF8517E49}"/>
    <hyperlink ref="B1588" r:id="rId2784" display="https://www.google.com/url?q=https://dmoj.ca/problem/coci14c5p1&amp;sa=D&amp;ust=1605639816796000&amp;usg=AFQjCNF8oNZzU1zPIoY1Q6q90k4UABNj9Q" xr:uid="{2053F554-68BC-491C-B811-46258DE59462}"/>
    <hyperlink ref="B1589" r:id="rId2785" display="https://www.google.com/url?q=https://oj.uz/problem/view/COCI15_karte&amp;sa=D&amp;ust=1605639816796000&amp;usg=AFQjCNG8tWCqIefA2C0I3WRRpzTXiLFvYQ" xr:uid="{4B17A783-2E7A-43D7-B2C7-469E8B6320AC}"/>
    <hyperlink ref="B1591" r:id="rId2786" display="https://www.google.com/url?q=https://dmoj.ca/problem/coci08c1p2&amp;sa=D&amp;ust=1605639816799000&amp;usg=AFQjCNGhiJgo5d-Ii9kKaq92HreD2D8k5g" xr:uid="{EB3ADF65-8537-4717-B7C7-3AA5D7B3C7C2}"/>
    <hyperlink ref="F1591" r:id="rId2787" display="https://www.google.com/url?q=https://github.com/mostafa-saad/MyCompetitiveProgramming/blob/master/Olympiad/COCI/official/2009/contest1_solutions&amp;sa=D&amp;ust=1605639816799000&amp;usg=AFQjCNHckJZTWn0VCJKCUFIljQCIlwmz4w" xr:uid="{B4966846-665A-481A-9F24-B158E21525C1}"/>
    <hyperlink ref="B1592" r:id="rId2788" display="https://www.google.com/url?q=https://dmoj.ca/problem/coci08c2p1&amp;sa=D&amp;ust=1605639816799000&amp;usg=AFQjCNFo53hPDcY34xTLs8uKIqd9kHjIcA" xr:uid="{AE843C50-833A-49AF-9521-C644D94FDAED}"/>
    <hyperlink ref="F1592" r:id="rId2789" display="https://www.google.com/url?q=https://github.com/mostafa-saad/MyCompetitiveProgramming/blob/master/Olympiad/COCI/official/2009/contest2_solutions&amp;sa=D&amp;ust=1605639816800000&amp;usg=AFQjCNGpKQUpA48Z2XkBoaXSVyh7p3XuPg" xr:uid="{A3B7937E-AB0C-4A53-9C49-5AA61D084BD6}"/>
    <hyperlink ref="B1593" r:id="rId2790" display="https://www.google.com/url?q=https://dmoj.ca/problem/coci08c2p2&amp;sa=D&amp;ust=1605639816800000&amp;usg=AFQjCNGo1kx5XNTF8NpUbvBrgOitcx-jxQ" xr:uid="{370E642A-EF3A-4D13-B1F3-87FC8AF77563}"/>
    <hyperlink ref="F1593" r:id="rId2791" display="https://www.google.com/url?q=https://github.com/mostafa-saad/MyCompetitiveProgramming/blob/master/Olympiad/COCI/official/2009/contest2_solutions&amp;sa=D&amp;ust=1605639816800000&amp;usg=AFQjCNGpKQUpA48Z2XkBoaXSVyh7p3XuPg" xr:uid="{C3B69164-87F7-4270-9200-BEE8ECF90E36}"/>
    <hyperlink ref="B1594" r:id="rId2792" display="https://www.google.com/url?q=https://dmoj.ca/problem/coci08c3p2&amp;sa=D&amp;ust=1605639816800000&amp;usg=AFQjCNH1ER9knoXkZotZlVPnZ2shv9tH1Q" xr:uid="{11222E37-5530-4730-B2D2-BBF068F25A18}"/>
    <hyperlink ref="F1594" r:id="rId2793" display="https://www.google.com/url?q=https://github.com/mostafa-saad/MyCompetitiveProgramming/blob/master/Olympiad/COCI/official/2009/contest3_solutions&amp;sa=D&amp;ust=1605639816801000&amp;usg=AFQjCNGwkvaQRrOU-umWjvikUqkG5PsEEQ" xr:uid="{22575B34-E7E6-447C-807D-9F34978D76B9}"/>
    <hyperlink ref="B1595" r:id="rId2794" display="https://www.google.com/url?q=https://dmoj.ca/problem/coci08c4p2&amp;sa=D&amp;ust=1605639816801000&amp;usg=AFQjCNEax-8798xU1RVaeusQbLQWmWTo8w" xr:uid="{EBD1C478-451E-4D3E-A9BF-38B3100C7EFB}"/>
    <hyperlink ref="F1595" r:id="rId2795" display="https://www.google.com/url?q=https://github.com/mostafa-saad/MyCompetitiveProgramming/blob/master/Olympiad/COCI/official/2009/contest4_solutions&amp;sa=D&amp;ust=1605639816801000&amp;usg=AFQjCNHGTbqVKQypjvqMFCF_dJgDmXiYIw" xr:uid="{AEA57B57-7D15-4812-BFC9-DC109B3F9B98}"/>
    <hyperlink ref="B1596" r:id="rId2796" display="https://www.google.com/url?q=https://dmoj.ca/problem/coci08c4p1&amp;sa=D&amp;ust=1605639816801000&amp;usg=AFQjCNEKoqwhj3F52y8iW9hbivbFzzEVkw" xr:uid="{49F4956C-A525-4E17-A67C-319765BDA843}"/>
    <hyperlink ref="F1596" r:id="rId2797" display="https://www.google.com/url?q=https://github.com/mostafa-saad/MyCompetitiveProgramming/blob/master/Olympiad/COCI/official/2009/contest4_solutions&amp;sa=D&amp;ust=1605639816802000&amp;usg=AFQjCNE5_ZkcYdtaLrPFcbxyU9OYC-kHWg" xr:uid="{9C3CA330-AE37-4A52-8CF7-40D814EA3AED}"/>
    <hyperlink ref="B1597" r:id="rId2798" display="https://www.google.com/url?q=https://dmoj.ca/problem/coci08c6p1&amp;sa=D&amp;ust=1605639816802000&amp;usg=AFQjCNGSCY99-bxoOBUtMvzq4P7PFqaUzQ" xr:uid="{15AB4C1C-1602-41C7-8B6F-559594B45825}"/>
    <hyperlink ref="F1597" r:id="rId2799" display="https://www.google.com/url?q=https://github.com/mostafa-saad/MyCompetitiveProgramming/blob/master/Olympiad/COCI/official/2009/contest6_solutions&amp;sa=D&amp;ust=1605639816802000&amp;usg=AFQjCNFe_Q8oCej3CkgzKwIEESiCzFb0xg" xr:uid="{2B195D12-2B2F-4288-842B-9B972CF9E345}"/>
    <hyperlink ref="B1598" r:id="rId2800" display="https://www.google.com/url?q=https://dmoj.ca/problem/coci09c1p2&amp;sa=D&amp;ust=1605639816802000&amp;usg=AFQjCNH8xMrMCpq74TpSTKxFxg1n3oWBeg" xr:uid="{D7C22432-BF66-4F65-8C98-3764FEA2016D}"/>
    <hyperlink ref="F1598" r:id="rId2801" display="https://www.google.com/url?q=https://github.com/mostafa-saad/MyCompetitiveProgramming/blob/master/Olympiad/COCI/official/2010/contest1_solutions&amp;sa=D&amp;ust=1605639816802000&amp;usg=AFQjCNHAfdcidXa4ETeEh0g36gPf38zdIA" xr:uid="{07A7ED36-CCB3-4B9D-9C3C-4AE0DD3E53A5}"/>
    <hyperlink ref="B1599" r:id="rId2802" display="https://www.google.com/url?q=https://wcipeg.com/problem/coci092p1&amp;sa=D&amp;ust=1605639816803000&amp;usg=AFQjCNHi1KH3OE4A0MAXZCia-R-9DFXtWw" xr:uid="{46B9B999-D2EC-479D-AF38-34E997403648}"/>
    <hyperlink ref="F1599" r:id="rId2803" display="https://www.google.com/url?q=https://github.com/mostafa-saad/MyCompetitiveProgramming/blob/master/Olympiad/COCI/official/2010/contest2_solutions&amp;sa=D&amp;ust=1605639816803000&amp;usg=AFQjCNGhFOSjrThocRHYzon4NToabMJytw" xr:uid="{B7D1DED4-B030-4816-B3CD-610594A2F1AC}"/>
    <hyperlink ref="B1600" r:id="rId2804" display="https://www.google.com/url?q=https://wcipeg.com/problem/coci093p1&amp;sa=D&amp;ust=1605639816803000&amp;usg=AFQjCNHokUXYhCGMExtsu7DzvNRHKcO95w" xr:uid="{AA89918A-4228-495E-8512-E5147C503231}"/>
    <hyperlink ref="F1600" r:id="rId2805" display="https://www.google.com/url?q=https://github.com/mostafa-saad/MyCompetitiveProgramming/blob/master/Olympiad/COCI/official/2010/contest3_solutions&amp;sa=D&amp;ust=1605639816804000&amp;usg=AFQjCNHUS66qsv6iTuTHDyUHIDQCgzt-tw" xr:uid="{3255328A-A7AF-4FFF-ABF0-2CE9E0FD5ED2}"/>
    <hyperlink ref="B1601" r:id="rId2806" display="https://www.google.com/url?q=https://wcipeg.com/problem/coci093p2&amp;sa=D&amp;ust=1605639816804000&amp;usg=AFQjCNG8ez6Wq5XmHAB0X_3DBOEZp5933Q" xr:uid="{3E12A486-BE5A-4B6B-AE4F-2CD037986095}"/>
    <hyperlink ref="F1601" r:id="rId2807" display="https://www.google.com/url?q=https://github.com/mostafa-saad/MyCompetitiveProgramming/blob/master/Olympiad/COCI/official/2010/contest3_solutions&amp;sa=D&amp;ust=1605639816804000&amp;usg=AFQjCNHUS66qsv6iTuTHDyUHIDQCgzt-tw" xr:uid="{15DDBD13-0CEA-410F-8030-ECB2A88C3966}"/>
    <hyperlink ref="B1602" r:id="rId2808" display="https://www.google.com/url?q=https://wcipeg.com/problem/coci093p3&amp;sa=D&amp;ust=1605639816804000&amp;usg=AFQjCNGCn03cSYuWKY3erlHMmnF1LK7a5w" xr:uid="{E396CAD2-43CC-47A3-9210-B01201585647}"/>
    <hyperlink ref="F1602" r:id="rId2809" display="https://www.google.com/url?q=https://github.com/mostafa-saad/MyCompetitiveProgramming/blob/master/Olympiad/COCI/official/2010/contest3_solutions&amp;sa=D&amp;ust=1605639816804000&amp;usg=AFQjCNHUS66qsv6iTuTHDyUHIDQCgzt-tw" xr:uid="{08421D26-E5A5-4F0A-8462-039923202866}"/>
    <hyperlink ref="B1603" r:id="rId2810" display="https://www.google.com/url?q=https://wcipeg.com/problem/coci094p1&amp;sa=D&amp;ust=1605639816805000&amp;usg=AFQjCNFiUDqiZnXlGRGqOYcbPpMGbduPdw" xr:uid="{61C01366-F599-40C0-896D-1BA614010404}"/>
    <hyperlink ref="F1603" r:id="rId2811" display="https://www.google.com/url?q=https://github.com/mostafa-saad/MyCompetitiveProgramming/blob/master/Olympiad/COCI/official/2010/contest4_solutions&amp;sa=D&amp;ust=1605639816805000&amp;usg=AFQjCNEnme7pCIRuGC5_ozuekpr94tqpXQ" xr:uid="{18BC64B8-A10C-43F5-B9F9-6CDB904E1D68}"/>
    <hyperlink ref="B1604" r:id="rId2812" display="https://www.google.com/url?q=https://wcipeg.com/problem/coci094p2&amp;sa=D&amp;ust=1605639816805000&amp;usg=AFQjCNF29-eFDU6cZ-YeI6QWAWnKKWM58A" xr:uid="{12ABFED0-9D18-4D9D-933D-FD2124A10028}"/>
    <hyperlink ref="F1604" r:id="rId2813" display="https://www.google.com/url?q=https://github.com/mostafa-saad/MyCompetitiveProgramming/blob/master/Olympiad/COCI/official/2010/contest4_solutions&amp;sa=D&amp;ust=1605639816805000&amp;usg=AFQjCNEnme7pCIRuGC5_ozuekpr94tqpXQ" xr:uid="{F7844A7A-487D-4BBE-B0AE-59E7CD48D9B8}"/>
    <hyperlink ref="B1605" r:id="rId2814" display="https://www.google.com/url?q=https://wcipeg.com/problem/coci095p2&amp;sa=D&amp;ust=1605639816805000&amp;usg=AFQjCNETnXTCne4-zZBtLPedWkbm2oZ8DA" xr:uid="{D827F125-4329-48F8-84CF-F92E79048EDC}"/>
    <hyperlink ref="F1605" r:id="rId2815" display="https://www.google.com/url?q=https://github.com/mostafa-saad/MyCompetitiveProgramming/blob/master/Olympiad/COCI/official/2010/contest5_solutions&amp;sa=D&amp;ust=1605639816806000&amp;usg=AFQjCNGzg8co0Yjb1JJNYiCUKR5qZgx5eg" xr:uid="{2811CE84-222C-489F-8138-8ECA618192C3}"/>
    <hyperlink ref="B1606" r:id="rId2816" display="https://www.google.com/url?q=https://wcipeg.com/problem/coci095p1&amp;sa=D&amp;ust=1605639816806000&amp;usg=AFQjCNEdOXZGHlZBf6YOSASZ5ggAolPmhw" xr:uid="{4489145B-0734-4F7E-A31E-F969ADEBC389}"/>
    <hyperlink ref="F1606" r:id="rId2817" display="https://www.google.com/url?q=https://github.com/mostafa-saad/MyCompetitiveProgramming/blob/master/Olympiad/COCI/official/2010/contest5_solutions&amp;sa=D&amp;ust=1605639816806000&amp;usg=AFQjCNGzg8co0Yjb1JJNYiCUKR5qZgx5eg" xr:uid="{C8E5D013-BE98-4331-B662-10190E1EDAC8}"/>
    <hyperlink ref="B1607" r:id="rId2818" display="https://www.google.com/url?q=https://wcipeg.com/problem/coci097p2&amp;sa=D&amp;ust=1605639816806000&amp;usg=AFQjCNG3DAkJ0aYAr1eealhtsX_RcZEOmA" xr:uid="{2C5B7960-1EFD-4E7C-A6A2-B1A16841F6B1}"/>
    <hyperlink ref="F1607" r:id="rId2819" display="https://www.google.com/url?q=https://github.com/mostafa-saad/MyCompetitiveProgramming/blob/master/Olympiad/COCI/official/2010/contest7_solutions&amp;sa=D&amp;ust=1605639816806000&amp;usg=AFQjCNG9iRCgBJ4r9K-UUNVrQeL1g7lHvg" xr:uid="{9AFC7577-FDCB-4D86-8075-69B5C6DF7020}"/>
    <hyperlink ref="B1608" r:id="rId2820" display="https://www.google.com/url?q=https://wcipeg.com/problem/coci097p1&amp;sa=D&amp;ust=1605639816808000&amp;usg=AFQjCNE-Rg3K5fjFM2iwt3CrpP5PWg49Tw" xr:uid="{F49D196C-07EA-4BCE-958E-757DE8CF7098}"/>
    <hyperlink ref="F1608" r:id="rId2821" display="https://www.google.com/url?q=https://github.com/mostafa-saad/MyCompetitiveProgramming/blob/master/Olympiad/COCI/official/2010/contest7_solutions&amp;sa=D&amp;ust=1605639816808000&amp;usg=AFQjCNEeT-Y5Uu9VIs2m9X3AZE9O5_qGCg" xr:uid="{50962423-EBFC-43C1-B911-7E1EDDFFAD4F}"/>
    <hyperlink ref="B1609" r:id="rId2822" display="https://www.google.com/url?q=https://dmoj.ca/problem/coci06c3p1&amp;sa=D&amp;ust=1605639816808000&amp;usg=AFQjCNE95rPY9Iw40qrSa8PCanRdnCnjNg" xr:uid="{26F189E6-4E65-477A-9219-6F552C4EE4F1}"/>
    <hyperlink ref="F1609" r:id="rId2823" display="https://www.google.com/url?q=https://github.com/mostafa-saad/MyCompetitiveProgramming/tree/master/Olympiad/COCI/official/2007/contest3_solutions&amp;sa=D&amp;ust=1605639816808000&amp;usg=AFQjCNEKrnGxJMsn-7a8cc2MmJxDyS4lTQ" xr:uid="{94AC0995-5C6B-4132-95D4-DFB0EE2194B0}"/>
    <hyperlink ref="B1610" r:id="rId2824" display="https://www.google.com/url?q=https://dmoj.ca/problem/coci06c4p1&amp;sa=D&amp;ust=1605639816809000&amp;usg=AFQjCNGSaHdv63xtS-DjBgoCj_OXta9RfA" xr:uid="{C2AAE837-8864-4844-A066-54BDD4DB7626}"/>
    <hyperlink ref="F1610" r:id="rId2825" display="https://www.google.com/url?q=https://github.com/mostafa-saad/MyCompetitiveProgramming/tree/master/Olympiad/COCI/official/2007/contest4_solutions&amp;sa=D&amp;ust=1605639816809000&amp;usg=AFQjCNGJFATHjkuwxYHm1_etqA2gWRMqZA" xr:uid="{12E7993A-5223-46B6-890D-6F7244DC6CF8}"/>
    <hyperlink ref="B1611" r:id="rId2826" display="https://www.google.com/url?q=https://dmoj.ca/problem/coci06c5p1&amp;sa=D&amp;ust=1605639816809000&amp;usg=AFQjCNHHU3-tx5zz251-mlu61YfTKPEdgg" xr:uid="{9DFC8AC2-1E00-4D37-8B36-DD58B3F485F2}"/>
    <hyperlink ref="F1611" r:id="rId2827" display="https://www.google.com/url?q=https://github.com/mostafa-saad/MyCompetitiveProgramming/tree/master/Olympiad/COCI/official/2007/contest5_solutions&amp;sa=D&amp;ust=1605639816810000&amp;usg=AFQjCNGXOgOCtFPz2VkxH2YOeC3cbrvw1w" xr:uid="{BB856DC2-8B88-41A4-9DB8-E0634093DE77}"/>
    <hyperlink ref="B1612" r:id="rId2828" display="https://www.google.com/url?q=https://dmoj.ca/problem/coci06c6p1&amp;sa=D&amp;ust=1605639816810000&amp;usg=AFQjCNGKPSIeB3V0xnJxmkeLXdV5-Qkkyw" xr:uid="{F8BEDF44-F021-4CA1-A629-CAAE7F5B4D88}"/>
    <hyperlink ref="F1612" r:id="rId2829" display="https://www.google.com/url?q=https://github.com/mostafa-saad/MyCompetitiveProgramming/tree/master/Olympiad/COCI/official/2007/contest6_solutions&amp;sa=D&amp;ust=1605639816810000&amp;usg=AFQjCNHHhk5Rm2a4vck3Iewr7ujpjXbTvA" xr:uid="{0431EC45-B78E-40AC-B731-D24A669BEFEE}"/>
    <hyperlink ref="B1613" r:id="rId2830" display="https://www.google.com/url?q=https://dmoj.ca/problem/coci07c1p1&amp;sa=D&amp;ust=1605639816810000&amp;usg=AFQjCNE6RNmloV2QDSWX9tiizow7iIv_yA" xr:uid="{F1AF65D8-A30C-4675-A408-1EE5C4B961AF}"/>
    <hyperlink ref="F1613" r:id="rId2831" display="https://www.google.com/url?q=https://github.com/mostafa-saad/MyCompetitiveProgramming/tree/master/Olympiad/COCI/official/2008/contest1_solutions&amp;sa=D&amp;ust=1605639816811000&amp;usg=AFQjCNHTaulhoh1NuPekcMtrVqJHPaefjA" xr:uid="{B6505470-0BB0-4A94-9562-9FF84477659E}"/>
    <hyperlink ref="B1614" r:id="rId2832" display="https://www.google.com/url?q=https://dmoj.ca/problem/coci07c1p3&amp;sa=D&amp;ust=1605639816811000&amp;usg=AFQjCNEQghvo3GqtvF39_gqO6rnuhpP4OA" xr:uid="{28C028CE-68BC-4CB8-9CED-F3C982FDB53B}"/>
    <hyperlink ref="F1614" r:id="rId2833" display="https://www.google.com/url?q=https://github.com/mostafa-saad/MyCompetitiveProgramming/tree/master/Olympiad/COCI/official/2008/contest1_solutions&amp;sa=D&amp;ust=1605639816811000&amp;usg=AFQjCNHTaulhoh1NuPekcMtrVqJHPaefjA" xr:uid="{DD4879F4-B9DE-48DB-9352-6E018B142D6F}"/>
    <hyperlink ref="B1615" r:id="rId2834" display="https://www.google.com/url?q=https://dmoj.ca/problem/coci07c2p2&amp;sa=D&amp;ust=1605639816811000&amp;usg=AFQjCNEoPyxLzRLpnbkzFjOUMVSzqPgTmw" xr:uid="{2CBB0CF1-0F72-43B0-897E-4F4BC5C1ABC4}"/>
    <hyperlink ref="F1615" r:id="rId2835" display="https://www.google.com/url?q=https://github.com/mostafa-saad/MyCompetitiveProgramming/tree/master/Olympiad/COCI/official/2008/contest2_solutions&amp;sa=D&amp;ust=1605639816812000&amp;usg=AFQjCNH8ncc1GXmJtwpadl9AnGnxhScq-A" xr:uid="{434C229F-F9F4-41CF-97A4-94878B97074F}"/>
    <hyperlink ref="B1616" r:id="rId2836" display="https://www.google.com/url?q=https://dmoj.ca/problem/coci07c3p1&amp;sa=D&amp;ust=1605639816812000&amp;usg=AFQjCNHM0DVZzmzNf2Olxs2XlevAH6ZqoQ" xr:uid="{6AC05D52-AD4B-4726-841F-E1DDC2C006FB}"/>
    <hyperlink ref="F1616" r:id="rId2837" display="https://www.google.com/url?q=https://github.com/mostafa-saad/MyCompetitiveProgramming/tree/master/Olympiad/COCI/official/2008/contest3_solutions&amp;sa=D&amp;ust=1605639816812000&amp;usg=AFQjCNEioVYesWknOmcMxbqv69VGL6mJ0g" xr:uid="{9218A102-5D41-48BE-9466-25858B27FD09}"/>
    <hyperlink ref="B1617" r:id="rId2838" display="https://www.google.com/url?q=https://dmoj.ca/problem/coci07c3p2&amp;sa=D&amp;ust=1605639816813000&amp;usg=AFQjCNFNHm6Wj3n0FX1Ep95JqO3x4UZipQ" xr:uid="{C73EA703-A2BC-4202-9CA8-3E075C9D7D6C}"/>
    <hyperlink ref="F1617" r:id="rId2839" display="https://www.google.com/url?q=https://github.com/mostafa-saad/MyCompetitiveProgramming/tree/master/Olympiad/COCI/official/2008/contest3_solutions&amp;sa=D&amp;ust=1605639816813000&amp;usg=AFQjCNGdU_0hYZIBD4twVmhSGEeaeup08w" xr:uid="{B781A1F1-33F2-4EC8-951C-BD6E5290D1E6}"/>
    <hyperlink ref="B1618" r:id="rId2840" display="https://www.google.com/url?q=https://dmoj.ca/problem/coci07c5p2&amp;sa=D&amp;ust=1605639816813000&amp;usg=AFQjCNEPlsDx9Z0NMb8zzGjybejgP3z3uQ" xr:uid="{7CD1D360-9AAA-4E64-AA6A-D87FAA85F60E}"/>
    <hyperlink ref="F1618" r:id="rId2841" display="https://www.google.com/url?q=https://github.com/mostafa-saad/MyCompetitiveProgramming/tree/master/Olympiad/COCI/official/2008/contest5_solutions&amp;sa=D&amp;ust=1605639816813000&amp;usg=AFQjCNHeiLuo-empQGtvbnEFAHj-cIasGQ" xr:uid="{5B9567B4-B723-44AF-A13E-D3C996BB9AC9}"/>
    <hyperlink ref="B1619" r:id="rId2842" display="https://www.google.com/url?q=https://dmoj.ca/problem/coci09c1p1&amp;sa=D&amp;ust=1605639816814000&amp;usg=AFQjCNFqp3f1OLyF1Ig4uY1ZBMN9_Fevdw" xr:uid="{40B92D5E-5A68-4844-B085-B464BAFF61B0}"/>
    <hyperlink ref="B1620" r:id="rId2843" display="https://www.google.com/url?q=https://dunjudge.me/analysis/problems/954/&amp;sa=D&amp;ust=1605639816814000&amp;usg=AFQjCNEh9Xf2w2Tr56FwgH0QYpd-IAAMjA" xr:uid="{A92349DD-5148-443D-9D73-B5EBA36AA5FE}"/>
    <hyperlink ref="F1620" r:id="rId2844" display="https://www.google.com/url?q=https://github.com/mostafa-saad/MyCompetitiveProgramming/blob/master/Olympiad/NOI/official&amp;sa=D&amp;ust=1605639816814000&amp;usg=AFQjCNGfuazxe9IkPgBFr1gZJriz7yTboA" xr:uid="{089A4B16-65A3-440E-8146-2FDE52D632E1}"/>
    <hyperlink ref="B1621" r:id="rId2845" display="https://www.google.com/url?q=https://oj.uz/problem/view/COCI18_prosjek&amp;sa=D&amp;ust=1605639816815000&amp;usg=AFQjCNHh64g7QjgCQDxtNfU2cF1Dh4IlUg" xr:uid="{E367675E-138D-411A-8E19-F52616227EAD}"/>
    <hyperlink ref="B1622" r:id="rId2846" display="https://www.google.com/url?q=https://dunjudge.me/analysis/problems/214/&amp;sa=D&amp;ust=1605639816815000&amp;usg=AFQjCNGdVWNIxCHg91Un_TD0LuTrHJhgHw" xr:uid="{5C0ED49A-A145-4CE9-BD77-40EBBA04B7B9}"/>
    <hyperlink ref="B1623" r:id="rId2847" display="https://www.google.com/url?q=https://szkopul.edu.pl/problemset/problem/zKf5Ua8okcS0jngsrTgKVM9L/site/&amp;sa=D&amp;ust=1605639816815000&amp;usg=AFQjCNGbbihCmRYH9GAzpnOJgRgffpr6XQ" xr:uid="{D7A84C95-CAE1-47A0-9151-F44822FF74AE}"/>
    <hyperlink ref="F1623" r:id="rId2848" display="https://www.google.com/url?q=https://github.com/mostafa-saad/MyCompetitiveProgramming/blob/master/Olympiad/POI/POI-15-Trips.txt&amp;sa=D&amp;ust=1605639816816000&amp;usg=AFQjCNGvrn_GT8DDRQ772Xd_o7vwqE2Ckw" xr:uid="{0A80F437-2AFB-4F54-BFCC-7E0D3BE27DF0}"/>
    <hyperlink ref="B1624" r:id="rId2849" display="https://www.google.com/url?q=https://dunjudge.me/analysis/problems/738/&amp;sa=D&amp;ust=1605639816816000&amp;usg=AFQjCNHZZcy_BpR4dQ-Azk9FSCF_AfUdoA" xr:uid="{592E11FF-DFD1-4E47-9F04-565A89FDBCAA}"/>
    <hyperlink ref="F1624" r:id="rId2850" display="https://www.google.com/url?q=https://github.com/mostafa-saad/MyCompetitiveProgramming/blob/master/Olympiad/IOI/official/2002&amp;sa=D&amp;ust=1605639816816000&amp;usg=AFQjCNGRLil9vu42pXYOz1MHGXsn-h5lrg" xr:uid="{F75D08F8-D56D-47C9-960C-8153DA1079FB}"/>
    <hyperlink ref="B1625" r:id="rId2851" display="https://www.google.com/url?q=https://oj.uz/problem/view/POI11_prz&amp;sa=D&amp;ust=1605639816817000&amp;usg=AFQjCNFVwF8Lp1uqHzK5pNxo3w3fbh0gHg" xr:uid="{F40352F4-C8FC-4231-AB27-3C4229F7DBE3}"/>
    <hyperlink ref="F1625" r:id="rId2852" display="https://www.google.com/url?q=https://github.com/mostafa-saad/MyCompetitiveProgramming/blob/master/Olympiad/POI/official/find_editorial_sols_guidelines.txt&amp;sa=D&amp;ust=1605639816817000&amp;usg=AFQjCNFV8bnEkRJxkdz8clVp6Uua-mLtdA" xr:uid="{EDB01AE3-6973-42C8-A932-21814B739049}"/>
    <hyperlink ref="B1626" r:id="rId2853" display="https://www.google.com/url?q=https://oj.uz/problem/view/POI13_ins&amp;sa=D&amp;ust=1605639816818000&amp;usg=AFQjCNEEnnUZloGqVzKe6Gc5178l32fRng" xr:uid="{C144AEAE-95B2-4C60-AF51-8B915B6AE8C7}"/>
    <hyperlink ref="F1626" r:id="rId2854" display="https://www.google.com/url?q=https://github.com/mostafa-saad/MyCompetitiveProgramming/blob/master/Olympiad/POI/official/find_editorial_sols_guidelines.txt&amp;sa=D&amp;ust=1605639816818000&amp;usg=AFQjCNE_72oPso_iOZcvObtUQlp9vjP-hA" xr:uid="{2C9D8CAF-67C6-4D76-BF59-A063B4294550}"/>
    <hyperlink ref="B1627" r:id="rId2855" display="https://www.google.com/url?q=https://dunjudge.me/analysis/problems/1478/&amp;sa=D&amp;ust=1605639816819000&amp;usg=AFQjCNEv-7Fwbed6ZlAWklL4kQ1ZaTmNxw" xr:uid="{96828331-6976-455E-81D1-7B1F1087FCCB}"/>
    <hyperlink ref="B1628" r:id="rId2856" display="https://www.google.com/url?q=https://dunjudge.me/analysis/problems/677/&amp;sa=D&amp;ust=1605639816819000&amp;usg=AFQjCNEJljxEoV9TIevvtZj1kIg4V9RnQw" xr:uid="{7F67622C-5F3C-4622-AD82-2088FCFCC3A5}"/>
    <hyperlink ref="B1629" r:id="rId2857" display="https://www.google.com/url?q=https://dunjudge.me/analysis/problems/1475/&amp;sa=D&amp;ust=1605639816819000&amp;usg=AFQjCNHlOwElVsxe7UfBrpVWymyN2Tk7nQ" xr:uid="{BEF5F096-1C84-47C6-B342-3CEB414D74DD}"/>
    <hyperlink ref="B1630" r:id="rId2858" display="https://www.google.com/url?q=https://dunjudge.me/analysis/problems/1474/&amp;sa=D&amp;ust=1605639816819000&amp;usg=AFQjCNEgd83ERL5_B76UGORhqfTJGnveBw" xr:uid="{C326CAE5-4BDC-4696-9501-FA926948C54A}"/>
    <hyperlink ref="B1631" r:id="rId2859" display="https://www.google.com/url?q=https://dunjudge.me/analysis/problems/1496/&amp;sa=D&amp;ust=1605639816820000&amp;usg=AFQjCNHfVYpQzjDkLa_zY7B1w-hgDZsTug" xr:uid="{3D48ACD9-7667-436B-957E-18D5C830D78E}"/>
    <hyperlink ref="B1632" r:id="rId2860" display="https://www.google.com/url?q=https://dunjudge.me/analysis/problems/1480/&amp;sa=D&amp;ust=1605639816820000&amp;usg=AFQjCNGs6J-1sWBRxxkdRJAQGtgdMWZ-Tg" xr:uid="{3B1B6F51-098E-462B-87C0-7BE06EAAF512}"/>
    <hyperlink ref="B1633" r:id="rId2861" display="https://www.google.com/url?q=https://dunjudge.me/analysis/problems/419/&amp;sa=D&amp;ust=1605639816820000&amp;usg=AFQjCNGYjyea9tKPRg8OWg1jYphOCpdsxg" xr:uid="{1D17548B-4F2C-4DAD-840E-6BF4FA3560F6}"/>
    <hyperlink ref="B1634" r:id="rId2862" display="https://www.google.com/url?q=https://dunjudge.me/analysis/problems/414/&amp;sa=D&amp;ust=1605639816821000&amp;usg=AFQjCNEDFkbDVHFmD7dPBntHLO_tmnktbQ" xr:uid="{1AE404A0-4DE9-4DA7-99B5-8B93683BD39D}"/>
    <hyperlink ref="B1635" r:id="rId2863" display="https://www.google.com/url?q=https://dunjudge.me/analysis/problems/681/&amp;sa=D&amp;ust=1605639816821000&amp;usg=AFQjCNHwEPHcAouBbC8D9Yvo6lZ-co2-iQ" xr:uid="{C8F88E8C-175F-4597-802D-72A8CDCC6BD8}"/>
    <hyperlink ref="B1636" r:id="rId2864" display="https://www.google.com/url?q=https://dunjudge.me/analysis/problems/675/&amp;sa=D&amp;ust=1605639816821000&amp;usg=AFQjCNEUxcSyRIYHPrYePHCg_nW-hP7J9w" xr:uid="{69CAC410-FB07-4D21-9CDB-9AFE17F0CC84}"/>
    <hyperlink ref="B1637" r:id="rId2865" display="https://www.google.com/url?q=https://dunjudge.me/analysis/problems/934/&amp;sa=D&amp;ust=1605639816822000&amp;usg=AFQjCNFdku0x-mrp19f0OYe_q9vlbnSHhg" xr:uid="{520F6133-AEFC-4702-8C17-8F7C594E42E4}"/>
    <hyperlink ref="B1638" r:id="rId2866" display="https://www.google.com/url?q=https://dunjudge.me/analysis/problems/1471/&amp;sa=D&amp;ust=1605639816822000&amp;usg=AFQjCNFeJQip1jHuxnXs5VSEwEg4silzsg" xr:uid="{3791B15D-2DB7-48F9-9012-16A4F609A6CA}"/>
    <hyperlink ref="B1639" r:id="rId2867" display="https://www.google.com/url?q=https://dunjudge.me/analysis/problems/1461/&amp;sa=D&amp;ust=1605639816822000&amp;usg=AFQjCNFcTCpzJCzirFUrZ0sQuVCs0YYbFA" xr:uid="{F40ADBFE-C819-4449-9C19-96DC9B354988}"/>
    <hyperlink ref="B1640" r:id="rId2868" display="https://www.google.com/url?q=https://dunjudge.me/analysis/problems/1473/&amp;sa=D&amp;ust=1605639816823000&amp;usg=AFQjCNH5QZx8n25AA04zW_GyzMicwNy2lw" xr:uid="{018861ED-0FC5-4B99-8A52-119132348417}"/>
    <hyperlink ref="B1641" r:id="rId2869" display="https://www.google.com/url?q=https://cses.fi/204/list/&amp;sa=D&amp;ust=1605639816823000&amp;usg=AFQjCNGL7xnRBlQvmJkFCeQBwfbO8ezy8Q" xr:uid="{8FC11AC5-51A3-4616-915C-904FF49BA081}"/>
    <hyperlink ref="F1641" r:id="rId2870" display="https://www.google.com/url?q=https://github.com/mostafa-saad/MyCompetitiveProgramming/tree/master/Olympiad/Baltic/official/boi2018_solutions&amp;sa=D&amp;ust=1605639816823000&amp;usg=AFQjCNGSEOsdYMROHsZBLsU9cxn4XPVwZw" xr:uid="{FDC412B9-C1AE-49EB-BDF3-848A41B0A6BC}"/>
    <hyperlink ref="B1642" r:id="rId2871" display="https://www.google.com/url?q=https://dunjudge.me/analysis/problems/421/&amp;sa=D&amp;ust=1605639816824000&amp;usg=AFQjCNHkdhlpxXC786b9OvkVnMzeXO2mVA" xr:uid="{6E78AA13-CD9F-45DF-81C4-8F6D5C210890}"/>
    <hyperlink ref="B1643" r:id="rId2872" display="https://www.google.com/url?q=https://cses.fi/110/list/&amp;sa=D&amp;ust=1605639816824000&amp;usg=AFQjCNH3pV7i5vDBo_P11cAMbUqdA3mGhw" xr:uid="{479C74BF-AFAC-4840-9F20-1228911D618A}"/>
    <hyperlink ref="B1644" r:id="rId2873" display="https://www.google.com/url?q=https://cses.fi/109/list/&amp;sa=D&amp;ust=1605639816824000&amp;usg=AFQjCNF6Z0NS_j3HcqmA9-DcxTB3uRKI2g" xr:uid="{8ABB2782-B194-4FC5-9B0D-CD88E2BDEC71}"/>
    <hyperlink ref="B1645" r:id="rId2874" display="https://www.google.com/url?q=https://dmoj.ca/problem/mwc15c2p2&amp;sa=D&amp;ust=1605639816824000&amp;usg=AFQjCNGh5TnIQjVq383pvtDUo_0haG8AXw" xr:uid="{0CCB0E09-3E77-4721-BA40-F882E69FDEEB}"/>
    <hyperlink ref="B1646" r:id="rId2875" display="https://www.google.com/url?q=https://szkopul.edu.pl/problemset/problem/eHGwrk9xShVF-z_2f7K4Yyb_/site/&amp;sa=D&amp;ust=1605639816825000&amp;usg=AFQjCNHda_5WiLTktxNRt6IuRit0_4_OCw" xr:uid="{A4DD8105-B42D-4BB0-8782-C1B1FF7A62BF}"/>
    <hyperlink ref="B1647" r:id="rId2876" display="https://www.google.com/url?q=https://szkopul.edu.pl/problemset/problem/KkN5UonnNGIG3AuMqoI6xr62/site/&amp;sa=D&amp;ust=1605639816825000&amp;usg=AFQjCNFL83NEevbYCa38dnZU1VHgEi7Z0w" xr:uid="{C1BEC2D6-7789-4187-B4CD-17084DED648D}"/>
    <hyperlink ref="B1648" r:id="rId2877" display="https://www.google.com/url?q=https://www.acmicpc.net/problem/7085&amp;sa=D&amp;ust=1605639816825000&amp;usg=AFQjCNEV7Tlw3sx905AeGnzncBCTIiv8hQ" xr:uid="{57F02053-305A-4A9B-9C51-5C9132D5EE8F}"/>
    <hyperlink ref="B1649" r:id="rId2878" display="https://www.google.com/url?q=https://www.acmicpc.net/problem/7083&amp;sa=D&amp;ust=1605639816827000&amp;usg=AFQjCNG_1ObjSh0Dj0RcXrYpGAANe8439w" xr:uid="{214E9BB1-AC70-4A69-84B0-E28AA8C6ADD8}"/>
    <hyperlink ref="B1650" r:id="rId2879" display="https://www.google.com/url?q=https://www.acmicpc.net/problem/7084&amp;sa=D&amp;ust=1605639816827000&amp;usg=AFQjCNHd3c249gPeVW_VT8Zke2uFzK-IvQ" xr:uid="{B387C243-5DB0-49A7-BCBA-C993765FD970}"/>
    <hyperlink ref="B1651" r:id="rId2880" display="https://www.google.com/url?q=https://www.acmicpc.net/problem/7087&amp;sa=D&amp;ust=1605639816827000&amp;usg=AFQjCNEN09nxf40a8Vf0C1g2iYYc72UkPA" xr:uid="{67BD9367-59CC-4A35-9875-5851C55B6CC4}"/>
    <hyperlink ref="B1652" r:id="rId2881" display="https://www.google.com/url?q=https://www.acmicpc.net/problem/7088&amp;sa=D&amp;ust=1605639816828000&amp;usg=AFQjCNEi9rUhXZgRbf7P0sIbi7QBt37nSg" xr:uid="{7FA36368-887A-40E8-82F9-E6617BB49289}"/>
    <hyperlink ref="B1653" r:id="rId2882" display="https://www.google.com/url?q=https://www.acmicpc.net/problem/7080&amp;sa=D&amp;ust=1605639816828000&amp;usg=AFQjCNEKMfe7SvBiB-JkGRUDQxgl2GRL6A" xr:uid="{0A184C7F-9CA0-4678-9936-7D190009FD21}"/>
    <hyperlink ref="B1654" r:id="rId2883" display="https://www.google.com/url?q=https://www.acmicpc.net/problem/7082&amp;sa=D&amp;ust=1605639816828000&amp;usg=AFQjCNEyrVCdVcoC4SjqhJRhARi4xCsjsA" xr:uid="{8FF21404-66A1-4CD7-8DC5-6FD0D7AEDE37}"/>
    <hyperlink ref="B1655" r:id="rId2884" display="https://www.google.com/url?q=https://www.acmicpc.net/problem/5249&amp;sa=D&amp;ust=1605639816829000&amp;usg=AFQjCNGMNx6kYFCuwppz0cKS_0SEPJg-4Q" xr:uid="{BAD3F788-83A8-4321-8DEF-7E9C11026099}"/>
    <hyperlink ref="B1656" r:id="rId2885" display="https://www.google.com/url?q=https://www.acmicpc.net/problem/2192&amp;sa=D&amp;ust=1605639816829000&amp;usg=AFQjCNGbRMeVSzGaPz_1or8frJXGVmhKBA" xr:uid="{F4B07912-8806-4B78-B7EC-9EA2043827D6}"/>
    <hyperlink ref="B1657" r:id="rId2886" display="https://www.google.com/url?q=https://www.acmicpc.net/problem/2336&amp;sa=D&amp;ust=1605639816829000&amp;usg=AFQjCNH0w5T3tjiy18wPkasr4mqimXQ6CA" xr:uid="{90B39759-9AFA-402C-966F-938511872C5C}"/>
    <hyperlink ref="B1658" r:id="rId2887" display="https://www.google.com/url?q=https://oj.uz/problem/view/POI11_dyn&amp;sa=D&amp;ust=1605639816830000&amp;usg=AFQjCNHCRmFrX5wAFcDJyWKahrjbCdZAsw" xr:uid="{3B55D6B6-5CF4-40B2-AD97-4E8236356BDD}"/>
    <hyperlink ref="F1658" r:id="rId2888" display="https://www.google.com/url?q=https://github.com/mostafa-saad/MyCompetitiveProgramming/blob/master/Olympiad/POI/official/find_editorial_sols_guidelines.txt&amp;sa=D&amp;ust=1605639816830000&amp;usg=AFQjCNF-vaPkvk16i3FPu4q5Jwoy7Op6ng" xr:uid="{B6F3F938-EFA3-48F0-A508-B9118889932E}"/>
    <hyperlink ref="B1659" r:id="rId2889" display="https://www.google.com/url?q=https://oj.uz/problem/view/POI13_gob&amp;sa=D&amp;ust=1605639816830000&amp;usg=AFQjCNHfgSpEv5KSFRLjkdF-KeO94Y_q_w" xr:uid="{7838B2EC-663D-4958-B7C5-84A8B0F31C04}"/>
    <hyperlink ref="F1659" r:id="rId2890" display="https://www.google.com/url?q=https://github.com/mostafa-saad/MyCompetitiveProgramming/blob/master/Olympiad/POI/official/find_editorial_sols_guidelines.txt&amp;sa=D&amp;ust=1605639816830000&amp;usg=AFQjCNF-vaPkvk16i3FPu4q5Jwoy7Op6ng" xr:uid="{21588EC5-980A-4BB1-9033-930C03676B71}"/>
    <hyperlink ref="B1660" r:id="rId2891" display="https://www.google.com/url?q=https://dunjudge.me/analysis/problems/437/&amp;sa=D&amp;ust=1605639816831000&amp;usg=AFQjCNH6ZCcb-y66Cj1Aryji4Z-PDwB4KQ" xr:uid="{F5A49B14-724E-4C29-B7DA-B2A90394C27A}"/>
    <hyperlink ref="B1661" r:id="rId2892" display="https://www.google.com/url?q=https://open.kattis.com/problem-sources/Baltic%2520Olympiad%2520in%2520Informatics%25202017%252C%2520Warmup&amp;sa=D&amp;ust=1605639816831000&amp;usg=AFQjCNEdOVLQmyAehACEoDQblKDoX4jT6A" xr:uid="{79197143-D2FB-48A9-8CFB-50D03E485604}"/>
    <hyperlink ref="B1662" r:id="rId2893" display="https://www.google.com/url?q=https://open.kattis.com/problem-sources/Baltic%2520Olympiad%2520in%2520Informatics%25202017%252C%2520Warmup&amp;sa=D&amp;ust=1605639816831000&amp;usg=AFQjCNEdOVLQmyAehACEoDQblKDoX4jT6A" xr:uid="{D96E54E5-1E0E-4B68-82E4-DB49E6F25929}"/>
    <hyperlink ref="B1663" r:id="rId2894" display="https://www.google.com/url?q=https://oj.uz/problem/view/COCI18_nlo&amp;sa=D&amp;ust=1605639816839000&amp;usg=AFQjCNGeBIKqbfLb3-QtNxFMxSI3laLP_g" xr:uid="{A7509B78-F22D-4886-9126-BA399A26FAD6}"/>
    <hyperlink ref="B1664" r:id="rId2895" display="https://www.google.com/url?q=https://oj.uz/problem/view/COCI18_prakticni&amp;sa=D&amp;ust=1605639816840000&amp;usg=AFQjCNEZjT1xIGQGeQUz7CMagrDdT_iICA" xr:uid="{C32BD5BB-7E04-45F7-8AA3-FB47D404C782}"/>
    <hyperlink ref="B1665" r:id="rId2896" display="https://www.google.com/url?q=https://oj.uz/problem/view/COCI19_akvizna&amp;sa=D&amp;ust=1605639816840000&amp;usg=AFQjCNEon5hCfRPQ_46SpCbABQpb5I0b5Q" xr:uid="{BA79820E-BA56-4CE1-8F6F-7695DF077A27}"/>
    <hyperlink ref="B1666" r:id="rId2897" display="https://www.google.com/url?q=https://oj.uz/problem/view/COCI19_jarvis&amp;sa=D&amp;ust=1605639816841000&amp;usg=AFQjCNHukRbUPuXWToZIkaKzFQU_PKrqKw" xr:uid="{02349D1C-0A4C-43D8-B637-846CA2056108}"/>
    <hyperlink ref="B1667" r:id="rId2898" display="https://www.google.com/url?q=https://oj.uz/problem/view/COCI19_kisik&amp;sa=D&amp;ust=1605639816841000&amp;usg=AFQjCNGBTycsCLgXXmfnUbUsSXewjTO7CQ" xr:uid="{0EA9C85F-F19F-4347-A31A-228FA011DE6E}"/>
    <hyperlink ref="B1668" r:id="rId2899" display="https://www.google.com/url?q=https://oj.uz/problem/view/COCI19_slagalica&amp;sa=D&amp;ust=1605639816841000&amp;usg=AFQjCNHgXXAIH_in54ovf5HmKmJAD_Q2Rg" xr:uid="{1E53ECDF-DEC3-4C6A-9B47-E957B6850539}"/>
    <hyperlink ref="B1669" r:id="rId2900" display="https://www.google.com/url?q=https://oj.uz/problem/view/COCI19_titlovi&amp;sa=D&amp;ust=1605639816842000&amp;usg=AFQjCNG8Rn7NQBNWlgBKT7ykSZ9f5qOc8g" xr:uid="{8EBA74CE-8FDC-47D1-8AB8-221D41BBDC21}"/>
    <hyperlink ref="B1670" r:id="rId2901" display="https://www.google.com/url?q=https://oj.uz/problem/view/COCI19_wand&amp;sa=D&amp;ust=1605639816842000&amp;usg=AFQjCNFtPb_Vp3Z5N7GgpD-FcWWVeYAYmg" xr:uid="{23944BC6-AE91-4641-AB5A-CFA6BDCA2BA1}"/>
    <hyperlink ref="B1671" r:id="rId2902" display="https://www.google.com/url?q=https://dmoj.ca/problem/bf3&amp;sa=D&amp;ust=1605639816842000&amp;usg=AFQjCNG2jJIYUxCZGF9P8KJdBwAB2vEDTQ" xr:uid="{C5632496-5215-41D3-A8CF-56DC92A98431}"/>
    <hyperlink ref="B1672" r:id="rId2903" display="https://www.google.com/url?q=https://dunjudge.me/analysis/problems/1243/&amp;sa=D&amp;ust=1605639816843000&amp;usg=AFQjCNFU0Siygznc5Hvh5z0zG6IIjWJG7A" xr:uid="{24D59594-A249-4F47-BF56-6847C03EDBD8}"/>
    <hyperlink ref="B1673" r:id="rId2904" display="https://www.google.com/url?q=https://oj.uz/problem/view/info1cup17_binary&amp;sa=D&amp;ust=1605639816844000&amp;usg=AFQjCNH5Zg2apfO9vT4RazLaYm6DhVPc3w" xr:uid="{C2EC0200-D662-404D-88EA-0B6AA8F688A0}"/>
    <hyperlink ref="B1674" r:id="rId2905" display="https://www.google.com/url?q=https://oj.uz/problem/view/info1cup17_eastereggs&amp;sa=D&amp;ust=1605639816844000&amp;usg=AFQjCNGztAVSqYVMucDd6DEO5Z_l_w2rYQ" xr:uid="{8171A17A-791B-4E9A-86B5-5005F3417DC8}"/>
    <hyperlink ref="B1675" r:id="rId2906" display="https://www.google.com/url?q=https://oj.uz/problem/view/info1cup17_permutation&amp;sa=D&amp;ust=1605639816844000&amp;usg=AFQjCNEgUjN8XbFF-hVTEHUkh-lO0UOURg" xr:uid="{15CBAB0D-4DD4-4A93-9C3A-2915DC3182EB}"/>
    <hyperlink ref="B1676" r:id="rId2907" display="https://www.google.com/url?q=https://oj.uz/problem/view/info1cup17_xorsum&amp;sa=D&amp;ust=1605639816845000&amp;usg=AFQjCNG2Qx0LLX3bQOXxJyCx7gc66eEmcQ" xr:uid="{8ED51A54-596C-44D8-A0DE-DE8634FE4FF9}"/>
    <hyperlink ref="B1677" r:id="rId2908" display="https://www.google.com/url?q=https://oj.uz/problem/view/info1cup18_balancedtree&amp;sa=D&amp;ust=1605639816845000&amp;usg=AFQjCNHBJ_AEKPlYH1bgg0lObsc9DOrMrw" xr:uid="{158AD8E2-B038-4128-B15C-07BA6A800C36}"/>
    <hyperlink ref="B1678" r:id="rId2909" display="https://www.google.com/url?q=https://oj.uz/problem/view/info1cup18_cambridge&amp;sa=D&amp;ust=1605639816845000&amp;usg=AFQjCNFDtuOny2lSE1D2FyJYMTg8S4JXYA" xr:uid="{1977F5B2-3159-40FA-988D-50C07082393D}"/>
    <hyperlink ref="B1679" r:id="rId2910" display="https://www.google.com/url?q=https://oj.uz/problem/view/info1cup18_del13&amp;sa=D&amp;ust=1605639816846000&amp;usg=AFQjCNEc3bVYHf8MyzLalq_Ryy_I71g-dw" xr:uid="{ABA5E873-F1DA-4D4D-8246-BB0235770964}"/>
    <hyperlink ref="B1680" r:id="rId2911" display="https://www.google.com/url?q=https://oj.uz/problem/view/info1cup18_norela&amp;sa=D&amp;ust=1605639816846000&amp;usg=AFQjCNHv7vjrYjAWraEhWe5yZbdyx6rCRg" xr:uid="{5E90BC6F-AA76-47B8-9CF2-A016ABF2B525}"/>
    <hyperlink ref="B1681" r:id="rId2912" display="https://www.google.com/url?q=https://oj.uz/problem/view/info1cup18_palindromes&amp;sa=D&amp;ust=1605639816846000&amp;usg=AFQjCNEONsIgZSyxIvNxFoiOObxmp4OLuw" xr:uid="{844EB758-755A-43A0-96E0-30A2D2DEFB4A}"/>
    <hyperlink ref="B1682" r:id="rId2913" display="https://www.google.com/url?q=https://oj.uz/problem/view/info1cup18_shell&amp;sa=D&amp;ust=1605639816847000&amp;usg=AFQjCNGZs2hXGaKroBF_7wsq_04x8Jjdsw" xr:uid="{A3E9B06B-6112-464F-8A59-0E1B46CF97F5}"/>
    <hyperlink ref="B1683" r:id="rId2914" display="https://www.google.com/url?q=https://oj.uz/problem/view/info1cup18_thegrade&amp;sa=D&amp;ust=1605639816847000&amp;usg=AFQjCNExYQztVa--zSZFS32h5np2r6TE2A" xr:uid="{1B964911-4421-4666-B20E-B4329835223A}"/>
    <hyperlink ref="B1684" r:id="rId2915" display="https://www.google.com/url?q=https://oj.uz/problem/view/innopolis2018_final_A&amp;sa=D&amp;ust=1605639816847000&amp;usg=AFQjCNFCcwqQdz8J4CjDMySJpuXQohINzw" xr:uid="{4C77CD0C-EE34-4402-94C8-8804CF4523FE}"/>
    <hyperlink ref="B1685" r:id="rId2916" display="https://www.google.com/url?q=https://oj.uz/problem/view/innopolis2018_final_B&amp;sa=D&amp;ust=1605639816847000&amp;usg=AFQjCNGRLEs2LD8ax7xQ9G4DF5uxg2fVew" xr:uid="{3F7EB84D-DE9B-453D-B853-DEA578AE2938}"/>
    <hyperlink ref="B1686" r:id="rId2917" display="https://www.google.com/url?q=https://oj.uz/problem/view/innopolis2018_final_C&amp;sa=D&amp;ust=1605639816848000&amp;usg=AFQjCNHOIl_BqOMwzyMxvTmCtaEOLc1yQQ" xr:uid="{350C4464-9E48-4E73-97E0-8756C3A07A27}"/>
    <hyperlink ref="B1687" r:id="rId2918" display="https://www.google.com/url?q=https://oj.uz/problem/view/innopolis2018_final_D&amp;sa=D&amp;ust=1605639816848000&amp;usg=AFQjCNFc6vXOrV6mfTf87GBJxl7IEQNc3g" xr:uid="{890DA2C5-8A0A-4FC2-A24C-6F39B2AE8B14}"/>
    <hyperlink ref="B1688" r:id="rId2919" display="https://www.google.com/url?q=https://oj.uz/problem/view/innopolis2018_final_E&amp;sa=D&amp;ust=1605639816848000&amp;usg=AFQjCNFsuiNtxBvl8SD3kYadrAIeoPcqfw" xr:uid="{ADA6A065-379A-4E33-A0CB-7DBE7C0DD6BB}"/>
    <hyperlink ref="B1689" r:id="rId2920" display="https://www.google.com/url?q=https://dunjudge.me/analysis/problems/1233/&amp;sa=D&amp;ust=1605639816848000&amp;usg=AFQjCNGUUiTG-l8MgA8jZ-qLzXLTpXp3pA" xr:uid="{A48FF172-5E80-488E-B534-CF9B23C57354}"/>
    <hyperlink ref="B1690" r:id="rId2921" display="https://www.google.com/url?q=https://wcipeg.com/problem/ioi1401&amp;sa=D&amp;ust=1605639816849000&amp;usg=AFQjCNEf-KWBLycFTN61Aq8Vq1zZ2MONLw" xr:uid="{6DA684F9-2638-4389-99D2-150CEA927278}"/>
    <hyperlink ref="B1691" r:id="rId2922" display="https://www.google.com/url?q=https://wcipeg.com/problem/ioi1402&amp;sa=D&amp;ust=1605639816864000&amp;usg=AFQjCNFY1SDH6LmLNJer3A866bU3RI6OtA" xr:uid="{942F522B-8A70-477F-B28B-4EA3C7D8755F}"/>
    <hyperlink ref="B1692" r:id="rId2923" display="https://www.google.com/url?q=https://wcipeg.com/problem/ioi1403&amp;sa=D&amp;ust=1605639816865000&amp;usg=AFQjCNEWncotXO8y506eX6n8wf_gOhIweg" xr:uid="{764FDCBA-D17B-4D58-9904-44ED599FA63F}"/>
    <hyperlink ref="B1693" r:id="rId2924" display="https://www.google.com/url?q=http://ioi2017.org/contest/practice/&amp;sa=D&amp;ust=1605639816865000&amp;usg=AFQjCNFPPC8YhzySz_YLiZJj7FEHWtwH3A" xr:uid="{37F1ECAB-15AC-4788-AB91-BCEB3DE17B04}"/>
    <hyperlink ref="B1694" r:id="rId2925" display="https://www.google.com/url?q=https://oj.uz/problem/view/IZhO14_ufo&amp;sa=D&amp;ust=1605639816866000&amp;usg=AFQjCNE1oZcKwbQpMXrDlj6rlNeFqlo-EA" xr:uid="{70656132-406C-4E61-A5DE-9C538ABBB8D9}"/>
    <hyperlink ref="B1695" r:id="rId2926" display="https://www.google.com/url?q=https://joi2014ho.contest.atcoder.jp/tasks/joi2014ho5&amp;sa=D&amp;ust=1605639816866000&amp;usg=AFQjCNHMc0m78kT01hnlREKHCbl1OUZHQw" xr:uid="{28539446-C2BD-4CB8-9A19-32AA066D8779}"/>
    <hyperlink ref="B1696" r:id="rId2927" display="https://www.google.com/url?q=https://joi2015ho.contest.atcoder.jp/tasks/joi2015ho_d&amp;sa=D&amp;ust=1605639816867000&amp;usg=AFQjCNEjpo4mMMROvhu2JXjl9i4uKotnVQ" xr:uid="{0465DD65-EFFC-43F4-8F30-D46E4E0C060D}"/>
    <hyperlink ref="B1697" r:id="rId2928" display="https://www.google.com/url?q=https://joi2015ho.contest.atcoder.jp/tasks/joi2015ho_e&amp;sa=D&amp;ust=1605639816869000&amp;usg=AFQjCNGbPQzvk9FGIRgZa3YTVrS40jEw0A" xr:uid="{852B00E9-14AC-4F15-A203-55A21EEEF393}"/>
    <hyperlink ref="B1698" r:id="rId2929" display="https://www.google.com/url?q=https://joi2016ho.contest.atcoder.jp/tasks/joi2016ho_d&amp;sa=D&amp;ust=1605639816869000&amp;usg=AFQjCNFG6JjjNLMQGdOCX8o06GSft7Jf4Q" xr:uid="{BC77B8C2-9314-4DA0-92B6-187E5177BE0B}"/>
    <hyperlink ref="B1699" r:id="rId2930" display="https://www.google.com/url?q=https://oj.uz/problem/view/JOI17_rope&amp;sa=D&amp;ust=1605639816870000&amp;usg=AFQjCNFydkXGiBCZEnfaHinAlJMFEDmTWg" xr:uid="{0B7F1B47-A94A-45CD-B8D2-769C96B61B36}"/>
    <hyperlink ref="B1700" r:id="rId2931" display="https://www.google.com/url?q=https://oj.uz/problems/source/6&amp;sa=D&amp;ust=1605639816870000&amp;usg=AFQjCNH2Zem0mMC_y4PmbbrUsum3HAlwhQ" xr:uid="{38428BA9-FE3F-47C6-90C3-68129B0A570D}"/>
    <hyperlink ref="B1701" r:id="rId2932" display="https://www.google.com/url?q=https://oj.uz/problems/source/214&amp;sa=D&amp;ust=1605639816870000&amp;usg=AFQjCNGmfc67jH35ef0J2EoKyYwvCGjvzg" xr:uid="{12A57B8F-BF1D-48D5-9D94-12BCA85FD068}"/>
    <hyperlink ref="B1702" r:id="rId2933" display="https://www.google.com/url?q=https://dunjudge.me/analysis/problems/1497/&amp;sa=D&amp;ust=1605639816871000&amp;usg=AFQjCNFrh9bNkW52xuddiUxOh0QEuTMWTw" xr:uid="{D56D5730-EEA7-4AEC-8018-F85BE02B1F77}"/>
    <hyperlink ref="B1703" r:id="rId2934" display="https://www.google.com/url?q=https://dunjudge.me/analysis/problems/1499/&amp;sa=D&amp;ust=1605639816871000&amp;usg=AFQjCNEXmX0-a3BZCYkqT3cjeKX5r-n99g" xr:uid="{DADA6687-B4A2-430A-A93F-8A220EBBBFA2}"/>
    <hyperlink ref="B1704" r:id="rId2935" display="https://www.google.com/url?q=https://dunjudge.me/analysis/problems/1498/&amp;sa=D&amp;ust=1605639816872000&amp;usg=AFQjCNEvTyAmQ5mSHjtCojmegOe4kHo_iA" xr:uid="{AE04172A-8818-4E62-8ED9-6DEF993A0D24}"/>
    <hyperlink ref="B1705" r:id="rId2936" display="https://www.google.com/url?q=https://dunjudge.me/analysis/problems/1500/&amp;sa=D&amp;ust=1605639816872000&amp;usg=AFQjCNGppW8WFczQBGMjdspbAA_VeC_jQA" xr:uid="{9F76D52E-30C0-4975-8C10-2DAF599E8A1F}"/>
    <hyperlink ref="B1706" r:id="rId2937" display="https://www.google.com/url?q=https://dunjudge.me/analysis/problems/141/&amp;sa=D&amp;ust=1605639816872000&amp;usg=AFQjCNFsIL6DFYz_jmJXNLqL4ioXx80fTA" xr:uid="{5373B711-5BDA-4E4D-90E3-E475C94802D6}"/>
    <hyperlink ref="B1707" r:id="rId2938" display="https://www.google.com/url?q=https://dunjudge.me/analysis/problems/15/&amp;sa=D&amp;ust=1605639816873000&amp;usg=AFQjCNGJkry0mOsfNjcfKRV1qpHUtXupYQ" xr:uid="{F4C1B320-4B02-4579-AC57-F9FF3C17B0B5}"/>
    <hyperlink ref="B1708" r:id="rId2939" display="https://www.google.com/url?q=https://dunjudge.me/analysis/problems/86/&amp;sa=D&amp;ust=1605639816873000&amp;usg=AFQjCNHXCJPJkcpJUJVVAjPFtQ3lWoRN9w" xr:uid="{1AA4EE81-876F-4559-A1CD-6E2D42BAE48C}"/>
    <hyperlink ref="B1709" r:id="rId2940" display="https://www.google.com/url?q=https://dunjudge.me/analysis/problems/42/&amp;sa=D&amp;ust=1605639816873000&amp;usg=AFQjCNHsAzrcFnsGvRSNGVyzuj_04hbQcg" xr:uid="{702B1E5A-8517-48A5-BA74-18F27E081A93}"/>
    <hyperlink ref="B1710" r:id="rId2941" display="https://www.google.com/url?q=https://dunjudge.me/analysis/problems/43/&amp;sa=D&amp;ust=1605639816874000&amp;usg=AFQjCNH_aDuuARx2jDfztN_BYqtD-u8zFA" xr:uid="{B6880D90-658A-4BC6-83C5-52F0F1D265AD}"/>
    <hyperlink ref="B1711" r:id="rId2942" display="https://www.google.com/url?q=https://dunjudge.me/analysis/problems/46/&amp;sa=D&amp;ust=1605639816874000&amp;usg=AFQjCNHWnZ79VY-bzmjAXNt5o_ZjB0mL7w" xr:uid="{74F5FF9E-564D-4C16-90B8-F8AF7A58B588}"/>
    <hyperlink ref="B1712" r:id="rId2943" display="https://www.google.com/url?q=https://dunjudge.me/analysis/problems/187/&amp;sa=D&amp;ust=1605639816875000&amp;usg=AFQjCNEAPBWZ1Aw3WCewKIOcY6SWR91j9Q" xr:uid="{76AEE0F4-F918-4C3B-B23C-87F82A295F95}"/>
    <hyperlink ref="B1713" r:id="rId2944" display="https://www.google.com/url?q=https://dunjudge.me/analysis/problems/189/&amp;sa=D&amp;ust=1605639816875000&amp;usg=AFQjCNHdfQVPpu8nrzdmlkVx3zIQwJql8Q" xr:uid="{6C59ECC9-AFBA-451E-8CF1-32FE28B5576E}"/>
    <hyperlink ref="B1714" r:id="rId2945" display="https://www.google.com/url?q=https://dunjudge.me/analysis/problems/185/&amp;sa=D&amp;ust=1605639816876000&amp;usg=AFQjCNHXdATX2smfCvM4cFfx8FjPjyXHmA" xr:uid="{36D34529-2AA5-489B-A782-F3B738A0C397}"/>
    <hyperlink ref="B1715" r:id="rId2946" display="https://www.google.com/url?q=https://dunjudge.me/analysis/problems/678/&amp;sa=D&amp;ust=1605639816876000&amp;usg=AFQjCNGBX3TLLbF24DLVizg5KiaAN166uw" xr:uid="{7B5826C9-54F2-4B6F-B65E-FB62A047DB0F}"/>
    <hyperlink ref="B1716" r:id="rId2947" display="https://www.google.com/url?q=https://dunjudge.me/analysis/problems/1189/&amp;sa=D&amp;ust=1605639816876000&amp;usg=AFQjCNGxOvzUZXyj_iUEuOi7QAB3hC2_yQ" xr:uid="{CF23462B-472B-4496-95CF-D951774CC2E9}"/>
    <hyperlink ref="B1717" r:id="rId2948" display="https://www.google.com/url?q=https://dunjudge.me/analysis/problems/1171/&amp;sa=D&amp;ust=1605639816877000&amp;usg=AFQjCNEsxbp7W0kWvKiKkJuP2WpXTBLVKw" xr:uid="{7DA967B5-1BAA-4D95-8382-52499DEFEDDB}"/>
    <hyperlink ref="B1718" r:id="rId2949" display="https://www.google.com/url?q=https://dunjudge.me/analysis/problems/1174/&amp;sa=D&amp;ust=1605639816877000&amp;usg=AFQjCNEpVviG0jo_h5lfOt950M8i2ErfYw" xr:uid="{4E1D68A4-A3BD-4C38-99B7-8F35196CDA4E}"/>
    <hyperlink ref="B1719" r:id="rId2950" display="https://www.google.com/url?q=https://dunjudge.me/analysis/problems/1170/&amp;sa=D&amp;ust=1605639816877000&amp;usg=AFQjCNHn_tOPNhGMZ04DgVvLt1Lo_vlcsA" xr:uid="{25EFFCEB-1D7C-4381-A956-57EA4162D735}"/>
    <hyperlink ref="B1720" r:id="rId2951" display="https://www.google.com/url?q=https://dunjudge.me/analysis/problems/1187/&amp;sa=D&amp;ust=1605639816878000&amp;usg=AFQjCNHqHP2rIFcs0LOgmvMzV0EQss12jg" xr:uid="{A8690AF4-55EE-4010-BC4A-ABB607E5343F}"/>
    <hyperlink ref="B1721" r:id="rId2952" display="https://www.google.com/url?q=https://dunjudge.me/analysis/problems/1175/&amp;sa=D&amp;ust=1605639816879000&amp;usg=AFQjCNGx_UmP_McPoZLqp7d9xSQKTF9M2w" xr:uid="{1835D72C-3585-4A0F-A2A5-267DFE53F032}"/>
    <hyperlink ref="B1722" r:id="rId2953" display="https://www.google.com/url?q=https://dunjudge.me/analysis/problems/1188/&amp;sa=D&amp;ust=1605639816880000&amp;usg=AFQjCNGxcJfjMNjZCmGRAa4DBiOTmswzWA" xr:uid="{E87EE515-F53F-4B61-AC7A-DC218895B448}"/>
    <hyperlink ref="B1723" r:id="rId2954" display="https://www.google.com/url?q=https://dunjudge.me/analysis/problems/1173/&amp;sa=D&amp;ust=1605639816880000&amp;usg=AFQjCNGNu0e0T9J2GI4MC41UVOrVm9p0lw" xr:uid="{681D8CB9-5C89-416D-87CE-D539C672CD40}"/>
    <hyperlink ref="B1724" r:id="rId2955" display="https://www.google.com/url?q=https://dunjudge.me/analysis/problems/1186/&amp;sa=D&amp;ust=1605639816881000&amp;usg=AFQjCNFBEvb4Xb0SB2CAMzLekmcpamoXxA" xr:uid="{B6398864-00A2-422F-B609-4B9F9A6038B2}"/>
    <hyperlink ref="B1725" r:id="rId2956" display="https://www.google.com/url?q=https://dunjudge.me/analysis/problems/1190/&amp;sa=D&amp;ust=1605639816881000&amp;usg=AFQjCNFOBiHvB4UlT7yOrEa7b09NCdzJpQ" xr:uid="{CE2BF90F-C9C2-4BE2-A69D-01B971B7F6E5}"/>
    <hyperlink ref="B1726" r:id="rId2957" display="https://www.google.com/url?q=https://dunjudge.me/analysis/problems/1470/&amp;sa=D&amp;ust=1605639816882000&amp;usg=AFQjCNGJLbDYKEJ36TUJEoshhgHMGQd2Zg" xr:uid="{C4C7869B-9CE0-45A6-A63A-145CE06D890D}"/>
    <hyperlink ref="B1727" r:id="rId2958" display="https://www.google.com/url?q=https://szkopul.edu.pl/problemset/problem/3zwfwt3ZGc2f6NndNgzS3Dfu/site/&amp;sa=D&amp;ust=1605639816882000&amp;usg=AFQjCNFmFGAJglihxvQiIS4poFcFK2uy7g" xr:uid="{7B0E8743-8E61-4100-AA13-0FE3FBF70E0C}"/>
    <hyperlink ref="B1728" r:id="rId2959" display="https://www.google.com/url?q=https://szkopul.edu.pl/problemset/problem/oNnWY6ZuzzhvG-jCmijiXkIk/site/&amp;sa=D&amp;ust=1605639816883000&amp;usg=AFQjCNFOmzGifnys0AUF2XlFWWRzMrGgaQ" xr:uid="{4235B7CD-1816-4DD1-94FE-9A1E0D5CE889}"/>
    <hyperlink ref="B1729" r:id="rId2960" display="https://www.google.com/url?q=https://szkopul.edu.pl/problemset/problem/9NFtPM59qGWa7wdn570ifuP0/site/&amp;sa=D&amp;ust=1605639816883000&amp;usg=AFQjCNGjn-eL2NAdmN_Pe773NBPuVQi4Og" xr:uid="{AD533EC1-E5E2-4A27-9289-5304F64CAABF}"/>
    <hyperlink ref="B1730" r:id="rId2961" display="https://www.google.com/url?q=https://szkopul.edu.pl/problemset/problem/-7cqC3RrH4e-Ar7DWy4GKzLv/site/&amp;sa=D&amp;ust=1605639816884000&amp;usg=AFQjCNFGsFcloiGW-nyaRFNx_Xe-up6I9A" xr:uid="{D7ABD458-99EA-414A-BE67-2B41F2C99BD2}"/>
    <hyperlink ref="B1731" r:id="rId2962" display="https://www.google.com/url?q=https://szkopul.edu.pl/problemset/problem/WLKPphrG7df9acKBOlEMEKY3/site/&amp;sa=D&amp;ust=1605639816884000&amp;usg=AFQjCNF6n2VJSBCK3GdTWahwv6cCv9UxrA" xr:uid="{C3713B86-9D13-43CD-971E-71A76C43DD6A}"/>
    <hyperlink ref="B1732" r:id="rId2963" display="https://www.google.com/url?q=https://szkopul.edu.pl/problemset/problem/cSnlafnvkbirhnQrS9CQ9MEw/site/&amp;sa=D&amp;ust=1605639816885000&amp;usg=AFQjCNEVTkvIabYyaxnVhoI3m71Gp0TgQQ" xr:uid="{761DD4DA-55F9-44AD-AF4F-977000C9587F}"/>
    <hyperlink ref="B1733" r:id="rId2964" display="https://www.google.com/url?q=https://szkopul.edu.pl/problemset/problem/eLy9p2a1VStZ4y9y-LdeB-8f/site/&amp;sa=D&amp;ust=1605639816885000&amp;usg=AFQjCNEKrxvu65SndUICdr3O7gkvtrHlEA" xr:uid="{E4A2C691-865C-4B41-8B72-5A19370337F0}"/>
    <hyperlink ref="B1734" r:id="rId2965" display="https://www.google.com/url?q=https://szkopul.edu.pl/problemset/problem/0KG8REkSLNnY5sVkm7Aei_R7/site/&amp;sa=D&amp;ust=1605639816886000&amp;usg=AFQjCNHIecJNzAf9DlGtl6xH-KNUVmf32w" xr:uid="{17BD5054-405F-4767-838C-C4C4D7A9644B}"/>
    <hyperlink ref="B1735" r:id="rId2966" display="https://www.google.com/url?q=https://szkopul.edu.pl/problemset/problem/wrTmzO9-dzEbLtsRUCdMV2_W/site/&amp;sa=D&amp;ust=1605639816886000&amp;usg=AFQjCNFexlpfwkyCXPeTLE6W5LrzgZPknQ" xr:uid="{0C31B7C3-61BA-4ABC-B8CA-C507B52C88F9}"/>
    <hyperlink ref="B1736" r:id="rId2967" display="https://www.google.com/url?q=https://szkopul.edu.pl/problemset/problem/w-dbshXVyRol4LIT9jeP-bNn/site/&amp;sa=D&amp;ust=1605639816887000&amp;usg=AFQjCNHGkDVI3JaEKLDY2XAA4FBIq2wWDg" xr:uid="{8946E005-28DA-4EF1-9047-78BB25F36CD3}"/>
    <hyperlink ref="B1737" r:id="rId2968" display="https://www.google.com/url?q=https://szkopul.edu.pl/problemset/problem/CUjJDGGSEZmO7HvdZU4FKrL6/site/&amp;sa=D&amp;ust=1605639816887000&amp;usg=AFQjCNErP7sG3gCug9KfcPjAFqyA0g9OOg" xr:uid="{842EBFC2-7508-41E1-BCF9-7873328867D4}"/>
    <hyperlink ref="B1738" r:id="rId2969" display="https://www.google.com/url?q=https://szkopul.edu.pl/problemset/problem/Ng815bt4Fko9lj2-l7eVl3Aw/site/&amp;sa=D&amp;ust=1605639816888000&amp;usg=AFQjCNFPPxw6_odPHXKeQzQ7DYDcVS28aQ" xr:uid="{CC1FC7ED-1735-447E-8CF0-AE44C4345CD3}"/>
    <hyperlink ref="B1739" r:id="rId2970" display="https://www.google.com/url?q=https://szkopul.edu.pl/problemset/problem/kqBM3UKWL-qlFiXIOxPXL35m/site/&amp;sa=D&amp;ust=1605639816888000&amp;usg=AFQjCNGvac8xx5itejXQf988MciJNT_D8A" xr:uid="{02BCA7E6-D9DA-4D3A-BD25-69D733FBAAD9}"/>
    <hyperlink ref="B1740" r:id="rId2971" display="https://www.google.com/url?q=https://szkopul.edu.pl/problemset/problem/aKKSmtjWTtDOEHDqnmQ3-eAA/site/&amp;sa=D&amp;ust=1605639816889000&amp;usg=AFQjCNGwyAXXIBfKHaV77Ib4KX46_-s-Ag" xr:uid="{296A8DDE-D75D-4004-8D04-357453FF7745}"/>
    <hyperlink ref="B1741" r:id="rId2972" display="https://www.google.com/url?q=https://szkopul.edu.pl/problemset/problem/Kmofhbw9cTx06gSZg-C5MiBU/site/&amp;sa=D&amp;ust=1605639816889000&amp;usg=AFQjCNHJw7bDqpIMcmIQC1f23bLiRUUfzA" xr:uid="{4EFED510-E4B5-4A26-9B53-01B45D016558}"/>
    <hyperlink ref="B1742" r:id="rId2973" display="https://www.google.com/url?q=https://szkopul.edu.pl/problemset/problem/lbADmW7d353d0F0iw4kXTjsl/site/&amp;sa=D&amp;ust=1605639816890000&amp;usg=AFQjCNEv4JXmB0irSL1eF_DmFoQw3XlM5A" xr:uid="{96CCCEA7-6460-49B4-A400-A659BE44FBC8}"/>
    <hyperlink ref="B1743" r:id="rId2974" display="https://www.google.com/url?q=https://szkopul.edu.pl/problemset/problem/guoc36QCEe4q47qruYB7HBV-/site/&amp;sa=D&amp;ust=1605639816890000&amp;usg=AFQjCNGfnEiWt6ezMaMsScGolGNjfOguRg" xr:uid="{50B0660D-8EAB-4492-A1CE-A201A3F17A54}"/>
    <hyperlink ref="B1744" r:id="rId2975" display="https://www.google.com/url?q=https://szkopul.edu.pl/problemset/problem/xCiDtZ0ZX70fyac1Sav8d37J/site/&amp;sa=D&amp;ust=1605639816892000&amp;usg=AFQjCNE-Ye1XngSc2Drb-CxjJ4EM2Ut2mg" xr:uid="{51839C4B-868E-45C6-ADAE-78BBFF399BE1}"/>
    <hyperlink ref="B1745" r:id="rId2976" display="https://www.google.com/url?q=https://szkopul.edu.pl/problemset/problem/GfNdWdsmfgHxoByl0ETuZW9c/site/&amp;sa=D&amp;ust=1605639816893000&amp;usg=AFQjCNGzV_r6e-kIP0YvcTZiADal2EuDbw" xr:uid="{96431D8F-9558-4711-AE74-C6C85BA8B776}"/>
    <hyperlink ref="B1746" r:id="rId2977" display="https://www.google.com/url?q=https://szkopul.edu.pl/problemset/problem/Hhip15j-8Ro2dOb_4oB98C-G/site/&amp;sa=D&amp;ust=1605639816893000&amp;usg=AFQjCNHgXMiuXHs7zBuzv5Bt1CFUmNis8A" xr:uid="{B539694C-4DB6-4D7F-BC0C-8A7AF3D81381}"/>
    <hyperlink ref="B1747" r:id="rId2978" display="https://www.google.com/url?q=https://szkopul.edu.pl/problemset/problem/NZSCUwz2ACePsBKuVCIVzrRt/site/&amp;sa=D&amp;ust=1605639816893000&amp;usg=AFQjCNFi8xbXXv6xpKS2wF9wbtGNW-WQ7Q" xr:uid="{84EC81C4-6AC3-4694-9404-6DF53D7C55AB}"/>
    <hyperlink ref="B1748" r:id="rId2979" display="https://www.google.com/url?q=https://szkopul.edu.pl/problemset/problem/vvd6w7n7EXFVEg3nkqGxEirV/site/&amp;sa=D&amp;ust=1605639816894000&amp;usg=AFQjCNEtGuJegTY_G-Q3qLRjkDO0VP51Ug" xr:uid="{BA96AF0B-5741-4433-9B02-D261EC8A3792}"/>
    <hyperlink ref="B1749" r:id="rId2980" display="https://www.google.com/url?q=https://szkopul.edu.pl/problemset/problem/pxbqUTPy3IuPDul9FdT2_Sth/site/&amp;sa=D&amp;ust=1605639816894000&amp;usg=AFQjCNGfu83ACNQ2LGTlCWH83drYWycvDQ" xr:uid="{17C5CE4B-CC0B-4668-94C5-3BC0E9B4AAA3}"/>
    <hyperlink ref="B1750" r:id="rId2981" display="https://www.google.com/url?q=https://szkopul.edu.pl/problemset/problem/GmAagCBetbskP0qiKlgVd-6A/site/&amp;sa=D&amp;ust=1605639816895000&amp;usg=AFQjCNFHAxF0TojDp7mtzf1IdglBNKOjLw" xr:uid="{D351D311-F675-42F0-AE04-6E406C7F3B13}"/>
    <hyperlink ref="B1751" r:id="rId2982" display="https://www.google.com/url?q=https://szkopul.edu.pl/problemset/problem/URPMk7vthz60i1J3MT3XbIIO/site/&amp;sa=D&amp;ust=1605639816895000&amp;usg=AFQjCNG_yEzxOA1BURAeMuU-0X6-vTPhqQ" xr:uid="{9F038A17-B3BA-44F9-930B-4613006CFC31}"/>
    <hyperlink ref="B1752" r:id="rId2983" display="https://www.google.com/url?q=https://oj.uz/problem/view/POI11_imp&amp;sa=D&amp;ust=1605639816896000&amp;usg=AFQjCNFeqXOHab5WxIbT6g4T3t5lY-mUmQ" xr:uid="{117FACC7-553E-4AFE-9FAA-C60561429FCE}"/>
    <hyperlink ref="F1752" r:id="rId2984" display="https://www.google.com/url?q=https://github.com/mostafa-saad/MyCompetitiveProgramming/blob/master/Olympiad/POI/official/find_editorial_sols_guidelines.txt&amp;sa=D&amp;ust=1605639816896000&amp;usg=AFQjCNH5rTR5iLFk_PJGV0M5Opj0MY9K8w" xr:uid="{B24E87EF-BEC9-4156-A663-B38B445E2DA0}"/>
    <hyperlink ref="B1753" r:id="rId2985" display="https://www.google.com/url?q=https://cses.fi/205/list/&amp;sa=D&amp;ust=1605639816896000&amp;usg=AFQjCNEr_Y9ssF6XR0cXzlP0oSUe6c4Kaw" xr:uid="{EC2A9C3E-3BB5-4DB4-8E57-A645F093B00C}"/>
    <hyperlink ref="F1753" r:id="rId2986" display="https://www.google.com/url?q=https://github.com/mostafa-saad/MyCompetitiveProgramming/tree/master/Olympiad/Baltic/official/boi2018_solutions&amp;sa=D&amp;ust=1605639816896000&amp;usg=AFQjCNEXdDE18uUctP7ErDGqL06a8PCYpw" xr:uid="{BF397BAB-2B3F-42FD-9134-95067573C626}"/>
    <hyperlink ref="B1754" r:id="rId2987" display="https://www.google.com/url?q=https://dunjudge.me/analysis/problems/932/&amp;sa=D&amp;ust=1605639816897000&amp;usg=AFQjCNHnwhEzyFi9I3alNAl1Cnnc6A7wwg" xr:uid="{8F4B3921-6235-467A-82A0-DCA0067A8084}"/>
    <hyperlink ref="B1755" r:id="rId2988" display="https://www.google.com/url?q=https://szkopul.edu.pl/problemset/problem/TE77UNYEUxsFcrRxYRPc99na/site/&amp;sa=D&amp;ust=1605639816897000&amp;usg=AFQjCNHJC57HXzEeZp-NCBSD_VuFFMW_tA" xr:uid="{E3833EEB-2B59-430E-A4B5-1E26E13872D3}"/>
    <hyperlink ref="F1755" r:id="rId2989" display="https://www.google.com/url?q=https://github.com/mostafa-saad/MyCompetitiveProgramming/blob/master/Olympiad/POI/official/find_editorial_sols_guidelines.txt&amp;sa=D&amp;ust=1605639816897000&amp;usg=AFQjCNFJ6KevUlTrj2V5XT4K7FB-0cU9Ig" xr:uid="{6DF5C183-1E01-4FF6-BDF2-18FEC06C3318}"/>
    <hyperlink ref="B1756" r:id="rId2990" display="https://www.google.com/url?q=https://dunjudge.me/analysis/problems/420/&amp;sa=D&amp;ust=1605639816898000&amp;usg=AFQjCNEBYZiLCsZV2moVFgN4sHXJODx1Bw" xr:uid="{990CFD1C-CE2A-48C0-A851-0403078698DE}"/>
    <hyperlink ref="B1757" r:id="rId2991" display="https://www.google.com/url?q=https://dunjudge.me/analysis/problems/418/&amp;sa=D&amp;ust=1605639816898000&amp;usg=AFQjCNF-5BHN2gAoTRjKF5RnNoxjPDHZ6w" xr:uid="{A4E0D607-1FCE-4DD9-B99C-F34E1C4F2168}"/>
    <hyperlink ref="B1758" r:id="rId2992" display="https://www.google.com/url?q=https://dunjudge.me/analysis/problems/682/&amp;sa=D&amp;ust=1605639816899000&amp;usg=AFQjCNGJ1D8IEdFkz6t_u6hCii5LO-jltA" xr:uid="{00322709-5AFF-4C94-BD32-6F0E9F99495F}"/>
    <hyperlink ref="B1759" r:id="rId2993" display="https://www.google.com/url?q=https://dunjudge.me/analysis/problems/931/&amp;sa=D&amp;ust=1605639816899000&amp;usg=AFQjCNFju_HcuiSURfoQgMQJ448c6kBm5g" xr:uid="{DE4F39A3-7B16-4361-8A70-79C564AC727F}"/>
    <hyperlink ref="B1760" r:id="rId2994" display="https://www.google.com/url?q=https://dunjudge.me/analysis/problems/951/&amp;sa=D&amp;ust=1605639816900000&amp;usg=AFQjCNF1E4NioSBN6Rw-EAroiZbFVhWYgA" xr:uid="{923C9C8C-A47D-42CD-BC62-2D382702915F}"/>
    <hyperlink ref="B1761" r:id="rId2995" display="https://www.google.com/url?q=https://oj.uz/problems/source/314&amp;sa=D&amp;ust=1605639816900000&amp;usg=AFQjCNF9BjrJBY2jRyeqeU1AsU2eDqB7-w" xr:uid="{81B0ECA2-9F68-4188-A082-128E5B06CE2A}"/>
    <hyperlink ref="F1761" r:id="rId2996" display="https://www.google.com/url?q=https://codeforces.com/blog/entry/58433&amp;sa=D&amp;ust=1605639816900000&amp;usg=AFQjCNHMyKeCY3eC0A0kXNNKW6IFyOmbgQ" xr:uid="{92D6A09B-1EF7-433E-8C1A-B3DC79668E55}"/>
    <hyperlink ref="B1762" r:id="rId2997" display="https://www.google.com/url?q=https://oj.uz/problem/view/POI13_spa&amp;sa=D&amp;ust=1605639816901000&amp;usg=AFQjCNGERsm4-qKsnzUMzE1el_p3wEr3-Q" xr:uid="{63EFBA22-BCF4-4660-AA1E-BB36F4774386}"/>
    <hyperlink ref="F1762" r:id="rId2998" display="https://www.google.com/url?q=https://github.com/mostafa-saad/MyCompetitiveProgramming/blob/master/Olympiad/POI/official/find_editorial_sols_guidelines.txt&amp;sa=D&amp;ust=1605639816901000&amp;usg=AFQjCNES_8NQgZYvG3JbZDauPG58iRI0Sg" xr:uid="{E3D6EB84-537B-4BA4-9974-70938FC25C3D}"/>
    <hyperlink ref="B1763" r:id="rId2999" display="https://www.google.com/url?q=https://dunjudge.me/analysis/problems/1479/&amp;sa=D&amp;ust=1605639816901000&amp;usg=AFQjCNGqxZaqwoRPj37i2mVlKgCXZlpRCA" xr:uid="{94A259FB-73D7-4832-A264-404E3F340BEA}"/>
    <hyperlink ref="B1764" r:id="rId3000" display="https://www.google.com/url?q=https://dunjudge.me/analysis/problems/16/&amp;sa=D&amp;ust=1605639816902000&amp;usg=AFQjCNFZHL3Jj2ciAkYtzGiwA5FfQc7_Fw" xr:uid="{196D01AF-C139-4FB7-8B42-31DE76D73613}"/>
    <hyperlink ref="B1765" r:id="rId3001" display="https://www.google.com/url?q=https://dunjudge.me/analysis/problems/45/&amp;sa=D&amp;ust=1605639816902000&amp;usg=AFQjCNEAhJVXMXvbjPwcDIUB6czOlNNxrA" xr:uid="{440E33FB-CCF9-47E6-8EE0-17E275344BA4}"/>
    <hyperlink ref="B1766" r:id="rId3002" display="https://www.google.com/url?q=https://dunjudge.me/analysis/problems/423/&amp;sa=D&amp;ust=1605639816904000&amp;usg=AFQjCNHFa3uQUypOT1mnZJDJ2yGE3Njktw" xr:uid="{56D718B0-FC10-4DDB-967C-4084309D0E74}"/>
    <hyperlink ref="B1767" r:id="rId3003" display="https://www.google.com/url?q=https://dunjudge.me/analysis/problems/935/&amp;sa=D&amp;ust=1605639816904000&amp;usg=AFQjCNEJrbDhNNnpjF_esOO1oTI11HdESw" xr:uid="{A8249970-7C34-4E12-AE65-4159EACF3E14}"/>
    <hyperlink ref="B1768" r:id="rId3004" display="https://www.google.com/url?q=https://dunjudge.me/analysis/problems/952/&amp;sa=D&amp;ust=1605639816905000&amp;usg=AFQjCNFXIOit3vXTFStSaK8m7jGc7vCBLw" xr:uid="{3D641C9D-8CE0-4894-8423-2B607A7943DB}"/>
    <hyperlink ref="B1769" r:id="rId3005" display="https://www.google.com/url?q=https://dunjudge.me/analysis/problems/1462/&amp;sa=D&amp;ust=1605639816905000&amp;usg=AFQjCNHwhuFsAfyGOYy35WXsy7LYRfazIQ" xr:uid="{E632D43C-0DF9-4F8F-8E6C-77D414CCB076}"/>
    <hyperlink ref="B1770" r:id="rId3006" display="https://www.google.com/url?q=https://dunjudge.me/analysis/problems/1476/&amp;sa=D&amp;ust=1605639816905000&amp;usg=AFQjCNFHHnqongNFUroX_WzymA8IkByBOw" xr:uid="{DF28D7E1-74DE-45FF-96F8-C8C341CEED59}"/>
    <hyperlink ref="B1771" r:id="rId3007" display="https://www.google.com/url?q=https://dunjudge.me/analysis/problems/592/&amp;sa=D&amp;ust=1605639816906000&amp;usg=AFQjCNGZOPd9VDVgqR4REJl2Cp_YYB-P_w" xr:uid="{F74C8808-571F-49A1-BB00-BD95B62242A1}"/>
    <hyperlink ref="B1772" r:id="rId3008" display="https://www.google.com/url?q=https://dunjudge.me/analysis/problems/679/&amp;sa=D&amp;ust=1605639816906000&amp;usg=AFQjCNFLNbWkCk0pT7xqT5yKkLfKDiMpjA" xr:uid="{67A7C1D8-62CB-457C-9BE4-49956FA32A00}"/>
    <hyperlink ref="B1773" r:id="rId3009" display="https://www.google.com/url?q=https://dunjudge.me/analysis/problems/188/&amp;sa=D&amp;ust=1605639816906000&amp;usg=AFQjCNEDpVPVI0_ErGWByDR0PdPTByFdBA" xr:uid="{59E25461-2A54-41B6-B7E3-0D76AFF87020}"/>
    <hyperlink ref="B1774" r:id="rId3010" display="https://www.google.com/url?q=https://dunjudge.me/analysis/problems/87/&amp;sa=D&amp;ust=1605639816907000&amp;usg=AFQjCNFJCmdrIeX3qu-eHksAv7heZ8OY2g" xr:uid="{82685AF8-C88F-41B9-A2F2-A37AD4671318}"/>
    <hyperlink ref="B1775" r:id="rId3011" display="https://www.google.com/url?q=https://dunjudge.me/analysis/problems/186/&amp;sa=D&amp;ust=1605639816907000&amp;usg=AFQjCNEVF8mjRfWV1RMnXi3gd2rJJfkafQ" xr:uid="{76D52C31-87B9-4106-806D-E315124E1B99}"/>
    <hyperlink ref="B1776" r:id="rId3012" display="https://www.google.com/url?q=https://dunjudge.me/analysis/problems/422/&amp;sa=D&amp;ust=1605639816908000&amp;usg=AFQjCNHJByBHYCMpe941J0_mdIU01jPypw" xr:uid="{BF4F2E7E-6505-4F24-A92E-E2B50D1B0CFE}"/>
    <hyperlink ref="B1777" r:id="rId3013" display="https://www.google.com/url?q=https://dunjudge.me/analysis/problems/676/&amp;sa=D&amp;ust=1605639816908000&amp;usg=AFQjCNGBtPJen1rtRbUI7BhNinXWp7YC2A" xr:uid="{50112962-96E9-4162-BA63-8F37F7F70095}"/>
    <hyperlink ref="B1778" r:id="rId3014" display="https://www.google.com/url?q=https://dunjudge.me/analysis/problems/1495/&amp;sa=D&amp;ust=1605639816908000&amp;usg=AFQjCNHyxCqCctscuHTTj10GLGr1x-g6Yw" xr:uid="{C92D59D0-945D-40F7-9772-73D250F9A2EF}"/>
    <hyperlink ref="B1779" r:id="rId3015" display="https://www.google.com/url?q=https://dunjudge.me/analysis/problems/88/&amp;sa=D&amp;ust=1605639816909000&amp;usg=AFQjCNHqQ8Jz_thP5A_NgEUJXSOVIiFw1A" xr:uid="{296A9492-D405-48FC-9ABC-24C2FFEC9EC9}"/>
    <hyperlink ref="B1780" r:id="rId3016" display="https://www.google.com/url?q=https://dunjudge.me/analysis/problems/680/&amp;sa=D&amp;ust=1605639816909000&amp;usg=AFQjCNFFSMy0N2HkvCEceWEz_ujNYPmB1g" xr:uid="{5E400DB3-8311-4F74-8495-3354945BBEC1}"/>
    <hyperlink ref="B1781" r:id="rId3017" display="https://www.google.com/url?q=https://dunjudge.me/analysis/problems/953/&amp;sa=D&amp;ust=1605639816910000&amp;usg=AFQjCNHXcT0_X36C-s-uXiPkjvwuCcDhqA" xr:uid="{78C52C2F-0D4F-40C5-97DF-0C9B7BAA81ED}"/>
    <hyperlink ref="B1782" r:id="rId3018" display="https://www.google.com/url?q=https://dunjudge.me/analysis/problems/933/&amp;sa=D&amp;ust=1605639816910000&amp;usg=AFQjCNFRInab4lrTtbu-lamlVR-_25ib2Q" xr:uid="{C371A8E0-12E1-454D-903A-8DDC291AB7D1}"/>
    <hyperlink ref="B1783" r:id="rId3019" display="https://www.google.com/url?q=https://dunjudge.me/analysis/problems/1477/&amp;sa=D&amp;ust=1605639816911000&amp;usg=AFQjCNE5N0DO20qcJd16egXjpl93MqUZ9A" xr:uid="{0C8A6C91-95F1-4830-B1E6-E35FD340F5B6}"/>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06408-DBAA-481F-A22D-5172FE3C85CA}">
  <sheetPr>
    <tabColor theme="7"/>
  </sheetPr>
  <dimension ref="A1:J1784"/>
  <sheetViews>
    <sheetView topLeftCell="A1715" workbookViewId="0">
      <selection activeCell="D1695" sqref="D1695"/>
    </sheetView>
  </sheetViews>
  <sheetFormatPr defaultRowHeight="13.2"/>
  <cols>
    <col min="1" max="1" width="8.88671875" style="513"/>
    <col min="2" max="2" width="20.21875" style="513" customWidth="1"/>
    <col min="3" max="3" width="34.44140625" style="513" hidden="1" customWidth="1"/>
    <col min="4" max="4" width="53.88671875" style="513" customWidth="1"/>
    <col min="5" max="16384" width="8.88671875" style="513"/>
  </cols>
  <sheetData>
    <row r="1" spans="1:10">
      <c r="A1" s="527"/>
      <c r="B1" s="526"/>
      <c r="C1" s="523"/>
      <c r="D1" s="526"/>
      <c r="E1" s="526"/>
      <c r="F1" s="526"/>
      <c r="G1" s="526"/>
      <c r="H1" s="526"/>
      <c r="I1" s="526"/>
      <c r="J1" s="526"/>
    </row>
    <row r="2" spans="1:10" ht="27" thickBot="1">
      <c r="A2" s="517"/>
      <c r="B2" s="525" t="s">
        <v>135</v>
      </c>
      <c r="C2" s="516"/>
      <c r="D2" s="524" t="s">
        <v>146</v>
      </c>
      <c r="E2" s="524" t="s">
        <v>1212</v>
      </c>
      <c r="F2" s="524" t="s">
        <v>614</v>
      </c>
      <c r="G2" s="532" t="s">
        <v>5349</v>
      </c>
      <c r="H2" s="524" t="s">
        <v>5350</v>
      </c>
      <c r="I2" s="524" t="s">
        <v>5351</v>
      </c>
      <c r="J2" s="524" t="s">
        <v>5352</v>
      </c>
    </row>
    <row r="3" spans="1:10">
      <c r="A3" s="523"/>
      <c r="B3" s="516"/>
      <c r="C3" s="516"/>
      <c r="D3" s="516"/>
      <c r="E3" s="516"/>
      <c r="F3" s="516"/>
      <c r="G3" s="516"/>
      <c r="H3" s="516"/>
      <c r="I3" s="516"/>
      <c r="J3" s="516"/>
    </row>
    <row r="4" spans="1:10" ht="13.8" thickBot="1">
      <c r="A4" s="517"/>
      <c r="B4" s="518" t="s">
        <v>13158</v>
      </c>
      <c r="C4" s="516"/>
      <c r="D4" s="514" t="s">
        <v>13157</v>
      </c>
      <c r="E4" s="515">
        <v>7.1</v>
      </c>
      <c r="F4" s="518" t="s">
        <v>614</v>
      </c>
      <c r="G4" s="515" t="s">
        <v>2957</v>
      </c>
      <c r="H4" s="514" t="s">
        <v>1251</v>
      </c>
      <c r="I4" s="522"/>
      <c r="J4" s="522">
        <v>8</v>
      </c>
    </row>
    <row r="5" spans="1:10" ht="13.8" thickBot="1">
      <c r="A5" s="517"/>
      <c r="B5" s="518" t="s">
        <v>13035</v>
      </c>
      <c r="C5" s="516"/>
      <c r="D5" s="514" t="s">
        <v>13034</v>
      </c>
      <c r="E5" s="515">
        <v>5</v>
      </c>
      <c r="F5" s="518" t="s">
        <v>614</v>
      </c>
      <c r="G5" s="515" t="s">
        <v>2957</v>
      </c>
      <c r="H5" s="514"/>
      <c r="I5" s="515"/>
      <c r="J5" s="515">
        <v>3</v>
      </c>
    </row>
    <row r="6" spans="1:10" ht="13.8" thickBot="1">
      <c r="A6" s="517"/>
      <c r="B6" s="518" t="s">
        <v>13218</v>
      </c>
      <c r="C6" s="516"/>
      <c r="D6" s="514" t="s">
        <v>13217</v>
      </c>
      <c r="E6" s="515">
        <v>6.3</v>
      </c>
      <c r="F6" s="518" t="s">
        <v>614</v>
      </c>
      <c r="G6" s="515" t="s">
        <v>2797</v>
      </c>
      <c r="H6" s="514" t="s">
        <v>1841</v>
      </c>
      <c r="I6" s="515">
        <v>1</v>
      </c>
      <c r="J6" s="515">
        <v>6</v>
      </c>
    </row>
    <row r="7" spans="1:10" ht="13.8" thickBot="1">
      <c r="A7" s="517"/>
      <c r="B7" s="518" t="s">
        <v>13800</v>
      </c>
      <c r="C7" s="516"/>
      <c r="D7" s="514" t="s">
        <v>13799</v>
      </c>
      <c r="E7" s="515">
        <v>6</v>
      </c>
      <c r="F7" s="518" t="s">
        <v>13798</v>
      </c>
      <c r="G7" s="515" t="s">
        <v>2152</v>
      </c>
      <c r="H7" s="514"/>
      <c r="I7" s="515"/>
      <c r="J7" s="515">
        <v>3</v>
      </c>
    </row>
    <row r="8" spans="1:10" ht="13.8" thickBot="1">
      <c r="A8" s="517"/>
      <c r="B8" s="518" t="s">
        <v>13187</v>
      </c>
      <c r="C8" s="516"/>
      <c r="D8" s="514" t="s">
        <v>13186</v>
      </c>
      <c r="E8" s="515">
        <v>6</v>
      </c>
      <c r="F8" s="518" t="s">
        <v>614</v>
      </c>
      <c r="G8" s="515" t="s">
        <v>2841</v>
      </c>
      <c r="H8" s="514" t="s">
        <v>1224</v>
      </c>
      <c r="I8" s="515">
        <v>1</v>
      </c>
      <c r="J8" s="515">
        <v>9</v>
      </c>
    </row>
    <row r="9" spans="1:10" ht="13.8" thickBot="1">
      <c r="A9" s="517"/>
      <c r="B9" s="518" t="s">
        <v>13048</v>
      </c>
      <c r="C9" s="516"/>
      <c r="D9" s="514" t="s">
        <v>13047</v>
      </c>
      <c r="E9" s="515">
        <v>5</v>
      </c>
      <c r="F9" s="518" t="s">
        <v>614</v>
      </c>
      <c r="G9" s="515" t="s">
        <v>2957</v>
      </c>
      <c r="H9" s="514" t="s">
        <v>1226</v>
      </c>
      <c r="I9" s="515"/>
      <c r="J9" s="515">
        <v>5</v>
      </c>
    </row>
    <row r="10" spans="1:10" ht="13.8" thickBot="1">
      <c r="A10" s="517"/>
      <c r="B10" s="518" t="s">
        <v>12424</v>
      </c>
      <c r="C10" s="516"/>
      <c r="D10" s="514" t="s">
        <v>12423</v>
      </c>
      <c r="E10" s="515">
        <v>6.5</v>
      </c>
      <c r="F10" s="518" t="s">
        <v>614</v>
      </c>
      <c r="G10" s="515" t="s">
        <v>4102</v>
      </c>
      <c r="H10" s="514"/>
      <c r="I10" s="515">
        <v>1</v>
      </c>
      <c r="J10" s="515">
        <v>4</v>
      </c>
    </row>
    <row r="11" spans="1:10" ht="13.8" thickBot="1">
      <c r="A11" s="517"/>
      <c r="B11" s="518" t="s">
        <v>13938</v>
      </c>
      <c r="C11" s="516"/>
      <c r="D11" s="514" t="s">
        <v>13937</v>
      </c>
      <c r="E11" s="515">
        <v>7.75</v>
      </c>
      <c r="F11" s="518" t="s">
        <v>614</v>
      </c>
      <c r="G11" s="515" t="s">
        <v>2032</v>
      </c>
      <c r="H11" s="514" t="s">
        <v>1224</v>
      </c>
      <c r="I11" s="515"/>
      <c r="J11" s="515">
        <v>4</v>
      </c>
    </row>
    <row r="12" spans="1:10" ht="13.8" thickBot="1">
      <c r="A12" s="517"/>
      <c r="B12" s="518" t="s">
        <v>14203</v>
      </c>
      <c r="C12" s="516"/>
      <c r="D12" s="514" t="s">
        <v>14202</v>
      </c>
      <c r="E12" s="515">
        <v>6.25</v>
      </c>
      <c r="F12" s="518" t="s">
        <v>614</v>
      </c>
      <c r="G12" s="515" t="s">
        <v>1793</v>
      </c>
      <c r="H12" s="514" t="s">
        <v>1224</v>
      </c>
      <c r="I12" s="515">
        <v>1</v>
      </c>
      <c r="J12" s="515">
        <v>12</v>
      </c>
    </row>
    <row r="13" spans="1:10" ht="13.8" thickBot="1">
      <c r="A13" s="517"/>
      <c r="B13" s="518" t="s">
        <v>11963</v>
      </c>
      <c r="C13" s="516"/>
      <c r="D13" s="514" t="s">
        <v>11962</v>
      </c>
      <c r="E13" s="515">
        <v>6.25</v>
      </c>
      <c r="F13" s="518" t="s">
        <v>614</v>
      </c>
      <c r="G13" s="515" t="s">
        <v>5196</v>
      </c>
      <c r="H13" s="514"/>
      <c r="I13" s="515"/>
      <c r="J13" s="515">
        <v>9</v>
      </c>
    </row>
    <row r="14" spans="1:10" ht="13.8" thickBot="1">
      <c r="A14" s="517"/>
      <c r="B14" s="518" t="s">
        <v>12020</v>
      </c>
      <c r="C14" s="516"/>
      <c r="D14" s="514" t="s">
        <v>12019</v>
      </c>
      <c r="E14" s="515">
        <v>6.8</v>
      </c>
      <c r="F14" s="518" t="s">
        <v>614</v>
      </c>
      <c r="G14" s="515" t="s">
        <v>5079</v>
      </c>
      <c r="H14" s="514" t="s">
        <v>1251</v>
      </c>
      <c r="I14" s="515"/>
      <c r="J14" s="515">
        <v>11</v>
      </c>
    </row>
    <row r="15" spans="1:10" ht="13.8" thickBot="1">
      <c r="A15" s="517"/>
      <c r="B15" s="518" t="s">
        <v>12860</v>
      </c>
      <c r="C15" s="516"/>
      <c r="D15" s="514" t="s">
        <v>12859</v>
      </c>
      <c r="E15" s="515">
        <v>7</v>
      </c>
      <c r="F15" s="518" t="s">
        <v>614</v>
      </c>
      <c r="G15" s="515" t="s">
        <v>3452</v>
      </c>
      <c r="H15" s="514"/>
      <c r="I15" s="515"/>
      <c r="J15" s="515">
        <v>3</v>
      </c>
    </row>
    <row r="16" spans="1:10" ht="13.8" thickBot="1">
      <c r="A16" s="517"/>
      <c r="B16" s="518" t="s">
        <v>12656</v>
      </c>
      <c r="C16" s="516"/>
      <c r="D16" s="514" t="s">
        <v>12655</v>
      </c>
      <c r="E16" s="515">
        <v>7</v>
      </c>
      <c r="F16" s="518" t="s">
        <v>614</v>
      </c>
      <c r="G16" s="515" t="s">
        <v>3734</v>
      </c>
      <c r="H16" s="514" t="s">
        <v>1229</v>
      </c>
      <c r="I16" s="515">
        <v>1</v>
      </c>
      <c r="J16" s="515">
        <v>9</v>
      </c>
    </row>
    <row r="17" spans="1:10" ht="13.8" thickBot="1">
      <c r="A17" s="517"/>
      <c r="B17" s="518" t="s">
        <v>11822</v>
      </c>
      <c r="C17" s="516"/>
      <c r="D17" s="514" t="s">
        <v>11821</v>
      </c>
      <c r="E17" s="515">
        <v>8</v>
      </c>
      <c r="F17" s="514"/>
      <c r="G17" s="515" t="s">
        <v>11525</v>
      </c>
      <c r="H17" s="514"/>
      <c r="I17" s="515"/>
      <c r="J17" s="515"/>
    </row>
    <row r="18" spans="1:10" ht="13.8" thickBot="1">
      <c r="A18" s="517"/>
      <c r="B18" s="518" t="s">
        <v>12810</v>
      </c>
      <c r="C18" s="516"/>
      <c r="D18" s="514" t="s">
        <v>12809</v>
      </c>
      <c r="E18" s="515">
        <v>7</v>
      </c>
      <c r="F18" s="518" t="s">
        <v>614</v>
      </c>
      <c r="G18" s="515" t="s">
        <v>3517</v>
      </c>
      <c r="H18" s="514" t="s">
        <v>1226</v>
      </c>
      <c r="I18" s="515">
        <v>1</v>
      </c>
      <c r="J18" s="515">
        <v>5</v>
      </c>
    </row>
    <row r="19" spans="1:10" ht="13.8" thickBot="1">
      <c r="A19" s="517"/>
      <c r="B19" s="518" t="s">
        <v>12755</v>
      </c>
      <c r="C19" s="516"/>
      <c r="D19" s="514" t="s">
        <v>12754</v>
      </c>
      <c r="E19" s="515">
        <v>6</v>
      </c>
      <c r="F19" s="518" t="s">
        <v>614</v>
      </c>
      <c r="G19" s="515" t="s">
        <v>3517</v>
      </c>
      <c r="H19" s="514" t="s">
        <v>1226</v>
      </c>
      <c r="I19" s="515"/>
      <c r="J19" s="515">
        <v>13</v>
      </c>
    </row>
    <row r="20" spans="1:10" ht="13.8" thickBot="1">
      <c r="A20" s="517"/>
      <c r="B20" s="518" t="s">
        <v>14287</v>
      </c>
      <c r="C20" s="516"/>
      <c r="D20" s="514" t="s">
        <v>14286</v>
      </c>
      <c r="E20" s="515">
        <v>7.5</v>
      </c>
      <c r="F20" s="514"/>
      <c r="G20" s="515" t="s">
        <v>1793</v>
      </c>
      <c r="H20" s="514"/>
      <c r="I20" s="515">
        <v>1</v>
      </c>
      <c r="J20" s="515">
        <v>2</v>
      </c>
    </row>
    <row r="21" spans="1:10" ht="13.8" thickBot="1">
      <c r="A21" s="517"/>
      <c r="B21" s="518" t="s">
        <v>14294</v>
      </c>
      <c r="C21" s="516"/>
      <c r="D21" s="514" t="s">
        <v>14293</v>
      </c>
      <c r="E21" s="515">
        <v>7.75</v>
      </c>
      <c r="F21" s="518" t="s">
        <v>614</v>
      </c>
      <c r="G21" s="515" t="s">
        <v>1793</v>
      </c>
      <c r="H21" s="514"/>
      <c r="I21" s="515">
        <v>2</v>
      </c>
      <c r="J21" s="515">
        <v>4</v>
      </c>
    </row>
    <row r="22" spans="1:10" ht="13.8" thickBot="1">
      <c r="A22" s="517"/>
      <c r="B22" s="518" t="s">
        <v>13238</v>
      </c>
      <c r="C22" s="516"/>
      <c r="D22" s="514" t="s">
        <v>13237</v>
      </c>
      <c r="E22" s="515">
        <v>7</v>
      </c>
      <c r="F22" s="518" t="s">
        <v>614</v>
      </c>
      <c r="G22" s="515" t="s">
        <v>2779</v>
      </c>
      <c r="H22" s="514" t="s">
        <v>1224</v>
      </c>
      <c r="I22" s="515">
        <v>2</v>
      </c>
      <c r="J22" s="515">
        <v>5</v>
      </c>
    </row>
    <row r="23" spans="1:10" ht="13.8" thickBot="1">
      <c r="A23" s="517"/>
      <c r="B23" s="518" t="s">
        <v>11820</v>
      </c>
      <c r="C23" s="516"/>
      <c r="D23" s="514" t="s">
        <v>11652</v>
      </c>
      <c r="E23" s="529"/>
      <c r="F23" s="514"/>
      <c r="G23" s="515" t="s">
        <v>11525</v>
      </c>
      <c r="H23" s="514"/>
      <c r="I23" s="515"/>
      <c r="J23" s="515"/>
    </row>
    <row r="24" spans="1:10" ht="13.8" thickBot="1">
      <c r="A24" s="517"/>
      <c r="B24" s="518" t="s">
        <v>12460</v>
      </c>
      <c r="C24" s="516"/>
      <c r="D24" s="514" t="s">
        <v>1537</v>
      </c>
      <c r="E24" s="515">
        <v>7.75</v>
      </c>
      <c r="F24" s="518" t="s">
        <v>614</v>
      </c>
      <c r="G24" s="515" t="s">
        <v>4067</v>
      </c>
      <c r="H24" s="514"/>
      <c r="I24" s="515">
        <v>1</v>
      </c>
      <c r="J24" s="515">
        <v>3</v>
      </c>
    </row>
    <row r="25" spans="1:10" ht="13.8" thickBot="1">
      <c r="A25" s="517"/>
      <c r="B25" s="518" t="s">
        <v>12022</v>
      </c>
      <c r="C25" s="516"/>
      <c r="D25" s="514" t="s">
        <v>12021</v>
      </c>
      <c r="E25" s="515">
        <v>7.1</v>
      </c>
      <c r="F25" s="518" t="s">
        <v>614</v>
      </c>
      <c r="G25" s="515" t="s">
        <v>5079</v>
      </c>
      <c r="H25" s="514"/>
      <c r="I25" s="515">
        <v>2</v>
      </c>
      <c r="J25" s="515">
        <v>5</v>
      </c>
    </row>
    <row r="26" spans="1:10" ht="13.8" thickBot="1">
      <c r="A26" s="517"/>
      <c r="B26" s="518" t="s">
        <v>12175</v>
      </c>
      <c r="C26" s="516"/>
      <c r="D26" s="514" t="s">
        <v>12174</v>
      </c>
      <c r="E26" s="515">
        <v>7.75</v>
      </c>
      <c r="F26" s="518" t="s">
        <v>614</v>
      </c>
      <c r="G26" s="515" t="s">
        <v>4865</v>
      </c>
      <c r="H26" s="514"/>
      <c r="I26" s="515"/>
      <c r="J26" s="515">
        <v>3</v>
      </c>
    </row>
    <row r="27" spans="1:10" ht="13.8" thickBot="1">
      <c r="A27" s="517"/>
      <c r="B27" s="518" t="s">
        <v>11965</v>
      </c>
      <c r="C27" s="516"/>
      <c r="D27" s="514" t="s">
        <v>11964</v>
      </c>
      <c r="E27" s="515">
        <v>6.25</v>
      </c>
      <c r="F27" s="518" t="s">
        <v>614</v>
      </c>
      <c r="G27" s="515" t="s">
        <v>5196</v>
      </c>
      <c r="H27" s="514"/>
      <c r="I27" s="522">
        <v>1</v>
      </c>
      <c r="J27" s="522">
        <v>13</v>
      </c>
    </row>
    <row r="28" spans="1:10" ht="13.8" thickBot="1">
      <c r="A28" s="517"/>
      <c r="B28" s="518" t="s">
        <v>13923</v>
      </c>
      <c r="C28" s="516"/>
      <c r="D28" s="514" t="s">
        <v>13922</v>
      </c>
      <c r="E28" s="515">
        <v>6.75</v>
      </c>
      <c r="F28" s="518" t="s">
        <v>614</v>
      </c>
      <c r="G28" s="515" t="s">
        <v>2032</v>
      </c>
      <c r="H28" s="514" t="s">
        <v>2374</v>
      </c>
      <c r="I28" s="522">
        <v>1</v>
      </c>
      <c r="J28" s="522">
        <v>10</v>
      </c>
    </row>
    <row r="29" spans="1:10" ht="13.8" thickBot="1">
      <c r="A29" s="517"/>
      <c r="B29" s="518" t="s">
        <v>13128</v>
      </c>
      <c r="C29" s="516"/>
      <c r="D29" s="514" t="s">
        <v>13127</v>
      </c>
      <c r="E29" s="515">
        <v>6.5</v>
      </c>
      <c r="F29" s="518" t="s">
        <v>614</v>
      </c>
      <c r="G29" s="515" t="s">
        <v>2957</v>
      </c>
      <c r="H29" s="514"/>
      <c r="I29" s="522"/>
      <c r="J29" s="522">
        <v>8</v>
      </c>
    </row>
    <row r="30" spans="1:10" ht="13.8" thickBot="1">
      <c r="A30" s="517"/>
      <c r="B30" s="518" t="s">
        <v>12577</v>
      </c>
      <c r="C30" s="516"/>
      <c r="D30" s="514" t="s">
        <v>12576</v>
      </c>
      <c r="E30" s="515">
        <v>6.1</v>
      </c>
      <c r="F30" s="518" t="s">
        <v>614</v>
      </c>
      <c r="G30" s="515" t="s">
        <v>3807</v>
      </c>
      <c r="H30" s="514" t="s">
        <v>1841</v>
      </c>
      <c r="I30" s="522">
        <v>1</v>
      </c>
      <c r="J30" s="522">
        <v>16</v>
      </c>
    </row>
    <row r="31" spans="1:10" ht="13.8" thickBot="1">
      <c r="A31" s="517"/>
      <c r="B31" s="518" t="s">
        <v>13246</v>
      </c>
      <c r="C31" s="516"/>
      <c r="D31" s="514" t="s">
        <v>13245</v>
      </c>
      <c r="E31" s="515">
        <v>7.1</v>
      </c>
      <c r="F31" s="518" t="s">
        <v>614</v>
      </c>
      <c r="G31" s="515" t="s">
        <v>2733</v>
      </c>
      <c r="H31" s="514" t="s">
        <v>1226</v>
      </c>
      <c r="I31" s="515">
        <v>1</v>
      </c>
      <c r="J31" s="515">
        <v>6</v>
      </c>
    </row>
    <row r="32" spans="1:10" ht="13.8" thickBot="1">
      <c r="A32" s="517"/>
      <c r="B32" s="518" t="s">
        <v>13563</v>
      </c>
      <c r="C32" s="516"/>
      <c r="D32" s="514" t="s">
        <v>13562</v>
      </c>
      <c r="E32" s="515">
        <v>7.5</v>
      </c>
      <c r="F32" s="518" t="s">
        <v>614</v>
      </c>
      <c r="G32" s="515" t="s">
        <v>2523</v>
      </c>
      <c r="H32" s="514" t="s">
        <v>1229</v>
      </c>
      <c r="I32" s="515"/>
      <c r="J32" s="515">
        <v>9</v>
      </c>
    </row>
    <row r="33" spans="1:10" ht="13.8" thickBot="1">
      <c r="A33" s="517"/>
      <c r="B33" s="518" t="s">
        <v>14253</v>
      </c>
      <c r="C33" s="516"/>
      <c r="D33" s="514" t="s">
        <v>14252</v>
      </c>
      <c r="E33" s="515">
        <v>6.75</v>
      </c>
      <c r="F33" s="518" t="s">
        <v>614</v>
      </c>
      <c r="G33" s="515" t="s">
        <v>1793</v>
      </c>
      <c r="H33" s="514" t="s">
        <v>1226</v>
      </c>
      <c r="I33" s="515"/>
      <c r="J33" s="515">
        <v>11</v>
      </c>
    </row>
    <row r="34" spans="1:10" ht="13.8" thickBot="1">
      <c r="A34" s="517"/>
      <c r="B34" s="518" t="s">
        <v>13830</v>
      </c>
      <c r="C34" s="516"/>
      <c r="D34" s="514" t="s">
        <v>13829</v>
      </c>
      <c r="E34" s="515">
        <v>7.5</v>
      </c>
      <c r="F34" s="518" t="s">
        <v>614</v>
      </c>
      <c r="G34" s="515" t="s">
        <v>2152</v>
      </c>
      <c r="H34" s="514"/>
      <c r="I34" s="515">
        <v>1</v>
      </c>
      <c r="J34" s="515">
        <v>2</v>
      </c>
    </row>
    <row r="35" spans="1:10" ht="13.8" thickBot="1">
      <c r="A35" s="517"/>
      <c r="B35" s="518" t="s">
        <v>12485</v>
      </c>
      <c r="C35" s="516"/>
      <c r="D35" s="519" t="s">
        <v>1514</v>
      </c>
      <c r="E35" s="515">
        <v>6.7</v>
      </c>
      <c r="F35" s="518" t="s">
        <v>614</v>
      </c>
      <c r="G35" s="515" t="s">
        <v>3932</v>
      </c>
      <c r="H35" s="514" t="s">
        <v>1251</v>
      </c>
      <c r="I35" s="515"/>
      <c r="J35" s="515">
        <v>11</v>
      </c>
    </row>
    <row r="36" spans="1:10" ht="13.8" thickBot="1">
      <c r="A36" s="517"/>
      <c r="B36" s="518" t="s">
        <v>13725</v>
      </c>
      <c r="C36" s="516"/>
      <c r="D36" s="514" t="s">
        <v>13724</v>
      </c>
      <c r="E36" s="515">
        <v>7.1</v>
      </c>
      <c r="F36" s="518" t="s">
        <v>614</v>
      </c>
      <c r="G36" s="515" t="s">
        <v>2289</v>
      </c>
      <c r="H36" s="514" t="s">
        <v>1251</v>
      </c>
      <c r="I36" s="515">
        <v>1</v>
      </c>
      <c r="J36" s="515">
        <v>6</v>
      </c>
    </row>
    <row r="37" spans="1:10" ht="13.8" thickBot="1">
      <c r="A37" s="517"/>
      <c r="B37" s="518" t="s">
        <v>12864</v>
      </c>
      <c r="C37" s="516"/>
      <c r="D37" s="514" t="s">
        <v>12863</v>
      </c>
      <c r="E37" s="515">
        <v>7.75</v>
      </c>
      <c r="F37" s="518" t="s">
        <v>614</v>
      </c>
      <c r="G37" s="515" t="s">
        <v>3452</v>
      </c>
      <c r="H37" s="514" t="s">
        <v>1229</v>
      </c>
      <c r="I37" s="515">
        <v>3</v>
      </c>
      <c r="J37" s="515">
        <v>7</v>
      </c>
    </row>
    <row r="38" spans="1:10" ht="13.8" thickBot="1">
      <c r="A38" s="517"/>
      <c r="B38" s="518" t="s">
        <v>12402</v>
      </c>
      <c r="C38" s="516"/>
      <c r="D38" s="514" t="s">
        <v>12401</v>
      </c>
      <c r="E38" s="515">
        <v>7.5</v>
      </c>
      <c r="F38" s="518" t="s">
        <v>614</v>
      </c>
      <c r="G38" s="515" t="s">
        <v>4140</v>
      </c>
      <c r="H38" s="514" t="s">
        <v>1251</v>
      </c>
      <c r="I38" s="522">
        <v>3</v>
      </c>
      <c r="J38" s="522">
        <v>10</v>
      </c>
    </row>
    <row r="39" spans="1:10" ht="13.8" thickBot="1">
      <c r="A39" s="517"/>
      <c r="B39" s="518" t="s">
        <v>13940</v>
      </c>
      <c r="C39" s="516"/>
      <c r="D39" s="519" t="s">
        <v>13939</v>
      </c>
      <c r="E39" s="515">
        <v>8.25</v>
      </c>
      <c r="F39" s="518" t="s">
        <v>614</v>
      </c>
      <c r="G39" s="515" t="s">
        <v>2032</v>
      </c>
      <c r="H39" s="514" t="s">
        <v>1229</v>
      </c>
      <c r="I39" s="515">
        <v>4</v>
      </c>
      <c r="J39" s="515">
        <v>7</v>
      </c>
    </row>
    <row r="40" spans="1:10" ht="13.8" thickBot="1">
      <c r="A40" s="517"/>
      <c r="B40" s="518" t="s">
        <v>11931</v>
      </c>
      <c r="C40" s="516"/>
      <c r="D40" s="519" t="s">
        <v>11930</v>
      </c>
      <c r="E40" s="515">
        <v>7</v>
      </c>
      <c r="F40" s="518" t="s">
        <v>614</v>
      </c>
      <c r="G40" s="515" t="s">
        <v>5226</v>
      </c>
      <c r="H40" s="514" t="s">
        <v>1226</v>
      </c>
      <c r="I40" s="515"/>
      <c r="J40" s="515">
        <v>5</v>
      </c>
    </row>
    <row r="41" spans="1:10" ht="13.8" thickBot="1">
      <c r="A41" s="517"/>
      <c r="B41" s="518" t="s">
        <v>12341</v>
      </c>
      <c r="C41" s="516"/>
      <c r="D41" s="514" t="s">
        <v>12340</v>
      </c>
      <c r="E41" s="515">
        <v>6.25</v>
      </c>
      <c r="F41" s="518" t="s">
        <v>614</v>
      </c>
      <c r="G41" s="515" t="s">
        <v>4214</v>
      </c>
      <c r="H41" s="514" t="s">
        <v>1226</v>
      </c>
      <c r="I41" s="515"/>
      <c r="J41" s="515">
        <v>5</v>
      </c>
    </row>
    <row r="42" spans="1:10" ht="13.8" thickBot="1">
      <c r="A42" s="517"/>
      <c r="B42" s="518" t="s">
        <v>13685</v>
      </c>
      <c r="C42" s="516"/>
      <c r="D42" s="514" t="s">
        <v>1732</v>
      </c>
      <c r="E42" s="515">
        <v>6.5</v>
      </c>
      <c r="F42" s="518" t="s">
        <v>614</v>
      </c>
      <c r="G42" s="515" t="s">
        <v>2289</v>
      </c>
      <c r="H42" s="514"/>
      <c r="I42" s="515">
        <v>1</v>
      </c>
      <c r="J42" s="515">
        <v>3</v>
      </c>
    </row>
    <row r="43" spans="1:10" ht="13.8" thickBot="1">
      <c r="A43" s="517"/>
      <c r="B43" s="518" t="s">
        <v>13059</v>
      </c>
      <c r="C43" s="516"/>
      <c r="D43" s="514" t="s">
        <v>13058</v>
      </c>
      <c r="E43" s="515">
        <v>5.5</v>
      </c>
      <c r="F43" s="518" t="s">
        <v>614</v>
      </c>
      <c r="G43" s="515" t="s">
        <v>2957</v>
      </c>
      <c r="H43" s="514"/>
      <c r="I43" s="515"/>
      <c r="J43" s="515">
        <v>2</v>
      </c>
    </row>
    <row r="44" spans="1:10" ht="13.8" thickBot="1">
      <c r="A44" s="517"/>
      <c r="B44" s="518" t="s">
        <v>11819</v>
      </c>
      <c r="C44" s="516"/>
      <c r="D44" s="514" t="s">
        <v>11533</v>
      </c>
      <c r="E44" s="515"/>
      <c r="F44" s="514"/>
      <c r="G44" s="515" t="s">
        <v>11525</v>
      </c>
      <c r="H44" s="514"/>
      <c r="I44" s="515"/>
      <c r="J44" s="515"/>
    </row>
    <row r="45" spans="1:10" ht="13.8" thickBot="1">
      <c r="A45" s="517"/>
      <c r="B45" s="518" t="s">
        <v>11818</v>
      </c>
      <c r="C45" s="516"/>
      <c r="D45" s="514" t="s">
        <v>11533</v>
      </c>
      <c r="E45" s="515"/>
      <c r="F45" s="514"/>
      <c r="G45" s="515" t="s">
        <v>11525</v>
      </c>
      <c r="H45" s="514"/>
      <c r="I45" s="515"/>
      <c r="J45" s="515"/>
    </row>
    <row r="46" spans="1:10" ht="13.8" thickBot="1">
      <c r="A46" s="517"/>
      <c r="B46" s="518" t="s">
        <v>11817</v>
      </c>
      <c r="C46" s="516"/>
      <c r="D46" s="514" t="s">
        <v>11533</v>
      </c>
      <c r="E46" s="515"/>
      <c r="F46" s="514"/>
      <c r="G46" s="515" t="s">
        <v>11525</v>
      </c>
      <c r="H46" s="514"/>
      <c r="I46" s="515"/>
      <c r="J46" s="515"/>
    </row>
    <row r="47" spans="1:10" ht="13.8" thickBot="1">
      <c r="A47" s="517"/>
      <c r="B47" s="518" t="s">
        <v>11816</v>
      </c>
      <c r="C47" s="516"/>
      <c r="D47" s="514" t="s">
        <v>11533</v>
      </c>
      <c r="E47" s="515"/>
      <c r="F47" s="514"/>
      <c r="G47" s="515" t="s">
        <v>11525</v>
      </c>
      <c r="H47" s="514"/>
      <c r="I47" s="515"/>
      <c r="J47" s="515"/>
    </row>
    <row r="48" spans="1:10" ht="13.8" thickBot="1">
      <c r="A48" s="517"/>
      <c r="B48" s="518" t="s">
        <v>11815</v>
      </c>
      <c r="C48" s="516"/>
      <c r="D48" s="514" t="s">
        <v>11533</v>
      </c>
      <c r="E48" s="515"/>
      <c r="F48" s="514"/>
      <c r="G48" s="515" t="s">
        <v>11525</v>
      </c>
      <c r="H48" s="514"/>
      <c r="I48" s="515"/>
      <c r="J48" s="515"/>
    </row>
    <row r="49" spans="1:10" ht="13.8" thickBot="1">
      <c r="A49" s="517"/>
      <c r="B49" s="518" t="s">
        <v>13275</v>
      </c>
      <c r="C49" s="516"/>
      <c r="D49" s="514" t="s">
        <v>1300</v>
      </c>
      <c r="E49" s="515">
        <v>4</v>
      </c>
      <c r="F49" s="518" t="s">
        <v>2223</v>
      </c>
      <c r="G49" s="515" t="s">
        <v>2523</v>
      </c>
      <c r="H49" s="514" t="s">
        <v>1224</v>
      </c>
      <c r="I49" s="515"/>
      <c r="J49" s="515">
        <v>1</v>
      </c>
    </row>
    <row r="50" spans="1:10" ht="13.8" thickBot="1">
      <c r="A50" s="517"/>
      <c r="B50" s="518" t="s">
        <v>11814</v>
      </c>
      <c r="C50" s="516"/>
      <c r="D50" s="514" t="s">
        <v>11533</v>
      </c>
      <c r="E50" s="515"/>
      <c r="F50" s="514"/>
      <c r="G50" s="515" t="s">
        <v>11525</v>
      </c>
      <c r="H50" s="514"/>
      <c r="I50" s="515"/>
      <c r="J50" s="515"/>
    </row>
    <row r="51" spans="1:10" ht="13.8" thickBot="1">
      <c r="A51" s="517"/>
      <c r="B51" s="518" t="s">
        <v>11813</v>
      </c>
      <c r="C51" s="516"/>
      <c r="D51" s="514" t="s">
        <v>11533</v>
      </c>
      <c r="E51" s="515"/>
      <c r="F51" s="514"/>
      <c r="G51" s="515" t="s">
        <v>11525</v>
      </c>
      <c r="H51" s="514"/>
      <c r="I51" s="515"/>
      <c r="J51" s="515"/>
    </row>
    <row r="52" spans="1:10" ht="13.8" thickBot="1">
      <c r="A52" s="517"/>
      <c r="B52" s="518" t="s">
        <v>11812</v>
      </c>
      <c r="C52" s="516"/>
      <c r="D52" s="514" t="s">
        <v>11533</v>
      </c>
      <c r="E52" s="515"/>
      <c r="F52" s="514"/>
      <c r="G52" s="515" t="s">
        <v>11525</v>
      </c>
      <c r="H52" s="514"/>
      <c r="I52" s="515"/>
      <c r="J52" s="515"/>
    </row>
    <row r="53" spans="1:10" ht="13.8" thickBot="1">
      <c r="A53" s="517"/>
      <c r="B53" s="518" t="s">
        <v>13463</v>
      </c>
      <c r="C53" s="516"/>
      <c r="D53" s="514" t="s">
        <v>13462</v>
      </c>
      <c r="E53" s="515">
        <v>6.25</v>
      </c>
      <c r="F53" s="518" t="s">
        <v>614</v>
      </c>
      <c r="G53" s="515" t="s">
        <v>2523</v>
      </c>
      <c r="H53" s="514" t="s">
        <v>1251</v>
      </c>
      <c r="I53" s="515">
        <v>1</v>
      </c>
      <c r="J53" s="515">
        <v>3</v>
      </c>
    </row>
    <row r="54" spans="1:10" ht="13.8" thickBot="1">
      <c r="A54" s="517"/>
      <c r="B54" s="518" t="s">
        <v>11811</v>
      </c>
      <c r="C54" s="516"/>
      <c r="D54" s="514" t="s">
        <v>11533</v>
      </c>
      <c r="E54" s="515"/>
      <c r="F54" s="514"/>
      <c r="G54" s="515" t="s">
        <v>11525</v>
      </c>
      <c r="H54" s="514"/>
      <c r="I54" s="515"/>
      <c r="J54" s="515"/>
    </row>
    <row r="55" spans="1:10" ht="13.8" thickBot="1">
      <c r="A55" s="517"/>
      <c r="B55" s="518" t="s">
        <v>12956</v>
      </c>
      <c r="C55" s="516"/>
      <c r="D55" s="514" t="s">
        <v>12955</v>
      </c>
      <c r="E55" s="515">
        <v>7</v>
      </c>
      <c r="F55" s="518" t="s">
        <v>614</v>
      </c>
      <c r="G55" s="515" t="s">
        <v>3161</v>
      </c>
      <c r="H55" s="514" t="s">
        <v>1224</v>
      </c>
      <c r="I55" s="515"/>
      <c r="J55" s="515">
        <v>1</v>
      </c>
    </row>
    <row r="56" spans="1:10" ht="13.8" thickBot="1">
      <c r="A56" s="517"/>
      <c r="B56" s="518" t="s">
        <v>14274</v>
      </c>
      <c r="C56" s="516"/>
      <c r="D56" s="514" t="s">
        <v>1792</v>
      </c>
      <c r="E56" s="515">
        <v>7</v>
      </c>
      <c r="F56" s="518" t="s">
        <v>1854</v>
      </c>
      <c r="G56" s="515" t="s">
        <v>1793</v>
      </c>
      <c r="H56" s="514"/>
      <c r="I56" s="515"/>
      <c r="J56" s="515">
        <v>5</v>
      </c>
    </row>
    <row r="57" spans="1:10" ht="13.8" thickBot="1">
      <c r="A57" s="517"/>
      <c r="B57" s="518" t="s">
        <v>12343</v>
      </c>
      <c r="C57" s="516"/>
      <c r="D57" s="519" t="s">
        <v>12342</v>
      </c>
      <c r="E57" s="515">
        <v>6.3</v>
      </c>
      <c r="F57" s="518" t="s">
        <v>614</v>
      </c>
      <c r="G57" s="515" t="s">
        <v>4214</v>
      </c>
      <c r="H57" s="514" t="s">
        <v>1226</v>
      </c>
      <c r="I57" s="515">
        <v>1</v>
      </c>
      <c r="J57" s="515">
        <v>6</v>
      </c>
    </row>
    <row r="58" spans="1:10" ht="13.8" thickBot="1">
      <c r="A58" s="517"/>
      <c r="B58" s="518" t="s">
        <v>13078</v>
      </c>
      <c r="C58" s="516"/>
      <c r="D58" s="519" t="s">
        <v>13077</v>
      </c>
      <c r="E58" s="515">
        <v>5.5</v>
      </c>
      <c r="F58" s="518" t="s">
        <v>614</v>
      </c>
      <c r="G58" s="515" t="s">
        <v>2957</v>
      </c>
      <c r="H58" s="514" t="s">
        <v>1226</v>
      </c>
      <c r="I58" s="515"/>
      <c r="J58" s="515">
        <v>3</v>
      </c>
    </row>
    <row r="59" spans="1:10" ht="13.8" thickBot="1">
      <c r="A59" s="517"/>
      <c r="B59" s="518" t="s">
        <v>12453</v>
      </c>
      <c r="C59" s="516"/>
      <c r="D59" s="519" t="s">
        <v>12452</v>
      </c>
      <c r="E59" s="515">
        <v>7.25</v>
      </c>
      <c r="F59" s="518" t="s">
        <v>614</v>
      </c>
      <c r="G59" s="515" t="s">
        <v>4067</v>
      </c>
      <c r="H59" s="514" t="s">
        <v>1229</v>
      </c>
      <c r="I59" s="515"/>
      <c r="J59" s="515">
        <v>3</v>
      </c>
    </row>
    <row r="60" spans="1:10" ht="13.8" thickBot="1">
      <c r="A60" s="517"/>
      <c r="B60" s="518" t="s">
        <v>13680</v>
      </c>
      <c r="C60" s="516"/>
      <c r="D60" s="514" t="s">
        <v>13679</v>
      </c>
      <c r="E60" s="515">
        <v>6.4</v>
      </c>
      <c r="F60" s="518" t="s">
        <v>614</v>
      </c>
      <c r="G60" s="515" t="s">
        <v>2289</v>
      </c>
      <c r="H60" s="514" t="s">
        <v>1251</v>
      </c>
      <c r="I60" s="515">
        <v>2</v>
      </c>
      <c r="J60" s="515">
        <v>18</v>
      </c>
    </row>
    <row r="61" spans="1:10" ht="13.8" thickBot="1">
      <c r="A61" s="517"/>
      <c r="B61" s="518" t="s">
        <v>11959</v>
      </c>
      <c r="C61" s="516"/>
      <c r="D61" s="514" t="s">
        <v>11958</v>
      </c>
      <c r="E61" s="515">
        <v>6</v>
      </c>
      <c r="F61" s="518" t="s">
        <v>614</v>
      </c>
      <c r="G61" s="515" t="s">
        <v>5196</v>
      </c>
      <c r="H61" s="514"/>
      <c r="I61" s="522"/>
      <c r="J61" s="515">
        <v>1</v>
      </c>
    </row>
    <row r="62" spans="1:10" ht="13.8" thickBot="1">
      <c r="A62" s="517"/>
      <c r="B62" s="518" t="s">
        <v>13700</v>
      </c>
      <c r="C62" s="516"/>
      <c r="D62" s="514" t="s">
        <v>1732</v>
      </c>
      <c r="E62" s="515">
        <v>6.75</v>
      </c>
      <c r="F62" s="518" t="s">
        <v>614</v>
      </c>
      <c r="G62" s="515" t="s">
        <v>2289</v>
      </c>
      <c r="H62" s="514" t="s">
        <v>1224</v>
      </c>
      <c r="I62" s="515">
        <v>1</v>
      </c>
      <c r="J62" s="515">
        <v>5</v>
      </c>
    </row>
    <row r="63" spans="1:10" ht="13.8" thickBot="1">
      <c r="A63" s="517"/>
      <c r="B63" s="518" t="s">
        <v>11810</v>
      </c>
      <c r="C63" s="516"/>
      <c r="D63" s="514" t="s">
        <v>11533</v>
      </c>
      <c r="E63" s="515"/>
      <c r="F63" s="514"/>
      <c r="G63" s="515" t="s">
        <v>11525</v>
      </c>
      <c r="H63" s="514"/>
      <c r="I63" s="515"/>
      <c r="J63" s="515"/>
    </row>
    <row r="64" spans="1:10" ht="13.8" thickBot="1">
      <c r="A64" s="517"/>
      <c r="B64" s="518" t="s">
        <v>12420</v>
      </c>
      <c r="C64" s="516"/>
      <c r="D64" s="514" t="s">
        <v>12419</v>
      </c>
      <c r="E64" s="515">
        <v>6.25</v>
      </c>
      <c r="F64" s="518" t="s">
        <v>614</v>
      </c>
      <c r="G64" s="515" t="s">
        <v>4102</v>
      </c>
      <c r="H64" s="514" t="s">
        <v>1226</v>
      </c>
      <c r="I64" s="515">
        <v>1</v>
      </c>
      <c r="J64" s="515">
        <v>6</v>
      </c>
    </row>
    <row r="65" spans="1:10" ht="13.8" thickBot="1">
      <c r="A65" s="517"/>
      <c r="B65" s="518" t="s">
        <v>12598</v>
      </c>
      <c r="C65" s="516"/>
      <c r="D65" s="514" t="s">
        <v>12597</v>
      </c>
      <c r="E65" s="515">
        <v>7</v>
      </c>
      <c r="F65" s="518" t="s">
        <v>614</v>
      </c>
      <c r="G65" s="515" t="s">
        <v>3807</v>
      </c>
      <c r="H65" s="514" t="s">
        <v>1229</v>
      </c>
      <c r="I65" s="515"/>
      <c r="J65" s="515">
        <v>9</v>
      </c>
    </row>
    <row r="66" spans="1:10" ht="13.8" thickBot="1">
      <c r="A66" s="517"/>
      <c r="B66" s="518" t="s">
        <v>13712</v>
      </c>
      <c r="C66" s="516"/>
      <c r="D66" s="514" t="s">
        <v>13711</v>
      </c>
      <c r="E66" s="515">
        <v>7</v>
      </c>
      <c r="F66" s="518" t="s">
        <v>13710</v>
      </c>
      <c r="G66" s="515" t="s">
        <v>2289</v>
      </c>
      <c r="H66" s="514"/>
      <c r="I66" s="515"/>
      <c r="J66" s="515"/>
    </row>
    <row r="67" spans="1:10" ht="13.8" thickBot="1">
      <c r="A67" s="517"/>
      <c r="B67" s="518" t="s">
        <v>12827</v>
      </c>
      <c r="C67" s="516"/>
      <c r="D67" s="514" t="s">
        <v>12826</v>
      </c>
      <c r="E67" s="515">
        <v>7.5</v>
      </c>
      <c r="F67" s="518" t="s">
        <v>2223</v>
      </c>
      <c r="G67" s="515" t="s">
        <v>3517</v>
      </c>
      <c r="H67" s="514"/>
      <c r="I67" s="522"/>
      <c r="J67" s="522">
        <v>1</v>
      </c>
    </row>
    <row r="68" spans="1:10" ht="13.8" thickBot="1">
      <c r="A68" s="517"/>
      <c r="B68" s="518" t="s">
        <v>12173</v>
      </c>
      <c r="C68" s="516"/>
      <c r="D68" s="514" t="s">
        <v>12172</v>
      </c>
      <c r="E68" s="515">
        <v>6.5</v>
      </c>
      <c r="F68" s="518" t="s">
        <v>2223</v>
      </c>
      <c r="G68" s="515" t="s">
        <v>4865</v>
      </c>
      <c r="H68" s="514"/>
      <c r="I68" s="515"/>
      <c r="J68" s="515"/>
    </row>
    <row r="69" spans="1:10" ht="13.8" thickBot="1">
      <c r="A69" s="517"/>
      <c r="B69" s="518" t="s">
        <v>13719</v>
      </c>
      <c r="C69" s="516"/>
      <c r="D69" s="514" t="s">
        <v>13718</v>
      </c>
      <c r="E69" s="515">
        <v>7</v>
      </c>
      <c r="F69" s="518" t="s">
        <v>2223</v>
      </c>
      <c r="G69" s="515" t="s">
        <v>2289</v>
      </c>
      <c r="H69" s="514"/>
      <c r="I69" s="515"/>
      <c r="J69" s="515">
        <v>2</v>
      </c>
    </row>
    <row r="70" spans="1:10" ht="13.8" thickBot="1">
      <c r="A70" s="517"/>
      <c r="B70" s="518" t="s">
        <v>14292</v>
      </c>
      <c r="C70" s="516"/>
      <c r="D70" s="514" t="s">
        <v>1802</v>
      </c>
      <c r="E70" s="515">
        <v>7.75</v>
      </c>
      <c r="F70" s="518" t="s">
        <v>2223</v>
      </c>
      <c r="G70" s="515" t="s">
        <v>1793</v>
      </c>
      <c r="H70" s="514"/>
      <c r="I70" s="515"/>
      <c r="J70" s="515"/>
    </row>
    <row r="71" spans="1:10" ht="13.8" thickBot="1">
      <c r="A71" s="517"/>
      <c r="B71" s="518" t="s">
        <v>11809</v>
      </c>
      <c r="C71" s="516"/>
      <c r="D71" s="514" t="s">
        <v>11533</v>
      </c>
      <c r="E71" s="515">
        <v>9</v>
      </c>
      <c r="F71" s="514"/>
      <c r="G71" s="515" t="s">
        <v>11525</v>
      </c>
      <c r="H71" s="514"/>
      <c r="I71" s="515"/>
      <c r="J71" s="515"/>
    </row>
    <row r="72" spans="1:10" ht="13.8" thickBot="1">
      <c r="A72" s="517"/>
      <c r="B72" s="518" t="s">
        <v>12126</v>
      </c>
      <c r="C72" s="516"/>
      <c r="D72" s="514" t="s">
        <v>12125</v>
      </c>
      <c r="E72" s="515">
        <v>5.5</v>
      </c>
      <c r="F72" s="514"/>
      <c r="G72" s="515" t="s">
        <v>4970</v>
      </c>
      <c r="H72" s="514"/>
      <c r="I72" s="522">
        <v>1</v>
      </c>
      <c r="J72" s="522">
        <v>2</v>
      </c>
    </row>
    <row r="73" spans="1:10" ht="13.8" thickBot="1">
      <c r="A73" s="517"/>
      <c r="B73" s="518" t="s">
        <v>12804</v>
      </c>
      <c r="C73" s="516"/>
      <c r="D73" s="514" t="s">
        <v>12803</v>
      </c>
      <c r="E73" s="515">
        <v>7</v>
      </c>
      <c r="F73" s="518" t="s">
        <v>2223</v>
      </c>
      <c r="G73" s="515" t="s">
        <v>3517</v>
      </c>
      <c r="H73" s="514"/>
      <c r="I73" s="515"/>
      <c r="J73" s="515"/>
    </row>
    <row r="74" spans="1:10" ht="13.8" thickBot="1">
      <c r="A74" s="517"/>
      <c r="B74" s="518" t="s">
        <v>12751</v>
      </c>
      <c r="C74" s="516"/>
      <c r="D74" s="514" t="s">
        <v>12750</v>
      </c>
      <c r="E74" s="515">
        <v>6</v>
      </c>
      <c r="F74" s="518" t="s">
        <v>614</v>
      </c>
      <c r="G74" s="515" t="s">
        <v>3517</v>
      </c>
      <c r="H74" s="514" t="s">
        <v>1224</v>
      </c>
      <c r="I74" s="522"/>
      <c r="J74" s="522">
        <v>6</v>
      </c>
    </row>
    <row r="75" spans="1:10" ht="13.8" thickBot="1">
      <c r="A75" s="517"/>
      <c r="B75" s="518" t="s">
        <v>12869</v>
      </c>
      <c r="C75" s="516"/>
      <c r="D75" s="514" t="s">
        <v>12868</v>
      </c>
      <c r="E75" s="515">
        <v>6.5</v>
      </c>
      <c r="F75" s="518" t="s">
        <v>2223</v>
      </c>
      <c r="G75" s="515" t="s">
        <v>3414</v>
      </c>
      <c r="H75" s="514"/>
      <c r="I75" s="515"/>
      <c r="J75" s="515"/>
    </row>
    <row r="76" spans="1:10" ht="13.8" thickBot="1">
      <c r="A76" s="517"/>
      <c r="B76" s="518" t="s">
        <v>11808</v>
      </c>
      <c r="C76" s="516"/>
      <c r="D76" s="514" t="s">
        <v>11533</v>
      </c>
      <c r="E76" s="515">
        <v>9</v>
      </c>
      <c r="F76" s="514"/>
      <c r="G76" s="515" t="s">
        <v>11525</v>
      </c>
      <c r="H76" s="514"/>
      <c r="I76" s="515"/>
      <c r="J76" s="515"/>
    </row>
    <row r="77" spans="1:10" ht="13.8" thickBot="1">
      <c r="A77" s="517"/>
      <c r="B77" s="518" t="s">
        <v>13738</v>
      </c>
      <c r="C77" s="516"/>
      <c r="D77" s="514" t="s">
        <v>13737</v>
      </c>
      <c r="E77" s="515">
        <v>7.5</v>
      </c>
      <c r="F77" s="518" t="s">
        <v>2223</v>
      </c>
      <c r="G77" s="515" t="s">
        <v>2289</v>
      </c>
      <c r="H77" s="514"/>
      <c r="I77" s="515"/>
      <c r="J77" s="515"/>
    </row>
    <row r="78" spans="1:10" ht="13.8" thickBot="1">
      <c r="A78" s="517"/>
      <c r="B78" s="518" t="s">
        <v>12357</v>
      </c>
      <c r="C78" s="516"/>
      <c r="D78" s="514" t="s">
        <v>12356</v>
      </c>
      <c r="E78" s="515">
        <v>7.5</v>
      </c>
      <c r="F78" s="518" t="s">
        <v>1854</v>
      </c>
      <c r="G78" s="515" t="s">
        <v>4214</v>
      </c>
      <c r="H78" s="514"/>
      <c r="I78" s="522"/>
      <c r="J78" s="522">
        <v>1</v>
      </c>
    </row>
    <row r="79" spans="1:10" ht="13.8" thickBot="1">
      <c r="A79" s="517"/>
      <c r="B79" s="518" t="s">
        <v>13548</v>
      </c>
      <c r="C79" s="516"/>
      <c r="D79" s="514" t="s">
        <v>13547</v>
      </c>
      <c r="E79" s="515">
        <v>7.1</v>
      </c>
      <c r="F79" s="518" t="s">
        <v>614</v>
      </c>
      <c r="G79" s="515" t="s">
        <v>2523</v>
      </c>
      <c r="H79" s="514" t="s">
        <v>2319</v>
      </c>
      <c r="I79" s="522">
        <v>1</v>
      </c>
      <c r="J79" s="522">
        <v>12</v>
      </c>
    </row>
    <row r="80" spans="1:10" ht="13.8" thickBot="1">
      <c r="A80" s="517"/>
      <c r="B80" s="518" t="s">
        <v>11854</v>
      </c>
      <c r="C80" s="516"/>
      <c r="D80" s="514" t="s">
        <v>11853</v>
      </c>
      <c r="E80" s="515">
        <v>6</v>
      </c>
      <c r="F80" s="518" t="s">
        <v>614</v>
      </c>
      <c r="G80" s="515" t="s">
        <v>5286</v>
      </c>
      <c r="H80" s="514" t="s">
        <v>1224</v>
      </c>
      <c r="I80" s="522"/>
      <c r="J80" s="522">
        <v>11</v>
      </c>
    </row>
    <row r="81" spans="1:10" ht="13.8" thickBot="1">
      <c r="A81" s="517"/>
      <c r="B81" s="518" t="s">
        <v>13884</v>
      </c>
      <c r="C81" s="516"/>
      <c r="D81" s="514" t="s">
        <v>13883</v>
      </c>
      <c r="E81" s="515">
        <v>5.5</v>
      </c>
      <c r="F81" s="518" t="s">
        <v>614</v>
      </c>
      <c r="G81" s="515" t="s">
        <v>2032</v>
      </c>
      <c r="H81" s="514" t="s">
        <v>1841</v>
      </c>
      <c r="I81" s="522">
        <v>1</v>
      </c>
      <c r="J81" s="522">
        <v>8</v>
      </c>
    </row>
    <row r="82" spans="1:10" ht="13.8" thickBot="1">
      <c r="A82" s="517"/>
      <c r="B82" s="518" t="s">
        <v>14295</v>
      </c>
      <c r="C82" s="516"/>
      <c r="D82" s="514" t="s">
        <v>1792</v>
      </c>
      <c r="E82" s="515">
        <v>8</v>
      </c>
      <c r="F82" s="514"/>
      <c r="G82" s="515" t="s">
        <v>1793</v>
      </c>
      <c r="H82" s="514"/>
      <c r="I82" s="522"/>
      <c r="J82" s="522"/>
    </row>
    <row r="83" spans="1:10" ht="13.8" thickBot="1">
      <c r="A83" s="517"/>
      <c r="B83" s="518" t="s">
        <v>12166</v>
      </c>
      <c r="C83" s="516"/>
      <c r="D83" s="514" t="s">
        <v>4930</v>
      </c>
      <c r="E83" s="515">
        <v>8</v>
      </c>
      <c r="F83" s="514"/>
      <c r="G83" s="515" t="s">
        <v>4918</v>
      </c>
      <c r="H83" s="514"/>
      <c r="I83" s="522"/>
      <c r="J83" s="522"/>
    </row>
    <row r="84" spans="1:10" ht="13.8" thickBot="1">
      <c r="A84" s="517"/>
      <c r="B84" s="518" t="s">
        <v>12969</v>
      </c>
      <c r="C84" s="516"/>
      <c r="D84" s="514" t="s">
        <v>3273</v>
      </c>
      <c r="E84" s="515">
        <v>9</v>
      </c>
      <c r="F84" s="514"/>
      <c r="G84" s="515" t="s">
        <v>3161</v>
      </c>
      <c r="H84" s="514"/>
      <c r="I84" s="522"/>
      <c r="J84" s="522"/>
    </row>
    <row r="85" spans="1:10" ht="13.8" thickBot="1">
      <c r="A85" s="517"/>
      <c r="B85" s="518" t="s">
        <v>13709</v>
      </c>
      <c r="C85" s="516"/>
      <c r="D85" s="514" t="s">
        <v>1726</v>
      </c>
      <c r="E85" s="515">
        <v>6.8</v>
      </c>
      <c r="F85" s="518" t="s">
        <v>614</v>
      </c>
      <c r="G85" s="515" t="s">
        <v>2289</v>
      </c>
      <c r="H85" s="514" t="s">
        <v>1251</v>
      </c>
      <c r="I85" s="522"/>
      <c r="J85" s="522">
        <v>10</v>
      </c>
    </row>
    <row r="86" spans="1:10" ht="13.8" thickBot="1">
      <c r="A86" s="517"/>
      <c r="B86" s="518" t="s">
        <v>13539</v>
      </c>
      <c r="C86" s="516"/>
      <c r="D86" s="514" t="s">
        <v>2559</v>
      </c>
      <c r="E86" s="515">
        <v>7</v>
      </c>
      <c r="F86" s="515" t="s">
        <v>12413</v>
      </c>
      <c r="G86" s="515" t="s">
        <v>2523</v>
      </c>
      <c r="H86" s="514"/>
      <c r="I86" s="522"/>
      <c r="J86" s="522">
        <v>2</v>
      </c>
    </row>
    <row r="87" spans="1:10" ht="13.8" thickBot="1">
      <c r="A87" s="517"/>
      <c r="B87" s="518" t="s">
        <v>12473</v>
      </c>
      <c r="C87" s="516"/>
      <c r="D87" s="514" t="s">
        <v>1525</v>
      </c>
      <c r="E87" s="515">
        <v>7</v>
      </c>
      <c r="F87" s="518" t="s">
        <v>614</v>
      </c>
      <c r="G87" s="515" t="s">
        <v>3996</v>
      </c>
      <c r="H87" s="514" t="s">
        <v>1226</v>
      </c>
      <c r="I87" s="522">
        <v>1</v>
      </c>
      <c r="J87" s="522">
        <v>5</v>
      </c>
    </row>
    <row r="88" spans="1:10" ht="13.8" thickBot="1">
      <c r="A88" s="517"/>
      <c r="B88" s="518" t="s">
        <v>13481</v>
      </c>
      <c r="C88" s="516"/>
      <c r="D88" s="514" t="s">
        <v>1300</v>
      </c>
      <c r="E88" s="515">
        <v>6.5</v>
      </c>
      <c r="F88" s="518" t="s">
        <v>1854</v>
      </c>
      <c r="G88" s="515" t="s">
        <v>2523</v>
      </c>
      <c r="H88" s="514"/>
      <c r="I88" s="522"/>
      <c r="J88" s="522">
        <v>2</v>
      </c>
    </row>
    <row r="89" spans="1:10" ht="13.8" thickBot="1">
      <c r="A89" s="517"/>
      <c r="B89" s="518" t="s">
        <v>13143</v>
      </c>
      <c r="C89" s="516"/>
      <c r="D89" s="514" t="s">
        <v>13142</v>
      </c>
      <c r="E89" s="515">
        <v>6.75</v>
      </c>
      <c r="F89" s="518" t="s">
        <v>614</v>
      </c>
      <c r="G89" s="515" t="s">
        <v>2957</v>
      </c>
      <c r="H89" s="514" t="s">
        <v>1226</v>
      </c>
      <c r="I89" s="522"/>
      <c r="J89" s="522">
        <v>5</v>
      </c>
    </row>
    <row r="90" spans="1:10" ht="13.8" thickBot="1">
      <c r="A90" s="517"/>
      <c r="B90" s="518" t="s">
        <v>13083</v>
      </c>
      <c r="C90" s="516"/>
      <c r="D90" s="514" t="s">
        <v>13082</v>
      </c>
      <c r="E90" s="515">
        <v>5.75</v>
      </c>
      <c r="F90" s="518" t="s">
        <v>614</v>
      </c>
      <c r="G90" s="515" t="s">
        <v>2957</v>
      </c>
      <c r="H90" s="514" t="s">
        <v>1841</v>
      </c>
      <c r="I90" s="522">
        <v>3</v>
      </c>
      <c r="J90" s="522">
        <v>8</v>
      </c>
    </row>
    <row r="91" spans="1:10" ht="13.8" thickBot="1">
      <c r="A91" s="517"/>
      <c r="B91" s="518" t="s">
        <v>13285</v>
      </c>
      <c r="C91" s="516"/>
      <c r="D91" s="514" t="s">
        <v>13284</v>
      </c>
      <c r="E91" s="515">
        <v>4.5</v>
      </c>
      <c r="F91" s="518" t="s">
        <v>1854</v>
      </c>
      <c r="G91" s="515" t="s">
        <v>2523</v>
      </c>
      <c r="H91" s="514"/>
      <c r="I91" s="515"/>
      <c r="J91" s="515">
        <v>1</v>
      </c>
    </row>
    <row r="92" spans="1:10" ht="13.8" thickBot="1">
      <c r="A92" s="517"/>
      <c r="B92" s="518" t="s">
        <v>13427</v>
      </c>
      <c r="C92" s="516"/>
      <c r="D92" s="514" t="s">
        <v>13426</v>
      </c>
      <c r="E92" s="515">
        <v>6</v>
      </c>
      <c r="F92" s="518" t="s">
        <v>614</v>
      </c>
      <c r="G92" s="515" t="s">
        <v>2523</v>
      </c>
      <c r="H92" s="514" t="s">
        <v>1226</v>
      </c>
      <c r="I92" s="515">
        <v>1</v>
      </c>
      <c r="J92" s="515">
        <v>5</v>
      </c>
    </row>
    <row r="93" spans="1:10" ht="13.8" thickBot="1">
      <c r="A93" s="517"/>
      <c r="B93" s="518" t="s">
        <v>14126</v>
      </c>
      <c r="C93" s="516"/>
      <c r="D93" s="514" t="s">
        <v>14125</v>
      </c>
      <c r="E93" s="515">
        <v>5</v>
      </c>
      <c r="F93" s="518" t="s">
        <v>1854</v>
      </c>
      <c r="G93" s="515" t="s">
        <v>1793</v>
      </c>
      <c r="H93" s="514"/>
      <c r="I93" s="515"/>
      <c r="J93" s="515">
        <v>1</v>
      </c>
    </row>
    <row r="94" spans="1:10" ht="13.8" thickBot="1">
      <c r="A94" s="517"/>
      <c r="B94" s="518" t="s">
        <v>13028</v>
      </c>
      <c r="C94" s="516"/>
      <c r="D94" s="514" t="s">
        <v>13027</v>
      </c>
      <c r="E94" s="515">
        <v>5</v>
      </c>
      <c r="F94" s="518" t="s">
        <v>614</v>
      </c>
      <c r="G94" s="515" t="s">
        <v>2957</v>
      </c>
      <c r="H94" s="514"/>
      <c r="I94" s="515"/>
      <c r="J94" s="515">
        <v>1</v>
      </c>
    </row>
    <row r="95" spans="1:10" ht="13.8" thickBot="1">
      <c r="A95" s="517"/>
      <c r="B95" s="518" t="s">
        <v>12683</v>
      </c>
      <c r="C95" s="516"/>
      <c r="D95" s="514" t="s">
        <v>12682</v>
      </c>
      <c r="E95" s="515">
        <v>6</v>
      </c>
      <c r="F95" s="518" t="s">
        <v>1854</v>
      </c>
      <c r="G95" s="515" t="s">
        <v>3652</v>
      </c>
      <c r="H95" s="514"/>
      <c r="I95" s="515"/>
      <c r="J95" s="515">
        <v>1</v>
      </c>
    </row>
    <row r="96" spans="1:10" ht="13.8" thickBot="1">
      <c r="A96" s="517"/>
      <c r="B96" s="518" t="s">
        <v>12887</v>
      </c>
      <c r="C96" s="516"/>
      <c r="D96" s="514" t="s">
        <v>12886</v>
      </c>
      <c r="E96" s="515">
        <v>6.5</v>
      </c>
      <c r="F96" s="518" t="s">
        <v>614</v>
      </c>
      <c r="G96" s="515" t="s">
        <v>3351</v>
      </c>
      <c r="H96" s="514" t="s">
        <v>1224</v>
      </c>
      <c r="I96" s="515"/>
      <c r="J96" s="515">
        <v>3</v>
      </c>
    </row>
    <row r="97" spans="1:10" ht="13.8" thickBot="1">
      <c r="A97" s="517"/>
      <c r="B97" s="518" t="s">
        <v>13139</v>
      </c>
      <c r="C97" s="516"/>
      <c r="D97" s="514" t="s">
        <v>13138</v>
      </c>
      <c r="E97" s="515">
        <v>6.7</v>
      </c>
      <c r="F97" s="518" t="s">
        <v>614</v>
      </c>
      <c r="G97" s="515" t="s">
        <v>2957</v>
      </c>
      <c r="H97" s="514" t="s">
        <v>1226</v>
      </c>
      <c r="I97" s="515">
        <v>2</v>
      </c>
      <c r="J97" s="515">
        <v>8</v>
      </c>
    </row>
    <row r="98" spans="1:10" ht="13.8" thickBot="1">
      <c r="A98" s="517"/>
      <c r="B98" s="518" t="s">
        <v>11807</v>
      </c>
      <c r="C98" s="516"/>
      <c r="D98" s="514" t="s">
        <v>11533</v>
      </c>
      <c r="E98" s="515"/>
      <c r="F98" s="514"/>
      <c r="G98" s="515" t="s">
        <v>11525</v>
      </c>
      <c r="H98" s="514"/>
      <c r="I98" s="515"/>
      <c r="J98" s="515">
        <v>1</v>
      </c>
    </row>
    <row r="99" spans="1:10" ht="13.8" thickBot="1">
      <c r="A99" s="517"/>
      <c r="B99" s="518" t="s">
        <v>11806</v>
      </c>
      <c r="C99" s="516"/>
      <c r="D99" s="514" t="s">
        <v>11533</v>
      </c>
      <c r="E99" s="515"/>
      <c r="F99" s="514"/>
      <c r="G99" s="515" t="s">
        <v>11525</v>
      </c>
      <c r="H99" s="514"/>
      <c r="I99" s="515"/>
      <c r="J99" s="515">
        <v>1</v>
      </c>
    </row>
    <row r="100" spans="1:10" ht="13.8" thickBot="1">
      <c r="A100" s="517"/>
      <c r="B100" s="518" t="s">
        <v>13372</v>
      </c>
      <c r="C100" s="516"/>
      <c r="D100" s="514" t="s">
        <v>13371</v>
      </c>
      <c r="E100" s="515">
        <v>5.5</v>
      </c>
      <c r="F100" s="518" t="s">
        <v>614</v>
      </c>
      <c r="G100" s="515" t="s">
        <v>2523</v>
      </c>
      <c r="H100" s="514" t="s">
        <v>1224</v>
      </c>
      <c r="I100" s="515"/>
      <c r="J100" s="515">
        <v>2</v>
      </c>
    </row>
    <row r="101" spans="1:10" ht="13.8" thickBot="1">
      <c r="A101" s="517"/>
      <c r="B101" s="518" t="s">
        <v>13300</v>
      </c>
      <c r="C101" s="516"/>
      <c r="D101" s="514" t="s">
        <v>14311</v>
      </c>
      <c r="E101" s="521">
        <v>5</v>
      </c>
      <c r="F101" s="518" t="s">
        <v>1854</v>
      </c>
      <c r="G101" s="515" t="s">
        <v>2523</v>
      </c>
      <c r="H101" s="514"/>
      <c r="I101" s="515"/>
      <c r="J101" s="515"/>
    </row>
    <row r="102" spans="1:10" ht="13.8" thickBot="1">
      <c r="A102" s="517"/>
      <c r="B102" s="518" t="s">
        <v>12139</v>
      </c>
      <c r="C102" s="516"/>
      <c r="D102" s="514" t="s">
        <v>12138</v>
      </c>
      <c r="E102" s="515">
        <v>6.75</v>
      </c>
      <c r="F102" s="518" t="s">
        <v>614</v>
      </c>
      <c r="G102" s="515" t="s">
        <v>4970</v>
      </c>
      <c r="H102" s="514" t="s">
        <v>1224</v>
      </c>
      <c r="I102" s="515"/>
      <c r="J102" s="515">
        <v>4</v>
      </c>
    </row>
    <row r="103" spans="1:10" ht="13.8" thickBot="1">
      <c r="A103" s="517"/>
      <c r="B103" s="518" t="s">
        <v>12004</v>
      </c>
      <c r="C103" s="516"/>
      <c r="D103" s="514" t="s">
        <v>12003</v>
      </c>
      <c r="E103" s="515">
        <v>5.75</v>
      </c>
      <c r="F103" s="518" t="s">
        <v>614</v>
      </c>
      <c r="G103" s="515" t="s">
        <v>5125</v>
      </c>
      <c r="H103" s="514" t="s">
        <v>1224</v>
      </c>
      <c r="I103" s="515"/>
      <c r="J103" s="515">
        <v>1</v>
      </c>
    </row>
    <row r="104" spans="1:10" ht="13.8" thickBot="1">
      <c r="A104" s="517"/>
      <c r="B104" s="518" t="s">
        <v>12590</v>
      </c>
      <c r="C104" s="516"/>
      <c r="D104" s="514" t="s">
        <v>12589</v>
      </c>
      <c r="E104" s="515">
        <v>6.5</v>
      </c>
      <c r="F104" s="518" t="s">
        <v>614</v>
      </c>
      <c r="G104" s="515" t="s">
        <v>3807</v>
      </c>
      <c r="H104" s="514" t="s">
        <v>1226</v>
      </c>
      <c r="I104" s="515"/>
      <c r="J104" s="515">
        <v>3</v>
      </c>
    </row>
    <row r="105" spans="1:10" ht="13.8" thickBot="1">
      <c r="A105" s="517"/>
      <c r="B105" s="518" t="s">
        <v>12018</v>
      </c>
      <c r="C105" s="516"/>
      <c r="D105" s="514" t="s">
        <v>12017</v>
      </c>
      <c r="E105" s="515">
        <v>6.5</v>
      </c>
      <c r="F105" s="518" t="s">
        <v>614</v>
      </c>
      <c r="G105" s="515" t="s">
        <v>5086</v>
      </c>
      <c r="H105" s="514" t="s">
        <v>1224</v>
      </c>
      <c r="I105" s="515">
        <v>1</v>
      </c>
      <c r="J105" s="522">
        <v>3</v>
      </c>
    </row>
    <row r="106" spans="1:10" ht="13.8" thickBot="1">
      <c r="A106" s="517"/>
      <c r="B106" s="518" t="s">
        <v>13031</v>
      </c>
      <c r="C106" s="516"/>
      <c r="D106" s="514" t="s">
        <v>1552</v>
      </c>
      <c r="E106" s="515">
        <v>5</v>
      </c>
      <c r="F106" s="518" t="s">
        <v>614</v>
      </c>
      <c r="G106" s="515" t="s">
        <v>2957</v>
      </c>
      <c r="H106" s="514"/>
      <c r="I106" s="515"/>
      <c r="J106" s="515">
        <v>1</v>
      </c>
    </row>
    <row r="107" spans="1:10" ht="13.8" thickBot="1">
      <c r="A107" s="517"/>
      <c r="B107" s="518" t="s">
        <v>13560</v>
      </c>
      <c r="C107" s="516"/>
      <c r="D107" s="514" t="s">
        <v>13559</v>
      </c>
      <c r="E107" s="515">
        <v>7.5</v>
      </c>
      <c r="F107" s="518" t="s">
        <v>1854</v>
      </c>
      <c r="G107" s="515" t="s">
        <v>2523</v>
      </c>
      <c r="H107" s="514" t="s">
        <v>1251</v>
      </c>
      <c r="I107" s="515"/>
      <c r="J107" s="515">
        <v>2</v>
      </c>
    </row>
    <row r="108" spans="1:10" ht="13.8" thickBot="1">
      <c r="A108" s="517"/>
      <c r="B108" s="518" t="s">
        <v>14085</v>
      </c>
      <c r="C108" s="516"/>
      <c r="D108" s="514" t="s">
        <v>14084</v>
      </c>
      <c r="E108" s="515">
        <v>3</v>
      </c>
      <c r="F108" s="518" t="s">
        <v>1854</v>
      </c>
      <c r="G108" s="515" t="s">
        <v>1793</v>
      </c>
      <c r="H108" s="514"/>
      <c r="I108" s="515"/>
      <c r="J108" s="515">
        <v>1</v>
      </c>
    </row>
    <row r="109" spans="1:10" ht="13.8" thickBot="1">
      <c r="A109" s="517"/>
      <c r="B109" s="518" t="s">
        <v>13309</v>
      </c>
      <c r="C109" s="516"/>
      <c r="D109" s="514" t="s">
        <v>1328</v>
      </c>
      <c r="E109" s="515">
        <v>5</v>
      </c>
      <c r="F109" s="518" t="s">
        <v>1854</v>
      </c>
      <c r="G109" s="515" t="s">
        <v>2523</v>
      </c>
      <c r="H109" s="514"/>
      <c r="I109" s="515"/>
      <c r="J109" s="515">
        <v>1</v>
      </c>
    </row>
    <row r="110" spans="1:10" ht="13.8" thickBot="1">
      <c r="A110" s="517"/>
      <c r="B110" s="518" t="s">
        <v>13179</v>
      </c>
      <c r="C110" s="516"/>
      <c r="D110" s="514" t="s">
        <v>13178</v>
      </c>
      <c r="E110" s="515">
        <v>6.5</v>
      </c>
      <c r="F110" s="518" t="s">
        <v>614</v>
      </c>
      <c r="G110" s="515" t="s">
        <v>2884</v>
      </c>
      <c r="H110" s="514" t="s">
        <v>1226</v>
      </c>
      <c r="I110" s="515"/>
      <c r="J110" s="515">
        <v>4</v>
      </c>
    </row>
    <row r="111" spans="1:10" ht="13.8" thickBot="1">
      <c r="A111" s="517"/>
      <c r="B111" s="518" t="s">
        <v>12408</v>
      </c>
      <c r="C111" s="516"/>
      <c r="D111" s="514" t="s">
        <v>12407</v>
      </c>
      <c r="E111" s="515">
        <v>6</v>
      </c>
      <c r="F111" s="518" t="s">
        <v>614</v>
      </c>
      <c r="G111" s="515" t="s">
        <v>4121</v>
      </c>
      <c r="H111" s="514"/>
      <c r="I111" s="515"/>
      <c r="J111" s="515">
        <v>1</v>
      </c>
    </row>
    <row r="112" spans="1:10" ht="13.8" thickBot="1">
      <c r="A112" s="517"/>
      <c r="B112" s="518" t="s">
        <v>12930</v>
      </c>
      <c r="C112" s="516"/>
      <c r="D112" s="514" t="s">
        <v>12929</v>
      </c>
      <c r="E112" s="515">
        <v>6.25</v>
      </c>
      <c r="F112" s="518" t="s">
        <v>614</v>
      </c>
      <c r="G112" s="515" t="s">
        <v>3161</v>
      </c>
      <c r="H112" s="514" t="s">
        <v>1226</v>
      </c>
      <c r="I112" s="515"/>
      <c r="J112" s="515">
        <v>5</v>
      </c>
    </row>
    <row r="113" spans="1:10" ht="13.8" thickBot="1">
      <c r="A113" s="517"/>
      <c r="B113" s="518" t="s">
        <v>13791</v>
      </c>
      <c r="C113" s="516"/>
      <c r="D113" s="514" t="s">
        <v>13790</v>
      </c>
      <c r="E113" s="515">
        <v>5.5</v>
      </c>
      <c r="F113" s="518" t="s">
        <v>614</v>
      </c>
      <c r="G113" s="515" t="s">
        <v>2152</v>
      </c>
      <c r="H113" s="514" t="s">
        <v>1226</v>
      </c>
      <c r="I113" s="515">
        <v>1</v>
      </c>
      <c r="J113" s="515">
        <v>6</v>
      </c>
    </row>
    <row r="114" spans="1:10" ht="13.8" thickBot="1">
      <c r="A114" s="517"/>
      <c r="B114" s="518" t="s">
        <v>12032</v>
      </c>
      <c r="C114" s="516"/>
      <c r="D114" s="514" t="s">
        <v>12031</v>
      </c>
      <c r="E114" s="515">
        <v>6.75</v>
      </c>
      <c r="F114" s="518" t="s">
        <v>614</v>
      </c>
      <c r="G114" s="515" t="s">
        <v>5059</v>
      </c>
      <c r="H114" s="514"/>
      <c r="I114" s="515"/>
      <c r="J114" s="515">
        <v>1</v>
      </c>
    </row>
    <row r="115" spans="1:10" ht="13.8" thickBot="1">
      <c r="A115" s="517"/>
      <c r="B115" s="518" t="s">
        <v>13168</v>
      </c>
      <c r="C115" s="516"/>
      <c r="D115" s="514" t="s">
        <v>13167</v>
      </c>
      <c r="E115" s="515">
        <v>6</v>
      </c>
      <c r="F115" s="518" t="s">
        <v>614</v>
      </c>
      <c r="G115" s="515" t="s">
        <v>2943</v>
      </c>
      <c r="H115" s="514" t="s">
        <v>1841</v>
      </c>
      <c r="I115" s="515"/>
      <c r="J115" s="515">
        <v>14</v>
      </c>
    </row>
    <row r="116" spans="1:10" ht="13.8" thickBot="1">
      <c r="A116" s="517"/>
      <c r="B116" s="518" t="s">
        <v>13156</v>
      </c>
      <c r="C116" s="516"/>
      <c r="D116" s="514" t="s">
        <v>13155</v>
      </c>
      <c r="E116" s="515">
        <v>7.1</v>
      </c>
      <c r="F116" s="518" t="s">
        <v>614</v>
      </c>
      <c r="G116" s="515" t="s">
        <v>2957</v>
      </c>
      <c r="H116" s="514" t="s">
        <v>1251</v>
      </c>
      <c r="I116" s="515"/>
      <c r="J116" s="515">
        <v>8</v>
      </c>
    </row>
    <row r="117" spans="1:10" ht="13.8" thickBot="1">
      <c r="A117" s="517"/>
      <c r="B117" s="518" t="s">
        <v>13556</v>
      </c>
      <c r="C117" s="516"/>
      <c r="D117" s="514" t="s">
        <v>13555</v>
      </c>
      <c r="E117" s="515">
        <v>7.25</v>
      </c>
      <c r="F117" s="518" t="s">
        <v>614</v>
      </c>
      <c r="G117" s="515" t="s">
        <v>2523</v>
      </c>
      <c r="H117" s="514" t="s">
        <v>1226</v>
      </c>
      <c r="I117" s="515">
        <v>1</v>
      </c>
      <c r="J117" s="515">
        <v>5</v>
      </c>
    </row>
    <row r="118" spans="1:10" ht="13.8" thickBot="1">
      <c r="A118" s="517"/>
      <c r="B118" s="518" t="s">
        <v>12917</v>
      </c>
      <c r="C118" s="516"/>
      <c r="D118" s="514" t="s">
        <v>3178</v>
      </c>
      <c r="E118" s="515">
        <v>5</v>
      </c>
      <c r="F118" s="518" t="s">
        <v>614</v>
      </c>
      <c r="G118" s="515" t="s">
        <v>3161</v>
      </c>
      <c r="H118" s="514"/>
      <c r="I118" s="515"/>
      <c r="J118" s="515">
        <v>1</v>
      </c>
    </row>
    <row r="119" spans="1:10" ht="13.8" thickBot="1">
      <c r="A119" s="517"/>
      <c r="B119" s="518" t="s">
        <v>13118</v>
      </c>
      <c r="C119" s="516"/>
      <c r="D119" s="514" t="s">
        <v>13117</v>
      </c>
      <c r="E119" s="515">
        <v>6.4</v>
      </c>
      <c r="F119" s="518" t="s">
        <v>614</v>
      </c>
      <c r="G119" s="515" t="s">
        <v>2957</v>
      </c>
      <c r="H119" s="514" t="s">
        <v>1841</v>
      </c>
      <c r="I119" s="515">
        <v>1</v>
      </c>
      <c r="J119" s="515">
        <v>6</v>
      </c>
    </row>
    <row r="120" spans="1:10" ht="13.8" thickBot="1">
      <c r="A120" s="517"/>
      <c r="B120" s="518" t="s">
        <v>12371</v>
      </c>
      <c r="C120" s="516"/>
      <c r="D120" s="514" t="s">
        <v>4185</v>
      </c>
      <c r="E120" s="515">
        <v>6</v>
      </c>
      <c r="F120" s="518" t="s">
        <v>614</v>
      </c>
      <c r="G120" s="515" t="s">
        <v>4160</v>
      </c>
      <c r="H120" s="514" t="s">
        <v>1224</v>
      </c>
      <c r="I120" s="515"/>
      <c r="J120" s="515">
        <v>4</v>
      </c>
    </row>
    <row r="121" spans="1:10" ht="13.8" thickBot="1">
      <c r="A121" s="517"/>
      <c r="B121" s="518" t="s">
        <v>12964</v>
      </c>
      <c r="C121" s="516"/>
      <c r="D121" s="514" t="s">
        <v>12963</v>
      </c>
      <c r="E121" s="515">
        <v>7.3</v>
      </c>
      <c r="F121" s="518" t="s">
        <v>614</v>
      </c>
      <c r="G121" s="515" t="s">
        <v>3161</v>
      </c>
      <c r="H121" s="514" t="s">
        <v>1251</v>
      </c>
      <c r="I121" s="515"/>
      <c r="J121" s="515">
        <v>2</v>
      </c>
    </row>
    <row r="122" spans="1:10" ht="13.8" thickBot="1">
      <c r="A122" s="517"/>
      <c r="B122" s="518" t="s">
        <v>12061</v>
      </c>
      <c r="C122" s="516"/>
      <c r="D122" s="519" t="s">
        <v>12060</v>
      </c>
      <c r="E122" s="515">
        <v>5</v>
      </c>
      <c r="F122" s="518" t="s">
        <v>614</v>
      </c>
      <c r="G122" s="515" t="s">
        <v>5010</v>
      </c>
      <c r="H122" s="514" t="s">
        <v>1226</v>
      </c>
      <c r="I122" s="515"/>
      <c r="J122" s="515">
        <v>2</v>
      </c>
    </row>
    <row r="123" spans="1:10" ht="13.8" thickBot="1">
      <c r="A123" s="517"/>
      <c r="B123" s="518" t="s">
        <v>13500</v>
      </c>
      <c r="C123" s="516"/>
      <c r="D123" s="514" t="s">
        <v>13499</v>
      </c>
      <c r="E123" s="515">
        <v>6.5</v>
      </c>
      <c r="F123" s="518" t="s">
        <v>614</v>
      </c>
      <c r="G123" s="515" t="s">
        <v>2523</v>
      </c>
      <c r="H123" s="514" t="s">
        <v>1251</v>
      </c>
      <c r="I123" s="515">
        <v>1</v>
      </c>
      <c r="J123" s="515">
        <v>10</v>
      </c>
    </row>
    <row r="124" spans="1:10" ht="13.8" thickBot="1">
      <c r="A124" s="517"/>
      <c r="B124" s="518" t="s">
        <v>13443</v>
      </c>
      <c r="C124" s="516"/>
      <c r="D124" s="514" t="s">
        <v>13442</v>
      </c>
      <c r="E124" s="515">
        <v>6.25</v>
      </c>
      <c r="F124" s="518" t="s">
        <v>1854</v>
      </c>
      <c r="G124" s="515" t="s">
        <v>2523</v>
      </c>
      <c r="H124" s="514" t="s">
        <v>1224</v>
      </c>
      <c r="I124" s="515">
        <v>1</v>
      </c>
      <c r="J124" s="515">
        <v>2</v>
      </c>
    </row>
    <row r="125" spans="1:10" ht="13.8" thickBot="1">
      <c r="A125" s="517"/>
      <c r="B125" s="518" t="s">
        <v>12268</v>
      </c>
      <c r="C125" s="516"/>
      <c r="D125" s="514" t="s">
        <v>12267</v>
      </c>
      <c r="E125" s="515">
        <v>7.5</v>
      </c>
      <c r="F125" s="518" t="s">
        <v>1854</v>
      </c>
      <c r="G125" s="515" t="s">
        <v>4391</v>
      </c>
      <c r="H125" s="514"/>
      <c r="I125" s="515">
        <v>1</v>
      </c>
      <c r="J125" s="515">
        <v>1</v>
      </c>
    </row>
    <row r="126" spans="1:10" ht="13.8" thickBot="1">
      <c r="A126" s="517"/>
      <c r="B126" s="518" t="s">
        <v>13334</v>
      </c>
      <c r="C126" s="516"/>
      <c r="D126" s="514" t="s">
        <v>13333</v>
      </c>
      <c r="E126" s="515">
        <v>5</v>
      </c>
      <c r="F126" s="518" t="s">
        <v>614</v>
      </c>
      <c r="G126" s="515" t="s">
        <v>2523</v>
      </c>
      <c r="H126" s="514" t="s">
        <v>1226</v>
      </c>
      <c r="I126" s="515"/>
      <c r="J126" s="515">
        <v>2</v>
      </c>
    </row>
    <row r="127" spans="1:10" ht="13.8" thickBot="1">
      <c r="A127" s="517"/>
      <c r="B127" s="518" t="s">
        <v>12164</v>
      </c>
      <c r="C127" s="516"/>
      <c r="D127" s="514" t="s">
        <v>12163</v>
      </c>
      <c r="E127" s="515">
        <v>5</v>
      </c>
      <c r="F127" s="518" t="s">
        <v>614</v>
      </c>
      <c r="G127" s="515" t="s">
        <v>4918</v>
      </c>
      <c r="H127" s="514"/>
      <c r="I127" s="515"/>
      <c r="J127" s="515">
        <v>1</v>
      </c>
    </row>
    <row r="128" spans="1:10" ht="13.8" thickBot="1">
      <c r="A128" s="517"/>
      <c r="B128" s="518" t="s">
        <v>13955</v>
      </c>
      <c r="C128" s="516"/>
      <c r="D128" s="514" t="s">
        <v>1256</v>
      </c>
      <c r="E128" s="515">
        <v>3</v>
      </c>
      <c r="F128" s="518" t="s">
        <v>1854</v>
      </c>
      <c r="G128" s="515" t="s">
        <v>1922</v>
      </c>
      <c r="H128" s="514"/>
      <c r="I128" s="515"/>
      <c r="J128" s="515">
        <v>1</v>
      </c>
    </row>
    <row r="129" spans="1:10" ht="13.8" thickBot="1">
      <c r="A129" s="517"/>
      <c r="B129" s="518" t="s">
        <v>12676</v>
      </c>
      <c r="C129" s="516"/>
      <c r="D129" s="514" t="s">
        <v>12675</v>
      </c>
      <c r="E129" s="515">
        <v>5.25</v>
      </c>
      <c r="F129" s="518" t="s">
        <v>614</v>
      </c>
      <c r="G129" s="515" t="s">
        <v>3652</v>
      </c>
      <c r="H129" s="514" t="s">
        <v>1226</v>
      </c>
      <c r="I129" s="515"/>
      <c r="J129" s="515">
        <v>3</v>
      </c>
    </row>
    <row r="130" spans="1:10" ht="13.8" thickBot="1">
      <c r="A130" s="517"/>
      <c r="B130" s="518" t="s">
        <v>13368</v>
      </c>
      <c r="C130" s="516"/>
      <c r="D130" s="514" t="s">
        <v>13367</v>
      </c>
      <c r="E130" s="515">
        <v>5.5</v>
      </c>
      <c r="F130" s="518" t="s">
        <v>614</v>
      </c>
      <c r="G130" s="515" t="s">
        <v>2523</v>
      </c>
      <c r="H130" s="514" t="s">
        <v>1224</v>
      </c>
      <c r="I130" s="515"/>
      <c r="J130" s="515">
        <v>1</v>
      </c>
    </row>
    <row r="131" spans="1:10" ht="13.8" thickBot="1">
      <c r="A131" s="517"/>
      <c r="B131" s="518" t="s">
        <v>12808</v>
      </c>
      <c r="C131" s="516"/>
      <c r="D131" s="514" t="s">
        <v>12807</v>
      </c>
      <c r="E131" s="515">
        <v>7</v>
      </c>
      <c r="F131" s="518" t="s">
        <v>614</v>
      </c>
      <c r="G131" s="515" t="s">
        <v>3517</v>
      </c>
      <c r="H131" s="514" t="s">
        <v>1224</v>
      </c>
      <c r="I131" s="515">
        <v>1</v>
      </c>
      <c r="J131" s="515">
        <v>2</v>
      </c>
    </row>
    <row r="132" spans="1:10" ht="13.8" thickBot="1">
      <c r="A132" s="517"/>
      <c r="B132" s="518" t="s">
        <v>13761</v>
      </c>
      <c r="C132" s="516"/>
      <c r="D132" s="514" t="s">
        <v>2159</v>
      </c>
      <c r="E132" s="515">
        <v>3.5</v>
      </c>
      <c r="F132" s="518" t="s">
        <v>1854</v>
      </c>
      <c r="G132" s="515" t="s">
        <v>2152</v>
      </c>
      <c r="H132" s="514"/>
      <c r="I132" s="515"/>
      <c r="J132" s="515">
        <v>1</v>
      </c>
    </row>
    <row r="133" spans="1:10" ht="13.8" thickBot="1">
      <c r="A133" s="517"/>
      <c r="B133" s="518" t="s">
        <v>12890</v>
      </c>
      <c r="C133" s="516"/>
      <c r="D133" s="514" t="s">
        <v>1440</v>
      </c>
      <c r="E133" s="515">
        <v>7.25</v>
      </c>
      <c r="F133" s="518" t="s">
        <v>1854</v>
      </c>
      <c r="G133" s="515" t="s">
        <v>3351</v>
      </c>
      <c r="H133" s="514"/>
      <c r="I133" s="515"/>
      <c r="J133" s="515"/>
    </row>
    <row r="134" spans="1:10" ht="13.8" thickBot="1">
      <c r="A134" s="517"/>
      <c r="B134" s="518" t="s">
        <v>13649</v>
      </c>
      <c r="C134" s="516"/>
      <c r="D134" s="514" t="s">
        <v>13648</v>
      </c>
      <c r="E134" s="515">
        <v>6</v>
      </c>
      <c r="F134" s="514"/>
      <c r="G134" s="515" t="s">
        <v>2289</v>
      </c>
      <c r="H134" s="514"/>
      <c r="I134" s="515"/>
      <c r="J134" s="515">
        <v>2</v>
      </c>
    </row>
    <row r="135" spans="1:10" ht="13.8" thickBot="1">
      <c r="A135" s="517"/>
      <c r="B135" s="518" t="s">
        <v>12685</v>
      </c>
      <c r="C135" s="516"/>
      <c r="D135" s="514" t="s">
        <v>12684</v>
      </c>
      <c r="E135" s="515">
        <v>6</v>
      </c>
      <c r="F135" s="518" t="s">
        <v>614</v>
      </c>
      <c r="G135" s="515" t="s">
        <v>3652</v>
      </c>
      <c r="H135" s="514" t="s">
        <v>1226</v>
      </c>
      <c r="I135" s="515"/>
      <c r="J135" s="515">
        <v>4</v>
      </c>
    </row>
    <row r="136" spans="1:10" ht="13.8" thickBot="1">
      <c r="A136" s="517"/>
      <c r="B136" s="518" t="s">
        <v>13486</v>
      </c>
      <c r="C136" s="516"/>
      <c r="D136" s="514" t="s">
        <v>13485</v>
      </c>
      <c r="E136" s="515">
        <v>6.5</v>
      </c>
      <c r="F136" s="518" t="s">
        <v>614</v>
      </c>
      <c r="G136" s="515" t="s">
        <v>2523</v>
      </c>
      <c r="H136" s="514" t="s">
        <v>1224</v>
      </c>
      <c r="I136" s="515"/>
      <c r="J136" s="522">
        <v>3</v>
      </c>
    </row>
    <row r="137" spans="1:10" ht="13.8" thickBot="1">
      <c r="A137" s="517"/>
      <c r="B137" s="518" t="s">
        <v>12847</v>
      </c>
      <c r="C137" s="516"/>
      <c r="D137" s="519" t="s">
        <v>12846</v>
      </c>
      <c r="E137" s="515">
        <v>6.5</v>
      </c>
      <c r="F137" s="518" t="s">
        <v>614</v>
      </c>
      <c r="G137" s="515" t="s">
        <v>3452</v>
      </c>
      <c r="H137" s="514" t="s">
        <v>1226</v>
      </c>
      <c r="I137" s="515"/>
      <c r="J137" s="515">
        <v>3</v>
      </c>
    </row>
    <row r="138" spans="1:10" ht="13.8" thickBot="1">
      <c r="A138" s="517"/>
      <c r="B138" s="518" t="s">
        <v>13459</v>
      </c>
      <c r="C138" s="516"/>
      <c r="D138" s="514" t="s">
        <v>13458</v>
      </c>
      <c r="E138" s="515">
        <v>6.25</v>
      </c>
      <c r="F138" s="518" t="s">
        <v>614</v>
      </c>
      <c r="G138" s="515" t="s">
        <v>2523</v>
      </c>
      <c r="H138" s="514" t="s">
        <v>1226</v>
      </c>
      <c r="I138" s="515"/>
      <c r="J138" s="515">
        <v>8</v>
      </c>
    </row>
    <row r="139" spans="1:10" ht="13.8" thickBot="1">
      <c r="A139" s="517"/>
      <c r="B139" s="518" t="s">
        <v>13090</v>
      </c>
      <c r="C139" s="516"/>
      <c r="D139" s="514" t="s">
        <v>13089</v>
      </c>
      <c r="E139" s="515">
        <v>6</v>
      </c>
      <c r="F139" s="518" t="s">
        <v>614</v>
      </c>
      <c r="G139" s="515" t="s">
        <v>2957</v>
      </c>
      <c r="H139" s="514" t="s">
        <v>1224</v>
      </c>
      <c r="I139" s="515">
        <v>1</v>
      </c>
      <c r="J139" s="515">
        <v>10</v>
      </c>
    </row>
    <row r="140" spans="1:10" ht="13.8" thickBot="1">
      <c r="A140" s="517"/>
      <c r="B140" s="518" t="s">
        <v>12525</v>
      </c>
      <c r="C140" s="516"/>
      <c r="D140" s="514" t="s">
        <v>12524</v>
      </c>
      <c r="E140" s="515">
        <v>6.3</v>
      </c>
      <c r="F140" s="518" t="s">
        <v>614</v>
      </c>
      <c r="G140" s="515" t="s">
        <v>3856</v>
      </c>
      <c r="H140" s="514" t="s">
        <v>1226</v>
      </c>
      <c r="I140" s="515"/>
      <c r="J140" s="515">
        <v>8</v>
      </c>
    </row>
    <row r="141" spans="1:10" ht="13.8" thickBot="1">
      <c r="A141" s="517"/>
      <c r="B141" s="518" t="s">
        <v>11805</v>
      </c>
      <c r="C141" s="516"/>
      <c r="D141" s="514" t="s">
        <v>11533</v>
      </c>
      <c r="E141" s="515">
        <v>7.25</v>
      </c>
      <c r="F141" s="514"/>
      <c r="G141" s="515" t="s">
        <v>11525</v>
      </c>
      <c r="H141" s="514"/>
      <c r="I141" s="515"/>
      <c r="J141" s="515"/>
    </row>
    <row r="142" spans="1:10" ht="13.8" thickBot="1">
      <c r="A142" s="517"/>
      <c r="B142" s="518" t="s">
        <v>13366</v>
      </c>
      <c r="C142" s="516"/>
      <c r="D142" s="514" t="s">
        <v>13365</v>
      </c>
      <c r="E142" s="515">
        <v>5.5</v>
      </c>
      <c r="F142" s="518" t="s">
        <v>614</v>
      </c>
      <c r="G142" s="515" t="s">
        <v>2523</v>
      </c>
      <c r="H142" s="514"/>
      <c r="I142" s="515"/>
      <c r="J142" s="515">
        <v>4</v>
      </c>
    </row>
    <row r="143" spans="1:10" ht="13.8" thickBot="1">
      <c r="A143" s="517"/>
      <c r="B143" s="518" t="s">
        <v>13457</v>
      </c>
      <c r="C143" s="516"/>
      <c r="D143" s="514" t="s">
        <v>13456</v>
      </c>
      <c r="E143" s="515">
        <v>6.25</v>
      </c>
      <c r="F143" s="518" t="s">
        <v>614</v>
      </c>
      <c r="G143" s="515" t="s">
        <v>2523</v>
      </c>
      <c r="H143" s="514" t="s">
        <v>1226</v>
      </c>
      <c r="I143" s="515">
        <v>1</v>
      </c>
      <c r="J143" s="515">
        <v>6</v>
      </c>
    </row>
    <row r="144" spans="1:10" ht="13.8" thickBot="1">
      <c r="A144" s="517"/>
      <c r="B144" s="518" t="s">
        <v>12028</v>
      </c>
      <c r="C144" s="516"/>
      <c r="D144" s="514" t="s">
        <v>12027</v>
      </c>
      <c r="E144" s="515">
        <v>5.5</v>
      </c>
      <c r="F144" s="518" t="s">
        <v>614</v>
      </c>
      <c r="G144" s="515" t="s">
        <v>5059</v>
      </c>
      <c r="H144" s="514" t="s">
        <v>1224</v>
      </c>
      <c r="I144" s="515"/>
      <c r="J144" s="515">
        <v>5</v>
      </c>
    </row>
    <row r="145" spans="1:10" ht="13.8" thickBot="1">
      <c r="A145" s="517"/>
      <c r="B145" s="518" t="s">
        <v>12012</v>
      </c>
      <c r="C145" s="516"/>
      <c r="D145" s="514" t="s">
        <v>12011</v>
      </c>
      <c r="E145" s="515">
        <v>6</v>
      </c>
      <c r="F145" s="518" t="s">
        <v>614</v>
      </c>
      <c r="G145" s="515" t="s">
        <v>5109</v>
      </c>
      <c r="H145" s="514" t="s">
        <v>1251</v>
      </c>
      <c r="I145" s="515">
        <v>3</v>
      </c>
      <c r="J145" s="515">
        <v>19</v>
      </c>
    </row>
    <row r="146" spans="1:10" ht="13.8" thickBot="1">
      <c r="A146" s="517"/>
      <c r="B146" s="518" t="s">
        <v>12620</v>
      </c>
      <c r="C146" s="516"/>
      <c r="D146" s="514" t="s">
        <v>12619</v>
      </c>
      <c r="E146" s="515">
        <v>5</v>
      </c>
      <c r="F146" s="518" t="s">
        <v>614</v>
      </c>
      <c r="G146" s="515" t="s">
        <v>3734</v>
      </c>
      <c r="H146" s="514"/>
      <c r="I146" s="515"/>
      <c r="J146" s="515">
        <v>7</v>
      </c>
    </row>
    <row r="147" spans="1:10" ht="13.8" thickBot="1">
      <c r="A147" s="517"/>
      <c r="B147" s="518" t="s">
        <v>13561</v>
      </c>
      <c r="C147" s="516"/>
      <c r="D147" s="514" t="s">
        <v>1300</v>
      </c>
      <c r="E147" s="515">
        <v>7.5</v>
      </c>
      <c r="F147" s="518" t="s">
        <v>614</v>
      </c>
      <c r="G147" s="515" t="s">
        <v>2523</v>
      </c>
      <c r="H147" s="514" t="s">
        <v>1251</v>
      </c>
      <c r="I147" s="515"/>
      <c r="J147" s="515">
        <v>2</v>
      </c>
    </row>
    <row r="148" spans="1:10" ht="13.8" thickBot="1">
      <c r="A148" s="517"/>
      <c r="B148" s="518" t="s">
        <v>12014</v>
      </c>
      <c r="C148" s="516"/>
      <c r="D148" s="514" t="s">
        <v>12013</v>
      </c>
      <c r="E148" s="515">
        <v>6.5</v>
      </c>
      <c r="F148" s="518" t="s">
        <v>614</v>
      </c>
      <c r="G148" s="515" t="s">
        <v>5109</v>
      </c>
      <c r="H148" s="514" t="s">
        <v>2319</v>
      </c>
      <c r="I148" s="515">
        <v>1</v>
      </c>
      <c r="J148" s="515">
        <v>20</v>
      </c>
    </row>
    <row r="149" spans="1:10" ht="13.8" thickBot="1">
      <c r="A149" s="517"/>
      <c r="B149" s="518" t="s">
        <v>12892</v>
      </c>
      <c r="C149" s="516"/>
      <c r="D149" s="514" t="s">
        <v>12891</v>
      </c>
      <c r="E149" s="515">
        <v>7.5</v>
      </c>
      <c r="F149" s="518" t="s">
        <v>1854</v>
      </c>
      <c r="G149" s="515" t="s">
        <v>3351</v>
      </c>
      <c r="H149" s="514"/>
      <c r="I149" s="515"/>
      <c r="J149" s="515"/>
    </row>
    <row r="150" spans="1:10" ht="13.8" thickBot="1">
      <c r="A150" s="517"/>
      <c r="B150" s="518" t="s">
        <v>12168</v>
      </c>
      <c r="C150" s="516"/>
      <c r="D150" s="514" t="s">
        <v>12167</v>
      </c>
      <c r="E150" s="515">
        <v>5.5</v>
      </c>
      <c r="F150" s="518" t="s">
        <v>614</v>
      </c>
      <c r="G150" s="515" t="s">
        <v>4905</v>
      </c>
      <c r="H150" s="514" t="s">
        <v>1224</v>
      </c>
      <c r="I150" s="515">
        <v>1</v>
      </c>
      <c r="J150" s="515">
        <v>7</v>
      </c>
    </row>
    <row r="151" spans="1:10" ht="13.8" thickBot="1">
      <c r="A151" s="517"/>
      <c r="B151" s="518" t="s">
        <v>12127</v>
      </c>
      <c r="C151" s="516"/>
      <c r="D151" s="514" t="s">
        <v>1593</v>
      </c>
      <c r="E151" s="515">
        <v>5.5</v>
      </c>
      <c r="F151" s="518" t="s">
        <v>614</v>
      </c>
      <c r="G151" s="515" t="s">
        <v>4970</v>
      </c>
      <c r="H151" s="514" t="s">
        <v>1220</v>
      </c>
      <c r="I151" s="515"/>
      <c r="J151" s="515">
        <v>3</v>
      </c>
    </row>
    <row r="152" spans="1:10" ht="13.8" thickBot="1">
      <c r="A152" s="517"/>
      <c r="B152" s="518" t="s">
        <v>12573</v>
      </c>
      <c r="C152" s="516"/>
      <c r="D152" s="514" t="s">
        <v>3849</v>
      </c>
      <c r="E152" s="515">
        <v>6</v>
      </c>
      <c r="F152" s="518" t="s">
        <v>614</v>
      </c>
      <c r="G152" s="515" t="s">
        <v>3807</v>
      </c>
      <c r="H152" s="514"/>
      <c r="I152" s="515"/>
      <c r="J152" s="515">
        <v>2</v>
      </c>
    </row>
    <row r="153" spans="1:10" ht="13.8" thickBot="1">
      <c r="A153" s="517"/>
      <c r="B153" s="518" t="s">
        <v>12487</v>
      </c>
      <c r="C153" s="516"/>
      <c r="D153" s="514" t="s">
        <v>12486</v>
      </c>
      <c r="E153" s="515">
        <v>6.25</v>
      </c>
      <c r="F153" s="518" t="s">
        <v>614</v>
      </c>
      <c r="G153" s="515" t="s">
        <v>3903</v>
      </c>
      <c r="H153" s="514" t="s">
        <v>1224</v>
      </c>
      <c r="I153" s="515"/>
      <c r="J153" s="515">
        <v>2</v>
      </c>
    </row>
    <row r="154" spans="1:10" ht="13.8" thickBot="1">
      <c r="A154" s="517"/>
      <c r="B154" s="518" t="s">
        <v>13840</v>
      </c>
      <c r="C154" s="516"/>
      <c r="D154" s="514" t="s">
        <v>13839</v>
      </c>
      <c r="E154" s="515">
        <v>7</v>
      </c>
      <c r="F154" s="518" t="s">
        <v>614</v>
      </c>
      <c r="G154" s="515" t="s">
        <v>2087</v>
      </c>
      <c r="H154" s="514" t="s">
        <v>1251</v>
      </c>
      <c r="I154" s="515">
        <v>2</v>
      </c>
      <c r="J154" s="515">
        <v>7</v>
      </c>
    </row>
    <row r="155" spans="1:10" ht="13.8" thickBot="1">
      <c r="A155" s="517"/>
      <c r="B155" s="518" t="s">
        <v>12046</v>
      </c>
      <c r="C155" s="516"/>
      <c r="D155" s="514" t="s">
        <v>12045</v>
      </c>
      <c r="E155" s="515">
        <v>7</v>
      </c>
      <c r="F155" s="518" t="s">
        <v>614</v>
      </c>
      <c r="G155" s="515" t="s">
        <v>5031</v>
      </c>
      <c r="H155" s="514"/>
      <c r="I155" s="515"/>
      <c r="J155" s="515">
        <v>1</v>
      </c>
    </row>
    <row r="156" spans="1:10" ht="13.8" thickBot="1">
      <c r="A156" s="517"/>
      <c r="B156" s="518" t="s">
        <v>13933</v>
      </c>
      <c r="C156" s="516"/>
      <c r="D156" s="514" t="s">
        <v>13932</v>
      </c>
      <c r="E156" s="515">
        <v>7.25</v>
      </c>
      <c r="F156" s="518" t="s">
        <v>614</v>
      </c>
      <c r="G156" s="515" t="s">
        <v>2032</v>
      </c>
      <c r="H156" s="514" t="s">
        <v>1226</v>
      </c>
      <c r="I156" s="515"/>
      <c r="J156" s="515">
        <v>1</v>
      </c>
    </row>
    <row r="157" spans="1:10" ht="13.8" thickBot="1">
      <c r="A157" s="517"/>
      <c r="B157" s="518" t="s">
        <v>12650</v>
      </c>
      <c r="C157" s="516"/>
      <c r="D157" s="514" t="s">
        <v>3739</v>
      </c>
      <c r="E157" s="515">
        <v>6.75</v>
      </c>
      <c r="F157" s="518" t="s">
        <v>614</v>
      </c>
      <c r="G157" s="515" t="s">
        <v>3734</v>
      </c>
      <c r="H157" s="514"/>
      <c r="I157" s="515"/>
      <c r="J157" s="515">
        <v>2</v>
      </c>
    </row>
    <row r="158" spans="1:10" ht="13.8" thickBot="1">
      <c r="A158" s="517"/>
      <c r="B158" s="518" t="s">
        <v>12975</v>
      </c>
      <c r="C158" s="516"/>
      <c r="D158" s="514" t="s">
        <v>12974</v>
      </c>
      <c r="E158" s="522">
        <v>6.3</v>
      </c>
      <c r="F158" s="518" t="s">
        <v>614</v>
      </c>
      <c r="G158" s="515" t="s">
        <v>3085</v>
      </c>
      <c r="H158" s="514" t="s">
        <v>1226</v>
      </c>
      <c r="I158" s="515"/>
      <c r="J158" s="515">
        <v>7</v>
      </c>
    </row>
    <row r="159" spans="1:10" ht="13.8" thickBot="1">
      <c r="A159" s="517"/>
      <c r="B159" s="518" t="s">
        <v>13052</v>
      </c>
      <c r="C159" s="516"/>
      <c r="D159" s="519" t="s">
        <v>13051</v>
      </c>
      <c r="E159" s="515">
        <v>5</v>
      </c>
      <c r="F159" s="518" t="s">
        <v>614</v>
      </c>
      <c r="G159" s="515" t="s">
        <v>2957</v>
      </c>
      <c r="H159" s="514" t="s">
        <v>1841</v>
      </c>
      <c r="I159" s="515">
        <v>2</v>
      </c>
      <c r="J159" s="515">
        <v>17</v>
      </c>
    </row>
    <row r="160" spans="1:10" ht="13.8" thickBot="1">
      <c r="A160" s="517"/>
      <c r="B160" s="518" t="s">
        <v>13531</v>
      </c>
      <c r="C160" s="516"/>
      <c r="D160" s="519" t="s">
        <v>13530</v>
      </c>
      <c r="E160" s="515">
        <v>6.8</v>
      </c>
      <c r="F160" s="518" t="s">
        <v>614</v>
      </c>
      <c r="G160" s="515" t="s">
        <v>2523</v>
      </c>
      <c r="H160" s="514" t="s">
        <v>1226</v>
      </c>
      <c r="I160" s="515">
        <v>1</v>
      </c>
      <c r="J160" s="515">
        <v>9</v>
      </c>
    </row>
    <row r="161" spans="1:10" ht="13.8" thickBot="1">
      <c r="A161" s="517"/>
      <c r="B161" s="518" t="s">
        <v>12721</v>
      </c>
      <c r="C161" s="516"/>
      <c r="D161" s="514" t="s">
        <v>12720</v>
      </c>
      <c r="E161" s="515">
        <v>4.5</v>
      </c>
      <c r="F161" s="518" t="s">
        <v>614</v>
      </c>
      <c r="G161" s="515" t="s">
        <v>3517</v>
      </c>
      <c r="H161" s="514" t="s">
        <v>1226</v>
      </c>
      <c r="I161" s="515"/>
      <c r="J161" s="515">
        <v>12</v>
      </c>
    </row>
    <row r="162" spans="1:10" ht="13.8" thickBot="1">
      <c r="A162" s="517"/>
      <c r="B162" s="518" t="s">
        <v>12592</v>
      </c>
      <c r="C162" s="516"/>
      <c r="D162" s="514" t="s">
        <v>12591</v>
      </c>
      <c r="E162" s="515">
        <v>6.5</v>
      </c>
      <c r="F162" s="518" t="s">
        <v>614</v>
      </c>
      <c r="G162" s="515" t="s">
        <v>3807</v>
      </c>
      <c r="H162" s="514" t="s">
        <v>1865</v>
      </c>
      <c r="I162" s="515">
        <v>1</v>
      </c>
      <c r="J162" s="515">
        <v>5</v>
      </c>
    </row>
    <row r="163" spans="1:10" ht="13.8" thickBot="1">
      <c r="A163" s="517"/>
      <c r="B163" s="518" t="s">
        <v>12789</v>
      </c>
      <c r="C163" s="516"/>
      <c r="D163" s="519" t="s">
        <v>12788</v>
      </c>
      <c r="E163" s="515">
        <v>6.5</v>
      </c>
      <c r="F163" s="518" t="s">
        <v>614</v>
      </c>
      <c r="G163" s="515" t="s">
        <v>3517</v>
      </c>
      <c r="H163" s="514" t="s">
        <v>1226</v>
      </c>
      <c r="I163" s="515">
        <v>3</v>
      </c>
      <c r="J163" s="515">
        <v>10</v>
      </c>
    </row>
    <row r="164" spans="1:10" ht="13.8" thickBot="1">
      <c r="A164" s="517"/>
      <c r="B164" s="518" t="s">
        <v>12968</v>
      </c>
      <c r="C164" s="516"/>
      <c r="D164" s="514" t="s">
        <v>3273</v>
      </c>
      <c r="E164" s="515">
        <v>7.5</v>
      </c>
      <c r="F164" s="518" t="s">
        <v>12967</v>
      </c>
      <c r="G164" s="515" t="s">
        <v>3161</v>
      </c>
      <c r="H164" s="514"/>
      <c r="I164" s="515"/>
      <c r="J164" s="515"/>
    </row>
    <row r="165" spans="1:10" ht="13.8" thickBot="1">
      <c r="A165" s="517"/>
      <c r="B165" s="518" t="s">
        <v>13498</v>
      </c>
      <c r="C165" s="516"/>
      <c r="D165" s="514" t="s">
        <v>13497</v>
      </c>
      <c r="E165" s="515">
        <v>6.5</v>
      </c>
      <c r="F165" s="518" t="s">
        <v>614</v>
      </c>
      <c r="G165" s="515" t="s">
        <v>2523</v>
      </c>
      <c r="H165" s="514" t="s">
        <v>1226</v>
      </c>
      <c r="I165" s="515">
        <v>3</v>
      </c>
      <c r="J165" s="515">
        <v>6</v>
      </c>
    </row>
    <row r="166" spans="1:10" ht="13.8" thickBot="1">
      <c r="A166" s="517"/>
      <c r="B166" s="518" t="s">
        <v>11979</v>
      </c>
      <c r="C166" s="516"/>
      <c r="D166" s="514" t="s">
        <v>11978</v>
      </c>
      <c r="E166" s="515">
        <v>6</v>
      </c>
      <c r="F166" s="518" t="s">
        <v>614</v>
      </c>
      <c r="G166" s="515" t="s">
        <v>5180</v>
      </c>
      <c r="H166" s="514" t="s">
        <v>1220</v>
      </c>
      <c r="I166" s="515">
        <v>1</v>
      </c>
      <c r="J166" s="515">
        <v>6</v>
      </c>
    </row>
    <row r="167" spans="1:10" ht="13.8" thickBot="1">
      <c r="A167" s="517"/>
      <c r="B167" s="518" t="s">
        <v>13843</v>
      </c>
      <c r="C167" s="516"/>
      <c r="D167" s="514" t="s">
        <v>13842</v>
      </c>
      <c r="E167" s="515">
        <v>8</v>
      </c>
      <c r="F167" s="518" t="s">
        <v>13841</v>
      </c>
      <c r="G167" s="515" t="s">
        <v>2087</v>
      </c>
      <c r="H167" s="514"/>
      <c r="I167" s="515"/>
      <c r="J167" s="515"/>
    </row>
    <row r="168" spans="1:10" ht="13.8" thickBot="1">
      <c r="A168" s="517"/>
      <c r="B168" s="518" t="s">
        <v>14221</v>
      </c>
      <c r="C168" s="516"/>
      <c r="D168" s="514" t="s">
        <v>1792</v>
      </c>
      <c r="E168" s="515">
        <v>6.5</v>
      </c>
      <c r="F168" s="518" t="s">
        <v>13841</v>
      </c>
      <c r="G168" s="515" t="s">
        <v>1793</v>
      </c>
      <c r="H168" s="514"/>
      <c r="I168" s="515"/>
      <c r="J168" s="515">
        <v>3</v>
      </c>
    </row>
    <row r="169" spans="1:10" ht="13.8" thickBot="1">
      <c r="A169" s="517"/>
      <c r="B169" s="518" t="s">
        <v>12791</v>
      </c>
      <c r="C169" s="516"/>
      <c r="D169" s="514" t="s">
        <v>12790</v>
      </c>
      <c r="E169" s="515">
        <v>6.6</v>
      </c>
      <c r="F169" s="518" t="s">
        <v>614</v>
      </c>
      <c r="G169" s="515" t="s">
        <v>3517</v>
      </c>
      <c r="H169" s="514" t="s">
        <v>1226</v>
      </c>
      <c r="I169" s="522"/>
      <c r="J169" s="522">
        <v>11</v>
      </c>
    </row>
    <row r="170" spans="1:10" ht="13.8" thickBot="1">
      <c r="A170" s="517"/>
      <c r="B170" s="518" t="s">
        <v>12757</v>
      </c>
      <c r="C170" s="516"/>
      <c r="D170" s="514" t="s">
        <v>12756</v>
      </c>
      <c r="E170" s="515">
        <v>6</v>
      </c>
      <c r="F170" s="518" t="s">
        <v>614</v>
      </c>
      <c r="G170" s="515" t="s">
        <v>3517</v>
      </c>
      <c r="H170" s="514" t="s">
        <v>1841</v>
      </c>
      <c r="I170" s="522">
        <v>1</v>
      </c>
      <c r="J170" s="522">
        <v>13</v>
      </c>
    </row>
    <row r="171" spans="1:10" ht="13.8" thickBot="1">
      <c r="A171" s="517"/>
      <c r="B171" s="518" t="s">
        <v>13674</v>
      </c>
      <c r="C171" s="516"/>
      <c r="D171" s="514" t="s">
        <v>13673</v>
      </c>
      <c r="E171" s="515">
        <v>6.25</v>
      </c>
      <c r="F171" s="518" t="s">
        <v>614</v>
      </c>
      <c r="G171" s="515" t="s">
        <v>2289</v>
      </c>
      <c r="H171" s="514"/>
      <c r="I171" s="522"/>
      <c r="J171" s="522">
        <v>3</v>
      </c>
    </row>
    <row r="172" spans="1:10" ht="13.8" thickBot="1">
      <c r="A172" s="517"/>
      <c r="B172" s="518" t="s">
        <v>12984</v>
      </c>
      <c r="C172" s="516"/>
      <c r="D172" s="514" t="s">
        <v>12983</v>
      </c>
      <c r="E172" s="515"/>
      <c r="F172" s="518" t="s">
        <v>1854</v>
      </c>
      <c r="G172" s="515" t="s">
        <v>2957</v>
      </c>
      <c r="H172" s="514"/>
      <c r="I172" s="515"/>
      <c r="J172" s="515"/>
    </row>
    <row r="173" spans="1:10" ht="13.8" thickBot="1">
      <c r="A173" s="517"/>
      <c r="B173" s="518" t="s">
        <v>14217</v>
      </c>
      <c r="C173" s="516"/>
      <c r="D173" s="514" t="s">
        <v>14216</v>
      </c>
      <c r="E173" s="515">
        <v>6.5</v>
      </c>
      <c r="F173" s="518" t="s">
        <v>1854</v>
      </c>
      <c r="G173" s="515" t="s">
        <v>1793</v>
      </c>
      <c r="H173" s="514"/>
      <c r="I173" s="522">
        <v>1</v>
      </c>
      <c r="J173" s="522">
        <v>2</v>
      </c>
    </row>
    <row r="174" spans="1:10" ht="13.8" thickBot="1">
      <c r="A174" s="517"/>
      <c r="B174" s="518" t="s">
        <v>12633</v>
      </c>
      <c r="C174" s="516"/>
      <c r="D174" s="514" t="s">
        <v>12632</v>
      </c>
      <c r="E174" s="515">
        <v>6</v>
      </c>
      <c r="F174" s="518" t="s">
        <v>614</v>
      </c>
      <c r="G174" s="515" t="s">
        <v>3734</v>
      </c>
      <c r="H174" s="514"/>
      <c r="I174" s="522">
        <v>1</v>
      </c>
      <c r="J174" s="522">
        <v>3</v>
      </c>
    </row>
    <row r="175" spans="1:10" ht="13.8" thickBot="1">
      <c r="A175" s="517"/>
      <c r="B175" s="518" t="s">
        <v>12063</v>
      </c>
      <c r="C175" s="516"/>
      <c r="D175" s="514" t="s">
        <v>12052</v>
      </c>
      <c r="E175" s="515">
        <v>5</v>
      </c>
      <c r="F175" s="518" t="s">
        <v>614</v>
      </c>
      <c r="G175" s="515" t="s">
        <v>5010</v>
      </c>
      <c r="H175" s="514" t="s">
        <v>1226</v>
      </c>
      <c r="I175" s="522">
        <v>1</v>
      </c>
      <c r="J175" s="522">
        <v>7</v>
      </c>
    </row>
    <row r="176" spans="1:10" ht="13.8" thickBot="1">
      <c r="A176" s="517"/>
      <c r="B176" s="518" t="s">
        <v>13322</v>
      </c>
      <c r="C176" s="516"/>
      <c r="D176" s="514" t="s">
        <v>13321</v>
      </c>
      <c r="E176" s="515">
        <v>5</v>
      </c>
      <c r="F176" s="518" t="s">
        <v>614</v>
      </c>
      <c r="G176" s="515" t="s">
        <v>2523</v>
      </c>
      <c r="H176" s="514"/>
      <c r="I176" s="522">
        <v>1</v>
      </c>
      <c r="J176" s="522">
        <v>8</v>
      </c>
    </row>
    <row r="177" spans="1:10" ht="13.8" thickBot="1">
      <c r="A177" s="517"/>
      <c r="B177" s="518" t="s">
        <v>13946</v>
      </c>
      <c r="C177" s="516"/>
      <c r="D177" s="514" t="s">
        <v>13945</v>
      </c>
      <c r="E177" s="515"/>
      <c r="F177" s="518" t="s">
        <v>1854</v>
      </c>
      <c r="G177" s="515" t="s">
        <v>1922</v>
      </c>
      <c r="H177" s="514"/>
      <c r="I177" s="515"/>
      <c r="J177" s="515"/>
    </row>
    <row r="178" spans="1:10" ht="13.8" thickBot="1">
      <c r="A178" s="517"/>
      <c r="B178" s="518" t="s">
        <v>13384</v>
      </c>
      <c r="C178" s="516"/>
      <c r="D178" s="514" t="s">
        <v>1300</v>
      </c>
      <c r="E178" s="515">
        <v>5.5</v>
      </c>
      <c r="F178" s="518" t="s">
        <v>1854</v>
      </c>
      <c r="G178" s="515" t="s">
        <v>2523</v>
      </c>
      <c r="H178" s="514" t="s">
        <v>1226</v>
      </c>
      <c r="I178" s="515"/>
      <c r="J178" s="515">
        <v>3</v>
      </c>
    </row>
    <row r="179" spans="1:10" ht="13.8" thickBot="1">
      <c r="A179" s="517"/>
      <c r="B179" s="518" t="s">
        <v>14196</v>
      </c>
      <c r="C179" s="516"/>
      <c r="D179" s="514" t="s">
        <v>14195</v>
      </c>
      <c r="E179" s="515">
        <v>6.1</v>
      </c>
      <c r="F179" s="518" t="s">
        <v>614</v>
      </c>
      <c r="G179" s="515" t="s">
        <v>1793</v>
      </c>
      <c r="H179" s="514" t="s">
        <v>1226</v>
      </c>
      <c r="I179" s="515"/>
      <c r="J179" s="515">
        <v>9</v>
      </c>
    </row>
    <row r="180" spans="1:10" ht="13.8" thickBot="1">
      <c r="A180" s="517"/>
      <c r="B180" s="518" t="s">
        <v>11837</v>
      </c>
      <c r="C180" s="516"/>
      <c r="D180" s="514" t="s">
        <v>11836</v>
      </c>
      <c r="E180" s="515">
        <v>6.75</v>
      </c>
      <c r="F180" s="518" t="s">
        <v>614</v>
      </c>
      <c r="G180" s="515" t="s">
        <v>5319</v>
      </c>
      <c r="H180" s="514"/>
      <c r="I180" s="515">
        <v>1</v>
      </c>
      <c r="J180" s="515">
        <v>4</v>
      </c>
    </row>
    <row r="181" spans="1:10" ht="13.8" thickBot="1">
      <c r="A181" s="517"/>
      <c r="B181" s="518" t="s">
        <v>13550</v>
      </c>
      <c r="C181" s="516"/>
      <c r="D181" s="514" t="s">
        <v>13549</v>
      </c>
      <c r="E181" s="515">
        <v>7.25</v>
      </c>
      <c r="F181" s="518" t="s">
        <v>1854</v>
      </c>
      <c r="G181" s="515" t="s">
        <v>2523</v>
      </c>
      <c r="H181" s="514"/>
      <c r="I181" s="515"/>
      <c r="J181" s="515">
        <v>1</v>
      </c>
    </row>
    <row r="182" spans="1:10" ht="13.8" thickBot="1">
      <c r="A182" s="517"/>
      <c r="B182" s="518" t="s">
        <v>14201</v>
      </c>
      <c r="C182" s="516"/>
      <c r="D182" s="514" t="s">
        <v>14200</v>
      </c>
      <c r="E182" s="515">
        <v>6.25</v>
      </c>
      <c r="F182" s="518" t="s">
        <v>614</v>
      </c>
      <c r="G182" s="515" t="s">
        <v>1793</v>
      </c>
      <c r="H182" s="514" t="s">
        <v>1224</v>
      </c>
      <c r="I182" s="515"/>
      <c r="J182" s="515">
        <v>3</v>
      </c>
    </row>
    <row r="183" spans="1:10" ht="13.8" thickBot="1">
      <c r="A183" s="517"/>
      <c r="B183" s="518" t="s">
        <v>12379</v>
      </c>
      <c r="C183" s="516"/>
      <c r="D183" s="514" t="s">
        <v>12378</v>
      </c>
      <c r="E183" s="515">
        <v>6.3</v>
      </c>
      <c r="F183" s="518" t="s">
        <v>614</v>
      </c>
      <c r="G183" s="515" t="s">
        <v>4160</v>
      </c>
      <c r="H183" s="514" t="s">
        <v>1226</v>
      </c>
      <c r="I183" s="515"/>
      <c r="J183" s="515">
        <v>11</v>
      </c>
    </row>
    <row r="184" spans="1:10" ht="13.8" thickBot="1">
      <c r="A184" s="517"/>
      <c r="B184" s="518" t="s">
        <v>13359</v>
      </c>
      <c r="C184" s="516"/>
      <c r="D184" s="514" t="s">
        <v>13358</v>
      </c>
      <c r="E184" s="515">
        <v>5.5</v>
      </c>
      <c r="F184" s="518" t="s">
        <v>614</v>
      </c>
      <c r="G184" s="515" t="s">
        <v>2523</v>
      </c>
      <c r="H184" s="514"/>
      <c r="I184" s="522"/>
      <c r="J184" s="522">
        <v>2</v>
      </c>
    </row>
    <row r="185" spans="1:10" ht="13.8" thickBot="1">
      <c r="A185" s="517"/>
      <c r="B185" s="518" t="s">
        <v>12994</v>
      </c>
      <c r="C185" s="516"/>
      <c r="D185" s="514" t="s">
        <v>12993</v>
      </c>
      <c r="E185" s="515">
        <v>3</v>
      </c>
      <c r="F185" s="514"/>
      <c r="G185" s="515" t="s">
        <v>2957</v>
      </c>
      <c r="H185" s="514"/>
      <c r="I185" s="522"/>
      <c r="J185" s="522">
        <v>1</v>
      </c>
    </row>
    <row r="186" spans="1:10" ht="13.8" thickBot="1">
      <c r="A186" s="517"/>
      <c r="B186" s="518" t="s">
        <v>11804</v>
      </c>
      <c r="C186" s="516"/>
      <c r="D186" s="514" t="s">
        <v>11533</v>
      </c>
      <c r="E186" s="515"/>
      <c r="F186" s="514"/>
      <c r="G186" s="515" t="s">
        <v>11525</v>
      </c>
      <c r="H186" s="514"/>
      <c r="I186" s="522"/>
      <c r="J186" s="522"/>
    </row>
    <row r="187" spans="1:10" ht="13.8" thickBot="1">
      <c r="A187" s="517"/>
      <c r="B187" s="518" t="s">
        <v>11803</v>
      </c>
      <c r="C187" s="516"/>
      <c r="D187" s="514" t="s">
        <v>11533</v>
      </c>
      <c r="E187" s="515"/>
      <c r="F187" s="514"/>
      <c r="G187" s="515" t="s">
        <v>11525</v>
      </c>
      <c r="H187" s="514"/>
      <c r="I187" s="522"/>
      <c r="J187" s="522"/>
    </row>
    <row r="188" spans="1:10" ht="13.8" thickBot="1">
      <c r="A188" s="517"/>
      <c r="B188" s="518" t="s">
        <v>12897</v>
      </c>
      <c r="C188" s="516"/>
      <c r="D188" s="514" t="s">
        <v>12896</v>
      </c>
      <c r="E188" s="515">
        <v>5</v>
      </c>
      <c r="F188" s="518" t="s">
        <v>614</v>
      </c>
      <c r="G188" s="515" t="s">
        <v>3285</v>
      </c>
      <c r="H188" s="514"/>
      <c r="I188" s="522"/>
      <c r="J188" s="522">
        <v>4</v>
      </c>
    </row>
    <row r="189" spans="1:10" ht="13.8" thickBot="1">
      <c r="A189" s="517"/>
      <c r="B189" s="518" t="s">
        <v>12291</v>
      </c>
      <c r="C189" s="516"/>
      <c r="D189" s="514" t="s">
        <v>1607</v>
      </c>
      <c r="E189" s="515">
        <v>3</v>
      </c>
      <c r="F189" s="514"/>
      <c r="G189" s="515" t="s">
        <v>4214</v>
      </c>
      <c r="H189" s="514"/>
      <c r="I189" s="515"/>
      <c r="J189" s="515">
        <v>1</v>
      </c>
    </row>
    <row r="190" spans="1:10" ht="13.8" thickBot="1">
      <c r="A190" s="517"/>
      <c r="B190" s="518" t="s">
        <v>12727</v>
      </c>
      <c r="C190" s="516"/>
      <c r="D190" s="514" t="s">
        <v>1452</v>
      </c>
      <c r="E190" s="515">
        <v>5</v>
      </c>
      <c r="F190" s="514"/>
      <c r="G190" s="515" t="s">
        <v>3517</v>
      </c>
      <c r="H190" s="514"/>
      <c r="I190" s="515"/>
      <c r="J190" s="515">
        <v>1</v>
      </c>
    </row>
    <row r="191" spans="1:10" ht="13.8" thickBot="1">
      <c r="A191" s="517"/>
      <c r="B191" s="518" t="s">
        <v>14120</v>
      </c>
      <c r="C191" s="516"/>
      <c r="D191" s="514" t="s">
        <v>1792</v>
      </c>
      <c r="E191" s="515">
        <v>5</v>
      </c>
      <c r="F191" s="514"/>
      <c r="G191" s="515" t="s">
        <v>1793</v>
      </c>
      <c r="H191" s="514"/>
      <c r="I191" s="515"/>
      <c r="J191" s="515">
        <v>1</v>
      </c>
    </row>
    <row r="192" spans="1:10" ht="13.8" thickBot="1">
      <c r="A192" s="517"/>
      <c r="B192" s="518" t="s">
        <v>13326</v>
      </c>
      <c r="C192" s="516"/>
      <c r="D192" s="514" t="s">
        <v>1300</v>
      </c>
      <c r="E192" s="515">
        <v>5</v>
      </c>
      <c r="F192" s="514"/>
      <c r="G192" s="515" t="s">
        <v>2523</v>
      </c>
      <c r="H192" s="514" t="s">
        <v>1224</v>
      </c>
      <c r="I192" s="515"/>
      <c r="J192" s="515">
        <v>1</v>
      </c>
    </row>
    <row r="193" spans="1:10" ht="13.8" thickBot="1">
      <c r="A193" s="517"/>
      <c r="B193" s="518" t="s">
        <v>13325</v>
      </c>
      <c r="C193" s="516"/>
      <c r="D193" s="514" t="s">
        <v>1300</v>
      </c>
      <c r="E193" s="515">
        <v>5</v>
      </c>
      <c r="F193" s="514"/>
      <c r="G193" s="515" t="s">
        <v>2523</v>
      </c>
      <c r="H193" s="514" t="s">
        <v>1224</v>
      </c>
      <c r="I193" s="515"/>
      <c r="J193" s="515">
        <v>1</v>
      </c>
    </row>
    <row r="194" spans="1:10" ht="13.8" thickBot="1">
      <c r="A194" s="517"/>
      <c r="B194" s="518" t="s">
        <v>13952</v>
      </c>
      <c r="C194" s="516"/>
      <c r="D194" s="514" t="s">
        <v>1252</v>
      </c>
      <c r="E194" s="515">
        <v>2</v>
      </c>
      <c r="F194" s="514"/>
      <c r="G194" s="515" t="s">
        <v>1922</v>
      </c>
      <c r="H194" s="514"/>
      <c r="I194" s="515"/>
      <c r="J194" s="515">
        <v>1</v>
      </c>
    </row>
    <row r="195" spans="1:10" ht="13.8" thickBot="1">
      <c r="A195" s="517"/>
      <c r="B195" s="518" t="s">
        <v>12287</v>
      </c>
      <c r="C195" s="516"/>
      <c r="D195" s="514" t="s">
        <v>1607</v>
      </c>
      <c r="E195" s="515">
        <v>2</v>
      </c>
      <c r="F195" s="514"/>
      <c r="G195" s="515" t="s">
        <v>4214</v>
      </c>
      <c r="H195" s="514"/>
      <c r="I195" s="515"/>
      <c r="J195" s="515">
        <v>1</v>
      </c>
    </row>
    <row r="196" spans="1:10" ht="13.8" thickBot="1">
      <c r="A196" s="517"/>
      <c r="B196" s="518" t="s">
        <v>11802</v>
      </c>
      <c r="C196" s="516"/>
      <c r="D196" s="514" t="s">
        <v>11533</v>
      </c>
      <c r="E196" s="515">
        <v>5</v>
      </c>
      <c r="F196" s="514"/>
      <c r="G196" s="515" t="s">
        <v>11525</v>
      </c>
      <c r="H196" s="514"/>
      <c r="I196" s="515"/>
      <c r="J196" s="515">
        <v>1</v>
      </c>
    </row>
    <row r="197" spans="1:10" ht="13.8" thickBot="1">
      <c r="A197" s="517"/>
      <c r="B197" s="518" t="s">
        <v>12506</v>
      </c>
      <c r="C197" s="516"/>
      <c r="D197" s="514" t="s">
        <v>12505</v>
      </c>
      <c r="E197" s="515">
        <v>5</v>
      </c>
      <c r="F197" s="518" t="s">
        <v>614</v>
      </c>
      <c r="G197" s="515" t="s">
        <v>3856</v>
      </c>
      <c r="H197" s="514" t="s">
        <v>1226</v>
      </c>
      <c r="I197" s="515"/>
      <c r="J197" s="515">
        <v>2</v>
      </c>
    </row>
    <row r="198" spans="1:10" ht="13.8" thickBot="1">
      <c r="A198" s="517"/>
      <c r="B198" s="518" t="s">
        <v>11801</v>
      </c>
      <c r="C198" s="516"/>
      <c r="D198" s="514" t="s">
        <v>11533</v>
      </c>
      <c r="E198" s="515">
        <v>5</v>
      </c>
      <c r="F198" s="514"/>
      <c r="G198" s="515" t="s">
        <v>11525</v>
      </c>
      <c r="H198" s="514" t="s">
        <v>1226</v>
      </c>
      <c r="I198" s="515"/>
      <c r="J198" s="515">
        <v>1</v>
      </c>
    </row>
    <row r="199" spans="1:10" ht="13.8" thickBot="1">
      <c r="A199" s="517"/>
      <c r="B199" s="518" t="s">
        <v>13513</v>
      </c>
      <c r="C199" s="516"/>
      <c r="D199" s="514" t="s">
        <v>13512</v>
      </c>
      <c r="E199" s="515">
        <v>6.75</v>
      </c>
      <c r="F199" s="514"/>
      <c r="G199" s="515" t="s">
        <v>2523</v>
      </c>
      <c r="H199" s="514"/>
      <c r="I199" s="515"/>
      <c r="J199" s="515">
        <v>1</v>
      </c>
    </row>
    <row r="200" spans="1:10" ht="13.8" thickBot="1">
      <c r="A200" s="517"/>
      <c r="B200" s="518" t="s">
        <v>13621</v>
      </c>
      <c r="C200" s="516"/>
      <c r="D200" s="514" t="s">
        <v>1726</v>
      </c>
      <c r="E200" s="515">
        <v>5</v>
      </c>
      <c r="F200" s="514"/>
      <c r="G200" s="515" t="s">
        <v>2289</v>
      </c>
      <c r="H200" s="514"/>
      <c r="I200" s="515"/>
      <c r="J200" s="515">
        <v>1</v>
      </c>
    </row>
    <row r="201" spans="1:10" ht="13.8" thickBot="1">
      <c r="A201" s="517"/>
      <c r="B201" s="518" t="s">
        <v>13061</v>
      </c>
      <c r="C201" s="516"/>
      <c r="D201" s="514" t="s">
        <v>1552</v>
      </c>
      <c r="E201" s="515">
        <v>5.5</v>
      </c>
      <c r="F201" s="514"/>
      <c r="G201" s="515" t="s">
        <v>2957</v>
      </c>
      <c r="H201" s="514" t="s">
        <v>1224</v>
      </c>
      <c r="I201" s="515"/>
      <c r="J201" s="515">
        <v>1</v>
      </c>
    </row>
    <row r="202" spans="1:10" ht="13.8" thickBot="1">
      <c r="A202" s="517"/>
      <c r="B202" s="518" t="s">
        <v>12783</v>
      </c>
      <c r="C202" s="516"/>
      <c r="D202" s="514" t="s">
        <v>12782</v>
      </c>
      <c r="E202" s="515">
        <v>6.5</v>
      </c>
      <c r="F202" s="518" t="s">
        <v>614</v>
      </c>
      <c r="G202" s="515" t="s">
        <v>3517</v>
      </c>
      <c r="H202" s="514" t="s">
        <v>1226</v>
      </c>
      <c r="I202" s="515"/>
      <c r="J202" s="515">
        <v>6</v>
      </c>
    </row>
    <row r="203" spans="1:10" ht="13.8" thickBot="1">
      <c r="A203" s="517"/>
      <c r="B203" s="518" t="s">
        <v>11917</v>
      </c>
      <c r="C203" s="516"/>
      <c r="D203" s="514" t="s">
        <v>5227</v>
      </c>
      <c r="E203" s="515">
        <v>6.25</v>
      </c>
      <c r="F203" s="518" t="s">
        <v>614</v>
      </c>
      <c r="G203" s="515" t="s">
        <v>5226</v>
      </c>
      <c r="H203" s="514" t="s">
        <v>1226</v>
      </c>
      <c r="I203" s="515">
        <v>1</v>
      </c>
      <c r="J203" s="515">
        <v>3</v>
      </c>
    </row>
    <row r="204" spans="1:10" ht="13.8" thickBot="1">
      <c r="A204" s="517"/>
      <c r="B204" s="518" t="s">
        <v>11800</v>
      </c>
      <c r="C204" s="516"/>
      <c r="D204" s="514" t="s">
        <v>11533</v>
      </c>
      <c r="E204" s="515">
        <v>7.5</v>
      </c>
      <c r="F204" s="514"/>
      <c r="G204" s="515" t="s">
        <v>11525</v>
      </c>
      <c r="H204" s="514"/>
      <c r="I204" s="515"/>
      <c r="J204" s="515"/>
    </row>
    <row r="205" spans="1:10" ht="13.8" thickBot="1">
      <c r="A205" s="517"/>
      <c r="B205" s="518" t="s">
        <v>11799</v>
      </c>
      <c r="C205" s="516"/>
      <c r="D205" s="514" t="s">
        <v>11533</v>
      </c>
      <c r="E205" s="515">
        <v>8</v>
      </c>
      <c r="F205" s="514"/>
      <c r="G205" s="515" t="s">
        <v>11525</v>
      </c>
      <c r="H205" s="514"/>
      <c r="I205" s="515"/>
      <c r="J205" s="515"/>
    </row>
    <row r="206" spans="1:10" ht="13.8" thickBot="1">
      <c r="A206" s="517"/>
      <c r="B206" s="518" t="s">
        <v>13267</v>
      </c>
      <c r="C206" s="516"/>
      <c r="D206" s="514" t="s">
        <v>1300</v>
      </c>
      <c r="E206" s="515">
        <v>4</v>
      </c>
      <c r="F206" s="518" t="s">
        <v>614</v>
      </c>
      <c r="G206" s="515" t="s">
        <v>2523</v>
      </c>
      <c r="H206" s="514"/>
      <c r="I206" s="522"/>
      <c r="J206" s="522">
        <v>1</v>
      </c>
    </row>
    <row r="207" spans="1:10" ht="13.8" thickBot="1">
      <c r="A207" s="517"/>
      <c r="B207" s="518" t="s">
        <v>13759</v>
      </c>
      <c r="C207" s="516"/>
      <c r="D207" s="519" t="s">
        <v>13758</v>
      </c>
      <c r="E207" s="515">
        <v>5.5</v>
      </c>
      <c r="F207" s="518" t="s">
        <v>614</v>
      </c>
      <c r="G207" s="515" t="s">
        <v>2216</v>
      </c>
      <c r="H207" s="514" t="s">
        <v>1226</v>
      </c>
      <c r="I207" s="522"/>
      <c r="J207" s="522">
        <v>12</v>
      </c>
    </row>
    <row r="208" spans="1:10" ht="13.8" thickBot="1">
      <c r="A208" s="517"/>
      <c r="B208" s="518" t="s">
        <v>14218</v>
      </c>
      <c r="C208" s="516"/>
      <c r="D208" s="514" t="s">
        <v>1797</v>
      </c>
      <c r="E208" s="515">
        <v>6.5</v>
      </c>
      <c r="F208" s="518" t="s">
        <v>614</v>
      </c>
      <c r="G208" s="515" t="s">
        <v>1793</v>
      </c>
      <c r="H208" s="514"/>
      <c r="I208" s="522"/>
      <c r="J208" s="522">
        <v>2</v>
      </c>
    </row>
    <row r="209" spans="1:10" ht="13.8" thickBot="1">
      <c r="A209" s="517"/>
      <c r="B209" s="518" t="s">
        <v>13936</v>
      </c>
      <c r="C209" s="516"/>
      <c r="D209" s="514" t="s">
        <v>13935</v>
      </c>
      <c r="E209" s="515">
        <v>7.5</v>
      </c>
      <c r="F209" s="518" t="s">
        <v>614</v>
      </c>
      <c r="G209" s="515" t="s">
        <v>2032</v>
      </c>
      <c r="H209" s="514" t="s">
        <v>1226</v>
      </c>
      <c r="I209" s="515"/>
      <c r="J209" s="515">
        <v>2</v>
      </c>
    </row>
    <row r="210" spans="1:10" ht="13.8" thickBot="1">
      <c r="A210" s="517"/>
      <c r="B210" s="518" t="s">
        <v>12016</v>
      </c>
      <c r="C210" s="516"/>
      <c r="D210" s="514" t="s">
        <v>5088</v>
      </c>
      <c r="E210" s="515">
        <v>6.5</v>
      </c>
      <c r="F210" s="518" t="s">
        <v>614</v>
      </c>
      <c r="G210" s="515" t="s">
        <v>5086</v>
      </c>
      <c r="H210" s="514"/>
      <c r="I210" s="515"/>
      <c r="J210" s="515">
        <v>2</v>
      </c>
    </row>
    <row r="211" spans="1:10" ht="13.8" thickBot="1">
      <c r="A211" s="517"/>
      <c r="B211" s="518" t="s">
        <v>12932</v>
      </c>
      <c r="C211" s="516"/>
      <c r="D211" s="514" t="s">
        <v>12931</v>
      </c>
      <c r="E211" s="515">
        <v>6.3</v>
      </c>
      <c r="F211" s="518" t="s">
        <v>1854</v>
      </c>
      <c r="G211" s="515" t="s">
        <v>3161</v>
      </c>
      <c r="H211" s="514"/>
      <c r="I211" s="515"/>
      <c r="J211" s="515">
        <v>1</v>
      </c>
    </row>
    <row r="212" spans="1:10" ht="13.8" thickBot="1">
      <c r="A212" s="517"/>
      <c r="B212" s="518" t="s">
        <v>11904</v>
      </c>
      <c r="C212" s="516"/>
      <c r="D212" s="514" t="s">
        <v>11903</v>
      </c>
      <c r="E212" s="515">
        <v>6.4</v>
      </c>
      <c r="F212" s="518" t="s">
        <v>614</v>
      </c>
      <c r="G212" s="515" t="s">
        <v>5248</v>
      </c>
      <c r="H212" s="514" t="s">
        <v>1226</v>
      </c>
      <c r="I212" s="515"/>
      <c r="J212" s="515">
        <v>7</v>
      </c>
    </row>
    <row r="213" spans="1:10" ht="13.8" thickBot="1">
      <c r="A213" s="517"/>
      <c r="B213" s="518" t="s">
        <v>12468</v>
      </c>
      <c r="C213" s="516"/>
      <c r="D213" s="514" t="s">
        <v>1525</v>
      </c>
      <c r="E213" s="515">
        <v>6.4</v>
      </c>
      <c r="F213" s="518" t="s">
        <v>614</v>
      </c>
      <c r="G213" s="515" t="s">
        <v>3996</v>
      </c>
      <c r="H213" s="514" t="s">
        <v>1224</v>
      </c>
      <c r="I213" s="515"/>
      <c r="J213" s="515">
        <v>7</v>
      </c>
    </row>
    <row r="214" spans="1:10" ht="13.8" thickBot="1">
      <c r="A214" s="517"/>
      <c r="B214" s="518" t="s">
        <v>11798</v>
      </c>
      <c r="C214" s="516"/>
      <c r="D214" s="514" t="s">
        <v>11797</v>
      </c>
      <c r="E214" s="515">
        <v>5</v>
      </c>
      <c r="F214" s="514"/>
      <c r="G214" s="515" t="s">
        <v>11525</v>
      </c>
      <c r="H214" s="514"/>
      <c r="I214" s="515"/>
      <c r="J214" s="515">
        <v>1</v>
      </c>
    </row>
    <row r="215" spans="1:10" ht="13.8" thickBot="1">
      <c r="A215" s="517"/>
      <c r="B215" s="518" t="s">
        <v>14178</v>
      </c>
      <c r="C215" s="516"/>
      <c r="D215" s="514" t="s">
        <v>14177</v>
      </c>
      <c r="E215" s="515">
        <v>5.75</v>
      </c>
      <c r="F215" s="518" t="s">
        <v>614</v>
      </c>
      <c r="G215" s="515" t="s">
        <v>1793</v>
      </c>
      <c r="H215" s="514"/>
      <c r="I215" s="515"/>
      <c r="J215" s="515">
        <v>2</v>
      </c>
    </row>
    <row r="216" spans="1:10" ht="13.8" thickBot="1">
      <c r="A216" s="517"/>
      <c r="B216" s="518" t="s">
        <v>12230</v>
      </c>
      <c r="C216" s="516"/>
      <c r="D216" s="514" t="s">
        <v>4635</v>
      </c>
      <c r="E216" s="515">
        <v>5</v>
      </c>
      <c r="F216" s="518" t="s">
        <v>1854</v>
      </c>
      <c r="G216" s="515" t="s">
        <v>4628</v>
      </c>
      <c r="H216" s="514"/>
      <c r="I216" s="515"/>
      <c r="J216" s="515"/>
    </row>
    <row r="217" spans="1:10" ht="13.8" thickBot="1">
      <c r="A217" s="517"/>
      <c r="B217" s="518" t="s">
        <v>12316</v>
      </c>
      <c r="C217" s="516"/>
      <c r="D217" s="514" t="s">
        <v>4220</v>
      </c>
      <c r="E217" s="515">
        <v>5.5</v>
      </c>
      <c r="F217" s="518" t="s">
        <v>614</v>
      </c>
      <c r="G217" s="515" t="s">
        <v>4214</v>
      </c>
      <c r="H217" s="514" t="s">
        <v>1251</v>
      </c>
      <c r="I217" s="515">
        <v>1</v>
      </c>
      <c r="J217" s="515">
        <v>2</v>
      </c>
    </row>
    <row r="218" spans="1:10" ht="13.8" thickBot="1">
      <c r="A218" s="517"/>
      <c r="B218" s="518" t="s">
        <v>12040</v>
      </c>
      <c r="C218" s="516"/>
      <c r="D218" s="514" t="s">
        <v>12039</v>
      </c>
      <c r="E218" s="515">
        <v>5.5</v>
      </c>
      <c r="F218" s="518" t="s">
        <v>1854</v>
      </c>
      <c r="G218" s="515" t="s">
        <v>5031</v>
      </c>
      <c r="H218" s="514" t="s">
        <v>1224</v>
      </c>
      <c r="I218" s="515"/>
      <c r="J218" s="515">
        <v>1</v>
      </c>
    </row>
    <row r="219" spans="1:10" ht="13.8" thickBot="1">
      <c r="A219" s="517"/>
      <c r="B219" s="518" t="s">
        <v>12954</v>
      </c>
      <c r="C219" s="516"/>
      <c r="D219" s="514" t="s">
        <v>12953</v>
      </c>
      <c r="E219" s="515">
        <v>7</v>
      </c>
      <c r="F219" s="518" t="s">
        <v>614</v>
      </c>
      <c r="G219" s="515" t="s">
        <v>3161</v>
      </c>
      <c r="H219" s="514"/>
      <c r="I219" s="515"/>
      <c r="J219" s="515">
        <v>1</v>
      </c>
    </row>
    <row r="220" spans="1:10" ht="13.8" thickBot="1">
      <c r="A220" s="517"/>
      <c r="B220" s="518" t="s">
        <v>12339</v>
      </c>
      <c r="C220" s="516"/>
      <c r="D220" s="514" t="s">
        <v>12338</v>
      </c>
      <c r="E220" s="515">
        <v>6.25</v>
      </c>
      <c r="F220" s="518" t="s">
        <v>614</v>
      </c>
      <c r="G220" s="515" t="s">
        <v>4214</v>
      </c>
      <c r="H220" s="514" t="s">
        <v>1224</v>
      </c>
      <c r="I220" s="515">
        <v>2</v>
      </c>
      <c r="J220" s="515">
        <v>3</v>
      </c>
    </row>
    <row r="221" spans="1:10" ht="13.8" thickBot="1">
      <c r="A221" s="517"/>
      <c r="B221" s="518" t="s">
        <v>12349</v>
      </c>
      <c r="C221" s="516"/>
      <c r="D221" s="514" t="s">
        <v>12348</v>
      </c>
      <c r="E221" s="515">
        <v>6.75</v>
      </c>
      <c r="F221" s="518" t="s">
        <v>614</v>
      </c>
      <c r="G221" s="515" t="s">
        <v>4214</v>
      </c>
      <c r="H221" s="514" t="s">
        <v>1226</v>
      </c>
      <c r="I221" s="515"/>
      <c r="J221" s="515">
        <v>3</v>
      </c>
    </row>
    <row r="222" spans="1:10" ht="13.8" thickBot="1">
      <c r="A222" s="517"/>
      <c r="B222" s="518" t="s">
        <v>13073</v>
      </c>
      <c r="C222" s="516"/>
      <c r="D222" s="514" t="s">
        <v>13072</v>
      </c>
      <c r="E222" s="515">
        <v>5.5</v>
      </c>
      <c r="F222" s="518" t="s">
        <v>614</v>
      </c>
      <c r="G222" s="515" t="s">
        <v>2957</v>
      </c>
      <c r="H222" s="514" t="s">
        <v>1224</v>
      </c>
      <c r="I222" s="515"/>
      <c r="J222" s="515">
        <v>3</v>
      </c>
    </row>
    <row r="223" spans="1:10" ht="13.8" thickBot="1">
      <c r="A223" s="517"/>
      <c r="B223" s="518" t="s">
        <v>11957</v>
      </c>
      <c r="C223" s="516"/>
      <c r="D223" s="514" t="s">
        <v>11956</v>
      </c>
      <c r="E223" s="515">
        <v>6</v>
      </c>
      <c r="F223" s="518" t="s">
        <v>614</v>
      </c>
      <c r="G223" s="515" t="s">
        <v>5196</v>
      </c>
      <c r="H223" s="514"/>
      <c r="I223" s="515"/>
      <c r="J223" s="515">
        <v>1</v>
      </c>
    </row>
    <row r="224" spans="1:10" ht="13.8" thickBot="1">
      <c r="A224" s="517"/>
      <c r="B224" s="518" t="s">
        <v>12492</v>
      </c>
      <c r="C224" s="516"/>
      <c r="D224" s="514" t="s">
        <v>3908</v>
      </c>
      <c r="E224" s="515">
        <v>6.5</v>
      </c>
      <c r="F224" s="518" t="s">
        <v>614</v>
      </c>
      <c r="G224" s="515" t="s">
        <v>3903</v>
      </c>
      <c r="H224" s="514" t="s">
        <v>1226</v>
      </c>
      <c r="I224" s="515">
        <v>1</v>
      </c>
      <c r="J224" s="515">
        <v>9</v>
      </c>
    </row>
    <row r="225" spans="1:10" ht="13.8" thickBot="1">
      <c r="A225" s="517"/>
      <c r="B225" s="518" t="s">
        <v>12942</v>
      </c>
      <c r="C225" s="516"/>
      <c r="D225" s="514" t="s">
        <v>12941</v>
      </c>
      <c r="E225" s="515">
        <v>6.5</v>
      </c>
      <c r="F225" s="518" t="s">
        <v>614</v>
      </c>
      <c r="G225" s="515" t="s">
        <v>3161</v>
      </c>
      <c r="H225" s="514" t="s">
        <v>1226</v>
      </c>
      <c r="I225" s="515">
        <v>1</v>
      </c>
      <c r="J225" s="515">
        <v>4</v>
      </c>
    </row>
    <row r="226" spans="1:10" ht="13.8" thickBot="1">
      <c r="A226" s="517"/>
      <c r="B226" s="518" t="s">
        <v>14152</v>
      </c>
      <c r="C226" s="516"/>
      <c r="D226" s="514" t="s">
        <v>1792</v>
      </c>
      <c r="E226" s="515">
        <v>5</v>
      </c>
      <c r="F226" s="518" t="s">
        <v>614</v>
      </c>
      <c r="G226" s="515" t="s">
        <v>1793</v>
      </c>
      <c r="H226" s="514" t="s">
        <v>1226</v>
      </c>
      <c r="I226" s="515"/>
      <c r="J226" s="515">
        <v>2</v>
      </c>
    </row>
    <row r="227" spans="1:10" ht="13.8" thickBot="1">
      <c r="A227" s="517"/>
      <c r="B227" s="518" t="s">
        <v>12390</v>
      </c>
      <c r="C227" s="516"/>
      <c r="D227" s="514" t="s">
        <v>4142</v>
      </c>
      <c r="E227" s="515">
        <v>5</v>
      </c>
      <c r="F227" s="518" t="s">
        <v>614</v>
      </c>
      <c r="G227" s="515" t="s">
        <v>4140</v>
      </c>
      <c r="H227" s="514" t="s">
        <v>1220</v>
      </c>
      <c r="I227" s="515"/>
      <c r="J227" s="515">
        <v>2</v>
      </c>
    </row>
    <row r="228" spans="1:10" ht="13.8" thickBot="1">
      <c r="A228" s="517"/>
      <c r="B228" s="518" t="s">
        <v>13409</v>
      </c>
      <c r="C228" s="516"/>
      <c r="D228" s="514" t="s">
        <v>13408</v>
      </c>
      <c r="E228" s="515">
        <v>6</v>
      </c>
      <c r="F228" s="518" t="s">
        <v>1854</v>
      </c>
      <c r="G228" s="515" t="s">
        <v>2523</v>
      </c>
      <c r="H228" s="514"/>
      <c r="I228" s="515"/>
      <c r="J228" s="515">
        <v>2</v>
      </c>
    </row>
    <row r="229" spans="1:10" ht="13.8" thickBot="1">
      <c r="A229" s="517"/>
      <c r="B229" s="518" t="s">
        <v>13109</v>
      </c>
      <c r="C229" s="516"/>
      <c r="D229" s="514" t="s">
        <v>13108</v>
      </c>
      <c r="E229" s="515">
        <v>6.25</v>
      </c>
      <c r="F229" s="518" t="s">
        <v>614</v>
      </c>
      <c r="G229" s="515" t="s">
        <v>2957</v>
      </c>
      <c r="H229" s="514" t="s">
        <v>1226</v>
      </c>
      <c r="I229" s="515">
        <v>1</v>
      </c>
      <c r="J229" s="515">
        <v>5</v>
      </c>
    </row>
    <row r="230" spans="1:10" ht="13.8" thickBot="1">
      <c r="A230" s="517"/>
      <c r="B230" s="518" t="s">
        <v>12843</v>
      </c>
      <c r="C230" s="516"/>
      <c r="D230" s="514" t="s">
        <v>12842</v>
      </c>
      <c r="E230" s="515">
        <v>5.5</v>
      </c>
      <c r="F230" s="518" t="s">
        <v>614</v>
      </c>
      <c r="G230" s="515" t="s">
        <v>3452</v>
      </c>
      <c r="H230" s="514" t="s">
        <v>1226</v>
      </c>
      <c r="I230" s="515"/>
      <c r="J230" s="515">
        <v>2</v>
      </c>
    </row>
    <row r="231" spans="1:10" ht="13.8" thickBot="1">
      <c r="A231" s="517"/>
      <c r="B231" s="518" t="s">
        <v>13224</v>
      </c>
      <c r="C231" s="516"/>
      <c r="D231" s="514" t="s">
        <v>13223</v>
      </c>
      <c r="E231" s="515">
        <v>7</v>
      </c>
      <c r="F231" s="518" t="s">
        <v>614</v>
      </c>
      <c r="G231" s="515" t="s">
        <v>2797</v>
      </c>
      <c r="H231" s="514"/>
      <c r="I231" s="515">
        <v>1</v>
      </c>
      <c r="J231" s="515">
        <v>6</v>
      </c>
    </row>
    <row r="232" spans="1:10" ht="13.8" thickBot="1">
      <c r="A232" s="517"/>
      <c r="B232" s="518" t="s">
        <v>13413</v>
      </c>
      <c r="C232" s="516"/>
      <c r="D232" s="514" t="s">
        <v>1300</v>
      </c>
      <c r="E232" s="515">
        <v>6</v>
      </c>
      <c r="F232" s="518" t="s">
        <v>1854</v>
      </c>
      <c r="G232" s="515" t="s">
        <v>2523</v>
      </c>
      <c r="H232" s="514" t="s">
        <v>13412</v>
      </c>
      <c r="I232" s="515">
        <v>1</v>
      </c>
      <c r="J232" s="515">
        <v>2</v>
      </c>
    </row>
    <row r="233" spans="1:10" ht="13.8" thickBot="1">
      <c r="A233" s="517"/>
      <c r="B233" s="518" t="s">
        <v>14199</v>
      </c>
      <c r="C233" s="516"/>
      <c r="D233" s="514" t="s">
        <v>1792</v>
      </c>
      <c r="E233" s="515">
        <v>6.25</v>
      </c>
      <c r="F233" s="518" t="s">
        <v>614</v>
      </c>
      <c r="G233" s="515" t="s">
        <v>1793</v>
      </c>
      <c r="H233" s="514"/>
      <c r="I233" s="515">
        <v>1</v>
      </c>
      <c r="J233" s="515">
        <v>2</v>
      </c>
    </row>
    <row r="234" spans="1:10" ht="13.8" thickBot="1">
      <c r="A234" s="517"/>
      <c r="B234" s="518" t="s">
        <v>13974</v>
      </c>
      <c r="C234" s="516"/>
      <c r="D234" s="514" t="s">
        <v>13973</v>
      </c>
      <c r="E234" s="515">
        <v>6</v>
      </c>
      <c r="F234" s="518" t="s">
        <v>614</v>
      </c>
      <c r="G234" s="515" t="s">
        <v>1922</v>
      </c>
      <c r="H234" s="514" t="s">
        <v>1224</v>
      </c>
      <c r="I234" s="515"/>
      <c r="J234" s="515">
        <v>4</v>
      </c>
    </row>
    <row r="235" spans="1:10" ht="13.8" thickBot="1">
      <c r="A235" s="517"/>
      <c r="B235" s="518" t="s">
        <v>13538</v>
      </c>
      <c r="C235" s="516"/>
      <c r="D235" s="514" t="s">
        <v>13537</v>
      </c>
      <c r="E235" s="515">
        <v>7</v>
      </c>
      <c r="F235" s="518" t="s">
        <v>614</v>
      </c>
      <c r="G235" s="515" t="s">
        <v>2523</v>
      </c>
      <c r="H235" s="514"/>
      <c r="I235" s="515"/>
      <c r="J235" s="515">
        <v>2</v>
      </c>
    </row>
    <row r="236" spans="1:10" ht="13.8" thickBot="1">
      <c r="A236" s="517"/>
      <c r="B236" s="518" t="s">
        <v>11796</v>
      </c>
      <c r="C236" s="516"/>
      <c r="D236" s="514" t="s">
        <v>11533</v>
      </c>
      <c r="E236" s="515">
        <v>6.5</v>
      </c>
      <c r="F236" s="514"/>
      <c r="G236" s="515" t="s">
        <v>11525</v>
      </c>
      <c r="H236" s="514"/>
      <c r="I236" s="515"/>
      <c r="J236" s="515"/>
    </row>
    <row r="237" spans="1:10" ht="13.8" thickBot="1">
      <c r="A237" s="517"/>
      <c r="B237" s="518" t="s">
        <v>11795</v>
      </c>
      <c r="C237" s="516"/>
      <c r="D237" s="514" t="s">
        <v>11533</v>
      </c>
      <c r="E237" s="515">
        <v>6.25</v>
      </c>
      <c r="F237" s="514"/>
      <c r="G237" s="515" t="s">
        <v>11525</v>
      </c>
      <c r="H237" s="514"/>
      <c r="I237" s="515"/>
      <c r="J237" s="515"/>
    </row>
    <row r="238" spans="1:10" ht="13.8" thickBot="1">
      <c r="A238" s="517"/>
      <c r="B238" s="518" t="s">
        <v>12262</v>
      </c>
      <c r="C238" s="516"/>
      <c r="D238" s="514" t="s">
        <v>4426</v>
      </c>
      <c r="E238" s="515">
        <v>6</v>
      </c>
      <c r="F238" s="514"/>
      <c r="G238" s="515" t="s">
        <v>4425</v>
      </c>
      <c r="H238" s="514"/>
      <c r="I238" s="515"/>
      <c r="J238" s="515"/>
    </row>
    <row r="239" spans="1:10" ht="13.8" thickBot="1">
      <c r="A239" s="517"/>
      <c r="B239" s="518" t="s">
        <v>11794</v>
      </c>
      <c r="C239" s="516"/>
      <c r="D239" s="514" t="s">
        <v>11533</v>
      </c>
      <c r="E239" s="515">
        <v>6.75</v>
      </c>
      <c r="F239" s="514"/>
      <c r="G239" s="515" t="s">
        <v>11525</v>
      </c>
      <c r="H239" s="514"/>
      <c r="I239" s="515"/>
      <c r="J239" s="515"/>
    </row>
    <row r="240" spans="1:10" ht="13.8" thickBot="1">
      <c r="A240" s="517"/>
      <c r="B240" s="518" t="s">
        <v>11793</v>
      </c>
      <c r="C240" s="516"/>
      <c r="D240" s="514" t="s">
        <v>11533</v>
      </c>
      <c r="E240" s="515">
        <v>7.75</v>
      </c>
      <c r="F240" s="514"/>
      <c r="G240" s="515" t="s">
        <v>11525</v>
      </c>
      <c r="H240" s="514"/>
      <c r="I240" s="515"/>
      <c r="J240" s="515"/>
    </row>
    <row r="241" spans="1:10" ht="13.8" thickBot="1">
      <c r="A241" s="517"/>
      <c r="B241" s="518" t="s">
        <v>11792</v>
      </c>
      <c r="C241" s="516"/>
      <c r="D241" s="514" t="s">
        <v>11791</v>
      </c>
      <c r="E241" s="515">
        <v>6.5</v>
      </c>
      <c r="F241" s="514"/>
      <c r="G241" s="515" t="s">
        <v>11525</v>
      </c>
      <c r="H241" s="514"/>
      <c r="I241" s="515"/>
      <c r="J241" s="515"/>
    </row>
    <row r="242" spans="1:10" ht="13.8" thickBot="1">
      <c r="A242" s="517"/>
      <c r="B242" s="518" t="s">
        <v>14190</v>
      </c>
      <c r="C242" s="516"/>
      <c r="D242" s="514" t="s">
        <v>14189</v>
      </c>
      <c r="E242" s="515">
        <v>6</v>
      </c>
      <c r="F242" s="518" t="s">
        <v>614</v>
      </c>
      <c r="G242" s="515" t="s">
        <v>1793</v>
      </c>
      <c r="H242" s="514" t="s">
        <v>1224</v>
      </c>
      <c r="I242" s="515">
        <v>1</v>
      </c>
      <c r="J242" s="515">
        <v>5</v>
      </c>
    </row>
    <row r="243" spans="1:10" ht="13.8" thickBot="1">
      <c r="A243" s="517"/>
      <c r="B243" s="518" t="s">
        <v>12875</v>
      </c>
      <c r="C243" s="516"/>
      <c r="D243" s="514" t="s">
        <v>12874</v>
      </c>
      <c r="E243" s="515">
        <v>6.75</v>
      </c>
      <c r="F243" s="518" t="s">
        <v>614</v>
      </c>
      <c r="G243" s="515" t="s">
        <v>3414</v>
      </c>
      <c r="H243" s="514" t="s">
        <v>1226</v>
      </c>
      <c r="I243" s="515"/>
      <c r="J243" s="515">
        <v>3</v>
      </c>
    </row>
    <row r="244" spans="1:10" ht="13.8" thickBot="1">
      <c r="A244" s="517"/>
      <c r="B244" s="518" t="s">
        <v>12455</v>
      </c>
      <c r="C244" s="516"/>
      <c r="D244" s="514" t="s">
        <v>12454</v>
      </c>
      <c r="E244" s="515">
        <v>7.5</v>
      </c>
      <c r="F244" s="518" t="s">
        <v>1854</v>
      </c>
      <c r="G244" s="515" t="s">
        <v>4067</v>
      </c>
      <c r="H244" s="514"/>
      <c r="I244" s="515"/>
      <c r="J244" s="515"/>
    </row>
    <row r="245" spans="1:10" ht="13.8" thickBot="1">
      <c r="A245" s="517"/>
      <c r="B245" s="518" t="s">
        <v>12973</v>
      </c>
      <c r="C245" s="516"/>
      <c r="D245" s="514" t="s">
        <v>3103</v>
      </c>
      <c r="E245" s="515">
        <v>6</v>
      </c>
      <c r="F245" s="518" t="s">
        <v>614</v>
      </c>
      <c r="G245" s="515" t="s">
        <v>3085</v>
      </c>
      <c r="H245" s="514" t="s">
        <v>1251</v>
      </c>
      <c r="I245" s="515">
        <v>1</v>
      </c>
      <c r="J245" s="515">
        <v>6</v>
      </c>
    </row>
    <row r="246" spans="1:10" ht="13.8" thickBot="1">
      <c r="A246" s="517"/>
      <c r="B246" s="518" t="s">
        <v>12478</v>
      </c>
      <c r="C246" s="516"/>
      <c r="D246" s="514" t="s">
        <v>12477</v>
      </c>
      <c r="E246" s="515">
        <v>7.25</v>
      </c>
      <c r="F246" s="518" t="s">
        <v>1854</v>
      </c>
      <c r="G246" s="515" t="s">
        <v>3957</v>
      </c>
      <c r="H246" s="514"/>
      <c r="I246" s="515"/>
      <c r="J246" s="515">
        <v>1</v>
      </c>
    </row>
    <row r="247" spans="1:10" ht="13.8" thickBot="1">
      <c r="A247" s="517"/>
      <c r="B247" s="518" t="s">
        <v>13818</v>
      </c>
      <c r="C247" s="516"/>
      <c r="D247" s="514" t="s">
        <v>13817</v>
      </c>
      <c r="E247" s="515">
        <v>6.6</v>
      </c>
      <c r="F247" s="518" t="s">
        <v>614</v>
      </c>
      <c r="G247" s="515" t="s">
        <v>2152</v>
      </c>
      <c r="H247" s="514" t="s">
        <v>1224</v>
      </c>
      <c r="I247" s="515">
        <v>2</v>
      </c>
      <c r="J247" s="515">
        <v>6</v>
      </c>
    </row>
    <row r="248" spans="1:10" ht="13.8" thickBot="1">
      <c r="A248" s="517"/>
      <c r="B248" s="518" t="s">
        <v>11942</v>
      </c>
      <c r="C248" s="516"/>
      <c r="D248" s="514" t="s">
        <v>11941</v>
      </c>
      <c r="E248" s="515">
        <v>7.75</v>
      </c>
      <c r="F248" s="518" t="s">
        <v>614</v>
      </c>
      <c r="G248" s="515" t="s">
        <v>5226</v>
      </c>
      <c r="H248" s="514" t="s">
        <v>1251</v>
      </c>
      <c r="I248" s="515"/>
      <c r="J248" s="515">
        <v>1</v>
      </c>
    </row>
    <row r="249" spans="1:10" ht="13.8" thickBot="1">
      <c r="A249" s="517"/>
      <c r="B249" s="518" t="s">
        <v>13669</v>
      </c>
      <c r="C249" s="516"/>
      <c r="D249" s="514" t="s">
        <v>13668</v>
      </c>
      <c r="E249" s="515">
        <v>6.25</v>
      </c>
      <c r="F249" s="518" t="s">
        <v>1854</v>
      </c>
      <c r="G249" s="515" t="s">
        <v>2289</v>
      </c>
      <c r="H249" s="514"/>
      <c r="I249" s="515"/>
      <c r="J249" s="515">
        <v>1</v>
      </c>
    </row>
    <row r="250" spans="1:10" ht="13.8" thickBot="1">
      <c r="A250" s="517"/>
      <c r="B250" s="518" t="s">
        <v>13896</v>
      </c>
      <c r="C250" s="516"/>
      <c r="D250" s="514" t="s">
        <v>2082</v>
      </c>
      <c r="E250" s="515">
        <v>6</v>
      </c>
      <c r="F250" s="518" t="s">
        <v>614</v>
      </c>
      <c r="G250" s="515" t="s">
        <v>2032</v>
      </c>
      <c r="H250" s="514" t="s">
        <v>1226</v>
      </c>
      <c r="I250" s="515"/>
      <c r="J250" s="515">
        <v>6</v>
      </c>
    </row>
    <row r="251" spans="1:10" ht="13.8" thickBot="1">
      <c r="A251" s="517"/>
      <c r="B251" s="518" t="s">
        <v>13496</v>
      </c>
      <c r="C251" s="516"/>
      <c r="D251" s="514" t="s">
        <v>13495</v>
      </c>
      <c r="E251" s="515">
        <v>6.5</v>
      </c>
      <c r="F251" s="518" t="s">
        <v>614</v>
      </c>
      <c r="G251" s="515" t="s">
        <v>2523</v>
      </c>
      <c r="H251" s="514" t="s">
        <v>1226</v>
      </c>
      <c r="I251" s="515">
        <v>1</v>
      </c>
      <c r="J251" s="515">
        <v>6</v>
      </c>
    </row>
    <row r="252" spans="1:10" ht="13.8" thickBot="1">
      <c r="A252" s="517"/>
      <c r="B252" s="518" t="s">
        <v>13542</v>
      </c>
      <c r="C252" s="516"/>
      <c r="D252" s="514" t="s">
        <v>1300</v>
      </c>
      <c r="E252" s="515">
        <v>7</v>
      </c>
      <c r="F252" s="518" t="s">
        <v>614</v>
      </c>
      <c r="G252" s="515" t="s">
        <v>2523</v>
      </c>
      <c r="H252" s="514" t="s">
        <v>1226</v>
      </c>
      <c r="I252" s="515">
        <v>2</v>
      </c>
      <c r="J252" s="515">
        <v>5</v>
      </c>
    </row>
    <row r="253" spans="1:10" ht="13.8" thickBot="1">
      <c r="A253" s="517"/>
      <c r="B253" s="518" t="s">
        <v>12948</v>
      </c>
      <c r="C253" s="516"/>
      <c r="D253" s="514" t="s">
        <v>1390</v>
      </c>
      <c r="E253" s="515">
        <v>7</v>
      </c>
      <c r="F253" s="518" t="s">
        <v>1854</v>
      </c>
      <c r="G253" s="515" t="s">
        <v>3161</v>
      </c>
      <c r="H253" s="514"/>
      <c r="I253" s="515"/>
      <c r="J253" s="515"/>
    </row>
    <row r="254" spans="1:10" ht="13.8" thickBot="1">
      <c r="A254" s="517"/>
      <c r="B254" s="518" t="s">
        <v>11790</v>
      </c>
      <c r="C254" s="516"/>
      <c r="D254" s="514" t="s">
        <v>11789</v>
      </c>
      <c r="E254" s="515">
        <v>6.5</v>
      </c>
      <c r="F254" s="514"/>
      <c r="G254" s="515" t="s">
        <v>11525</v>
      </c>
      <c r="H254" s="514"/>
      <c r="I254" s="515"/>
      <c r="J254" s="515"/>
    </row>
    <row r="255" spans="1:10" ht="13.8" thickBot="1">
      <c r="A255" s="517"/>
      <c r="B255" s="518" t="s">
        <v>11788</v>
      </c>
      <c r="C255" s="516"/>
      <c r="D255" s="514" t="s">
        <v>11533</v>
      </c>
      <c r="E255" s="515">
        <v>7</v>
      </c>
      <c r="F255" s="514"/>
      <c r="G255" s="515" t="s">
        <v>11525</v>
      </c>
      <c r="H255" s="514"/>
      <c r="I255" s="515"/>
      <c r="J255" s="515"/>
    </row>
    <row r="256" spans="1:10" ht="13.8" thickBot="1">
      <c r="A256" s="517"/>
      <c r="B256" s="518" t="s">
        <v>11787</v>
      </c>
      <c r="C256" s="516"/>
      <c r="D256" s="514" t="s">
        <v>11533</v>
      </c>
      <c r="E256" s="515">
        <v>7</v>
      </c>
      <c r="F256" s="514"/>
      <c r="G256" s="515" t="s">
        <v>11525</v>
      </c>
      <c r="H256" s="514"/>
      <c r="I256" s="515"/>
      <c r="J256" s="515"/>
    </row>
    <row r="257" spans="1:10" ht="13.8" thickBot="1">
      <c r="A257" s="517"/>
      <c r="B257" s="518" t="s">
        <v>11786</v>
      </c>
      <c r="C257" s="516"/>
      <c r="D257" s="514" t="s">
        <v>11533</v>
      </c>
      <c r="E257" s="515">
        <v>6.5</v>
      </c>
      <c r="F257" s="514"/>
      <c r="G257" s="515" t="s">
        <v>11525</v>
      </c>
      <c r="H257" s="514"/>
      <c r="I257" s="515"/>
      <c r="J257" s="515"/>
    </row>
    <row r="258" spans="1:10" ht="13.8" thickBot="1">
      <c r="A258" s="517"/>
      <c r="B258" s="518" t="s">
        <v>12238</v>
      </c>
      <c r="C258" s="516"/>
      <c r="D258" s="514" t="s">
        <v>12237</v>
      </c>
      <c r="E258" s="515">
        <v>5</v>
      </c>
      <c r="F258" s="518" t="s">
        <v>614</v>
      </c>
      <c r="G258" s="515" t="s">
        <v>4536</v>
      </c>
      <c r="H258" s="514"/>
      <c r="I258" s="515"/>
      <c r="J258" s="515">
        <v>1</v>
      </c>
    </row>
    <row r="259" spans="1:10" ht="13.8" thickBot="1">
      <c r="A259" s="517"/>
      <c r="B259" s="518" t="s">
        <v>14204</v>
      </c>
      <c r="C259" s="516"/>
      <c r="D259" s="514" t="s">
        <v>1792</v>
      </c>
      <c r="E259" s="515">
        <v>6.25</v>
      </c>
      <c r="F259" s="518" t="s">
        <v>614</v>
      </c>
      <c r="G259" s="515" t="s">
        <v>1793</v>
      </c>
      <c r="H259" s="514" t="s">
        <v>1226</v>
      </c>
      <c r="I259" s="515"/>
      <c r="J259" s="515">
        <v>4</v>
      </c>
    </row>
    <row r="260" spans="1:10" ht="13.8" thickBot="1">
      <c r="A260" s="517"/>
      <c r="B260" s="518" t="s">
        <v>12905</v>
      </c>
      <c r="C260" s="516"/>
      <c r="D260" s="514" t="s">
        <v>12904</v>
      </c>
      <c r="E260" s="515">
        <v>6</v>
      </c>
      <c r="F260" s="515" t="s">
        <v>12413</v>
      </c>
      <c r="G260" s="515" t="s">
        <v>3285</v>
      </c>
      <c r="H260" s="514" t="s">
        <v>1224</v>
      </c>
      <c r="I260" s="522">
        <v>1</v>
      </c>
      <c r="J260" s="522">
        <v>2</v>
      </c>
    </row>
    <row r="261" spans="1:10" ht="13.8" thickBot="1">
      <c r="A261" s="517"/>
      <c r="B261" s="518" t="s">
        <v>13076</v>
      </c>
      <c r="C261" s="516"/>
      <c r="D261" s="514" t="s">
        <v>1552</v>
      </c>
      <c r="E261" s="515">
        <v>5.5</v>
      </c>
      <c r="F261" s="518" t="s">
        <v>614</v>
      </c>
      <c r="G261" s="515" t="s">
        <v>2957</v>
      </c>
      <c r="H261" s="514" t="s">
        <v>1226</v>
      </c>
      <c r="I261" s="522"/>
      <c r="J261" s="522">
        <v>3</v>
      </c>
    </row>
    <row r="262" spans="1:10" ht="13.8" thickBot="1">
      <c r="A262" s="517"/>
      <c r="B262" s="518" t="s">
        <v>12178</v>
      </c>
      <c r="C262" s="516"/>
      <c r="D262" s="514" t="s">
        <v>1755</v>
      </c>
      <c r="E262" s="515">
        <v>6</v>
      </c>
      <c r="F262" s="518" t="s">
        <v>1854</v>
      </c>
      <c r="G262" s="515" t="s">
        <v>4822</v>
      </c>
      <c r="H262" s="514"/>
      <c r="I262" s="522">
        <v>1</v>
      </c>
      <c r="J262" s="522">
        <v>1</v>
      </c>
    </row>
    <row r="263" spans="1:10" ht="13.8" thickBot="1">
      <c r="A263" s="517"/>
      <c r="B263" s="518" t="s">
        <v>13181</v>
      </c>
      <c r="C263" s="516"/>
      <c r="D263" s="514" t="s">
        <v>13180</v>
      </c>
      <c r="E263" s="515">
        <v>5</v>
      </c>
      <c r="F263" s="518" t="s">
        <v>614</v>
      </c>
      <c r="G263" s="515" t="s">
        <v>2841</v>
      </c>
      <c r="H263" s="514" t="s">
        <v>1226</v>
      </c>
      <c r="I263" s="522"/>
      <c r="J263" s="522">
        <v>1</v>
      </c>
    </row>
    <row r="264" spans="1:10" ht="13.8" thickBot="1">
      <c r="A264" s="517"/>
      <c r="B264" s="518" t="s">
        <v>13921</v>
      </c>
      <c r="C264" s="516"/>
      <c r="D264" s="514" t="s">
        <v>13920</v>
      </c>
      <c r="E264" s="515">
        <v>6.6</v>
      </c>
      <c r="F264" s="518" t="s">
        <v>13919</v>
      </c>
      <c r="G264" s="515" t="s">
        <v>2032</v>
      </c>
      <c r="H264" s="514"/>
      <c r="I264" s="522">
        <v>1</v>
      </c>
      <c r="J264" s="522">
        <v>2</v>
      </c>
    </row>
    <row r="265" spans="1:10" ht="13.8" thickBot="1">
      <c r="A265" s="517"/>
      <c r="B265" s="518" t="s">
        <v>12418</v>
      </c>
      <c r="C265" s="516"/>
      <c r="D265" s="514" t="s">
        <v>12417</v>
      </c>
      <c r="E265" s="515">
        <v>6</v>
      </c>
      <c r="F265" s="518" t="s">
        <v>614</v>
      </c>
      <c r="G265" s="515" t="s">
        <v>4102</v>
      </c>
      <c r="H265" s="514" t="s">
        <v>1226</v>
      </c>
      <c r="I265" s="522"/>
      <c r="J265" s="522">
        <v>5</v>
      </c>
    </row>
    <row r="266" spans="1:10" ht="13.8" thickBot="1">
      <c r="A266" s="517"/>
      <c r="B266" s="518" t="s">
        <v>12894</v>
      </c>
      <c r="C266" s="516"/>
      <c r="D266" s="514" t="s">
        <v>12893</v>
      </c>
      <c r="E266" s="515">
        <v>7.75</v>
      </c>
      <c r="F266" s="518" t="s">
        <v>614</v>
      </c>
      <c r="G266" s="515" t="s">
        <v>3351</v>
      </c>
      <c r="H266" s="514" t="s">
        <v>1251</v>
      </c>
      <c r="I266" s="515"/>
      <c r="J266" s="515">
        <v>1</v>
      </c>
    </row>
    <row r="267" spans="1:10" ht="13.8" thickBot="1">
      <c r="A267" s="517"/>
      <c r="B267" s="518" t="s">
        <v>13141</v>
      </c>
      <c r="C267" s="516"/>
      <c r="D267" s="519" t="s">
        <v>13140</v>
      </c>
      <c r="E267" s="515">
        <v>6.75</v>
      </c>
      <c r="F267" s="518" t="s">
        <v>614</v>
      </c>
      <c r="G267" s="515" t="s">
        <v>2957</v>
      </c>
      <c r="H267" s="514"/>
      <c r="I267" s="515"/>
      <c r="J267" s="515">
        <v>2</v>
      </c>
    </row>
    <row r="268" spans="1:10" ht="13.8" thickBot="1">
      <c r="A268" s="517"/>
      <c r="B268" s="518" t="s">
        <v>13013</v>
      </c>
      <c r="C268" s="516"/>
      <c r="D268" s="514" t="s">
        <v>3022</v>
      </c>
      <c r="E268" s="515">
        <v>4</v>
      </c>
      <c r="F268" s="518" t="s">
        <v>614</v>
      </c>
      <c r="G268" s="515" t="s">
        <v>2957</v>
      </c>
      <c r="H268" s="514" t="s">
        <v>1224</v>
      </c>
      <c r="I268" s="522"/>
      <c r="J268" s="522">
        <v>8</v>
      </c>
    </row>
    <row r="269" spans="1:10" ht="13.8" thickBot="1">
      <c r="A269" s="517"/>
      <c r="B269" s="518" t="s">
        <v>13171</v>
      </c>
      <c r="C269" s="516"/>
      <c r="D269" s="514" t="s">
        <v>13170</v>
      </c>
      <c r="E269" s="515">
        <v>6.75</v>
      </c>
      <c r="F269" s="518" t="s">
        <v>614</v>
      </c>
      <c r="G269" s="515" t="s">
        <v>2943</v>
      </c>
      <c r="H269" s="514" t="s">
        <v>1226</v>
      </c>
      <c r="I269" s="515">
        <v>1</v>
      </c>
      <c r="J269" s="515">
        <v>5</v>
      </c>
    </row>
    <row r="270" spans="1:10" ht="13.8" thickBot="1">
      <c r="A270" s="517"/>
      <c r="B270" s="518" t="s">
        <v>13929</v>
      </c>
      <c r="C270" s="516"/>
      <c r="D270" s="519" t="s">
        <v>13928</v>
      </c>
      <c r="E270" s="515">
        <v>7</v>
      </c>
      <c r="F270" s="518" t="s">
        <v>614</v>
      </c>
      <c r="G270" s="515" t="s">
        <v>2032</v>
      </c>
      <c r="H270" s="514"/>
      <c r="I270" s="515"/>
      <c r="J270" s="515">
        <v>1</v>
      </c>
    </row>
    <row r="271" spans="1:10" ht="13.8" thickBot="1">
      <c r="A271" s="517"/>
      <c r="B271" s="518" t="s">
        <v>13126</v>
      </c>
      <c r="C271" s="516"/>
      <c r="D271" s="514" t="s">
        <v>13125</v>
      </c>
      <c r="E271" s="515">
        <v>6.5</v>
      </c>
      <c r="F271" s="518" t="s">
        <v>614</v>
      </c>
      <c r="G271" s="515" t="s">
        <v>2957</v>
      </c>
      <c r="H271" s="514"/>
      <c r="I271" s="515"/>
      <c r="J271" s="515">
        <v>5</v>
      </c>
    </row>
    <row r="272" spans="1:10" ht="13.8" thickBot="1">
      <c r="A272" s="517"/>
      <c r="B272" s="518" t="s">
        <v>12151</v>
      </c>
      <c r="C272" s="516"/>
      <c r="D272" s="520" t="s">
        <v>12150</v>
      </c>
      <c r="E272" s="521">
        <v>8</v>
      </c>
      <c r="F272" s="518" t="s">
        <v>1854</v>
      </c>
      <c r="G272" s="515" t="s">
        <v>4970</v>
      </c>
      <c r="H272" s="514"/>
      <c r="I272" s="515"/>
      <c r="J272" s="515"/>
    </row>
    <row r="273" spans="1:10" ht="13.8" thickBot="1">
      <c r="A273" s="517"/>
      <c r="B273" s="518" t="s">
        <v>13912</v>
      </c>
      <c r="C273" s="516"/>
      <c r="D273" s="519" t="s">
        <v>2057</v>
      </c>
      <c r="E273" s="515">
        <v>6.5</v>
      </c>
      <c r="F273" s="518" t="s">
        <v>614</v>
      </c>
      <c r="G273" s="515" t="s">
        <v>2032</v>
      </c>
      <c r="H273" s="514"/>
      <c r="I273" s="515"/>
      <c r="J273" s="515">
        <v>2</v>
      </c>
    </row>
    <row r="274" spans="1:10" ht="13.8" thickBot="1">
      <c r="A274" s="517"/>
      <c r="B274" s="518" t="s">
        <v>13189</v>
      </c>
      <c r="C274" s="516"/>
      <c r="D274" s="514" t="s">
        <v>13188</v>
      </c>
      <c r="E274" s="515">
        <v>6.25</v>
      </c>
      <c r="F274" s="518" t="s">
        <v>614</v>
      </c>
      <c r="G274" s="515" t="s">
        <v>2841</v>
      </c>
      <c r="H274" s="514" t="s">
        <v>2319</v>
      </c>
      <c r="I274" s="515">
        <v>1</v>
      </c>
      <c r="J274" s="515">
        <v>19</v>
      </c>
    </row>
    <row r="275" spans="1:10" ht="13.8" thickBot="1">
      <c r="A275" s="517"/>
      <c r="B275" s="518" t="s">
        <v>12149</v>
      </c>
      <c r="C275" s="516"/>
      <c r="D275" s="514" t="s">
        <v>12148</v>
      </c>
      <c r="E275" s="529">
        <v>8</v>
      </c>
      <c r="F275" s="518" t="s">
        <v>1854</v>
      </c>
      <c r="G275" s="515" t="s">
        <v>4970</v>
      </c>
      <c r="H275" s="514"/>
      <c r="I275" s="515"/>
      <c r="J275" s="515"/>
    </row>
    <row r="276" spans="1:10" ht="13.8" thickBot="1">
      <c r="A276" s="517"/>
      <c r="B276" s="518" t="s">
        <v>12977</v>
      </c>
      <c r="C276" s="516"/>
      <c r="D276" s="514" t="s">
        <v>12976</v>
      </c>
      <c r="E276" s="515">
        <v>6.5</v>
      </c>
      <c r="F276" s="518" t="s">
        <v>614</v>
      </c>
      <c r="G276" s="515" t="s">
        <v>3085</v>
      </c>
      <c r="H276" s="514"/>
      <c r="I276" s="515"/>
      <c r="J276" s="515">
        <v>2</v>
      </c>
    </row>
    <row r="277" spans="1:10" ht="13.8" thickBot="1">
      <c r="A277" s="517"/>
      <c r="B277" s="518" t="s">
        <v>13676</v>
      </c>
      <c r="C277" s="516"/>
      <c r="D277" s="514" t="s">
        <v>13675</v>
      </c>
      <c r="E277" s="515">
        <v>6.3</v>
      </c>
      <c r="F277" s="518" t="s">
        <v>614</v>
      </c>
      <c r="G277" s="515" t="s">
        <v>2289</v>
      </c>
      <c r="H277" s="514" t="s">
        <v>1226</v>
      </c>
      <c r="I277" s="515"/>
      <c r="J277" s="515">
        <v>6</v>
      </c>
    </row>
    <row r="278" spans="1:10" ht="13.8" thickBot="1">
      <c r="A278" s="517"/>
      <c r="B278" s="518" t="s">
        <v>13776</v>
      </c>
      <c r="C278" s="516"/>
      <c r="D278" s="514" t="s">
        <v>13775</v>
      </c>
      <c r="E278" s="515">
        <v>5</v>
      </c>
      <c r="F278" s="518" t="s">
        <v>614</v>
      </c>
      <c r="G278" s="515" t="s">
        <v>2152</v>
      </c>
      <c r="H278" s="514" t="s">
        <v>1226</v>
      </c>
      <c r="I278" s="515"/>
      <c r="J278" s="515">
        <v>11</v>
      </c>
    </row>
    <row r="279" spans="1:10" ht="13.8" thickBot="1">
      <c r="A279" s="517"/>
      <c r="B279" s="518" t="s">
        <v>12922</v>
      </c>
      <c r="C279" s="516"/>
      <c r="D279" s="514" t="s">
        <v>12921</v>
      </c>
      <c r="E279" s="515">
        <v>6</v>
      </c>
      <c r="F279" s="518" t="s">
        <v>614</v>
      </c>
      <c r="G279" s="515" t="s">
        <v>3161</v>
      </c>
      <c r="H279" s="514"/>
      <c r="I279" s="515"/>
      <c r="J279" s="515">
        <v>1</v>
      </c>
    </row>
    <row r="280" spans="1:10" ht="13.8" thickBot="1">
      <c r="A280" s="517"/>
      <c r="B280" s="518" t="s">
        <v>14271</v>
      </c>
      <c r="C280" s="516"/>
      <c r="D280" s="514" t="s">
        <v>14270</v>
      </c>
      <c r="E280" s="515">
        <v>7</v>
      </c>
      <c r="F280" s="514"/>
      <c r="G280" s="515" t="s">
        <v>1793</v>
      </c>
      <c r="H280" s="514"/>
      <c r="I280" s="515"/>
      <c r="J280" s="515">
        <v>3</v>
      </c>
    </row>
    <row r="281" spans="1:10" ht="13.8" thickBot="1">
      <c r="A281" s="517"/>
      <c r="B281" s="518" t="s">
        <v>12604</v>
      </c>
      <c r="C281" s="516"/>
      <c r="D281" s="514" t="s">
        <v>12603</v>
      </c>
      <c r="E281" s="515">
        <v>7.75</v>
      </c>
      <c r="F281" s="518" t="s">
        <v>614</v>
      </c>
      <c r="G281" s="515" t="s">
        <v>3807</v>
      </c>
      <c r="H281" s="514" t="s">
        <v>1229</v>
      </c>
      <c r="I281" s="515">
        <v>1</v>
      </c>
      <c r="J281" s="515">
        <v>6</v>
      </c>
    </row>
    <row r="282" spans="1:10" ht="13.8" thickBot="1">
      <c r="A282" s="517"/>
      <c r="B282" s="518" t="s">
        <v>13757</v>
      </c>
      <c r="C282" s="516"/>
      <c r="D282" s="514" t="s">
        <v>13756</v>
      </c>
      <c r="E282" s="515">
        <v>5.5</v>
      </c>
      <c r="F282" s="518" t="s">
        <v>151</v>
      </c>
      <c r="G282" s="515" t="s">
        <v>2242</v>
      </c>
      <c r="H282" s="514" t="s">
        <v>1226</v>
      </c>
      <c r="I282" s="515"/>
      <c r="J282" s="515">
        <v>8</v>
      </c>
    </row>
    <row r="283" spans="1:10" ht="13.8" thickBot="1">
      <c r="A283" s="517"/>
      <c r="B283" s="518" t="s">
        <v>12646</v>
      </c>
      <c r="C283" s="516"/>
      <c r="D283" s="514" t="s">
        <v>3785</v>
      </c>
      <c r="E283" s="515">
        <v>6.5</v>
      </c>
      <c r="F283" s="518" t="s">
        <v>614</v>
      </c>
      <c r="G283" s="515" t="s">
        <v>3734</v>
      </c>
      <c r="H283" s="514" t="s">
        <v>1226</v>
      </c>
      <c r="I283" s="515">
        <v>1</v>
      </c>
      <c r="J283" s="515">
        <v>7</v>
      </c>
    </row>
    <row r="284" spans="1:10" ht="13.8" thickBot="1">
      <c r="A284" s="517"/>
      <c r="B284" s="518" t="s">
        <v>14297</v>
      </c>
      <c r="C284" s="516"/>
      <c r="D284" s="514" t="s">
        <v>14296</v>
      </c>
      <c r="E284" s="515">
        <v>8</v>
      </c>
      <c r="F284" s="518" t="s">
        <v>1854</v>
      </c>
      <c r="G284" s="515" t="s">
        <v>1793</v>
      </c>
      <c r="H284" s="514"/>
      <c r="I284" s="515"/>
      <c r="J284" s="515"/>
    </row>
    <row r="285" spans="1:10" ht="13.8" thickBot="1">
      <c r="A285" s="517"/>
      <c r="B285" s="518" t="s">
        <v>12415</v>
      </c>
      <c r="C285" s="516"/>
      <c r="D285" s="514" t="s">
        <v>12414</v>
      </c>
      <c r="E285" s="515">
        <v>6</v>
      </c>
      <c r="F285" s="515" t="s">
        <v>12413</v>
      </c>
      <c r="G285" s="515" t="s">
        <v>4102</v>
      </c>
      <c r="H285" s="514"/>
      <c r="I285" s="515"/>
      <c r="J285" s="515">
        <v>1</v>
      </c>
    </row>
    <row r="286" spans="1:10" ht="13.8" thickBot="1">
      <c r="A286" s="517"/>
      <c r="B286" s="518" t="s">
        <v>13193</v>
      </c>
      <c r="C286" s="516"/>
      <c r="D286" s="514" t="s">
        <v>13192</v>
      </c>
      <c r="E286" s="515">
        <v>6.5</v>
      </c>
      <c r="F286" s="518" t="s">
        <v>614</v>
      </c>
      <c r="G286" s="515" t="s">
        <v>2841</v>
      </c>
      <c r="H286" s="514" t="s">
        <v>2067</v>
      </c>
      <c r="I286" s="515">
        <v>3</v>
      </c>
      <c r="J286" s="515">
        <v>21</v>
      </c>
    </row>
    <row r="287" spans="1:10" ht="13.8" thickBot="1">
      <c r="A287" s="517"/>
      <c r="B287" s="518" t="s">
        <v>13826</v>
      </c>
      <c r="C287" s="516"/>
      <c r="D287" s="514" t="s">
        <v>13825</v>
      </c>
      <c r="E287" s="515">
        <v>7</v>
      </c>
      <c r="F287" s="518" t="s">
        <v>614</v>
      </c>
      <c r="G287" s="515" t="s">
        <v>2152</v>
      </c>
      <c r="H287" s="514" t="s">
        <v>1226</v>
      </c>
      <c r="I287" s="515">
        <v>2</v>
      </c>
      <c r="J287" s="515">
        <v>11</v>
      </c>
    </row>
    <row r="288" spans="1:10" ht="13.8" thickBot="1">
      <c r="A288" s="517"/>
      <c r="B288" s="518" t="s">
        <v>11893</v>
      </c>
      <c r="C288" s="516"/>
      <c r="D288" s="514" t="s">
        <v>11892</v>
      </c>
      <c r="E288" s="515">
        <v>6.5</v>
      </c>
      <c r="F288" s="518" t="s">
        <v>614</v>
      </c>
      <c r="G288" s="515" t="s">
        <v>11891</v>
      </c>
      <c r="H288" s="514" t="s">
        <v>1251</v>
      </c>
      <c r="I288" s="522">
        <v>6</v>
      </c>
      <c r="J288" s="522">
        <v>22</v>
      </c>
    </row>
    <row r="289" spans="1:10" ht="13.8" thickBot="1">
      <c r="A289" s="517"/>
      <c r="B289" s="518" t="s">
        <v>13176</v>
      </c>
      <c r="C289" s="516"/>
      <c r="D289" s="514" t="s">
        <v>13175</v>
      </c>
      <c r="E289" s="515">
        <v>7.75</v>
      </c>
      <c r="F289" s="518" t="s">
        <v>614</v>
      </c>
      <c r="G289" s="515" t="s">
        <v>2943</v>
      </c>
      <c r="H289" s="514" t="s">
        <v>1229</v>
      </c>
      <c r="I289" s="515">
        <v>2</v>
      </c>
      <c r="J289" s="515">
        <v>10</v>
      </c>
    </row>
    <row r="290" spans="1:10" ht="13.8" thickBot="1">
      <c r="A290" s="517"/>
      <c r="B290" s="518" t="s">
        <v>13480</v>
      </c>
      <c r="C290" s="516"/>
      <c r="D290" s="514" t="s">
        <v>1300</v>
      </c>
      <c r="E290" s="515">
        <v>6.5</v>
      </c>
      <c r="F290" s="518" t="s">
        <v>614</v>
      </c>
      <c r="G290" s="515" t="s">
        <v>2523</v>
      </c>
      <c r="H290" s="514"/>
      <c r="I290" s="515">
        <v>1</v>
      </c>
      <c r="J290" s="515">
        <v>2</v>
      </c>
    </row>
    <row r="291" spans="1:10" ht="13.8" thickBot="1">
      <c r="A291" s="517"/>
      <c r="B291" s="518" t="s">
        <v>12765</v>
      </c>
      <c r="C291" s="516"/>
      <c r="D291" s="514" t="s">
        <v>12764</v>
      </c>
      <c r="E291" s="515">
        <v>6.25</v>
      </c>
      <c r="F291" s="518" t="s">
        <v>614</v>
      </c>
      <c r="G291" s="515" t="s">
        <v>3517</v>
      </c>
      <c r="H291" s="514" t="s">
        <v>1226</v>
      </c>
      <c r="I291" s="515"/>
      <c r="J291" s="515">
        <v>3</v>
      </c>
    </row>
    <row r="292" spans="1:10" ht="13.8" thickBot="1">
      <c r="A292" s="517"/>
      <c r="B292" s="518" t="s">
        <v>12358</v>
      </c>
      <c r="C292" s="516"/>
      <c r="D292" s="514" t="s">
        <v>1616</v>
      </c>
      <c r="E292" s="515">
        <v>7.5</v>
      </c>
      <c r="F292" s="518" t="s">
        <v>614</v>
      </c>
      <c r="G292" s="515" t="s">
        <v>4214</v>
      </c>
      <c r="H292" s="514" t="s">
        <v>1226</v>
      </c>
      <c r="I292" s="515">
        <v>1</v>
      </c>
      <c r="J292" s="515">
        <v>2</v>
      </c>
    </row>
    <row r="293" spans="1:10" ht="13.8" thickBot="1">
      <c r="A293" s="517"/>
      <c r="B293" s="518" t="s">
        <v>11955</v>
      </c>
      <c r="C293" s="516"/>
      <c r="D293" s="514" t="s">
        <v>11954</v>
      </c>
      <c r="E293" s="515">
        <v>5.75</v>
      </c>
      <c r="F293" s="518" t="s">
        <v>614</v>
      </c>
      <c r="G293" s="515" t="s">
        <v>5196</v>
      </c>
      <c r="H293" s="514" t="s">
        <v>1226</v>
      </c>
      <c r="I293" s="522"/>
      <c r="J293" s="522">
        <v>12</v>
      </c>
    </row>
    <row r="294" spans="1:10" ht="13.8" thickBot="1">
      <c r="A294" s="517"/>
      <c r="B294" s="518" t="s">
        <v>11862</v>
      </c>
      <c r="C294" s="516"/>
      <c r="D294" s="514" t="s">
        <v>1381</v>
      </c>
      <c r="E294" s="515">
        <v>6.25</v>
      </c>
      <c r="F294" s="518" t="s">
        <v>614</v>
      </c>
      <c r="G294" s="515" t="s">
        <v>5286</v>
      </c>
      <c r="H294" s="514" t="s">
        <v>1841</v>
      </c>
      <c r="I294" s="522">
        <v>1</v>
      </c>
      <c r="J294" s="522">
        <v>13</v>
      </c>
    </row>
    <row r="295" spans="1:10" ht="13.8" thickBot="1">
      <c r="A295" s="517"/>
      <c r="B295" s="518" t="s">
        <v>13785</v>
      </c>
      <c r="C295" s="516"/>
      <c r="D295" s="514" t="s">
        <v>13784</v>
      </c>
      <c r="E295" s="515">
        <v>5.5</v>
      </c>
      <c r="F295" s="518" t="s">
        <v>1854</v>
      </c>
      <c r="G295" s="515" t="s">
        <v>2152</v>
      </c>
      <c r="H295" s="514"/>
      <c r="I295" s="522">
        <v>1</v>
      </c>
      <c r="J295" s="522">
        <v>2</v>
      </c>
    </row>
    <row r="296" spans="1:10" ht="13.8" thickBot="1">
      <c r="A296" s="517"/>
      <c r="B296" s="518" t="s">
        <v>12426</v>
      </c>
      <c r="C296" s="516"/>
      <c r="D296" s="514" t="s">
        <v>12425</v>
      </c>
      <c r="E296" s="515">
        <v>6.5</v>
      </c>
      <c r="F296" s="518" t="s">
        <v>614</v>
      </c>
      <c r="G296" s="515" t="s">
        <v>4102</v>
      </c>
      <c r="H296" s="514" t="s">
        <v>1251</v>
      </c>
      <c r="I296" s="522">
        <v>1</v>
      </c>
      <c r="J296" s="522">
        <v>13</v>
      </c>
    </row>
    <row r="297" spans="1:10" ht="13.8" thickBot="1">
      <c r="A297" s="517"/>
      <c r="B297" s="518" t="s">
        <v>13039</v>
      </c>
      <c r="C297" s="516"/>
      <c r="D297" s="514" t="s">
        <v>13038</v>
      </c>
      <c r="E297" s="515">
        <v>5</v>
      </c>
      <c r="F297" s="514"/>
      <c r="G297" s="515" t="s">
        <v>2957</v>
      </c>
      <c r="H297" s="514"/>
      <c r="I297" s="522">
        <v>1</v>
      </c>
      <c r="J297" s="522">
        <v>5</v>
      </c>
    </row>
    <row r="298" spans="1:10" ht="13.8" thickBot="1">
      <c r="A298" s="517"/>
      <c r="B298" s="518" t="s">
        <v>13037</v>
      </c>
      <c r="C298" s="516"/>
      <c r="D298" s="514" t="s">
        <v>13036</v>
      </c>
      <c r="E298" s="515">
        <v>5</v>
      </c>
      <c r="F298" s="518" t="s">
        <v>614</v>
      </c>
      <c r="G298" s="515" t="s">
        <v>2957</v>
      </c>
      <c r="H298" s="514"/>
      <c r="I298" s="522"/>
      <c r="J298" s="522">
        <v>4</v>
      </c>
    </row>
    <row r="299" spans="1:10" ht="13.8" thickBot="1">
      <c r="A299" s="517"/>
      <c r="B299" s="518" t="s">
        <v>13234</v>
      </c>
      <c r="C299" s="516"/>
      <c r="D299" s="514" t="s">
        <v>13233</v>
      </c>
      <c r="E299" s="515">
        <v>6</v>
      </c>
      <c r="F299" s="518" t="s">
        <v>614</v>
      </c>
      <c r="G299" s="515" t="s">
        <v>2779</v>
      </c>
      <c r="H299" s="514" t="s">
        <v>1226</v>
      </c>
      <c r="I299" s="515"/>
      <c r="J299" s="515">
        <v>8</v>
      </c>
    </row>
    <row r="300" spans="1:10" ht="13.8" thickBot="1">
      <c r="A300" s="517"/>
      <c r="B300" s="518" t="s">
        <v>13754</v>
      </c>
      <c r="C300" s="516"/>
      <c r="D300" s="514" t="s">
        <v>13753</v>
      </c>
      <c r="E300" s="515">
        <v>8.5</v>
      </c>
      <c r="F300" s="518" t="s">
        <v>1854</v>
      </c>
      <c r="G300" s="515" t="s">
        <v>2289</v>
      </c>
      <c r="H300" s="514"/>
      <c r="I300" s="515"/>
      <c r="J300" s="515"/>
    </row>
    <row r="301" spans="1:10" ht="13.8" thickBot="1">
      <c r="A301" s="517"/>
      <c r="B301" s="518" t="s">
        <v>13658</v>
      </c>
      <c r="C301" s="516"/>
      <c r="D301" s="514" t="s">
        <v>13657</v>
      </c>
      <c r="E301" s="515">
        <v>6</v>
      </c>
      <c r="F301" s="518" t="s">
        <v>614</v>
      </c>
      <c r="G301" s="515" t="s">
        <v>2289</v>
      </c>
      <c r="H301" s="514" t="s">
        <v>1224</v>
      </c>
      <c r="I301" s="515"/>
      <c r="J301" s="515">
        <v>12</v>
      </c>
    </row>
    <row r="302" spans="1:10" ht="13.8" thickBot="1">
      <c r="A302" s="517"/>
      <c r="B302" s="518" t="s">
        <v>13906</v>
      </c>
      <c r="C302" s="516"/>
      <c r="D302" s="514" t="s">
        <v>13905</v>
      </c>
      <c r="E302" s="515">
        <v>6.25</v>
      </c>
      <c r="F302" s="518" t="s">
        <v>614</v>
      </c>
      <c r="G302" s="515" t="s">
        <v>2032</v>
      </c>
      <c r="H302" s="514" t="s">
        <v>1226</v>
      </c>
      <c r="I302" s="515"/>
      <c r="J302" s="515">
        <v>11</v>
      </c>
    </row>
    <row r="303" spans="1:10" ht="13.8" thickBot="1">
      <c r="A303" s="517"/>
      <c r="B303" s="518" t="s">
        <v>12637</v>
      </c>
      <c r="C303" s="516"/>
      <c r="D303" s="514" t="s">
        <v>12636</v>
      </c>
      <c r="E303" s="515">
        <v>6</v>
      </c>
      <c r="F303" s="518" t="s">
        <v>614</v>
      </c>
      <c r="G303" s="515" t="s">
        <v>3734</v>
      </c>
      <c r="H303" s="514"/>
      <c r="I303" s="515"/>
      <c r="J303" s="515">
        <v>5</v>
      </c>
    </row>
    <row r="304" spans="1:10" ht="13.8" thickBot="1">
      <c r="A304" s="517"/>
      <c r="B304" s="518" t="s">
        <v>12873</v>
      </c>
      <c r="C304" s="516"/>
      <c r="D304" s="514" t="s">
        <v>12872</v>
      </c>
      <c r="E304" s="515">
        <v>6.75</v>
      </c>
      <c r="F304" s="514"/>
      <c r="G304" s="515" t="s">
        <v>3414</v>
      </c>
      <c r="H304" s="514"/>
      <c r="I304" s="515">
        <v>1</v>
      </c>
      <c r="J304" s="515">
        <v>4</v>
      </c>
    </row>
    <row r="305" spans="1:10" ht="13.8" thickBot="1">
      <c r="A305" s="517"/>
      <c r="B305" s="518" t="s">
        <v>13230</v>
      </c>
      <c r="C305" s="516"/>
      <c r="D305" s="514" t="s">
        <v>13229</v>
      </c>
      <c r="E305" s="515">
        <v>7.5</v>
      </c>
      <c r="F305" s="518" t="s">
        <v>1854</v>
      </c>
      <c r="G305" s="515" t="s">
        <v>2797</v>
      </c>
      <c r="H305" s="514" t="s">
        <v>1226</v>
      </c>
      <c r="I305" s="515"/>
      <c r="J305" s="515">
        <v>1</v>
      </c>
    </row>
    <row r="306" spans="1:10" ht="13.8" thickBot="1">
      <c r="A306" s="517"/>
      <c r="B306" s="518" t="s">
        <v>13453</v>
      </c>
      <c r="C306" s="516"/>
      <c r="D306" s="519" t="s">
        <v>13452</v>
      </c>
      <c r="E306" s="515">
        <v>6.25</v>
      </c>
      <c r="F306" s="518" t="s">
        <v>1854</v>
      </c>
      <c r="G306" s="515" t="s">
        <v>2523</v>
      </c>
      <c r="H306" s="514" t="s">
        <v>1226</v>
      </c>
      <c r="I306" s="515">
        <v>1</v>
      </c>
      <c r="J306" s="515">
        <v>4</v>
      </c>
    </row>
    <row r="307" spans="1:10" ht="13.8" thickBot="1">
      <c r="A307" s="517"/>
      <c r="B307" s="518" t="s">
        <v>13750</v>
      </c>
      <c r="C307" s="516"/>
      <c r="D307" s="519" t="s">
        <v>13749</v>
      </c>
      <c r="E307" s="515">
        <v>8</v>
      </c>
      <c r="F307" s="518" t="s">
        <v>1854</v>
      </c>
      <c r="G307" s="515" t="s">
        <v>2289</v>
      </c>
      <c r="H307" s="514" t="s">
        <v>1224</v>
      </c>
      <c r="I307" s="515">
        <v>2</v>
      </c>
      <c r="J307" s="515">
        <v>3</v>
      </c>
    </row>
    <row r="308" spans="1:10" ht="13.8" thickBot="1">
      <c r="A308" s="517"/>
      <c r="B308" s="518" t="s">
        <v>13510</v>
      </c>
      <c r="C308" s="516"/>
      <c r="D308" s="514" t="s">
        <v>13509</v>
      </c>
      <c r="E308" s="515">
        <v>6.7</v>
      </c>
      <c r="F308" s="518" t="s">
        <v>614</v>
      </c>
      <c r="G308" s="515" t="s">
        <v>2523</v>
      </c>
      <c r="H308" s="514" t="s">
        <v>1251</v>
      </c>
      <c r="I308" s="515"/>
      <c r="J308" s="515">
        <v>7</v>
      </c>
    </row>
    <row r="309" spans="1:10" ht="13.8" thickBot="1">
      <c r="A309" s="517"/>
      <c r="B309" s="518" t="s">
        <v>11785</v>
      </c>
      <c r="C309" s="516"/>
      <c r="D309" s="514" t="s">
        <v>11533</v>
      </c>
      <c r="E309" s="515">
        <v>8.5</v>
      </c>
      <c r="F309" s="518" t="s">
        <v>1854</v>
      </c>
      <c r="G309" s="515" t="s">
        <v>11525</v>
      </c>
      <c r="H309" s="514"/>
      <c r="I309" s="515"/>
      <c r="J309" s="515"/>
    </row>
    <row r="310" spans="1:10" ht="13.8" thickBot="1">
      <c r="A310" s="517"/>
      <c r="B310" s="518" t="s">
        <v>12404</v>
      </c>
      <c r="C310" s="516"/>
      <c r="D310" s="514" t="s">
        <v>12403</v>
      </c>
      <c r="E310" s="515">
        <v>8</v>
      </c>
      <c r="F310" s="518" t="s">
        <v>1854</v>
      </c>
      <c r="G310" s="515" t="s">
        <v>4140</v>
      </c>
      <c r="H310" s="514" t="s">
        <v>1226</v>
      </c>
      <c r="I310" s="515">
        <v>2</v>
      </c>
      <c r="J310" s="515">
        <v>3</v>
      </c>
    </row>
    <row r="311" spans="1:10" ht="13.8" thickBot="1">
      <c r="A311" s="517"/>
      <c r="B311" s="518" t="s">
        <v>11866</v>
      </c>
      <c r="C311" s="516"/>
      <c r="D311" s="514" t="s">
        <v>11865</v>
      </c>
      <c r="E311" s="515">
        <v>6.3</v>
      </c>
      <c r="F311" s="518" t="s">
        <v>614</v>
      </c>
      <c r="G311" s="515" t="s">
        <v>5286</v>
      </c>
      <c r="H311" s="514" t="s">
        <v>2319</v>
      </c>
      <c r="I311" s="522"/>
      <c r="J311" s="515">
        <v>9</v>
      </c>
    </row>
    <row r="312" spans="1:10" ht="13.8" thickBot="1">
      <c r="A312" s="517"/>
      <c r="B312" s="518" t="s">
        <v>14053</v>
      </c>
      <c r="C312" s="516"/>
      <c r="D312" s="514" t="s">
        <v>13991</v>
      </c>
      <c r="E312" s="515">
        <v>2</v>
      </c>
      <c r="F312" s="518" t="s">
        <v>1854</v>
      </c>
      <c r="G312" s="515" t="s">
        <v>1793</v>
      </c>
      <c r="H312" s="514"/>
      <c r="I312" s="515"/>
      <c r="J312" s="515"/>
    </row>
    <row r="313" spans="1:10" ht="13.8" thickBot="1">
      <c r="A313" s="517"/>
      <c r="B313" s="518" t="s">
        <v>11784</v>
      </c>
      <c r="C313" s="516"/>
      <c r="D313" s="514" t="s">
        <v>11533</v>
      </c>
      <c r="E313" s="515">
        <v>3</v>
      </c>
      <c r="F313" s="518" t="s">
        <v>1854</v>
      </c>
      <c r="G313" s="515" t="s">
        <v>11525</v>
      </c>
      <c r="H313" s="514"/>
      <c r="I313" s="515"/>
      <c r="J313" s="515"/>
    </row>
    <row r="314" spans="1:10" ht="13.8" thickBot="1">
      <c r="A314" s="517"/>
      <c r="B314" s="518" t="s">
        <v>12411</v>
      </c>
      <c r="C314" s="516"/>
      <c r="D314" s="514" t="s">
        <v>12410</v>
      </c>
      <c r="E314" s="515">
        <v>4.5</v>
      </c>
      <c r="F314" s="518" t="s">
        <v>614</v>
      </c>
      <c r="G314" s="515" t="s">
        <v>4102</v>
      </c>
      <c r="H314" s="514" t="s">
        <v>1841</v>
      </c>
      <c r="I314" s="515"/>
      <c r="J314" s="515">
        <v>3</v>
      </c>
    </row>
    <row r="315" spans="1:10" ht="13.8" thickBot="1">
      <c r="A315" s="517"/>
      <c r="B315" s="518" t="s">
        <v>13204</v>
      </c>
      <c r="C315" s="516"/>
      <c r="D315" s="514" t="s">
        <v>13203</v>
      </c>
      <c r="E315" s="515">
        <v>4.5</v>
      </c>
      <c r="F315" s="518" t="s">
        <v>1854</v>
      </c>
      <c r="G315" s="515" t="s">
        <v>2797</v>
      </c>
      <c r="H315" s="514" t="s">
        <v>1226</v>
      </c>
      <c r="I315" s="515"/>
      <c r="J315" s="515">
        <v>2</v>
      </c>
    </row>
    <row r="316" spans="1:10" ht="13.8" thickBot="1">
      <c r="A316" s="517"/>
      <c r="B316" s="518" t="s">
        <v>12899</v>
      </c>
      <c r="C316" s="516"/>
      <c r="D316" s="514" t="s">
        <v>12898</v>
      </c>
      <c r="E316" s="515">
        <v>5</v>
      </c>
      <c r="F316" s="518" t="s">
        <v>614</v>
      </c>
      <c r="G316" s="515" t="s">
        <v>3285</v>
      </c>
      <c r="H316" s="514" t="s">
        <v>1224</v>
      </c>
      <c r="I316" s="515"/>
      <c r="J316" s="515">
        <v>1</v>
      </c>
    </row>
    <row r="317" spans="1:10" ht="13.8" thickBot="1">
      <c r="A317" s="517"/>
      <c r="B317" s="518" t="s">
        <v>11829</v>
      </c>
      <c r="C317" s="516"/>
      <c r="D317" s="514" t="s">
        <v>11828</v>
      </c>
      <c r="E317" s="515">
        <v>6</v>
      </c>
      <c r="F317" s="518" t="s">
        <v>614</v>
      </c>
      <c r="G317" s="515" t="s">
        <v>5319</v>
      </c>
      <c r="H317" s="514" t="s">
        <v>1224</v>
      </c>
      <c r="I317" s="515"/>
      <c r="J317" s="515">
        <v>4</v>
      </c>
    </row>
    <row r="318" spans="1:10" ht="13.8" thickBot="1">
      <c r="A318" s="517"/>
      <c r="B318" s="518" t="s">
        <v>11827</v>
      </c>
      <c r="C318" s="516"/>
      <c r="D318" s="514" t="s">
        <v>11826</v>
      </c>
      <c r="E318" s="515">
        <v>5.5</v>
      </c>
      <c r="F318" s="518" t="s">
        <v>614</v>
      </c>
      <c r="G318" s="515" t="s">
        <v>5319</v>
      </c>
      <c r="H318" s="514" t="s">
        <v>1220</v>
      </c>
      <c r="I318" s="515"/>
      <c r="J318" s="515">
        <v>2</v>
      </c>
    </row>
    <row r="319" spans="1:10" ht="13.8" thickBot="1">
      <c r="A319" s="517"/>
      <c r="B319" s="518" t="s">
        <v>14082</v>
      </c>
      <c r="C319" s="516"/>
      <c r="D319" s="514" t="s">
        <v>1874</v>
      </c>
      <c r="E319" s="515">
        <v>3</v>
      </c>
      <c r="F319" s="518" t="s">
        <v>1854</v>
      </c>
      <c r="G319" s="515" t="s">
        <v>1793</v>
      </c>
      <c r="H319" s="514"/>
      <c r="I319" s="515"/>
      <c r="J319" s="515">
        <v>1</v>
      </c>
    </row>
    <row r="320" spans="1:10" ht="13.8" thickBot="1">
      <c r="A320" s="517"/>
      <c r="B320" s="518" t="s">
        <v>14054</v>
      </c>
      <c r="C320" s="516"/>
      <c r="D320" s="514" t="s">
        <v>13991</v>
      </c>
      <c r="E320" s="515">
        <v>2</v>
      </c>
      <c r="F320" s="518" t="s">
        <v>1854</v>
      </c>
      <c r="G320" s="515" t="s">
        <v>1793</v>
      </c>
      <c r="H320" s="514"/>
      <c r="I320" s="515"/>
      <c r="J320" s="515"/>
    </row>
    <row r="321" spans="1:10" ht="13.8" thickBot="1">
      <c r="A321" s="517"/>
      <c r="B321" s="518" t="s">
        <v>13654</v>
      </c>
      <c r="C321" s="516"/>
      <c r="D321" s="514" t="s">
        <v>13653</v>
      </c>
      <c r="E321" s="515">
        <v>6</v>
      </c>
      <c r="F321" s="518" t="s">
        <v>614</v>
      </c>
      <c r="G321" s="515" t="s">
        <v>2289</v>
      </c>
      <c r="H321" s="514" t="s">
        <v>1224</v>
      </c>
      <c r="I321" s="515"/>
      <c r="J321" s="515">
        <v>2</v>
      </c>
    </row>
    <row r="322" spans="1:10" ht="13.8" thickBot="1">
      <c r="A322" s="517"/>
      <c r="B322" s="518" t="s">
        <v>14123</v>
      </c>
      <c r="C322" s="516"/>
      <c r="D322" s="514" t="s">
        <v>1792</v>
      </c>
      <c r="E322" s="515">
        <v>5</v>
      </c>
      <c r="F322" s="518" t="s">
        <v>1854</v>
      </c>
      <c r="G322" s="515" t="s">
        <v>1793</v>
      </c>
      <c r="H322" s="514"/>
      <c r="I322" s="515">
        <v>1</v>
      </c>
      <c r="J322" s="515">
        <v>1</v>
      </c>
    </row>
    <row r="323" spans="1:10" ht="13.8" thickBot="1">
      <c r="A323" s="517"/>
      <c r="B323" s="518" t="s">
        <v>12737</v>
      </c>
      <c r="C323" s="516"/>
      <c r="D323" s="514" t="s">
        <v>3523</v>
      </c>
      <c r="E323" s="515">
        <v>5.25</v>
      </c>
      <c r="F323" s="518" t="s">
        <v>614</v>
      </c>
      <c r="G323" s="515" t="s">
        <v>3517</v>
      </c>
      <c r="H323" s="514" t="s">
        <v>1226</v>
      </c>
      <c r="I323" s="515"/>
      <c r="J323" s="515">
        <v>4</v>
      </c>
    </row>
    <row r="324" spans="1:10" ht="13.8" thickBot="1">
      <c r="A324" s="517"/>
      <c r="B324" s="518" t="s">
        <v>12624</v>
      </c>
      <c r="C324" s="516"/>
      <c r="D324" s="514" t="s">
        <v>1480</v>
      </c>
      <c r="E324" s="515">
        <v>5.25</v>
      </c>
      <c r="F324" s="518" t="s">
        <v>614</v>
      </c>
      <c r="G324" s="515" t="s">
        <v>3734</v>
      </c>
      <c r="H324" s="514" t="s">
        <v>1226</v>
      </c>
      <c r="I324" s="515">
        <v>1</v>
      </c>
      <c r="J324" s="515">
        <v>2</v>
      </c>
    </row>
    <row r="325" spans="1:10" ht="13.8" thickBot="1">
      <c r="A325" s="517"/>
      <c r="B325" s="518" t="s">
        <v>13849</v>
      </c>
      <c r="C325" s="516"/>
      <c r="D325" s="514" t="s">
        <v>2044</v>
      </c>
      <c r="E325" s="515">
        <v>2</v>
      </c>
      <c r="F325" s="518" t="s">
        <v>1854</v>
      </c>
      <c r="G325" s="515" t="s">
        <v>2032</v>
      </c>
      <c r="H325" s="514"/>
      <c r="I325" s="515"/>
      <c r="J325" s="515">
        <v>1</v>
      </c>
    </row>
    <row r="326" spans="1:10" ht="13.8" thickBot="1">
      <c r="A326" s="517"/>
      <c r="B326" s="518" t="s">
        <v>11783</v>
      </c>
      <c r="C326" s="516"/>
      <c r="D326" s="514" t="s">
        <v>11533</v>
      </c>
      <c r="E326" s="515">
        <v>4.5</v>
      </c>
      <c r="F326" s="518" t="s">
        <v>1854</v>
      </c>
      <c r="G326" s="515" t="s">
        <v>11525</v>
      </c>
      <c r="H326" s="514"/>
      <c r="I326" s="515"/>
      <c r="J326" s="515">
        <v>1</v>
      </c>
    </row>
    <row r="327" spans="1:10" ht="13.8" thickBot="1">
      <c r="A327" s="517"/>
      <c r="B327" s="518" t="s">
        <v>12122</v>
      </c>
      <c r="C327" s="516"/>
      <c r="D327" s="514" t="s">
        <v>12121</v>
      </c>
      <c r="E327" s="515">
        <v>5.5</v>
      </c>
      <c r="F327" s="518" t="s">
        <v>614</v>
      </c>
      <c r="G327" s="515" t="s">
        <v>4970</v>
      </c>
      <c r="H327" s="514"/>
      <c r="I327" s="515"/>
      <c r="J327" s="515">
        <v>1</v>
      </c>
    </row>
    <row r="328" spans="1:10" ht="13.8" thickBot="1">
      <c r="A328" s="517"/>
      <c r="B328" s="518" t="s">
        <v>14048</v>
      </c>
      <c r="C328" s="516"/>
      <c r="D328" s="514" t="s">
        <v>13991</v>
      </c>
      <c r="E328" s="515">
        <v>2</v>
      </c>
      <c r="F328" s="518" t="s">
        <v>1854</v>
      </c>
      <c r="G328" s="515" t="s">
        <v>1793</v>
      </c>
      <c r="H328" s="514"/>
      <c r="I328" s="515"/>
      <c r="J328" s="515"/>
    </row>
    <row r="329" spans="1:10" ht="13.8" thickBot="1">
      <c r="A329" s="517"/>
      <c r="B329" s="518" t="s">
        <v>11782</v>
      </c>
      <c r="C329" s="516"/>
      <c r="D329" s="514" t="s">
        <v>11533</v>
      </c>
      <c r="E329" s="515">
        <v>3</v>
      </c>
      <c r="F329" s="518" t="s">
        <v>1854</v>
      </c>
      <c r="G329" s="515" t="s">
        <v>11525</v>
      </c>
      <c r="H329" s="514"/>
      <c r="I329" s="515"/>
      <c r="J329" s="515"/>
    </row>
    <row r="330" spans="1:10" ht="13.8" thickBot="1">
      <c r="A330" s="517"/>
      <c r="B330" s="518" t="s">
        <v>14007</v>
      </c>
      <c r="C330" s="516"/>
      <c r="D330" s="514" t="s">
        <v>13991</v>
      </c>
      <c r="E330" s="515">
        <v>1</v>
      </c>
      <c r="F330" s="518" t="s">
        <v>1854</v>
      </c>
      <c r="G330" s="515" t="s">
        <v>1793</v>
      </c>
      <c r="H330" s="514"/>
      <c r="I330" s="515"/>
      <c r="J330" s="515"/>
    </row>
    <row r="331" spans="1:10" ht="13.8" thickBot="1">
      <c r="A331" s="517"/>
      <c r="B331" s="518" t="s">
        <v>14049</v>
      </c>
      <c r="C331" s="516"/>
      <c r="D331" s="514" t="s">
        <v>13991</v>
      </c>
      <c r="E331" s="515">
        <v>2</v>
      </c>
      <c r="F331" s="518" t="s">
        <v>1854</v>
      </c>
      <c r="G331" s="515" t="s">
        <v>1793</v>
      </c>
      <c r="H331" s="514"/>
      <c r="I331" s="515"/>
      <c r="J331" s="515"/>
    </row>
    <row r="332" spans="1:10" ht="13.8" thickBot="1">
      <c r="A332" s="517"/>
      <c r="B332" s="518" t="s">
        <v>14052</v>
      </c>
      <c r="C332" s="516"/>
      <c r="D332" s="514" t="s">
        <v>13991</v>
      </c>
      <c r="E332" s="515">
        <v>2</v>
      </c>
      <c r="F332" s="518" t="s">
        <v>1854</v>
      </c>
      <c r="G332" s="515" t="s">
        <v>1793</v>
      </c>
      <c r="H332" s="514"/>
      <c r="I332" s="515"/>
      <c r="J332" s="515"/>
    </row>
    <row r="333" spans="1:10" ht="13.8" thickBot="1">
      <c r="A333" s="517"/>
      <c r="B333" s="518" t="s">
        <v>11781</v>
      </c>
      <c r="C333" s="516"/>
      <c r="D333" s="514" t="s">
        <v>11533</v>
      </c>
      <c r="E333" s="515">
        <v>3</v>
      </c>
      <c r="F333" s="518" t="s">
        <v>1854</v>
      </c>
      <c r="G333" s="515" t="s">
        <v>11525</v>
      </c>
      <c r="H333" s="514"/>
      <c r="I333" s="515"/>
      <c r="J333" s="515"/>
    </row>
    <row r="334" spans="1:10" ht="13.8" thickBot="1">
      <c r="A334" s="517"/>
      <c r="B334" s="518" t="s">
        <v>11780</v>
      </c>
      <c r="C334" s="516"/>
      <c r="D334" s="514" t="s">
        <v>11533</v>
      </c>
      <c r="E334" s="515">
        <v>1</v>
      </c>
      <c r="F334" s="518" t="s">
        <v>1854</v>
      </c>
      <c r="G334" s="515" t="s">
        <v>11525</v>
      </c>
      <c r="H334" s="514"/>
      <c r="I334" s="515"/>
      <c r="J334" s="515"/>
    </row>
    <row r="335" spans="1:10" ht="13.8" thickBot="1">
      <c r="A335" s="517"/>
      <c r="B335" s="518" t="s">
        <v>11779</v>
      </c>
      <c r="C335" s="516"/>
      <c r="D335" s="514" t="s">
        <v>11533</v>
      </c>
      <c r="E335" s="515">
        <v>1</v>
      </c>
      <c r="F335" s="518" t="s">
        <v>1854</v>
      </c>
      <c r="G335" s="515" t="s">
        <v>11525</v>
      </c>
      <c r="H335" s="514"/>
      <c r="I335" s="515"/>
      <c r="J335" s="515"/>
    </row>
    <row r="336" spans="1:10" ht="13.8" thickBot="1">
      <c r="A336" s="517"/>
      <c r="B336" s="518" t="s">
        <v>12853</v>
      </c>
      <c r="C336" s="516"/>
      <c r="D336" s="514" t="s">
        <v>12852</v>
      </c>
      <c r="E336" s="515">
        <v>6.75</v>
      </c>
      <c r="F336" s="518" t="s">
        <v>614</v>
      </c>
      <c r="G336" s="515" t="s">
        <v>3452</v>
      </c>
      <c r="H336" s="514" t="s">
        <v>1251</v>
      </c>
      <c r="I336" s="515">
        <v>1</v>
      </c>
      <c r="J336" s="515">
        <v>5</v>
      </c>
    </row>
    <row r="337" spans="1:10" ht="13.8" thickBot="1">
      <c r="A337" s="517"/>
      <c r="B337" s="518" t="s">
        <v>14051</v>
      </c>
      <c r="C337" s="516"/>
      <c r="D337" s="514" t="s">
        <v>13991</v>
      </c>
      <c r="E337" s="515">
        <v>2</v>
      </c>
      <c r="F337" s="518" t="s">
        <v>1854</v>
      </c>
      <c r="G337" s="515" t="s">
        <v>1793</v>
      </c>
      <c r="H337" s="514"/>
      <c r="I337" s="515"/>
      <c r="J337" s="515"/>
    </row>
    <row r="338" spans="1:10" ht="13.8" thickBot="1">
      <c r="A338" s="517"/>
      <c r="B338" s="518" t="s">
        <v>14006</v>
      </c>
      <c r="C338" s="516"/>
      <c r="D338" s="514" t="s">
        <v>13991</v>
      </c>
      <c r="E338" s="515">
        <v>1</v>
      </c>
      <c r="F338" s="518" t="s">
        <v>1854</v>
      </c>
      <c r="G338" s="515" t="s">
        <v>1793</v>
      </c>
      <c r="H338" s="514"/>
      <c r="I338" s="515"/>
      <c r="J338" s="515"/>
    </row>
    <row r="339" spans="1:10" ht="13.8" thickBot="1">
      <c r="A339" s="517"/>
      <c r="B339" s="518" t="s">
        <v>11778</v>
      </c>
      <c r="C339" s="516"/>
      <c r="D339" s="514" t="s">
        <v>11533</v>
      </c>
      <c r="E339" s="515">
        <v>1</v>
      </c>
      <c r="F339" s="518" t="s">
        <v>1854</v>
      </c>
      <c r="G339" s="515" t="s">
        <v>11525</v>
      </c>
      <c r="H339" s="514"/>
      <c r="I339" s="515"/>
      <c r="J339" s="515"/>
    </row>
    <row r="340" spans="1:10" ht="13.8" thickBot="1">
      <c r="A340" s="517"/>
      <c r="B340" s="518" t="s">
        <v>11777</v>
      </c>
      <c r="C340" s="516"/>
      <c r="D340" s="514" t="s">
        <v>11533</v>
      </c>
      <c r="E340" s="515">
        <v>4</v>
      </c>
      <c r="F340" s="518" t="s">
        <v>1854</v>
      </c>
      <c r="G340" s="515" t="s">
        <v>11525</v>
      </c>
      <c r="H340" s="514"/>
      <c r="I340" s="515"/>
      <c r="J340" s="515">
        <v>1</v>
      </c>
    </row>
    <row r="341" spans="1:10" ht="13.8" thickBot="1">
      <c r="A341" s="517"/>
      <c r="B341" s="518" t="s">
        <v>14050</v>
      </c>
      <c r="C341" s="516"/>
      <c r="D341" s="514" t="s">
        <v>13991</v>
      </c>
      <c r="E341" s="515">
        <v>2</v>
      </c>
      <c r="F341" s="518" t="s">
        <v>1854</v>
      </c>
      <c r="G341" s="515" t="s">
        <v>1793</v>
      </c>
      <c r="H341" s="514"/>
      <c r="I341" s="515"/>
      <c r="J341" s="515"/>
    </row>
    <row r="342" spans="1:10" ht="13.8" thickBot="1">
      <c r="A342" s="517"/>
      <c r="B342" s="518" t="s">
        <v>12668</v>
      </c>
      <c r="C342" s="516"/>
      <c r="D342" s="514" t="s">
        <v>1466</v>
      </c>
      <c r="E342" s="515">
        <v>4</v>
      </c>
      <c r="F342" s="518" t="s">
        <v>1854</v>
      </c>
      <c r="G342" s="515" t="s">
        <v>3652</v>
      </c>
      <c r="H342" s="514" t="s">
        <v>1224</v>
      </c>
      <c r="I342" s="515"/>
      <c r="J342" s="515">
        <v>2</v>
      </c>
    </row>
    <row r="343" spans="1:10" ht="13.8" thickBot="1">
      <c r="A343" s="517"/>
      <c r="B343" s="518" t="s">
        <v>13313</v>
      </c>
      <c r="C343" s="516"/>
      <c r="D343" s="514" t="s">
        <v>1300</v>
      </c>
      <c r="E343" s="515">
        <v>5</v>
      </c>
      <c r="F343" s="518" t="s">
        <v>1854</v>
      </c>
      <c r="G343" s="515" t="s">
        <v>2523</v>
      </c>
      <c r="H343" s="514"/>
      <c r="I343" s="515"/>
      <c r="J343" s="515">
        <v>2</v>
      </c>
    </row>
    <row r="344" spans="1:10" ht="13.8" thickBot="1">
      <c r="A344" s="517"/>
      <c r="B344" s="518" t="s">
        <v>12895</v>
      </c>
      <c r="C344" s="516"/>
      <c r="D344" s="514" t="s">
        <v>1433</v>
      </c>
      <c r="E344" s="515">
        <v>6.5</v>
      </c>
      <c r="F344" s="518" t="s">
        <v>614</v>
      </c>
      <c r="G344" s="515" t="s">
        <v>3315</v>
      </c>
      <c r="H344" s="514" t="s">
        <v>1226</v>
      </c>
      <c r="I344" s="515"/>
      <c r="J344" s="515">
        <v>2</v>
      </c>
    </row>
    <row r="345" spans="1:10" ht="13.8" thickBot="1">
      <c r="A345" s="517"/>
      <c r="B345" s="518" t="s">
        <v>11776</v>
      </c>
      <c r="C345" s="516"/>
      <c r="D345" s="514" t="s">
        <v>11533</v>
      </c>
      <c r="E345" s="515">
        <v>4.5</v>
      </c>
      <c r="F345" s="518" t="s">
        <v>1854</v>
      </c>
      <c r="G345" s="515" t="s">
        <v>11525</v>
      </c>
      <c r="H345" s="514"/>
      <c r="I345" s="515"/>
      <c r="J345" s="515">
        <v>2</v>
      </c>
    </row>
    <row r="346" spans="1:10" ht="13.8" thickBot="1">
      <c r="A346" s="517"/>
      <c r="B346" s="518" t="s">
        <v>13576</v>
      </c>
      <c r="C346" s="516"/>
      <c r="D346" s="514" t="s">
        <v>13575</v>
      </c>
      <c r="E346" s="515">
        <v>5</v>
      </c>
      <c r="F346" s="518" t="s">
        <v>614</v>
      </c>
      <c r="G346" s="515" t="s">
        <v>2449</v>
      </c>
      <c r="H346" s="514" t="s">
        <v>1224</v>
      </c>
      <c r="I346" s="515"/>
      <c r="J346" s="515">
        <v>1</v>
      </c>
    </row>
    <row r="347" spans="1:10" ht="13.8" thickBot="1">
      <c r="A347" s="517"/>
      <c r="B347" s="518" t="s">
        <v>14081</v>
      </c>
      <c r="C347" s="516"/>
      <c r="D347" s="514" t="s">
        <v>1792</v>
      </c>
      <c r="E347" s="515">
        <v>3</v>
      </c>
      <c r="F347" s="518" t="s">
        <v>1854</v>
      </c>
      <c r="G347" s="515" t="s">
        <v>1793</v>
      </c>
      <c r="H347" s="514"/>
      <c r="I347" s="515"/>
      <c r="J347" s="515">
        <v>1</v>
      </c>
    </row>
    <row r="348" spans="1:10" ht="13.8" thickBot="1">
      <c r="A348" s="517"/>
      <c r="B348" s="518" t="s">
        <v>11775</v>
      </c>
      <c r="C348" s="516"/>
      <c r="D348" s="514" t="s">
        <v>11533</v>
      </c>
      <c r="E348" s="515">
        <v>1</v>
      </c>
      <c r="F348" s="518" t="s">
        <v>1854</v>
      </c>
      <c r="G348" s="515" t="s">
        <v>11525</v>
      </c>
      <c r="H348" s="514"/>
      <c r="I348" s="515"/>
      <c r="J348" s="515"/>
    </row>
    <row r="349" spans="1:10" ht="13.8" thickBot="1">
      <c r="A349" s="517"/>
      <c r="B349" s="518" t="s">
        <v>12288</v>
      </c>
      <c r="C349" s="516"/>
      <c r="D349" s="514" t="s">
        <v>1607</v>
      </c>
      <c r="E349" s="515">
        <v>2</v>
      </c>
      <c r="F349" s="518" t="s">
        <v>1854</v>
      </c>
      <c r="G349" s="515" t="s">
        <v>4214</v>
      </c>
      <c r="H349" s="514"/>
      <c r="I349" s="515"/>
      <c r="J349" s="515">
        <v>1</v>
      </c>
    </row>
    <row r="350" spans="1:10" ht="13.8" thickBot="1">
      <c r="A350" s="517"/>
      <c r="B350" s="518" t="s">
        <v>13183</v>
      </c>
      <c r="C350" s="516"/>
      <c r="D350" s="514" t="s">
        <v>1340</v>
      </c>
      <c r="E350" s="515">
        <v>5.5</v>
      </c>
      <c r="F350" s="518" t="s">
        <v>1854</v>
      </c>
      <c r="G350" s="515" t="s">
        <v>2841</v>
      </c>
      <c r="H350" s="514"/>
      <c r="I350" s="515"/>
      <c r="J350" s="515">
        <v>2</v>
      </c>
    </row>
    <row r="351" spans="1:10" ht="13.8" thickBot="1">
      <c r="A351" s="517"/>
      <c r="B351" s="518" t="s">
        <v>13287</v>
      </c>
      <c r="C351" s="516"/>
      <c r="D351" s="514" t="s">
        <v>1300</v>
      </c>
      <c r="E351" s="515">
        <v>4.5</v>
      </c>
      <c r="F351" s="518" t="s">
        <v>1854</v>
      </c>
      <c r="G351" s="515" t="s">
        <v>2523</v>
      </c>
      <c r="H351" s="514" t="s">
        <v>1226</v>
      </c>
      <c r="I351" s="515">
        <v>1</v>
      </c>
      <c r="J351" s="515">
        <v>3</v>
      </c>
    </row>
    <row r="352" spans="1:10" ht="13.8" thickBot="1">
      <c r="A352" s="517"/>
      <c r="B352" s="518" t="s">
        <v>13044</v>
      </c>
      <c r="C352" s="516"/>
      <c r="D352" s="514" t="s">
        <v>1552</v>
      </c>
      <c r="E352" s="515">
        <v>5</v>
      </c>
      <c r="F352" s="518" t="s">
        <v>1854</v>
      </c>
      <c r="G352" s="515" t="s">
        <v>2957</v>
      </c>
      <c r="H352" s="514" t="s">
        <v>1226</v>
      </c>
      <c r="I352" s="515"/>
      <c r="J352" s="515">
        <v>1</v>
      </c>
    </row>
    <row r="353" spans="1:10" ht="13.8" thickBot="1">
      <c r="A353" s="517"/>
      <c r="B353" s="518" t="s">
        <v>13341</v>
      </c>
      <c r="C353" s="516"/>
      <c r="D353" s="514" t="s">
        <v>13340</v>
      </c>
      <c r="E353" s="515">
        <v>5.25</v>
      </c>
      <c r="F353" s="518" t="s">
        <v>614</v>
      </c>
      <c r="G353" s="515" t="s">
        <v>2523</v>
      </c>
      <c r="H353" s="514" t="s">
        <v>1224</v>
      </c>
      <c r="I353" s="515"/>
      <c r="J353" s="515">
        <v>1</v>
      </c>
    </row>
    <row r="354" spans="1:10" ht="13.8" thickBot="1">
      <c r="A354" s="517"/>
      <c r="B354" s="518" t="s">
        <v>12199</v>
      </c>
      <c r="C354" s="516"/>
      <c r="D354" s="514" t="s">
        <v>12198</v>
      </c>
      <c r="E354" s="515">
        <v>6.5</v>
      </c>
      <c r="F354" s="518" t="s">
        <v>614</v>
      </c>
      <c r="G354" s="515" t="s">
        <v>4789</v>
      </c>
      <c r="H354" s="514" t="s">
        <v>1220</v>
      </c>
      <c r="I354" s="515"/>
      <c r="J354" s="515">
        <v>2</v>
      </c>
    </row>
    <row r="355" spans="1:10" ht="13.8" thickBot="1">
      <c r="A355" s="517"/>
      <c r="B355" s="518" t="s">
        <v>14005</v>
      </c>
      <c r="C355" s="516"/>
      <c r="D355" s="514" t="s">
        <v>13991</v>
      </c>
      <c r="E355" s="515">
        <v>1</v>
      </c>
      <c r="F355" s="518" t="s">
        <v>1854</v>
      </c>
      <c r="G355" s="515" t="s">
        <v>1793</v>
      </c>
      <c r="H355" s="514"/>
      <c r="I355" s="515"/>
      <c r="J355" s="515"/>
    </row>
    <row r="356" spans="1:10" ht="13.8" thickBot="1">
      <c r="A356" s="517"/>
      <c r="B356" s="518" t="s">
        <v>13469</v>
      </c>
      <c r="C356" s="516"/>
      <c r="D356" s="514" t="s">
        <v>13468</v>
      </c>
      <c r="E356" s="515">
        <v>6.3</v>
      </c>
      <c r="F356" s="518" t="s">
        <v>614</v>
      </c>
      <c r="G356" s="515" t="s">
        <v>2523</v>
      </c>
      <c r="H356" s="514" t="s">
        <v>1226</v>
      </c>
      <c r="I356" s="515"/>
      <c r="J356" s="515">
        <v>9</v>
      </c>
    </row>
    <row r="357" spans="1:10" ht="13.8" thickBot="1">
      <c r="A357" s="517"/>
      <c r="B357" s="518" t="s">
        <v>11774</v>
      </c>
      <c r="C357" s="516"/>
      <c r="D357" s="514" t="s">
        <v>11533</v>
      </c>
      <c r="E357" s="515">
        <v>1</v>
      </c>
      <c r="F357" s="518" t="s">
        <v>1854</v>
      </c>
      <c r="G357" s="515" t="s">
        <v>11525</v>
      </c>
      <c r="H357" s="514"/>
      <c r="I357" s="515"/>
      <c r="J357" s="515"/>
    </row>
    <row r="358" spans="1:10" ht="13.8" thickBot="1">
      <c r="A358" s="517"/>
      <c r="B358" s="518" t="s">
        <v>11773</v>
      </c>
      <c r="C358" s="516"/>
      <c r="D358" s="514" t="s">
        <v>11533</v>
      </c>
      <c r="E358" s="515">
        <v>1</v>
      </c>
      <c r="F358" s="518" t="s">
        <v>1854</v>
      </c>
      <c r="G358" s="515" t="s">
        <v>11525</v>
      </c>
      <c r="H358" s="514"/>
      <c r="I358" s="515"/>
      <c r="J358" s="515"/>
    </row>
    <row r="359" spans="1:10" ht="13.8" thickBot="1">
      <c r="A359" s="517"/>
      <c r="B359" s="518" t="s">
        <v>11772</v>
      </c>
      <c r="C359" s="516"/>
      <c r="D359" s="514" t="s">
        <v>11533</v>
      </c>
      <c r="E359" s="515">
        <v>1</v>
      </c>
      <c r="F359" s="518" t="s">
        <v>1854</v>
      </c>
      <c r="G359" s="515" t="s">
        <v>11525</v>
      </c>
      <c r="H359" s="514"/>
      <c r="I359" s="515"/>
      <c r="J359" s="515"/>
    </row>
    <row r="360" spans="1:10" ht="13.8" thickBot="1">
      <c r="A360" s="517"/>
      <c r="B360" s="518" t="s">
        <v>12025</v>
      </c>
      <c r="C360" s="516"/>
      <c r="D360" s="514" t="s">
        <v>5062</v>
      </c>
      <c r="E360" s="515">
        <v>5.5</v>
      </c>
      <c r="F360" s="518" t="s">
        <v>1854</v>
      </c>
      <c r="G360" s="515" t="s">
        <v>5059</v>
      </c>
      <c r="H360" s="514" t="s">
        <v>1224</v>
      </c>
      <c r="I360" s="515"/>
      <c r="J360" s="515">
        <v>1</v>
      </c>
    </row>
    <row r="361" spans="1:10" ht="13.8" thickBot="1">
      <c r="A361" s="517"/>
      <c r="B361" s="518" t="s">
        <v>12913</v>
      </c>
      <c r="C361" s="516"/>
      <c r="D361" s="514" t="s">
        <v>1390</v>
      </c>
      <c r="E361" s="515">
        <v>4</v>
      </c>
      <c r="F361" s="518" t="s">
        <v>1854</v>
      </c>
      <c r="G361" s="515" t="s">
        <v>3161</v>
      </c>
      <c r="H361" s="514" t="s">
        <v>1224</v>
      </c>
      <c r="I361" s="515"/>
      <c r="J361" s="515">
        <v>1</v>
      </c>
    </row>
    <row r="362" spans="1:10" ht="13.8" thickBot="1">
      <c r="A362" s="517"/>
      <c r="B362" s="518" t="s">
        <v>12551</v>
      </c>
      <c r="C362" s="516"/>
      <c r="D362" s="514" t="s">
        <v>1502</v>
      </c>
      <c r="E362" s="515">
        <v>4</v>
      </c>
      <c r="F362" s="518" t="s">
        <v>1854</v>
      </c>
      <c r="G362" s="515" t="s">
        <v>3807</v>
      </c>
      <c r="H362" s="514"/>
      <c r="I362" s="515"/>
      <c r="J362" s="515">
        <v>1</v>
      </c>
    </row>
    <row r="363" spans="1:10" ht="13.8" thickBot="1">
      <c r="A363" s="517"/>
      <c r="B363" s="518" t="s">
        <v>12274</v>
      </c>
      <c r="C363" s="516"/>
      <c r="D363" s="514" t="s">
        <v>12273</v>
      </c>
      <c r="E363" s="515">
        <v>5.5</v>
      </c>
      <c r="F363" s="518" t="s">
        <v>614</v>
      </c>
      <c r="G363" s="515" t="s">
        <v>4364</v>
      </c>
      <c r="H363" s="514" t="s">
        <v>1226</v>
      </c>
      <c r="I363" s="515"/>
      <c r="J363" s="515">
        <v>3</v>
      </c>
    </row>
    <row r="364" spans="1:10" ht="13.8" thickBot="1">
      <c r="A364" s="517"/>
      <c r="B364" s="518" t="s">
        <v>12298</v>
      </c>
      <c r="C364" s="516"/>
      <c r="D364" s="514" t="s">
        <v>1607</v>
      </c>
      <c r="E364" s="515">
        <v>4</v>
      </c>
      <c r="F364" s="518" t="s">
        <v>1854</v>
      </c>
      <c r="G364" s="515" t="s">
        <v>4214</v>
      </c>
      <c r="H364" s="514" t="s">
        <v>1224</v>
      </c>
      <c r="I364" s="515"/>
      <c r="J364" s="515">
        <v>1</v>
      </c>
    </row>
    <row r="365" spans="1:10" ht="13.8" thickBot="1">
      <c r="A365" s="517"/>
      <c r="B365" s="518" t="s">
        <v>13330</v>
      </c>
      <c r="C365" s="516"/>
      <c r="D365" s="514" t="s">
        <v>1300</v>
      </c>
      <c r="E365" s="515">
        <v>5</v>
      </c>
      <c r="F365" s="518" t="s">
        <v>614</v>
      </c>
      <c r="G365" s="515" t="s">
        <v>2523</v>
      </c>
      <c r="H365" s="514" t="s">
        <v>1224</v>
      </c>
      <c r="I365" s="515"/>
      <c r="J365" s="515">
        <v>2</v>
      </c>
    </row>
    <row r="366" spans="1:10" ht="13.8" thickBot="1">
      <c r="A366" s="517"/>
      <c r="B366" s="518" t="s">
        <v>12315</v>
      </c>
      <c r="C366" s="516"/>
      <c r="D366" s="514" t="s">
        <v>4216</v>
      </c>
      <c r="E366" s="515">
        <v>5.5</v>
      </c>
      <c r="F366" s="518" t="s">
        <v>614</v>
      </c>
      <c r="G366" s="515" t="s">
        <v>4214</v>
      </c>
      <c r="H366" s="514" t="s">
        <v>1226</v>
      </c>
      <c r="I366" s="515"/>
      <c r="J366" s="515">
        <v>3</v>
      </c>
    </row>
    <row r="367" spans="1:10" ht="13.8" thickBot="1">
      <c r="A367" s="517"/>
      <c r="B367" s="518" t="s">
        <v>13943</v>
      </c>
      <c r="C367" s="516"/>
      <c r="D367" s="514" t="s">
        <v>13942</v>
      </c>
      <c r="E367" s="515">
        <v>7</v>
      </c>
      <c r="F367" s="518" t="s">
        <v>614</v>
      </c>
      <c r="G367" s="515" t="s">
        <v>1997</v>
      </c>
      <c r="H367" s="514" t="s">
        <v>1224</v>
      </c>
      <c r="I367" s="515"/>
      <c r="J367" s="515">
        <v>1</v>
      </c>
    </row>
    <row r="368" spans="1:10" ht="13.8" thickBot="1">
      <c r="A368" s="517"/>
      <c r="B368" s="518" t="s">
        <v>12307</v>
      </c>
      <c r="C368" s="516"/>
      <c r="D368" s="514" t="s">
        <v>1627</v>
      </c>
      <c r="E368" s="515">
        <v>5</v>
      </c>
      <c r="F368" s="518" t="s">
        <v>1854</v>
      </c>
      <c r="G368" s="515" t="s">
        <v>4214</v>
      </c>
      <c r="H368" s="514"/>
      <c r="I368" s="515"/>
      <c r="J368" s="515">
        <v>2</v>
      </c>
    </row>
    <row r="369" spans="1:10" ht="13.8" thickBot="1">
      <c r="A369" s="517"/>
      <c r="B369" s="518" t="s">
        <v>13964</v>
      </c>
      <c r="C369" s="516"/>
      <c r="D369" s="514" t="s">
        <v>1252</v>
      </c>
      <c r="E369" s="515">
        <v>5</v>
      </c>
      <c r="F369" s="518" t="s">
        <v>1854</v>
      </c>
      <c r="G369" s="515" t="s">
        <v>1922</v>
      </c>
      <c r="H369" s="514"/>
      <c r="I369" s="515"/>
      <c r="J369" s="515">
        <v>1</v>
      </c>
    </row>
    <row r="370" spans="1:10" ht="13.8" thickBot="1">
      <c r="A370" s="517"/>
      <c r="B370" s="518" t="s">
        <v>14122</v>
      </c>
      <c r="C370" s="516"/>
      <c r="D370" s="514" t="s">
        <v>1792</v>
      </c>
      <c r="E370" s="515">
        <v>5</v>
      </c>
      <c r="F370" s="518" t="s">
        <v>1854</v>
      </c>
      <c r="G370" s="515" t="s">
        <v>1793</v>
      </c>
      <c r="H370" s="514"/>
      <c r="I370" s="515"/>
      <c r="J370" s="515">
        <v>1</v>
      </c>
    </row>
    <row r="371" spans="1:10" ht="13.8" thickBot="1">
      <c r="A371" s="517"/>
      <c r="B371" s="518" t="s">
        <v>11771</v>
      </c>
      <c r="C371" s="516"/>
      <c r="D371" s="514" t="s">
        <v>11533</v>
      </c>
      <c r="E371" s="515">
        <v>3.5</v>
      </c>
      <c r="F371" s="518" t="s">
        <v>1854</v>
      </c>
      <c r="G371" s="515" t="s">
        <v>11525</v>
      </c>
      <c r="H371" s="514"/>
      <c r="I371" s="515"/>
      <c r="J371" s="515">
        <v>1</v>
      </c>
    </row>
    <row r="372" spans="1:10" ht="13.8" thickBot="1">
      <c r="A372" s="517"/>
      <c r="B372" s="518" t="s">
        <v>11770</v>
      </c>
      <c r="C372" s="516"/>
      <c r="D372" s="514" t="s">
        <v>11533</v>
      </c>
      <c r="E372" s="515">
        <v>1</v>
      </c>
      <c r="F372" s="518" t="s">
        <v>1854</v>
      </c>
      <c r="G372" s="515" t="s">
        <v>11525</v>
      </c>
      <c r="H372" s="514"/>
      <c r="I372" s="515"/>
      <c r="J372" s="515"/>
    </row>
    <row r="373" spans="1:10" ht="13.8" thickBot="1">
      <c r="A373" s="517"/>
      <c r="B373" s="518" t="s">
        <v>14043</v>
      </c>
      <c r="C373" s="516"/>
      <c r="D373" s="514" t="s">
        <v>13991</v>
      </c>
      <c r="E373" s="515">
        <v>2</v>
      </c>
      <c r="F373" s="518" t="s">
        <v>1854</v>
      </c>
      <c r="G373" s="515" t="s">
        <v>1793</v>
      </c>
      <c r="H373" s="514"/>
      <c r="I373" s="515"/>
      <c r="J373" s="515"/>
    </row>
    <row r="374" spans="1:10" ht="13.8" thickBot="1">
      <c r="A374" s="517"/>
      <c r="B374" s="518" t="s">
        <v>11769</v>
      </c>
      <c r="C374" s="516"/>
      <c r="D374" s="514" t="s">
        <v>11533</v>
      </c>
      <c r="E374" s="515">
        <v>1</v>
      </c>
      <c r="F374" s="518" t="s">
        <v>1854</v>
      </c>
      <c r="G374" s="515" t="s">
        <v>11525</v>
      </c>
      <c r="H374" s="514"/>
      <c r="I374" s="515"/>
      <c r="J374" s="515"/>
    </row>
    <row r="375" spans="1:10" ht="13.8" thickBot="1">
      <c r="A375" s="517"/>
      <c r="B375" s="518" t="s">
        <v>14047</v>
      </c>
      <c r="C375" s="516"/>
      <c r="D375" s="514" t="s">
        <v>13991</v>
      </c>
      <c r="E375" s="515">
        <v>2</v>
      </c>
      <c r="F375" s="518" t="s">
        <v>1854</v>
      </c>
      <c r="G375" s="515" t="s">
        <v>1793</v>
      </c>
      <c r="H375" s="514"/>
      <c r="I375" s="515"/>
      <c r="J375" s="515"/>
    </row>
    <row r="376" spans="1:10" ht="13.8" thickBot="1">
      <c r="A376" s="517"/>
      <c r="B376" s="518" t="s">
        <v>14041</v>
      </c>
      <c r="C376" s="516"/>
      <c r="D376" s="514" t="s">
        <v>13991</v>
      </c>
      <c r="E376" s="515">
        <v>2</v>
      </c>
      <c r="F376" s="518" t="s">
        <v>1854</v>
      </c>
      <c r="G376" s="515" t="s">
        <v>1793</v>
      </c>
      <c r="H376" s="514"/>
      <c r="I376" s="515"/>
      <c r="J376" s="515"/>
    </row>
    <row r="377" spans="1:10" ht="13.8" thickBot="1">
      <c r="A377" s="517"/>
      <c r="B377" s="518" t="s">
        <v>13887</v>
      </c>
      <c r="C377" s="516"/>
      <c r="D377" s="514" t="s">
        <v>2044</v>
      </c>
      <c r="E377" s="515">
        <v>6</v>
      </c>
      <c r="F377" s="518" t="s">
        <v>1854</v>
      </c>
      <c r="G377" s="515" t="s">
        <v>2032</v>
      </c>
      <c r="H377" s="514"/>
      <c r="I377" s="515"/>
      <c r="J377" s="515">
        <v>1</v>
      </c>
    </row>
    <row r="378" spans="1:10" ht="13.8" thickBot="1">
      <c r="A378" s="517"/>
      <c r="B378" s="518" t="s">
        <v>12928</v>
      </c>
      <c r="C378" s="516"/>
      <c r="D378" s="514" t="s">
        <v>12927</v>
      </c>
      <c r="E378" s="515">
        <v>6.25</v>
      </c>
      <c r="F378" s="518" t="s">
        <v>614</v>
      </c>
      <c r="G378" s="515" t="s">
        <v>3161</v>
      </c>
      <c r="H378" s="514" t="s">
        <v>1224</v>
      </c>
      <c r="I378" s="515"/>
      <c r="J378" s="515">
        <v>2</v>
      </c>
    </row>
    <row r="379" spans="1:10" ht="13.8" thickBot="1">
      <c r="A379" s="517"/>
      <c r="B379" s="518" t="s">
        <v>12918</v>
      </c>
      <c r="C379" s="516"/>
      <c r="D379" s="514" t="s">
        <v>3164</v>
      </c>
      <c r="E379" s="515">
        <v>5.25</v>
      </c>
      <c r="F379" s="518" t="s">
        <v>1854</v>
      </c>
      <c r="G379" s="515" t="s">
        <v>3161</v>
      </c>
      <c r="H379" s="514" t="s">
        <v>1226</v>
      </c>
      <c r="I379" s="515"/>
      <c r="J379" s="515">
        <v>1</v>
      </c>
    </row>
    <row r="380" spans="1:10" ht="13.8" thickBot="1">
      <c r="A380" s="517"/>
      <c r="B380" s="518" t="s">
        <v>11768</v>
      </c>
      <c r="C380" s="516"/>
      <c r="D380" s="514" t="s">
        <v>11533</v>
      </c>
      <c r="E380" s="515">
        <v>1</v>
      </c>
      <c r="F380" s="518" t="s">
        <v>1854</v>
      </c>
      <c r="G380" s="515" t="s">
        <v>11525</v>
      </c>
      <c r="H380" s="514"/>
      <c r="I380" s="515"/>
      <c r="J380" s="515"/>
    </row>
    <row r="381" spans="1:10" ht="13.8" thickBot="1">
      <c r="A381" s="517"/>
      <c r="B381" s="518" t="s">
        <v>14046</v>
      </c>
      <c r="C381" s="516"/>
      <c r="D381" s="514" t="s">
        <v>13991</v>
      </c>
      <c r="E381" s="515">
        <v>2</v>
      </c>
      <c r="F381" s="518" t="s">
        <v>1854</v>
      </c>
      <c r="G381" s="515" t="s">
        <v>1793</v>
      </c>
      <c r="H381" s="514"/>
      <c r="I381" s="515"/>
      <c r="J381" s="515"/>
    </row>
    <row r="382" spans="1:10" ht="13.8" thickBot="1">
      <c r="A382" s="517"/>
      <c r="B382" s="518" t="s">
        <v>13628</v>
      </c>
      <c r="C382" s="516"/>
      <c r="D382" s="514" t="s">
        <v>1727</v>
      </c>
      <c r="E382" s="515">
        <v>5</v>
      </c>
      <c r="F382" s="518" t="s">
        <v>614</v>
      </c>
      <c r="G382" s="515" t="s">
        <v>2289</v>
      </c>
      <c r="H382" s="514"/>
      <c r="I382" s="515"/>
      <c r="J382" s="515">
        <v>3</v>
      </c>
    </row>
    <row r="383" spans="1:10" ht="13.8" thickBot="1">
      <c r="A383" s="517"/>
      <c r="B383" s="518" t="s">
        <v>14042</v>
      </c>
      <c r="C383" s="516"/>
      <c r="D383" s="514" t="s">
        <v>13991</v>
      </c>
      <c r="E383" s="515">
        <v>2</v>
      </c>
      <c r="F383" s="518" t="s">
        <v>1854</v>
      </c>
      <c r="G383" s="515" t="s">
        <v>1793</v>
      </c>
      <c r="H383" s="514"/>
      <c r="I383" s="515"/>
      <c r="J383" s="515"/>
    </row>
    <row r="384" spans="1:10" ht="13.8" thickBot="1">
      <c r="A384" s="517"/>
      <c r="B384" s="518" t="s">
        <v>14090</v>
      </c>
      <c r="C384" s="516"/>
      <c r="D384" s="514" t="s">
        <v>1792</v>
      </c>
      <c r="E384" s="515">
        <v>3</v>
      </c>
      <c r="F384" s="518" t="s">
        <v>1854</v>
      </c>
      <c r="G384" s="515" t="s">
        <v>1793</v>
      </c>
      <c r="H384" s="514" t="s">
        <v>1224</v>
      </c>
      <c r="I384" s="515"/>
      <c r="J384" s="515">
        <v>1</v>
      </c>
    </row>
    <row r="385" spans="1:10" ht="13.8" thickBot="1">
      <c r="A385" s="517"/>
      <c r="B385" s="518" t="s">
        <v>12396</v>
      </c>
      <c r="C385" s="516"/>
      <c r="D385" s="514" t="s">
        <v>12395</v>
      </c>
      <c r="E385" s="515">
        <v>6.5</v>
      </c>
      <c r="F385" s="518" t="s">
        <v>614</v>
      </c>
      <c r="G385" s="515" t="s">
        <v>4140</v>
      </c>
      <c r="H385" s="514"/>
      <c r="I385" s="515">
        <v>1</v>
      </c>
      <c r="J385" s="515">
        <v>2</v>
      </c>
    </row>
    <row r="386" spans="1:10" ht="13.8" thickBot="1">
      <c r="A386" s="517"/>
      <c r="B386" s="518" t="s">
        <v>14062</v>
      </c>
      <c r="C386" s="516"/>
      <c r="D386" s="514" t="s">
        <v>1792</v>
      </c>
      <c r="E386" s="515">
        <v>2</v>
      </c>
      <c r="F386" s="518" t="s">
        <v>1854</v>
      </c>
      <c r="G386" s="515" t="s">
        <v>1793</v>
      </c>
      <c r="H386" s="514"/>
      <c r="I386" s="515"/>
      <c r="J386" s="515">
        <v>1</v>
      </c>
    </row>
    <row r="387" spans="1:10" ht="13.8" thickBot="1">
      <c r="A387" s="517"/>
      <c r="B387" s="518" t="s">
        <v>14004</v>
      </c>
      <c r="C387" s="516"/>
      <c r="D387" s="514" t="s">
        <v>13991</v>
      </c>
      <c r="E387" s="515">
        <v>1</v>
      </c>
      <c r="F387" s="518" t="s">
        <v>1854</v>
      </c>
      <c r="G387" s="515" t="s">
        <v>1793</v>
      </c>
      <c r="H387" s="514"/>
      <c r="I387" s="515"/>
      <c r="J387" s="515"/>
    </row>
    <row r="388" spans="1:10" ht="13.8" thickBot="1">
      <c r="A388" s="517"/>
      <c r="B388" s="518" t="s">
        <v>13581</v>
      </c>
      <c r="C388" s="516"/>
      <c r="D388" s="514" t="s">
        <v>2448</v>
      </c>
      <c r="E388" s="515">
        <v>5.25</v>
      </c>
      <c r="F388" s="518" t="s">
        <v>1854</v>
      </c>
      <c r="G388" s="515" t="s">
        <v>2449</v>
      </c>
      <c r="H388" s="514" t="s">
        <v>1226</v>
      </c>
      <c r="I388" s="515"/>
      <c r="J388" s="515">
        <v>2</v>
      </c>
    </row>
    <row r="389" spans="1:10" ht="13.8" thickBot="1">
      <c r="A389" s="517"/>
      <c r="B389" s="518" t="s">
        <v>14045</v>
      </c>
      <c r="C389" s="516"/>
      <c r="D389" s="514" t="s">
        <v>13991</v>
      </c>
      <c r="E389" s="515">
        <v>2</v>
      </c>
      <c r="F389" s="518" t="s">
        <v>1854</v>
      </c>
      <c r="G389" s="515" t="s">
        <v>1793</v>
      </c>
      <c r="H389" s="514"/>
      <c r="I389" s="515"/>
      <c r="J389" s="515"/>
    </row>
    <row r="390" spans="1:10" ht="13.8" thickBot="1">
      <c r="A390" s="517"/>
      <c r="B390" s="518" t="s">
        <v>14044</v>
      </c>
      <c r="C390" s="516"/>
      <c r="D390" s="514" t="s">
        <v>13991</v>
      </c>
      <c r="E390" s="515">
        <v>2</v>
      </c>
      <c r="F390" s="518" t="s">
        <v>1854</v>
      </c>
      <c r="G390" s="515" t="s">
        <v>1793</v>
      </c>
      <c r="H390" s="514"/>
      <c r="I390" s="515"/>
      <c r="J390" s="515"/>
    </row>
    <row r="391" spans="1:10" ht="13.8" thickBot="1">
      <c r="A391" s="517"/>
      <c r="B391" s="518" t="s">
        <v>13329</v>
      </c>
      <c r="C391" s="516"/>
      <c r="D391" s="514" t="s">
        <v>1300</v>
      </c>
      <c r="E391" s="515">
        <v>5</v>
      </c>
      <c r="F391" s="518" t="s">
        <v>1854</v>
      </c>
      <c r="G391" s="515" t="s">
        <v>2523</v>
      </c>
      <c r="H391" s="514" t="s">
        <v>1224</v>
      </c>
      <c r="I391" s="515"/>
      <c r="J391" s="515">
        <v>2</v>
      </c>
    </row>
    <row r="392" spans="1:10" ht="13.8" thickBot="1">
      <c r="A392" s="517"/>
      <c r="B392" s="518" t="s">
        <v>14056</v>
      </c>
      <c r="C392" s="516"/>
      <c r="D392" s="514" t="s">
        <v>13991</v>
      </c>
      <c r="E392" s="515">
        <v>2</v>
      </c>
      <c r="F392" s="518" t="s">
        <v>1854</v>
      </c>
      <c r="G392" s="515" t="s">
        <v>1793</v>
      </c>
      <c r="H392" s="514"/>
      <c r="I392" s="515"/>
      <c r="J392" s="515"/>
    </row>
    <row r="393" spans="1:10" ht="13.8" thickBot="1">
      <c r="A393" s="517"/>
      <c r="B393" s="518" t="s">
        <v>12736</v>
      </c>
      <c r="C393" s="516"/>
      <c r="D393" s="514" t="s">
        <v>12735</v>
      </c>
      <c r="E393" s="515">
        <v>5.0999999999999996</v>
      </c>
      <c r="F393" s="518" t="s">
        <v>614</v>
      </c>
      <c r="G393" s="515" t="s">
        <v>3517</v>
      </c>
      <c r="H393" s="514" t="s">
        <v>1226</v>
      </c>
      <c r="I393" s="515"/>
      <c r="J393" s="515">
        <v>2</v>
      </c>
    </row>
    <row r="394" spans="1:10" ht="13.8" thickBot="1">
      <c r="A394" s="517"/>
      <c r="B394" s="518" t="s">
        <v>11767</v>
      </c>
      <c r="C394" s="516"/>
      <c r="D394" s="514" t="s">
        <v>11533</v>
      </c>
      <c r="E394" s="515">
        <v>1</v>
      </c>
      <c r="F394" s="518" t="s">
        <v>1854</v>
      </c>
      <c r="G394" s="515" t="s">
        <v>11525</v>
      </c>
      <c r="H394" s="514"/>
      <c r="I394" s="515"/>
      <c r="J394" s="515"/>
    </row>
    <row r="395" spans="1:10" ht="13.8" thickBot="1">
      <c r="A395" s="517"/>
      <c r="B395" s="518" t="s">
        <v>11766</v>
      </c>
      <c r="C395" s="516"/>
      <c r="D395" s="514" t="s">
        <v>11765</v>
      </c>
      <c r="E395" s="515">
        <v>7</v>
      </c>
      <c r="F395" s="518" t="s">
        <v>1854</v>
      </c>
      <c r="G395" s="515" t="s">
        <v>11525</v>
      </c>
      <c r="H395" s="514"/>
      <c r="I395" s="515"/>
      <c r="J395" s="515"/>
    </row>
    <row r="396" spans="1:10" ht="13.8" thickBot="1">
      <c r="A396" s="517"/>
      <c r="B396" s="518" t="s">
        <v>14067</v>
      </c>
      <c r="C396" s="516"/>
      <c r="D396" s="514" t="s">
        <v>13991</v>
      </c>
      <c r="E396" s="515">
        <v>2</v>
      </c>
      <c r="F396" s="518" t="s">
        <v>1854</v>
      </c>
      <c r="G396" s="515" t="s">
        <v>1793</v>
      </c>
      <c r="H396" s="514"/>
      <c r="I396" s="515"/>
      <c r="J396" s="515">
        <v>1</v>
      </c>
    </row>
    <row r="397" spans="1:10" ht="13.8" thickBot="1">
      <c r="A397" s="517"/>
      <c r="B397" s="518" t="s">
        <v>11764</v>
      </c>
      <c r="C397" s="516"/>
      <c r="D397" s="514" t="s">
        <v>11533</v>
      </c>
      <c r="E397" s="515">
        <v>4.5</v>
      </c>
      <c r="F397" s="518" t="s">
        <v>1854</v>
      </c>
      <c r="G397" s="515" t="s">
        <v>11525</v>
      </c>
      <c r="H397" s="514"/>
      <c r="I397" s="515"/>
      <c r="J397" s="515">
        <v>1</v>
      </c>
    </row>
    <row r="398" spans="1:10" ht="13.8" thickBot="1">
      <c r="A398" s="517"/>
      <c r="B398" s="518" t="s">
        <v>11763</v>
      </c>
      <c r="C398" s="516"/>
      <c r="D398" s="514" t="s">
        <v>11533</v>
      </c>
      <c r="E398" s="515">
        <v>1</v>
      </c>
      <c r="F398" s="518" t="s">
        <v>1854</v>
      </c>
      <c r="G398" s="515" t="s">
        <v>11525</v>
      </c>
      <c r="H398" s="514"/>
      <c r="I398" s="515"/>
      <c r="J398" s="515"/>
    </row>
    <row r="399" spans="1:10" ht="13.8" thickBot="1">
      <c r="A399" s="517"/>
      <c r="B399" s="518" t="s">
        <v>13494</v>
      </c>
      <c r="C399" s="516"/>
      <c r="D399" s="514" t="s">
        <v>13493</v>
      </c>
      <c r="E399" s="515">
        <v>6.5</v>
      </c>
      <c r="F399" s="518" t="s">
        <v>614</v>
      </c>
      <c r="G399" s="515" t="s">
        <v>2523</v>
      </c>
      <c r="H399" s="514" t="s">
        <v>1226</v>
      </c>
      <c r="I399" s="515"/>
      <c r="J399" s="515">
        <v>5</v>
      </c>
    </row>
    <row r="400" spans="1:10" ht="13.8" thickBot="1">
      <c r="A400" s="517"/>
      <c r="B400" s="518" t="s">
        <v>14059</v>
      </c>
      <c r="C400" s="516"/>
      <c r="D400" s="514" t="s">
        <v>13991</v>
      </c>
      <c r="E400" s="515">
        <v>2</v>
      </c>
      <c r="F400" s="518" t="s">
        <v>1854</v>
      </c>
      <c r="G400" s="515" t="s">
        <v>1793</v>
      </c>
      <c r="H400" s="514"/>
      <c r="I400" s="515"/>
      <c r="J400" s="515"/>
    </row>
    <row r="401" spans="1:10" ht="13.8" thickBot="1">
      <c r="A401" s="517"/>
      <c r="B401" s="518" t="s">
        <v>14058</v>
      </c>
      <c r="C401" s="516"/>
      <c r="D401" s="514" t="s">
        <v>13991</v>
      </c>
      <c r="E401" s="515">
        <v>2</v>
      </c>
      <c r="F401" s="518" t="s">
        <v>1854</v>
      </c>
      <c r="G401" s="515" t="s">
        <v>1793</v>
      </c>
      <c r="H401" s="514"/>
      <c r="I401" s="515"/>
      <c r="J401" s="515"/>
    </row>
    <row r="402" spans="1:10" ht="13.8" thickBot="1">
      <c r="A402" s="517"/>
      <c r="B402" s="518" t="s">
        <v>11762</v>
      </c>
      <c r="C402" s="516"/>
      <c r="D402" s="514" t="s">
        <v>11533</v>
      </c>
      <c r="E402" s="515">
        <v>4.5</v>
      </c>
      <c r="F402" s="518" t="s">
        <v>1854</v>
      </c>
      <c r="G402" s="515" t="s">
        <v>11525</v>
      </c>
      <c r="H402" s="514"/>
      <c r="I402" s="515">
        <v>1</v>
      </c>
      <c r="J402" s="515">
        <v>1</v>
      </c>
    </row>
    <row r="403" spans="1:10" ht="13.8" thickBot="1">
      <c r="A403" s="517"/>
      <c r="B403" s="518" t="s">
        <v>11761</v>
      </c>
      <c r="C403" s="516"/>
      <c r="D403" s="514" t="s">
        <v>11533</v>
      </c>
      <c r="E403" s="515">
        <v>1</v>
      </c>
      <c r="F403" s="518" t="s">
        <v>1854</v>
      </c>
      <c r="G403" s="515" t="s">
        <v>11525</v>
      </c>
      <c r="H403" s="514"/>
      <c r="I403" s="515"/>
      <c r="J403" s="515"/>
    </row>
    <row r="404" spans="1:10" ht="13.8" thickBot="1">
      <c r="A404" s="517"/>
      <c r="B404" s="518" t="s">
        <v>11760</v>
      </c>
      <c r="C404" s="516"/>
      <c r="D404" s="514" t="s">
        <v>11533</v>
      </c>
      <c r="E404" s="515">
        <v>1</v>
      </c>
      <c r="F404" s="518" t="s">
        <v>1854</v>
      </c>
      <c r="G404" s="515" t="s">
        <v>11525</v>
      </c>
      <c r="H404" s="514"/>
      <c r="I404" s="515"/>
      <c r="J404" s="515"/>
    </row>
    <row r="405" spans="1:10" ht="13.8" thickBot="1">
      <c r="A405" s="517"/>
      <c r="B405" s="518" t="s">
        <v>13552</v>
      </c>
      <c r="C405" s="516"/>
      <c r="D405" s="514" t="s">
        <v>13551</v>
      </c>
      <c r="E405" s="515">
        <v>7.25</v>
      </c>
      <c r="F405" s="518" t="s">
        <v>614</v>
      </c>
      <c r="G405" s="515" t="s">
        <v>2523</v>
      </c>
      <c r="H405" s="514"/>
      <c r="I405" s="515"/>
      <c r="J405" s="515">
        <v>1</v>
      </c>
    </row>
    <row r="406" spans="1:10" ht="13.8" thickBot="1">
      <c r="A406" s="517"/>
      <c r="B406" s="518" t="s">
        <v>13966</v>
      </c>
      <c r="C406" s="516"/>
      <c r="D406" s="514" t="s">
        <v>13965</v>
      </c>
      <c r="E406" s="515">
        <v>5</v>
      </c>
      <c r="F406" s="518" t="s">
        <v>1854</v>
      </c>
      <c r="G406" s="515" t="s">
        <v>1922</v>
      </c>
      <c r="H406" s="514"/>
      <c r="I406" s="515"/>
      <c r="J406" s="515">
        <v>1</v>
      </c>
    </row>
    <row r="407" spans="1:10" ht="13.8" thickBot="1">
      <c r="A407" s="517"/>
      <c r="B407" s="518" t="s">
        <v>14057</v>
      </c>
      <c r="C407" s="516"/>
      <c r="D407" s="514" t="s">
        <v>13991</v>
      </c>
      <c r="E407" s="515">
        <v>2</v>
      </c>
      <c r="F407" s="518" t="s">
        <v>1854</v>
      </c>
      <c r="G407" s="515" t="s">
        <v>1793</v>
      </c>
      <c r="H407" s="514"/>
      <c r="I407" s="515"/>
      <c r="J407" s="515"/>
    </row>
    <row r="408" spans="1:10" ht="13.8" thickBot="1">
      <c r="A408" s="517"/>
      <c r="B408" s="518" t="s">
        <v>13206</v>
      </c>
      <c r="C408" s="516"/>
      <c r="D408" s="514" t="s">
        <v>1331</v>
      </c>
      <c r="E408" s="515">
        <v>5.5</v>
      </c>
      <c r="F408" s="518" t="s">
        <v>614</v>
      </c>
      <c r="G408" s="515" t="s">
        <v>2797</v>
      </c>
      <c r="H408" s="514"/>
      <c r="I408" s="515"/>
      <c r="J408" s="515">
        <v>2</v>
      </c>
    </row>
    <row r="409" spans="1:10" ht="13.8" thickBot="1">
      <c r="A409" s="517"/>
      <c r="B409" s="518" t="s">
        <v>12131</v>
      </c>
      <c r="C409" s="516"/>
      <c r="D409" s="514" t="s">
        <v>1593</v>
      </c>
      <c r="E409" s="515">
        <v>6</v>
      </c>
      <c r="F409" s="518" t="s">
        <v>614</v>
      </c>
      <c r="G409" s="515" t="s">
        <v>4970</v>
      </c>
      <c r="H409" s="514"/>
      <c r="I409" s="515"/>
      <c r="J409" s="515">
        <v>2</v>
      </c>
    </row>
    <row r="410" spans="1:10" ht="13.8" thickBot="1">
      <c r="A410" s="517"/>
      <c r="B410" s="518" t="s">
        <v>11759</v>
      </c>
      <c r="C410" s="516"/>
      <c r="D410" s="514" t="s">
        <v>11533</v>
      </c>
      <c r="E410" s="515">
        <v>1</v>
      </c>
      <c r="F410" s="518" t="s">
        <v>1854</v>
      </c>
      <c r="G410" s="515" t="s">
        <v>11525</v>
      </c>
      <c r="H410" s="514"/>
      <c r="I410" s="515"/>
      <c r="J410" s="515"/>
    </row>
    <row r="411" spans="1:10" ht="13.8" thickBot="1">
      <c r="A411" s="517"/>
      <c r="B411" s="518" t="s">
        <v>11758</v>
      </c>
      <c r="C411" s="516"/>
      <c r="D411" s="514" t="s">
        <v>11533</v>
      </c>
      <c r="E411" s="515">
        <v>3</v>
      </c>
      <c r="F411" s="518" t="s">
        <v>1854</v>
      </c>
      <c r="G411" s="515" t="s">
        <v>11525</v>
      </c>
      <c r="H411" s="514"/>
      <c r="I411" s="515"/>
      <c r="J411" s="515"/>
    </row>
    <row r="412" spans="1:10" ht="13.8" thickBot="1">
      <c r="A412" s="517"/>
      <c r="B412" s="518" t="s">
        <v>11856</v>
      </c>
      <c r="C412" s="516"/>
      <c r="D412" s="514" t="s">
        <v>11855</v>
      </c>
      <c r="E412" s="515">
        <v>6</v>
      </c>
      <c r="F412" s="518" t="s">
        <v>614</v>
      </c>
      <c r="G412" s="515" t="s">
        <v>5286</v>
      </c>
      <c r="H412" s="514" t="s">
        <v>1226</v>
      </c>
      <c r="I412" s="515"/>
      <c r="J412" s="515">
        <v>4</v>
      </c>
    </row>
    <row r="413" spans="1:10" ht="13.8" thickBot="1">
      <c r="A413" s="517"/>
      <c r="B413" s="518" t="s">
        <v>14055</v>
      </c>
      <c r="C413" s="516"/>
      <c r="D413" s="514" t="s">
        <v>13991</v>
      </c>
      <c r="E413" s="515">
        <v>2</v>
      </c>
      <c r="F413" s="518" t="s">
        <v>1854</v>
      </c>
      <c r="G413" s="515" t="s">
        <v>1793</v>
      </c>
      <c r="H413" s="514"/>
      <c r="I413" s="515"/>
      <c r="J413" s="515"/>
    </row>
    <row r="414" spans="1:10" ht="13.8" thickBot="1">
      <c r="A414" s="517"/>
      <c r="B414" s="518" t="s">
        <v>13195</v>
      </c>
      <c r="C414" s="516"/>
      <c r="D414" s="514" t="s">
        <v>13194</v>
      </c>
      <c r="E414" s="515">
        <v>6.75</v>
      </c>
      <c r="F414" s="518" t="s">
        <v>614</v>
      </c>
      <c r="G414" s="515" t="s">
        <v>2841</v>
      </c>
      <c r="H414" s="514" t="s">
        <v>1251</v>
      </c>
      <c r="I414" s="515"/>
      <c r="J414" s="515">
        <v>8</v>
      </c>
    </row>
    <row r="415" spans="1:10" ht="13.8" thickBot="1">
      <c r="A415" s="517"/>
      <c r="B415" s="518" t="s">
        <v>11757</v>
      </c>
      <c r="C415" s="516"/>
      <c r="D415" s="514" t="s">
        <v>11533</v>
      </c>
      <c r="E415" s="515">
        <v>3</v>
      </c>
      <c r="F415" s="518" t="s">
        <v>1854</v>
      </c>
      <c r="G415" s="515" t="s">
        <v>11525</v>
      </c>
      <c r="H415" s="514"/>
      <c r="I415" s="515"/>
      <c r="J415" s="515"/>
    </row>
    <row r="416" spans="1:10" ht="13.8" thickBot="1">
      <c r="A416" s="517"/>
      <c r="B416" s="518" t="s">
        <v>14020</v>
      </c>
      <c r="C416" s="516"/>
      <c r="D416" s="514" t="s">
        <v>13991</v>
      </c>
      <c r="E416" s="515">
        <v>1</v>
      </c>
      <c r="F416" s="518" t="s">
        <v>1854</v>
      </c>
      <c r="G416" s="515" t="s">
        <v>1793</v>
      </c>
      <c r="H416" s="514"/>
      <c r="I416" s="515"/>
      <c r="J416" s="515"/>
    </row>
    <row r="417" spans="1:10" ht="13.8" thickBot="1">
      <c r="A417" s="517"/>
      <c r="B417" s="518" t="s">
        <v>11756</v>
      </c>
      <c r="C417" s="516"/>
      <c r="D417" s="514" t="s">
        <v>11533</v>
      </c>
      <c r="E417" s="515">
        <v>1</v>
      </c>
      <c r="F417" s="518" t="s">
        <v>1854</v>
      </c>
      <c r="G417" s="515" t="s">
        <v>11525</v>
      </c>
      <c r="H417" s="514"/>
      <c r="I417" s="515"/>
      <c r="J417" s="515"/>
    </row>
    <row r="418" spans="1:10" ht="13.8" thickBot="1">
      <c r="A418" s="517"/>
      <c r="B418" s="518" t="s">
        <v>11755</v>
      </c>
      <c r="C418" s="516"/>
      <c r="D418" s="514" t="s">
        <v>11533</v>
      </c>
      <c r="E418" s="515">
        <v>1</v>
      </c>
      <c r="F418" s="518" t="s">
        <v>1854</v>
      </c>
      <c r="G418" s="515" t="s">
        <v>11525</v>
      </c>
      <c r="H418" s="514"/>
      <c r="I418" s="515"/>
      <c r="J418" s="515"/>
    </row>
    <row r="419" spans="1:10" ht="13.8" thickBot="1">
      <c r="A419" s="517"/>
      <c r="B419" s="518" t="s">
        <v>14066</v>
      </c>
      <c r="C419" s="516"/>
      <c r="D419" s="514" t="s">
        <v>13991</v>
      </c>
      <c r="E419" s="515">
        <v>2</v>
      </c>
      <c r="F419" s="518" t="s">
        <v>1854</v>
      </c>
      <c r="G419" s="515" t="s">
        <v>1793</v>
      </c>
      <c r="H419" s="514"/>
      <c r="I419" s="515"/>
      <c r="J419" s="515">
        <v>1</v>
      </c>
    </row>
    <row r="420" spans="1:10" ht="13.8" thickBot="1">
      <c r="A420" s="517"/>
      <c r="B420" s="518" t="s">
        <v>13308</v>
      </c>
      <c r="C420" s="516"/>
      <c r="D420" s="514" t="s">
        <v>13307</v>
      </c>
      <c r="E420" s="515">
        <v>5</v>
      </c>
      <c r="F420" s="518" t="s">
        <v>1854</v>
      </c>
      <c r="G420" s="515" t="s">
        <v>2523</v>
      </c>
      <c r="H420" s="514"/>
      <c r="I420" s="515"/>
      <c r="J420" s="515">
        <v>1</v>
      </c>
    </row>
    <row r="421" spans="1:10" ht="13.8" thickBot="1">
      <c r="A421" s="517"/>
      <c r="B421" s="518" t="s">
        <v>11754</v>
      </c>
      <c r="C421" s="516"/>
      <c r="D421" s="514" t="s">
        <v>11533</v>
      </c>
      <c r="E421" s="515">
        <v>5</v>
      </c>
      <c r="F421" s="518" t="s">
        <v>1854</v>
      </c>
      <c r="G421" s="515" t="s">
        <v>11525</v>
      </c>
      <c r="H421" s="514"/>
      <c r="I421" s="515">
        <v>1</v>
      </c>
      <c r="J421" s="515">
        <v>1</v>
      </c>
    </row>
    <row r="422" spans="1:10" ht="13.8" thickBot="1">
      <c r="A422" s="517"/>
      <c r="B422" s="518" t="s">
        <v>11753</v>
      </c>
      <c r="C422" s="516"/>
      <c r="D422" s="514" t="s">
        <v>11533</v>
      </c>
      <c r="E422" s="515">
        <v>3</v>
      </c>
      <c r="F422" s="518" t="s">
        <v>1854</v>
      </c>
      <c r="G422" s="515" t="s">
        <v>11525</v>
      </c>
      <c r="H422" s="514"/>
      <c r="I422" s="515"/>
      <c r="J422" s="515"/>
    </row>
    <row r="423" spans="1:10" ht="13.8" thickBot="1">
      <c r="A423" s="517"/>
      <c r="B423" s="518" t="s">
        <v>12474</v>
      </c>
      <c r="C423" s="516"/>
      <c r="D423" s="514" t="s">
        <v>1519</v>
      </c>
      <c r="E423" s="515">
        <v>6.5</v>
      </c>
      <c r="F423" s="518" t="s">
        <v>614</v>
      </c>
      <c r="G423" s="515" t="s">
        <v>3957</v>
      </c>
      <c r="H423" s="514" t="s">
        <v>1226</v>
      </c>
      <c r="I423" s="515"/>
      <c r="J423" s="515">
        <v>3</v>
      </c>
    </row>
    <row r="424" spans="1:10" ht="13.8" thickBot="1">
      <c r="A424" s="517"/>
      <c r="B424" s="518" t="s">
        <v>13395</v>
      </c>
      <c r="C424" s="516"/>
      <c r="D424" s="519" t="s">
        <v>13394</v>
      </c>
      <c r="E424" s="515">
        <v>5.75</v>
      </c>
      <c r="F424" s="518" t="s">
        <v>614</v>
      </c>
      <c r="G424" s="515" t="s">
        <v>2523</v>
      </c>
      <c r="H424" s="514" t="s">
        <v>1226</v>
      </c>
      <c r="I424" s="515">
        <v>1</v>
      </c>
      <c r="J424" s="515">
        <v>4</v>
      </c>
    </row>
    <row r="425" spans="1:10" ht="13.8" thickBot="1">
      <c r="A425" s="517"/>
      <c r="B425" s="518" t="s">
        <v>13779</v>
      </c>
      <c r="C425" s="516"/>
      <c r="D425" s="514" t="s">
        <v>1270</v>
      </c>
      <c r="E425" s="515">
        <v>5.25</v>
      </c>
      <c r="F425" s="518" t="s">
        <v>1854</v>
      </c>
      <c r="G425" s="515" t="s">
        <v>2152</v>
      </c>
      <c r="H425" s="514"/>
      <c r="I425" s="515"/>
      <c r="J425" s="515">
        <v>1</v>
      </c>
    </row>
    <row r="426" spans="1:10" ht="13.8" thickBot="1">
      <c r="A426" s="517"/>
      <c r="B426" s="518" t="s">
        <v>12026</v>
      </c>
      <c r="C426" s="516"/>
      <c r="D426" s="514" t="s">
        <v>5062</v>
      </c>
      <c r="E426" s="515">
        <v>5.5</v>
      </c>
      <c r="F426" s="518" t="s">
        <v>614</v>
      </c>
      <c r="G426" s="515" t="s">
        <v>5059</v>
      </c>
      <c r="H426" s="514" t="s">
        <v>1224</v>
      </c>
      <c r="I426" s="515"/>
      <c r="J426" s="515">
        <v>1</v>
      </c>
    </row>
    <row r="427" spans="1:10" ht="13.8" thickBot="1">
      <c r="A427" s="517"/>
      <c r="B427" s="518" t="s">
        <v>12244</v>
      </c>
      <c r="C427" s="516"/>
      <c r="D427" s="514" t="s">
        <v>12243</v>
      </c>
      <c r="E427" s="515">
        <v>6.3</v>
      </c>
      <c r="F427" s="518" t="s">
        <v>614</v>
      </c>
      <c r="G427" s="515" t="s">
        <v>4536</v>
      </c>
      <c r="H427" s="514" t="s">
        <v>1226</v>
      </c>
      <c r="I427" s="515">
        <v>1</v>
      </c>
      <c r="J427" s="515">
        <v>5</v>
      </c>
    </row>
    <row r="428" spans="1:10" ht="13.8" thickBot="1">
      <c r="A428" s="517"/>
      <c r="B428" s="518" t="s">
        <v>13699</v>
      </c>
      <c r="C428" s="516"/>
      <c r="D428" s="514" t="s">
        <v>13698</v>
      </c>
      <c r="E428" s="515">
        <v>6.75</v>
      </c>
      <c r="F428" s="518" t="s">
        <v>614</v>
      </c>
      <c r="G428" s="515" t="s">
        <v>2289</v>
      </c>
      <c r="H428" s="514" t="s">
        <v>1224</v>
      </c>
      <c r="I428" s="515">
        <v>1</v>
      </c>
      <c r="J428" s="515">
        <v>3</v>
      </c>
    </row>
    <row r="429" spans="1:10" ht="13.8" thickBot="1">
      <c r="A429" s="517"/>
      <c r="B429" s="518" t="s">
        <v>11752</v>
      </c>
      <c r="C429" s="516"/>
      <c r="D429" s="514" t="s">
        <v>11533</v>
      </c>
      <c r="E429" s="515">
        <v>1</v>
      </c>
      <c r="F429" s="518" t="s">
        <v>1854</v>
      </c>
      <c r="G429" s="515" t="s">
        <v>11525</v>
      </c>
      <c r="H429" s="514"/>
      <c r="I429" s="515"/>
      <c r="J429" s="515"/>
    </row>
    <row r="430" spans="1:10" ht="13.8" thickBot="1">
      <c r="A430" s="517"/>
      <c r="B430" s="518" t="s">
        <v>11751</v>
      </c>
      <c r="C430" s="516"/>
      <c r="D430" s="514" t="s">
        <v>11533</v>
      </c>
      <c r="E430" s="515">
        <v>5</v>
      </c>
      <c r="F430" s="518" t="s">
        <v>1854</v>
      </c>
      <c r="G430" s="515" t="s">
        <v>11525</v>
      </c>
      <c r="H430" s="514"/>
      <c r="I430" s="515"/>
      <c r="J430" s="515">
        <v>1</v>
      </c>
    </row>
    <row r="431" spans="1:10" ht="13.8" thickBot="1">
      <c r="A431" s="517"/>
      <c r="B431" s="518" t="s">
        <v>11750</v>
      </c>
      <c r="C431" s="516"/>
      <c r="D431" s="514" t="s">
        <v>11533</v>
      </c>
      <c r="E431" s="515">
        <v>1</v>
      </c>
      <c r="F431" s="518" t="s">
        <v>1854</v>
      </c>
      <c r="G431" s="515" t="s">
        <v>11525</v>
      </c>
      <c r="H431" s="514"/>
      <c r="I431" s="515"/>
      <c r="J431" s="515"/>
    </row>
    <row r="432" spans="1:10" ht="13.8" thickBot="1">
      <c r="A432" s="517"/>
      <c r="B432" s="518" t="s">
        <v>11749</v>
      </c>
      <c r="C432" s="516"/>
      <c r="D432" s="514" t="s">
        <v>11533</v>
      </c>
      <c r="E432" s="515">
        <v>1</v>
      </c>
      <c r="F432" s="518" t="s">
        <v>1854</v>
      </c>
      <c r="G432" s="515" t="s">
        <v>11525</v>
      </c>
      <c r="H432" s="514"/>
      <c r="I432" s="515"/>
      <c r="J432" s="515"/>
    </row>
    <row r="433" spans="1:10" ht="13.8" thickBot="1">
      <c r="A433" s="517"/>
      <c r="B433" s="518" t="s">
        <v>12254</v>
      </c>
      <c r="C433" s="516"/>
      <c r="D433" s="514" t="s">
        <v>12253</v>
      </c>
      <c r="E433" s="515">
        <v>4</v>
      </c>
      <c r="F433" s="518" t="s">
        <v>1854</v>
      </c>
      <c r="G433" s="515" t="s">
        <v>4438</v>
      </c>
      <c r="H433" s="514" t="s">
        <v>1224</v>
      </c>
      <c r="I433" s="515"/>
      <c r="J433" s="515">
        <v>1</v>
      </c>
    </row>
    <row r="434" spans="1:10" ht="13.8" thickBot="1">
      <c r="A434" s="517"/>
      <c r="B434" s="518" t="s">
        <v>11748</v>
      </c>
      <c r="C434" s="516"/>
      <c r="D434" s="514" t="s">
        <v>11533</v>
      </c>
      <c r="E434" s="515">
        <v>1</v>
      </c>
      <c r="F434" s="518" t="s">
        <v>1854</v>
      </c>
      <c r="G434" s="515" t="s">
        <v>11525</v>
      </c>
      <c r="H434" s="514"/>
      <c r="I434" s="515"/>
      <c r="J434" s="515"/>
    </row>
    <row r="435" spans="1:10" ht="13.8" thickBot="1">
      <c r="A435" s="517"/>
      <c r="B435" s="518" t="s">
        <v>14078</v>
      </c>
      <c r="C435" s="516"/>
      <c r="D435" s="514" t="s">
        <v>14077</v>
      </c>
      <c r="E435" s="515">
        <v>3</v>
      </c>
      <c r="F435" s="518" t="s">
        <v>1854</v>
      </c>
      <c r="G435" s="515" t="s">
        <v>1793</v>
      </c>
      <c r="H435" s="514"/>
      <c r="I435" s="515"/>
      <c r="J435" s="515"/>
    </row>
    <row r="436" spans="1:10" ht="13.8" thickBot="1">
      <c r="A436" s="517"/>
      <c r="B436" s="518" t="s">
        <v>11747</v>
      </c>
      <c r="C436" s="516"/>
      <c r="D436" s="514" t="s">
        <v>11533</v>
      </c>
      <c r="E436" s="515">
        <v>1</v>
      </c>
      <c r="F436" s="518" t="s">
        <v>1854</v>
      </c>
      <c r="G436" s="515" t="s">
        <v>11525</v>
      </c>
      <c r="H436" s="514"/>
      <c r="I436" s="515"/>
      <c r="J436" s="515"/>
    </row>
    <row r="437" spans="1:10" ht="13.8" thickBot="1">
      <c r="A437" s="517"/>
      <c r="B437" s="518" t="s">
        <v>11746</v>
      </c>
      <c r="C437" s="516"/>
      <c r="D437" s="514" t="s">
        <v>11533</v>
      </c>
      <c r="E437" s="515">
        <v>1</v>
      </c>
      <c r="F437" s="518" t="s">
        <v>1854</v>
      </c>
      <c r="G437" s="515" t="s">
        <v>11525</v>
      </c>
      <c r="H437" s="514"/>
      <c r="I437" s="515"/>
      <c r="J437" s="515"/>
    </row>
    <row r="438" spans="1:10" ht="13.8" thickBot="1">
      <c r="A438" s="517"/>
      <c r="B438" s="518" t="s">
        <v>12272</v>
      </c>
      <c r="C438" s="516"/>
      <c r="D438" s="514" t="s">
        <v>12271</v>
      </c>
      <c r="E438" s="515">
        <v>4</v>
      </c>
      <c r="F438" s="518" t="s">
        <v>1854</v>
      </c>
      <c r="G438" s="515" t="s">
        <v>4364</v>
      </c>
      <c r="H438" s="514"/>
      <c r="I438" s="515"/>
      <c r="J438" s="515">
        <v>1</v>
      </c>
    </row>
    <row r="439" spans="1:10" ht="13.8" thickBot="1">
      <c r="A439" s="517"/>
      <c r="B439" s="518" t="s">
        <v>12236</v>
      </c>
      <c r="C439" s="516"/>
      <c r="D439" s="514" t="s">
        <v>12235</v>
      </c>
      <c r="E439" s="515">
        <v>7</v>
      </c>
      <c r="F439" s="518" t="s">
        <v>614</v>
      </c>
      <c r="G439" s="515" t="s">
        <v>4596</v>
      </c>
      <c r="H439" s="514" t="s">
        <v>1226</v>
      </c>
      <c r="I439" s="515"/>
      <c r="J439" s="515">
        <v>3</v>
      </c>
    </row>
    <row r="440" spans="1:10" ht="13.8" thickBot="1">
      <c r="A440" s="517"/>
      <c r="B440" s="518" t="s">
        <v>12802</v>
      </c>
      <c r="C440" s="516"/>
      <c r="D440" s="520" t="s">
        <v>12801</v>
      </c>
      <c r="E440" s="521">
        <v>7</v>
      </c>
      <c r="F440" s="518" t="s">
        <v>1854</v>
      </c>
      <c r="G440" s="515" t="s">
        <v>3517</v>
      </c>
      <c r="H440" s="514"/>
      <c r="I440" s="515"/>
      <c r="J440" s="515"/>
    </row>
    <row r="441" spans="1:10" ht="13.8" thickBot="1">
      <c r="A441" s="517"/>
      <c r="B441" s="518" t="s">
        <v>11745</v>
      </c>
      <c r="C441" s="516"/>
      <c r="D441" s="514" t="s">
        <v>11533</v>
      </c>
      <c r="E441" s="515">
        <v>5</v>
      </c>
      <c r="F441" s="514"/>
      <c r="G441" s="515" t="s">
        <v>11525</v>
      </c>
      <c r="H441" s="514"/>
      <c r="I441" s="515"/>
      <c r="J441" s="515">
        <v>1</v>
      </c>
    </row>
    <row r="442" spans="1:10" ht="13.8" thickBot="1">
      <c r="A442" s="517"/>
      <c r="B442" s="518" t="s">
        <v>13414</v>
      </c>
      <c r="C442" s="516"/>
      <c r="D442" s="514" t="s">
        <v>1300</v>
      </c>
      <c r="E442" s="515">
        <v>6</v>
      </c>
      <c r="F442" s="518" t="s">
        <v>614</v>
      </c>
      <c r="G442" s="515" t="s">
        <v>2523</v>
      </c>
      <c r="H442" s="514" t="s">
        <v>1220</v>
      </c>
      <c r="I442" s="515"/>
      <c r="J442" s="515">
        <v>2</v>
      </c>
    </row>
    <row r="443" spans="1:10" ht="13.8" thickBot="1">
      <c r="A443" s="517"/>
      <c r="B443" s="518" t="s">
        <v>14065</v>
      </c>
      <c r="C443" s="516"/>
      <c r="D443" s="514" t="s">
        <v>13991</v>
      </c>
      <c r="E443" s="515">
        <v>2</v>
      </c>
      <c r="F443" s="518" t="s">
        <v>1854</v>
      </c>
      <c r="G443" s="515" t="s">
        <v>1793</v>
      </c>
      <c r="H443" s="514"/>
      <c r="I443" s="515"/>
      <c r="J443" s="515">
        <v>1</v>
      </c>
    </row>
    <row r="444" spans="1:10" ht="13.8" thickBot="1">
      <c r="A444" s="517"/>
      <c r="B444" s="518" t="s">
        <v>11744</v>
      </c>
      <c r="C444" s="516"/>
      <c r="D444" s="514" t="s">
        <v>11533</v>
      </c>
      <c r="E444" s="515">
        <v>5</v>
      </c>
      <c r="F444" s="518" t="s">
        <v>1854</v>
      </c>
      <c r="G444" s="515" t="s">
        <v>11525</v>
      </c>
      <c r="H444" s="514"/>
      <c r="I444" s="515"/>
      <c r="J444" s="515">
        <v>1</v>
      </c>
    </row>
    <row r="445" spans="1:10" ht="13.8" thickBot="1">
      <c r="A445" s="517"/>
      <c r="B445" s="518" t="s">
        <v>13344</v>
      </c>
      <c r="C445" s="516"/>
      <c r="D445" s="514" t="s">
        <v>1300</v>
      </c>
      <c r="E445" s="515">
        <v>5.25</v>
      </c>
      <c r="F445" s="518" t="s">
        <v>1854</v>
      </c>
      <c r="G445" s="515" t="s">
        <v>2523</v>
      </c>
      <c r="H445" s="514" t="s">
        <v>1226</v>
      </c>
      <c r="I445" s="515"/>
      <c r="J445" s="515">
        <v>3</v>
      </c>
    </row>
    <row r="446" spans="1:10" ht="13.8" thickBot="1">
      <c r="A446" s="517"/>
      <c r="B446" s="518" t="s">
        <v>14038</v>
      </c>
      <c r="C446" s="516"/>
      <c r="D446" s="514" t="s">
        <v>13991</v>
      </c>
      <c r="E446" s="515">
        <v>2</v>
      </c>
      <c r="F446" s="514"/>
      <c r="G446" s="515" t="s">
        <v>1793</v>
      </c>
      <c r="H446" s="514"/>
      <c r="I446" s="515"/>
      <c r="J446" s="515"/>
    </row>
    <row r="447" spans="1:10" ht="13.8" thickBot="1">
      <c r="A447" s="517"/>
      <c r="B447" s="518" t="s">
        <v>14145</v>
      </c>
      <c r="C447" s="516"/>
      <c r="D447" s="514" t="s">
        <v>1792</v>
      </c>
      <c r="E447" s="515">
        <v>5</v>
      </c>
      <c r="F447" s="518" t="s">
        <v>1854</v>
      </c>
      <c r="G447" s="515" t="s">
        <v>1793</v>
      </c>
      <c r="H447" s="514" t="s">
        <v>1224</v>
      </c>
      <c r="I447" s="515"/>
      <c r="J447" s="515">
        <v>1</v>
      </c>
    </row>
    <row r="448" spans="1:10" ht="13.8" thickBot="1">
      <c r="A448" s="517"/>
      <c r="B448" s="518" t="s">
        <v>11743</v>
      </c>
      <c r="C448" s="516"/>
      <c r="D448" s="514" t="s">
        <v>11533</v>
      </c>
      <c r="E448" s="515">
        <v>2</v>
      </c>
      <c r="F448" s="518" t="s">
        <v>1854</v>
      </c>
      <c r="G448" s="515" t="s">
        <v>11525</v>
      </c>
      <c r="H448" s="514"/>
      <c r="I448" s="515"/>
      <c r="J448" s="515">
        <v>1</v>
      </c>
    </row>
    <row r="449" spans="1:10" ht="13.8" thickBot="1">
      <c r="A449" s="517"/>
      <c r="B449" s="518" t="s">
        <v>11742</v>
      </c>
      <c r="C449" s="516"/>
      <c r="D449" s="514" t="s">
        <v>11533</v>
      </c>
      <c r="E449" s="521">
        <v>1</v>
      </c>
      <c r="F449" s="514"/>
      <c r="G449" s="515" t="s">
        <v>11525</v>
      </c>
      <c r="H449" s="514"/>
      <c r="I449" s="515"/>
      <c r="J449" s="515"/>
    </row>
    <row r="450" spans="1:10" ht="13.8" thickBot="1">
      <c r="A450" s="517"/>
      <c r="B450" s="518" t="s">
        <v>13095</v>
      </c>
      <c r="C450" s="516"/>
      <c r="D450" s="514" t="s">
        <v>13094</v>
      </c>
      <c r="E450" s="515">
        <v>6</v>
      </c>
      <c r="F450" s="518" t="s">
        <v>614</v>
      </c>
      <c r="G450" s="515" t="s">
        <v>2957</v>
      </c>
      <c r="H450" s="514" t="s">
        <v>1226</v>
      </c>
      <c r="I450" s="515">
        <v>1</v>
      </c>
      <c r="J450" s="515">
        <v>8</v>
      </c>
    </row>
    <row r="451" spans="1:10" ht="13.8" thickBot="1">
      <c r="A451" s="517"/>
      <c r="B451" s="518" t="s">
        <v>12234</v>
      </c>
      <c r="C451" s="516"/>
      <c r="D451" s="514" t="s">
        <v>12233</v>
      </c>
      <c r="E451" s="515">
        <v>6.7</v>
      </c>
      <c r="F451" s="518" t="s">
        <v>614</v>
      </c>
      <c r="G451" s="515" t="s">
        <v>4596</v>
      </c>
      <c r="H451" s="514" t="s">
        <v>1251</v>
      </c>
      <c r="I451" s="515"/>
      <c r="J451" s="515">
        <v>9</v>
      </c>
    </row>
    <row r="452" spans="1:10" ht="13.8" thickBot="1">
      <c r="A452" s="517"/>
      <c r="B452" s="518" t="s">
        <v>13104</v>
      </c>
      <c r="C452" s="516"/>
      <c r="D452" s="514" t="s">
        <v>13103</v>
      </c>
      <c r="E452" s="515">
        <v>6.25</v>
      </c>
      <c r="F452" s="518" t="s">
        <v>1854</v>
      </c>
      <c r="G452" s="515" t="s">
        <v>2957</v>
      </c>
      <c r="H452" s="514"/>
      <c r="I452" s="515"/>
      <c r="J452" s="515">
        <v>1</v>
      </c>
    </row>
    <row r="453" spans="1:10" ht="13.8" thickBot="1">
      <c r="A453" s="517"/>
      <c r="B453" s="518" t="s">
        <v>13892</v>
      </c>
      <c r="C453" s="516"/>
      <c r="D453" s="520" t="s">
        <v>13891</v>
      </c>
      <c r="E453" s="521">
        <v>6</v>
      </c>
      <c r="F453" s="518" t="s">
        <v>1854</v>
      </c>
      <c r="G453" s="515" t="s">
        <v>2032</v>
      </c>
      <c r="H453" s="514"/>
      <c r="I453" s="521"/>
      <c r="J453" s="521">
        <v>3</v>
      </c>
    </row>
    <row r="454" spans="1:10" ht="13.8" thickBot="1">
      <c r="A454" s="517"/>
      <c r="B454" s="518" t="s">
        <v>11741</v>
      </c>
      <c r="C454" s="516"/>
      <c r="D454" s="514" t="s">
        <v>11533</v>
      </c>
      <c r="E454" s="515">
        <v>1</v>
      </c>
      <c r="F454" s="518" t="s">
        <v>1854</v>
      </c>
      <c r="G454" s="515" t="s">
        <v>11525</v>
      </c>
      <c r="H454" s="514"/>
      <c r="I454" s="515"/>
      <c r="J454" s="515"/>
    </row>
    <row r="455" spans="1:10" ht="13.8" thickBot="1">
      <c r="A455" s="517"/>
      <c r="B455" s="518" t="s">
        <v>12693</v>
      </c>
      <c r="C455" s="516"/>
      <c r="D455" s="514" t="s">
        <v>12692</v>
      </c>
      <c r="E455" s="515">
        <v>7.25</v>
      </c>
      <c r="F455" s="518" t="s">
        <v>1854</v>
      </c>
      <c r="G455" s="515" t="s">
        <v>3652</v>
      </c>
      <c r="H455" s="514"/>
      <c r="I455" s="515">
        <v>1</v>
      </c>
      <c r="J455" s="515">
        <v>1</v>
      </c>
    </row>
    <row r="456" spans="1:10" ht="13.8" thickBot="1">
      <c r="A456" s="517"/>
      <c r="B456" s="518" t="s">
        <v>12087</v>
      </c>
      <c r="C456" s="516"/>
      <c r="D456" s="514" t="s">
        <v>1593</v>
      </c>
      <c r="E456" s="515">
        <v>2</v>
      </c>
      <c r="F456" s="518" t="s">
        <v>1854</v>
      </c>
      <c r="G456" s="515" t="s">
        <v>4970</v>
      </c>
      <c r="H456" s="514"/>
      <c r="I456" s="515"/>
      <c r="J456" s="515">
        <v>1</v>
      </c>
    </row>
    <row r="457" spans="1:10" ht="13.8" thickBot="1">
      <c r="A457" s="517"/>
      <c r="B457" s="518" t="s">
        <v>12089</v>
      </c>
      <c r="C457" s="516"/>
      <c r="D457" s="514" t="s">
        <v>12088</v>
      </c>
      <c r="E457" s="515">
        <v>2</v>
      </c>
      <c r="F457" s="518" t="s">
        <v>1854</v>
      </c>
      <c r="G457" s="515" t="s">
        <v>4970</v>
      </c>
      <c r="H457" s="514"/>
      <c r="I457" s="515"/>
      <c r="J457" s="515">
        <v>1</v>
      </c>
    </row>
    <row r="458" spans="1:10" ht="13.8" thickBot="1">
      <c r="A458" s="517"/>
      <c r="B458" s="518" t="s">
        <v>12090</v>
      </c>
      <c r="C458" s="516"/>
      <c r="D458" s="514" t="s">
        <v>1593</v>
      </c>
      <c r="E458" s="515">
        <v>2</v>
      </c>
      <c r="F458" s="518" t="s">
        <v>1854</v>
      </c>
      <c r="G458" s="515" t="s">
        <v>4970</v>
      </c>
      <c r="H458" s="514"/>
      <c r="I458" s="515"/>
      <c r="J458" s="515">
        <v>1</v>
      </c>
    </row>
    <row r="459" spans="1:10" ht="13.8" thickBot="1">
      <c r="A459" s="517"/>
      <c r="B459" s="518" t="s">
        <v>11740</v>
      </c>
      <c r="C459" s="516"/>
      <c r="D459" s="514" t="s">
        <v>11533</v>
      </c>
      <c r="E459" s="515">
        <v>1</v>
      </c>
      <c r="F459" s="518" t="s">
        <v>1854</v>
      </c>
      <c r="G459" s="515" t="s">
        <v>11525</v>
      </c>
      <c r="H459" s="514"/>
      <c r="I459" s="515"/>
      <c r="J459" s="515"/>
    </row>
    <row r="460" spans="1:10" ht="13.8" thickBot="1">
      <c r="A460" s="517"/>
      <c r="B460" s="518" t="s">
        <v>12160</v>
      </c>
      <c r="C460" s="516"/>
      <c r="D460" s="514" t="s">
        <v>12159</v>
      </c>
      <c r="E460" s="515">
        <v>6</v>
      </c>
      <c r="F460" s="518" t="s">
        <v>614</v>
      </c>
      <c r="G460" s="515" t="s">
        <v>4943</v>
      </c>
      <c r="H460" s="514" t="s">
        <v>1251</v>
      </c>
      <c r="I460" s="515">
        <v>1</v>
      </c>
      <c r="J460" s="515">
        <v>9</v>
      </c>
    </row>
    <row r="461" spans="1:10" ht="13.8" thickBot="1">
      <c r="A461" s="517"/>
      <c r="B461" s="518" t="s">
        <v>11739</v>
      </c>
      <c r="C461" s="516"/>
      <c r="D461" s="514" t="s">
        <v>11533</v>
      </c>
      <c r="E461" s="515">
        <v>1</v>
      </c>
      <c r="F461" s="518" t="s">
        <v>1854</v>
      </c>
      <c r="G461" s="515" t="s">
        <v>11525</v>
      </c>
      <c r="H461" s="514"/>
      <c r="I461" s="515"/>
      <c r="J461" s="515"/>
    </row>
    <row r="462" spans="1:10" ht="13.8" thickBot="1">
      <c r="A462" s="517"/>
      <c r="B462" s="518" t="s">
        <v>11738</v>
      </c>
      <c r="C462" s="516"/>
      <c r="D462" s="514" t="s">
        <v>11533</v>
      </c>
      <c r="E462" s="515">
        <v>1</v>
      </c>
      <c r="F462" s="518" t="s">
        <v>1854</v>
      </c>
      <c r="G462" s="515" t="s">
        <v>11525</v>
      </c>
      <c r="H462" s="514"/>
      <c r="I462" s="515"/>
      <c r="J462" s="515"/>
    </row>
    <row r="463" spans="1:10" ht="13.8" thickBot="1">
      <c r="A463" s="517"/>
      <c r="B463" s="518" t="s">
        <v>11737</v>
      </c>
      <c r="C463" s="516"/>
      <c r="D463" s="514" t="s">
        <v>11533</v>
      </c>
      <c r="E463" s="515">
        <v>1</v>
      </c>
      <c r="F463" s="518" t="s">
        <v>1854</v>
      </c>
      <c r="G463" s="515" t="s">
        <v>11525</v>
      </c>
      <c r="H463" s="514"/>
      <c r="I463" s="515"/>
      <c r="J463" s="515"/>
    </row>
    <row r="464" spans="1:10" ht="13.8" thickBot="1">
      <c r="A464" s="517"/>
      <c r="B464" s="518" t="s">
        <v>12434</v>
      </c>
      <c r="C464" s="516"/>
      <c r="D464" s="514" t="s">
        <v>1537</v>
      </c>
      <c r="E464" s="515">
        <v>4</v>
      </c>
      <c r="F464" s="518" t="s">
        <v>1854</v>
      </c>
      <c r="G464" s="515" t="s">
        <v>4067</v>
      </c>
      <c r="H464" s="514"/>
      <c r="I464" s="515"/>
      <c r="J464" s="515">
        <v>1</v>
      </c>
    </row>
    <row r="465" spans="1:10" ht="13.8" thickBot="1">
      <c r="A465" s="517"/>
      <c r="B465" s="518" t="s">
        <v>12561</v>
      </c>
      <c r="C465" s="516"/>
      <c r="D465" s="514" t="s">
        <v>3833</v>
      </c>
      <c r="E465" s="515">
        <v>5</v>
      </c>
      <c r="F465" s="518" t="s">
        <v>1854</v>
      </c>
      <c r="G465" s="515" t="s">
        <v>3807</v>
      </c>
      <c r="H465" s="514" t="s">
        <v>1226</v>
      </c>
      <c r="I465" s="515"/>
      <c r="J465" s="515">
        <v>2</v>
      </c>
    </row>
    <row r="466" spans="1:10" ht="13.8" thickBot="1">
      <c r="A466" s="517"/>
      <c r="B466" s="518" t="s">
        <v>12926</v>
      </c>
      <c r="C466" s="516"/>
      <c r="D466" s="514" t="s">
        <v>12925</v>
      </c>
      <c r="E466" s="515">
        <v>6.1</v>
      </c>
      <c r="F466" s="518" t="s">
        <v>614</v>
      </c>
      <c r="G466" s="515" t="s">
        <v>3161</v>
      </c>
      <c r="H466" s="514" t="s">
        <v>1226</v>
      </c>
      <c r="I466" s="515"/>
      <c r="J466" s="515">
        <v>2</v>
      </c>
    </row>
    <row r="467" spans="1:10" ht="13.8" thickBot="1">
      <c r="A467" s="517"/>
      <c r="B467" s="518" t="s">
        <v>13164</v>
      </c>
      <c r="C467" s="516"/>
      <c r="D467" s="514" t="s">
        <v>1365</v>
      </c>
      <c r="E467" s="515">
        <v>5.75</v>
      </c>
      <c r="F467" s="518" t="s">
        <v>614</v>
      </c>
      <c r="G467" s="515" t="s">
        <v>2943</v>
      </c>
      <c r="H467" s="514" t="s">
        <v>1251</v>
      </c>
      <c r="I467" s="515">
        <v>1</v>
      </c>
      <c r="J467" s="515">
        <v>6</v>
      </c>
    </row>
    <row r="468" spans="1:10" ht="13.8" thickBot="1">
      <c r="A468" s="517"/>
      <c r="B468" s="518" t="s">
        <v>12165</v>
      </c>
      <c r="C468" s="516"/>
      <c r="D468" s="514" t="s">
        <v>4935</v>
      </c>
      <c r="E468" s="515">
        <v>7.25</v>
      </c>
      <c r="F468" s="518" t="s">
        <v>614</v>
      </c>
      <c r="G468" s="515" t="s">
        <v>4918</v>
      </c>
      <c r="H468" s="514" t="s">
        <v>1226</v>
      </c>
      <c r="I468" s="515"/>
      <c r="J468" s="515">
        <v>1</v>
      </c>
    </row>
    <row r="469" spans="1:10" ht="13.8" thickBot="1">
      <c r="A469" s="517"/>
      <c r="B469" s="518" t="s">
        <v>12940</v>
      </c>
      <c r="C469" s="516"/>
      <c r="D469" s="514" t="s">
        <v>12939</v>
      </c>
      <c r="E469" s="515">
        <v>6.5</v>
      </c>
      <c r="F469" s="518" t="s">
        <v>1854</v>
      </c>
      <c r="G469" s="515" t="s">
        <v>3161</v>
      </c>
      <c r="H469" s="514" t="s">
        <v>1226</v>
      </c>
      <c r="I469" s="515"/>
      <c r="J469" s="515">
        <v>2</v>
      </c>
    </row>
    <row r="470" spans="1:10" ht="13.8" thickBot="1">
      <c r="A470" s="517"/>
      <c r="B470" s="518" t="s">
        <v>14017</v>
      </c>
      <c r="C470" s="516"/>
      <c r="D470" s="514" t="s">
        <v>13991</v>
      </c>
      <c r="E470" s="515">
        <v>1</v>
      </c>
      <c r="F470" s="518" t="s">
        <v>1854</v>
      </c>
      <c r="G470" s="515" t="s">
        <v>1793</v>
      </c>
      <c r="H470" s="514"/>
      <c r="I470" s="515"/>
      <c r="J470" s="515"/>
    </row>
    <row r="471" spans="1:10" ht="13.8" thickBot="1">
      <c r="A471" s="517"/>
      <c r="B471" s="518" t="s">
        <v>12666</v>
      </c>
      <c r="C471" s="516"/>
      <c r="D471" s="514" t="s">
        <v>1466</v>
      </c>
      <c r="E471" s="515">
        <v>3</v>
      </c>
      <c r="F471" s="518" t="s">
        <v>1854</v>
      </c>
      <c r="G471" s="515" t="s">
        <v>3652</v>
      </c>
      <c r="H471" s="514"/>
      <c r="I471" s="515"/>
      <c r="J471" s="515"/>
    </row>
    <row r="472" spans="1:10" ht="13.8" thickBot="1">
      <c r="A472" s="517"/>
      <c r="B472" s="518" t="s">
        <v>13337</v>
      </c>
      <c r="C472" s="516"/>
      <c r="D472" s="514" t="s">
        <v>13336</v>
      </c>
      <c r="E472" s="515">
        <v>5.25</v>
      </c>
      <c r="F472" s="518" t="s">
        <v>1854</v>
      </c>
      <c r="G472" s="515" t="s">
        <v>2523</v>
      </c>
      <c r="H472" s="514"/>
      <c r="I472" s="515">
        <v>1</v>
      </c>
      <c r="J472" s="515">
        <v>2</v>
      </c>
    </row>
    <row r="473" spans="1:10" ht="13.8" thickBot="1">
      <c r="A473" s="517"/>
      <c r="B473" s="518" t="s">
        <v>11884</v>
      </c>
      <c r="C473" s="516"/>
      <c r="D473" s="520" t="s">
        <v>11883</v>
      </c>
      <c r="E473" s="521">
        <v>5</v>
      </c>
      <c r="F473" s="518" t="s">
        <v>1854</v>
      </c>
      <c r="G473" s="515" t="s">
        <v>5269</v>
      </c>
      <c r="H473" s="514"/>
      <c r="I473" s="520"/>
      <c r="J473" s="530">
        <v>1</v>
      </c>
    </row>
    <row r="474" spans="1:10" ht="13.8" thickBot="1">
      <c r="A474" s="517"/>
      <c r="B474" s="518" t="s">
        <v>12990</v>
      </c>
      <c r="C474" s="516"/>
      <c r="D474" s="514" t="s">
        <v>1552</v>
      </c>
      <c r="E474" s="515">
        <v>2</v>
      </c>
      <c r="F474" s="518" t="s">
        <v>1854</v>
      </c>
      <c r="G474" s="515" t="s">
        <v>2957</v>
      </c>
      <c r="H474" s="514"/>
      <c r="I474" s="515"/>
      <c r="J474" s="515"/>
    </row>
    <row r="475" spans="1:10" ht="13.8" thickBot="1">
      <c r="A475" s="517"/>
      <c r="B475" s="518" t="s">
        <v>13760</v>
      </c>
      <c r="C475" s="516"/>
      <c r="D475" s="514" t="s">
        <v>1270</v>
      </c>
      <c r="E475" s="515">
        <v>2</v>
      </c>
      <c r="F475" s="518" t="s">
        <v>1854</v>
      </c>
      <c r="G475" s="515" t="s">
        <v>2152</v>
      </c>
      <c r="H475" s="514"/>
      <c r="I475" s="515"/>
      <c r="J475" s="515"/>
    </row>
    <row r="476" spans="1:10" ht="13.8" thickBot="1">
      <c r="A476" s="517"/>
      <c r="B476" s="518" t="s">
        <v>12840</v>
      </c>
      <c r="C476" s="516"/>
      <c r="D476" s="514" t="s">
        <v>3451</v>
      </c>
      <c r="E476" s="515">
        <v>2</v>
      </c>
      <c r="F476" s="518" t="s">
        <v>1854</v>
      </c>
      <c r="G476" s="515" t="s">
        <v>3452</v>
      </c>
      <c r="H476" s="514"/>
      <c r="I476" s="515"/>
      <c r="J476" s="515"/>
    </row>
    <row r="477" spans="1:10" ht="13.8" thickBot="1">
      <c r="A477" s="517"/>
      <c r="B477" s="518" t="s">
        <v>13174</v>
      </c>
      <c r="C477" s="516"/>
      <c r="D477" s="514" t="s">
        <v>13173</v>
      </c>
      <c r="E477" s="515">
        <v>7</v>
      </c>
      <c r="F477" s="518" t="s">
        <v>13172</v>
      </c>
      <c r="G477" s="515" t="s">
        <v>2943</v>
      </c>
      <c r="H477" s="514" t="s">
        <v>1251</v>
      </c>
      <c r="I477" s="515">
        <v>1</v>
      </c>
      <c r="J477" s="515">
        <v>7</v>
      </c>
    </row>
    <row r="478" spans="1:10" ht="13.8" thickBot="1">
      <c r="A478" s="517"/>
      <c r="B478" s="518" t="s">
        <v>13852</v>
      </c>
      <c r="C478" s="516"/>
      <c r="D478" s="514" t="s">
        <v>13851</v>
      </c>
      <c r="E478" s="515">
        <v>3</v>
      </c>
      <c r="F478" s="518" t="s">
        <v>1854</v>
      </c>
      <c r="G478" s="515" t="s">
        <v>2032</v>
      </c>
      <c r="H478" s="514"/>
      <c r="I478" s="515"/>
      <c r="J478" s="515"/>
    </row>
    <row r="479" spans="1:10" ht="13.8" thickBot="1">
      <c r="A479" s="517"/>
      <c r="B479" s="518" t="s">
        <v>14070</v>
      </c>
      <c r="C479" s="516"/>
      <c r="D479" s="514" t="s">
        <v>1802</v>
      </c>
      <c r="E479" s="515">
        <v>2.5</v>
      </c>
      <c r="F479" s="518" t="s">
        <v>1854</v>
      </c>
      <c r="G479" s="515" t="s">
        <v>1793</v>
      </c>
      <c r="H479" s="514"/>
      <c r="I479" s="515"/>
      <c r="J479" s="515">
        <v>1</v>
      </c>
    </row>
    <row r="480" spans="1:10" ht="13.8" thickBot="1">
      <c r="A480" s="517"/>
      <c r="B480" s="518" t="s">
        <v>14064</v>
      </c>
      <c r="C480" s="516"/>
      <c r="D480" s="514" t="s">
        <v>1899</v>
      </c>
      <c r="E480" s="515">
        <v>2</v>
      </c>
      <c r="F480" s="518" t="s">
        <v>1854</v>
      </c>
      <c r="G480" s="515" t="s">
        <v>1793</v>
      </c>
      <c r="H480" s="514"/>
      <c r="I480" s="515"/>
      <c r="J480" s="515">
        <v>1</v>
      </c>
    </row>
    <row r="481" spans="1:10" ht="13.8" thickBot="1">
      <c r="A481" s="517"/>
      <c r="B481" s="518" t="s">
        <v>12314</v>
      </c>
      <c r="C481" s="516"/>
      <c r="D481" s="514" t="s">
        <v>12313</v>
      </c>
      <c r="E481" s="515">
        <v>5</v>
      </c>
      <c r="F481" s="518" t="s">
        <v>614</v>
      </c>
      <c r="G481" s="515" t="s">
        <v>4214</v>
      </c>
      <c r="H481" s="514" t="s">
        <v>1226</v>
      </c>
      <c r="I481" s="515">
        <v>1</v>
      </c>
      <c r="J481" s="515">
        <v>3</v>
      </c>
    </row>
    <row r="482" spans="1:10" ht="13.8" thickBot="1">
      <c r="A482" s="517"/>
      <c r="B482" s="518" t="s">
        <v>13332</v>
      </c>
      <c r="C482" s="516"/>
      <c r="D482" s="514" t="s">
        <v>13331</v>
      </c>
      <c r="E482" s="515">
        <v>5</v>
      </c>
      <c r="F482" s="518" t="s">
        <v>1854</v>
      </c>
      <c r="G482" s="515" t="s">
        <v>2523</v>
      </c>
      <c r="H482" s="514" t="s">
        <v>1226</v>
      </c>
      <c r="I482" s="515">
        <v>1</v>
      </c>
      <c r="J482" s="515">
        <v>2</v>
      </c>
    </row>
    <row r="483" spans="1:10" ht="13.8" thickBot="1">
      <c r="A483" s="517"/>
      <c r="B483" s="518" t="s">
        <v>14153</v>
      </c>
      <c r="C483" s="516"/>
      <c r="D483" s="514" t="s">
        <v>1792</v>
      </c>
      <c r="E483" s="515">
        <v>5</v>
      </c>
      <c r="F483" s="518" t="s">
        <v>1854</v>
      </c>
      <c r="G483" s="515" t="s">
        <v>1793</v>
      </c>
      <c r="H483" s="514" t="s">
        <v>1226</v>
      </c>
      <c r="I483" s="515">
        <v>2</v>
      </c>
      <c r="J483" s="515">
        <v>4</v>
      </c>
    </row>
    <row r="484" spans="1:10" ht="13.8" thickBot="1">
      <c r="A484" s="517"/>
      <c r="B484" s="518" t="s">
        <v>12499</v>
      </c>
      <c r="C484" s="516"/>
      <c r="D484" s="514" t="s">
        <v>12498</v>
      </c>
      <c r="E484" s="515">
        <v>4</v>
      </c>
      <c r="F484" s="518" t="s">
        <v>1854</v>
      </c>
      <c r="G484" s="515" t="s">
        <v>3856</v>
      </c>
      <c r="H484" s="514" t="s">
        <v>1226</v>
      </c>
      <c r="I484" s="515"/>
      <c r="J484" s="515">
        <v>2</v>
      </c>
    </row>
    <row r="485" spans="1:10" ht="13.8" thickBot="1">
      <c r="A485" s="517"/>
      <c r="B485" s="518" t="s">
        <v>13007</v>
      </c>
      <c r="C485" s="516"/>
      <c r="D485" s="514" t="s">
        <v>13006</v>
      </c>
      <c r="E485" s="515">
        <v>4</v>
      </c>
      <c r="F485" s="518" t="s">
        <v>1854</v>
      </c>
      <c r="G485" s="515" t="s">
        <v>2957</v>
      </c>
      <c r="H485" s="514"/>
      <c r="I485" s="515"/>
      <c r="J485" s="515">
        <v>1</v>
      </c>
    </row>
    <row r="486" spans="1:10" ht="13.8" thickBot="1">
      <c r="A486" s="517"/>
      <c r="B486" s="518" t="s">
        <v>14035</v>
      </c>
      <c r="C486" s="516"/>
      <c r="D486" s="514" t="s">
        <v>13991</v>
      </c>
      <c r="E486" s="515">
        <v>1</v>
      </c>
      <c r="F486" s="518" t="s">
        <v>1854</v>
      </c>
      <c r="G486" s="515" t="s">
        <v>1793</v>
      </c>
      <c r="H486" s="514"/>
      <c r="I486" s="515"/>
      <c r="J486" s="515">
        <v>1</v>
      </c>
    </row>
    <row r="487" spans="1:10" ht="13.8" thickBot="1">
      <c r="A487" s="517"/>
      <c r="B487" s="518" t="s">
        <v>14112</v>
      </c>
      <c r="C487" s="516"/>
      <c r="D487" s="514" t="s">
        <v>14111</v>
      </c>
      <c r="E487" s="515">
        <v>4.5</v>
      </c>
      <c r="F487" s="518" t="s">
        <v>1854</v>
      </c>
      <c r="G487" s="515" t="s">
        <v>1793</v>
      </c>
      <c r="H487" s="514" t="s">
        <v>1226</v>
      </c>
      <c r="I487" s="515"/>
      <c r="J487" s="515">
        <v>3</v>
      </c>
    </row>
    <row r="488" spans="1:10" ht="13.8" thickBot="1">
      <c r="A488" s="517"/>
      <c r="B488" s="518" t="s">
        <v>12030</v>
      </c>
      <c r="C488" s="516"/>
      <c r="D488" s="514" t="s">
        <v>12029</v>
      </c>
      <c r="E488" s="515">
        <v>6</v>
      </c>
      <c r="F488" s="518" t="s">
        <v>614</v>
      </c>
      <c r="G488" s="515" t="s">
        <v>5059</v>
      </c>
      <c r="H488" s="514" t="s">
        <v>1226</v>
      </c>
      <c r="I488" s="515">
        <v>1</v>
      </c>
      <c r="J488" s="515">
        <v>6</v>
      </c>
    </row>
    <row r="489" spans="1:10" ht="13.8" thickBot="1">
      <c r="A489" s="517"/>
      <c r="B489" s="518" t="s">
        <v>12107</v>
      </c>
      <c r="C489" s="516"/>
      <c r="D489" s="514" t="s">
        <v>12106</v>
      </c>
      <c r="E489" s="515">
        <v>4.5</v>
      </c>
      <c r="F489" s="518" t="s">
        <v>1854</v>
      </c>
      <c r="G489" s="515" t="s">
        <v>4970</v>
      </c>
      <c r="H489" s="514" t="s">
        <v>1224</v>
      </c>
      <c r="I489" s="515"/>
      <c r="J489" s="515">
        <v>1</v>
      </c>
    </row>
    <row r="490" spans="1:10" ht="13.8" thickBot="1">
      <c r="A490" s="517"/>
      <c r="B490" s="518" t="s">
        <v>14092</v>
      </c>
      <c r="C490" s="516"/>
      <c r="D490" s="514" t="s">
        <v>14091</v>
      </c>
      <c r="E490" s="515">
        <v>3</v>
      </c>
      <c r="F490" s="518" t="s">
        <v>1854</v>
      </c>
      <c r="G490" s="515" t="s">
        <v>1793</v>
      </c>
      <c r="H490" s="514" t="s">
        <v>1224</v>
      </c>
      <c r="I490" s="515"/>
      <c r="J490" s="515">
        <v>1</v>
      </c>
    </row>
    <row r="491" spans="1:10" ht="13.8" thickBot="1">
      <c r="A491" s="517"/>
      <c r="B491" s="518" t="s">
        <v>12085</v>
      </c>
      <c r="C491" s="516"/>
      <c r="D491" s="514" t="s">
        <v>12084</v>
      </c>
      <c r="E491" s="515">
        <v>1</v>
      </c>
      <c r="F491" s="518" t="s">
        <v>1854</v>
      </c>
      <c r="G491" s="515" t="s">
        <v>4970</v>
      </c>
      <c r="H491" s="514"/>
      <c r="I491" s="515"/>
      <c r="J491" s="515">
        <v>2</v>
      </c>
    </row>
    <row r="492" spans="1:10" ht="13.8" thickBot="1">
      <c r="A492" s="517"/>
      <c r="B492" s="518" t="s">
        <v>13258</v>
      </c>
      <c r="C492" s="516"/>
      <c r="D492" s="514" t="s">
        <v>1300</v>
      </c>
      <c r="E492" s="515">
        <v>3</v>
      </c>
      <c r="F492" s="518" t="s">
        <v>1854</v>
      </c>
      <c r="G492" s="515" t="s">
        <v>2523</v>
      </c>
      <c r="H492" s="514"/>
      <c r="I492" s="515"/>
      <c r="J492" s="515"/>
    </row>
    <row r="493" spans="1:10" ht="13.8" thickBot="1">
      <c r="A493" s="517"/>
      <c r="B493" s="518" t="s">
        <v>13419</v>
      </c>
      <c r="C493" s="516"/>
      <c r="D493" s="514" t="s">
        <v>13418</v>
      </c>
      <c r="E493" s="515">
        <v>6</v>
      </c>
      <c r="F493" s="518" t="s">
        <v>614</v>
      </c>
      <c r="G493" s="515" t="s">
        <v>2523</v>
      </c>
      <c r="H493" s="514" t="s">
        <v>1224</v>
      </c>
      <c r="I493" s="515"/>
      <c r="J493" s="515">
        <v>5</v>
      </c>
    </row>
    <row r="494" spans="1:10" ht="13.8" thickBot="1">
      <c r="A494" s="517"/>
      <c r="B494" s="518" t="s">
        <v>14003</v>
      </c>
      <c r="C494" s="516"/>
      <c r="D494" s="514" t="s">
        <v>13991</v>
      </c>
      <c r="E494" s="515">
        <v>1</v>
      </c>
      <c r="F494" s="514"/>
      <c r="G494" s="515" t="s">
        <v>1793</v>
      </c>
      <c r="H494" s="514"/>
      <c r="I494" s="515"/>
      <c r="J494" s="515"/>
    </row>
    <row r="495" spans="1:10" ht="13.8" thickBot="1">
      <c r="A495" s="517"/>
      <c r="B495" s="518" t="s">
        <v>11736</v>
      </c>
      <c r="C495" s="516"/>
      <c r="D495" s="514" t="s">
        <v>11533</v>
      </c>
      <c r="E495" s="515">
        <v>3.5</v>
      </c>
      <c r="F495" s="518" t="s">
        <v>1854</v>
      </c>
      <c r="G495" s="515" t="s">
        <v>11525</v>
      </c>
      <c r="H495" s="514"/>
      <c r="I495" s="515"/>
      <c r="J495" s="515"/>
    </row>
    <row r="496" spans="1:10" ht="13.8" thickBot="1">
      <c r="A496" s="517"/>
      <c r="B496" s="518" t="s">
        <v>12177</v>
      </c>
      <c r="C496" s="516"/>
      <c r="D496" s="514" t="s">
        <v>12176</v>
      </c>
      <c r="E496" s="515">
        <v>7.5</v>
      </c>
      <c r="F496" s="518" t="s">
        <v>1854</v>
      </c>
      <c r="G496" s="515" t="s">
        <v>4850</v>
      </c>
      <c r="H496" s="514" t="s">
        <v>1226</v>
      </c>
      <c r="I496" s="515"/>
      <c r="J496" s="515">
        <v>1</v>
      </c>
    </row>
    <row r="497" spans="1:10" ht="13.8" thickBot="1">
      <c r="A497" s="517"/>
      <c r="B497" s="518" t="s">
        <v>14031</v>
      </c>
      <c r="C497" s="516"/>
      <c r="D497" s="514" t="s">
        <v>14030</v>
      </c>
      <c r="E497" s="515">
        <v>1</v>
      </c>
      <c r="F497" s="514"/>
      <c r="G497" s="515" t="s">
        <v>1793</v>
      </c>
      <c r="H497" s="514"/>
      <c r="I497" s="515"/>
      <c r="J497" s="515">
        <v>1</v>
      </c>
    </row>
    <row r="498" spans="1:10" ht="13.8" thickBot="1">
      <c r="A498" s="517"/>
      <c r="B498" s="518" t="s">
        <v>13948</v>
      </c>
      <c r="C498" s="516"/>
      <c r="D498" s="514" t="s">
        <v>1252</v>
      </c>
      <c r="E498" s="515">
        <v>1</v>
      </c>
      <c r="F498" s="514"/>
      <c r="G498" s="515" t="s">
        <v>1922</v>
      </c>
      <c r="H498" s="514"/>
      <c r="I498" s="515"/>
      <c r="J498" s="515">
        <v>1</v>
      </c>
    </row>
    <row r="499" spans="1:10" ht="13.8" thickBot="1">
      <c r="A499" s="517"/>
      <c r="B499" s="518" t="s">
        <v>14144</v>
      </c>
      <c r="C499" s="516"/>
      <c r="D499" s="514" t="s">
        <v>14143</v>
      </c>
      <c r="E499" s="515">
        <v>5</v>
      </c>
      <c r="F499" s="518" t="s">
        <v>1854</v>
      </c>
      <c r="G499" s="515" t="s">
        <v>1793</v>
      </c>
      <c r="H499" s="514" t="s">
        <v>1224</v>
      </c>
      <c r="I499" s="515"/>
      <c r="J499" s="515">
        <v>1</v>
      </c>
    </row>
    <row r="500" spans="1:10" ht="13.8" thickBot="1">
      <c r="A500" s="517"/>
      <c r="B500" s="518" t="s">
        <v>11735</v>
      </c>
      <c r="C500" s="516"/>
      <c r="D500" s="514" t="s">
        <v>11533</v>
      </c>
      <c r="E500" s="515">
        <v>6</v>
      </c>
      <c r="F500" s="514"/>
      <c r="G500" s="515" t="s">
        <v>11525</v>
      </c>
      <c r="H500" s="514"/>
      <c r="I500" s="515"/>
      <c r="J500" s="515"/>
    </row>
    <row r="501" spans="1:10" ht="13.8" thickBot="1">
      <c r="A501" s="517"/>
      <c r="B501" s="518" t="s">
        <v>12851</v>
      </c>
      <c r="C501" s="516"/>
      <c r="D501" s="514" t="s">
        <v>12850</v>
      </c>
      <c r="E501" s="515">
        <v>6.75</v>
      </c>
      <c r="F501" s="518" t="s">
        <v>614</v>
      </c>
      <c r="G501" s="515" t="s">
        <v>3452</v>
      </c>
      <c r="H501" s="514" t="s">
        <v>1224</v>
      </c>
      <c r="I501" s="515"/>
      <c r="J501" s="515">
        <v>2</v>
      </c>
    </row>
    <row r="502" spans="1:10" ht="13.8" thickBot="1">
      <c r="A502" s="517"/>
      <c r="B502" s="518" t="s">
        <v>12761</v>
      </c>
      <c r="C502" s="516"/>
      <c r="D502" s="514" t="s">
        <v>12760</v>
      </c>
      <c r="E502" s="515">
        <v>6.25</v>
      </c>
      <c r="F502" s="518" t="s">
        <v>614</v>
      </c>
      <c r="G502" s="515" t="s">
        <v>3517</v>
      </c>
      <c r="H502" s="514" t="s">
        <v>1224</v>
      </c>
      <c r="I502" s="515"/>
      <c r="J502" s="515">
        <v>1</v>
      </c>
    </row>
    <row r="503" spans="1:10" ht="13.8" thickBot="1">
      <c r="A503" s="517"/>
      <c r="B503" s="518" t="s">
        <v>14029</v>
      </c>
      <c r="C503" s="516"/>
      <c r="D503" s="514" t="s">
        <v>1792</v>
      </c>
      <c r="E503" s="515">
        <v>1</v>
      </c>
      <c r="F503" s="514"/>
      <c r="G503" s="515" t="s">
        <v>1793</v>
      </c>
      <c r="H503" s="514"/>
      <c r="I503" s="515"/>
      <c r="J503" s="515">
        <v>1</v>
      </c>
    </row>
    <row r="504" spans="1:10" ht="13.8" thickBot="1">
      <c r="A504" s="517"/>
      <c r="B504" s="518" t="s">
        <v>11734</v>
      </c>
      <c r="C504" s="516"/>
      <c r="D504" s="514" t="s">
        <v>11533</v>
      </c>
      <c r="E504" s="515">
        <v>3.5</v>
      </c>
      <c r="F504" s="518" t="s">
        <v>1854</v>
      </c>
      <c r="G504" s="515" t="s">
        <v>11525</v>
      </c>
      <c r="H504" s="514"/>
      <c r="I504" s="515"/>
      <c r="J504" s="515"/>
    </row>
    <row r="505" spans="1:10" ht="13.8" thickBot="1">
      <c r="A505" s="517"/>
      <c r="B505" s="518" t="s">
        <v>14098</v>
      </c>
      <c r="C505" s="516"/>
      <c r="D505" s="514" t="s">
        <v>1792</v>
      </c>
      <c r="E505" s="515">
        <v>4</v>
      </c>
      <c r="F505" s="518" t="s">
        <v>1854</v>
      </c>
      <c r="G505" s="515" t="s">
        <v>1793</v>
      </c>
      <c r="H505" s="514"/>
      <c r="I505" s="515"/>
      <c r="J505" s="515">
        <v>1</v>
      </c>
    </row>
    <row r="506" spans="1:10" ht="13.8" thickBot="1">
      <c r="A506" s="517"/>
      <c r="B506" s="518" t="s">
        <v>12747</v>
      </c>
      <c r="C506" s="516"/>
      <c r="D506" s="514" t="s">
        <v>12746</v>
      </c>
      <c r="E506" s="515">
        <v>6</v>
      </c>
      <c r="F506" s="518" t="s">
        <v>614</v>
      </c>
      <c r="G506" s="515" t="s">
        <v>3517</v>
      </c>
      <c r="H506" s="514"/>
      <c r="I506" s="515">
        <v>2</v>
      </c>
      <c r="J506" s="515">
        <v>4</v>
      </c>
    </row>
    <row r="507" spans="1:10" ht="13.8" thickBot="1">
      <c r="A507" s="517"/>
      <c r="B507" s="518" t="s">
        <v>11733</v>
      </c>
      <c r="C507" s="516"/>
      <c r="D507" s="514" t="s">
        <v>11533</v>
      </c>
      <c r="E507" s="515">
        <v>3</v>
      </c>
      <c r="F507" s="518" t="s">
        <v>1854</v>
      </c>
      <c r="G507" s="515" t="s">
        <v>11525</v>
      </c>
      <c r="H507" s="514"/>
      <c r="I507" s="515"/>
      <c r="J507" s="515"/>
    </row>
    <row r="508" spans="1:10" ht="13.8" thickBot="1">
      <c r="A508" s="517"/>
      <c r="B508" s="518" t="s">
        <v>14002</v>
      </c>
      <c r="C508" s="516"/>
      <c r="D508" s="514" t="s">
        <v>13991</v>
      </c>
      <c r="E508" s="515">
        <v>1</v>
      </c>
      <c r="F508" s="514"/>
      <c r="G508" s="515" t="s">
        <v>1793</v>
      </c>
      <c r="H508" s="514"/>
      <c r="I508" s="515"/>
      <c r="J508" s="515"/>
    </row>
    <row r="509" spans="1:10" ht="13.8" thickBot="1">
      <c r="A509" s="517"/>
      <c r="B509" s="518" t="s">
        <v>14104</v>
      </c>
      <c r="C509" s="516"/>
      <c r="D509" s="514" t="s">
        <v>1792</v>
      </c>
      <c r="E509" s="515">
        <v>4</v>
      </c>
      <c r="F509" s="518" t="s">
        <v>1854</v>
      </c>
      <c r="G509" s="515" t="s">
        <v>1793</v>
      </c>
      <c r="H509" s="514" t="s">
        <v>1224</v>
      </c>
      <c r="I509" s="515"/>
      <c r="J509" s="515">
        <v>2</v>
      </c>
    </row>
    <row r="510" spans="1:10" ht="13.8" thickBot="1">
      <c r="A510" s="517"/>
      <c r="B510" s="518" t="s">
        <v>13240</v>
      </c>
      <c r="C510" s="516"/>
      <c r="D510" s="514" t="s">
        <v>13239</v>
      </c>
      <c r="E510" s="515">
        <v>5.75</v>
      </c>
      <c r="F510" s="518" t="s">
        <v>1854</v>
      </c>
      <c r="G510" s="515" t="s">
        <v>2747</v>
      </c>
      <c r="H510" s="514" t="s">
        <v>1224</v>
      </c>
      <c r="I510" s="515">
        <v>1</v>
      </c>
      <c r="J510" s="515">
        <v>5</v>
      </c>
    </row>
    <row r="511" spans="1:10" ht="13.8" thickBot="1">
      <c r="A511" s="517"/>
      <c r="B511" s="518" t="s">
        <v>13957</v>
      </c>
      <c r="C511" s="516"/>
      <c r="D511" s="514" t="s">
        <v>1252</v>
      </c>
      <c r="E511" s="515">
        <v>3</v>
      </c>
      <c r="F511" s="518" t="s">
        <v>1854</v>
      </c>
      <c r="G511" s="515" t="s">
        <v>1922</v>
      </c>
      <c r="H511" s="514"/>
      <c r="I511" s="515">
        <v>1</v>
      </c>
      <c r="J511" s="515">
        <v>2</v>
      </c>
    </row>
    <row r="512" spans="1:10" ht="13.8" thickBot="1">
      <c r="A512" s="517"/>
      <c r="B512" s="518" t="s">
        <v>13702</v>
      </c>
      <c r="C512" s="516"/>
      <c r="D512" s="514" t="s">
        <v>13701</v>
      </c>
      <c r="E512" s="515">
        <v>6.75</v>
      </c>
      <c r="F512" s="518" t="s">
        <v>614</v>
      </c>
      <c r="G512" s="515" t="s">
        <v>2289</v>
      </c>
      <c r="H512" s="514" t="s">
        <v>1226</v>
      </c>
      <c r="I512" s="515">
        <v>1</v>
      </c>
      <c r="J512" s="515">
        <v>6</v>
      </c>
    </row>
    <row r="513" spans="1:10" ht="13.8" thickBot="1">
      <c r="A513" s="517"/>
      <c r="B513" s="518" t="s">
        <v>14016</v>
      </c>
      <c r="C513" s="516"/>
      <c r="D513" s="514" t="s">
        <v>13991</v>
      </c>
      <c r="E513" s="515">
        <v>1</v>
      </c>
      <c r="F513" s="518" t="s">
        <v>1854</v>
      </c>
      <c r="G513" s="515" t="s">
        <v>1793</v>
      </c>
      <c r="H513" s="514"/>
      <c r="I513" s="515"/>
      <c r="J513" s="515"/>
    </row>
    <row r="514" spans="1:10" ht="13.8" thickBot="1">
      <c r="A514" s="517"/>
      <c r="B514" s="518" t="s">
        <v>14001</v>
      </c>
      <c r="C514" s="516"/>
      <c r="D514" s="514" t="s">
        <v>13991</v>
      </c>
      <c r="E514" s="515">
        <v>1</v>
      </c>
      <c r="F514" s="514"/>
      <c r="G514" s="515" t="s">
        <v>1793</v>
      </c>
      <c r="H514" s="514"/>
      <c r="I514" s="515"/>
      <c r="J514" s="515"/>
    </row>
    <row r="515" spans="1:10" ht="13.8" thickBot="1">
      <c r="A515" s="517"/>
      <c r="B515" s="518" t="s">
        <v>12648</v>
      </c>
      <c r="C515" s="516"/>
      <c r="D515" s="514" t="s">
        <v>12647</v>
      </c>
      <c r="E515" s="515">
        <v>6.6</v>
      </c>
      <c r="F515" s="518" t="s">
        <v>614</v>
      </c>
      <c r="G515" s="515" t="s">
        <v>3734</v>
      </c>
      <c r="H515" s="514" t="s">
        <v>1226</v>
      </c>
      <c r="I515" s="515">
        <v>1</v>
      </c>
      <c r="J515" s="515">
        <v>6</v>
      </c>
    </row>
    <row r="516" spans="1:10" ht="13.8" thickBot="1">
      <c r="A516" s="517"/>
      <c r="B516" s="518" t="s">
        <v>11732</v>
      </c>
      <c r="C516" s="516"/>
      <c r="D516" s="514" t="s">
        <v>11533</v>
      </c>
      <c r="E516" s="515">
        <v>2</v>
      </c>
      <c r="F516" s="518" t="s">
        <v>1854</v>
      </c>
      <c r="G516" s="515" t="s">
        <v>11525</v>
      </c>
      <c r="H516" s="514"/>
      <c r="I516" s="515"/>
      <c r="J516" s="515"/>
    </row>
    <row r="517" spans="1:10" ht="13.8" thickBot="1">
      <c r="A517" s="517"/>
      <c r="B517" s="518" t="s">
        <v>14028</v>
      </c>
      <c r="C517" s="516"/>
      <c r="D517" s="514" t="s">
        <v>13991</v>
      </c>
      <c r="E517" s="515">
        <v>1</v>
      </c>
      <c r="F517" s="514"/>
      <c r="G517" s="515" t="s">
        <v>1793</v>
      </c>
      <c r="H517" s="514"/>
      <c r="I517" s="515"/>
      <c r="J517" s="515">
        <v>1</v>
      </c>
    </row>
    <row r="518" spans="1:10" ht="13.8" thickBot="1">
      <c r="A518" s="517"/>
      <c r="B518" s="518" t="s">
        <v>11731</v>
      </c>
      <c r="C518" s="516"/>
      <c r="D518" s="514" t="s">
        <v>11533</v>
      </c>
      <c r="E518" s="515">
        <v>3</v>
      </c>
      <c r="F518" s="518" t="s">
        <v>1854</v>
      </c>
      <c r="G518" s="515" t="s">
        <v>11525</v>
      </c>
      <c r="H518" s="514"/>
      <c r="I518" s="515"/>
      <c r="J518" s="515"/>
    </row>
    <row r="519" spans="1:10" ht="13.8" thickBot="1">
      <c r="A519" s="517"/>
      <c r="B519" s="518" t="s">
        <v>13970</v>
      </c>
      <c r="C519" s="516"/>
      <c r="D519" s="514" t="s">
        <v>13969</v>
      </c>
      <c r="E519" s="515">
        <v>5</v>
      </c>
      <c r="F519" s="518" t="s">
        <v>614</v>
      </c>
      <c r="G519" s="515" t="s">
        <v>1922</v>
      </c>
      <c r="H519" s="514" t="s">
        <v>1226</v>
      </c>
      <c r="I519" s="515"/>
      <c r="J519" s="515">
        <v>4</v>
      </c>
    </row>
    <row r="520" spans="1:10" ht="13.8" thickBot="1">
      <c r="A520" s="517"/>
      <c r="B520" s="518" t="s">
        <v>11730</v>
      </c>
      <c r="C520" s="516"/>
      <c r="D520" s="514" t="s">
        <v>11533</v>
      </c>
      <c r="E520" s="515">
        <v>3.5</v>
      </c>
      <c r="F520" s="518" t="s">
        <v>1854</v>
      </c>
      <c r="G520" s="515" t="s">
        <v>11525</v>
      </c>
      <c r="H520" s="514"/>
      <c r="I520" s="515"/>
      <c r="J520" s="515"/>
    </row>
    <row r="521" spans="1:10" ht="13.8" thickBot="1">
      <c r="A521" s="517"/>
      <c r="B521" s="518" t="s">
        <v>13242</v>
      </c>
      <c r="C521" s="516"/>
      <c r="D521" s="514" t="s">
        <v>13241</v>
      </c>
      <c r="E521" s="515">
        <v>6.6</v>
      </c>
      <c r="F521" s="518" t="s">
        <v>614</v>
      </c>
      <c r="G521" s="515" t="s">
        <v>2747</v>
      </c>
      <c r="H521" s="514" t="s">
        <v>1226</v>
      </c>
      <c r="I521" s="515"/>
      <c r="J521" s="515">
        <v>6</v>
      </c>
    </row>
    <row r="522" spans="1:10" ht="13.8" thickBot="1">
      <c r="A522" s="517"/>
      <c r="B522" s="518" t="s">
        <v>12368</v>
      </c>
      <c r="C522" s="516"/>
      <c r="D522" s="519" t="s">
        <v>12367</v>
      </c>
      <c r="E522" s="515">
        <v>5</v>
      </c>
      <c r="F522" s="518" t="s">
        <v>614</v>
      </c>
      <c r="G522" s="515" t="s">
        <v>4160</v>
      </c>
      <c r="H522" s="514" t="s">
        <v>1226</v>
      </c>
      <c r="I522" s="515"/>
      <c r="J522" s="515">
        <v>3</v>
      </c>
    </row>
    <row r="523" spans="1:10" ht="13.8" thickBot="1">
      <c r="A523" s="517"/>
      <c r="B523" s="518" t="s">
        <v>14000</v>
      </c>
      <c r="C523" s="516"/>
      <c r="D523" s="514" t="s">
        <v>13991</v>
      </c>
      <c r="E523" s="515">
        <v>1</v>
      </c>
      <c r="F523" s="514"/>
      <c r="G523" s="515" t="s">
        <v>1793</v>
      </c>
      <c r="H523" s="514"/>
      <c r="I523" s="515"/>
      <c r="J523" s="515"/>
    </row>
    <row r="524" spans="1:10" ht="13.8" thickBot="1">
      <c r="A524" s="517"/>
      <c r="B524" s="518" t="s">
        <v>13277</v>
      </c>
      <c r="C524" s="516"/>
      <c r="D524" s="514" t="s">
        <v>13276</v>
      </c>
      <c r="E524" s="515">
        <v>4</v>
      </c>
      <c r="F524" s="518" t="s">
        <v>614</v>
      </c>
      <c r="G524" s="515" t="s">
        <v>2523</v>
      </c>
      <c r="H524" s="514" t="s">
        <v>1226</v>
      </c>
      <c r="I524" s="515"/>
      <c r="J524" s="515">
        <v>4</v>
      </c>
    </row>
    <row r="525" spans="1:10" ht="13.8" thickBot="1">
      <c r="A525" s="517"/>
      <c r="B525" s="518" t="s">
        <v>12512</v>
      </c>
      <c r="C525" s="516"/>
      <c r="D525" s="514" t="s">
        <v>12511</v>
      </c>
      <c r="E525" s="515">
        <v>6</v>
      </c>
      <c r="F525" s="518" t="s">
        <v>614</v>
      </c>
      <c r="G525" s="515" t="s">
        <v>3856</v>
      </c>
      <c r="H525" s="514"/>
      <c r="I525" s="515"/>
      <c r="J525" s="515">
        <v>1</v>
      </c>
    </row>
    <row r="526" spans="1:10" ht="13.8" thickBot="1">
      <c r="A526" s="517"/>
      <c r="B526" s="518" t="s">
        <v>14015</v>
      </c>
      <c r="C526" s="516"/>
      <c r="D526" s="514" t="s">
        <v>13991</v>
      </c>
      <c r="E526" s="515">
        <v>1</v>
      </c>
      <c r="F526" s="518" t="s">
        <v>1854</v>
      </c>
      <c r="G526" s="515" t="s">
        <v>1793</v>
      </c>
      <c r="H526" s="514"/>
      <c r="I526" s="515"/>
      <c r="J526" s="515"/>
    </row>
    <row r="527" spans="1:10" ht="13.8" thickBot="1">
      <c r="A527" s="517"/>
      <c r="B527" s="518" t="s">
        <v>13999</v>
      </c>
      <c r="C527" s="516"/>
      <c r="D527" s="514" t="s">
        <v>13991</v>
      </c>
      <c r="E527" s="515">
        <v>1</v>
      </c>
      <c r="F527" s="514"/>
      <c r="G527" s="515" t="s">
        <v>1793</v>
      </c>
      <c r="H527" s="514"/>
      <c r="I527" s="515"/>
      <c r="J527" s="515"/>
    </row>
    <row r="528" spans="1:10" ht="13.8" thickBot="1">
      <c r="A528" s="517"/>
      <c r="B528" s="518" t="s">
        <v>13850</v>
      </c>
      <c r="C528" s="516"/>
      <c r="D528" s="514" t="s">
        <v>2044</v>
      </c>
      <c r="E528" s="515">
        <v>2</v>
      </c>
      <c r="F528" s="514"/>
      <c r="G528" s="515" t="s">
        <v>2032</v>
      </c>
      <c r="H528" s="514"/>
      <c r="I528" s="515"/>
      <c r="J528" s="515">
        <v>3</v>
      </c>
    </row>
    <row r="529" spans="1:10" ht="13.8" thickBot="1">
      <c r="A529" s="517"/>
      <c r="B529" s="518" t="s">
        <v>13261</v>
      </c>
      <c r="C529" s="516"/>
      <c r="D529" s="514" t="s">
        <v>1302</v>
      </c>
      <c r="E529" s="515">
        <v>3</v>
      </c>
      <c r="F529" s="518" t="s">
        <v>1854</v>
      </c>
      <c r="G529" s="515" t="s">
        <v>2523</v>
      </c>
      <c r="H529" s="514" t="s">
        <v>1224</v>
      </c>
      <c r="I529" s="515"/>
      <c r="J529" s="515">
        <v>1</v>
      </c>
    </row>
    <row r="530" spans="1:10" ht="13.8" thickBot="1">
      <c r="A530" s="517"/>
      <c r="B530" s="518" t="s">
        <v>11729</v>
      </c>
      <c r="C530" s="516"/>
      <c r="D530" s="514" t="s">
        <v>11533</v>
      </c>
      <c r="E530" s="515">
        <v>5</v>
      </c>
      <c r="F530" s="518" t="s">
        <v>1854</v>
      </c>
      <c r="G530" s="515" t="s">
        <v>11525</v>
      </c>
      <c r="H530" s="514"/>
      <c r="I530" s="515"/>
      <c r="J530" s="515">
        <v>1</v>
      </c>
    </row>
    <row r="531" spans="1:10" ht="13.8" thickBot="1">
      <c r="A531" s="517"/>
      <c r="B531" s="518" t="s">
        <v>11728</v>
      </c>
      <c r="C531" s="516"/>
      <c r="D531" s="514" t="s">
        <v>11533</v>
      </c>
      <c r="E531" s="515">
        <v>2</v>
      </c>
      <c r="F531" s="518" t="s">
        <v>1854</v>
      </c>
      <c r="G531" s="515" t="s">
        <v>11525</v>
      </c>
      <c r="H531" s="514"/>
      <c r="I531" s="515"/>
      <c r="J531" s="515"/>
    </row>
    <row r="532" spans="1:10" ht="13.8" thickBot="1">
      <c r="A532" s="517"/>
      <c r="B532" s="518" t="s">
        <v>13998</v>
      </c>
      <c r="C532" s="516"/>
      <c r="D532" s="514" t="s">
        <v>13991</v>
      </c>
      <c r="E532" s="515">
        <v>1</v>
      </c>
      <c r="F532" s="514"/>
      <c r="G532" s="515" t="s">
        <v>1793</v>
      </c>
      <c r="H532" s="514"/>
      <c r="I532" s="515"/>
      <c r="J532" s="515"/>
    </row>
    <row r="533" spans="1:10" ht="13.8" thickBot="1">
      <c r="A533" s="517"/>
      <c r="B533" s="518" t="s">
        <v>13002</v>
      </c>
      <c r="C533" s="516"/>
      <c r="D533" s="519" t="s">
        <v>13001</v>
      </c>
      <c r="E533" s="515">
        <v>3.5</v>
      </c>
      <c r="F533" s="518" t="s">
        <v>614</v>
      </c>
      <c r="G533" s="515" t="s">
        <v>2957</v>
      </c>
      <c r="H533" s="514" t="s">
        <v>1224</v>
      </c>
      <c r="I533" s="515"/>
      <c r="J533" s="515">
        <v>2</v>
      </c>
    </row>
    <row r="534" spans="1:10" ht="13.8" thickBot="1">
      <c r="A534" s="517"/>
      <c r="B534" s="518" t="s">
        <v>12311</v>
      </c>
      <c r="C534" s="516"/>
      <c r="D534" s="514" t="s">
        <v>1607</v>
      </c>
      <c r="E534" s="515">
        <v>5</v>
      </c>
      <c r="F534" s="514"/>
      <c r="G534" s="515" t="s">
        <v>4214</v>
      </c>
      <c r="H534" s="514" t="s">
        <v>1224</v>
      </c>
      <c r="I534" s="515">
        <v>1</v>
      </c>
      <c r="J534" s="515">
        <v>2</v>
      </c>
    </row>
    <row r="535" spans="1:10" ht="13.8" thickBot="1">
      <c r="A535" s="517"/>
      <c r="B535" s="518" t="s">
        <v>13997</v>
      </c>
      <c r="C535" s="516"/>
      <c r="D535" s="514" t="s">
        <v>13991</v>
      </c>
      <c r="E535" s="515">
        <v>1</v>
      </c>
      <c r="F535" s="514"/>
      <c r="G535" s="515" t="s">
        <v>1793</v>
      </c>
      <c r="H535" s="514"/>
      <c r="I535" s="515"/>
      <c r="J535" s="515"/>
    </row>
    <row r="536" spans="1:10" ht="13.8" thickBot="1">
      <c r="A536" s="517"/>
      <c r="B536" s="518" t="s">
        <v>12820</v>
      </c>
      <c r="C536" s="516"/>
      <c r="D536" s="514" t="s">
        <v>12819</v>
      </c>
      <c r="E536" s="515">
        <v>7.1</v>
      </c>
      <c r="F536" s="518" t="s">
        <v>614</v>
      </c>
      <c r="G536" s="515" t="s">
        <v>3517</v>
      </c>
      <c r="H536" s="514" t="s">
        <v>1251</v>
      </c>
      <c r="I536" s="515"/>
      <c r="J536" s="515">
        <v>7</v>
      </c>
    </row>
    <row r="537" spans="1:10" ht="13.8" thickBot="1">
      <c r="A537" s="517"/>
      <c r="B537" s="518" t="s">
        <v>12960</v>
      </c>
      <c r="C537" s="516"/>
      <c r="D537" s="514" t="s">
        <v>12959</v>
      </c>
      <c r="E537" s="515">
        <v>7.25</v>
      </c>
      <c r="F537" s="518" t="s">
        <v>1854</v>
      </c>
      <c r="G537" s="515" t="s">
        <v>3161</v>
      </c>
      <c r="H537" s="514"/>
      <c r="I537" s="515"/>
      <c r="J537" s="515"/>
    </row>
    <row r="538" spans="1:10" ht="13.8" thickBot="1">
      <c r="A538" s="517"/>
      <c r="B538" s="518" t="s">
        <v>13131</v>
      </c>
      <c r="C538" s="516"/>
      <c r="D538" s="514" t="s">
        <v>1571</v>
      </c>
      <c r="E538" s="515">
        <v>6.5</v>
      </c>
      <c r="F538" s="518" t="s">
        <v>614</v>
      </c>
      <c r="G538" s="515" t="s">
        <v>2957</v>
      </c>
      <c r="H538" s="514" t="s">
        <v>1226</v>
      </c>
      <c r="I538" s="515"/>
      <c r="J538" s="515">
        <v>7</v>
      </c>
    </row>
    <row r="539" spans="1:10" ht="13.8" thickBot="1">
      <c r="A539" s="517"/>
      <c r="B539" s="518" t="s">
        <v>14027</v>
      </c>
      <c r="C539" s="516"/>
      <c r="D539" s="514" t="s">
        <v>1792</v>
      </c>
      <c r="E539" s="515">
        <v>1</v>
      </c>
      <c r="F539" s="514"/>
      <c r="G539" s="515" t="s">
        <v>1793</v>
      </c>
      <c r="H539" s="514"/>
      <c r="I539" s="515"/>
      <c r="J539" s="515">
        <v>1</v>
      </c>
    </row>
    <row r="540" spans="1:10" ht="13.8" thickBot="1">
      <c r="A540" s="517"/>
      <c r="B540" s="518" t="s">
        <v>12527</v>
      </c>
      <c r="C540" s="516"/>
      <c r="D540" s="519" t="s">
        <v>12526</v>
      </c>
      <c r="E540" s="515">
        <v>6.4</v>
      </c>
      <c r="F540" s="518" t="s">
        <v>614</v>
      </c>
      <c r="G540" s="515" t="s">
        <v>3856</v>
      </c>
      <c r="H540" s="514" t="s">
        <v>1251</v>
      </c>
      <c r="I540" s="515"/>
      <c r="J540" s="515">
        <v>9</v>
      </c>
    </row>
    <row r="541" spans="1:10" ht="13.8" thickBot="1">
      <c r="A541" s="517"/>
      <c r="B541" s="518" t="s">
        <v>13996</v>
      </c>
      <c r="C541" s="516"/>
      <c r="D541" s="514" t="s">
        <v>13991</v>
      </c>
      <c r="E541" s="515">
        <v>1</v>
      </c>
      <c r="F541" s="514"/>
      <c r="G541" s="515" t="s">
        <v>1793</v>
      </c>
      <c r="H541" s="514"/>
      <c r="I541" s="515"/>
      <c r="J541" s="515"/>
    </row>
    <row r="542" spans="1:10" ht="13.8" thickBot="1">
      <c r="A542" s="517"/>
      <c r="B542" s="518" t="s">
        <v>14093</v>
      </c>
      <c r="C542" s="516"/>
      <c r="D542" s="514" t="s">
        <v>1802</v>
      </c>
      <c r="E542" s="529">
        <v>3.5</v>
      </c>
      <c r="F542" s="514"/>
      <c r="G542" s="515" t="s">
        <v>1793</v>
      </c>
      <c r="H542" s="514"/>
      <c r="I542" s="515"/>
      <c r="J542" s="515">
        <v>1</v>
      </c>
    </row>
    <row r="543" spans="1:10" ht="13.8" thickBot="1">
      <c r="A543" s="517"/>
      <c r="B543" s="518" t="s">
        <v>13947</v>
      </c>
      <c r="C543" s="516"/>
      <c r="D543" s="514" t="s">
        <v>1252</v>
      </c>
      <c r="E543" s="515">
        <v>1</v>
      </c>
      <c r="F543" s="514"/>
      <c r="G543" s="515" t="s">
        <v>1922</v>
      </c>
      <c r="H543" s="514"/>
      <c r="I543" s="515"/>
      <c r="J543" s="515">
        <v>1</v>
      </c>
    </row>
    <row r="544" spans="1:10" ht="13.8" thickBot="1">
      <c r="A544" s="517"/>
      <c r="B544" s="518" t="s">
        <v>13995</v>
      </c>
      <c r="C544" s="516"/>
      <c r="D544" s="514" t="s">
        <v>13991</v>
      </c>
      <c r="E544" s="515">
        <v>1</v>
      </c>
      <c r="F544" s="514"/>
      <c r="G544" s="515" t="s">
        <v>1793</v>
      </c>
      <c r="H544" s="514"/>
      <c r="I544" s="515"/>
      <c r="J544" s="515"/>
    </row>
    <row r="545" spans="1:10" ht="13.8" thickBot="1">
      <c r="A545" s="517"/>
      <c r="B545" s="518" t="s">
        <v>11727</v>
      </c>
      <c r="C545" s="516"/>
      <c r="D545" s="514" t="s">
        <v>11533</v>
      </c>
      <c r="E545" s="515">
        <v>2</v>
      </c>
      <c r="F545" s="518" t="s">
        <v>1854</v>
      </c>
      <c r="G545" s="515" t="s">
        <v>11525</v>
      </c>
      <c r="H545" s="514"/>
      <c r="I545" s="515"/>
      <c r="J545" s="515"/>
    </row>
    <row r="546" spans="1:10" ht="13.8" thickBot="1">
      <c r="A546" s="517"/>
      <c r="B546" s="518" t="s">
        <v>13687</v>
      </c>
      <c r="C546" s="516"/>
      <c r="D546" s="514" t="s">
        <v>13686</v>
      </c>
      <c r="E546" s="515">
        <v>6.5</v>
      </c>
      <c r="F546" s="518" t="s">
        <v>614</v>
      </c>
      <c r="G546" s="515" t="s">
        <v>2289</v>
      </c>
      <c r="H546" s="514" t="s">
        <v>1226</v>
      </c>
      <c r="I546" s="515">
        <v>1</v>
      </c>
      <c r="J546" s="515">
        <v>6</v>
      </c>
    </row>
    <row r="547" spans="1:10" ht="13.8" thickBot="1">
      <c r="A547" s="517"/>
      <c r="B547" s="518" t="s">
        <v>13994</v>
      </c>
      <c r="C547" s="516"/>
      <c r="D547" s="514" t="s">
        <v>13991</v>
      </c>
      <c r="E547" s="515">
        <v>1</v>
      </c>
      <c r="F547" s="514"/>
      <c r="G547" s="515" t="s">
        <v>1793</v>
      </c>
      <c r="H547" s="514"/>
      <c r="I547" s="515"/>
      <c r="J547" s="515"/>
    </row>
    <row r="548" spans="1:10" ht="13.8" thickBot="1">
      <c r="A548" s="517"/>
      <c r="B548" s="518" t="s">
        <v>13684</v>
      </c>
      <c r="C548" s="516"/>
      <c r="D548" s="514" t="s">
        <v>13683</v>
      </c>
      <c r="E548" s="515">
        <v>6.5</v>
      </c>
      <c r="F548" s="518" t="s">
        <v>614</v>
      </c>
      <c r="G548" s="515" t="s">
        <v>2289</v>
      </c>
      <c r="H548" s="514"/>
      <c r="I548" s="515">
        <v>1</v>
      </c>
      <c r="J548" s="515">
        <v>3</v>
      </c>
    </row>
    <row r="549" spans="1:10" ht="13.8" thickBot="1">
      <c r="A549" s="517"/>
      <c r="B549" s="518" t="s">
        <v>13416</v>
      </c>
      <c r="C549" s="516"/>
      <c r="D549" s="514" t="s">
        <v>13415</v>
      </c>
      <c r="E549" s="515">
        <v>6</v>
      </c>
      <c r="F549" s="518" t="s">
        <v>614</v>
      </c>
      <c r="G549" s="515" t="s">
        <v>2523</v>
      </c>
      <c r="H549" s="514" t="s">
        <v>1224</v>
      </c>
      <c r="I549" s="515"/>
      <c r="J549" s="515">
        <v>2</v>
      </c>
    </row>
    <row r="550" spans="1:10" ht="13.8" thickBot="1">
      <c r="A550" s="517"/>
      <c r="B550" s="518" t="s">
        <v>14147</v>
      </c>
      <c r="C550" s="516"/>
      <c r="D550" s="514" t="s">
        <v>14146</v>
      </c>
      <c r="E550" s="515">
        <v>5</v>
      </c>
      <c r="F550" s="518" t="s">
        <v>1854</v>
      </c>
      <c r="G550" s="515" t="s">
        <v>1793</v>
      </c>
      <c r="H550" s="514" t="s">
        <v>1224</v>
      </c>
      <c r="I550" s="515"/>
      <c r="J550" s="515">
        <v>2</v>
      </c>
    </row>
    <row r="551" spans="1:10" ht="13.8" thickBot="1">
      <c r="A551" s="517"/>
      <c r="B551" s="518" t="s">
        <v>12118</v>
      </c>
      <c r="C551" s="516"/>
      <c r="D551" s="514" t="s">
        <v>4995</v>
      </c>
      <c r="E551" s="515">
        <v>5</v>
      </c>
      <c r="F551" s="518" t="s">
        <v>614</v>
      </c>
      <c r="G551" s="515" t="s">
        <v>4970</v>
      </c>
      <c r="H551" s="514" t="s">
        <v>1226</v>
      </c>
      <c r="I551" s="515"/>
      <c r="J551" s="515">
        <v>5</v>
      </c>
    </row>
    <row r="552" spans="1:10" ht="13.8" thickBot="1">
      <c r="A552" s="517"/>
      <c r="B552" s="518" t="s">
        <v>11874</v>
      </c>
      <c r="C552" s="516"/>
      <c r="D552" s="514" t="s">
        <v>11873</v>
      </c>
      <c r="E552" s="515">
        <v>6.6</v>
      </c>
      <c r="F552" s="518" t="s">
        <v>614</v>
      </c>
      <c r="G552" s="515" t="s">
        <v>5286</v>
      </c>
      <c r="H552" s="514" t="s">
        <v>1841</v>
      </c>
      <c r="I552" s="515"/>
      <c r="J552" s="515">
        <v>13</v>
      </c>
    </row>
    <row r="553" spans="1:10" ht="13.8" thickBot="1">
      <c r="A553" s="517"/>
      <c r="B553" s="518" t="s">
        <v>13588</v>
      </c>
      <c r="C553" s="516"/>
      <c r="D553" s="514" t="s">
        <v>13587</v>
      </c>
      <c r="E553" s="515">
        <v>6</v>
      </c>
      <c r="F553" s="518" t="s">
        <v>614</v>
      </c>
      <c r="G553" s="515" t="s">
        <v>2449</v>
      </c>
      <c r="H553" s="514" t="s">
        <v>1251</v>
      </c>
      <c r="I553" s="515"/>
      <c r="J553" s="515">
        <v>9</v>
      </c>
    </row>
    <row r="554" spans="1:10" ht="13.8" thickBot="1">
      <c r="A554" s="517"/>
      <c r="B554" s="518" t="s">
        <v>12083</v>
      </c>
      <c r="C554" s="516"/>
      <c r="D554" s="514" t="s">
        <v>1593</v>
      </c>
      <c r="E554" s="515">
        <v>1</v>
      </c>
      <c r="F554" s="514"/>
      <c r="G554" s="515" t="s">
        <v>4970</v>
      </c>
      <c r="H554" s="514"/>
      <c r="I554" s="515"/>
      <c r="J554" s="515">
        <v>1</v>
      </c>
    </row>
    <row r="555" spans="1:10" ht="13.8" thickBot="1">
      <c r="A555" s="517"/>
      <c r="B555" s="518" t="s">
        <v>13222</v>
      </c>
      <c r="C555" s="516"/>
      <c r="D555" s="514" t="s">
        <v>13221</v>
      </c>
      <c r="E555" s="515">
        <v>6.8</v>
      </c>
      <c r="F555" s="518" t="s">
        <v>614</v>
      </c>
      <c r="G555" s="515" t="s">
        <v>2797</v>
      </c>
      <c r="H555" s="514" t="s">
        <v>1251</v>
      </c>
      <c r="I555" s="515"/>
      <c r="J555" s="515">
        <v>8</v>
      </c>
    </row>
    <row r="556" spans="1:10" ht="13.8" thickBot="1">
      <c r="A556" s="517"/>
      <c r="B556" s="518" t="s">
        <v>12010</v>
      </c>
      <c r="C556" s="516"/>
      <c r="D556" s="514" t="s">
        <v>12009</v>
      </c>
      <c r="E556" s="515">
        <v>5.75</v>
      </c>
      <c r="F556" s="518" t="s">
        <v>614</v>
      </c>
      <c r="G556" s="515" t="s">
        <v>5109</v>
      </c>
      <c r="H556" s="514" t="s">
        <v>1224</v>
      </c>
      <c r="I556" s="515">
        <v>2</v>
      </c>
      <c r="J556" s="515">
        <v>8</v>
      </c>
    </row>
    <row r="557" spans="1:10" ht="13.8" thickBot="1">
      <c r="A557" s="517"/>
      <c r="B557" s="518" t="s">
        <v>14014</v>
      </c>
      <c r="C557" s="516"/>
      <c r="D557" s="514" t="s">
        <v>13991</v>
      </c>
      <c r="E557" s="515">
        <v>1</v>
      </c>
      <c r="F557" s="518" t="s">
        <v>1854</v>
      </c>
      <c r="G557" s="515" t="s">
        <v>1793</v>
      </c>
      <c r="H557" s="514"/>
      <c r="I557" s="515"/>
      <c r="J557" s="515"/>
    </row>
    <row r="558" spans="1:10" ht="13.8" thickBot="1">
      <c r="A558" s="517"/>
      <c r="B558" s="518" t="s">
        <v>14013</v>
      </c>
      <c r="C558" s="516"/>
      <c r="D558" s="514" t="s">
        <v>13991</v>
      </c>
      <c r="E558" s="515">
        <v>1</v>
      </c>
      <c r="F558" s="518" t="s">
        <v>1854</v>
      </c>
      <c r="G558" s="515" t="s">
        <v>1793</v>
      </c>
      <c r="H558" s="514"/>
      <c r="I558" s="515"/>
      <c r="J558" s="515"/>
    </row>
    <row r="559" spans="1:10" ht="13.8" thickBot="1">
      <c r="A559" s="517"/>
      <c r="B559" s="518" t="s">
        <v>12607</v>
      </c>
      <c r="C559" s="516"/>
      <c r="D559" s="514" t="s">
        <v>1480</v>
      </c>
      <c r="E559" s="515">
        <v>3</v>
      </c>
      <c r="F559" s="518" t="s">
        <v>1854</v>
      </c>
      <c r="G559" s="515" t="s">
        <v>3734</v>
      </c>
      <c r="H559" s="514"/>
      <c r="I559" s="515"/>
      <c r="J559" s="515">
        <v>1</v>
      </c>
    </row>
    <row r="560" spans="1:10" ht="13.8" thickBot="1">
      <c r="A560" s="517"/>
      <c r="B560" s="518" t="s">
        <v>13149</v>
      </c>
      <c r="C560" s="516"/>
      <c r="D560" s="514" t="s">
        <v>13148</v>
      </c>
      <c r="E560" s="515">
        <v>6.8</v>
      </c>
      <c r="F560" s="518" t="s">
        <v>614</v>
      </c>
      <c r="G560" s="515" t="s">
        <v>2957</v>
      </c>
      <c r="H560" s="514" t="s">
        <v>1229</v>
      </c>
      <c r="I560" s="515">
        <v>3</v>
      </c>
      <c r="J560" s="515">
        <v>9</v>
      </c>
    </row>
    <row r="561" spans="1:10" ht="13.8" thickBot="1">
      <c r="A561" s="517"/>
      <c r="B561" s="518" t="s">
        <v>13202</v>
      </c>
      <c r="C561" s="516"/>
      <c r="D561" s="514" t="s">
        <v>1331</v>
      </c>
      <c r="E561" s="515">
        <v>4</v>
      </c>
      <c r="F561" s="518" t="s">
        <v>1854</v>
      </c>
      <c r="G561" s="515" t="s">
        <v>2797</v>
      </c>
      <c r="H561" s="514"/>
      <c r="I561" s="515">
        <v>1</v>
      </c>
      <c r="J561" s="515">
        <v>5</v>
      </c>
    </row>
    <row r="562" spans="1:10" ht="13.8" thickBot="1">
      <c r="A562" s="517"/>
      <c r="B562" s="518" t="s">
        <v>13054</v>
      </c>
      <c r="C562" s="516"/>
      <c r="D562" s="514" t="s">
        <v>13053</v>
      </c>
      <c r="E562" s="515">
        <v>5.5</v>
      </c>
      <c r="F562" s="518" t="s">
        <v>1854</v>
      </c>
      <c r="G562" s="515" t="s">
        <v>2957</v>
      </c>
      <c r="H562" s="514"/>
      <c r="I562" s="515"/>
      <c r="J562" s="515">
        <v>1</v>
      </c>
    </row>
    <row r="563" spans="1:10" ht="13.8" thickBot="1">
      <c r="A563" s="517"/>
      <c r="B563" s="518" t="s">
        <v>12777</v>
      </c>
      <c r="C563" s="516"/>
      <c r="D563" s="514" t="s">
        <v>12776</v>
      </c>
      <c r="E563" s="515">
        <v>6.3</v>
      </c>
      <c r="F563" s="518" t="s">
        <v>614</v>
      </c>
      <c r="G563" s="515" t="s">
        <v>3517</v>
      </c>
      <c r="H563" s="514" t="s">
        <v>1226</v>
      </c>
      <c r="I563" s="515"/>
      <c r="J563" s="515">
        <v>7</v>
      </c>
    </row>
    <row r="564" spans="1:10" ht="13.8" thickBot="1">
      <c r="A564" s="517"/>
      <c r="B564" s="518" t="s">
        <v>12885</v>
      </c>
      <c r="C564" s="516"/>
      <c r="D564" s="514" t="s">
        <v>12884</v>
      </c>
      <c r="E564" s="515">
        <v>6.5</v>
      </c>
      <c r="F564" s="518" t="s">
        <v>1854</v>
      </c>
      <c r="G564" s="515" t="s">
        <v>3351</v>
      </c>
      <c r="H564" s="514"/>
      <c r="I564" s="515">
        <v>1</v>
      </c>
      <c r="J564" s="515">
        <v>1</v>
      </c>
    </row>
    <row r="565" spans="1:10" ht="13.8" thickBot="1">
      <c r="A565" s="517"/>
      <c r="B565" s="518" t="s">
        <v>12047</v>
      </c>
      <c r="C565" s="516"/>
      <c r="D565" s="514" t="s">
        <v>1767</v>
      </c>
      <c r="E565" s="515">
        <v>3</v>
      </c>
      <c r="F565" s="518" t="s">
        <v>1854</v>
      </c>
      <c r="G565" s="515" t="s">
        <v>5010</v>
      </c>
      <c r="H565" s="514"/>
      <c r="I565" s="515"/>
      <c r="J565" s="515">
        <v>3</v>
      </c>
    </row>
    <row r="566" spans="1:10" ht="13.8" thickBot="1">
      <c r="A566" s="517"/>
      <c r="B566" s="518" t="s">
        <v>14083</v>
      </c>
      <c r="C566" s="516"/>
      <c r="D566" s="514" t="s">
        <v>1792</v>
      </c>
      <c r="E566" s="515">
        <v>3</v>
      </c>
      <c r="F566" s="518" t="s">
        <v>1854</v>
      </c>
      <c r="G566" s="515" t="s">
        <v>1793</v>
      </c>
      <c r="H566" s="514"/>
      <c r="I566" s="515"/>
      <c r="J566" s="515">
        <v>1</v>
      </c>
    </row>
    <row r="567" spans="1:10" ht="13.8" thickBot="1">
      <c r="A567" s="517"/>
      <c r="B567" s="518" t="s">
        <v>12312</v>
      </c>
      <c r="C567" s="516"/>
      <c r="D567" s="514" t="s">
        <v>4292</v>
      </c>
      <c r="E567" s="515">
        <v>5</v>
      </c>
      <c r="F567" s="518" t="s">
        <v>1854</v>
      </c>
      <c r="G567" s="515" t="s">
        <v>4214</v>
      </c>
      <c r="H567" s="514" t="s">
        <v>1224</v>
      </c>
      <c r="I567" s="515">
        <v>2</v>
      </c>
      <c r="J567" s="515">
        <v>3</v>
      </c>
    </row>
    <row r="568" spans="1:10" ht="13.8" thickBot="1">
      <c r="A568" s="517"/>
      <c r="B568" s="518" t="s">
        <v>12086</v>
      </c>
      <c r="C568" s="516"/>
      <c r="D568" s="514" t="s">
        <v>1593</v>
      </c>
      <c r="E568" s="515">
        <v>1</v>
      </c>
      <c r="F568" s="514"/>
      <c r="G568" s="515" t="s">
        <v>4970</v>
      </c>
      <c r="H568" s="514"/>
      <c r="I568" s="515"/>
      <c r="J568" s="515">
        <v>4</v>
      </c>
    </row>
    <row r="569" spans="1:10" ht="13.8" thickBot="1">
      <c r="A569" s="517"/>
      <c r="B569" s="518" t="s">
        <v>12290</v>
      </c>
      <c r="C569" s="516"/>
      <c r="D569" s="514" t="s">
        <v>12289</v>
      </c>
      <c r="E569" s="515">
        <v>3</v>
      </c>
      <c r="F569" s="518" t="s">
        <v>1854</v>
      </c>
      <c r="G569" s="515" t="s">
        <v>4214</v>
      </c>
      <c r="H569" s="514"/>
      <c r="I569" s="515"/>
      <c r="J569" s="515"/>
    </row>
    <row r="570" spans="1:10" ht="13.8" thickBot="1">
      <c r="A570" s="517"/>
      <c r="B570" s="518" t="s">
        <v>13214</v>
      </c>
      <c r="C570" s="516"/>
      <c r="D570" s="514" t="s">
        <v>13213</v>
      </c>
      <c r="E570" s="515">
        <v>6</v>
      </c>
      <c r="F570" s="518" t="s">
        <v>614</v>
      </c>
      <c r="G570" s="515" t="s">
        <v>2797</v>
      </c>
      <c r="H570" s="514" t="s">
        <v>1251</v>
      </c>
      <c r="I570" s="515">
        <v>1</v>
      </c>
      <c r="J570" s="515">
        <v>13</v>
      </c>
    </row>
    <row r="571" spans="1:10" ht="13.8" thickBot="1">
      <c r="A571" s="517"/>
      <c r="B571" s="518" t="s">
        <v>12538</v>
      </c>
      <c r="C571" s="516"/>
      <c r="D571" s="514" t="s">
        <v>12537</v>
      </c>
      <c r="E571" s="515">
        <v>6.75</v>
      </c>
      <c r="F571" s="518" t="s">
        <v>614</v>
      </c>
      <c r="G571" s="515" t="s">
        <v>3856</v>
      </c>
      <c r="H571" s="514" t="s">
        <v>1226</v>
      </c>
      <c r="I571" s="515"/>
      <c r="J571" s="515">
        <v>6</v>
      </c>
    </row>
    <row r="572" spans="1:10" ht="13.8" thickBot="1">
      <c r="A572" s="517"/>
      <c r="B572" s="518" t="s">
        <v>13610</v>
      </c>
      <c r="C572" s="516"/>
      <c r="D572" s="514" t="s">
        <v>13609</v>
      </c>
      <c r="E572" s="515">
        <v>7</v>
      </c>
      <c r="F572" s="518" t="s">
        <v>614</v>
      </c>
      <c r="G572" s="515" t="s">
        <v>2449</v>
      </c>
      <c r="H572" s="514" t="s">
        <v>1226</v>
      </c>
      <c r="I572" s="515">
        <v>1</v>
      </c>
      <c r="J572" s="515">
        <v>6</v>
      </c>
    </row>
    <row r="573" spans="1:10" ht="13.8" thickBot="1">
      <c r="A573" s="517"/>
      <c r="B573" s="518" t="s">
        <v>14026</v>
      </c>
      <c r="C573" s="516"/>
      <c r="D573" s="514" t="s">
        <v>13991</v>
      </c>
      <c r="E573" s="515">
        <v>1</v>
      </c>
      <c r="F573" s="514"/>
      <c r="G573" s="515" t="s">
        <v>1793</v>
      </c>
      <c r="H573" s="514"/>
      <c r="I573" s="515"/>
      <c r="J573" s="515">
        <v>1</v>
      </c>
    </row>
    <row r="574" spans="1:10" ht="13.8" thickBot="1">
      <c r="A574" s="517"/>
      <c r="B574" s="518" t="s">
        <v>13373</v>
      </c>
      <c r="C574" s="516"/>
      <c r="D574" s="514" t="s">
        <v>2656</v>
      </c>
      <c r="E574" s="515">
        <v>5.5</v>
      </c>
      <c r="F574" s="518" t="s">
        <v>614</v>
      </c>
      <c r="G574" s="515" t="s">
        <v>2523</v>
      </c>
      <c r="H574" s="514" t="s">
        <v>1226</v>
      </c>
      <c r="I574" s="515"/>
      <c r="J574" s="515">
        <v>1</v>
      </c>
    </row>
    <row r="575" spans="1:10" ht="13.8" thickBot="1">
      <c r="A575" s="517"/>
      <c r="B575" s="518" t="s">
        <v>13949</v>
      </c>
      <c r="C575" s="516"/>
      <c r="D575" s="514" t="s">
        <v>1252</v>
      </c>
      <c r="E575" s="515">
        <v>1</v>
      </c>
      <c r="F575" s="514"/>
      <c r="G575" s="515" t="s">
        <v>1922</v>
      </c>
      <c r="H575" s="514"/>
      <c r="I575" s="515"/>
      <c r="J575" s="515">
        <v>2</v>
      </c>
    </row>
    <row r="576" spans="1:10" ht="13.8" thickBot="1">
      <c r="A576" s="517"/>
      <c r="B576" s="518" t="s">
        <v>14025</v>
      </c>
      <c r="C576" s="516"/>
      <c r="D576" s="514" t="s">
        <v>13991</v>
      </c>
      <c r="E576" s="515">
        <v>1</v>
      </c>
      <c r="F576" s="514"/>
      <c r="G576" s="515" t="s">
        <v>1793</v>
      </c>
      <c r="H576" s="514"/>
      <c r="I576" s="515"/>
      <c r="J576" s="515">
        <v>1</v>
      </c>
    </row>
    <row r="577" spans="1:10" ht="13.8" thickBot="1">
      <c r="A577" s="517"/>
      <c r="B577" s="518" t="s">
        <v>12582</v>
      </c>
      <c r="C577" s="516"/>
      <c r="D577" s="514" t="s">
        <v>12581</v>
      </c>
      <c r="E577" s="515">
        <v>6.3</v>
      </c>
      <c r="F577" s="518" t="s">
        <v>614</v>
      </c>
      <c r="G577" s="515" t="s">
        <v>3807</v>
      </c>
      <c r="H577" s="514" t="s">
        <v>1226</v>
      </c>
      <c r="I577" s="515"/>
      <c r="J577" s="515">
        <v>7</v>
      </c>
    </row>
    <row r="578" spans="1:10" ht="13.8" thickBot="1">
      <c r="A578" s="517"/>
      <c r="B578" s="518" t="s">
        <v>14071</v>
      </c>
      <c r="C578" s="516"/>
      <c r="D578" s="514" t="s">
        <v>13991</v>
      </c>
      <c r="E578" s="515">
        <v>2.5</v>
      </c>
      <c r="F578" s="514"/>
      <c r="G578" s="515" t="s">
        <v>1793</v>
      </c>
      <c r="H578" s="514"/>
      <c r="I578" s="515"/>
      <c r="J578" s="515">
        <v>3</v>
      </c>
    </row>
    <row r="579" spans="1:10" ht="13.8" thickBot="1">
      <c r="A579" s="517"/>
      <c r="B579" s="518" t="s">
        <v>13632</v>
      </c>
      <c r="C579" s="516"/>
      <c r="D579" s="514" t="s">
        <v>2297</v>
      </c>
      <c r="E579" s="515">
        <v>5</v>
      </c>
      <c r="F579" s="518" t="s">
        <v>614</v>
      </c>
      <c r="G579" s="515" t="s">
        <v>2289</v>
      </c>
      <c r="H579" s="514" t="s">
        <v>1224</v>
      </c>
      <c r="I579" s="515"/>
      <c r="J579" s="515">
        <v>7</v>
      </c>
    </row>
    <row r="580" spans="1:10" ht="13.8" thickBot="1">
      <c r="A580" s="517"/>
      <c r="B580" s="518" t="s">
        <v>11726</v>
      </c>
      <c r="C580" s="516"/>
      <c r="D580" s="514" t="s">
        <v>11725</v>
      </c>
      <c r="E580" s="515">
        <v>7.5</v>
      </c>
      <c r="F580" s="514"/>
      <c r="G580" s="515" t="s">
        <v>11525</v>
      </c>
      <c r="H580" s="514"/>
      <c r="I580" s="515">
        <v>1</v>
      </c>
      <c r="J580" s="515">
        <v>2</v>
      </c>
    </row>
    <row r="581" spans="1:10" ht="13.8" thickBot="1">
      <c r="A581" s="517"/>
      <c r="B581" s="518" t="s">
        <v>12903</v>
      </c>
      <c r="C581" s="516"/>
      <c r="D581" s="514" t="s">
        <v>12902</v>
      </c>
      <c r="E581" s="515">
        <v>5</v>
      </c>
      <c r="F581" s="518" t="s">
        <v>1854</v>
      </c>
      <c r="G581" s="515" t="s">
        <v>3285</v>
      </c>
      <c r="H581" s="514" t="s">
        <v>1226</v>
      </c>
      <c r="I581" s="515"/>
      <c r="J581" s="515">
        <v>3</v>
      </c>
    </row>
    <row r="582" spans="1:10" ht="13.8" thickBot="1">
      <c r="A582" s="517"/>
      <c r="B582" s="518" t="s">
        <v>13682</v>
      </c>
      <c r="C582" s="516"/>
      <c r="D582" s="514" t="s">
        <v>13681</v>
      </c>
      <c r="E582" s="515">
        <v>6.5</v>
      </c>
      <c r="F582" s="518" t="s">
        <v>1854</v>
      </c>
      <c r="G582" s="515" t="s">
        <v>2289</v>
      </c>
      <c r="H582" s="514"/>
      <c r="I582" s="515"/>
      <c r="J582" s="515">
        <v>2</v>
      </c>
    </row>
    <row r="583" spans="1:10" ht="13.8" thickBot="1">
      <c r="A583" s="517"/>
      <c r="B583" s="518" t="s">
        <v>12361</v>
      </c>
      <c r="C583" s="516"/>
      <c r="D583" s="514" t="s">
        <v>12360</v>
      </c>
      <c r="E583" s="515">
        <v>8</v>
      </c>
      <c r="F583" s="514"/>
      <c r="G583" s="515" t="s">
        <v>4214</v>
      </c>
      <c r="H583" s="514"/>
      <c r="I583" s="515"/>
      <c r="J583" s="515"/>
    </row>
    <row r="584" spans="1:10" ht="13.8" thickBot="1">
      <c r="A584" s="517"/>
      <c r="B584" s="518" t="s">
        <v>13993</v>
      </c>
      <c r="C584" s="516"/>
      <c r="D584" s="514" t="s">
        <v>13991</v>
      </c>
      <c r="E584" s="515">
        <v>1</v>
      </c>
      <c r="F584" s="514"/>
      <c r="G584" s="515" t="s">
        <v>1793</v>
      </c>
      <c r="H584" s="514"/>
      <c r="I584" s="515"/>
      <c r="J584" s="515"/>
    </row>
    <row r="585" spans="1:10" ht="13.8" thickBot="1">
      <c r="A585" s="517"/>
      <c r="B585" s="518" t="s">
        <v>13030</v>
      </c>
      <c r="C585" s="516"/>
      <c r="D585" s="514" t="s">
        <v>13029</v>
      </c>
      <c r="E585" s="515">
        <v>5</v>
      </c>
      <c r="F585" s="518" t="s">
        <v>1854</v>
      </c>
      <c r="G585" s="515" t="s">
        <v>2957</v>
      </c>
      <c r="H585" s="514"/>
      <c r="I585" s="515"/>
      <c r="J585" s="515">
        <v>1</v>
      </c>
    </row>
    <row r="586" spans="1:10" ht="13.8" thickBot="1">
      <c r="A586" s="517"/>
      <c r="B586" s="518" t="s">
        <v>14107</v>
      </c>
      <c r="C586" s="516"/>
      <c r="D586" s="514" t="s">
        <v>14106</v>
      </c>
      <c r="E586" s="515">
        <v>4</v>
      </c>
      <c r="F586" s="518" t="s">
        <v>1854</v>
      </c>
      <c r="G586" s="515" t="s">
        <v>1793</v>
      </c>
      <c r="H586" s="514" t="s">
        <v>1226</v>
      </c>
      <c r="I586" s="515"/>
      <c r="J586" s="515">
        <v>1</v>
      </c>
    </row>
    <row r="587" spans="1:10" ht="13.8" thickBot="1">
      <c r="A587" s="517"/>
      <c r="B587" s="518" t="s">
        <v>14061</v>
      </c>
      <c r="C587" s="516"/>
      <c r="D587" s="514" t="s">
        <v>13991</v>
      </c>
      <c r="E587" s="515">
        <v>2</v>
      </c>
      <c r="F587" s="514"/>
      <c r="G587" s="515" t="s">
        <v>1793</v>
      </c>
      <c r="H587" s="514"/>
      <c r="I587" s="515"/>
      <c r="J587" s="515">
        <v>1</v>
      </c>
    </row>
    <row r="588" spans="1:10" ht="13.8" thickBot="1">
      <c r="A588" s="517"/>
      <c r="B588" s="518" t="s">
        <v>14012</v>
      </c>
      <c r="C588" s="516"/>
      <c r="D588" s="514" t="s">
        <v>13991</v>
      </c>
      <c r="E588" s="515">
        <v>1</v>
      </c>
      <c r="F588" s="518" t="s">
        <v>1854</v>
      </c>
      <c r="G588" s="515" t="s">
        <v>1793</v>
      </c>
      <c r="H588" s="514"/>
      <c r="I588" s="515"/>
      <c r="J588" s="515"/>
    </row>
    <row r="589" spans="1:10" ht="13.8" thickBot="1">
      <c r="A589" s="517"/>
      <c r="B589" s="518" t="s">
        <v>13399</v>
      </c>
      <c r="C589" s="516"/>
      <c r="D589" s="514" t="s">
        <v>13398</v>
      </c>
      <c r="E589" s="515">
        <v>5.75</v>
      </c>
      <c r="F589" s="518" t="s">
        <v>614</v>
      </c>
      <c r="G589" s="515" t="s">
        <v>2523</v>
      </c>
      <c r="H589" s="514" t="s">
        <v>1226</v>
      </c>
      <c r="I589" s="515"/>
      <c r="J589" s="515">
        <v>8</v>
      </c>
    </row>
    <row r="590" spans="1:10" ht="13.8" thickBot="1">
      <c r="A590" s="517"/>
      <c r="B590" s="518" t="s">
        <v>12186</v>
      </c>
      <c r="C590" s="516"/>
      <c r="D590" s="514" t="s">
        <v>12185</v>
      </c>
      <c r="E590" s="515">
        <v>6.75</v>
      </c>
      <c r="F590" s="518" t="s">
        <v>614</v>
      </c>
      <c r="G590" s="515" t="s">
        <v>4822</v>
      </c>
      <c r="H590" s="514"/>
      <c r="I590" s="515"/>
      <c r="J590" s="515">
        <v>2</v>
      </c>
    </row>
    <row r="591" spans="1:10" ht="13.8" thickBot="1">
      <c r="A591" s="517"/>
      <c r="B591" s="518" t="s">
        <v>14024</v>
      </c>
      <c r="C591" s="516"/>
      <c r="D591" s="514" t="s">
        <v>13991</v>
      </c>
      <c r="E591" s="515">
        <v>1</v>
      </c>
      <c r="F591" s="514"/>
      <c r="G591" s="515" t="s">
        <v>1793</v>
      </c>
      <c r="H591" s="514"/>
      <c r="I591" s="515"/>
      <c r="J591" s="515">
        <v>1</v>
      </c>
    </row>
    <row r="592" spans="1:10" ht="13.8" thickBot="1">
      <c r="A592" s="517"/>
      <c r="B592" s="518" t="s">
        <v>13578</v>
      </c>
      <c r="C592" s="516"/>
      <c r="D592" s="514" t="s">
        <v>13577</v>
      </c>
      <c r="E592" s="515">
        <v>5</v>
      </c>
      <c r="F592" s="514"/>
      <c r="G592" s="515" t="s">
        <v>2449</v>
      </c>
      <c r="H592" s="514" t="s">
        <v>1224</v>
      </c>
      <c r="I592" s="515"/>
      <c r="J592" s="515">
        <v>2</v>
      </c>
    </row>
    <row r="593" spans="1:10" ht="13.8" thickBot="1">
      <c r="A593" s="517"/>
      <c r="B593" s="518" t="s">
        <v>13012</v>
      </c>
      <c r="C593" s="516"/>
      <c r="D593" s="514" t="s">
        <v>2968</v>
      </c>
      <c r="E593" s="515">
        <v>4</v>
      </c>
      <c r="F593" s="518" t="s">
        <v>614</v>
      </c>
      <c r="G593" s="515" t="s">
        <v>2957</v>
      </c>
      <c r="H593" s="514" t="s">
        <v>1224</v>
      </c>
      <c r="I593" s="515"/>
      <c r="J593" s="515">
        <v>5</v>
      </c>
    </row>
    <row r="594" spans="1:10" ht="13.8" thickBot="1">
      <c r="A594" s="517"/>
      <c r="B594" s="518" t="s">
        <v>11835</v>
      </c>
      <c r="C594" s="516"/>
      <c r="D594" s="514" t="s">
        <v>11834</v>
      </c>
      <c r="E594" s="515">
        <v>6.6</v>
      </c>
      <c r="F594" s="518" t="s">
        <v>614</v>
      </c>
      <c r="G594" s="515" t="s">
        <v>5319</v>
      </c>
      <c r="H594" s="514" t="s">
        <v>1226</v>
      </c>
      <c r="I594" s="515">
        <v>1</v>
      </c>
      <c r="J594" s="515">
        <v>6</v>
      </c>
    </row>
    <row r="595" spans="1:10" ht="13.8" thickBot="1">
      <c r="A595" s="517"/>
      <c r="B595" s="518" t="s">
        <v>12952</v>
      </c>
      <c r="C595" s="516"/>
      <c r="D595" s="514" t="s">
        <v>12951</v>
      </c>
      <c r="E595" s="515">
        <v>7</v>
      </c>
      <c r="F595" s="518" t="s">
        <v>1854</v>
      </c>
      <c r="G595" s="515" t="s">
        <v>3161</v>
      </c>
      <c r="H595" s="514"/>
      <c r="I595" s="515"/>
      <c r="J595" s="515"/>
    </row>
    <row r="596" spans="1:10" ht="13.8" thickBot="1">
      <c r="A596" s="517"/>
      <c r="B596" s="518" t="s">
        <v>14011</v>
      </c>
      <c r="C596" s="516"/>
      <c r="D596" s="514" t="s">
        <v>13991</v>
      </c>
      <c r="E596" s="515">
        <v>1</v>
      </c>
      <c r="F596" s="518" t="s">
        <v>1854</v>
      </c>
      <c r="G596" s="515" t="s">
        <v>1793</v>
      </c>
      <c r="H596" s="514"/>
      <c r="I596" s="515"/>
      <c r="J596" s="515"/>
    </row>
    <row r="597" spans="1:10" ht="13.8" thickBot="1">
      <c r="A597" s="517"/>
      <c r="B597" s="518" t="s">
        <v>13672</v>
      </c>
      <c r="C597" s="516"/>
      <c r="D597" s="514" t="s">
        <v>13671</v>
      </c>
      <c r="E597" s="515">
        <v>6.25</v>
      </c>
      <c r="F597" s="518" t="s">
        <v>1854</v>
      </c>
      <c r="G597" s="515" t="s">
        <v>2289</v>
      </c>
      <c r="H597" s="514"/>
      <c r="I597" s="515"/>
      <c r="J597" s="515">
        <v>2</v>
      </c>
    </row>
    <row r="598" spans="1:10" ht="13.8" thickBot="1">
      <c r="A598" s="517"/>
      <c r="B598" s="518" t="s">
        <v>13637</v>
      </c>
      <c r="C598" s="516"/>
      <c r="D598" s="514" t="s">
        <v>13636</v>
      </c>
      <c r="E598" s="515">
        <v>5.5</v>
      </c>
      <c r="F598" s="518" t="s">
        <v>1854</v>
      </c>
      <c r="G598" s="515" t="s">
        <v>2289</v>
      </c>
      <c r="H598" s="514" t="s">
        <v>1224</v>
      </c>
      <c r="I598" s="515"/>
      <c r="J598" s="515">
        <v>4</v>
      </c>
    </row>
    <row r="599" spans="1:10" ht="13.8" thickBot="1">
      <c r="A599" s="517"/>
      <c r="B599" s="518" t="s">
        <v>12622</v>
      </c>
      <c r="C599" s="516"/>
      <c r="D599" s="514" t="s">
        <v>3750</v>
      </c>
      <c r="E599" s="515">
        <v>5</v>
      </c>
      <c r="F599" s="518" t="s">
        <v>1854</v>
      </c>
      <c r="G599" s="515" t="s">
        <v>3734</v>
      </c>
      <c r="H599" s="514" t="s">
        <v>1251</v>
      </c>
      <c r="I599" s="515"/>
      <c r="J599" s="515">
        <v>1</v>
      </c>
    </row>
    <row r="600" spans="1:10" ht="13.8" thickBot="1">
      <c r="A600" s="517"/>
      <c r="B600" s="518" t="s">
        <v>12565</v>
      </c>
      <c r="C600" s="516"/>
      <c r="D600" s="514" t="s">
        <v>12564</v>
      </c>
      <c r="E600" s="515">
        <v>5.5</v>
      </c>
      <c r="F600" s="518" t="s">
        <v>614</v>
      </c>
      <c r="G600" s="515" t="s">
        <v>3807</v>
      </c>
      <c r="H600" s="514" t="s">
        <v>1224</v>
      </c>
      <c r="I600" s="515"/>
      <c r="J600" s="515">
        <v>3</v>
      </c>
    </row>
    <row r="601" spans="1:10" ht="13.8" thickBot="1">
      <c r="A601" s="517"/>
      <c r="B601" s="518" t="s">
        <v>13853</v>
      </c>
      <c r="C601" s="516"/>
      <c r="D601" s="514" t="s">
        <v>2044</v>
      </c>
      <c r="E601" s="529">
        <v>3</v>
      </c>
      <c r="F601" s="514"/>
      <c r="G601" s="515" t="s">
        <v>2032</v>
      </c>
      <c r="H601" s="514"/>
      <c r="I601" s="515"/>
      <c r="J601" s="515">
        <v>2</v>
      </c>
    </row>
    <row r="602" spans="1:10" ht="13.8" thickBot="1">
      <c r="A602" s="517"/>
      <c r="B602" s="518" t="s">
        <v>14060</v>
      </c>
      <c r="C602" s="516"/>
      <c r="D602" s="514" t="s">
        <v>13991</v>
      </c>
      <c r="E602" s="515">
        <v>2</v>
      </c>
      <c r="F602" s="514"/>
      <c r="G602" s="515" t="s">
        <v>1793</v>
      </c>
      <c r="H602" s="514"/>
      <c r="I602" s="515"/>
      <c r="J602" s="515">
        <v>1</v>
      </c>
    </row>
    <row r="603" spans="1:10" ht="13.8" thickBot="1">
      <c r="A603" s="517"/>
      <c r="B603" s="518" t="s">
        <v>14260</v>
      </c>
      <c r="C603" s="516"/>
      <c r="D603" s="514" t="s">
        <v>1890</v>
      </c>
      <c r="E603" s="515">
        <v>7</v>
      </c>
      <c r="F603" s="514"/>
      <c r="G603" s="515" t="s">
        <v>1793</v>
      </c>
      <c r="H603" s="514"/>
      <c r="I603" s="515"/>
      <c r="J603" s="515"/>
    </row>
    <row r="604" spans="1:10" ht="13.8" thickBot="1">
      <c r="A604" s="517"/>
      <c r="B604" s="518" t="s">
        <v>12195</v>
      </c>
      <c r="C604" s="516"/>
      <c r="D604" s="514" t="s">
        <v>4796</v>
      </c>
      <c r="E604" s="515">
        <v>6.25</v>
      </c>
      <c r="F604" s="518" t="s">
        <v>1854</v>
      </c>
      <c r="G604" s="515" t="s">
        <v>4789</v>
      </c>
      <c r="H604" s="514" t="s">
        <v>1226</v>
      </c>
      <c r="I604" s="515"/>
      <c r="J604" s="515">
        <v>6</v>
      </c>
    </row>
    <row r="605" spans="1:10" ht="13.8" thickBot="1">
      <c r="A605" s="517"/>
      <c r="B605" s="518" t="s">
        <v>12621</v>
      </c>
      <c r="C605" s="516"/>
      <c r="D605" s="514" t="s">
        <v>3795</v>
      </c>
      <c r="E605" s="515">
        <v>5</v>
      </c>
      <c r="F605" s="518" t="s">
        <v>1854</v>
      </c>
      <c r="G605" s="515" t="s">
        <v>3734</v>
      </c>
      <c r="H605" s="514" t="s">
        <v>1226</v>
      </c>
      <c r="I605" s="515">
        <v>1</v>
      </c>
      <c r="J605" s="515">
        <v>5</v>
      </c>
    </row>
    <row r="606" spans="1:10" ht="13.8" thickBot="1">
      <c r="A606" s="517"/>
      <c r="B606" s="518" t="s">
        <v>13755</v>
      </c>
      <c r="C606" s="516"/>
      <c r="D606" s="519" t="s">
        <v>2246</v>
      </c>
      <c r="E606" s="515">
        <v>5.5</v>
      </c>
      <c r="F606" s="518" t="s">
        <v>1854</v>
      </c>
      <c r="G606" s="515" t="s">
        <v>2242</v>
      </c>
      <c r="H606" s="514" t="s">
        <v>1226</v>
      </c>
      <c r="I606" s="515"/>
      <c r="J606" s="515">
        <v>6</v>
      </c>
    </row>
    <row r="607" spans="1:10" ht="13.8" thickBot="1">
      <c r="A607" s="517"/>
      <c r="B607" s="518" t="s">
        <v>12213</v>
      </c>
      <c r="C607" s="516"/>
      <c r="D607" s="514" t="s">
        <v>1708</v>
      </c>
      <c r="E607" s="515">
        <v>3</v>
      </c>
      <c r="F607" s="518" t="s">
        <v>1854</v>
      </c>
      <c r="G607" s="515" t="s">
        <v>4672</v>
      </c>
      <c r="H607" s="514"/>
      <c r="I607" s="515"/>
      <c r="J607" s="515"/>
    </row>
    <row r="608" spans="1:10" ht="13.8" thickBot="1">
      <c r="A608" s="517"/>
      <c r="B608" s="518" t="s">
        <v>12211</v>
      </c>
      <c r="C608" s="516"/>
      <c r="D608" s="514" t="s">
        <v>12210</v>
      </c>
      <c r="E608" s="515">
        <v>7</v>
      </c>
      <c r="F608" s="514"/>
      <c r="G608" s="515" t="s">
        <v>4717</v>
      </c>
      <c r="H608" s="514"/>
      <c r="I608" s="515"/>
      <c r="J608" s="515"/>
    </row>
    <row r="609" spans="1:10" ht="13.8" thickBot="1">
      <c r="A609" s="517"/>
      <c r="B609" s="518" t="s">
        <v>12448</v>
      </c>
      <c r="C609" s="516"/>
      <c r="D609" s="514" t="s">
        <v>12447</v>
      </c>
      <c r="E609" s="515">
        <v>6.8</v>
      </c>
      <c r="F609" s="518" t="s">
        <v>614</v>
      </c>
      <c r="G609" s="515" t="s">
        <v>4067</v>
      </c>
      <c r="H609" s="514" t="s">
        <v>1226</v>
      </c>
      <c r="I609" s="515"/>
      <c r="J609" s="515">
        <v>5</v>
      </c>
    </row>
    <row r="610" spans="1:10" ht="13.8" thickBot="1">
      <c r="A610" s="517"/>
      <c r="B610" s="518" t="s">
        <v>14010</v>
      </c>
      <c r="C610" s="516"/>
      <c r="D610" s="514" t="s">
        <v>13991</v>
      </c>
      <c r="E610" s="515">
        <v>1</v>
      </c>
      <c r="F610" s="518" t="s">
        <v>1854</v>
      </c>
      <c r="G610" s="515" t="s">
        <v>1793</v>
      </c>
      <c r="H610" s="514"/>
      <c r="I610" s="515"/>
      <c r="J610" s="515"/>
    </row>
    <row r="611" spans="1:10" ht="13.8" thickBot="1">
      <c r="A611" s="517"/>
      <c r="B611" s="518" t="s">
        <v>12095</v>
      </c>
      <c r="C611" s="516"/>
      <c r="D611" s="514" t="s">
        <v>1593</v>
      </c>
      <c r="E611" s="515">
        <v>3</v>
      </c>
      <c r="F611" s="514"/>
      <c r="G611" s="515" t="s">
        <v>4970</v>
      </c>
      <c r="H611" s="514"/>
      <c r="I611" s="515"/>
      <c r="J611" s="515">
        <v>1</v>
      </c>
    </row>
    <row r="612" spans="1:10" ht="13.8" thickBot="1">
      <c r="A612" s="517"/>
      <c r="B612" s="518" t="s">
        <v>14023</v>
      </c>
      <c r="C612" s="516"/>
      <c r="D612" s="514" t="s">
        <v>13991</v>
      </c>
      <c r="E612" s="515">
        <v>1</v>
      </c>
      <c r="F612" s="514"/>
      <c r="G612" s="515" t="s">
        <v>1793</v>
      </c>
      <c r="H612" s="514"/>
      <c r="I612" s="515"/>
      <c r="J612" s="515">
        <v>1</v>
      </c>
    </row>
    <row r="613" spans="1:10" ht="13.8" thickBot="1">
      <c r="A613" s="517"/>
      <c r="B613" s="518" t="s">
        <v>12286</v>
      </c>
      <c r="C613" s="516"/>
      <c r="D613" s="514" t="s">
        <v>1627</v>
      </c>
      <c r="E613" s="515">
        <v>2</v>
      </c>
      <c r="F613" s="518" t="s">
        <v>1854</v>
      </c>
      <c r="G613" s="515" t="s">
        <v>4214</v>
      </c>
      <c r="H613" s="514"/>
      <c r="I613" s="515"/>
      <c r="J613" s="515"/>
    </row>
    <row r="614" spans="1:10" ht="13.8" thickBot="1">
      <c r="A614" s="517"/>
      <c r="B614" s="518" t="s">
        <v>12912</v>
      </c>
      <c r="C614" s="516"/>
      <c r="D614" s="514" t="s">
        <v>12911</v>
      </c>
      <c r="E614" s="515">
        <v>3.5</v>
      </c>
      <c r="F614" s="518" t="s">
        <v>1854</v>
      </c>
      <c r="G614" s="515" t="s">
        <v>3161</v>
      </c>
      <c r="H614" s="514"/>
      <c r="I614" s="515"/>
      <c r="J614" s="515">
        <v>2</v>
      </c>
    </row>
    <row r="615" spans="1:10" ht="13.8" thickBot="1">
      <c r="A615" s="517"/>
      <c r="B615" s="518" t="s">
        <v>12635</v>
      </c>
      <c r="C615" s="516"/>
      <c r="D615" s="514" t="s">
        <v>12634</v>
      </c>
      <c r="E615" s="515">
        <v>6</v>
      </c>
      <c r="F615" s="518" t="s">
        <v>1854</v>
      </c>
      <c r="G615" s="515" t="s">
        <v>3734</v>
      </c>
      <c r="H615" s="514"/>
      <c r="I615" s="515">
        <v>1</v>
      </c>
      <c r="J615" s="515">
        <v>4</v>
      </c>
    </row>
    <row r="616" spans="1:10" ht="13.8" thickBot="1">
      <c r="A616" s="517"/>
      <c r="B616" s="518" t="s">
        <v>12264</v>
      </c>
      <c r="C616" s="516"/>
      <c r="D616" s="514" t="s">
        <v>12263</v>
      </c>
      <c r="E616" s="515">
        <v>4</v>
      </c>
      <c r="F616" s="518" t="s">
        <v>1978</v>
      </c>
      <c r="G616" s="515" t="s">
        <v>4403</v>
      </c>
      <c r="H616" s="514" t="s">
        <v>1226</v>
      </c>
      <c r="I616" s="515"/>
      <c r="J616" s="515">
        <v>4</v>
      </c>
    </row>
    <row r="617" spans="1:10" ht="13.8" thickBot="1">
      <c r="A617" s="517"/>
      <c r="B617" s="518" t="s">
        <v>13383</v>
      </c>
      <c r="C617" s="516"/>
      <c r="D617" s="514" t="s">
        <v>13382</v>
      </c>
      <c r="E617" s="515">
        <v>5.5</v>
      </c>
      <c r="F617" s="518" t="s">
        <v>614</v>
      </c>
      <c r="G617" s="515" t="s">
        <v>2523</v>
      </c>
      <c r="H617" s="514" t="s">
        <v>1226</v>
      </c>
      <c r="I617" s="515"/>
      <c r="J617" s="515">
        <v>3</v>
      </c>
    </row>
    <row r="618" spans="1:10" ht="13.8" thickBot="1">
      <c r="A618" s="517"/>
      <c r="B618" s="518" t="s">
        <v>14088</v>
      </c>
      <c r="C618" s="516"/>
      <c r="D618" s="514" t="s">
        <v>13991</v>
      </c>
      <c r="E618" s="515">
        <v>3</v>
      </c>
      <c r="F618" s="514"/>
      <c r="G618" s="515" t="s">
        <v>1793</v>
      </c>
      <c r="H618" s="514"/>
      <c r="I618" s="515"/>
      <c r="J618" s="515">
        <v>2</v>
      </c>
    </row>
    <row r="619" spans="1:10" ht="13.8" thickBot="1">
      <c r="A619" s="517"/>
      <c r="B619" s="518" t="s">
        <v>12608</v>
      </c>
      <c r="C619" s="516"/>
      <c r="D619" s="514" t="s">
        <v>1480</v>
      </c>
      <c r="E619" s="515">
        <v>4</v>
      </c>
      <c r="F619" s="514"/>
      <c r="G619" s="515" t="s">
        <v>3734</v>
      </c>
      <c r="H619" s="514"/>
      <c r="I619" s="515"/>
      <c r="J619" s="515">
        <v>1</v>
      </c>
    </row>
    <row r="620" spans="1:10" ht="13.8" thickBot="1">
      <c r="A620" s="517"/>
      <c r="B620" s="518" t="s">
        <v>12606</v>
      </c>
      <c r="C620" s="516"/>
      <c r="D620" s="514" t="s">
        <v>1480</v>
      </c>
      <c r="E620" s="515">
        <v>2</v>
      </c>
      <c r="F620" s="514"/>
      <c r="G620" s="515" t="s">
        <v>3734</v>
      </c>
      <c r="H620" s="514"/>
      <c r="I620" s="515"/>
      <c r="J620" s="515">
        <v>4</v>
      </c>
    </row>
    <row r="621" spans="1:10" ht="13.8" thickBot="1">
      <c r="A621" s="517"/>
      <c r="B621" s="518" t="s">
        <v>12133</v>
      </c>
      <c r="C621" s="516"/>
      <c r="D621" s="514" t="s">
        <v>12132</v>
      </c>
      <c r="E621" s="515">
        <v>6.25</v>
      </c>
      <c r="F621" s="514"/>
      <c r="G621" s="515" t="s">
        <v>4970</v>
      </c>
      <c r="H621" s="514"/>
      <c r="I621" s="515"/>
      <c r="J621" s="515">
        <v>2</v>
      </c>
    </row>
    <row r="622" spans="1:10" ht="13.8" thickBot="1">
      <c r="A622" s="517"/>
      <c r="B622" s="518" t="s">
        <v>13163</v>
      </c>
      <c r="C622" s="516"/>
      <c r="D622" s="514" t="s">
        <v>1365</v>
      </c>
      <c r="E622" s="515">
        <v>5</v>
      </c>
      <c r="F622" s="518" t="s">
        <v>614</v>
      </c>
      <c r="G622" s="515" t="s">
        <v>2943</v>
      </c>
      <c r="H622" s="514" t="s">
        <v>1226</v>
      </c>
      <c r="I622" s="515">
        <v>1</v>
      </c>
      <c r="J622" s="515">
        <v>6</v>
      </c>
    </row>
    <row r="623" spans="1:10" ht="13.8" thickBot="1">
      <c r="A623" s="517"/>
      <c r="B623" s="518" t="s">
        <v>11859</v>
      </c>
      <c r="C623" s="516"/>
      <c r="D623" s="514" t="s">
        <v>1381</v>
      </c>
      <c r="E623" s="515">
        <v>6.25</v>
      </c>
      <c r="F623" s="518" t="s">
        <v>614</v>
      </c>
      <c r="G623" s="515" t="s">
        <v>5286</v>
      </c>
      <c r="H623" s="514" t="s">
        <v>1226</v>
      </c>
      <c r="I623" s="515">
        <v>1</v>
      </c>
      <c r="J623" s="515">
        <v>7</v>
      </c>
    </row>
    <row r="624" spans="1:10" ht="13.8" thickBot="1">
      <c r="A624" s="517"/>
      <c r="B624" s="518" t="s">
        <v>13327</v>
      </c>
      <c r="C624" s="516"/>
      <c r="D624" s="514" t="s">
        <v>1300</v>
      </c>
      <c r="E624" s="515">
        <v>5</v>
      </c>
      <c r="F624" s="518" t="s">
        <v>614</v>
      </c>
      <c r="G624" s="515" t="s">
        <v>2523</v>
      </c>
      <c r="H624" s="514" t="s">
        <v>1224</v>
      </c>
      <c r="I624" s="515"/>
      <c r="J624" s="515">
        <v>1</v>
      </c>
    </row>
    <row r="625" spans="1:10" ht="13.8" thickBot="1">
      <c r="A625" s="517"/>
      <c r="B625" s="518" t="s">
        <v>13015</v>
      </c>
      <c r="C625" s="516"/>
      <c r="D625" s="514" t="s">
        <v>13014</v>
      </c>
      <c r="E625" s="515">
        <v>4</v>
      </c>
      <c r="F625" s="518" t="s">
        <v>614</v>
      </c>
      <c r="G625" s="515" t="s">
        <v>2957</v>
      </c>
      <c r="H625" s="514" t="s">
        <v>2374</v>
      </c>
      <c r="I625" s="515"/>
      <c r="J625" s="515">
        <v>9</v>
      </c>
    </row>
    <row r="626" spans="1:10" ht="13.8" thickBot="1">
      <c r="A626" s="517"/>
      <c r="B626" s="518" t="s">
        <v>14259</v>
      </c>
      <c r="C626" s="516"/>
      <c r="D626" s="514" t="s">
        <v>14258</v>
      </c>
      <c r="E626" s="515">
        <v>7</v>
      </c>
      <c r="F626" s="514"/>
      <c r="G626" s="515" t="s">
        <v>1793</v>
      </c>
      <c r="H626" s="514"/>
      <c r="I626" s="515"/>
      <c r="J626" s="515"/>
    </row>
    <row r="627" spans="1:10" ht="13.8" thickBot="1">
      <c r="A627" s="517"/>
      <c r="B627" s="518" t="s">
        <v>12082</v>
      </c>
      <c r="C627" s="516"/>
      <c r="D627" s="514" t="s">
        <v>1598</v>
      </c>
      <c r="E627" s="515">
        <v>1</v>
      </c>
      <c r="F627" s="514"/>
      <c r="G627" s="515" t="s">
        <v>4970</v>
      </c>
      <c r="H627" s="514"/>
      <c r="I627" s="515"/>
      <c r="J627" s="515">
        <v>1</v>
      </c>
    </row>
    <row r="628" spans="1:10" ht="13.8" thickBot="1">
      <c r="A628" s="517"/>
      <c r="B628" s="518" t="s">
        <v>13271</v>
      </c>
      <c r="C628" s="516"/>
      <c r="D628" s="514" t="s">
        <v>1300</v>
      </c>
      <c r="E628" s="515">
        <v>4</v>
      </c>
      <c r="F628" s="514"/>
      <c r="G628" s="515" t="s">
        <v>2523</v>
      </c>
      <c r="H628" s="514"/>
      <c r="I628" s="515"/>
      <c r="J628" s="515">
        <v>2</v>
      </c>
    </row>
    <row r="629" spans="1:10" ht="13.8" thickBot="1">
      <c r="A629" s="517"/>
      <c r="B629" s="518" t="s">
        <v>11724</v>
      </c>
      <c r="C629" s="516"/>
      <c r="D629" s="514" t="s">
        <v>11533</v>
      </c>
      <c r="E629" s="515"/>
      <c r="F629" s="514"/>
      <c r="G629" s="515" t="s">
        <v>11525</v>
      </c>
      <c r="H629" s="514"/>
      <c r="I629" s="515"/>
      <c r="J629" s="515"/>
    </row>
    <row r="630" spans="1:10" ht="13.8" thickBot="1">
      <c r="A630" s="517"/>
      <c r="B630" s="518" t="s">
        <v>14037</v>
      </c>
      <c r="C630" s="516"/>
      <c r="D630" s="514" t="s">
        <v>13991</v>
      </c>
      <c r="E630" s="515">
        <v>1</v>
      </c>
      <c r="F630" s="514"/>
      <c r="G630" s="515" t="s">
        <v>1793</v>
      </c>
      <c r="H630" s="514"/>
      <c r="I630" s="515"/>
      <c r="J630" s="515">
        <v>2</v>
      </c>
    </row>
    <row r="631" spans="1:10" ht="13.8" thickBot="1">
      <c r="A631" s="517"/>
      <c r="B631" s="518" t="s">
        <v>12444</v>
      </c>
      <c r="C631" s="516"/>
      <c r="D631" s="514" t="s">
        <v>12443</v>
      </c>
      <c r="E631" s="515">
        <v>6</v>
      </c>
      <c r="F631" s="518" t="s">
        <v>614</v>
      </c>
      <c r="G631" s="515" t="s">
        <v>4067</v>
      </c>
      <c r="H631" s="514" t="s">
        <v>1251</v>
      </c>
      <c r="I631" s="515"/>
      <c r="J631" s="515">
        <v>10</v>
      </c>
    </row>
    <row r="632" spans="1:10" ht="13.8" thickBot="1">
      <c r="A632" s="517"/>
      <c r="B632" s="518" t="s">
        <v>12081</v>
      </c>
      <c r="C632" s="516"/>
      <c r="D632" s="514" t="s">
        <v>1598</v>
      </c>
      <c r="E632" s="515">
        <v>1</v>
      </c>
      <c r="F632" s="514"/>
      <c r="G632" s="515" t="s">
        <v>4970</v>
      </c>
      <c r="H632" s="514"/>
      <c r="I632" s="515"/>
      <c r="J632" s="515">
        <v>1</v>
      </c>
    </row>
    <row r="633" spans="1:10" ht="13.8" thickBot="1">
      <c r="A633" s="517"/>
      <c r="B633" s="518" t="s">
        <v>12467</v>
      </c>
      <c r="C633" s="516"/>
      <c r="D633" s="514" t="s">
        <v>1525</v>
      </c>
      <c r="E633" s="515">
        <v>6.3</v>
      </c>
      <c r="F633" s="518" t="s">
        <v>1854</v>
      </c>
      <c r="G633" s="515" t="s">
        <v>3996</v>
      </c>
      <c r="H633" s="514" t="s">
        <v>1251</v>
      </c>
      <c r="I633" s="515"/>
      <c r="J633" s="515">
        <v>5</v>
      </c>
    </row>
    <row r="634" spans="1:10" ht="13.8" thickBot="1">
      <c r="A634" s="517"/>
      <c r="B634" s="518" t="s">
        <v>11723</v>
      </c>
      <c r="C634" s="516"/>
      <c r="D634" s="514" t="s">
        <v>11533</v>
      </c>
      <c r="E634" s="515"/>
      <c r="F634" s="514"/>
      <c r="G634" s="515" t="s">
        <v>11525</v>
      </c>
      <c r="H634" s="514"/>
      <c r="I634" s="515"/>
      <c r="J634" s="515"/>
    </row>
    <row r="635" spans="1:10" ht="13.8" thickBot="1">
      <c r="A635" s="517"/>
      <c r="B635" s="518" t="s">
        <v>12464</v>
      </c>
      <c r="C635" s="516"/>
      <c r="D635" s="514" t="s">
        <v>4025</v>
      </c>
      <c r="E635" s="515">
        <v>5.5</v>
      </c>
      <c r="F635" s="518" t="s">
        <v>614</v>
      </c>
      <c r="G635" s="515" t="s">
        <v>3996</v>
      </c>
      <c r="H635" s="514" t="s">
        <v>1224</v>
      </c>
      <c r="I635" s="515"/>
      <c r="J635" s="515">
        <v>4</v>
      </c>
    </row>
    <row r="636" spans="1:10" ht="13.8" thickBot="1">
      <c r="A636" s="517"/>
      <c r="B636" s="518" t="s">
        <v>12988</v>
      </c>
      <c r="C636" s="516"/>
      <c r="D636" s="514" t="s">
        <v>1552</v>
      </c>
      <c r="E636" s="515">
        <v>1</v>
      </c>
      <c r="F636" s="514"/>
      <c r="G636" s="515" t="s">
        <v>2957</v>
      </c>
      <c r="H636" s="514"/>
      <c r="I636" s="515"/>
      <c r="J636" s="515">
        <v>1</v>
      </c>
    </row>
    <row r="637" spans="1:10" ht="13.8" thickBot="1">
      <c r="A637" s="517"/>
      <c r="B637" s="518" t="s">
        <v>11722</v>
      </c>
      <c r="C637" s="516"/>
      <c r="D637" s="514" t="s">
        <v>11721</v>
      </c>
      <c r="E637" s="515">
        <v>6</v>
      </c>
      <c r="F637" s="514"/>
      <c r="G637" s="515" t="s">
        <v>11525</v>
      </c>
      <c r="H637" s="514"/>
      <c r="I637" s="515"/>
      <c r="J637" s="515">
        <v>1</v>
      </c>
    </row>
    <row r="638" spans="1:10" ht="13.8" thickBot="1">
      <c r="A638" s="517"/>
      <c r="B638" s="518" t="s">
        <v>14022</v>
      </c>
      <c r="C638" s="516"/>
      <c r="D638" s="514" t="s">
        <v>13991</v>
      </c>
      <c r="E638" s="515">
        <v>1</v>
      </c>
      <c r="F638" s="514"/>
      <c r="G638" s="515" t="s">
        <v>1793</v>
      </c>
      <c r="H638" s="514"/>
      <c r="I638" s="515"/>
      <c r="J638" s="515">
        <v>1</v>
      </c>
    </row>
    <row r="639" spans="1:10" ht="13.8" thickBot="1">
      <c r="A639" s="517"/>
      <c r="B639" s="518" t="s">
        <v>14080</v>
      </c>
      <c r="C639" s="516"/>
      <c r="D639" s="514" t="s">
        <v>1802</v>
      </c>
      <c r="E639" s="529">
        <v>3</v>
      </c>
      <c r="F639" s="514"/>
      <c r="G639" s="515" t="s">
        <v>1793</v>
      </c>
      <c r="H639" s="514"/>
      <c r="I639" s="515"/>
      <c r="J639" s="515">
        <v>1</v>
      </c>
    </row>
    <row r="640" spans="1:10" ht="13.8" thickBot="1">
      <c r="A640" s="517"/>
      <c r="B640" s="518" t="s">
        <v>13476</v>
      </c>
      <c r="C640" s="516"/>
      <c r="D640" s="514" t="s">
        <v>2534</v>
      </c>
      <c r="E640" s="515">
        <v>6.5</v>
      </c>
      <c r="F640" s="514"/>
      <c r="G640" s="515" t="s">
        <v>2523</v>
      </c>
      <c r="H640" s="514"/>
      <c r="I640" s="515"/>
      <c r="J640" s="515"/>
    </row>
    <row r="641" spans="1:10" ht="13.8" thickBot="1">
      <c r="A641" s="517"/>
      <c r="B641" s="518" t="s">
        <v>11720</v>
      </c>
      <c r="C641" s="516"/>
      <c r="D641" s="514" t="s">
        <v>11533</v>
      </c>
      <c r="E641" s="515"/>
      <c r="F641" s="514"/>
      <c r="G641" s="515" t="s">
        <v>11525</v>
      </c>
      <c r="H641" s="514"/>
      <c r="I641" s="515"/>
      <c r="J641" s="515"/>
    </row>
    <row r="642" spans="1:10" ht="13.8" thickBot="1">
      <c r="A642" s="517"/>
      <c r="B642" s="518" t="s">
        <v>13762</v>
      </c>
      <c r="C642" s="516"/>
      <c r="D642" s="514" t="s">
        <v>2188</v>
      </c>
      <c r="E642" s="515">
        <v>3.5</v>
      </c>
      <c r="F642" s="514"/>
      <c r="G642" s="515" t="s">
        <v>2152</v>
      </c>
      <c r="H642" s="514"/>
      <c r="I642" s="515"/>
      <c r="J642" s="515">
        <v>2</v>
      </c>
    </row>
    <row r="643" spans="1:10" ht="13.8" thickBot="1">
      <c r="A643" s="517"/>
      <c r="B643" s="518" t="s">
        <v>11976</v>
      </c>
      <c r="C643" s="516"/>
      <c r="D643" s="514" t="s">
        <v>11975</v>
      </c>
      <c r="E643" s="515">
        <v>5.5</v>
      </c>
      <c r="F643" s="518" t="s">
        <v>614</v>
      </c>
      <c r="G643" s="515" t="s">
        <v>5180</v>
      </c>
      <c r="H643" s="514"/>
      <c r="I643" s="515"/>
      <c r="J643" s="515">
        <v>2</v>
      </c>
    </row>
    <row r="644" spans="1:10" ht="13.8" thickBot="1">
      <c r="A644" s="517"/>
      <c r="B644" s="518" t="s">
        <v>12080</v>
      </c>
      <c r="C644" s="516"/>
      <c r="D644" s="514" t="s">
        <v>1598</v>
      </c>
      <c r="E644" s="515">
        <v>1</v>
      </c>
      <c r="F644" s="514"/>
      <c r="G644" s="515" t="s">
        <v>4970</v>
      </c>
      <c r="H644" s="514"/>
      <c r="I644" s="515"/>
      <c r="J644" s="515">
        <v>1</v>
      </c>
    </row>
    <row r="645" spans="1:10" ht="13.8" thickBot="1">
      <c r="A645" s="517"/>
      <c r="B645" s="518" t="s">
        <v>11719</v>
      </c>
      <c r="C645" s="516"/>
      <c r="D645" s="514" t="s">
        <v>11533</v>
      </c>
      <c r="E645" s="515"/>
      <c r="F645" s="514"/>
      <c r="G645" s="515" t="s">
        <v>11525</v>
      </c>
      <c r="H645" s="514"/>
      <c r="I645" s="515"/>
      <c r="J645" s="515"/>
    </row>
    <row r="646" spans="1:10" ht="13.8" thickBot="1">
      <c r="A646" s="517"/>
      <c r="B646" s="518" t="s">
        <v>11718</v>
      </c>
      <c r="C646" s="516"/>
      <c r="D646" s="514" t="s">
        <v>11533</v>
      </c>
      <c r="E646" s="515"/>
      <c r="F646" s="514"/>
      <c r="G646" s="515" t="s">
        <v>11525</v>
      </c>
      <c r="H646" s="514"/>
      <c r="I646" s="515"/>
      <c r="J646" s="515"/>
    </row>
    <row r="647" spans="1:10" ht="13.8" thickBot="1">
      <c r="A647" s="517"/>
      <c r="B647" s="518" t="s">
        <v>14121</v>
      </c>
      <c r="C647" s="516"/>
      <c r="D647" s="514" t="s">
        <v>1792</v>
      </c>
      <c r="E647" s="515">
        <v>5</v>
      </c>
      <c r="F647" s="518" t="s">
        <v>614</v>
      </c>
      <c r="G647" s="515" t="s">
        <v>1793</v>
      </c>
      <c r="H647" s="514"/>
      <c r="I647" s="515"/>
      <c r="J647" s="515">
        <v>1</v>
      </c>
    </row>
    <row r="648" spans="1:10" ht="13.8" thickBot="1">
      <c r="A648" s="517"/>
      <c r="B648" s="518" t="s">
        <v>12079</v>
      </c>
      <c r="C648" s="516"/>
      <c r="D648" s="514" t="s">
        <v>1598</v>
      </c>
      <c r="E648" s="515">
        <v>1</v>
      </c>
      <c r="F648" s="514"/>
      <c r="G648" s="515" t="s">
        <v>4970</v>
      </c>
      <c r="H648" s="514"/>
      <c r="I648" s="515"/>
      <c r="J648" s="515">
        <v>1</v>
      </c>
    </row>
    <row r="649" spans="1:10" ht="13.8" thickBot="1">
      <c r="A649" s="517"/>
      <c r="B649" s="518" t="s">
        <v>12078</v>
      </c>
      <c r="C649" s="516"/>
      <c r="D649" s="514" t="s">
        <v>1598</v>
      </c>
      <c r="E649" s="515">
        <v>1</v>
      </c>
      <c r="F649" s="514"/>
      <c r="G649" s="515" t="s">
        <v>4970</v>
      </c>
      <c r="H649" s="514"/>
      <c r="I649" s="515"/>
      <c r="J649" s="515">
        <v>1</v>
      </c>
    </row>
    <row r="650" spans="1:10" ht="13.8" thickBot="1">
      <c r="A650" s="517"/>
      <c r="B650" s="518" t="s">
        <v>13182</v>
      </c>
      <c r="C650" s="516"/>
      <c r="D650" s="514" t="s">
        <v>1340</v>
      </c>
      <c r="E650" s="515">
        <v>5</v>
      </c>
      <c r="F650" s="518" t="s">
        <v>614</v>
      </c>
      <c r="G650" s="515" t="s">
        <v>2841</v>
      </c>
      <c r="H650" s="514" t="s">
        <v>1226</v>
      </c>
      <c r="I650" s="515"/>
      <c r="J650" s="515">
        <v>2</v>
      </c>
    </row>
    <row r="651" spans="1:10" ht="13.8" thickBot="1">
      <c r="A651" s="517"/>
      <c r="B651" s="518" t="s">
        <v>14069</v>
      </c>
      <c r="C651" s="516"/>
      <c r="D651" s="514" t="s">
        <v>14068</v>
      </c>
      <c r="E651" s="515">
        <v>2</v>
      </c>
      <c r="F651" s="514"/>
      <c r="G651" s="515" t="s">
        <v>1793</v>
      </c>
      <c r="H651" s="514"/>
      <c r="I651" s="515"/>
      <c r="J651" s="515">
        <v>2</v>
      </c>
    </row>
    <row r="652" spans="1:10" ht="13.8" thickBot="1">
      <c r="A652" s="517"/>
      <c r="B652" s="518" t="s">
        <v>14168</v>
      </c>
      <c r="C652" s="516"/>
      <c r="D652" s="514" t="s">
        <v>1902</v>
      </c>
      <c r="E652" s="515">
        <v>5.5</v>
      </c>
      <c r="F652" s="518" t="s">
        <v>614</v>
      </c>
      <c r="G652" s="515" t="s">
        <v>1793</v>
      </c>
      <c r="H652" s="514" t="s">
        <v>1226</v>
      </c>
      <c r="I652" s="515"/>
      <c r="J652" s="515">
        <v>1</v>
      </c>
    </row>
    <row r="653" spans="1:10" ht="13.8" thickBot="1">
      <c r="A653" s="517"/>
      <c r="B653" s="518" t="s">
        <v>14108</v>
      </c>
      <c r="C653" s="516"/>
      <c r="D653" s="514" t="s">
        <v>1792</v>
      </c>
      <c r="E653" s="515">
        <v>4.5</v>
      </c>
      <c r="F653" s="514"/>
      <c r="G653" s="515" t="s">
        <v>1793</v>
      </c>
      <c r="H653" s="514"/>
      <c r="I653" s="515"/>
      <c r="J653" s="515"/>
    </row>
    <row r="654" spans="1:10" ht="13.8" thickBot="1">
      <c r="A654" s="517"/>
      <c r="B654" s="518" t="s">
        <v>14227</v>
      </c>
      <c r="C654" s="516"/>
      <c r="D654" s="514" t="s">
        <v>14226</v>
      </c>
      <c r="E654" s="515">
        <v>6.5</v>
      </c>
      <c r="F654" s="518" t="s">
        <v>614</v>
      </c>
      <c r="G654" s="515" t="s">
        <v>1793</v>
      </c>
      <c r="H654" s="514" t="s">
        <v>1226</v>
      </c>
      <c r="I654" s="515"/>
      <c r="J654" s="515">
        <v>2</v>
      </c>
    </row>
    <row r="655" spans="1:10" ht="13.8" thickBot="1">
      <c r="A655" s="517"/>
      <c r="B655" s="518" t="s">
        <v>11717</v>
      </c>
      <c r="C655" s="516"/>
      <c r="D655" s="514" t="s">
        <v>11533</v>
      </c>
      <c r="E655" s="515"/>
      <c r="F655" s="514"/>
      <c r="G655" s="515" t="s">
        <v>11525</v>
      </c>
      <c r="H655" s="514"/>
      <c r="I655" s="515"/>
      <c r="J655" s="515"/>
    </row>
    <row r="656" spans="1:10" ht="13.8" thickBot="1">
      <c r="A656" s="517"/>
      <c r="B656" s="518" t="s">
        <v>13272</v>
      </c>
      <c r="C656" s="516"/>
      <c r="D656" s="514" t="s">
        <v>1300</v>
      </c>
      <c r="E656" s="515">
        <v>4</v>
      </c>
      <c r="F656" s="518" t="s">
        <v>614</v>
      </c>
      <c r="G656" s="515" t="s">
        <v>2523</v>
      </c>
      <c r="H656" s="514"/>
      <c r="I656" s="515"/>
      <c r="J656" s="515">
        <v>2</v>
      </c>
    </row>
    <row r="657" spans="1:10" ht="13.8" thickBot="1">
      <c r="A657" s="517"/>
      <c r="B657" s="518" t="s">
        <v>13904</v>
      </c>
      <c r="C657" s="516"/>
      <c r="D657" s="514" t="s">
        <v>13903</v>
      </c>
      <c r="E657" s="515">
        <v>6.25</v>
      </c>
      <c r="F657" s="518" t="s">
        <v>614</v>
      </c>
      <c r="G657" s="515" t="s">
        <v>2032</v>
      </c>
      <c r="H657" s="514" t="s">
        <v>1226</v>
      </c>
      <c r="I657" s="515">
        <v>1</v>
      </c>
      <c r="J657" s="515">
        <v>6</v>
      </c>
    </row>
    <row r="658" spans="1:10" ht="13.8" thickBot="1">
      <c r="A658" s="517"/>
      <c r="B658" s="518" t="s">
        <v>13608</v>
      </c>
      <c r="C658" s="516"/>
      <c r="D658" s="514" t="s">
        <v>13607</v>
      </c>
      <c r="E658" s="515">
        <v>7</v>
      </c>
      <c r="F658" s="518" t="s">
        <v>614</v>
      </c>
      <c r="G658" s="515" t="s">
        <v>2449</v>
      </c>
      <c r="H658" s="514" t="s">
        <v>1224</v>
      </c>
      <c r="I658" s="515"/>
      <c r="J658" s="515">
        <v>2</v>
      </c>
    </row>
    <row r="659" spans="1:10" ht="13.8" thickBot="1">
      <c r="A659" s="517"/>
      <c r="B659" s="518" t="s">
        <v>12494</v>
      </c>
      <c r="C659" s="516"/>
      <c r="D659" s="514" t="s">
        <v>3908</v>
      </c>
      <c r="E659" s="515">
        <v>7</v>
      </c>
      <c r="F659" s="514"/>
      <c r="G659" s="515" t="s">
        <v>3903</v>
      </c>
      <c r="H659" s="514"/>
      <c r="I659" s="515"/>
      <c r="J659" s="515">
        <v>1</v>
      </c>
    </row>
    <row r="660" spans="1:10" ht="13.8" thickBot="1">
      <c r="A660" s="517"/>
      <c r="B660" s="518" t="s">
        <v>11716</v>
      </c>
      <c r="C660" s="516"/>
      <c r="D660" s="514" t="s">
        <v>11533</v>
      </c>
      <c r="E660" s="515"/>
      <c r="F660" s="514"/>
      <c r="G660" s="515" t="s">
        <v>11525</v>
      </c>
      <c r="H660" s="514"/>
      <c r="I660" s="515"/>
      <c r="J660" s="515"/>
    </row>
    <row r="661" spans="1:10" ht="13.8" thickBot="1">
      <c r="A661" s="517"/>
      <c r="B661" s="518" t="s">
        <v>11989</v>
      </c>
      <c r="C661" s="516"/>
      <c r="D661" s="514" t="s">
        <v>11988</v>
      </c>
      <c r="E661" s="515">
        <v>6.3</v>
      </c>
      <c r="F661" s="518" t="s">
        <v>614</v>
      </c>
      <c r="G661" s="515" t="s">
        <v>5180</v>
      </c>
      <c r="H661" s="514" t="s">
        <v>1251</v>
      </c>
      <c r="I661" s="515">
        <v>1</v>
      </c>
      <c r="J661" s="515">
        <v>6</v>
      </c>
    </row>
    <row r="662" spans="1:10" ht="13.8" thickBot="1">
      <c r="A662" s="517"/>
      <c r="B662" s="518" t="s">
        <v>11715</v>
      </c>
      <c r="C662" s="516"/>
      <c r="D662" s="514" t="s">
        <v>11533</v>
      </c>
      <c r="E662" s="515"/>
      <c r="F662" s="514"/>
      <c r="G662" s="515" t="s">
        <v>11525</v>
      </c>
      <c r="H662" s="514"/>
      <c r="I662" s="515"/>
      <c r="J662" s="515"/>
    </row>
    <row r="663" spans="1:10" ht="13.8" thickBot="1">
      <c r="A663" s="517"/>
      <c r="B663" s="518" t="s">
        <v>12497</v>
      </c>
      <c r="C663" s="516"/>
      <c r="D663" s="514" t="s">
        <v>1507</v>
      </c>
      <c r="E663" s="515">
        <v>3.5</v>
      </c>
      <c r="F663" s="514"/>
      <c r="G663" s="515" t="s">
        <v>3856</v>
      </c>
      <c r="H663" s="514"/>
      <c r="I663" s="515"/>
      <c r="J663" s="515">
        <v>2</v>
      </c>
    </row>
    <row r="664" spans="1:10" ht="13.8" thickBot="1">
      <c r="A664" s="517"/>
      <c r="B664" s="514" t="s">
        <v>11714</v>
      </c>
      <c r="C664" s="516"/>
      <c r="D664" s="514" t="s">
        <v>11533</v>
      </c>
      <c r="E664" s="515">
        <v>2</v>
      </c>
      <c r="F664" s="514"/>
      <c r="G664" s="515" t="s">
        <v>11525</v>
      </c>
      <c r="H664" s="514"/>
      <c r="I664" s="515"/>
      <c r="J664" s="515">
        <v>1</v>
      </c>
    </row>
    <row r="665" spans="1:10" ht="13.8" thickBot="1">
      <c r="A665" s="517"/>
      <c r="B665" s="514" t="s">
        <v>11713</v>
      </c>
      <c r="C665" s="516"/>
      <c r="D665" s="514" t="s">
        <v>11533</v>
      </c>
      <c r="E665" s="515">
        <v>1</v>
      </c>
      <c r="F665" s="514"/>
      <c r="G665" s="515" t="s">
        <v>11525</v>
      </c>
      <c r="H665" s="514"/>
      <c r="I665" s="515"/>
      <c r="J665" s="515">
        <v>1</v>
      </c>
    </row>
    <row r="666" spans="1:10" ht="13.8" thickBot="1">
      <c r="A666" s="517"/>
      <c r="B666" s="514" t="s">
        <v>13954</v>
      </c>
      <c r="C666" s="516"/>
      <c r="D666" s="514" t="s">
        <v>13953</v>
      </c>
      <c r="E666" s="515">
        <v>2</v>
      </c>
      <c r="F666" s="518" t="s">
        <v>614</v>
      </c>
      <c r="G666" s="515" t="s">
        <v>1922</v>
      </c>
      <c r="H666" s="514"/>
      <c r="I666" s="515"/>
      <c r="J666" s="515">
        <v>1</v>
      </c>
    </row>
    <row r="667" spans="1:10" ht="13.8" thickBot="1">
      <c r="A667" s="517"/>
      <c r="B667" s="514" t="s">
        <v>12197</v>
      </c>
      <c r="C667" s="516"/>
      <c r="D667" s="514" t="s">
        <v>12196</v>
      </c>
      <c r="E667" s="515">
        <v>6.5</v>
      </c>
      <c r="F667" s="514"/>
      <c r="G667" s="515" t="s">
        <v>4789</v>
      </c>
      <c r="H667" s="514"/>
      <c r="I667" s="515"/>
      <c r="J667" s="515">
        <v>1</v>
      </c>
    </row>
    <row r="668" spans="1:10" ht="13.8" thickBot="1">
      <c r="A668" s="517"/>
      <c r="B668" s="514" t="s">
        <v>13963</v>
      </c>
      <c r="C668" s="516"/>
      <c r="D668" s="514" t="s">
        <v>13962</v>
      </c>
      <c r="E668" s="515">
        <v>5</v>
      </c>
      <c r="F668" s="514"/>
      <c r="G668" s="515" t="s">
        <v>1922</v>
      </c>
      <c r="H668" s="514"/>
      <c r="I668" s="515"/>
      <c r="J668" s="515">
        <v>1</v>
      </c>
    </row>
    <row r="669" spans="1:10" ht="13.8" thickBot="1">
      <c r="A669" s="517"/>
      <c r="B669" s="514" t="s">
        <v>12992</v>
      </c>
      <c r="C669" s="516"/>
      <c r="D669" s="514" t="s">
        <v>12991</v>
      </c>
      <c r="E669" s="515">
        <v>2</v>
      </c>
      <c r="F669" s="514"/>
      <c r="G669" s="515" t="s">
        <v>2957</v>
      </c>
      <c r="H669" s="514"/>
      <c r="I669" s="515"/>
      <c r="J669" s="515">
        <v>1</v>
      </c>
    </row>
    <row r="670" spans="1:10" ht="13.8" thickBot="1">
      <c r="A670" s="517"/>
      <c r="B670" s="514" t="s">
        <v>12610</v>
      </c>
      <c r="C670" s="516"/>
      <c r="D670" s="514" t="s">
        <v>12609</v>
      </c>
      <c r="E670" s="515">
        <v>4</v>
      </c>
      <c r="F670" s="518" t="s">
        <v>614</v>
      </c>
      <c r="G670" s="515" t="s">
        <v>3734</v>
      </c>
      <c r="H670" s="514"/>
      <c r="I670" s="515"/>
      <c r="J670" s="515">
        <v>1</v>
      </c>
    </row>
    <row r="671" spans="1:10" ht="13.8" thickBot="1">
      <c r="A671" s="517"/>
      <c r="B671" s="514" t="s">
        <v>12383</v>
      </c>
      <c r="C671" s="516"/>
      <c r="D671" s="514" t="s">
        <v>12382</v>
      </c>
      <c r="E671" s="515">
        <v>6.5</v>
      </c>
      <c r="F671" s="518" t="s">
        <v>614</v>
      </c>
      <c r="G671" s="515" t="s">
        <v>4160</v>
      </c>
      <c r="H671" s="514" t="s">
        <v>1226</v>
      </c>
      <c r="I671" s="515"/>
      <c r="J671" s="515">
        <v>1</v>
      </c>
    </row>
    <row r="672" spans="1:10" ht="13.8" thickBot="1">
      <c r="A672" s="517"/>
      <c r="B672" s="514" t="s">
        <v>11712</v>
      </c>
      <c r="C672" s="516"/>
      <c r="D672" s="514" t="s">
        <v>11533</v>
      </c>
      <c r="E672" s="515">
        <v>5</v>
      </c>
      <c r="F672" s="514"/>
      <c r="G672" s="515" t="s">
        <v>11525</v>
      </c>
      <c r="H672" s="514"/>
      <c r="I672" s="515"/>
      <c r="J672" s="515">
        <v>1</v>
      </c>
    </row>
    <row r="673" spans="1:10" ht="13.8" thickBot="1">
      <c r="A673" s="517"/>
      <c r="B673" s="514" t="s">
        <v>12215</v>
      </c>
      <c r="C673" s="516"/>
      <c r="D673" s="514" t="s">
        <v>12214</v>
      </c>
      <c r="E673" s="515">
        <v>4</v>
      </c>
      <c r="F673" s="514"/>
      <c r="G673" s="515" t="s">
        <v>4672</v>
      </c>
      <c r="H673" s="514"/>
      <c r="I673" s="515"/>
      <c r="J673" s="515">
        <v>1</v>
      </c>
    </row>
    <row r="674" spans="1:10" ht="13.8" thickBot="1">
      <c r="A674" s="517"/>
      <c r="B674" s="514" t="s">
        <v>11711</v>
      </c>
      <c r="C674" s="516"/>
      <c r="D674" s="514" t="s">
        <v>11533</v>
      </c>
      <c r="E674" s="515">
        <v>5</v>
      </c>
      <c r="F674" s="514"/>
      <c r="G674" s="515" t="s">
        <v>11525</v>
      </c>
      <c r="H674" s="514"/>
      <c r="I674" s="515"/>
      <c r="J674" s="515">
        <v>1</v>
      </c>
    </row>
    <row r="675" spans="1:10" ht="13.8" thickBot="1">
      <c r="A675" s="517"/>
      <c r="B675" s="514" t="s">
        <v>12324</v>
      </c>
      <c r="C675" s="516"/>
      <c r="D675" s="514" t="s">
        <v>12323</v>
      </c>
      <c r="E675" s="515">
        <v>6</v>
      </c>
      <c r="F675" s="518" t="s">
        <v>614</v>
      </c>
      <c r="G675" s="515" t="s">
        <v>4214</v>
      </c>
      <c r="H675" s="514"/>
      <c r="I675" s="515"/>
      <c r="J675" s="515">
        <v>1</v>
      </c>
    </row>
    <row r="676" spans="1:10" ht="13.8" thickBot="1">
      <c r="A676" s="517"/>
      <c r="B676" s="518" t="s">
        <v>13880</v>
      </c>
      <c r="C676" s="516"/>
      <c r="D676" s="514" t="s">
        <v>13879</v>
      </c>
      <c r="E676" s="515">
        <v>5.5</v>
      </c>
      <c r="F676" s="518" t="s">
        <v>614</v>
      </c>
      <c r="G676" s="515" t="s">
        <v>2032</v>
      </c>
      <c r="H676" s="514" t="s">
        <v>1226</v>
      </c>
      <c r="I676" s="515"/>
      <c r="J676" s="515">
        <v>14</v>
      </c>
    </row>
    <row r="677" spans="1:10" ht="13.8" thickBot="1">
      <c r="A677" s="517"/>
      <c r="B677" s="518" t="s">
        <v>12406</v>
      </c>
      <c r="C677" s="516"/>
      <c r="D677" s="514" t="s">
        <v>12405</v>
      </c>
      <c r="E677" s="515">
        <v>7</v>
      </c>
      <c r="F677" s="518" t="s">
        <v>614</v>
      </c>
      <c r="G677" s="515" t="s">
        <v>4134</v>
      </c>
      <c r="H677" s="514" t="s">
        <v>1224</v>
      </c>
      <c r="I677" s="515"/>
      <c r="J677" s="515">
        <v>4</v>
      </c>
    </row>
    <row r="678" spans="1:10" ht="13.8" thickBot="1">
      <c r="A678" s="517"/>
      <c r="B678" s="518" t="s">
        <v>12649</v>
      </c>
      <c r="C678" s="516"/>
      <c r="D678" s="514" t="s">
        <v>3750</v>
      </c>
      <c r="E678" s="515">
        <v>6.75</v>
      </c>
      <c r="F678" s="518" t="s">
        <v>1854</v>
      </c>
      <c r="G678" s="515" t="s">
        <v>3734</v>
      </c>
      <c r="H678" s="514"/>
      <c r="I678" s="515"/>
      <c r="J678" s="515">
        <v>2</v>
      </c>
    </row>
    <row r="679" spans="1:10" ht="13.8" thickBot="1">
      <c r="A679" s="517"/>
      <c r="B679" s="518" t="s">
        <v>13774</v>
      </c>
      <c r="C679" s="516"/>
      <c r="D679" s="514" t="s">
        <v>1270</v>
      </c>
      <c r="E679" s="515">
        <v>5</v>
      </c>
      <c r="F679" s="518" t="s">
        <v>1854</v>
      </c>
      <c r="G679" s="515" t="s">
        <v>2152</v>
      </c>
      <c r="H679" s="514" t="s">
        <v>1226</v>
      </c>
      <c r="I679" s="515"/>
      <c r="J679" s="515">
        <v>2</v>
      </c>
    </row>
    <row r="680" spans="1:10" ht="13.8" thickBot="1">
      <c r="A680" s="517"/>
      <c r="B680" s="518" t="s">
        <v>12044</v>
      </c>
      <c r="C680" s="516"/>
      <c r="D680" s="514" t="s">
        <v>12043</v>
      </c>
      <c r="E680" s="515">
        <v>6.3</v>
      </c>
      <c r="F680" s="518" t="s">
        <v>614</v>
      </c>
      <c r="G680" s="515" t="s">
        <v>5031</v>
      </c>
      <c r="H680" s="514" t="s">
        <v>1841</v>
      </c>
      <c r="I680" s="515"/>
      <c r="J680" s="515">
        <v>8</v>
      </c>
    </row>
    <row r="681" spans="1:10" ht="13.8" thickBot="1">
      <c r="A681" s="517"/>
      <c r="B681" s="518" t="s">
        <v>12570</v>
      </c>
      <c r="C681" s="516"/>
      <c r="D681" s="514" t="s">
        <v>12569</v>
      </c>
      <c r="E681" s="515">
        <v>5.75</v>
      </c>
      <c r="F681" s="518" t="s">
        <v>614</v>
      </c>
      <c r="G681" s="515" t="s">
        <v>3807</v>
      </c>
      <c r="H681" s="514" t="s">
        <v>1226</v>
      </c>
      <c r="I681" s="515"/>
      <c r="J681" s="515">
        <v>4</v>
      </c>
    </row>
    <row r="682" spans="1:10" ht="13.8" thickBot="1">
      <c r="A682" s="517"/>
      <c r="B682" s="518" t="s">
        <v>12033</v>
      </c>
      <c r="C682" s="516"/>
      <c r="D682" s="514" t="s">
        <v>5062</v>
      </c>
      <c r="E682" s="515">
        <v>6.75</v>
      </c>
      <c r="F682" s="518" t="s">
        <v>614</v>
      </c>
      <c r="G682" s="515" t="s">
        <v>5059</v>
      </c>
      <c r="H682" s="514" t="s">
        <v>1251</v>
      </c>
      <c r="I682" s="515">
        <v>1</v>
      </c>
      <c r="J682" s="515">
        <v>10</v>
      </c>
    </row>
    <row r="683" spans="1:10" ht="13.8" thickBot="1">
      <c r="A683" s="517"/>
      <c r="B683" s="518" t="s">
        <v>11710</v>
      </c>
      <c r="C683" s="516"/>
      <c r="D683" s="514" t="s">
        <v>11533</v>
      </c>
      <c r="E683" s="515">
        <v>2</v>
      </c>
      <c r="F683" s="518" t="s">
        <v>1854</v>
      </c>
      <c r="G683" s="515" t="s">
        <v>11525</v>
      </c>
      <c r="H683" s="514"/>
      <c r="I683" s="515"/>
      <c r="J683" s="515"/>
    </row>
    <row r="684" spans="1:10" ht="13.8" thickBot="1">
      <c r="A684" s="517"/>
      <c r="B684" s="518" t="s">
        <v>13625</v>
      </c>
      <c r="C684" s="516"/>
      <c r="D684" s="514" t="s">
        <v>13624</v>
      </c>
      <c r="E684" s="515">
        <v>5</v>
      </c>
      <c r="F684" s="518" t="s">
        <v>614</v>
      </c>
      <c r="G684" s="515" t="s">
        <v>2289</v>
      </c>
      <c r="H684" s="514"/>
      <c r="I684" s="515"/>
      <c r="J684" s="515">
        <v>1</v>
      </c>
    </row>
    <row r="685" spans="1:10" ht="13.8" thickBot="1">
      <c r="A685" s="517"/>
      <c r="B685" s="518" t="s">
        <v>13529</v>
      </c>
      <c r="C685" s="516"/>
      <c r="D685" s="514" t="s">
        <v>2551</v>
      </c>
      <c r="E685" s="515">
        <v>6.8</v>
      </c>
      <c r="F685" s="518" t="s">
        <v>614</v>
      </c>
      <c r="G685" s="515" t="s">
        <v>2523</v>
      </c>
      <c r="H685" s="514" t="s">
        <v>1226</v>
      </c>
      <c r="I685" s="515"/>
      <c r="J685" s="515">
        <v>5</v>
      </c>
    </row>
    <row r="686" spans="1:10" ht="13.8" thickBot="1">
      <c r="A686" s="517"/>
      <c r="B686" s="518" t="s">
        <v>14019</v>
      </c>
      <c r="C686" s="516"/>
      <c r="D686" s="514" t="s">
        <v>13991</v>
      </c>
      <c r="E686" s="515">
        <v>1</v>
      </c>
      <c r="F686" s="518" t="s">
        <v>1854</v>
      </c>
      <c r="G686" s="515" t="s">
        <v>1793</v>
      </c>
      <c r="H686" s="514"/>
      <c r="I686" s="515"/>
      <c r="J686" s="515"/>
    </row>
    <row r="687" spans="1:10" ht="13.8" thickBot="1">
      <c r="A687" s="517"/>
      <c r="B687" s="518" t="s">
        <v>14018</v>
      </c>
      <c r="C687" s="516"/>
      <c r="D687" s="514" t="s">
        <v>13991</v>
      </c>
      <c r="E687" s="515">
        <v>1</v>
      </c>
      <c r="F687" s="518" t="s">
        <v>1854</v>
      </c>
      <c r="G687" s="515" t="s">
        <v>1793</v>
      </c>
      <c r="H687" s="514"/>
      <c r="I687" s="515"/>
      <c r="J687" s="515"/>
    </row>
    <row r="688" spans="1:10" ht="13.8" thickBot="1">
      <c r="A688" s="517"/>
      <c r="B688" s="518" t="s">
        <v>11996</v>
      </c>
      <c r="C688" s="516"/>
      <c r="D688" s="514" t="s">
        <v>11995</v>
      </c>
      <c r="E688" s="515">
        <v>6.5</v>
      </c>
      <c r="F688" s="518" t="s">
        <v>614</v>
      </c>
      <c r="G688" s="515" t="s">
        <v>5155</v>
      </c>
      <c r="H688" s="514" t="s">
        <v>1226</v>
      </c>
      <c r="I688" s="515">
        <v>1</v>
      </c>
      <c r="J688" s="515">
        <v>3</v>
      </c>
    </row>
    <row r="689" spans="1:10" ht="13.8" thickBot="1">
      <c r="A689" s="517"/>
      <c r="B689" s="518" t="s">
        <v>12137</v>
      </c>
      <c r="C689" s="516"/>
      <c r="D689" s="514" t="s">
        <v>12136</v>
      </c>
      <c r="E689" s="515">
        <v>6.5</v>
      </c>
      <c r="F689" s="518" t="s">
        <v>1854</v>
      </c>
      <c r="G689" s="515" t="s">
        <v>4970</v>
      </c>
      <c r="H689" s="514" t="s">
        <v>1224</v>
      </c>
      <c r="I689" s="515"/>
      <c r="J689" s="515">
        <v>1</v>
      </c>
    </row>
    <row r="690" spans="1:10" ht="13.8" thickBot="1">
      <c r="A690" s="517"/>
      <c r="B690" s="518" t="s">
        <v>12611</v>
      </c>
      <c r="C690" s="516"/>
      <c r="D690" s="514" t="s">
        <v>1480</v>
      </c>
      <c r="E690" s="515">
        <v>4.5</v>
      </c>
      <c r="F690" s="518" t="s">
        <v>1854</v>
      </c>
      <c r="G690" s="515" t="s">
        <v>3734</v>
      </c>
      <c r="H690" s="514" t="s">
        <v>1224</v>
      </c>
      <c r="I690" s="515"/>
      <c r="J690" s="515">
        <v>1</v>
      </c>
    </row>
    <row r="691" spans="1:10" ht="13.8" thickBot="1">
      <c r="A691" s="517"/>
      <c r="B691" s="518" t="s">
        <v>11709</v>
      </c>
      <c r="C691" s="516"/>
      <c r="D691" s="514" t="s">
        <v>11533</v>
      </c>
      <c r="E691" s="515">
        <v>5</v>
      </c>
      <c r="F691" s="518" t="s">
        <v>1854</v>
      </c>
      <c r="G691" s="515" t="s">
        <v>11525</v>
      </c>
      <c r="H691" s="514"/>
      <c r="I691" s="515"/>
      <c r="J691" s="515"/>
    </row>
    <row r="692" spans="1:10" ht="13.8" thickBot="1">
      <c r="A692" s="517"/>
      <c r="B692" s="518" t="s">
        <v>11708</v>
      </c>
      <c r="C692" s="516"/>
      <c r="D692" s="514" t="s">
        <v>11533</v>
      </c>
      <c r="E692" s="515">
        <v>5</v>
      </c>
      <c r="F692" s="518" t="s">
        <v>1854</v>
      </c>
      <c r="G692" s="515" t="s">
        <v>11525</v>
      </c>
      <c r="H692" s="514"/>
      <c r="I692" s="515"/>
      <c r="J692" s="515"/>
    </row>
    <row r="693" spans="1:10" ht="13.8" thickBot="1">
      <c r="A693" s="517"/>
      <c r="B693" s="518" t="s">
        <v>12225</v>
      </c>
      <c r="C693" s="516"/>
      <c r="D693" s="514" t="s">
        <v>12224</v>
      </c>
      <c r="E693" s="515">
        <v>6.5</v>
      </c>
      <c r="F693" s="518" t="s">
        <v>614</v>
      </c>
      <c r="G693" s="515" t="s">
        <v>4672</v>
      </c>
      <c r="H693" s="514" t="s">
        <v>1226</v>
      </c>
      <c r="I693" s="515"/>
      <c r="J693" s="515">
        <v>5</v>
      </c>
    </row>
    <row r="694" spans="1:10" ht="13.8" thickBot="1">
      <c r="A694" s="517"/>
      <c r="B694" s="518" t="s">
        <v>13554</v>
      </c>
      <c r="C694" s="516"/>
      <c r="D694" s="519" t="s">
        <v>13553</v>
      </c>
      <c r="E694" s="515">
        <v>7.25</v>
      </c>
      <c r="F694" s="518" t="s">
        <v>614</v>
      </c>
      <c r="G694" s="515" t="s">
        <v>2523</v>
      </c>
      <c r="H694" s="514" t="s">
        <v>1226</v>
      </c>
      <c r="I694" s="515">
        <v>1</v>
      </c>
      <c r="J694" s="515">
        <v>4</v>
      </c>
    </row>
    <row r="695" spans="1:10" ht="13.8" thickBot="1">
      <c r="A695" s="517"/>
      <c r="B695" s="518" t="s">
        <v>13532</v>
      </c>
      <c r="C695" s="516"/>
      <c r="D695" s="514" t="s">
        <v>1300</v>
      </c>
      <c r="E695" s="515">
        <v>7</v>
      </c>
      <c r="F695" s="518" t="s">
        <v>614</v>
      </c>
      <c r="G695" s="515" t="s">
        <v>2523</v>
      </c>
      <c r="H695" s="514"/>
      <c r="I695" s="515"/>
      <c r="J695" s="515">
        <v>1</v>
      </c>
    </row>
    <row r="696" spans="1:10" ht="13.8" thickBot="1">
      <c r="A696" s="517"/>
      <c r="B696" s="518" t="s">
        <v>14214</v>
      </c>
      <c r="C696" s="516"/>
      <c r="D696" s="514" t="s">
        <v>14213</v>
      </c>
      <c r="E696" s="515">
        <v>6.5</v>
      </c>
      <c r="F696" s="514"/>
      <c r="G696" s="515" t="s">
        <v>1793</v>
      </c>
      <c r="H696" s="514"/>
      <c r="I696" s="515"/>
      <c r="J696" s="515"/>
    </row>
    <row r="697" spans="1:10" ht="13.8" thickBot="1">
      <c r="A697" s="517"/>
      <c r="B697" s="518" t="s">
        <v>12389</v>
      </c>
      <c r="C697" s="516"/>
      <c r="D697" s="514" t="s">
        <v>12388</v>
      </c>
      <c r="E697" s="515">
        <v>7.75</v>
      </c>
      <c r="F697" s="518" t="s">
        <v>1854</v>
      </c>
      <c r="G697" s="515" t="s">
        <v>4160</v>
      </c>
      <c r="H697" s="514" t="s">
        <v>1251</v>
      </c>
      <c r="I697" s="515"/>
      <c r="J697" s="515">
        <v>3</v>
      </c>
    </row>
    <row r="698" spans="1:10" ht="13.8" thickBot="1">
      <c r="A698" s="517"/>
      <c r="B698" s="518" t="s">
        <v>14281</v>
      </c>
      <c r="C698" s="516"/>
      <c r="D698" s="514" t="s">
        <v>14280</v>
      </c>
      <c r="E698" s="515">
        <v>7.1</v>
      </c>
      <c r="F698" s="518" t="s">
        <v>614</v>
      </c>
      <c r="G698" s="515" t="s">
        <v>1793</v>
      </c>
      <c r="H698" s="514" t="s">
        <v>1251</v>
      </c>
      <c r="I698" s="515">
        <v>2</v>
      </c>
      <c r="J698" s="515">
        <v>6</v>
      </c>
    </row>
    <row r="699" spans="1:10" ht="13.8" thickBot="1">
      <c r="A699" s="517"/>
      <c r="B699" s="518" t="s">
        <v>13908</v>
      </c>
      <c r="C699" s="516"/>
      <c r="D699" s="514" t="s">
        <v>13907</v>
      </c>
      <c r="E699" s="515">
        <v>6.5</v>
      </c>
      <c r="F699" s="518" t="s">
        <v>1854</v>
      </c>
      <c r="G699" s="515" t="s">
        <v>2032</v>
      </c>
      <c r="H699" s="514"/>
      <c r="I699" s="515"/>
      <c r="J699" s="515">
        <v>1</v>
      </c>
    </row>
    <row r="700" spans="1:10" ht="13.8" thickBot="1">
      <c r="A700" s="517"/>
      <c r="B700" s="518" t="s">
        <v>13678</v>
      </c>
      <c r="C700" s="516"/>
      <c r="D700" s="514" t="s">
        <v>13677</v>
      </c>
      <c r="E700" s="515">
        <v>6.3</v>
      </c>
      <c r="F700" s="518" t="s">
        <v>614</v>
      </c>
      <c r="G700" s="515" t="s">
        <v>2289</v>
      </c>
      <c r="H700" s="514" t="s">
        <v>1226</v>
      </c>
      <c r="I700" s="515">
        <v>1</v>
      </c>
      <c r="J700" s="515">
        <v>6</v>
      </c>
    </row>
    <row r="701" spans="1:10" ht="13.8" thickBot="1">
      <c r="A701" s="517"/>
      <c r="B701" s="518" t="s">
        <v>12773</v>
      </c>
      <c r="C701" s="516"/>
      <c r="D701" s="514" t="s">
        <v>12772</v>
      </c>
      <c r="E701" s="515">
        <v>6.3</v>
      </c>
      <c r="F701" s="518" t="s">
        <v>1854</v>
      </c>
      <c r="G701" s="515" t="s">
        <v>3517</v>
      </c>
      <c r="H701" s="514" t="s">
        <v>1224</v>
      </c>
      <c r="I701" s="515"/>
      <c r="J701" s="515">
        <v>1</v>
      </c>
    </row>
    <row r="702" spans="1:10" ht="13.8" thickBot="1">
      <c r="A702" s="517"/>
      <c r="B702" s="518" t="s">
        <v>11707</v>
      </c>
      <c r="C702" s="516"/>
      <c r="D702" s="514" t="s">
        <v>11706</v>
      </c>
      <c r="E702" s="515">
        <v>4</v>
      </c>
      <c r="F702" s="518" t="s">
        <v>1854</v>
      </c>
      <c r="G702" s="515" t="s">
        <v>11525</v>
      </c>
      <c r="H702" s="514"/>
      <c r="I702" s="515"/>
      <c r="J702" s="515"/>
    </row>
    <row r="703" spans="1:10" ht="13.8" thickBot="1">
      <c r="A703" s="517"/>
      <c r="B703" s="518" t="s">
        <v>12814</v>
      </c>
      <c r="C703" s="516"/>
      <c r="D703" s="514" t="s">
        <v>12813</v>
      </c>
      <c r="E703" s="515">
        <v>7</v>
      </c>
      <c r="F703" s="518" t="s">
        <v>614</v>
      </c>
      <c r="G703" s="515" t="s">
        <v>3517</v>
      </c>
      <c r="H703" s="514" t="s">
        <v>1251</v>
      </c>
      <c r="I703" s="515">
        <v>1</v>
      </c>
      <c r="J703" s="515">
        <v>7</v>
      </c>
    </row>
    <row r="704" spans="1:10" ht="13.8" thickBot="1">
      <c r="A704" s="517"/>
      <c r="B704" s="518" t="s">
        <v>13667</v>
      </c>
      <c r="C704" s="516"/>
      <c r="D704" s="520" t="s">
        <v>13666</v>
      </c>
      <c r="E704" s="521">
        <v>6.25</v>
      </c>
      <c r="F704" s="518" t="s">
        <v>1854</v>
      </c>
      <c r="G704" s="515" t="s">
        <v>2289</v>
      </c>
      <c r="H704" s="514"/>
      <c r="I704" s="521"/>
      <c r="J704" s="521">
        <v>1</v>
      </c>
    </row>
    <row r="705" spans="1:10" ht="13.8" thickBot="1">
      <c r="A705" s="517"/>
      <c r="B705" s="518" t="s">
        <v>13361</v>
      </c>
      <c r="C705" s="516"/>
      <c r="D705" s="514" t="s">
        <v>13360</v>
      </c>
      <c r="E705" s="515">
        <v>5.5</v>
      </c>
      <c r="F705" s="518" t="s">
        <v>614</v>
      </c>
      <c r="G705" s="515" t="s">
        <v>2523</v>
      </c>
      <c r="H705" s="514"/>
      <c r="I705" s="515"/>
      <c r="J705" s="515">
        <v>2</v>
      </c>
    </row>
    <row r="706" spans="1:10" ht="13.8" thickBot="1">
      <c r="A706" s="517"/>
      <c r="B706" s="518" t="s">
        <v>12038</v>
      </c>
      <c r="C706" s="516"/>
      <c r="D706" s="514" t="s">
        <v>5044</v>
      </c>
      <c r="E706" s="515">
        <v>6.75</v>
      </c>
      <c r="F706" s="518" t="s">
        <v>614</v>
      </c>
      <c r="G706" s="515" t="s">
        <v>5042</v>
      </c>
      <c r="H706" s="514" t="s">
        <v>1226</v>
      </c>
      <c r="I706" s="515"/>
      <c r="J706" s="515">
        <v>7</v>
      </c>
    </row>
    <row r="707" spans="1:10" ht="13.8" thickBot="1">
      <c r="A707" s="517"/>
      <c r="B707" s="518" t="s">
        <v>13931</v>
      </c>
      <c r="C707" s="516"/>
      <c r="D707" s="514" t="s">
        <v>13930</v>
      </c>
      <c r="E707" s="515">
        <v>7</v>
      </c>
      <c r="F707" s="518" t="s">
        <v>1854</v>
      </c>
      <c r="G707" s="515" t="s">
        <v>2032</v>
      </c>
      <c r="H707" s="514" t="s">
        <v>1224</v>
      </c>
      <c r="I707" s="515"/>
      <c r="J707" s="522">
        <v>2</v>
      </c>
    </row>
    <row r="708" spans="1:10" ht="13.8" thickBot="1">
      <c r="A708" s="517"/>
      <c r="B708" s="518" t="s">
        <v>13600</v>
      </c>
      <c r="C708" s="516"/>
      <c r="D708" s="514" t="s">
        <v>13599</v>
      </c>
      <c r="E708" s="515">
        <v>6.7</v>
      </c>
      <c r="F708" s="518" t="s">
        <v>614</v>
      </c>
      <c r="G708" s="515" t="s">
        <v>2449</v>
      </c>
      <c r="H708" s="514" t="s">
        <v>1251</v>
      </c>
      <c r="I708" s="515"/>
      <c r="J708" s="515">
        <v>8</v>
      </c>
    </row>
    <row r="709" spans="1:10" ht="13.8" thickBot="1">
      <c r="A709" s="517"/>
      <c r="B709" s="518" t="s">
        <v>12867</v>
      </c>
      <c r="C709" s="516"/>
      <c r="D709" s="514" t="s">
        <v>3421</v>
      </c>
      <c r="E709" s="515">
        <v>6.5</v>
      </c>
      <c r="F709" s="518" t="s">
        <v>1854</v>
      </c>
      <c r="G709" s="515" t="s">
        <v>3414</v>
      </c>
      <c r="H709" s="514"/>
      <c r="I709" s="515"/>
      <c r="J709" s="515"/>
    </row>
    <row r="710" spans="1:10" ht="13.8" thickBot="1">
      <c r="A710" s="517"/>
      <c r="B710" s="518" t="s">
        <v>12209</v>
      </c>
      <c r="C710" s="516"/>
      <c r="D710" s="514" t="s">
        <v>12208</v>
      </c>
      <c r="E710" s="515">
        <v>6.8</v>
      </c>
      <c r="F710" s="518" t="s">
        <v>614</v>
      </c>
      <c r="G710" s="515" t="s">
        <v>4717</v>
      </c>
      <c r="H710" s="514" t="s">
        <v>1251</v>
      </c>
      <c r="I710" s="515"/>
      <c r="J710" s="515">
        <v>5</v>
      </c>
    </row>
    <row r="711" spans="1:10" ht="13.8" thickBot="1">
      <c r="A711" s="517"/>
      <c r="B711" s="518" t="s">
        <v>12729</v>
      </c>
      <c r="C711" s="516"/>
      <c r="D711" s="514" t="s">
        <v>12728</v>
      </c>
      <c r="E711" s="515">
        <v>5</v>
      </c>
      <c r="F711" s="518" t="s">
        <v>1854</v>
      </c>
      <c r="G711" s="515" t="s">
        <v>3517</v>
      </c>
      <c r="H711" s="514" t="s">
        <v>1224</v>
      </c>
      <c r="I711" s="515"/>
      <c r="J711" s="515">
        <v>1</v>
      </c>
    </row>
    <row r="712" spans="1:10" ht="13.8" thickBot="1">
      <c r="A712" s="517"/>
      <c r="B712" s="518" t="s">
        <v>11839</v>
      </c>
      <c r="C712" s="516"/>
      <c r="D712" s="514" t="s">
        <v>11838</v>
      </c>
      <c r="E712" s="515">
        <v>7.2</v>
      </c>
      <c r="F712" s="518" t="s">
        <v>614</v>
      </c>
      <c r="G712" s="515" t="s">
        <v>5319</v>
      </c>
      <c r="H712" s="514" t="s">
        <v>1226</v>
      </c>
      <c r="I712" s="515"/>
      <c r="J712" s="515">
        <v>2</v>
      </c>
    </row>
    <row r="713" spans="1:10" ht="13.8" thickBot="1">
      <c r="A713" s="517"/>
      <c r="B713" s="518" t="s">
        <v>12883</v>
      </c>
      <c r="C713" s="516"/>
      <c r="D713" s="514" t="s">
        <v>12882</v>
      </c>
      <c r="E713" s="515">
        <v>6.5</v>
      </c>
      <c r="F713" s="518" t="s">
        <v>614</v>
      </c>
      <c r="G713" s="515" t="s">
        <v>3351</v>
      </c>
      <c r="H713" s="514"/>
      <c r="I713" s="515"/>
      <c r="J713" s="515">
        <v>1</v>
      </c>
    </row>
    <row r="714" spans="1:10" ht="13.8" thickBot="1">
      <c r="A714" s="517"/>
      <c r="B714" s="518" t="s">
        <v>13812</v>
      </c>
      <c r="C714" s="516"/>
      <c r="D714" s="514" t="s">
        <v>13811</v>
      </c>
      <c r="E714" s="515">
        <v>6.3</v>
      </c>
      <c r="F714" s="518" t="s">
        <v>614</v>
      </c>
      <c r="G714" s="515" t="s">
        <v>2152</v>
      </c>
      <c r="H714" s="514" t="s">
        <v>1226</v>
      </c>
      <c r="I714" s="515"/>
      <c r="J714" s="515">
        <v>6</v>
      </c>
    </row>
    <row r="715" spans="1:10" ht="13.8" thickBot="1">
      <c r="A715" s="517"/>
      <c r="B715" s="518" t="s">
        <v>12763</v>
      </c>
      <c r="C715" s="516"/>
      <c r="D715" s="514" t="s">
        <v>12762</v>
      </c>
      <c r="E715" s="515">
        <v>6.25</v>
      </c>
      <c r="F715" s="518" t="s">
        <v>614</v>
      </c>
      <c r="G715" s="515" t="s">
        <v>3517</v>
      </c>
      <c r="H715" s="514" t="s">
        <v>1226</v>
      </c>
      <c r="I715" s="515"/>
      <c r="J715" s="515">
        <v>2</v>
      </c>
    </row>
    <row r="716" spans="1:10" ht="13.8" thickBot="1">
      <c r="A716" s="517"/>
      <c r="B716" s="518" t="s">
        <v>11705</v>
      </c>
      <c r="C716" s="516"/>
      <c r="D716" s="514" t="s">
        <v>11704</v>
      </c>
      <c r="E716" s="515">
        <v>7</v>
      </c>
      <c r="F716" s="514"/>
      <c r="G716" s="515" t="s">
        <v>11525</v>
      </c>
      <c r="H716" s="514"/>
      <c r="I716" s="515"/>
      <c r="J716" s="515"/>
    </row>
    <row r="717" spans="1:10" ht="13.8" thickBot="1">
      <c r="A717" s="517"/>
      <c r="B717" s="518" t="s">
        <v>13566</v>
      </c>
      <c r="C717" s="516"/>
      <c r="D717" s="514" t="s">
        <v>13565</v>
      </c>
      <c r="E717" s="515">
        <v>7.75</v>
      </c>
      <c r="F717" s="518" t="s">
        <v>13564</v>
      </c>
      <c r="G717" s="515" t="s">
        <v>2523</v>
      </c>
      <c r="H717" s="514"/>
      <c r="I717" s="515"/>
      <c r="J717" s="515"/>
    </row>
    <row r="718" spans="1:10" ht="13.8" thickBot="1">
      <c r="A718" s="517"/>
      <c r="B718" s="518" t="s">
        <v>11983</v>
      </c>
      <c r="C718" s="516"/>
      <c r="D718" s="514" t="s">
        <v>11982</v>
      </c>
      <c r="E718" s="515">
        <v>6.25</v>
      </c>
      <c r="F718" s="518" t="s">
        <v>614</v>
      </c>
      <c r="G718" s="515" t="s">
        <v>5180</v>
      </c>
      <c r="H718" s="514"/>
      <c r="I718" s="515"/>
      <c r="J718" s="515">
        <v>4</v>
      </c>
    </row>
    <row r="719" spans="1:10" ht="13.8" thickBot="1">
      <c r="A719" s="517"/>
      <c r="B719" s="518" t="s">
        <v>13075</v>
      </c>
      <c r="C719" s="516"/>
      <c r="D719" s="514" t="s">
        <v>1576</v>
      </c>
      <c r="E719" s="515">
        <v>5.5</v>
      </c>
      <c r="F719" s="514"/>
      <c r="G719" s="515" t="s">
        <v>2957</v>
      </c>
      <c r="H719" s="514" t="s">
        <v>1224</v>
      </c>
      <c r="I719" s="515"/>
      <c r="J719" s="515">
        <v>5</v>
      </c>
    </row>
    <row r="720" spans="1:10" ht="13.8" thickBot="1">
      <c r="A720" s="517"/>
      <c r="B720" s="518" t="s">
        <v>14212</v>
      </c>
      <c r="C720" s="516"/>
      <c r="D720" s="514" t="s">
        <v>14211</v>
      </c>
      <c r="E720" s="515">
        <v>6.5</v>
      </c>
      <c r="F720" s="514"/>
      <c r="G720" s="515" t="s">
        <v>1793</v>
      </c>
      <c r="H720" s="514"/>
      <c r="I720" s="515"/>
      <c r="J720" s="515"/>
    </row>
    <row r="721" spans="1:10" ht="13.8" thickBot="1">
      <c r="A721" s="517"/>
      <c r="B721" s="518" t="s">
        <v>13729</v>
      </c>
      <c r="C721" s="516"/>
      <c r="D721" s="514" t="s">
        <v>13728</v>
      </c>
      <c r="E721" s="515">
        <v>7.25</v>
      </c>
      <c r="F721" s="514"/>
      <c r="G721" s="515" t="s">
        <v>2289</v>
      </c>
      <c r="H721" s="514"/>
      <c r="I721" s="515"/>
      <c r="J721" s="515">
        <v>1</v>
      </c>
    </row>
    <row r="722" spans="1:10" ht="13.8" thickBot="1">
      <c r="A722" s="517"/>
      <c r="B722" s="518" t="s">
        <v>12821</v>
      </c>
      <c r="C722" s="516"/>
      <c r="D722" s="514" t="s">
        <v>3579</v>
      </c>
      <c r="E722" s="515">
        <v>7.25</v>
      </c>
      <c r="F722" s="514"/>
      <c r="G722" s="515" t="s">
        <v>3517</v>
      </c>
      <c r="H722" s="514"/>
      <c r="I722" s="515"/>
      <c r="J722" s="515"/>
    </row>
    <row r="723" spans="1:10" ht="13.8" thickBot="1">
      <c r="A723" s="517"/>
      <c r="B723" s="518" t="s">
        <v>12800</v>
      </c>
      <c r="C723" s="516"/>
      <c r="D723" s="514" t="s">
        <v>12799</v>
      </c>
      <c r="E723" s="515">
        <v>6.8</v>
      </c>
      <c r="F723" s="518" t="s">
        <v>1854</v>
      </c>
      <c r="G723" s="515" t="s">
        <v>3517</v>
      </c>
      <c r="H723" s="514" t="s">
        <v>1226</v>
      </c>
      <c r="I723" s="515"/>
      <c r="J723" s="515">
        <v>5</v>
      </c>
    </row>
    <row r="724" spans="1:10" ht="13.8" thickBot="1">
      <c r="A724" s="517"/>
      <c r="B724" s="514" t="s">
        <v>13422</v>
      </c>
      <c r="C724" s="516"/>
      <c r="D724" s="514" t="s">
        <v>13421</v>
      </c>
      <c r="E724" s="515">
        <v>6</v>
      </c>
      <c r="F724" s="518" t="s">
        <v>614</v>
      </c>
      <c r="G724" s="515" t="s">
        <v>2523</v>
      </c>
      <c r="H724" s="514" t="s">
        <v>1226</v>
      </c>
      <c r="I724" s="515"/>
      <c r="J724" s="515">
        <v>1</v>
      </c>
    </row>
    <row r="725" spans="1:10" ht="13.8" thickBot="1">
      <c r="A725" s="517"/>
      <c r="B725" s="518" t="s">
        <v>13445</v>
      </c>
      <c r="C725" s="516"/>
      <c r="D725" s="514" t="s">
        <v>13444</v>
      </c>
      <c r="E725" s="515">
        <v>6.25</v>
      </c>
      <c r="F725" s="518" t="s">
        <v>614</v>
      </c>
      <c r="G725" s="515" t="s">
        <v>2523</v>
      </c>
      <c r="H725" s="514" t="s">
        <v>1224</v>
      </c>
      <c r="I725" s="515"/>
      <c r="J725" s="515">
        <v>2</v>
      </c>
    </row>
    <row r="726" spans="1:10" ht="13.8" thickBot="1">
      <c r="A726" s="517"/>
      <c r="B726" s="518" t="s">
        <v>13941</v>
      </c>
      <c r="C726" s="516"/>
      <c r="D726" s="514" t="s">
        <v>1752</v>
      </c>
      <c r="E726" s="515">
        <v>5.5</v>
      </c>
      <c r="F726" s="518" t="s">
        <v>614</v>
      </c>
      <c r="G726" s="515" t="s">
        <v>1997</v>
      </c>
      <c r="H726" s="514" t="s">
        <v>1226</v>
      </c>
      <c r="I726" s="515"/>
      <c r="J726" s="515">
        <v>2</v>
      </c>
    </row>
    <row r="727" spans="1:10" ht="13.8" thickBot="1">
      <c r="A727" s="517"/>
      <c r="B727" s="518" t="s">
        <v>13694</v>
      </c>
      <c r="C727" s="516"/>
      <c r="D727" s="514" t="s">
        <v>13693</v>
      </c>
      <c r="E727" s="515">
        <v>6.7</v>
      </c>
      <c r="F727" s="518" t="s">
        <v>614</v>
      </c>
      <c r="G727" s="515" t="s">
        <v>2289</v>
      </c>
      <c r="H727" s="514" t="s">
        <v>1251</v>
      </c>
      <c r="I727" s="515"/>
      <c r="J727" s="515">
        <v>7</v>
      </c>
    </row>
    <row r="728" spans="1:10" ht="13.8" thickBot="1">
      <c r="A728" s="517"/>
      <c r="B728" s="518" t="s">
        <v>13207</v>
      </c>
      <c r="C728" s="516"/>
      <c r="D728" s="514" t="s">
        <v>2837</v>
      </c>
      <c r="E728" s="515">
        <v>5.5</v>
      </c>
      <c r="F728" s="518" t="s">
        <v>614</v>
      </c>
      <c r="G728" s="515" t="s">
        <v>2797</v>
      </c>
      <c r="H728" s="514" t="s">
        <v>1226</v>
      </c>
      <c r="I728" s="515"/>
      <c r="J728" s="515">
        <v>2</v>
      </c>
    </row>
    <row r="729" spans="1:10" ht="13.8" thickBot="1">
      <c r="A729" s="517"/>
      <c r="B729" s="518" t="s">
        <v>13397</v>
      </c>
      <c r="C729" s="516"/>
      <c r="D729" s="519" t="s">
        <v>13396</v>
      </c>
      <c r="E729" s="515">
        <v>5.75</v>
      </c>
      <c r="F729" s="518" t="s">
        <v>614</v>
      </c>
      <c r="G729" s="515" t="s">
        <v>2523</v>
      </c>
      <c r="H729" s="514" t="s">
        <v>1226</v>
      </c>
      <c r="I729" s="515"/>
      <c r="J729" s="515">
        <v>5</v>
      </c>
    </row>
    <row r="730" spans="1:10" ht="13.8" thickBot="1">
      <c r="A730" s="517"/>
      <c r="B730" s="518" t="s">
        <v>11885</v>
      </c>
      <c r="C730" s="516"/>
      <c r="D730" s="514" t="s">
        <v>5272</v>
      </c>
      <c r="E730" s="515">
        <v>5.5</v>
      </c>
      <c r="F730" s="518" t="s">
        <v>614</v>
      </c>
      <c r="G730" s="515" t="s">
        <v>5269</v>
      </c>
      <c r="H730" s="514" t="s">
        <v>1226</v>
      </c>
      <c r="I730" s="515"/>
      <c r="J730" s="515">
        <v>2</v>
      </c>
    </row>
    <row r="731" spans="1:10" ht="13.8" thickBot="1">
      <c r="A731" s="517"/>
      <c r="B731" s="518" t="s">
        <v>14079</v>
      </c>
      <c r="C731" s="516"/>
      <c r="D731" s="514" t="s">
        <v>1874</v>
      </c>
      <c r="E731" s="515">
        <v>3</v>
      </c>
      <c r="F731" s="514"/>
      <c r="G731" s="515" t="s">
        <v>1793</v>
      </c>
      <c r="H731" s="514"/>
      <c r="I731" s="515"/>
      <c r="J731" s="515">
        <v>1</v>
      </c>
    </row>
    <row r="732" spans="1:10" ht="13.8" thickBot="1">
      <c r="A732" s="517"/>
      <c r="B732" s="518" t="s">
        <v>13580</v>
      </c>
      <c r="C732" s="516"/>
      <c r="D732" s="514" t="s">
        <v>13579</v>
      </c>
      <c r="E732" s="515">
        <v>5</v>
      </c>
      <c r="F732" s="514"/>
      <c r="G732" s="515" t="s">
        <v>2449</v>
      </c>
      <c r="H732" s="514" t="s">
        <v>1226</v>
      </c>
      <c r="I732" s="515"/>
      <c r="J732" s="515">
        <v>1</v>
      </c>
    </row>
    <row r="733" spans="1:10" ht="13.8" thickBot="1">
      <c r="A733" s="517"/>
      <c r="B733" s="518" t="s">
        <v>12257</v>
      </c>
      <c r="C733" s="516"/>
      <c r="D733" s="514" t="s">
        <v>12256</v>
      </c>
      <c r="E733" s="515">
        <v>5.25</v>
      </c>
      <c r="F733" s="514"/>
      <c r="G733" s="515" t="s">
        <v>4438</v>
      </c>
      <c r="H733" s="514" t="s">
        <v>1226</v>
      </c>
      <c r="I733" s="515"/>
      <c r="J733" s="515">
        <v>3</v>
      </c>
    </row>
    <row r="734" spans="1:10" ht="13.8" thickBot="1">
      <c r="A734" s="517"/>
      <c r="B734" s="518" t="s">
        <v>13951</v>
      </c>
      <c r="C734" s="516"/>
      <c r="D734" s="514" t="s">
        <v>1256</v>
      </c>
      <c r="E734" s="515">
        <v>2</v>
      </c>
      <c r="F734" s="514"/>
      <c r="G734" s="515" t="s">
        <v>1922</v>
      </c>
      <c r="H734" s="514"/>
      <c r="I734" s="515"/>
      <c r="J734" s="515">
        <v>1</v>
      </c>
    </row>
    <row r="735" spans="1:10" ht="13.8" thickBot="1">
      <c r="A735" s="517"/>
      <c r="B735" s="518" t="s">
        <v>12457</v>
      </c>
      <c r="C735" s="516"/>
      <c r="D735" s="519" t="s">
        <v>12456</v>
      </c>
      <c r="E735" s="515">
        <v>7.5</v>
      </c>
      <c r="F735" s="518" t="s">
        <v>614</v>
      </c>
      <c r="G735" s="515" t="s">
        <v>4067</v>
      </c>
      <c r="H735" s="514" t="s">
        <v>1224</v>
      </c>
      <c r="I735" s="515"/>
      <c r="J735" s="515">
        <v>1</v>
      </c>
    </row>
    <row r="736" spans="1:10" ht="13.8" thickBot="1">
      <c r="A736" s="517"/>
      <c r="B736" s="518" t="s">
        <v>13303</v>
      </c>
      <c r="C736" s="516"/>
      <c r="D736" s="514" t="s">
        <v>1300</v>
      </c>
      <c r="E736" s="515">
        <v>5</v>
      </c>
      <c r="F736" s="514"/>
      <c r="G736" s="515" t="s">
        <v>2523</v>
      </c>
      <c r="H736" s="514"/>
      <c r="I736" s="515"/>
      <c r="J736" s="515">
        <v>1</v>
      </c>
    </row>
    <row r="737" spans="1:10" ht="13.8" thickBot="1">
      <c r="A737" s="517"/>
      <c r="B737" s="518" t="s">
        <v>11912</v>
      </c>
      <c r="C737" s="516"/>
      <c r="D737" s="514" t="s">
        <v>11911</v>
      </c>
      <c r="E737" s="515">
        <v>5</v>
      </c>
      <c r="F737" s="518" t="s">
        <v>614</v>
      </c>
      <c r="G737" s="515" t="s">
        <v>5226</v>
      </c>
      <c r="H737" s="514" t="s">
        <v>1220</v>
      </c>
      <c r="I737" s="515"/>
      <c r="J737" s="515">
        <v>4</v>
      </c>
    </row>
    <row r="738" spans="1:10" ht="13.8" thickBot="1">
      <c r="A738" s="517"/>
      <c r="B738" s="518" t="s">
        <v>12310</v>
      </c>
      <c r="C738" s="516"/>
      <c r="D738" s="514" t="s">
        <v>4292</v>
      </c>
      <c r="E738" s="515">
        <v>5</v>
      </c>
      <c r="F738" s="514"/>
      <c r="G738" s="515" t="s">
        <v>4214</v>
      </c>
      <c r="H738" s="514" t="s">
        <v>1224</v>
      </c>
      <c r="I738" s="515"/>
      <c r="J738" s="515">
        <v>2</v>
      </c>
    </row>
    <row r="739" spans="1:10" ht="13.8" thickBot="1">
      <c r="A739" s="517"/>
      <c r="B739" s="518" t="s">
        <v>11914</v>
      </c>
      <c r="C739" s="516"/>
      <c r="D739" s="514" t="s">
        <v>11913</v>
      </c>
      <c r="E739" s="515">
        <v>5</v>
      </c>
      <c r="F739" s="514"/>
      <c r="G739" s="515" t="s">
        <v>5226</v>
      </c>
      <c r="H739" s="514" t="s">
        <v>1224</v>
      </c>
      <c r="I739" s="515"/>
      <c r="J739" s="515">
        <v>3</v>
      </c>
    </row>
    <row r="740" spans="1:10" ht="13.8" thickBot="1">
      <c r="A740" s="517"/>
      <c r="B740" s="518" t="s">
        <v>12504</v>
      </c>
      <c r="C740" s="516"/>
      <c r="D740" s="514" t="s">
        <v>12503</v>
      </c>
      <c r="E740" s="515">
        <v>5</v>
      </c>
      <c r="F740" s="514"/>
      <c r="G740" s="515" t="s">
        <v>3856</v>
      </c>
      <c r="H740" s="514" t="s">
        <v>1226</v>
      </c>
      <c r="I740" s="515"/>
      <c r="J740" s="515">
        <v>2</v>
      </c>
    </row>
    <row r="741" spans="1:10" ht="13.8" thickBot="1">
      <c r="A741" s="517"/>
      <c r="B741" s="518" t="s">
        <v>11703</v>
      </c>
      <c r="C741" s="516"/>
      <c r="D741" s="514" t="s">
        <v>11533</v>
      </c>
      <c r="E741" s="515">
        <v>5.5</v>
      </c>
      <c r="F741" s="514"/>
      <c r="G741" s="515" t="s">
        <v>11525</v>
      </c>
      <c r="H741" s="514"/>
      <c r="I741" s="515"/>
      <c r="J741" s="515">
        <v>1</v>
      </c>
    </row>
    <row r="742" spans="1:10" ht="13.8" thickBot="1">
      <c r="A742" s="517"/>
      <c r="B742" s="518" t="s">
        <v>11702</v>
      </c>
      <c r="C742" s="516"/>
      <c r="D742" s="514" t="s">
        <v>11533</v>
      </c>
      <c r="E742" s="515"/>
      <c r="F742" s="514"/>
      <c r="G742" s="515" t="s">
        <v>11525</v>
      </c>
      <c r="H742" s="514"/>
      <c r="I742" s="515"/>
      <c r="J742" s="515"/>
    </row>
    <row r="743" spans="1:10" ht="13.8" thickBot="1">
      <c r="A743" s="517"/>
      <c r="B743" s="518" t="s">
        <v>12221</v>
      </c>
      <c r="C743" s="516"/>
      <c r="D743" s="514" t="s">
        <v>12220</v>
      </c>
      <c r="E743" s="515">
        <v>5</v>
      </c>
      <c r="F743" s="514"/>
      <c r="G743" s="515" t="s">
        <v>4672</v>
      </c>
      <c r="H743" s="514"/>
      <c r="I743" s="515"/>
      <c r="J743" s="515">
        <v>2</v>
      </c>
    </row>
    <row r="744" spans="1:10" ht="13.8" thickBot="1">
      <c r="A744" s="517"/>
      <c r="B744" s="518" t="s">
        <v>12158</v>
      </c>
      <c r="C744" s="516"/>
      <c r="D744" s="514" t="s">
        <v>4959</v>
      </c>
      <c r="E744" s="515">
        <v>6</v>
      </c>
      <c r="F744" s="518" t="s">
        <v>614</v>
      </c>
      <c r="G744" s="515" t="s">
        <v>4943</v>
      </c>
      <c r="H744" s="514"/>
      <c r="I744" s="515"/>
      <c r="J744" s="515">
        <v>2</v>
      </c>
    </row>
    <row r="745" spans="1:10" ht="13.8" thickBot="1">
      <c r="A745" s="517"/>
      <c r="B745" s="518" t="s">
        <v>12223</v>
      </c>
      <c r="C745" s="516"/>
      <c r="D745" s="514" t="s">
        <v>12222</v>
      </c>
      <c r="E745" s="515">
        <v>5.5</v>
      </c>
      <c r="F745" s="514"/>
      <c r="G745" s="515" t="s">
        <v>4672</v>
      </c>
      <c r="H745" s="514" t="s">
        <v>1224</v>
      </c>
      <c r="I745" s="515"/>
      <c r="J745" s="515">
        <v>1</v>
      </c>
    </row>
    <row r="746" spans="1:10" ht="13.8" thickBot="1">
      <c r="A746" s="517"/>
      <c r="B746" s="518" t="s">
        <v>12726</v>
      </c>
      <c r="C746" s="516"/>
      <c r="D746" s="514" t="s">
        <v>1452</v>
      </c>
      <c r="E746" s="515">
        <v>5</v>
      </c>
      <c r="F746" s="514"/>
      <c r="G746" s="515" t="s">
        <v>3517</v>
      </c>
      <c r="H746" s="514"/>
      <c r="I746" s="515"/>
      <c r="J746" s="515">
        <v>1</v>
      </c>
    </row>
    <row r="747" spans="1:10" ht="13.8" thickBot="1">
      <c r="A747" s="517"/>
      <c r="B747" s="518" t="s">
        <v>11701</v>
      </c>
      <c r="C747" s="516"/>
      <c r="D747" s="514" t="s">
        <v>11533</v>
      </c>
      <c r="E747" s="515">
        <v>5.5</v>
      </c>
      <c r="F747" s="514"/>
      <c r="G747" s="515" t="s">
        <v>11525</v>
      </c>
      <c r="H747" s="514"/>
      <c r="I747" s="515"/>
      <c r="J747" s="515">
        <v>1</v>
      </c>
    </row>
    <row r="748" spans="1:10" ht="13.8" thickBot="1">
      <c r="A748" s="517"/>
      <c r="B748" s="518" t="s">
        <v>13868</v>
      </c>
      <c r="C748" s="516"/>
      <c r="D748" s="514" t="s">
        <v>13867</v>
      </c>
      <c r="E748" s="515">
        <v>5</v>
      </c>
      <c r="F748" s="514"/>
      <c r="G748" s="515" t="s">
        <v>2032</v>
      </c>
      <c r="H748" s="514"/>
      <c r="I748" s="515"/>
      <c r="J748" s="515">
        <v>2</v>
      </c>
    </row>
    <row r="749" spans="1:10" ht="13.8" thickBot="1">
      <c r="A749" s="517"/>
      <c r="B749" s="518" t="s">
        <v>12157</v>
      </c>
      <c r="C749" s="516"/>
      <c r="D749" s="514" t="s">
        <v>4942</v>
      </c>
      <c r="E749" s="515">
        <v>6</v>
      </c>
      <c r="F749" s="514"/>
      <c r="G749" s="515" t="s">
        <v>4943</v>
      </c>
      <c r="H749" s="514"/>
      <c r="I749" s="515"/>
      <c r="J749" s="515">
        <v>1</v>
      </c>
    </row>
    <row r="750" spans="1:10" ht="13.8" thickBot="1">
      <c r="A750" s="517"/>
      <c r="B750" s="518" t="s">
        <v>11700</v>
      </c>
      <c r="C750" s="516"/>
      <c r="D750" s="514" t="s">
        <v>11533</v>
      </c>
      <c r="E750" s="515">
        <v>5</v>
      </c>
      <c r="F750" s="514"/>
      <c r="G750" s="515" t="s">
        <v>11525</v>
      </c>
      <c r="H750" s="514" t="s">
        <v>1226</v>
      </c>
      <c r="I750" s="515"/>
      <c r="J750" s="515">
        <v>1</v>
      </c>
    </row>
    <row r="751" spans="1:10" ht="13.8" thickBot="1">
      <c r="A751" s="517"/>
      <c r="B751" s="518" t="s">
        <v>11699</v>
      </c>
      <c r="C751" s="516"/>
      <c r="D751" s="514" t="s">
        <v>11533</v>
      </c>
      <c r="E751" s="515">
        <v>5</v>
      </c>
      <c r="F751" s="514"/>
      <c r="G751" s="515" t="s">
        <v>11525</v>
      </c>
      <c r="H751" s="514" t="s">
        <v>1226</v>
      </c>
      <c r="I751" s="515"/>
      <c r="J751" s="515">
        <v>1</v>
      </c>
    </row>
    <row r="752" spans="1:10" ht="13.8" thickBot="1">
      <c r="A752" s="517"/>
      <c r="B752" s="518" t="s">
        <v>11987</v>
      </c>
      <c r="C752" s="516"/>
      <c r="D752" s="514" t="s">
        <v>11986</v>
      </c>
      <c r="E752" s="515">
        <v>6.3</v>
      </c>
      <c r="F752" s="518" t="s">
        <v>614</v>
      </c>
      <c r="G752" s="515" t="s">
        <v>5180</v>
      </c>
      <c r="H752" s="514" t="s">
        <v>1226</v>
      </c>
      <c r="I752" s="515"/>
      <c r="J752" s="515">
        <v>5</v>
      </c>
    </row>
    <row r="753" spans="1:10" ht="13.8" thickBot="1">
      <c r="A753" s="517"/>
      <c r="B753" s="518" t="s">
        <v>13620</v>
      </c>
      <c r="C753" s="516"/>
      <c r="D753" s="514" t="s">
        <v>1726</v>
      </c>
      <c r="E753" s="515">
        <v>5</v>
      </c>
      <c r="F753" s="514"/>
      <c r="G753" s="515" t="s">
        <v>2289</v>
      </c>
      <c r="H753" s="514"/>
      <c r="I753" s="515"/>
      <c r="J753" s="515">
        <v>1</v>
      </c>
    </row>
    <row r="754" spans="1:10" ht="13.8" thickBot="1">
      <c r="A754" s="517"/>
      <c r="B754" s="518" t="s">
        <v>11698</v>
      </c>
      <c r="C754" s="516"/>
      <c r="D754" s="514" t="s">
        <v>11533</v>
      </c>
      <c r="E754" s="515">
        <v>7</v>
      </c>
      <c r="F754" s="514"/>
      <c r="G754" s="515" t="s">
        <v>11525</v>
      </c>
      <c r="H754" s="514" t="s">
        <v>1224</v>
      </c>
      <c r="I754" s="515"/>
      <c r="J754" s="515">
        <v>1</v>
      </c>
    </row>
    <row r="755" spans="1:10" ht="13.8" thickBot="1">
      <c r="A755" s="517"/>
      <c r="B755" s="518" t="s">
        <v>12725</v>
      </c>
      <c r="C755" s="516"/>
      <c r="D755" s="514" t="s">
        <v>1452</v>
      </c>
      <c r="E755" s="515">
        <v>5</v>
      </c>
      <c r="F755" s="514"/>
      <c r="G755" s="515" t="s">
        <v>3517</v>
      </c>
      <c r="H755" s="514"/>
      <c r="I755" s="515"/>
      <c r="J755" s="515">
        <v>1</v>
      </c>
    </row>
    <row r="756" spans="1:10" ht="13.8" thickBot="1">
      <c r="A756" s="517"/>
      <c r="B756" s="518" t="s">
        <v>14134</v>
      </c>
      <c r="C756" s="516"/>
      <c r="D756" s="514" t="s">
        <v>14133</v>
      </c>
      <c r="E756" s="515">
        <v>5</v>
      </c>
      <c r="F756" s="514"/>
      <c r="G756" s="515" t="s">
        <v>1793</v>
      </c>
      <c r="H756" s="514"/>
      <c r="I756" s="515"/>
      <c r="J756" s="515">
        <v>2</v>
      </c>
    </row>
    <row r="757" spans="1:10" ht="13.8" thickBot="1">
      <c r="A757" s="517"/>
      <c r="B757" s="518" t="s">
        <v>11697</v>
      </c>
      <c r="C757" s="516"/>
      <c r="D757" s="514" t="s">
        <v>11533</v>
      </c>
      <c r="E757" s="515">
        <v>5.5</v>
      </c>
      <c r="F757" s="514"/>
      <c r="G757" s="515" t="s">
        <v>11525</v>
      </c>
      <c r="H757" s="514"/>
      <c r="I757" s="515"/>
      <c r="J757" s="515">
        <v>1</v>
      </c>
    </row>
    <row r="758" spans="1:10" ht="13.8" thickBot="1">
      <c r="A758" s="517"/>
      <c r="B758" s="518" t="s">
        <v>11910</v>
      </c>
      <c r="C758" s="516"/>
      <c r="D758" s="514" t="s">
        <v>5227</v>
      </c>
      <c r="E758" s="515">
        <v>5</v>
      </c>
      <c r="F758" s="514"/>
      <c r="G758" s="515" t="s">
        <v>5226</v>
      </c>
      <c r="H758" s="514"/>
      <c r="I758" s="515"/>
      <c r="J758" s="515">
        <v>1</v>
      </c>
    </row>
    <row r="759" spans="1:10" ht="13.8" thickBot="1">
      <c r="A759" s="517"/>
      <c r="B759" s="518" t="s">
        <v>12715</v>
      </c>
      <c r="C759" s="516"/>
      <c r="D759" s="514" t="s">
        <v>1452</v>
      </c>
      <c r="E759" s="515">
        <v>4</v>
      </c>
      <c r="F759" s="514"/>
      <c r="G759" s="515" t="s">
        <v>3517</v>
      </c>
      <c r="H759" s="514" t="s">
        <v>1224</v>
      </c>
      <c r="I759" s="515"/>
      <c r="J759" s="515">
        <v>1</v>
      </c>
    </row>
    <row r="760" spans="1:10" ht="13.8" thickBot="1">
      <c r="A760" s="517"/>
      <c r="B760" s="518" t="s">
        <v>12147</v>
      </c>
      <c r="C760" s="516"/>
      <c r="D760" s="514" t="s">
        <v>12146</v>
      </c>
      <c r="E760" s="515">
        <v>8</v>
      </c>
      <c r="F760" s="514"/>
      <c r="G760" s="515" t="s">
        <v>4970</v>
      </c>
      <c r="H760" s="514"/>
      <c r="I760" s="515"/>
      <c r="J760" s="515"/>
    </row>
    <row r="761" spans="1:10" ht="13.8" thickBot="1">
      <c r="A761" s="517"/>
      <c r="B761" s="518" t="s">
        <v>12657</v>
      </c>
      <c r="C761" s="516"/>
      <c r="D761" s="514" t="s">
        <v>1480</v>
      </c>
      <c r="E761" s="515">
        <v>8</v>
      </c>
      <c r="F761" s="514"/>
      <c r="G761" s="515" t="s">
        <v>3734</v>
      </c>
      <c r="H761" s="514"/>
      <c r="I761" s="515"/>
      <c r="J761" s="515"/>
    </row>
    <row r="762" spans="1:10" ht="13.8" thickBot="1">
      <c r="A762" s="517"/>
      <c r="B762" s="518" t="s">
        <v>12062</v>
      </c>
      <c r="C762" s="516"/>
      <c r="D762" s="514" t="s">
        <v>1767</v>
      </c>
      <c r="E762" s="515">
        <v>5</v>
      </c>
      <c r="F762" s="518" t="s">
        <v>614</v>
      </c>
      <c r="G762" s="515" t="s">
        <v>5010</v>
      </c>
      <c r="H762" s="514" t="s">
        <v>1226</v>
      </c>
      <c r="I762" s="515">
        <v>1</v>
      </c>
      <c r="J762" s="515">
        <v>4</v>
      </c>
    </row>
    <row r="763" spans="1:10" ht="13.8" thickBot="1">
      <c r="A763" s="517"/>
      <c r="B763" s="518" t="s">
        <v>13875</v>
      </c>
      <c r="C763" s="516"/>
      <c r="D763" s="514" t="s">
        <v>1287</v>
      </c>
      <c r="E763" s="515">
        <v>5.5</v>
      </c>
      <c r="F763" s="518" t="s">
        <v>614</v>
      </c>
      <c r="G763" s="515" t="s">
        <v>2032</v>
      </c>
      <c r="H763" s="514" t="s">
        <v>1224</v>
      </c>
      <c r="I763" s="515"/>
      <c r="J763" s="515">
        <v>1</v>
      </c>
    </row>
    <row r="764" spans="1:10" ht="13.8" thickBot="1">
      <c r="A764" s="517"/>
      <c r="B764" s="518" t="s">
        <v>12866</v>
      </c>
      <c r="C764" s="516"/>
      <c r="D764" s="514" t="s">
        <v>3421</v>
      </c>
      <c r="E764" s="515">
        <v>6.5</v>
      </c>
      <c r="F764" s="514"/>
      <c r="G764" s="515" t="s">
        <v>3414</v>
      </c>
      <c r="H764" s="514"/>
      <c r="I764" s="515"/>
      <c r="J764" s="515"/>
    </row>
    <row r="765" spans="1:10" ht="13.8" thickBot="1">
      <c r="A765" s="517"/>
      <c r="B765" s="518" t="s">
        <v>13228</v>
      </c>
      <c r="C765" s="516"/>
      <c r="D765" s="514" t="s">
        <v>13227</v>
      </c>
      <c r="E765" s="515">
        <v>7.5</v>
      </c>
      <c r="F765" s="514"/>
      <c r="G765" s="515" t="s">
        <v>2797</v>
      </c>
      <c r="H765" s="514"/>
      <c r="I765" s="515"/>
      <c r="J765" s="515"/>
    </row>
    <row r="766" spans="1:10" ht="13.8" thickBot="1">
      <c r="A766" s="517"/>
      <c r="B766" s="518" t="s">
        <v>12035</v>
      </c>
      <c r="C766" s="516"/>
      <c r="D766" s="514" t="s">
        <v>12034</v>
      </c>
      <c r="E766" s="515">
        <v>6</v>
      </c>
      <c r="F766" s="514"/>
      <c r="G766" s="515" t="s">
        <v>5042</v>
      </c>
      <c r="H766" s="514"/>
      <c r="I766" s="515">
        <v>1</v>
      </c>
      <c r="J766" s="515">
        <v>2</v>
      </c>
    </row>
    <row r="767" spans="1:10" ht="13.8" thickBot="1">
      <c r="A767" s="517"/>
      <c r="B767" s="518" t="s">
        <v>13021</v>
      </c>
      <c r="C767" s="516"/>
      <c r="D767" s="514" t="s">
        <v>13020</v>
      </c>
      <c r="E767" s="515">
        <v>4.5</v>
      </c>
      <c r="F767" s="514"/>
      <c r="G767" s="515" t="s">
        <v>2957</v>
      </c>
      <c r="H767" s="514"/>
      <c r="I767" s="515">
        <v>1</v>
      </c>
      <c r="J767" s="515">
        <v>2</v>
      </c>
    </row>
    <row r="768" spans="1:10" ht="13.8" thickBot="1">
      <c r="A768" s="517"/>
      <c r="B768" s="518" t="s">
        <v>12292</v>
      </c>
      <c r="C768" s="516"/>
      <c r="D768" s="514" t="s">
        <v>1607</v>
      </c>
      <c r="E768" s="515">
        <v>3.5</v>
      </c>
      <c r="F768" s="514"/>
      <c r="G768" s="515" t="s">
        <v>4214</v>
      </c>
      <c r="H768" s="514"/>
      <c r="I768" s="515"/>
      <c r="J768" s="515">
        <v>1</v>
      </c>
    </row>
    <row r="769" spans="1:10" ht="13.8" thickBot="1">
      <c r="A769" s="517"/>
      <c r="B769" s="518" t="s">
        <v>12293</v>
      </c>
      <c r="C769" s="516"/>
      <c r="D769" s="514" t="s">
        <v>1607</v>
      </c>
      <c r="E769" s="515">
        <v>4</v>
      </c>
      <c r="F769" s="514"/>
      <c r="G769" s="515" t="s">
        <v>4214</v>
      </c>
      <c r="H769" s="514"/>
      <c r="I769" s="515"/>
      <c r="J769" s="515">
        <v>1</v>
      </c>
    </row>
    <row r="770" spans="1:10" ht="13.8" thickBot="1">
      <c r="A770" s="517"/>
      <c r="B770" s="518" t="s">
        <v>12670</v>
      </c>
      <c r="C770" s="516"/>
      <c r="D770" s="514" t="s">
        <v>12669</v>
      </c>
      <c r="E770" s="515">
        <v>5</v>
      </c>
      <c r="F770" s="514"/>
      <c r="G770" s="515" t="s">
        <v>3652</v>
      </c>
      <c r="H770" s="514"/>
      <c r="I770" s="515"/>
      <c r="J770" s="515">
        <v>1</v>
      </c>
    </row>
    <row r="771" spans="1:10" ht="13.8" thickBot="1">
      <c r="A771" s="517"/>
      <c r="B771" s="518" t="s">
        <v>12066</v>
      </c>
      <c r="C771" s="516"/>
      <c r="D771" s="514" t="s">
        <v>1767</v>
      </c>
      <c r="E771" s="515">
        <v>5.5</v>
      </c>
      <c r="F771" s="518" t="s">
        <v>614</v>
      </c>
      <c r="G771" s="515" t="s">
        <v>5010</v>
      </c>
      <c r="H771" s="514" t="s">
        <v>1224</v>
      </c>
      <c r="I771" s="515"/>
      <c r="J771" s="515">
        <v>1</v>
      </c>
    </row>
    <row r="772" spans="1:10" ht="13.8" thickBot="1">
      <c r="A772" s="517"/>
      <c r="B772" s="518" t="s">
        <v>12104</v>
      </c>
      <c r="C772" s="516"/>
      <c r="D772" s="514" t="s">
        <v>1593</v>
      </c>
      <c r="E772" s="515">
        <v>4</v>
      </c>
      <c r="F772" s="514"/>
      <c r="G772" s="515" t="s">
        <v>4970</v>
      </c>
      <c r="H772" s="514"/>
      <c r="I772" s="515"/>
      <c r="J772" s="515">
        <v>3</v>
      </c>
    </row>
    <row r="773" spans="1:10" ht="13.8" thickBot="1">
      <c r="A773" s="517"/>
      <c r="B773" s="518" t="s">
        <v>13000</v>
      </c>
      <c r="C773" s="516"/>
      <c r="D773" s="514" t="s">
        <v>1552</v>
      </c>
      <c r="E773" s="515">
        <v>3.5</v>
      </c>
      <c r="F773" s="514"/>
      <c r="G773" s="515" t="s">
        <v>2957</v>
      </c>
      <c r="H773" s="514"/>
      <c r="I773" s="515"/>
      <c r="J773" s="515">
        <v>2</v>
      </c>
    </row>
    <row r="774" spans="1:10" ht="13.8" thickBot="1">
      <c r="A774" s="517"/>
      <c r="B774" s="518" t="s">
        <v>12101</v>
      </c>
      <c r="C774" s="516"/>
      <c r="D774" s="514" t="s">
        <v>1593</v>
      </c>
      <c r="E774" s="515">
        <v>4</v>
      </c>
      <c r="F774" s="514"/>
      <c r="G774" s="515" t="s">
        <v>4970</v>
      </c>
      <c r="H774" s="514"/>
      <c r="I774" s="515"/>
      <c r="J774" s="515">
        <v>1</v>
      </c>
    </row>
    <row r="775" spans="1:10" ht="13.8" thickBot="1">
      <c r="A775" s="517"/>
      <c r="B775" s="518" t="s">
        <v>12105</v>
      </c>
      <c r="C775" s="516"/>
      <c r="D775" s="514" t="s">
        <v>1593</v>
      </c>
      <c r="E775" s="515">
        <v>4.5</v>
      </c>
      <c r="F775" s="514"/>
      <c r="G775" s="515" t="s">
        <v>4970</v>
      </c>
      <c r="H775" s="514"/>
      <c r="I775" s="515"/>
      <c r="J775" s="515">
        <v>1</v>
      </c>
    </row>
    <row r="776" spans="1:10" ht="13.8" thickBot="1">
      <c r="A776" s="517"/>
      <c r="B776" s="518" t="s">
        <v>12049</v>
      </c>
      <c r="C776" s="516"/>
      <c r="D776" s="514" t="s">
        <v>12048</v>
      </c>
      <c r="E776" s="515">
        <v>4</v>
      </c>
      <c r="F776" s="514"/>
      <c r="G776" s="515" t="s">
        <v>5010</v>
      </c>
      <c r="H776" s="514"/>
      <c r="I776" s="515"/>
      <c r="J776" s="515">
        <v>1</v>
      </c>
    </row>
    <row r="777" spans="1:10" ht="13.8" thickBot="1">
      <c r="A777" s="517"/>
      <c r="B777" s="518" t="s">
        <v>12113</v>
      </c>
      <c r="C777" s="516"/>
      <c r="D777" s="514" t="s">
        <v>1593</v>
      </c>
      <c r="E777" s="515">
        <v>5</v>
      </c>
      <c r="F777" s="514"/>
      <c r="G777" s="515" t="s">
        <v>4970</v>
      </c>
      <c r="H777" s="514"/>
      <c r="I777" s="515"/>
      <c r="J777" s="515">
        <v>1</v>
      </c>
    </row>
    <row r="778" spans="1:10" ht="13.8" thickBot="1">
      <c r="A778" s="517"/>
      <c r="B778" s="518" t="s">
        <v>11696</v>
      </c>
      <c r="C778" s="516"/>
      <c r="D778" s="514" t="s">
        <v>11533</v>
      </c>
      <c r="E778" s="515"/>
      <c r="F778" s="514"/>
      <c r="G778" s="515" t="s">
        <v>11525</v>
      </c>
      <c r="H778" s="514"/>
      <c r="I778" s="515"/>
      <c r="J778" s="515"/>
    </row>
    <row r="779" spans="1:10" ht="13.8" thickBot="1">
      <c r="A779" s="517"/>
      <c r="B779" s="518" t="s">
        <v>11695</v>
      </c>
      <c r="C779" s="516"/>
      <c r="D779" s="514" t="s">
        <v>11533</v>
      </c>
      <c r="E779" s="515"/>
      <c r="F779" s="514"/>
      <c r="G779" s="515" t="s">
        <v>11525</v>
      </c>
      <c r="H779" s="514"/>
      <c r="I779" s="515"/>
      <c r="J779" s="515"/>
    </row>
    <row r="780" spans="1:10" ht="13.8" thickBot="1">
      <c r="A780" s="517"/>
      <c r="B780" s="518" t="s">
        <v>11694</v>
      </c>
      <c r="C780" s="516"/>
      <c r="D780" s="514" t="s">
        <v>11533</v>
      </c>
      <c r="E780" s="515"/>
      <c r="F780" s="514"/>
      <c r="G780" s="515" t="s">
        <v>11525</v>
      </c>
      <c r="H780" s="514"/>
      <c r="I780" s="515"/>
      <c r="J780" s="515"/>
    </row>
    <row r="781" spans="1:10" ht="13.8" thickBot="1">
      <c r="A781" s="517"/>
      <c r="B781" s="518" t="s">
        <v>11693</v>
      </c>
      <c r="C781" s="516"/>
      <c r="D781" s="514" t="s">
        <v>11533</v>
      </c>
      <c r="E781" s="515"/>
      <c r="F781" s="514"/>
      <c r="G781" s="515" t="s">
        <v>11525</v>
      </c>
      <c r="H781" s="514"/>
      <c r="I781" s="515"/>
      <c r="J781" s="515"/>
    </row>
    <row r="782" spans="1:10" ht="13.8" thickBot="1">
      <c r="A782" s="517"/>
      <c r="B782" s="518" t="s">
        <v>11692</v>
      </c>
      <c r="C782" s="516"/>
      <c r="D782" s="514" t="s">
        <v>11533</v>
      </c>
      <c r="E782" s="515"/>
      <c r="F782" s="514"/>
      <c r="G782" s="515" t="s">
        <v>11525</v>
      </c>
      <c r="H782" s="514"/>
      <c r="I782" s="515"/>
      <c r="J782" s="515"/>
    </row>
    <row r="783" spans="1:10" ht="13.8" thickBot="1">
      <c r="A783" s="517"/>
      <c r="B783" s="518" t="s">
        <v>11691</v>
      </c>
      <c r="C783" s="516"/>
      <c r="D783" s="514" t="s">
        <v>11533</v>
      </c>
      <c r="E783" s="515"/>
      <c r="F783" s="514"/>
      <c r="G783" s="515" t="s">
        <v>11525</v>
      </c>
      <c r="H783" s="514"/>
      <c r="I783" s="515"/>
      <c r="J783" s="515"/>
    </row>
    <row r="784" spans="1:10" ht="13.8" thickBot="1">
      <c r="A784" s="517"/>
      <c r="B784" s="518" t="s">
        <v>11690</v>
      </c>
      <c r="C784" s="516"/>
      <c r="D784" s="514" t="s">
        <v>11533</v>
      </c>
      <c r="E784" s="515"/>
      <c r="F784" s="514"/>
      <c r="G784" s="515" t="s">
        <v>11525</v>
      </c>
      <c r="H784" s="514"/>
      <c r="I784" s="515"/>
      <c r="J784" s="515"/>
    </row>
    <row r="785" spans="1:10" ht="13.8" thickBot="1">
      <c r="A785" s="517"/>
      <c r="B785" s="518" t="s">
        <v>11689</v>
      </c>
      <c r="C785" s="516"/>
      <c r="D785" s="514" t="s">
        <v>11533</v>
      </c>
      <c r="E785" s="515"/>
      <c r="F785" s="514"/>
      <c r="G785" s="515" t="s">
        <v>11525</v>
      </c>
      <c r="H785" s="514"/>
      <c r="I785" s="515"/>
      <c r="J785" s="515"/>
    </row>
    <row r="786" spans="1:10" ht="13.8" thickBot="1">
      <c r="A786" s="517"/>
      <c r="B786" s="518" t="s">
        <v>14310</v>
      </c>
      <c r="C786" s="516"/>
      <c r="D786" s="514" t="s">
        <v>14246</v>
      </c>
      <c r="E786" s="515">
        <v>6.75</v>
      </c>
      <c r="F786" s="518" t="s">
        <v>614</v>
      </c>
      <c r="G786" s="515" t="s">
        <v>1793</v>
      </c>
      <c r="H786" s="514" t="s">
        <v>1226</v>
      </c>
      <c r="I786" s="515"/>
      <c r="J786" s="515">
        <v>4</v>
      </c>
    </row>
    <row r="787" spans="1:10" ht="13.8" thickBot="1">
      <c r="A787" s="517"/>
      <c r="B787" s="518" t="s">
        <v>13302</v>
      </c>
      <c r="C787" s="516"/>
      <c r="D787" s="514" t="s">
        <v>1300</v>
      </c>
      <c r="E787" s="515">
        <v>5</v>
      </c>
      <c r="F787" s="514"/>
      <c r="G787" s="515" t="s">
        <v>2523</v>
      </c>
      <c r="H787" s="514"/>
      <c r="I787" s="515"/>
      <c r="J787" s="515">
        <v>1</v>
      </c>
    </row>
    <row r="788" spans="1:10" ht="13.8" thickBot="1">
      <c r="A788" s="517"/>
      <c r="B788" s="518" t="s">
        <v>11688</v>
      </c>
      <c r="C788" s="516"/>
      <c r="D788" s="514" t="s">
        <v>11533</v>
      </c>
      <c r="E788" s="515"/>
      <c r="F788" s="514"/>
      <c r="G788" s="515" t="s">
        <v>11525</v>
      </c>
      <c r="H788" s="514"/>
      <c r="I788" s="515"/>
      <c r="J788" s="515"/>
    </row>
    <row r="789" spans="1:10" ht="13.8" thickBot="1">
      <c r="A789" s="517"/>
      <c r="B789" s="518" t="s">
        <v>11687</v>
      </c>
      <c r="C789" s="516"/>
      <c r="D789" s="514" t="s">
        <v>11533</v>
      </c>
      <c r="E789" s="515"/>
      <c r="F789" s="514"/>
      <c r="G789" s="515" t="s">
        <v>11525</v>
      </c>
      <c r="H789" s="514"/>
      <c r="I789" s="515"/>
      <c r="J789" s="515"/>
    </row>
    <row r="790" spans="1:10" ht="13.8" thickBot="1">
      <c r="A790" s="517"/>
      <c r="B790" s="518" t="s">
        <v>11686</v>
      </c>
      <c r="C790" s="516"/>
      <c r="D790" s="514" t="s">
        <v>11533</v>
      </c>
      <c r="E790" s="515"/>
      <c r="F790" s="514"/>
      <c r="G790" s="515" t="s">
        <v>11525</v>
      </c>
      <c r="H790" s="514"/>
      <c r="I790" s="515"/>
      <c r="J790" s="515"/>
    </row>
    <row r="791" spans="1:10" ht="13.8" thickBot="1">
      <c r="A791" s="517"/>
      <c r="B791" s="518" t="s">
        <v>11685</v>
      </c>
      <c r="C791" s="516"/>
      <c r="D791" s="514" t="s">
        <v>11533</v>
      </c>
      <c r="E791" s="515"/>
      <c r="F791" s="514"/>
      <c r="G791" s="515" t="s">
        <v>11525</v>
      </c>
      <c r="H791" s="514"/>
      <c r="I791" s="515"/>
      <c r="J791" s="515"/>
    </row>
    <row r="792" spans="1:10" ht="13.8" thickBot="1">
      <c r="A792" s="517"/>
      <c r="B792" s="518" t="s">
        <v>14309</v>
      </c>
      <c r="C792" s="516"/>
      <c r="D792" s="514" t="s">
        <v>13259</v>
      </c>
      <c r="E792" s="515">
        <v>3</v>
      </c>
      <c r="F792" s="518" t="s">
        <v>614</v>
      </c>
      <c r="G792" s="515" t="s">
        <v>2523</v>
      </c>
      <c r="H792" s="514"/>
      <c r="I792" s="515"/>
      <c r="J792" s="515">
        <v>1</v>
      </c>
    </row>
    <row r="793" spans="1:10" ht="13.8" thickBot="1">
      <c r="A793" s="517"/>
      <c r="B793" s="518" t="s">
        <v>14308</v>
      </c>
      <c r="C793" s="516"/>
      <c r="D793" s="514" t="s">
        <v>13871</v>
      </c>
      <c r="E793" s="515">
        <v>5.5</v>
      </c>
      <c r="F793" s="518" t="s">
        <v>614</v>
      </c>
      <c r="G793" s="515" t="s">
        <v>2032</v>
      </c>
      <c r="H793" s="514"/>
      <c r="I793" s="515"/>
      <c r="J793" s="515">
        <v>1</v>
      </c>
    </row>
    <row r="794" spans="1:10" ht="13.8" thickBot="1">
      <c r="A794" s="517"/>
      <c r="B794" s="518" t="s">
        <v>14307</v>
      </c>
      <c r="C794" s="516"/>
      <c r="D794" s="514" t="s">
        <v>12713</v>
      </c>
      <c r="E794" s="515">
        <v>4</v>
      </c>
      <c r="F794" s="518" t="s">
        <v>614</v>
      </c>
      <c r="G794" s="515" t="s">
        <v>3517</v>
      </c>
      <c r="H794" s="514"/>
      <c r="I794" s="515"/>
      <c r="J794" s="515">
        <v>1</v>
      </c>
    </row>
    <row r="795" spans="1:10" ht="13.8" thickBot="1">
      <c r="A795" s="517"/>
      <c r="B795" s="518" t="s">
        <v>14306</v>
      </c>
      <c r="C795" s="516"/>
      <c r="D795" s="514" t="s">
        <v>12093</v>
      </c>
      <c r="E795" s="515">
        <v>2.5</v>
      </c>
      <c r="F795" s="518" t="s">
        <v>614</v>
      </c>
      <c r="G795" s="515" t="s">
        <v>4970</v>
      </c>
      <c r="H795" s="514"/>
      <c r="I795" s="515"/>
      <c r="J795" s="515">
        <v>1</v>
      </c>
    </row>
    <row r="796" spans="1:10" ht="13.8" thickBot="1">
      <c r="A796" s="517"/>
      <c r="B796" s="518" t="s">
        <v>12304</v>
      </c>
      <c r="C796" s="516"/>
      <c r="D796" s="514" t="s">
        <v>12303</v>
      </c>
      <c r="E796" s="515">
        <v>4.5</v>
      </c>
      <c r="F796" s="518" t="s">
        <v>614</v>
      </c>
      <c r="G796" s="515" t="s">
        <v>4214</v>
      </c>
      <c r="H796" s="514"/>
      <c r="I796" s="515"/>
      <c r="J796" s="515">
        <v>1</v>
      </c>
    </row>
    <row r="797" spans="1:10" ht="13.8" thickBot="1">
      <c r="A797" s="517"/>
      <c r="B797" s="518" t="s">
        <v>13475</v>
      </c>
      <c r="C797" s="516"/>
      <c r="D797" s="514" t="s">
        <v>13474</v>
      </c>
      <c r="E797" s="515">
        <v>6.4</v>
      </c>
      <c r="F797" s="518" t="s">
        <v>614</v>
      </c>
      <c r="G797" s="515" t="s">
        <v>2523</v>
      </c>
      <c r="H797" s="514" t="s">
        <v>1251</v>
      </c>
      <c r="I797" s="515"/>
      <c r="J797" s="515">
        <v>7</v>
      </c>
    </row>
    <row r="798" spans="1:10" ht="13.8" thickBot="1">
      <c r="A798" s="517"/>
      <c r="B798" s="518" t="s">
        <v>13437</v>
      </c>
      <c r="C798" s="516"/>
      <c r="D798" s="514" t="s">
        <v>13436</v>
      </c>
      <c r="E798" s="515">
        <v>6.25</v>
      </c>
      <c r="F798" s="518" t="s">
        <v>614</v>
      </c>
      <c r="G798" s="515" t="s">
        <v>2523</v>
      </c>
      <c r="H798" s="514"/>
      <c r="I798" s="515"/>
      <c r="J798" s="515">
        <v>1</v>
      </c>
    </row>
    <row r="799" spans="1:10" ht="13.8" thickBot="1">
      <c r="A799" s="517"/>
      <c r="B799" s="518" t="s">
        <v>12099</v>
      </c>
      <c r="C799" s="516"/>
      <c r="D799" s="514" t="s">
        <v>1593</v>
      </c>
      <c r="E799" s="515">
        <v>3</v>
      </c>
      <c r="F799" s="518" t="s">
        <v>614</v>
      </c>
      <c r="G799" s="515" t="s">
        <v>4970</v>
      </c>
      <c r="H799" s="514" t="s">
        <v>1226</v>
      </c>
      <c r="I799" s="515"/>
      <c r="J799" s="515">
        <v>1</v>
      </c>
    </row>
    <row r="800" spans="1:10" ht="13.8" thickBot="1">
      <c r="A800" s="517"/>
      <c r="B800" s="518" t="s">
        <v>13377</v>
      </c>
      <c r="C800" s="516"/>
      <c r="D800" s="514" t="s">
        <v>13376</v>
      </c>
      <c r="E800" s="515">
        <v>5.5</v>
      </c>
      <c r="F800" s="518" t="s">
        <v>614</v>
      </c>
      <c r="G800" s="515" t="s">
        <v>2523</v>
      </c>
      <c r="H800" s="514" t="s">
        <v>1226</v>
      </c>
      <c r="I800" s="515"/>
      <c r="J800" s="515">
        <v>1</v>
      </c>
    </row>
    <row r="801" spans="1:10" ht="13.8" thickBot="1">
      <c r="A801" s="517"/>
      <c r="B801" s="518" t="s">
        <v>12687</v>
      </c>
      <c r="C801" s="516"/>
      <c r="D801" s="514" t="s">
        <v>12686</v>
      </c>
      <c r="E801" s="515">
        <v>6.5</v>
      </c>
      <c r="F801" s="518" t="s">
        <v>614</v>
      </c>
      <c r="G801" s="515" t="s">
        <v>3652</v>
      </c>
      <c r="H801" s="514" t="s">
        <v>1226</v>
      </c>
      <c r="I801" s="515"/>
      <c r="J801" s="515">
        <v>6</v>
      </c>
    </row>
    <row r="802" spans="1:10" ht="13.8" thickBot="1">
      <c r="A802" s="517"/>
      <c r="B802" s="518" t="s">
        <v>13151</v>
      </c>
      <c r="C802" s="516"/>
      <c r="D802" s="514" t="s">
        <v>13150</v>
      </c>
      <c r="E802" s="515">
        <v>7</v>
      </c>
      <c r="F802" s="518" t="s">
        <v>614</v>
      </c>
      <c r="G802" s="515" t="s">
        <v>2957</v>
      </c>
      <c r="H802" s="514"/>
      <c r="I802" s="515"/>
      <c r="J802" s="515">
        <v>1</v>
      </c>
    </row>
    <row r="803" spans="1:10" ht="13.8" thickBot="1">
      <c r="A803" s="517"/>
      <c r="B803" s="518" t="s">
        <v>13067</v>
      </c>
      <c r="C803" s="516"/>
      <c r="D803" s="514" t="s">
        <v>13066</v>
      </c>
      <c r="E803" s="515">
        <v>5.5</v>
      </c>
      <c r="F803" s="518" t="s">
        <v>614</v>
      </c>
      <c r="G803" s="515" t="s">
        <v>2957</v>
      </c>
      <c r="H803" s="514" t="s">
        <v>1224</v>
      </c>
      <c r="I803" s="515">
        <v>1</v>
      </c>
      <c r="J803" s="515">
        <v>2</v>
      </c>
    </row>
    <row r="804" spans="1:10" ht="13.8" thickBot="1">
      <c r="A804" s="517"/>
      <c r="B804" s="518" t="s">
        <v>13665</v>
      </c>
      <c r="C804" s="516"/>
      <c r="D804" s="514" t="s">
        <v>2418</v>
      </c>
      <c r="E804" s="515">
        <v>6.1</v>
      </c>
      <c r="F804" s="514"/>
      <c r="G804" s="515" t="s">
        <v>2289</v>
      </c>
      <c r="H804" s="514"/>
      <c r="I804" s="515"/>
      <c r="J804" s="515">
        <v>2</v>
      </c>
    </row>
    <row r="805" spans="1:10" ht="13.8" thickBot="1">
      <c r="A805" s="517"/>
      <c r="B805" s="518" t="s">
        <v>11848</v>
      </c>
      <c r="C805" s="516"/>
      <c r="D805" s="514" t="s">
        <v>11847</v>
      </c>
      <c r="E805" s="515">
        <v>6</v>
      </c>
      <c r="F805" s="518" t="s">
        <v>614</v>
      </c>
      <c r="G805" s="515" t="s">
        <v>5286</v>
      </c>
      <c r="H805" s="514"/>
      <c r="I805" s="515"/>
      <c r="J805" s="515">
        <v>2</v>
      </c>
    </row>
    <row r="806" spans="1:10" ht="13.8" thickBot="1">
      <c r="A806" s="517"/>
      <c r="B806" s="518" t="s">
        <v>11864</v>
      </c>
      <c r="C806" s="516"/>
      <c r="D806" s="514" t="s">
        <v>11863</v>
      </c>
      <c r="E806" s="515">
        <v>6.25</v>
      </c>
      <c r="F806" s="518" t="s">
        <v>614</v>
      </c>
      <c r="G806" s="515" t="s">
        <v>5286</v>
      </c>
      <c r="H806" s="514" t="s">
        <v>1251</v>
      </c>
      <c r="I806" s="515"/>
      <c r="J806" s="515">
        <v>6</v>
      </c>
    </row>
    <row r="807" spans="1:10" ht="13.8" thickBot="1">
      <c r="A807" s="517"/>
      <c r="B807" s="518" t="s">
        <v>11916</v>
      </c>
      <c r="C807" s="516"/>
      <c r="D807" s="514" t="s">
        <v>11915</v>
      </c>
      <c r="E807" s="515">
        <v>6</v>
      </c>
      <c r="F807" s="518" t="s">
        <v>614</v>
      </c>
      <c r="G807" s="515" t="s">
        <v>5226</v>
      </c>
      <c r="H807" s="514" t="s">
        <v>1224</v>
      </c>
      <c r="I807" s="515"/>
      <c r="J807" s="515">
        <v>2</v>
      </c>
    </row>
    <row r="808" spans="1:10" ht="13.8" thickBot="1">
      <c r="A808" s="517"/>
      <c r="B808" s="518" t="s">
        <v>11846</v>
      </c>
      <c r="C808" s="516"/>
      <c r="D808" s="514" t="s">
        <v>1381</v>
      </c>
      <c r="E808" s="515">
        <v>5.5</v>
      </c>
      <c r="F808" s="518" t="s">
        <v>614</v>
      </c>
      <c r="G808" s="515" t="s">
        <v>5286</v>
      </c>
      <c r="H808" s="514"/>
      <c r="I808" s="515"/>
      <c r="J808" s="515">
        <v>2</v>
      </c>
    </row>
    <row r="809" spans="1:10" ht="13.8" thickBot="1">
      <c r="A809" s="517"/>
      <c r="B809" s="518" t="s">
        <v>13357</v>
      </c>
      <c r="C809" s="516"/>
      <c r="D809" s="514" t="s">
        <v>13356</v>
      </c>
      <c r="E809" s="515">
        <v>5.5</v>
      </c>
      <c r="F809" s="518" t="s">
        <v>614</v>
      </c>
      <c r="G809" s="515" t="s">
        <v>2523</v>
      </c>
      <c r="H809" s="514"/>
      <c r="I809" s="515"/>
      <c r="J809" s="515">
        <v>1</v>
      </c>
    </row>
    <row r="810" spans="1:10" ht="13.8" thickBot="1">
      <c r="A810" s="517"/>
      <c r="B810" s="518" t="s">
        <v>14110</v>
      </c>
      <c r="C810" s="516"/>
      <c r="D810" s="514" t="s">
        <v>14109</v>
      </c>
      <c r="E810" s="515">
        <v>4.5</v>
      </c>
      <c r="F810" s="518" t="s">
        <v>614</v>
      </c>
      <c r="G810" s="515" t="s">
        <v>1793</v>
      </c>
      <c r="H810" s="514"/>
      <c r="I810" s="515"/>
      <c r="J810" s="515">
        <v>1</v>
      </c>
    </row>
    <row r="811" spans="1:10" ht="13.8" thickBot="1">
      <c r="A811" s="517"/>
      <c r="B811" s="518" t="s">
        <v>14151</v>
      </c>
      <c r="C811" s="516"/>
      <c r="D811" s="514" t="s">
        <v>14150</v>
      </c>
      <c r="E811" s="515">
        <v>5</v>
      </c>
      <c r="F811" s="518" t="s">
        <v>614</v>
      </c>
      <c r="G811" s="515" t="s">
        <v>1793</v>
      </c>
      <c r="H811" s="514" t="s">
        <v>1226</v>
      </c>
      <c r="I811" s="515"/>
      <c r="J811" s="515">
        <v>1</v>
      </c>
    </row>
    <row r="812" spans="1:10" ht="13.8" thickBot="1">
      <c r="A812" s="517"/>
      <c r="B812" s="518" t="s">
        <v>13046</v>
      </c>
      <c r="C812" s="516"/>
      <c r="D812" s="514" t="s">
        <v>13045</v>
      </c>
      <c r="E812" s="515">
        <v>5</v>
      </c>
      <c r="F812" s="518" t="s">
        <v>614</v>
      </c>
      <c r="G812" s="515" t="s">
        <v>2957</v>
      </c>
      <c r="H812" s="514" t="s">
        <v>1226</v>
      </c>
      <c r="I812" s="515">
        <v>1</v>
      </c>
      <c r="J812" s="515">
        <v>2</v>
      </c>
    </row>
    <row r="813" spans="1:10" ht="13.8" thickBot="1">
      <c r="A813" s="517"/>
      <c r="B813" s="518" t="s">
        <v>11929</v>
      </c>
      <c r="C813" s="516"/>
      <c r="D813" s="514" t="s">
        <v>11928</v>
      </c>
      <c r="E813" s="515">
        <v>7</v>
      </c>
      <c r="F813" s="518" t="s">
        <v>614</v>
      </c>
      <c r="G813" s="515" t="s">
        <v>5226</v>
      </c>
      <c r="H813" s="514"/>
      <c r="I813" s="515"/>
      <c r="J813" s="515">
        <v>1</v>
      </c>
    </row>
    <row r="814" spans="1:10" ht="13.8" thickBot="1">
      <c r="A814" s="517"/>
      <c r="B814" s="518" t="s">
        <v>12077</v>
      </c>
      <c r="C814" s="516"/>
      <c r="D814" s="520" t="s">
        <v>12076</v>
      </c>
      <c r="E814" s="521">
        <v>6.5</v>
      </c>
      <c r="F814" s="514"/>
      <c r="G814" s="515" t="s">
        <v>5010</v>
      </c>
      <c r="H814" s="514"/>
      <c r="I814" s="521"/>
      <c r="J814" s="521">
        <v>1</v>
      </c>
    </row>
    <row r="815" spans="1:10" ht="13.8" thickBot="1">
      <c r="A815" s="517"/>
      <c r="B815" s="518" t="s">
        <v>12998</v>
      </c>
      <c r="C815" s="516"/>
      <c r="D815" s="514" t="s">
        <v>12997</v>
      </c>
      <c r="E815" s="515">
        <v>3</v>
      </c>
      <c r="F815" s="518" t="s">
        <v>614</v>
      </c>
      <c r="G815" s="515" t="s">
        <v>2957</v>
      </c>
      <c r="H815" s="514"/>
      <c r="I815" s="515"/>
      <c r="J815" s="515">
        <v>1</v>
      </c>
    </row>
    <row r="816" spans="1:10" ht="13.8" thickBot="1">
      <c r="A816" s="517"/>
      <c r="B816" s="518" t="s">
        <v>13968</v>
      </c>
      <c r="C816" s="516"/>
      <c r="D816" s="514" t="s">
        <v>13967</v>
      </c>
      <c r="E816" s="515">
        <v>5</v>
      </c>
      <c r="F816" s="518" t="s">
        <v>614</v>
      </c>
      <c r="G816" s="515" t="s">
        <v>1922</v>
      </c>
      <c r="H816" s="514"/>
      <c r="I816" s="515"/>
      <c r="J816" s="515">
        <v>1</v>
      </c>
    </row>
    <row r="817" spans="1:10" ht="13.8" thickBot="1">
      <c r="A817" s="517"/>
      <c r="B817" s="518" t="s">
        <v>12385</v>
      </c>
      <c r="C817" s="516"/>
      <c r="D817" s="514" t="s">
        <v>12384</v>
      </c>
      <c r="E817" s="515">
        <v>6.5</v>
      </c>
      <c r="F817" s="518" t="s">
        <v>614</v>
      </c>
      <c r="G817" s="515" t="s">
        <v>4160</v>
      </c>
      <c r="H817" s="514" t="s">
        <v>1226</v>
      </c>
      <c r="I817" s="515"/>
      <c r="J817" s="515">
        <v>6</v>
      </c>
    </row>
    <row r="818" spans="1:10" ht="13.8" thickBot="1">
      <c r="A818" s="517"/>
      <c r="B818" s="518" t="s">
        <v>12300</v>
      </c>
      <c r="C818" s="516"/>
      <c r="D818" s="514" t="s">
        <v>1612</v>
      </c>
      <c r="E818" s="515">
        <v>4</v>
      </c>
      <c r="F818" s="518" t="s">
        <v>614</v>
      </c>
      <c r="G818" s="515" t="s">
        <v>4214</v>
      </c>
      <c r="H818" s="514" t="s">
        <v>1226</v>
      </c>
      <c r="I818" s="515"/>
      <c r="J818" s="515">
        <v>1</v>
      </c>
    </row>
    <row r="819" spans="1:10" ht="13.8" thickBot="1">
      <c r="A819" s="517"/>
      <c r="B819" s="518" t="s">
        <v>13262</v>
      </c>
      <c r="C819" s="516"/>
      <c r="D819" s="514" t="s">
        <v>2594</v>
      </c>
      <c r="E819" s="515">
        <v>3.5</v>
      </c>
      <c r="F819" s="518" t="s">
        <v>614</v>
      </c>
      <c r="G819" s="515" t="s">
        <v>2523</v>
      </c>
      <c r="H819" s="514"/>
      <c r="I819" s="515"/>
      <c r="J819" s="515">
        <v>1</v>
      </c>
    </row>
    <row r="820" spans="1:10" ht="13.8" thickBot="1">
      <c r="A820" s="517"/>
      <c r="B820" s="518" t="s">
        <v>12024</v>
      </c>
      <c r="C820" s="516"/>
      <c r="D820" s="514" t="s">
        <v>12023</v>
      </c>
      <c r="E820" s="515">
        <v>5</v>
      </c>
      <c r="F820" s="518" t="s">
        <v>614</v>
      </c>
      <c r="G820" s="515" t="s">
        <v>5059</v>
      </c>
      <c r="H820" s="514"/>
      <c r="I820" s="515"/>
      <c r="J820" s="515">
        <v>1</v>
      </c>
    </row>
    <row r="821" spans="1:10" ht="13.8" thickBot="1">
      <c r="A821" s="517"/>
      <c r="B821" s="518" t="s">
        <v>12258</v>
      </c>
      <c r="C821" s="516"/>
      <c r="D821" s="514" t="s">
        <v>1638</v>
      </c>
      <c r="E821" s="515">
        <v>5.5</v>
      </c>
      <c r="F821" s="518" t="s">
        <v>614</v>
      </c>
      <c r="G821" s="515" t="s">
        <v>4438</v>
      </c>
      <c r="H821" s="514" t="s">
        <v>1224</v>
      </c>
      <c r="I821" s="515"/>
      <c r="J821" s="515">
        <v>3</v>
      </c>
    </row>
    <row r="822" spans="1:10" ht="13.8" thickBot="1">
      <c r="A822" s="517"/>
      <c r="B822" s="518" t="s">
        <v>13536</v>
      </c>
      <c r="C822" s="516"/>
      <c r="D822" s="514" t="s">
        <v>13535</v>
      </c>
      <c r="E822" s="515">
        <v>7</v>
      </c>
      <c r="F822" s="518" t="s">
        <v>614</v>
      </c>
      <c r="G822" s="515" t="s">
        <v>2523</v>
      </c>
      <c r="H822" s="514"/>
      <c r="I822" s="515"/>
      <c r="J822" s="515">
        <v>1</v>
      </c>
    </row>
    <row r="823" spans="1:10" ht="13.8" thickBot="1">
      <c r="A823" s="517"/>
      <c r="B823" s="518" t="s">
        <v>12102</v>
      </c>
      <c r="C823" s="516"/>
      <c r="D823" s="514" t="s">
        <v>1598</v>
      </c>
      <c r="E823" s="515">
        <v>4</v>
      </c>
      <c r="F823" s="518" t="s">
        <v>614</v>
      </c>
      <c r="G823" s="515" t="s">
        <v>4970</v>
      </c>
      <c r="H823" s="514"/>
      <c r="I823" s="515"/>
      <c r="J823" s="515">
        <v>1</v>
      </c>
    </row>
    <row r="824" spans="1:10" ht="13.8" thickBot="1">
      <c r="A824" s="517"/>
      <c r="B824" s="518" t="s">
        <v>12255</v>
      </c>
      <c r="C824" s="516"/>
      <c r="D824" s="514" t="s">
        <v>1638</v>
      </c>
      <c r="E824" s="515">
        <v>4.5</v>
      </c>
      <c r="F824" s="518" t="s">
        <v>614</v>
      </c>
      <c r="G824" s="515" t="s">
        <v>4438</v>
      </c>
      <c r="H824" s="514"/>
      <c r="I824" s="515"/>
      <c r="J824" s="515">
        <v>1</v>
      </c>
    </row>
    <row r="825" spans="1:10" ht="13.8" thickBot="1">
      <c r="A825" s="517"/>
      <c r="B825" s="518" t="s">
        <v>12740</v>
      </c>
      <c r="C825" s="516"/>
      <c r="D825" s="514" t="s">
        <v>3621</v>
      </c>
      <c r="E825" s="515">
        <v>5.5</v>
      </c>
      <c r="F825" s="514"/>
      <c r="G825" s="515" t="s">
        <v>3517</v>
      </c>
      <c r="H825" s="514" t="s">
        <v>1224</v>
      </c>
      <c r="I825" s="515"/>
      <c r="J825" s="515">
        <v>1</v>
      </c>
    </row>
    <row r="826" spans="1:10" ht="13.8" thickBot="1">
      <c r="A826" s="517"/>
      <c r="B826" s="518" t="s">
        <v>12865</v>
      </c>
      <c r="C826" s="516"/>
      <c r="D826" s="514" t="s">
        <v>1447</v>
      </c>
      <c r="E826" s="515">
        <v>6</v>
      </c>
      <c r="F826" s="518" t="s">
        <v>614</v>
      </c>
      <c r="G826" s="515" t="s">
        <v>3448</v>
      </c>
      <c r="H826" s="514"/>
      <c r="I826" s="515"/>
      <c r="J826" s="515">
        <v>1</v>
      </c>
    </row>
    <row r="827" spans="1:10" ht="13.8" thickBot="1">
      <c r="A827" s="517"/>
      <c r="B827" s="518" t="s">
        <v>13019</v>
      </c>
      <c r="C827" s="516"/>
      <c r="D827" s="514" t="s">
        <v>13018</v>
      </c>
      <c r="E827" s="515">
        <v>4.5</v>
      </c>
      <c r="F827" s="518" t="s">
        <v>614</v>
      </c>
      <c r="G827" s="515" t="s">
        <v>2957</v>
      </c>
      <c r="H827" s="514"/>
      <c r="I827" s="515"/>
      <c r="J827" s="515">
        <v>1</v>
      </c>
    </row>
    <row r="828" spans="1:10" ht="13.8" thickBot="1">
      <c r="A828" s="517"/>
      <c r="B828" s="518" t="s">
        <v>12246</v>
      </c>
      <c r="C828" s="516"/>
      <c r="D828" s="514" t="s">
        <v>12245</v>
      </c>
      <c r="E828" s="515">
        <v>7</v>
      </c>
      <c r="F828" s="518" t="s">
        <v>614</v>
      </c>
      <c r="G828" s="515" t="s">
        <v>4536</v>
      </c>
      <c r="H828" s="514" t="s">
        <v>1226</v>
      </c>
      <c r="I828" s="515"/>
      <c r="J828" s="515">
        <v>3</v>
      </c>
    </row>
    <row r="829" spans="1:10" ht="13.8" thickBot="1">
      <c r="A829" s="517"/>
      <c r="B829" s="518" t="s">
        <v>13911</v>
      </c>
      <c r="C829" s="516"/>
      <c r="D829" s="514" t="s">
        <v>13910</v>
      </c>
      <c r="E829" s="515">
        <v>6.5</v>
      </c>
      <c r="F829" s="518" t="s">
        <v>614</v>
      </c>
      <c r="G829" s="515" t="s">
        <v>2032</v>
      </c>
      <c r="H829" s="514"/>
      <c r="I829" s="515"/>
      <c r="J829" s="515">
        <v>2</v>
      </c>
    </row>
    <row r="830" spans="1:10" ht="13.8" thickBot="1">
      <c r="A830" s="517"/>
      <c r="B830" s="518" t="s">
        <v>14130</v>
      </c>
      <c r="C830" s="516"/>
      <c r="D830" s="514" t="s">
        <v>14129</v>
      </c>
      <c r="E830" s="515">
        <v>5</v>
      </c>
      <c r="F830" s="518" t="s">
        <v>614</v>
      </c>
      <c r="G830" s="515" t="s">
        <v>1793</v>
      </c>
      <c r="H830" s="514"/>
      <c r="I830" s="515"/>
      <c r="J830" s="515">
        <v>1</v>
      </c>
    </row>
    <row r="831" spans="1:10" ht="13.8" thickBot="1">
      <c r="A831" s="517"/>
      <c r="B831" s="518" t="s">
        <v>12920</v>
      </c>
      <c r="C831" s="516"/>
      <c r="D831" s="514" t="s">
        <v>12919</v>
      </c>
      <c r="E831" s="515">
        <v>5.5</v>
      </c>
      <c r="F831" s="518" t="s">
        <v>614</v>
      </c>
      <c r="G831" s="515" t="s">
        <v>3161</v>
      </c>
      <c r="H831" s="514"/>
      <c r="I831" s="515"/>
      <c r="J831" s="515">
        <v>1</v>
      </c>
    </row>
    <row r="832" spans="1:10" ht="13.8" thickBot="1">
      <c r="A832" s="517"/>
      <c r="B832" s="518" t="s">
        <v>13483</v>
      </c>
      <c r="C832" s="516"/>
      <c r="D832" s="514" t="s">
        <v>13482</v>
      </c>
      <c r="E832" s="515">
        <v>6.5</v>
      </c>
      <c r="F832" s="518" t="s">
        <v>614</v>
      </c>
      <c r="G832" s="515" t="s">
        <v>2523</v>
      </c>
      <c r="H832" s="514" t="s">
        <v>1224</v>
      </c>
      <c r="I832" s="515"/>
      <c r="J832" s="515">
        <v>1</v>
      </c>
    </row>
    <row r="833" spans="1:10" ht="13.8" thickBot="1">
      <c r="A833" s="517"/>
      <c r="B833" s="518" t="s">
        <v>13040</v>
      </c>
      <c r="C833" s="516"/>
      <c r="D833" s="514" t="s">
        <v>1554</v>
      </c>
      <c r="E833" s="515">
        <v>5</v>
      </c>
      <c r="F833" s="514"/>
      <c r="G833" s="515" t="s">
        <v>2957</v>
      </c>
      <c r="H833" s="514" t="s">
        <v>1224</v>
      </c>
      <c r="I833" s="515"/>
      <c r="J833" s="515">
        <v>1</v>
      </c>
    </row>
    <row r="834" spans="1:10" ht="13.8" thickBot="1">
      <c r="A834" s="517"/>
      <c r="B834" s="518" t="s">
        <v>12771</v>
      </c>
      <c r="C834" s="516"/>
      <c r="D834" s="514" t="s">
        <v>12770</v>
      </c>
      <c r="E834" s="515">
        <v>6.3</v>
      </c>
      <c r="F834" s="518" t="s">
        <v>614</v>
      </c>
      <c r="G834" s="515" t="s">
        <v>3517</v>
      </c>
      <c r="H834" s="514"/>
      <c r="I834" s="515"/>
      <c r="J834" s="515">
        <v>2</v>
      </c>
    </row>
    <row r="835" spans="1:10" ht="13.8" thickBot="1">
      <c r="A835" s="517"/>
      <c r="B835" s="518" t="s">
        <v>13033</v>
      </c>
      <c r="C835" s="516"/>
      <c r="D835" s="514" t="s">
        <v>13032</v>
      </c>
      <c r="E835" s="515">
        <v>5</v>
      </c>
      <c r="F835" s="518" t="s">
        <v>614</v>
      </c>
      <c r="G835" s="515" t="s">
        <v>2957</v>
      </c>
      <c r="H835" s="514"/>
      <c r="I835" s="515"/>
      <c r="J835" s="515">
        <v>1</v>
      </c>
    </row>
    <row r="836" spans="1:10" ht="13.8" thickBot="1">
      <c r="A836" s="517"/>
      <c r="B836" s="518" t="s">
        <v>12227</v>
      </c>
      <c r="C836" s="516"/>
      <c r="D836" s="514" t="s">
        <v>12226</v>
      </c>
      <c r="E836" s="515">
        <v>6.7</v>
      </c>
      <c r="F836" s="518" t="s">
        <v>614</v>
      </c>
      <c r="G836" s="515" t="s">
        <v>4672</v>
      </c>
      <c r="H836" s="514" t="s">
        <v>1224</v>
      </c>
      <c r="I836" s="515"/>
      <c r="J836" s="515">
        <v>5</v>
      </c>
    </row>
    <row r="837" spans="1:10" ht="13.8" thickBot="1">
      <c r="A837" s="517"/>
      <c r="B837" s="518" t="s">
        <v>13473</v>
      </c>
      <c r="C837" s="516"/>
      <c r="D837" s="514" t="s">
        <v>13472</v>
      </c>
      <c r="E837" s="515">
        <v>6.4</v>
      </c>
      <c r="F837" s="518" t="s">
        <v>614</v>
      </c>
      <c r="G837" s="515" t="s">
        <v>2523</v>
      </c>
      <c r="H837" s="514" t="s">
        <v>1841</v>
      </c>
      <c r="I837" s="515"/>
      <c r="J837" s="515">
        <v>7</v>
      </c>
    </row>
    <row r="838" spans="1:10" ht="13.8" thickBot="1">
      <c r="A838" s="517"/>
      <c r="B838" s="518" t="s">
        <v>11998</v>
      </c>
      <c r="C838" s="516"/>
      <c r="D838" s="514" t="s">
        <v>11997</v>
      </c>
      <c r="E838" s="515">
        <v>7</v>
      </c>
      <c r="F838" s="518" t="s">
        <v>614</v>
      </c>
      <c r="G838" s="515" t="s">
        <v>5155</v>
      </c>
      <c r="H838" s="514" t="s">
        <v>1226</v>
      </c>
      <c r="I838" s="515"/>
      <c r="J838" s="515">
        <v>2</v>
      </c>
    </row>
    <row r="839" spans="1:10" ht="13.8" thickBot="1">
      <c r="A839" s="517"/>
      <c r="B839" s="518" t="s">
        <v>12065</v>
      </c>
      <c r="C839" s="516"/>
      <c r="D839" s="514" t="s">
        <v>12064</v>
      </c>
      <c r="E839" s="515">
        <v>5.5</v>
      </c>
      <c r="F839" s="514"/>
      <c r="G839" s="515" t="s">
        <v>5010</v>
      </c>
      <c r="H839" s="514"/>
      <c r="I839" s="515"/>
      <c r="J839" s="515">
        <v>1</v>
      </c>
    </row>
    <row r="840" spans="1:10" ht="13.8" thickBot="1">
      <c r="A840" s="517"/>
      <c r="B840" s="518" t="s">
        <v>12428</v>
      </c>
      <c r="C840" s="516"/>
      <c r="D840" s="514" t="s">
        <v>12427</v>
      </c>
      <c r="E840" s="515">
        <v>7</v>
      </c>
      <c r="F840" s="518" t="s">
        <v>614</v>
      </c>
      <c r="G840" s="515" t="s">
        <v>4102</v>
      </c>
      <c r="H840" s="514"/>
      <c r="I840" s="515"/>
      <c r="J840" s="515">
        <v>1</v>
      </c>
    </row>
    <row r="841" spans="1:10" ht="13.8" thickBot="1">
      <c r="A841" s="517"/>
      <c r="B841" s="518" t="s">
        <v>13823</v>
      </c>
      <c r="C841" s="516"/>
      <c r="D841" s="514" t="s">
        <v>13822</v>
      </c>
      <c r="E841" s="515">
        <v>6.8</v>
      </c>
      <c r="F841" s="518" t="s">
        <v>614</v>
      </c>
      <c r="G841" s="515" t="s">
        <v>2152</v>
      </c>
      <c r="H841" s="514" t="s">
        <v>1226</v>
      </c>
      <c r="I841" s="515"/>
      <c r="J841" s="515">
        <v>3</v>
      </c>
    </row>
    <row r="842" spans="1:10" ht="13.8" thickBot="1">
      <c r="A842" s="517"/>
      <c r="B842" s="518" t="s">
        <v>13895</v>
      </c>
      <c r="C842" s="516"/>
      <c r="D842" s="514" t="s">
        <v>13894</v>
      </c>
      <c r="E842" s="515">
        <v>6</v>
      </c>
      <c r="F842" s="518" t="s">
        <v>614</v>
      </c>
      <c r="G842" s="515" t="s">
        <v>2032</v>
      </c>
      <c r="H842" s="514" t="s">
        <v>1226</v>
      </c>
      <c r="I842" s="515"/>
      <c r="J842" s="515">
        <v>5</v>
      </c>
    </row>
    <row r="843" spans="1:10" ht="13.8" thickBot="1">
      <c r="A843" s="517"/>
      <c r="B843" s="518" t="s">
        <v>13525</v>
      </c>
      <c r="C843" s="516"/>
      <c r="D843" s="514" t="s">
        <v>13524</v>
      </c>
      <c r="E843" s="515">
        <v>6.75</v>
      </c>
      <c r="F843" s="518" t="s">
        <v>614</v>
      </c>
      <c r="G843" s="515" t="s">
        <v>2523</v>
      </c>
      <c r="H843" s="514" t="s">
        <v>1226</v>
      </c>
      <c r="I843" s="515">
        <v>1</v>
      </c>
      <c r="J843" s="515">
        <v>6</v>
      </c>
    </row>
    <row r="844" spans="1:10" ht="13.8" thickBot="1">
      <c r="A844" s="517"/>
      <c r="B844" s="518" t="s">
        <v>13660</v>
      </c>
      <c r="C844" s="516"/>
      <c r="D844" s="514" t="s">
        <v>13659</v>
      </c>
      <c r="E844" s="515">
        <v>6</v>
      </c>
      <c r="F844" s="518" t="s">
        <v>614</v>
      </c>
      <c r="G844" s="515" t="s">
        <v>2289</v>
      </c>
      <c r="H844" s="514" t="s">
        <v>1226</v>
      </c>
      <c r="I844" s="515"/>
      <c r="J844" s="515">
        <v>5</v>
      </c>
    </row>
    <row r="845" spans="1:10" ht="13.8" thickBot="1">
      <c r="A845" s="517"/>
      <c r="B845" s="518" t="s">
        <v>12680</v>
      </c>
      <c r="C845" s="516"/>
      <c r="D845" s="514" t="s">
        <v>12679</v>
      </c>
      <c r="E845" s="515">
        <v>5.5</v>
      </c>
      <c r="F845" s="518" t="s">
        <v>614</v>
      </c>
      <c r="G845" s="515" t="s">
        <v>3652</v>
      </c>
      <c r="H845" s="514"/>
      <c r="I845" s="515"/>
      <c r="J845" s="515">
        <v>1</v>
      </c>
    </row>
    <row r="846" spans="1:10" ht="13.8" thickBot="1">
      <c r="A846" s="517"/>
      <c r="B846" s="518" t="s">
        <v>14128</v>
      </c>
      <c r="C846" s="516"/>
      <c r="D846" s="514" t="s">
        <v>14127</v>
      </c>
      <c r="E846" s="515">
        <v>5</v>
      </c>
      <c r="F846" s="518" t="s">
        <v>614</v>
      </c>
      <c r="G846" s="515" t="s">
        <v>1793</v>
      </c>
      <c r="H846" s="514"/>
      <c r="I846" s="515"/>
      <c r="J846" s="515">
        <v>1</v>
      </c>
    </row>
    <row r="847" spans="1:10" ht="13.8" thickBot="1">
      <c r="A847" s="517"/>
      <c r="B847" s="518" t="s">
        <v>12381</v>
      </c>
      <c r="C847" s="516"/>
      <c r="D847" s="514" t="s">
        <v>12380</v>
      </c>
      <c r="E847" s="515">
        <v>6.5</v>
      </c>
      <c r="F847" s="518" t="s">
        <v>614</v>
      </c>
      <c r="G847" s="515" t="s">
        <v>4160</v>
      </c>
      <c r="H847" s="514"/>
      <c r="I847" s="515">
        <v>1</v>
      </c>
      <c r="J847" s="515">
        <v>2</v>
      </c>
    </row>
    <row r="848" spans="1:10" ht="13.8" thickBot="1">
      <c r="A848" s="517"/>
      <c r="B848" s="518" t="s">
        <v>13857</v>
      </c>
      <c r="C848" s="516"/>
      <c r="D848" s="514" t="s">
        <v>13856</v>
      </c>
      <c r="E848" s="515">
        <v>4</v>
      </c>
      <c r="F848" s="518" t="s">
        <v>614</v>
      </c>
      <c r="G848" s="515" t="s">
        <v>2032</v>
      </c>
      <c r="H848" s="514"/>
      <c r="I848" s="515"/>
      <c r="J848" s="515">
        <v>1</v>
      </c>
    </row>
    <row r="849" spans="1:10" ht="13.8" thickBot="1">
      <c r="A849" s="517"/>
      <c r="B849" s="518" t="s">
        <v>14184</v>
      </c>
      <c r="C849" s="516"/>
      <c r="D849" s="514" t="s">
        <v>14127</v>
      </c>
      <c r="E849" s="515">
        <v>6</v>
      </c>
      <c r="F849" s="518" t="s">
        <v>614</v>
      </c>
      <c r="G849" s="515" t="s">
        <v>1793</v>
      </c>
      <c r="H849" s="514"/>
      <c r="I849" s="515"/>
      <c r="J849" s="515">
        <v>1</v>
      </c>
    </row>
    <row r="850" spans="1:10" ht="13.8" thickBot="1">
      <c r="A850" s="517"/>
      <c r="B850" s="518" t="s">
        <v>12717</v>
      </c>
      <c r="C850" s="516"/>
      <c r="D850" s="514" t="s">
        <v>12716</v>
      </c>
      <c r="E850" s="515">
        <v>4.5</v>
      </c>
      <c r="F850" s="518" t="s">
        <v>614</v>
      </c>
      <c r="G850" s="515" t="s">
        <v>3517</v>
      </c>
      <c r="H850" s="514"/>
      <c r="I850" s="515"/>
      <c r="J850" s="515">
        <v>1</v>
      </c>
    </row>
    <row r="851" spans="1:10" ht="13.8" thickBot="1">
      <c r="A851" s="517"/>
      <c r="B851" s="518" t="s">
        <v>14173</v>
      </c>
      <c r="C851" s="516"/>
      <c r="D851" s="514" t="s">
        <v>14172</v>
      </c>
      <c r="E851" s="515">
        <v>5.5</v>
      </c>
      <c r="F851" s="518" t="s">
        <v>614</v>
      </c>
      <c r="G851" s="515" t="s">
        <v>1793</v>
      </c>
      <c r="H851" s="514" t="s">
        <v>1226</v>
      </c>
      <c r="I851" s="515"/>
      <c r="J851" s="515">
        <v>4</v>
      </c>
    </row>
    <row r="852" spans="1:10" ht="13.8" thickBot="1">
      <c r="A852" s="517"/>
      <c r="B852" s="518" t="s">
        <v>12337</v>
      </c>
      <c r="C852" s="516"/>
      <c r="D852" s="514" t="s">
        <v>12336</v>
      </c>
      <c r="E852" s="515">
        <v>6.25</v>
      </c>
      <c r="F852" s="518" t="s">
        <v>614</v>
      </c>
      <c r="G852" s="515" t="s">
        <v>4214</v>
      </c>
      <c r="H852" s="514"/>
      <c r="I852" s="515"/>
      <c r="J852" s="515">
        <v>1</v>
      </c>
    </row>
    <row r="853" spans="1:10" ht="13.8" thickBot="1">
      <c r="A853" s="517"/>
      <c r="B853" s="518" t="s">
        <v>13011</v>
      </c>
      <c r="C853" s="516"/>
      <c r="D853" s="514" t="s">
        <v>13010</v>
      </c>
      <c r="E853" s="515">
        <v>4</v>
      </c>
      <c r="F853" s="518" t="s">
        <v>614</v>
      </c>
      <c r="G853" s="515" t="s">
        <v>2957</v>
      </c>
      <c r="H853" s="514"/>
      <c r="I853" s="515"/>
      <c r="J853" s="515">
        <v>1</v>
      </c>
    </row>
    <row r="854" spans="1:10" ht="13.8" thickBot="1">
      <c r="A854" s="517"/>
      <c r="B854" s="518" t="s">
        <v>12442</v>
      </c>
      <c r="C854" s="516"/>
      <c r="D854" s="514" t="s">
        <v>12441</v>
      </c>
      <c r="E854" s="515">
        <v>6</v>
      </c>
      <c r="F854" s="518" t="s">
        <v>614</v>
      </c>
      <c r="G854" s="515" t="s">
        <v>4067</v>
      </c>
      <c r="H854" s="514" t="s">
        <v>1226</v>
      </c>
      <c r="I854" s="515"/>
      <c r="J854" s="515">
        <v>7</v>
      </c>
    </row>
    <row r="855" spans="1:10" ht="13.8" thickBot="1">
      <c r="A855" s="517"/>
      <c r="B855" s="518" t="s">
        <v>13009</v>
      </c>
      <c r="C855" s="516"/>
      <c r="D855" s="514" t="s">
        <v>13008</v>
      </c>
      <c r="E855" s="515">
        <v>4</v>
      </c>
      <c r="F855" s="518" t="s">
        <v>614</v>
      </c>
      <c r="G855" s="515" t="s">
        <v>2957</v>
      </c>
      <c r="H855" s="514"/>
      <c r="I855" s="515"/>
      <c r="J855" s="515">
        <v>1</v>
      </c>
    </row>
    <row r="856" spans="1:10" ht="13.8" thickBot="1">
      <c r="A856" s="517"/>
      <c r="B856" s="518" t="s">
        <v>13093</v>
      </c>
      <c r="C856" s="516"/>
      <c r="D856" s="514" t="s">
        <v>13092</v>
      </c>
      <c r="E856" s="515">
        <v>6</v>
      </c>
      <c r="F856" s="518" t="s">
        <v>614</v>
      </c>
      <c r="G856" s="515" t="s">
        <v>2957</v>
      </c>
      <c r="H856" s="514" t="s">
        <v>1226</v>
      </c>
      <c r="I856" s="515">
        <v>1</v>
      </c>
      <c r="J856" s="515">
        <v>3</v>
      </c>
    </row>
    <row r="857" spans="1:10" ht="13.8" thickBot="1">
      <c r="A857" s="517"/>
      <c r="B857" s="518" t="s">
        <v>13717</v>
      </c>
      <c r="C857" s="516"/>
      <c r="D857" s="514" t="s">
        <v>13716</v>
      </c>
      <c r="E857" s="515">
        <v>7</v>
      </c>
      <c r="F857" s="518" t="s">
        <v>614</v>
      </c>
      <c r="G857" s="515" t="s">
        <v>2289</v>
      </c>
      <c r="H857" s="514"/>
      <c r="I857" s="515"/>
      <c r="J857" s="515">
        <v>1</v>
      </c>
    </row>
    <row r="858" spans="1:10" ht="13.8" thickBot="1">
      <c r="A858" s="517"/>
      <c r="B858" s="518" t="s">
        <v>13479</v>
      </c>
      <c r="C858" s="516"/>
      <c r="D858" s="514" t="s">
        <v>13352</v>
      </c>
      <c r="E858" s="515">
        <v>6.5</v>
      </c>
      <c r="F858" s="518" t="s">
        <v>614</v>
      </c>
      <c r="G858" s="515" t="s">
        <v>2523</v>
      </c>
      <c r="H858" s="514"/>
      <c r="I858" s="515"/>
      <c r="J858" s="515">
        <v>1</v>
      </c>
    </row>
    <row r="859" spans="1:10" ht="13.8" thickBot="1">
      <c r="A859" s="517"/>
      <c r="B859" s="518" t="s">
        <v>12053</v>
      </c>
      <c r="C859" s="516"/>
      <c r="D859" s="514" t="s">
        <v>12052</v>
      </c>
      <c r="E859" s="515">
        <v>4</v>
      </c>
      <c r="F859" s="518" t="s">
        <v>614</v>
      </c>
      <c r="G859" s="515" t="s">
        <v>5010</v>
      </c>
      <c r="H859" s="514"/>
      <c r="I859" s="515"/>
      <c r="J859" s="515">
        <v>1</v>
      </c>
    </row>
    <row r="860" spans="1:10" ht="13.8" thickBot="1">
      <c r="A860" s="517"/>
      <c r="B860" s="518" t="s">
        <v>13425</v>
      </c>
      <c r="C860" s="516"/>
      <c r="D860" s="514" t="s">
        <v>13424</v>
      </c>
      <c r="E860" s="515">
        <v>6</v>
      </c>
      <c r="F860" s="518" t="s">
        <v>614</v>
      </c>
      <c r="G860" s="515" t="s">
        <v>2523</v>
      </c>
      <c r="H860" s="514" t="s">
        <v>1226</v>
      </c>
      <c r="I860" s="515"/>
      <c r="J860" s="515">
        <v>5</v>
      </c>
    </row>
    <row r="861" spans="1:10" ht="13.8" thickBot="1">
      <c r="A861" s="517"/>
      <c r="B861" s="518" t="s">
        <v>13959</v>
      </c>
      <c r="C861" s="516"/>
      <c r="D861" s="514" t="s">
        <v>13958</v>
      </c>
      <c r="E861" s="515">
        <v>3.5</v>
      </c>
      <c r="F861" s="518" t="s">
        <v>614</v>
      </c>
      <c r="G861" s="515" t="s">
        <v>1922</v>
      </c>
      <c r="H861" s="514"/>
      <c r="I861" s="515"/>
      <c r="J861" s="515">
        <v>1</v>
      </c>
    </row>
    <row r="862" spans="1:10" ht="13.8" thickBot="1">
      <c r="A862" s="517"/>
      <c r="B862" s="518" t="s">
        <v>13519</v>
      </c>
      <c r="C862" s="516"/>
      <c r="D862" s="514" t="s">
        <v>2571</v>
      </c>
      <c r="E862" s="515">
        <v>6.75</v>
      </c>
      <c r="F862" s="518" t="s">
        <v>614</v>
      </c>
      <c r="G862" s="515" t="s">
        <v>2523</v>
      </c>
      <c r="H862" s="514" t="s">
        <v>1226</v>
      </c>
      <c r="I862" s="515"/>
      <c r="J862" s="515">
        <v>3</v>
      </c>
    </row>
    <row r="863" spans="1:10" ht="13.8" thickBot="1">
      <c r="A863" s="517"/>
      <c r="B863" s="518" t="s">
        <v>12326</v>
      </c>
      <c r="C863" s="516"/>
      <c r="D863" s="514" t="s">
        <v>12325</v>
      </c>
      <c r="E863" s="515">
        <v>6</v>
      </c>
      <c r="F863" s="518" t="s">
        <v>614</v>
      </c>
      <c r="G863" s="515" t="s">
        <v>4214</v>
      </c>
      <c r="H863" s="514" t="s">
        <v>1224</v>
      </c>
      <c r="I863" s="515"/>
      <c r="J863" s="515">
        <v>1</v>
      </c>
    </row>
    <row r="864" spans="1:10" ht="13.8" thickBot="1">
      <c r="A864" s="517"/>
      <c r="B864" s="518" t="s">
        <v>12516</v>
      </c>
      <c r="C864" s="516"/>
      <c r="D864" s="514" t="s">
        <v>12515</v>
      </c>
      <c r="E864" s="515">
        <v>6</v>
      </c>
      <c r="F864" s="518" t="s">
        <v>614</v>
      </c>
      <c r="G864" s="515" t="s">
        <v>3856</v>
      </c>
      <c r="H864" s="514" t="s">
        <v>1224</v>
      </c>
      <c r="I864" s="515"/>
      <c r="J864" s="515">
        <v>4</v>
      </c>
    </row>
    <row r="865" spans="1:10" ht="13.8" thickBot="1">
      <c r="A865" s="517"/>
      <c r="B865" s="518" t="s">
        <v>12787</v>
      </c>
      <c r="C865" s="516"/>
      <c r="D865" s="514" t="s">
        <v>12786</v>
      </c>
      <c r="E865" s="515">
        <v>6.5</v>
      </c>
      <c r="F865" s="518" t="s">
        <v>614</v>
      </c>
      <c r="G865" s="515" t="s">
        <v>3517</v>
      </c>
      <c r="H865" s="514" t="s">
        <v>1226</v>
      </c>
      <c r="I865" s="515"/>
      <c r="J865" s="515">
        <v>6</v>
      </c>
    </row>
    <row r="866" spans="1:10" ht="13.8" thickBot="1">
      <c r="A866" s="517"/>
      <c r="B866" s="518" t="s">
        <v>12335</v>
      </c>
      <c r="C866" s="516"/>
      <c r="D866" s="514" t="s">
        <v>12334</v>
      </c>
      <c r="E866" s="515">
        <v>6.25</v>
      </c>
      <c r="F866" s="518" t="s">
        <v>614</v>
      </c>
      <c r="G866" s="515" t="s">
        <v>4214</v>
      </c>
      <c r="H866" s="514"/>
      <c r="I866" s="515"/>
      <c r="J866" s="515">
        <v>1</v>
      </c>
    </row>
    <row r="867" spans="1:10" ht="13.8" thickBot="1">
      <c r="A867" s="517"/>
      <c r="B867" s="518" t="s">
        <v>13043</v>
      </c>
      <c r="C867" s="516"/>
      <c r="D867" s="514" t="s">
        <v>13042</v>
      </c>
      <c r="E867" s="515">
        <v>5</v>
      </c>
      <c r="F867" s="518" t="s">
        <v>614</v>
      </c>
      <c r="G867" s="515" t="s">
        <v>2957</v>
      </c>
      <c r="H867" s="514" t="s">
        <v>1226</v>
      </c>
      <c r="I867" s="515"/>
      <c r="J867" s="515">
        <v>1</v>
      </c>
    </row>
    <row r="868" spans="1:10" ht="13.8" thickBot="1">
      <c r="A868" s="517"/>
      <c r="B868" s="518" t="s">
        <v>12518</v>
      </c>
      <c r="C868" s="516"/>
      <c r="D868" s="514" t="s">
        <v>12517</v>
      </c>
      <c r="E868" s="515">
        <v>6</v>
      </c>
      <c r="F868" s="518" t="s">
        <v>614</v>
      </c>
      <c r="G868" s="515" t="s">
        <v>3856</v>
      </c>
      <c r="H868" s="514" t="s">
        <v>1226</v>
      </c>
      <c r="I868" s="515"/>
      <c r="J868" s="515">
        <v>3</v>
      </c>
    </row>
    <row r="869" spans="1:10" ht="13.8" thickBot="1">
      <c r="A869" s="517"/>
      <c r="B869" s="518" t="s">
        <v>11923</v>
      </c>
      <c r="C869" s="516"/>
      <c r="D869" s="514" t="s">
        <v>11922</v>
      </c>
      <c r="E869" s="515">
        <v>6.5</v>
      </c>
      <c r="F869" s="518" t="s">
        <v>614</v>
      </c>
      <c r="G869" s="515" t="s">
        <v>5226</v>
      </c>
      <c r="H869" s="514" t="s">
        <v>1224</v>
      </c>
      <c r="I869" s="515"/>
      <c r="J869" s="515">
        <v>3</v>
      </c>
    </row>
    <row r="870" spans="1:10" ht="13.8" thickBot="1">
      <c r="A870" s="517"/>
      <c r="B870" s="518" t="s">
        <v>13797</v>
      </c>
      <c r="C870" s="516"/>
      <c r="D870" s="514" t="s">
        <v>13796</v>
      </c>
      <c r="E870" s="515">
        <v>6</v>
      </c>
      <c r="F870" s="518" t="s">
        <v>614</v>
      </c>
      <c r="G870" s="515" t="s">
        <v>2152</v>
      </c>
      <c r="H870" s="514"/>
      <c r="I870" s="515"/>
      <c r="J870" s="515">
        <v>1</v>
      </c>
    </row>
    <row r="871" spans="1:10" ht="13.8" thickBot="1">
      <c r="A871" s="517"/>
      <c r="B871" s="518" t="s">
        <v>13652</v>
      </c>
      <c r="C871" s="516"/>
      <c r="D871" s="514" t="s">
        <v>1726</v>
      </c>
      <c r="E871" s="515">
        <v>6</v>
      </c>
      <c r="F871" s="518" t="s">
        <v>614</v>
      </c>
      <c r="G871" s="515" t="s">
        <v>2289</v>
      </c>
      <c r="H871" s="514" t="s">
        <v>1224</v>
      </c>
      <c r="I871" s="515"/>
      <c r="J871" s="515">
        <v>1</v>
      </c>
    </row>
    <row r="872" spans="1:10" ht="13.8" thickBot="1">
      <c r="A872" s="517"/>
      <c r="B872" s="518" t="s">
        <v>14095</v>
      </c>
      <c r="C872" s="516"/>
      <c r="D872" s="514" t="s">
        <v>14094</v>
      </c>
      <c r="E872" s="515">
        <v>3.5</v>
      </c>
      <c r="F872" s="518" t="s">
        <v>614</v>
      </c>
      <c r="G872" s="515" t="s">
        <v>1793</v>
      </c>
      <c r="H872" s="514"/>
      <c r="I872" s="515"/>
      <c r="J872" s="515">
        <v>1</v>
      </c>
    </row>
    <row r="873" spans="1:10" ht="13.8" thickBot="1">
      <c r="A873" s="517"/>
      <c r="B873" s="518" t="s">
        <v>13355</v>
      </c>
      <c r="C873" s="516"/>
      <c r="D873" s="514" t="s">
        <v>13354</v>
      </c>
      <c r="E873" s="515">
        <v>5.5</v>
      </c>
      <c r="F873" s="518" t="s">
        <v>614</v>
      </c>
      <c r="G873" s="515" t="s">
        <v>2523</v>
      </c>
      <c r="H873" s="514"/>
      <c r="I873" s="515"/>
      <c r="J873" s="515">
        <v>1</v>
      </c>
    </row>
    <row r="874" spans="1:10" ht="13.8" thickBot="1">
      <c r="A874" s="517"/>
      <c r="B874" s="518" t="s">
        <v>13570</v>
      </c>
      <c r="C874" s="516"/>
      <c r="D874" s="514" t="s">
        <v>2487</v>
      </c>
      <c r="E874" s="515">
        <v>4.5</v>
      </c>
      <c r="F874" s="518" t="s">
        <v>614</v>
      </c>
      <c r="G874" s="515" t="s">
        <v>2449</v>
      </c>
      <c r="H874" s="514"/>
      <c r="I874" s="515"/>
      <c r="J874" s="515">
        <v>1</v>
      </c>
    </row>
    <row r="875" spans="1:10" ht="13.8" thickBot="1">
      <c r="A875" s="517"/>
      <c r="B875" s="518" t="s">
        <v>12514</v>
      </c>
      <c r="C875" s="516"/>
      <c r="D875" s="514" t="s">
        <v>12513</v>
      </c>
      <c r="E875" s="515">
        <v>6</v>
      </c>
      <c r="F875" s="518" t="s">
        <v>614</v>
      </c>
      <c r="G875" s="515" t="s">
        <v>3856</v>
      </c>
      <c r="H875" s="514" t="s">
        <v>1224</v>
      </c>
      <c r="I875" s="515"/>
      <c r="J875" s="515">
        <v>1</v>
      </c>
    </row>
    <row r="876" spans="1:10" ht="13.8" thickBot="1">
      <c r="A876" s="517"/>
      <c r="B876" s="518" t="s">
        <v>12907</v>
      </c>
      <c r="C876" s="516"/>
      <c r="D876" s="514" t="s">
        <v>12906</v>
      </c>
      <c r="E876" s="515">
        <v>7.25</v>
      </c>
      <c r="F876" s="518" t="s">
        <v>614</v>
      </c>
      <c r="G876" s="515" t="s">
        <v>3285</v>
      </c>
      <c r="H876" s="514" t="s">
        <v>1251</v>
      </c>
      <c r="I876" s="515"/>
      <c r="J876" s="515">
        <v>1</v>
      </c>
    </row>
    <row r="877" spans="1:10" ht="13.8" thickBot="1">
      <c r="A877" s="517"/>
      <c r="B877" s="518" t="s">
        <v>13870</v>
      </c>
      <c r="C877" s="516"/>
      <c r="D877" s="514" t="s">
        <v>13869</v>
      </c>
      <c r="E877" s="515">
        <v>5.5</v>
      </c>
      <c r="F877" s="518" t="s">
        <v>614</v>
      </c>
      <c r="G877" s="515" t="s">
        <v>2032</v>
      </c>
      <c r="H877" s="514"/>
      <c r="I877" s="515"/>
      <c r="J877" s="515">
        <v>1</v>
      </c>
    </row>
    <row r="878" spans="1:10" ht="13.8" thickBot="1">
      <c r="A878" s="517"/>
      <c r="B878" s="518" t="s">
        <v>12331</v>
      </c>
      <c r="C878" s="516"/>
      <c r="D878" s="514" t="s">
        <v>1617</v>
      </c>
      <c r="E878" s="515">
        <v>6.1</v>
      </c>
      <c r="F878" s="518" t="s">
        <v>614</v>
      </c>
      <c r="G878" s="515" t="s">
        <v>4214</v>
      </c>
      <c r="H878" s="514"/>
      <c r="I878" s="515"/>
      <c r="J878" s="515">
        <v>1</v>
      </c>
    </row>
    <row r="879" spans="1:10" ht="13.8" thickBot="1">
      <c r="A879" s="517"/>
      <c r="B879" s="518" t="s">
        <v>11906</v>
      </c>
      <c r="C879" s="516"/>
      <c r="D879" s="514" t="s">
        <v>11905</v>
      </c>
      <c r="E879" s="515">
        <v>6</v>
      </c>
      <c r="F879" s="518" t="s">
        <v>614</v>
      </c>
      <c r="G879" s="515" t="s">
        <v>5245</v>
      </c>
      <c r="H879" s="514"/>
      <c r="I879" s="515"/>
      <c r="J879" s="515">
        <v>1</v>
      </c>
    </row>
    <row r="880" spans="1:10" ht="13.8" thickBot="1">
      <c r="A880" s="517"/>
      <c r="B880" s="518" t="s">
        <v>12645</v>
      </c>
      <c r="C880" s="516"/>
      <c r="D880" s="514" t="s">
        <v>12644</v>
      </c>
      <c r="E880" s="515">
        <v>6.5</v>
      </c>
      <c r="F880" s="518" t="s">
        <v>614</v>
      </c>
      <c r="G880" s="515" t="s">
        <v>3734</v>
      </c>
      <c r="H880" s="514" t="s">
        <v>2067</v>
      </c>
      <c r="I880" s="515"/>
      <c r="J880" s="515">
        <v>5</v>
      </c>
    </row>
    <row r="881" spans="1:10" ht="13.8" thickBot="1">
      <c r="A881" s="517"/>
      <c r="B881" s="518" t="s">
        <v>13311</v>
      </c>
      <c r="C881" s="516"/>
      <c r="D881" s="514" t="s">
        <v>13310</v>
      </c>
      <c r="E881" s="515">
        <v>5</v>
      </c>
      <c r="F881" s="518" t="s">
        <v>614</v>
      </c>
      <c r="G881" s="515" t="s">
        <v>2523</v>
      </c>
      <c r="H881" s="514"/>
      <c r="I881" s="515"/>
      <c r="J881" s="515">
        <v>1</v>
      </c>
    </row>
    <row r="882" spans="1:10" ht="13.8" thickBot="1">
      <c r="A882" s="517"/>
      <c r="B882" s="518" t="s">
        <v>13814</v>
      </c>
      <c r="C882" s="516"/>
      <c r="D882" s="519" t="s">
        <v>13813</v>
      </c>
      <c r="E882" s="515">
        <v>6.3</v>
      </c>
      <c r="F882" s="518" t="s">
        <v>614</v>
      </c>
      <c r="G882" s="515" t="s">
        <v>2152</v>
      </c>
      <c r="H882" s="514" t="s">
        <v>1226</v>
      </c>
      <c r="I882" s="515"/>
      <c r="J882" s="515">
        <v>7</v>
      </c>
    </row>
    <row r="883" spans="1:10" ht="13.8" thickBot="1">
      <c r="A883" s="517"/>
      <c r="B883" s="518" t="s">
        <v>12322</v>
      </c>
      <c r="C883" s="516"/>
      <c r="D883" s="514" t="s">
        <v>12321</v>
      </c>
      <c r="E883" s="515">
        <v>6</v>
      </c>
      <c r="F883" s="518" t="s">
        <v>614</v>
      </c>
      <c r="G883" s="515" t="s">
        <v>4214</v>
      </c>
      <c r="H883" s="514"/>
      <c r="I883" s="515"/>
      <c r="J883" s="515">
        <v>1</v>
      </c>
    </row>
    <row r="884" spans="1:10" ht="13.8" thickBot="1">
      <c r="A884" s="517"/>
      <c r="B884" s="518" t="s">
        <v>13375</v>
      </c>
      <c r="C884" s="516"/>
      <c r="D884" s="514" t="s">
        <v>13374</v>
      </c>
      <c r="E884" s="515">
        <v>5.5</v>
      </c>
      <c r="F884" s="518" t="s">
        <v>614</v>
      </c>
      <c r="G884" s="515" t="s">
        <v>2523</v>
      </c>
      <c r="H884" s="514" t="s">
        <v>1226</v>
      </c>
      <c r="I884" s="515"/>
      <c r="J884" s="515">
        <v>1</v>
      </c>
    </row>
    <row r="885" spans="1:10" ht="13.8" thickBot="1">
      <c r="A885" s="517"/>
      <c r="B885" s="518" t="s">
        <v>12347</v>
      </c>
      <c r="C885" s="516"/>
      <c r="D885" s="514" t="s">
        <v>12346</v>
      </c>
      <c r="E885" s="515">
        <v>6.5</v>
      </c>
      <c r="F885" s="518" t="s">
        <v>614</v>
      </c>
      <c r="G885" s="515" t="s">
        <v>4214</v>
      </c>
      <c r="H885" s="514" t="s">
        <v>1226</v>
      </c>
      <c r="I885" s="515"/>
      <c r="J885" s="515">
        <v>2</v>
      </c>
    </row>
    <row r="886" spans="1:10" ht="13.8" thickBot="1">
      <c r="A886" s="517"/>
      <c r="B886" s="518" t="s">
        <v>13878</v>
      </c>
      <c r="C886" s="516"/>
      <c r="D886" s="514" t="s">
        <v>2044</v>
      </c>
      <c r="E886" s="515">
        <v>5.5</v>
      </c>
      <c r="F886" s="518" t="s">
        <v>614</v>
      </c>
      <c r="G886" s="515" t="s">
        <v>2032</v>
      </c>
      <c r="H886" s="514" t="s">
        <v>1226</v>
      </c>
      <c r="I886" s="515"/>
      <c r="J886" s="515">
        <v>3</v>
      </c>
    </row>
    <row r="887" spans="1:10" ht="13.8" thickBot="1">
      <c r="A887" s="517"/>
      <c r="B887" s="518" t="s">
        <v>12252</v>
      </c>
      <c r="C887" s="516"/>
      <c r="D887" s="514" t="s">
        <v>12251</v>
      </c>
      <c r="E887" s="515">
        <v>6.25</v>
      </c>
      <c r="F887" s="518" t="s">
        <v>614</v>
      </c>
      <c r="G887" s="515" t="s">
        <v>4491</v>
      </c>
      <c r="H887" s="514" t="s">
        <v>1226</v>
      </c>
      <c r="I887" s="515"/>
      <c r="J887" s="515">
        <v>7</v>
      </c>
    </row>
    <row r="888" spans="1:10" ht="13.8" thickBot="1">
      <c r="A888" s="517"/>
      <c r="B888" s="518" t="s">
        <v>12558</v>
      </c>
      <c r="C888" s="516"/>
      <c r="D888" s="514" t="s">
        <v>12557</v>
      </c>
      <c r="E888" s="515">
        <v>5</v>
      </c>
      <c r="F888" s="518" t="s">
        <v>614</v>
      </c>
      <c r="G888" s="515" t="s">
        <v>3807</v>
      </c>
      <c r="H888" s="514"/>
      <c r="I888" s="515"/>
      <c r="J888" s="515">
        <v>1</v>
      </c>
    </row>
    <row r="889" spans="1:10" ht="13.8" thickBot="1">
      <c r="A889" s="517"/>
      <c r="B889" s="518" t="s">
        <v>13407</v>
      </c>
      <c r="C889" s="516"/>
      <c r="D889" s="514" t="s">
        <v>13406</v>
      </c>
      <c r="E889" s="515">
        <v>6</v>
      </c>
      <c r="F889" s="514"/>
      <c r="G889" s="515" t="s">
        <v>2523</v>
      </c>
      <c r="H889" s="514"/>
      <c r="I889" s="515">
        <v>1</v>
      </c>
      <c r="J889" s="515">
        <v>2</v>
      </c>
    </row>
    <row r="890" spans="1:10" ht="13.8" thickBot="1">
      <c r="A890" s="517"/>
      <c r="B890" s="518" t="s">
        <v>13429</v>
      </c>
      <c r="C890" s="516"/>
      <c r="D890" s="514" t="s">
        <v>13428</v>
      </c>
      <c r="E890" s="515">
        <v>6</v>
      </c>
      <c r="F890" s="518" t="s">
        <v>614</v>
      </c>
      <c r="G890" s="515" t="s">
        <v>2523</v>
      </c>
      <c r="H890" s="514" t="s">
        <v>1226</v>
      </c>
      <c r="I890" s="515"/>
      <c r="J890" s="515">
        <v>6</v>
      </c>
    </row>
    <row r="891" spans="1:10" ht="13.8" thickBot="1">
      <c r="A891" s="517"/>
      <c r="B891" s="518" t="s">
        <v>11858</v>
      </c>
      <c r="C891" s="516"/>
      <c r="D891" s="514" t="s">
        <v>11857</v>
      </c>
      <c r="E891" s="515">
        <v>6</v>
      </c>
      <c r="F891" s="518" t="s">
        <v>614</v>
      </c>
      <c r="G891" s="515" t="s">
        <v>5286</v>
      </c>
      <c r="H891" s="514" t="s">
        <v>1226</v>
      </c>
      <c r="I891" s="515"/>
      <c r="J891" s="515">
        <v>5</v>
      </c>
    </row>
    <row r="892" spans="1:10" ht="13.8" thickBot="1">
      <c r="A892" s="517"/>
      <c r="B892" s="518" t="s">
        <v>12006</v>
      </c>
      <c r="C892" s="516"/>
      <c r="D892" s="514" t="s">
        <v>12005</v>
      </c>
      <c r="E892" s="515">
        <v>3.5</v>
      </c>
      <c r="F892" s="518" t="s">
        <v>614</v>
      </c>
      <c r="G892" s="515" t="s">
        <v>5109</v>
      </c>
      <c r="H892" s="514"/>
      <c r="I892" s="515"/>
      <c r="J892" s="515">
        <v>1</v>
      </c>
    </row>
    <row r="893" spans="1:10" ht="13.8" thickBot="1">
      <c r="A893" s="517"/>
      <c r="B893" s="518" t="s">
        <v>12115</v>
      </c>
      <c r="C893" s="516"/>
      <c r="D893" s="514" t="s">
        <v>12114</v>
      </c>
      <c r="E893" s="515">
        <v>5</v>
      </c>
      <c r="F893" s="518" t="s">
        <v>614</v>
      </c>
      <c r="G893" s="515" t="s">
        <v>4970</v>
      </c>
      <c r="H893" s="514"/>
      <c r="I893" s="515"/>
      <c r="J893" s="515">
        <v>1</v>
      </c>
    </row>
    <row r="894" spans="1:10" ht="13.8" thickBot="1">
      <c r="A894" s="517"/>
      <c r="B894" s="518" t="s">
        <v>12242</v>
      </c>
      <c r="C894" s="516"/>
      <c r="D894" s="514" t="s">
        <v>12241</v>
      </c>
      <c r="E894" s="515">
        <v>6</v>
      </c>
      <c r="F894" s="518" t="s">
        <v>614</v>
      </c>
      <c r="G894" s="515" t="s">
        <v>4536</v>
      </c>
      <c r="H894" s="514"/>
      <c r="I894" s="515"/>
      <c r="J894" s="515">
        <v>1</v>
      </c>
    </row>
    <row r="895" spans="1:10" ht="13.8" thickBot="1">
      <c r="A895" s="517"/>
      <c r="B895" s="518" t="s">
        <v>11844</v>
      </c>
      <c r="C895" s="516"/>
      <c r="D895" s="514" t="s">
        <v>1381</v>
      </c>
      <c r="E895" s="515">
        <v>5</v>
      </c>
      <c r="F895" s="518" t="s">
        <v>614</v>
      </c>
      <c r="G895" s="515" t="s">
        <v>5286</v>
      </c>
      <c r="H895" s="514"/>
      <c r="I895" s="515"/>
      <c r="J895" s="515">
        <v>1</v>
      </c>
    </row>
    <row r="896" spans="1:10" ht="13.8" thickBot="1">
      <c r="A896" s="517"/>
      <c r="B896" s="518" t="s">
        <v>13353</v>
      </c>
      <c r="C896" s="516"/>
      <c r="D896" s="514" t="s">
        <v>13352</v>
      </c>
      <c r="E896" s="515">
        <v>5.5</v>
      </c>
      <c r="F896" s="518" t="s">
        <v>614</v>
      </c>
      <c r="G896" s="515" t="s">
        <v>2523</v>
      </c>
      <c r="H896" s="514"/>
      <c r="I896" s="515"/>
      <c r="J896" s="515">
        <v>1</v>
      </c>
    </row>
    <row r="897" spans="1:10" ht="13.8" thickBot="1">
      <c r="A897" s="517"/>
      <c r="B897" s="518" t="s">
        <v>11953</v>
      </c>
      <c r="C897" s="516"/>
      <c r="D897" s="514" t="s">
        <v>11952</v>
      </c>
      <c r="E897" s="515">
        <v>5.5</v>
      </c>
      <c r="F897" s="518" t="s">
        <v>614</v>
      </c>
      <c r="G897" s="515" t="s">
        <v>5196</v>
      </c>
      <c r="H897" s="514" t="s">
        <v>1226</v>
      </c>
      <c r="I897" s="515"/>
      <c r="J897" s="515">
        <v>3</v>
      </c>
    </row>
    <row r="898" spans="1:10" ht="13.8" thickBot="1">
      <c r="A898" s="517"/>
      <c r="B898" s="518" t="s">
        <v>11868</v>
      </c>
      <c r="C898" s="516"/>
      <c r="D898" s="514" t="s">
        <v>11867</v>
      </c>
      <c r="E898" s="515">
        <v>6.5</v>
      </c>
      <c r="F898" s="518" t="s">
        <v>614</v>
      </c>
      <c r="G898" s="515" t="s">
        <v>5286</v>
      </c>
      <c r="H898" s="514" t="s">
        <v>1226</v>
      </c>
      <c r="I898" s="515">
        <v>1</v>
      </c>
      <c r="J898" s="515">
        <v>5</v>
      </c>
    </row>
    <row r="899" spans="1:10" ht="13.8" thickBot="1">
      <c r="A899" s="517"/>
      <c r="B899" s="518" t="s">
        <v>12493</v>
      </c>
      <c r="C899" s="516"/>
      <c r="D899" s="514" t="s">
        <v>3908</v>
      </c>
      <c r="E899" s="515">
        <v>6.6</v>
      </c>
      <c r="F899" s="518" t="s">
        <v>614</v>
      </c>
      <c r="G899" s="515" t="s">
        <v>3903</v>
      </c>
      <c r="H899" s="514" t="s">
        <v>1251</v>
      </c>
      <c r="I899" s="515"/>
      <c r="J899" s="515">
        <v>4</v>
      </c>
    </row>
    <row r="900" spans="1:10" ht="13.8" thickBot="1">
      <c r="A900" s="517"/>
      <c r="B900" s="518" t="s">
        <v>13886</v>
      </c>
      <c r="C900" s="516"/>
      <c r="D900" s="514" t="s">
        <v>13885</v>
      </c>
      <c r="E900" s="515">
        <v>5.75</v>
      </c>
      <c r="F900" s="518" t="s">
        <v>614</v>
      </c>
      <c r="G900" s="515" t="s">
        <v>2032</v>
      </c>
      <c r="H900" s="514" t="s">
        <v>1226</v>
      </c>
      <c r="I900" s="515"/>
      <c r="J900" s="515">
        <v>5</v>
      </c>
    </row>
    <row r="901" spans="1:10" ht="13.8" thickBot="1">
      <c r="A901" s="517"/>
      <c r="B901" s="518" t="s">
        <v>13417</v>
      </c>
      <c r="C901" s="516"/>
      <c r="D901" s="514" t="s">
        <v>1302</v>
      </c>
      <c r="E901" s="515">
        <v>6</v>
      </c>
      <c r="F901" s="518" t="s">
        <v>614</v>
      </c>
      <c r="G901" s="515" t="s">
        <v>2523</v>
      </c>
      <c r="H901" s="514" t="s">
        <v>1224</v>
      </c>
      <c r="I901" s="515"/>
      <c r="J901" s="515">
        <v>4</v>
      </c>
    </row>
    <row r="902" spans="1:10" ht="13.8" thickBot="1">
      <c r="A902" s="517"/>
      <c r="B902" s="518" t="s">
        <v>12708</v>
      </c>
      <c r="C902" s="516"/>
      <c r="D902" s="514" t="s">
        <v>12707</v>
      </c>
      <c r="E902" s="515">
        <v>3.5</v>
      </c>
      <c r="F902" s="518" t="s">
        <v>614</v>
      </c>
      <c r="G902" s="515" t="s">
        <v>3517</v>
      </c>
      <c r="H902" s="514"/>
      <c r="I902" s="515"/>
      <c r="J902" s="515">
        <v>1</v>
      </c>
    </row>
    <row r="903" spans="1:10" ht="13.8" thickBot="1">
      <c r="A903" s="517"/>
      <c r="B903" s="518" t="s">
        <v>11831</v>
      </c>
      <c r="C903" s="516"/>
      <c r="D903" s="514" t="s">
        <v>11830</v>
      </c>
      <c r="E903" s="515">
        <v>6</v>
      </c>
      <c r="F903" s="518" t="s">
        <v>614</v>
      </c>
      <c r="G903" s="515" t="s">
        <v>5319</v>
      </c>
      <c r="H903" s="514" t="s">
        <v>1226</v>
      </c>
      <c r="I903" s="515"/>
      <c r="J903" s="515">
        <v>9</v>
      </c>
    </row>
    <row r="904" spans="1:10" ht="13.8" thickBot="1">
      <c r="A904" s="517"/>
      <c r="B904" s="518" t="s">
        <v>13391</v>
      </c>
      <c r="C904" s="516"/>
      <c r="D904" s="514" t="s">
        <v>2533</v>
      </c>
      <c r="E904" s="515">
        <v>5.75</v>
      </c>
      <c r="F904" s="518" t="s">
        <v>614</v>
      </c>
      <c r="G904" s="515" t="s">
        <v>2523</v>
      </c>
      <c r="H904" s="514" t="s">
        <v>1226</v>
      </c>
      <c r="I904" s="515">
        <v>1</v>
      </c>
      <c r="J904" s="515">
        <v>2</v>
      </c>
    </row>
    <row r="905" spans="1:10" ht="13.8" thickBot="1">
      <c r="A905" s="517"/>
      <c r="B905" s="518" t="s">
        <v>13388</v>
      </c>
      <c r="C905" s="516"/>
      <c r="D905" s="514" t="s">
        <v>13387</v>
      </c>
      <c r="E905" s="515">
        <v>5.75</v>
      </c>
      <c r="F905" s="518" t="s">
        <v>614</v>
      </c>
      <c r="G905" s="515" t="s">
        <v>2523</v>
      </c>
      <c r="H905" s="514" t="s">
        <v>1224</v>
      </c>
      <c r="I905" s="515">
        <v>1</v>
      </c>
      <c r="J905" s="515">
        <v>2</v>
      </c>
    </row>
    <row r="906" spans="1:10" ht="13.8" thickBot="1">
      <c r="A906" s="517"/>
      <c r="B906" s="518" t="s">
        <v>12502</v>
      </c>
      <c r="C906" s="516"/>
      <c r="D906" s="514" t="s">
        <v>12501</v>
      </c>
      <c r="E906" s="515">
        <v>5</v>
      </c>
      <c r="F906" s="518" t="s">
        <v>614</v>
      </c>
      <c r="G906" s="515" t="s">
        <v>3856</v>
      </c>
      <c r="H906" s="514"/>
      <c r="I906" s="515"/>
      <c r="J906" s="515">
        <v>1</v>
      </c>
    </row>
    <row r="907" spans="1:10" ht="13.8" thickBot="1">
      <c r="A907" s="517"/>
      <c r="B907" s="518" t="s">
        <v>12797</v>
      </c>
      <c r="C907" s="516"/>
      <c r="D907" s="514" t="s">
        <v>12796</v>
      </c>
      <c r="E907" s="515">
        <v>6.75</v>
      </c>
      <c r="F907" s="518" t="s">
        <v>614</v>
      </c>
      <c r="G907" s="515" t="s">
        <v>3517</v>
      </c>
      <c r="H907" s="514" t="s">
        <v>1226</v>
      </c>
      <c r="I907" s="515"/>
      <c r="J907" s="515">
        <v>5</v>
      </c>
    </row>
    <row r="908" spans="1:10" ht="13.8" thickBot="1">
      <c r="A908" s="517"/>
      <c r="B908" s="518" t="s">
        <v>13639</v>
      </c>
      <c r="C908" s="516"/>
      <c r="D908" s="514" t="s">
        <v>1726</v>
      </c>
      <c r="E908" s="515">
        <v>5.5</v>
      </c>
      <c r="F908" s="518" t="s">
        <v>614</v>
      </c>
      <c r="G908" s="515" t="s">
        <v>2289</v>
      </c>
      <c r="H908" s="514" t="s">
        <v>1226</v>
      </c>
      <c r="I908" s="515"/>
      <c r="J908" s="515">
        <v>1</v>
      </c>
    </row>
    <row r="909" spans="1:10" ht="13.8" thickBot="1">
      <c r="A909" s="517"/>
      <c r="B909" s="518" t="s">
        <v>13017</v>
      </c>
      <c r="C909" s="516"/>
      <c r="D909" s="514" t="s">
        <v>13016</v>
      </c>
      <c r="E909" s="515">
        <v>4.5</v>
      </c>
      <c r="F909" s="518" t="s">
        <v>614</v>
      </c>
      <c r="G909" s="515" t="s">
        <v>2957</v>
      </c>
      <c r="H909" s="514"/>
      <c r="I909" s="515"/>
      <c r="J909" s="515">
        <v>1</v>
      </c>
    </row>
    <row r="910" spans="1:10" ht="13.8" thickBot="1">
      <c r="A910" s="517"/>
      <c r="B910" s="518" t="s">
        <v>13177</v>
      </c>
      <c r="C910" s="516"/>
      <c r="D910" s="514" t="s">
        <v>2923</v>
      </c>
      <c r="E910" s="515">
        <v>7</v>
      </c>
      <c r="F910" s="518" t="s">
        <v>614</v>
      </c>
      <c r="G910" s="515" t="s">
        <v>2922</v>
      </c>
      <c r="H910" s="514" t="s">
        <v>1226</v>
      </c>
      <c r="I910" s="515"/>
      <c r="J910" s="515">
        <v>1</v>
      </c>
    </row>
    <row r="911" spans="1:10" ht="13.8" thickBot="1">
      <c r="A911" s="517"/>
      <c r="B911" s="518" t="s">
        <v>13451</v>
      </c>
      <c r="C911" s="516"/>
      <c r="D911" s="514" t="s">
        <v>13450</v>
      </c>
      <c r="E911" s="515">
        <v>6.25</v>
      </c>
      <c r="F911" s="518" t="s">
        <v>614</v>
      </c>
      <c r="G911" s="515" t="s">
        <v>2523</v>
      </c>
      <c r="H911" s="514" t="s">
        <v>1226</v>
      </c>
      <c r="I911" s="515"/>
      <c r="J911" s="515">
        <v>4</v>
      </c>
    </row>
    <row r="912" spans="1:10" ht="13.8" thickBot="1">
      <c r="A912" s="517"/>
      <c r="B912" s="518" t="s">
        <v>13925</v>
      </c>
      <c r="C912" s="516"/>
      <c r="D912" s="514" t="s">
        <v>13924</v>
      </c>
      <c r="E912" s="515">
        <v>6.8</v>
      </c>
      <c r="F912" s="518" t="s">
        <v>614</v>
      </c>
      <c r="G912" s="515" t="s">
        <v>2032</v>
      </c>
      <c r="H912" s="514" t="s">
        <v>1226</v>
      </c>
      <c r="I912" s="515"/>
      <c r="J912" s="515">
        <v>5</v>
      </c>
    </row>
    <row r="913" spans="1:10" ht="13.8" thickBot="1">
      <c r="A913" s="517"/>
      <c r="B913" s="518" t="s">
        <v>13890</v>
      </c>
      <c r="C913" s="516"/>
      <c r="D913" s="514" t="s">
        <v>13889</v>
      </c>
      <c r="E913" s="515">
        <v>6</v>
      </c>
      <c r="F913" s="518" t="s">
        <v>614</v>
      </c>
      <c r="G913" s="515" t="s">
        <v>2032</v>
      </c>
      <c r="H913" s="514"/>
      <c r="I913" s="515"/>
      <c r="J913" s="515">
        <v>1</v>
      </c>
    </row>
    <row r="914" spans="1:10" ht="13.8" thickBot="1">
      <c r="A914" s="517"/>
      <c r="B914" s="518" t="s">
        <v>13281</v>
      </c>
      <c r="C914" s="516"/>
      <c r="D914" s="514" t="s">
        <v>13280</v>
      </c>
      <c r="E914" s="515">
        <v>4.5</v>
      </c>
      <c r="F914" s="518" t="s">
        <v>614</v>
      </c>
      <c r="G914" s="515" t="s">
        <v>2523</v>
      </c>
      <c r="H914" s="514"/>
      <c r="I914" s="515"/>
      <c r="J914" s="515">
        <v>1</v>
      </c>
    </row>
    <row r="915" spans="1:10" ht="13.8" thickBot="1">
      <c r="A915" s="517"/>
      <c r="B915" s="518" t="s">
        <v>12631</v>
      </c>
      <c r="C915" s="516"/>
      <c r="D915" s="514" t="s">
        <v>12630</v>
      </c>
      <c r="E915" s="515">
        <v>6</v>
      </c>
      <c r="F915" s="518" t="s">
        <v>614</v>
      </c>
      <c r="G915" s="515" t="s">
        <v>3734</v>
      </c>
      <c r="H915" s="514"/>
      <c r="I915" s="515"/>
      <c r="J915" s="515">
        <v>1</v>
      </c>
    </row>
    <row r="916" spans="1:10" ht="13.8" thickBot="1">
      <c r="A916" s="517"/>
      <c r="B916" s="518" t="s">
        <v>11870</v>
      </c>
      <c r="C916" s="516"/>
      <c r="D916" s="514" t="s">
        <v>11869</v>
      </c>
      <c r="E916" s="515">
        <v>6.5</v>
      </c>
      <c r="F916" s="518" t="s">
        <v>614</v>
      </c>
      <c r="G916" s="515" t="s">
        <v>5286</v>
      </c>
      <c r="H916" s="514" t="s">
        <v>1226</v>
      </c>
      <c r="I916" s="515"/>
      <c r="J916" s="515">
        <v>6</v>
      </c>
    </row>
    <row r="917" spans="1:10" ht="13.8" thickBot="1">
      <c r="A917" s="517"/>
      <c r="B917" s="518" t="s">
        <v>13866</v>
      </c>
      <c r="C917" s="516"/>
      <c r="D917" s="514" t="s">
        <v>13865</v>
      </c>
      <c r="E917" s="515">
        <v>5</v>
      </c>
      <c r="F917" s="518" t="s">
        <v>614</v>
      </c>
      <c r="G917" s="515" t="s">
        <v>2032</v>
      </c>
      <c r="H917" s="514"/>
      <c r="I917" s="515"/>
      <c r="J917" s="515">
        <v>1</v>
      </c>
    </row>
    <row r="918" spans="1:10" ht="13.8" thickBot="1">
      <c r="A918" s="517"/>
      <c r="B918" s="518" t="s">
        <v>13523</v>
      </c>
      <c r="C918" s="516"/>
      <c r="D918" s="514" t="s">
        <v>13522</v>
      </c>
      <c r="E918" s="515">
        <v>6.75</v>
      </c>
      <c r="F918" s="518" t="s">
        <v>614</v>
      </c>
      <c r="G918" s="515" t="s">
        <v>2523</v>
      </c>
      <c r="H918" s="514" t="s">
        <v>1226</v>
      </c>
      <c r="I918" s="515"/>
      <c r="J918" s="515">
        <v>6</v>
      </c>
    </row>
    <row r="919" spans="1:10" ht="13.8" thickBot="1">
      <c r="A919" s="517"/>
      <c r="B919" s="518" t="s">
        <v>12536</v>
      </c>
      <c r="C919" s="516"/>
      <c r="D919" s="514" t="s">
        <v>12535</v>
      </c>
      <c r="E919" s="515">
        <v>6.75</v>
      </c>
      <c r="F919" s="518" t="s">
        <v>614</v>
      </c>
      <c r="G919" s="515" t="s">
        <v>3856</v>
      </c>
      <c r="H919" s="514" t="s">
        <v>1226</v>
      </c>
      <c r="I919" s="515"/>
      <c r="J919" s="515">
        <v>5</v>
      </c>
    </row>
    <row r="920" spans="1:10" ht="13.8" thickBot="1">
      <c r="A920" s="517"/>
      <c r="B920" s="518" t="s">
        <v>13404</v>
      </c>
      <c r="C920" s="516"/>
      <c r="D920" s="514" t="s">
        <v>13403</v>
      </c>
      <c r="E920" s="515">
        <v>6</v>
      </c>
      <c r="F920" s="518" t="s">
        <v>614</v>
      </c>
      <c r="G920" s="515" t="s">
        <v>2523</v>
      </c>
      <c r="H920" s="514"/>
      <c r="I920" s="515"/>
      <c r="J920" s="515">
        <v>1</v>
      </c>
    </row>
    <row r="921" spans="1:10" ht="13.8" thickBot="1">
      <c r="A921" s="517"/>
      <c r="B921" s="518" t="s">
        <v>11951</v>
      </c>
      <c r="C921" s="516"/>
      <c r="D921" s="514" t="s">
        <v>11950</v>
      </c>
      <c r="E921" s="515">
        <v>5</v>
      </c>
      <c r="F921" s="518" t="s">
        <v>614</v>
      </c>
      <c r="G921" s="515" t="s">
        <v>5196</v>
      </c>
      <c r="H921" s="514" t="s">
        <v>1224</v>
      </c>
      <c r="I921" s="515"/>
      <c r="J921" s="515">
        <v>2</v>
      </c>
    </row>
    <row r="922" spans="1:10" ht="13.8" thickBot="1">
      <c r="A922" s="517"/>
      <c r="B922" s="518" t="s">
        <v>11888</v>
      </c>
      <c r="C922" s="516"/>
      <c r="D922" s="514" t="s">
        <v>11887</v>
      </c>
      <c r="E922" s="515">
        <v>6.9</v>
      </c>
      <c r="F922" s="518" t="s">
        <v>614</v>
      </c>
      <c r="G922" s="515" t="s">
        <v>5269</v>
      </c>
      <c r="H922" s="514" t="s">
        <v>1251</v>
      </c>
      <c r="I922" s="515"/>
      <c r="J922" s="515">
        <v>7</v>
      </c>
    </row>
    <row r="923" spans="1:10" ht="13.8" thickBot="1">
      <c r="A923" s="517"/>
      <c r="B923" s="518" t="s">
        <v>13504</v>
      </c>
      <c r="C923" s="516"/>
      <c r="D923" s="514" t="s">
        <v>13503</v>
      </c>
      <c r="E923" s="515">
        <v>6.7</v>
      </c>
      <c r="F923" s="518" t="s">
        <v>614</v>
      </c>
      <c r="G923" s="515" t="s">
        <v>2523</v>
      </c>
      <c r="H923" s="514" t="s">
        <v>1226</v>
      </c>
      <c r="I923" s="515">
        <v>1</v>
      </c>
      <c r="J923" s="515">
        <v>5</v>
      </c>
    </row>
    <row r="924" spans="1:10" ht="13.8" thickBot="1">
      <c r="A924" s="517"/>
      <c r="B924" s="518" t="s">
        <v>13351</v>
      </c>
      <c r="C924" s="516"/>
      <c r="D924" s="514" t="s">
        <v>13350</v>
      </c>
      <c r="E924" s="515">
        <v>5.5</v>
      </c>
      <c r="F924" s="518" t="s">
        <v>614</v>
      </c>
      <c r="G924" s="515" t="s">
        <v>2523</v>
      </c>
      <c r="H924" s="514"/>
      <c r="I924" s="515"/>
      <c r="J924" s="515">
        <v>1</v>
      </c>
    </row>
    <row r="925" spans="1:10" ht="13.8" thickBot="1">
      <c r="A925" s="517"/>
      <c r="B925" s="518" t="s">
        <v>13349</v>
      </c>
      <c r="C925" s="516"/>
      <c r="D925" s="514" t="s">
        <v>13348</v>
      </c>
      <c r="E925" s="515">
        <v>5.5</v>
      </c>
      <c r="F925" s="518" t="s">
        <v>614</v>
      </c>
      <c r="G925" s="515" t="s">
        <v>2523</v>
      </c>
      <c r="H925" s="514"/>
      <c r="I925" s="515"/>
      <c r="J925" s="515">
        <v>1</v>
      </c>
    </row>
    <row r="926" spans="1:10" ht="13.8" thickBot="1">
      <c r="A926" s="517"/>
      <c r="B926" s="518" t="s">
        <v>13534</v>
      </c>
      <c r="C926" s="516"/>
      <c r="D926" s="514" t="s">
        <v>13533</v>
      </c>
      <c r="E926" s="515">
        <v>7</v>
      </c>
      <c r="F926" s="518" t="s">
        <v>614</v>
      </c>
      <c r="G926" s="515" t="s">
        <v>2523</v>
      </c>
      <c r="H926" s="514"/>
      <c r="I926" s="515"/>
      <c r="J926" s="515">
        <v>1</v>
      </c>
    </row>
    <row r="927" spans="1:10" ht="13.8" thickBot="1">
      <c r="A927" s="517"/>
      <c r="B927" s="518" t="s">
        <v>11684</v>
      </c>
      <c r="C927" s="516"/>
      <c r="D927" s="514" t="s">
        <v>11533</v>
      </c>
      <c r="E927" s="515"/>
      <c r="F927" s="514"/>
      <c r="G927" s="515" t="s">
        <v>11525</v>
      </c>
      <c r="H927" s="514"/>
      <c r="I927" s="515"/>
      <c r="J927" s="515"/>
    </row>
    <row r="928" spans="1:10" ht="13.8" thickBot="1">
      <c r="A928" s="517"/>
      <c r="B928" s="518" t="s">
        <v>11683</v>
      </c>
      <c r="C928" s="516"/>
      <c r="D928" s="514" t="s">
        <v>11533</v>
      </c>
      <c r="E928" s="515"/>
      <c r="F928" s="514"/>
      <c r="G928" s="515" t="s">
        <v>11525</v>
      </c>
      <c r="H928" s="514"/>
      <c r="I928" s="515"/>
      <c r="J928" s="515"/>
    </row>
    <row r="929" spans="1:10" ht="13.8" thickBot="1">
      <c r="A929" s="517"/>
      <c r="B929" s="518" t="s">
        <v>11682</v>
      </c>
      <c r="C929" s="516"/>
      <c r="D929" s="514" t="s">
        <v>11533</v>
      </c>
      <c r="E929" s="515"/>
      <c r="F929" s="514"/>
      <c r="G929" s="515" t="s">
        <v>11525</v>
      </c>
      <c r="H929" s="514"/>
      <c r="I929" s="515"/>
      <c r="J929" s="515"/>
    </row>
    <row r="930" spans="1:10" ht="13.8" thickBot="1">
      <c r="A930" s="517"/>
      <c r="B930" s="518" t="s">
        <v>11681</v>
      </c>
      <c r="C930" s="516"/>
      <c r="D930" s="514" t="s">
        <v>11533</v>
      </c>
      <c r="E930" s="515"/>
      <c r="F930" s="514"/>
      <c r="G930" s="515" t="s">
        <v>11525</v>
      </c>
      <c r="H930" s="514"/>
      <c r="I930" s="515"/>
      <c r="J930" s="515"/>
    </row>
    <row r="931" spans="1:10" ht="13.8" thickBot="1">
      <c r="A931" s="517"/>
      <c r="B931" s="518" t="s">
        <v>11680</v>
      </c>
      <c r="C931" s="516"/>
      <c r="D931" s="514" t="s">
        <v>11533</v>
      </c>
      <c r="E931" s="515"/>
      <c r="F931" s="514"/>
      <c r="G931" s="515" t="s">
        <v>11525</v>
      </c>
      <c r="H931" s="514"/>
      <c r="I931" s="515"/>
      <c r="J931" s="515"/>
    </row>
    <row r="932" spans="1:10" ht="13.8" thickBot="1">
      <c r="A932" s="517"/>
      <c r="B932" s="518" t="s">
        <v>11679</v>
      </c>
      <c r="C932" s="516"/>
      <c r="D932" s="514" t="s">
        <v>11533</v>
      </c>
      <c r="E932" s="515">
        <v>7.1</v>
      </c>
      <c r="F932" s="514"/>
      <c r="G932" s="515" t="s">
        <v>11525</v>
      </c>
      <c r="H932" s="514" t="s">
        <v>1226</v>
      </c>
      <c r="I932" s="515"/>
      <c r="J932" s="515">
        <v>2</v>
      </c>
    </row>
    <row r="933" spans="1:10" ht="13.8" thickBot="1">
      <c r="A933" s="517"/>
      <c r="B933" s="518" t="s">
        <v>11678</v>
      </c>
      <c r="C933" s="516"/>
      <c r="D933" s="514" t="s">
        <v>11533</v>
      </c>
      <c r="E933" s="515">
        <v>7.1</v>
      </c>
      <c r="F933" s="514"/>
      <c r="G933" s="515" t="s">
        <v>11525</v>
      </c>
      <c r="H933" s="514" t="s">
        <v>1226</v>
      </c>
      <c r="I933" s="515"/>
      <c r="J933" s="515"/>
    </row>
    <row r="934" spans="1:10" ht="13.8" thickBot="1">
      <c r="A934" s="517"/>
      <c r="B934" s="518" t="s">
        <v>11677</v>
      </c>
      <c r="C934" s="516"/>
      <c r="D934" s="514" t="s">
        <v>11533</v>
      </c>
      <c r="E934" s="515"/>
      <c r="F934" s="514"/>
      <c r="G934" s="515" t="s">
        <v>11525</v>
      </c>
      <c r="H934" s="514"/>
      <c r="I934" s="515"/>
      <c r="J934" s="515"/>
    </row>
    <row r="935" spans="1:10" ht="13.8" thickBot="1">
      <c r="A935" s="517"/>
      <c r="B935" s="518" t="s">
        <v>13982</v>
      </c>
      <c r="C935" s="516"/>
      <c r="D935" s="514" t="s">
        <v>13981</v>
      </c>
      <c r="E935" s="515">
        <v>7</v>
      </c>
      <c r="F935" s="518" t="s">
        <v>614</v>
      </c>
      <c r="G935" s="515" t="s">
        <v>1922</v>
      </c>
      <c r="H935" s="514"/>
      <c r="I935" s="522"/>
      <c r="J935" s="522">
        <v>1</v>
      </c>
    </row>
    <row r="936" spans="1:10" ht="13.8" thickBot="1">
      <c r="A936" s="517"/>
      <c r="B936" s="518" t="s">
        <v>12739</v>
      </c>
      <c r="C936" s="516"/>
      <c r="D936" s="514" t="s">
        <v>12738</v>
      </c>
      <c r="E936" s="515">
        <v>5.5</v>
      </c>
      <c r="F936" s="518" t="s">
        <v>1854</v>
      </c>
      <c r="G936" s="515" t="s">
        <v>3517</v>
      </c>
      <c r="H936" s="514"/>
      <c r="I936" s="522"/>
      <c r="J936" s="515">
        <v>2</v>
      </c>
    </row>
    <row r="937" spans="1:10" ht="13.8" thickBot="1">
      <c r="A937" s="517"/>
      <c r="B937" s="518" t="s">
        <v>14231</v>
      </c>
      <c r="C937" s="516"/>
      <c r="D937" s="514" t="s">
        <v>14230</v>
      </c>
      <c r="E937" s="515">
        <v>6.5</v>
      </c>
      <c r="F937" s="518" t="s">
        <v>614</v>
      </c>
      <c r="G937" s="515" t="s">
        <v>1793</v>
      </c>
      <c r="H937" s="514" t="s">
        <v>1226</v>
      </c>
      <c r="I937" s="522"/>
      <c r="J937" s="515">
        <v>6</v>
      </c>
    </row>
    <row r="938" spans="1:10" ht="13.8" thickBot="1">
      <c r="A938" s="517"/>
      <c r="B938" s="518" t="s">
        <v>13257</v>
      </c>
      <c r="C938" s="516"/>
      <c r="D938" s="514" t="s">
        <v>1300</v>
      </c>
      <c r="E938" s="515">
        <v>2</v>
      </c>
      <c r="F938" s="518" t="s">
        <v>1854</v>
      </c>
      <c r="G938" s="515" t="s">
        <v>2523</v>
      </c>
      <c r="H938" s="514"/>
      <c r="I938" s="522"/>
      <c r="J938" s="522"/>
    </row>
    <row r="939" spans="1:10" ht="13.8" thickBot="1">
      <c r="A939" s="517"/>
      <c r="B939" s="518" t="s">
        <v>13162</v>
      </c>
      <c r="C939" s="516"/>
      <c r="D939" s="514" t="s">
        <v>1365</v>
      </c>
      <c r="E939" s="515">
        <v>5</v>
      </c>
      <c r="F939" s="518" t="s">
        <v>13161</v>
      </c>
      <c r="G939" s="515" t="s">
        <v>2943</v>
      </c>
      <c r="H939" s="514" t="s">
        <v>1224</v>
      </c>
      <c r="I939" s="522"/>
      <c r="J939" s="522">
        <v>2</v>
      </c>
    </row>
    <row r="940" spans="1:10" ht="13.8" thickBot="1">
      <c r="A940" s="517"/>
      <c r="B940" s="518" t="s">
        <v>12480</v>
      </c>
      <c r="C940" s="516"/>
      <c r="D940" s="514" t="s">
        <v>12479</v>
      </c>
      <c r="E940" s="515">
        <v>5</v>
      </c>
      <c r="F940" s="518" t="s">
        <v>614</v>
      </c>
      <c r="G940" s="515" t="s">
        <v>3932</v>
      </c>
      <c r="H940" s="514" t="s">
        <v>1220</v>
      </c>
      <c r="I940" s="522">
        <v>1</v>
      </c>
      <c r="J940" s="522">
        <v>2</v>
      </c>
    </row>
    <row r="941" spans="1:10" ht="13.8" thickBot="1">
      <c r="A941" s="517"/>
      <c r="B941" s="518" t="s">
        <v>11676</v>
      </c>
      <c r="C941" s="516"/>
      <c r="D941" s="514" t="s">
        <v>11675</v>
      </c>
      <c r="E941" s="515">
        <v>3</v>
      </c>
      <c r="F941" s="518" t="s">
        <v>1854</v>
      </c>
      <c r="G941" s="515" t="s">
        <v>11525</v>
      </c>
      <c r="H941" s="514"/>
      <c r="I941" s="522"/>
      <c r="J941" s="522"/>
    </row>
    <row r="942" spans="1:10" ht="13.8" thickBot="1">
      <c r="A942" s="517"/>
      <c r="B942" s="518" t="s">
        <v>13978</v>
      </c>
      <c r="C942" s="516"/>
      <c r="D942" s="514" t="s">
        <v>13977</v>
      </c>
      <c r="E942" s="515">
        <v>6.6</v>
      </c>
      <c r="F942" s="518" t="s">
        <v>614</v>
      </c>
      <c r="G942" s="515" t="s">
        <v>1922</v>
      </c>
      <c r="H942" s="514" t="s">
        <v>1224</v>
      </c>
      <c r="I942" s="522">
        <v>3</v>
      </c>
      <c r="J942" s="515">
        <v>7</v>
      </c>
    </row>
    <row r="943" spans="1:10" ht="13.8" thickBot="1">
      <c r="A943" s="517"/>
      <c r="B943" s="518" t="s">
        <v>13435</v>
      </c>
      <c r="C943" s="516"/>
      <c r="D943" s="514" t="s">
        <v>13434</v>
      </c>
      <c r="E943" s="515">
        <v>6.25</v>
      </c>
      <c r="F943" s="518" t="s">
        <v>1854</v>
      </c>
      <c r="G943" s="515" t="s">
        <v>2523</v>
      </c>
      <c r="H943" s="514"/>
      <c r="I943" s="522"/>
      <c r="J943" s="515">
        <v>1</v>
      </c>
    </row>
    <row r="944" spans="1:10" ht="13.8" thickBot="1">
      <c r="A944" s="517"/>
      <c r="B944" s="518" t="s">
        <v>13569</v>
      </c>
      <c r="C944" s="516"/>
      <c r="D944" s="514" t="s">
        <v>2519</v>
      </c>
      <c r="E944" s="515">
        <v>4.5</v>
      </c>
      <c r="F944" s="518" t="s">
        <v>1854</v>
      </c>
      <c r="G944" s="515" t="s">
        <v>2449</v>
      </c>
      <c r="H944" s="514"/>
      <c r="I944" s="522"/>
      <c r="J944" s="522">
        <v>1</v>
      </c>
    </row>
    <row r="945" spans="1:10" ht="13.8" thickBot="1">
      <c r="A945" s="517"/>
      <c r="B945" s="518" t="s">
        <v>11674</v>
      </c>
      <c r="C945" s="516"/>
      <c r="D945" s="514" t="s">
        <v>11533</v>
      </c>
      <c r="E945" s="515">
        <v>5.25</v>
      </c>
      <c r="F945" s="518" t="s">
        <v>1854</v>
      </c>
      <c r="G945" s="515" t="s">
        <v>11525</v>
      </c>
      <c r="H945" s="514"/>
      <c r="I945" s="522"/>
      <c r="J945" s="522">
        <v>2</v>
      </c>
    </row>
    <row r="946" spans="1:10" ht="13.8" thickBot="1">
      <c r="A946" s="517"/>
      <c r="B946" s="518" t="s">
        <v>13433</v>
      </c>
      <c r="C946" s="516"/>
      <c r="D946" s="514" t="s">
        <v>13432</v>
      </c>
      <c r="E946" s="515">
        <v>6.1</v>
      </c>
      <c r="F946" s="518" t="s">
        <v>614</v>
      </c>
      <c r="G946" s="515" t="s">
        <v>2523</v>
      </c>
      <c r="H946" s="514" t="s">
        <v>1226</v>
      </c>
      <c r="I946" s="522"/>
      <c r="J946" s="522">
        <v>4</v>
      </c>
    </row>
    <row r="947" spans="1:10" ht="13.8" thickBot="1">
      <c r="A947" s="517"/>
      <c r="B947" s="518" t="s">
        <v>12785</v>
      </c>
      <c r="C947" s="516"/>
      <c r="D947" s="514" t="s">
        <v>12784</v>
      </c>
      <c r="E947" s="515">
        <v>6.5</v>
      </c>
      <c r="F947" s="518" t="s">
        <v>614</v>
      </c>
      <c r="G947" s="515" t="s">
        <v>3517</v>
      </c>
      <c r="H947" s="514" t="s">
        <v>1226</v>
      </c>
      <c r="I947" s="522">
        <v>1</v>
      </c>
      <c r="J947" s="515">
        <v>6</v>
      </c>
    </row>
    <row r="948" spans="1:10" ht="13.8" thickBot="1">
      <c r="A948" s="517"/>
      <c r="B948" s="518" t="s">
        <v>13364</v>
      </c>
      <c r="C948" s="516"/>
      <c r="D948" s="514" t="s">
        <v>13363</v>
      </c>
      <c r="E948" s="515">
        <v>5.5</v>
      </c>
      <c r="F948" s="518" t="s">
        <v>614</v>
      </c>
      <c r="G948" s="515" t="s">
        <v>2523</v>
      </c>
      <c r="H948" s="514"/>
      <c r="I948" s="522">
        <v>1</v>
      </c>
      <c r="J948" s="522">
        <v>3</v>
      </c>
    </row>
    <row r="949" spans="1:10" ht="13.8" thickBot="1">
      <c r="A949" s="517"/>
      <c r="B949" s="518" t="s">
        <v>14237</v>
      </c>
      <c r="C949" s="516"/>
      <c r="D949" s="514" t="s">
        <v>14236</v>
      </c>
      <c r="E949" s="515">
        <v>6.5</v>
      </c>
      <c r="F949" s="518" t="s">
        <v>614</v>
      </c>
      <c r="G949" s="515" t="s">
        <v>1793</v>
      </c>
      <c r="H949" s="514" t="s">
        <v>1251</v>
      </c>
      <c r="I949" s="522"/>
      <c r="J949" s="522">
        <v>6</v>
      </c>
    </row>
    <row r="950" spans="1:10" ht="13.8" thickBot="1">
      <c r="A950" s="517"/>
      <c r="B950" s="518" t="s">
        <v>13990</v>
      </c>
      <c r="C950" s="516"/>
      <c r="D950" s="514" t="s">
        <v>13989</v>
      </c>
      <c r="E950" s="515"/>
      <c r="F950" s="518" t="s">
        <v>1854</v>
      </c>
      <c r="G950" s="515" t="s">
        <v>1793</v>
      </c>
      <c r="H950" s="514"/>
      <c r="I950" s="522"/>
      <c r="J950" s="522">
        <v>1</v>
      </c>
    </row>
    <row r="951" spans="1:10" ht="13.8" thickBot="1">
      <c r="A951" s="517"/>
      <c r="B951" s="518" t="s">
        <v>12915</v>
      </c>
      <c r="C951" s="516"/>
      <c r="D951" s="514" t="s">
        <v>12914</v>
      </c>
      <c r="E951" s="515">
        <v>5</v>
      </c>
      <c r="F951" s="518" t="s">
        <v>1854</v>
      </c>
      <c r="G951" s="515" t="s">
        <v>3161</v>
      </c>
      <c r="H951" s="514"/>
      <c r="I951" s="522"/>
      <c r="J951" s="522"/>
    </row>
    <row r="952" spans="1:10" ht="13.8" thickBot="1">
      <c r="A952" s="517"/>
      <c r="B952" s="518" t="s">
        <v>11833</v>
      </c>
      <c r="C952" s="516"/>
      <c r="D952" s="514" t="s">
        <v>11832</v>
      </c>
      <c r="E952" s="515">
        <v>6.5</v>
      </c>
      <c r="F952" s="518" t="s">
        <v>614</v>
      </c>
      <c r="G952" s="515" t="s">
        <v>5319</v>
      </c>
      <c r="H952" s="514" t="s">
        <v>1224</v>
      </c>
      <c r="I952" s="522"/>
      <c r="J952" s="515">
        <v>2</v>
      </c>
    </row>
    <row r="953" spans="1:10" ht="13.8" thickBot="1">
      <c r="A953" s="517"/>
      <c r="B953" s="518" t="s">
        <v>14183</v>
      </c>
      <c r="C953" s="516"/>
      <c r="D953" s="514" t="s">
        <v>14182</v>
      </c>
      <c r="E953" s="515">
        <v>6</v>
      </c>
      <c r="F953" s="518" t="s">
        <v>614</v>
      </c>
      <c r="G953" s="515" t="s">
        <v>1793</v>
      </c>
      <c r="H953" s="514"/>
      <c r="I953" s="522">
        <v>1</v>
      </c>
      <c r="J953" s="515">
        <v>1</v>
      </c>
    </row>
    <row r="954" spans="1:10" ht="13.8" thickBot="1">
      <c r="A954" s="517"/>
      <c r="B954" s="518" t="s">
        <v>12440</v>
      </c>
      <c r="C954" s="516"/>
      <c r="D954" s="514" t="s">
        <v>1537</v>
      </c>
      <c r="E954" s="515">
        <v>6</v>
      </c>
      <c r="F954" s="518" t="s">
        <v>614</v>
      </c>
      <c r="G954" s="515" t="s">
        <v>4067</v>
      </c>
      <c r="H954" s="514"/>
      <c r="I954" s="522"/>
      <c r="J954" s="522">
        <v>4</v>
      </c>
    </row>
    <row r="955" spans="1:10" ht="13.8" thickBot="1">
      <c r="A955" s="517"/>
      <c r="B955" s="518" t="s">
        <v>14282</v>
      </c>
      <c r="C955" s="516"/>
      <c r="D955" s="514" t="s">
        <v>14182</v>
      </c>
      <c r="E955" s="515">
        <v>7.25</v>
      </c>
      <c r="F955" s="518" t="s">
        <v>1854</v>
      </c>
      <c r="G955" s="515" t="s">
        <v>1793</v>
      </c>
      <c r="H955" s="514" t="s">
        <v>1226</v>
      </c>
      <c r="I955" s="522"/>
      <c r="J955" s="522">
        <v>3</v>
      </c>
    </row>
    <row r="956" spans="1:10" ht="13.8" thickBot="1">
      <c r="A956" s="517"/>
      <c r="B956" s="518" t="s">
        <v>12135</v>
      </c>
      <c r="C956" s="516"/>
      <c r="D956" s="514" t="s">
        <v>12134</v>
      </c>
      <c r="E956" s="515">
        <v>6.5</v>
      </c>
      <c r="F956" s="518" t="s">
        <v>614</v>
      </c>
      <c r="G956" s="515" t="s">
        <v>4970</v>
      </c>
      <c r="H956" s="514"/>
      <c r="I956" s="522"/>
      <c r="J956" s="522">
        <v>2</v>
      </c>
    </row>
    <row r="957" spans="1:10" ht="13.8" thickBot="1">
      <c r="A957" s="517"/>
      <c r="B957" s="518" t="s">
        <v>12924</v>
      </c>
      <c r="C957" s="516"/>
      <c r="D957" s="514" t="s">
        <v>12923</v>
      </c>
      <c r="E957" s="515">
        <v>6</v>
      </c>
      <c r="F957" s="518" t="s">
        <v>614</v>
      </c>
      <c r="G957" s="515" t="s">
        <v>3161</v>
      </c>
      <c r="H957" s="514"/>
      <c r="I957" s="522"/>
      <c r="J957" s="515">
        <v>2</v>
      </c>
    </row>
    <row r="958" spans="1:10" ht="13.8" thickBot="1">
      <c r="A958" s="517"/>
      <c r="B958" s="518" t="s">
        <v>14239</v>
      </c>
      <c r="C958" s="516"/>
      <c r="D958" s="514" t="s">
        <v>14238</v>
      </c>
      <c r="E958" s="515">
        <v>6.6</v>
      </c>
      <c r="F958" s="518" t="s">
        <v>614</v>
      </c>
      <c r="G958" s="515" t="s">
        <v>1793</v>
      </c>
      <c r="H958" s="514" t="s">
        <v>1841</v>
      </c>
      <c r="I958" s="522"/>
      <c r="J958" s="515">
        <v>9</v>
      </c>
    </row>
    <row r="959" spans="1:10" ht="13.8" thickBot="1">
      <c r="A959" s="517"/>
      <c r="B959" s="518" t="s">
        <v>13074</v>
      </c>
      <c r="C959" s="516"/>
      <c r="D959" s="514" t="s">
        <v>1571</v>
      </c>
      <c r="E959" s="515">
        <v>5.5</v>
      </c>
      <c r="F959" s="518" t="s">
        <v>614</v>
      </c>
      <c r="G959" s="515" t="s">
        <v>2957</v>
      </c>
      <c r="H959" s="514" t="s">
        <v>1224</v>
      </c>
      <c r="I959" s="522"/>
      <c r="J959" s="522">
        <v>4</v>
      </c>
    </row>
    <row r="960" spans="1:10" ht="13.8" thickBot="1">
      <c r="A960" s="517"/>
      <c r="B960" s="518" t="s">
        <v>13342</v>
      </c>
      <c r="C960" s="516"/>
      <c r="D960" s="519" t="s">
        <v>1316</v>
      </c>
      <c r="E960" s="515">
        <v>5.25</v>
      </c>
      <c r="F960" s="518" t="s">
        <v>1854</v>
      </c>
      <c r="G960" s="515" t="s">
        <v>2523</v>
      </c>
      <c r="H960" s="514" t="s">
        <v>1226</v>
      </c>
      <c r="I960" s="522"/>
      <c r="J960" s="522">
        <v>2</v>
      </c>
    </row>
    <row r="961" spans="1:10" ht="13.8" thickBot="1">
      <c r="A961" s="517"/>
      <c r="B961" s="518" t="s">
        <v>13343</v>
      </c>
      <c r="C961" s="516"/>
      <c r="D961" s="514" t="s">
        <v>1300</v>
      </c>
      <c r="E961" s="515">
        <v>5.25</v>
      </c>
      <c r="F961" s="518" t="s">
        <v>1854</v>
      </c>
      <c r="G961" s="515" t="s">
        <v>2523</v>
      </c>
      <c r="H961" s="514" t="s">
        <v>1226</v>
      </c>
      <c r="I961" s="522"/>
      <c r="J961" s="522">
        <v>3</v>
      </c>
    </row>
    <row r="962" spans="1:10" ht="13.8" thickBot="1">
      <c r="A962" s="517"/>
      <c r="B962" s="518" t="s">
        <v>12881</v>
      </c>
      <c r="C962" s="516"/>
      <c r="D962" s="514" t="s">
        <v>12880</v>
      </c>
      <c r="E962" s="515">
        <v>6.25</v>
      </c>
      <c r="F962" s="518" t="s">
        <v>614</v>
      </c>
      <c r="G962" s="515" t="s">
        <v>3351</v>
      </c>
      <c r="H962" s="514" t="s">
        <v>1251</v>
      </c>
      <c r="I962" s="522"/>
      <c r="J962" s="515">
        <v>1</v>
      </c>
    </row>
    <row r="963" spans="1:10" ht="13.8" thickBot="1">
      <c r="A963" s="517"/>
      <c r="B963" s="518" t="s">
        <v>13808</v>
      </c>
      <c r="C963" s="516"/>
      <c r="D963" s="514" t="s">
        <v>13807</v>
      </c>
      <c r="E963" s="515">
        <v>6.25</v>
      </c>
      <c r="F963" s="518" t="s">
        <v>614</v>
      </c>
      <c r="G963" s="515" t="s">
        <v>2152</v>
      </c>
      <c r="H963" s="514" t="s">
        <v>1841</v>
      </c>
      <c r="I963" s="522">
        <v>1</v>
      </c>
      <c r="J963" s="522">
        <v>10</v>
      </c>
    </row>
    <row r="964" spans="1:10" ht="13.8" thickBot="1">
      <c r="A964" s="517"/>
      <c r="B964" s="518" t="s">
        <v>12972</v>
      </c>
      <c r="C964" s="516"/>
      <c r="D964" s="514" t="s">
        <v>12971</v>
      </c>
      <c r="E964" s="515">
        <v>5.5</v>
      </c>
      <c r="F964" s="518" t="s">
        <v>614</v>
      </c>
      <c r="G964" s="515" t="s">
        <v>3085</v>
      </c>
      <c r="H964" s="514"/>
      <c r="I964" s="522"/>
      <c r="J964" s="522">
        <v>2</v>
      </c>
    </row>
    <row r="965" spans="1:10" ht="13.8" thickBot="1">
      <c r="A965" s="517"/>
      <c r="B965" s="518" t="s">
        <v>14266</v>
      </c>
      <c r="C965" s="516"/>
      <c r="D965" s="514" t="s">
        <v>14265</v>
      </c>
      <c r="E965" s="515">
        <v>7</v>
      </c>
      <c r="F965" s="518" t="s">
        <v>1854</v>
      </c>
      <c r="G965" s="515" t="s">
        <v>1793</v>
      </c>
      <c r="H965" s="514"/>
      <c r="I965" s="522">
        <v>1</v>
      </c>
      <c r="J965" s="522">
        <v>1</v>
      </c>
    </row>
    <row r="966" spans="1:10" ht="13.8" thickBot="1">
      <c r="A966" s="517"/>
      <c r="B966" s="518" t="s">
        <v>12306</v>
      </c>
      <c r="C966" s="516"/>
      <c r="D966" s="519" t="s">
        <v>4290</v>
      </c>
      <c r="E966" s="515">
        <v>5</v>
      </c>
      <c r="F966" s="518" t="s">
        <v>1854</v>
      </c>
      <c r="G966" s="515" t="s">
        <v>4214</v>
      </c>
      <c r="H966" s="514"/>
      <c r="I966" s="522"/>
      <c r="J966" s="522">
        <v>2</v>
      </c>
    </row>
    <row r="967" spans="1:10" ht="13.8" thickBot="1">
      <c r="A967" s="517"/>
      <c r="B967" s="518" t="s">
        <v>13662</v>
      </c>
      <c r="C967" s="516"/>
      <c r="D967" s="519" t="s">
        <v>13661</v>
      </c>
      <c r="E967" s="515">
        <v>6</v>
      </c>
      <c r="F967" s="518" t="s">
        <v>614</v>
      </c>
      <c r="G967" s="515" t="s">
        <v>2289</v>
      </c>
      <c r="H967" s="514" t="s">
        <v>1226</v>
      </c>
      <c r="I967" s="522"/>
      <c r="J967" s="522">
        <v>8</v>
      </c>
    </row>
    <row r="968" spans="1:10" ht="13.8" thickBot="1">
      <c r="A968" s="517"/>
      <c r="B968" s="518" t="s">
        <v>11872</v>
      </c>
      <c r="C968" s="516"/>
      <c r="D968" s="514" t="s">
        <v>11871</v>
      </c>
      <c r="E968" s="515">
        <v>6.5</v>
      </c>
      <c r="F968" s="518" t="s">
        <v>614</v>
      </c>
      <c r="G968" s="515" t="s">
        <v>5286</v>
      </c>
      <c r="H968" s="514" t="s">
        <v>1251</v>
      </c>
      <c r="I968" s="522">
        <v>1</v>
      </c>
      <c r="J968" s="522">
        <v>9</v>
      </c>
    </row>
    <row r="969" spans="1:10" ht="13.8" thickBot="1">
      <c r="A969" s="517"/>
      <c r="B969" s="518" t="s">
        <v>14262</v>
      </c>
      <c r="C969" s="516"/>
      <c r="D969" s="520" t="s">
        <v>14261</v>
      </c>
      <c r="E969" s="521">
        <v>7</v>
      </c>
      <c r="F969" s="518" t="s">
        <v>1854</v>
      </c>
      <c r="G969" s="515" t="s">
        <v>1793</v>
      </c>
      <c r="H969" s="514"/>
      <c r="I969" s="522"/>
      <c r="J969" s="522"/>
    </row>
    <row r="970" spans="1:10" ht="13.8" thickBot="1">
      <c r="A970" s="517"/>
      <c r="B970" s="518" t="s">
        <v>12825</v>
      </c>
      <c r="C970" s="516"/>
      <c r="D970" s="514" t="s">
        <v>12824</v>
      </c>
      <c r="E970" s="515">
        <v>7.5</v>
      </c>
      <c r="F970" s="518" t="s">
        <v>1854</v>
      </c>
      <c r="G970" s="515" t="s">
        <v>3517</v>
      </c>
      <c r="H970" s="514"/>
      <c r="I970" s="522"/>
      <c r="J970" s="522"/>
    </row>
    <row r="971" spans="1:10" ht="13.8" thickBot="1">
      <c r="A971" s="517"/>
      <c r="B971" s="518" t="s">
        <v>13439</v>
      </c>
      <c r="C971" s="516"/>
      <c r="D971" s="514" t="s">
        <v>13438</v>
      </c>
      <c r="E971" s="515">
        <v>6.25</v>
      </c>
      <c r="F971" s="518" t="s">
        <v>1854</v>
      </c>
      <c r="G971" s="515" t="s">
        <v>2523</v>
      </c>
      <c r="H971" s="514"/>
      <c r="I971" s="522">
        <v>1</v>
      </c>
      <c r="J971" s="522">
        <v>2</v>
      </c>
    </row>
    <row r="972" spans="1:10" ht="13.8" thickBot="1">
      <c r="A972" s="517"/>
      <c r="B972" s="518" t="s">
        <v>12962</v>
      </c>
      <c r="C972" s="516"/>
      <c r="D972" s="514" t="s">
        <v>12961</v>
      </c>
      <c r="E972" s="515">
        <v>7.25</v>
      </c>
      <c r="F972" s="518" t="s">
        <v>614</v>
      </c>
      <c r="G972" s="515" t="s">
        <v>3161</v>
      </c>
      <c r="H972" s="514" t="s">
        <v>1251</v>
      </c>
      <c r="I972" s="522"/>
      <c r="J972" s="522">
        <v>2</v>
      </c>
    </row>
    <row r="973" spans="1:10" ht="13.8" thickBot="1">
      <c r="A973" s="517"/>
      <c r="B973" s="518" t="s">
        <v>13898</v>
      </c>
      <c r="C973" s="516"/>
      <c r="D973" s="514" t="s">
        <v>13897</v>
      </c>
      <c r="E973" s="515">
        <v>6</v>
      </c>
      <c r="F973" s="518" t="s">
        <v>614</v>
      </c>
      <c r="G973" s="515" t="s">
        <v>2032</v>
      </c>
      <c r="H973" s="514" t="s">
        <v>1226</v>
      </c>
      <c r="I973" s="522">
        <v>1</v>
      </c>
      <c r="J973" s="522">
        <v>8</v>
      </c>
    </row>
    <row r="974" spans="1:10" ht="13.8" thickBot="1">
      <c r="A974" s="517"/>
      <c r="B974" s="518" t="s">
        <v>14099</v>
      </c>
      <c r="C974" s="516"/>
      <c r="D974" s="514" t="s">
        <v>1801</v>
      </c>
      <c r="E974" s="515">
        <v>4</v>
      </c>
      <c r="F974" s="518" t="s">
        <v>1854</v>
      </c>
      <c r="G974" s="515" t="s">
        <v>1793</v>
      </c>
      <c r="H974" s="514"/>
      <c r="I974" s="522"/>
      <c r="J974" s="522">
        <v>2</v>
      </c>
    </row>
    <row r="975" spans="1:10" ht="13.8" thickBot="1">
      <c r="A975" s="517"/>
      <c r="B975" s="518" t="s">
        <v>13773</v>
      </c>
      <c r="C975" s="516"/>
      <c r="D975" s="519" t="s">
        <v>13772</v>
      </c>
      <c r="E975" s="515">
        <v>5</v>
      </c>
      <c r="F975" s="518" t="s">
        <v>1854</v>
      </c>
      <c r="G975" s="515" t="s">
        <v>2152</v>
      </c>
      <c r="H975" s="514" t="s">
        <v>2067</v>
      </c>
      <c r="I975" s="515">
        <v>1</v>
      </c>
      <c r="J975" s="515">
        <v>6</v>
      </c>
    </row>
    <row r="976" spans="1:10" ht="13.8" thickBot="1">
      <c r="A976" s="517"/>
      <c r="B976" s="518" t="s">
        <v>12689</v>
      </c>
      <c r="C976" s="516"/>
      <c r="D976" s="514" t="s">
        <v>12688</v>
      </c>
      <c r="E976" s="515">
        <v>6.5</v>
      </c>
      <c r="F976" s="518" t="s">
        <v>614</v>
      </c>
      <c r="G976" s="515" t="s">
        <v>3652</v>
      </c>
      <c r="H976" s="514" t="s">
        <v>1841</v>
      </c>
      <c r="I976" s="515">
        <v>3</v>
      </c>
      <c r="J976" s="515">
        <v>11</v>
      </c>
    </row>
    <row r="977" spans="1:10" ht="13.8" thickBot="1">
      <c r="A977" s="517"/>
      <c r="B977" s="518" t="s">
        <v>13274</v>
      </c>
      <c r="C977" s="516"/>
      <c r="D977" s="514" t="s">
        <v>13273</v>
      </c>
      <c r="E977" s="515">
        <v>4</v>
      </c>
      <c r="F977" s="518" t="s">
        <v>1854</v>
      </c>
      <c r="G977" s="515" t="s">
        <v>2523</v>
      </c>
      <c r="H977" s="514"/>
      <c r="I977" s="515"/>
      <c r="J977" s="515">
        <v>9</v>
      </c>
    </row>
    <row r="978" spans="1:10" ht="13.8" thickBot="1">
      <c r="A978" s="517"/>
      <c r="B978" s="518" t="s">
        <v>13598</v>
      </c>
      <c r="C978" s="516"/>
      <c r="D978" s="514" t="s">
        <v>13597</v>
      </c>
      <c r="E978" s="515">
        <v>6.5</v>
      </c>
      <c r="F978" s="518" t="s">
        <v>1854</v>
      </c>
      <c r="G978" s="515" t="s">
        <v>2449</v>
      </c>
      <c r="H978" s="514" t="s">
        <v>1224</v>
      </c>
      <c r="I978" s="515">
        <v>2</v>
      </c>
      <c r="J978" s="515">
        <v>6</v>
      </c>
    </row>
    <row r="979" spans="1:10" ht="13.8" thickBot="1">
      <c r="A979" s="517"/>
      <c r="B979" s="518" t="s">
        <v>13692</v>
      </c>
      <c r="C979" s="516"/>
      <c r="D979" s="514" t="s">
        <v>13691</v>
      </c>
      <c r="E979" s="515">
        <v>6.6</v>
      </c>
      <c r="F979" s="518" t="s">
        <v>614</v>
      </c>
      <c r="G979" s="515" t="s">
        <v>2289</v>
      </c>
      <c r="H979" s="514" t="s">
        <v>1251</v>
      </c>
      <c r="I979" s="515"/>
      <c r="J979" s="515">
        <v>14</v>
      </c>
    </row>
    <row r="980" spans="1:10" ht="13.8" thickBot="1">
      <c r="A980" s="517"/>
      <c r="B980" s="518" t="s">
        <v>11879</v>
      </c>
      <c r="C980" s="516"/>
      <c r="D980" s="514" t="s">
        <v>11878</v>
      </c>
      <c r="E980" s="515">
        <v>7.1</v>
      </c>
      <c r="F980" s="518" t="s">
        <v>614</v>
      </c>
      <c r="G980" s="515" t="s">
        <v>5286</v>
      </c>
      <c r="H980" s="514" t="s">
        <v>1251</v>
      </c>
      <c r="I980" s="515">
        <v>1</v>
      </c>
      <c r="J980" s="515">
        <v>5</v>
      </c>
    </row>
    <row r="981" spans="1:10" ht="13.8" thickBot="1">
      <c r="A981" s="517"/>
      <c r="B981" s="518" t="s">
        <v>13736</v>
      </c>
      <c r="C981" s="516"/>
      <c r="D981" s="514" t="s">
        <v>1726</v>
      </c>
      <c r="E981" s="515">
        <v>7.5</v>
      </c>
      <c r="F981" s="518" t="s">
        <v>1854</v>
      </c>
      <c r="G981" s="515" t="s">
        <v>2289</v>
      </c>
      <c r="H981" s="514"/>
      <c r="I981" s="515"/>
      <c r="J981" s="515"/>
    </row>
    <row r="982" spans="1:10" ht="13.8" thickBot="1">
      <c r="A982" s="517"/>
      <c r="B982" s="518" t="s">
        <v>12639</v>
      </c>
      <c r="C982" s="516"/>
      <c r="D982" s="514" t="s">
        <v>12638</v>
      </c>
      <c r="E982" s="515">
        <v>6.25</v>
      </c>
      <c r="F982" s="518" t="s">
        <v>1854</v>
      </c>
      <c r="G982" s="515" t="s">
        <v>3734</v>
      </c>
      <c r="H982" s="514" t="s">
        <v>1224</v>
      </c>
      <c r="I982" s="515">
        <v>2</v>
      </c>
      <c r="J982" s="515">
        <v>8</v>
      </c>
    </row>
    <row r="983" spans="1:10" ht="13.8" thickBot="1">
      <c r="A983" s="517"/>
      <c r="B983" s="518" t="s">
        <v>12042</v>
      </c>
      <c r="C983" s="516"/>
      <c r="D983" s="514" t="s">
        <v>12041</v>
      </c>
      <c r="E983" s="515">
        <v>5.75</v>
      </c>
      <c r="F983" s="518" t="s">
        <v>614</v>
      </c>
      <c r="G983" s="515" t="s">
        <v>5031</v>
      </c>
      <c r="H983" s="514" t="s">
        <v>1226</v>
      </c>
      <c r="I983" s="515">
        <v>1</v>
      </c>
      <c r="J983" s="515">
        <v>10</v>
      </c>
    </row>
    <row r="984" spans="1:10" ht="13.8" thickBot="1">
      <c r="A984" s="517"/>
      <c r="B984" s="518" t="s">
        <v>12190</v>
      </c>
      <c r="C984" s="516"/>
      <c r="D984" s="514" t="s">
        <v>12189</v>
      </c>
      <c r="E984" s="515">
        <v>5.5</v>
      </c>
      <c r="F984" s="518" t="s">
        <v>614</v>
      </c>
      <c r="G984" s="515" t="s">
        <v>4789</v>
      </c>
      <c r="H984" s="514" t="s">
        <v>1224</v>
      </c>
      <c r="I984" s="515"/>
      <c r="J984" s="515">
        <v>9</v>
      </c>
    </row>
    <row r="985" spans="1:10" ht="13.8" thickBot="1">
      <c r="A985" s="517"/>
      <c r="B985" s="518" t="s">
        <v>13733</v>
      </c>
      <c r="C985" s="516"/>
      <c r="D985" s="514" t="s">
        <v>13732</v>
      </c>
      <c r="E985" s="515">
        <v>7.25</v>
      </c>
      <c r="F985" s="518" t="s">
        <v>614</v>
      </c>
      <c r="G985" s="515" t="s">
        <v>2289</v>
      </c>
      <c r="H985" s="514" t="s">
        <v>1251</v>
      </c>
      <c r="I985" s="515"/>
      <c r="J985" s="515">
        <v>4</v>
      </c>
    </row>
    <row r="986" spans="1:10" ht="13.8" thickBot="1">
      <c r="A986" s="517"/>
      <c r="B986" s="518" t="s">
        <v>13124</v>
      </c>
      <c r="C986" s="516"/>
      <c r="D986" s="514" t="s">
        <v>13123</v>
      </c>
      <c r="E986" s="515">
        <v>6.5</v>
      </c>
      <c r="F986" s="518" t="s">
        <v>1854</v>
      </c>
      <c r="G986" s="515" t="s">
        <v>2957</v>
      </c>
      <c r="H986" s="514"/>
      <c r="I986" s="515">
        <v>1</v>
      </c>
      <c r="J986" s="515">
        <v>5</v>
      </c>
    </row>
    <row r="987" spans="1:10" ht="13.8" thickBot="1">
      <c r="A987" s="517"/>
      <c r="B987" s="518" t="s">
        <v>13748</v>
      </c>
      <c r="C987" s="516"/>
      <c r="D987" s="519" t="s">
        <v>13747</v>
      </c>
      <c r="E987" s="515">
        <v>7.75</v>
      </c>
      <c r="F987" s="518" t="s">
        <v>1854</v>
      </c>
      <c r="G987" s="515" t="s">
        <v>2289</v>
      </c>
      <c r="H987" s="514" t="s">
        <v>1226</v>
      </c>
      <c r="I987" s="522">
        <v>1</v>
      </c>
      <c r="J987" s="522">
        <v>2</v>
      </c>
    </row>
    <row r="988" spans="1:10" ht="13.8" thickBot="1">
      <c r="A988" s="517"/>
      <c r="B988" s="518" t="s">
        <v>12098</v>
      </c>
      <c r="C988" s="516"/>
      <c r="D988" s="514" t="s">
        <v>1593</v>
      </c>
      <c r="E988" s="515">
        <v>3</v>
      </c>
      <c r="F988" s="518" t="s">
        <v>1854</v>
      </c>
      <c r="G988" s="515" t="s">
        <v>4970</v>
      </c>
      <c r="H988" s="514"/>
      <c r="I988" s="515"/>
      <c r="J988" s="515">
        <v>8</v>
      </c>
    </row>
    <row r="989" spans="1:10" ht="13.8" thickBot="1">
      <c r="A989" s="517"/>
      <c r="B989" s="518" t="s">
        <v>13107</v>
      </c>
      <c r="C989" s="516"/>
      <c r="D989" s="514" t="s">
        <v>1552</v>
      </c>
      <c r="E989" s="515">
        <v>6.25</v>
      </c>
      <c r="F989" s="518" t="s">
        <v>1854</v>
      </c>
      <c r="G989" s="515" t="s">
        <v>2957</v>
      </c>
      <c r="H989" s="514" t="s">
        <v>1224</v>
      </c>
      <c r="I989" s="522"/>
      <c r="J989" s="522">
        <v>4</v>
      </c>
    </row>
    <row r="990" spans="1:10" ht="13.8" thickBot="1">
      <c r="A990" s="517"/>
      <c r="B990" s="518" t="s">
        <v>13764</v>
      </c>
      <c r="C990" s="516"/>
      <c r="D990" s="514" t="s">
        <v>13763</v>
      </c>
      <c r="E990" s="515">
        <v>4</v>
      </c>
      <c r="F990" s="518" t="s">
        <v>614</v>
      </c>
      <c r="G990" s="515" t="s">
        <v>2152</v>
      </c>
      <c r="H990" s="514"/>
      <c r="I990" s="515">
        <v>1</v>
      </c>
      <c r="J990" s="515">
        <v>5</v>
      </c>
    </row>
    <row r="991" spans="1:10" ht="13.8" thickBot="1">
      <c r="A991" s="517"/>
      <c r="B991" s="518" t="s">
        <v>13950</v>
      </c>
      <c r="C991" s="516"/>
      <c r="D991" s="514" t="s">
        <v>1256</v>
      </c>
      <c r="E991" s="515">
        <v>1</v>
      </c>
      <c r="F991" s="518" t="s">
        <v>614</v>
      </c>
      <c r="G991" s="515" t="s">
        <v>1922</v>
      </c>
      <c r="H991" s="514"/>
      <c r="I991" s="522"/>
      <c r="J991" s="522">
        <v>4</v>
      </c>
    </row>
    <row r="992" spans="1:10" ht="13.8" thickBot="1">
      <c r="A992" s="517"/>
      <c r="B992" s="518" t="s">
        <v>13411</v>
      </c>
      <c r="C992" s="516"/>
      <c r="D992" s="514" t="s">
        <v>2712</v>
      </c>
      <c r="E992" s="515">
        <v>6</v>
      </c>
      <c r="F992" s="518" t="s">
        <v>1854</v>
      </c>
      <c r="G992" s="515" t="s">
        <v>2523</v>
      </c>
      <c r="H992" s="514"/>
      <c r="I992" s="522">
        <v>1</v>
      </c>
      <c r="J992" s="522">
        <v>6</v>
      </c>
    </row>
    <row r="993" spans="1:10" ht="13.8" thickBot="1">
      <c r="A993" s="517"/>
      <c r="B993" s="518" t="s">
        <v>11921</v>
      </c>
      <c r="C993" s="516"/>
      <c r="D993" s="514" t="s">
        <v>11920</v>
      </c>
      <c r="E993" s="515">
        <v>6.4</v>
      </c>
      <c r="F993" s="518" t="s">
        <v>614</v>
      </c>
      <c r="G993" s="515" t="s">
        <v>5226</v>
      </c>
      <c r="H993" s="514" t="s">
        <v>1224</v>
      </c>
      <c r="I993" s="515"/>
      <c r="J993" s="515">
        <v>6</v>
      </c>
    </row>
    <row r="994" spans="1:10" ht="13.8" thickBot="1">
      <c r="A994" s="517"/>
      <c r="B994" s="518" t="s">
        <v>11971</v>
      </c>
      <c r="C994" s="516"/>
      <c r="D994" s="514" t="s">
        <v>11970</v>
      </c>
      <c r="E994" s="515">
        <v>6.8</v>
      </c>
      <c r="F994" s="518" t="s">
        <v>614</v>
      </c>
      <c r="G994" s="515" t="s">
        <v>5196</v>
      </c>
      <c r="H994" s="514" t="s">
        <v>1226</v>
      </c>
      <c r="I994" s="515">
        <v>1</v>
      </c>
      <c r="J994" s="515">
        <v>8</v>
      </c>
    </row>
    <row r="995" spans="1:10" ht="13.8" thickBot="1">
      <c r="A995" s="517"/>
      <c r="B995" s="518" t="s">
        <v>12092</v>
      </c>
      <c r="C995" s="516"/>
      <c r="D995" s="514" t="s">
        <v>1593</v>
      </c>
      <c r="E995" s="515">
        <v>2</v>
      </c>
      <c r="F995" s="518" t="s">
        <v>1854</v>
      </c>
      <c r="G995" s="515" t="s">
        <v>4970</v>
      </c>
      <c r="H995" s="514"/>
      <c r="I995" s="515"/>
      <c r="J995" s="515">
        <v>4</v>
      </c>
    </row>
    <row r="996" spans="1:10" ht="13.8" thickBot="1">
      <c r="A996" s="517"/>
      <c r="B996" s="518" t="s">
        <v>13828</v>
      </c>
      <c r="C996" s="516"/>
      <c r="D996" s="514" t="s">
        <v>13827</v>
      </c>
      <c r="E996" s="515">
        <v>7.5</v>
      </c>
      <c r="F996" s="518" t="s">
        <v>1854</v>
      </c>
      <c r="G996" s="515" t="s">
        <v>2152</v>
      </c>
      <c r="H996" s="514"/>
      <c r="I996" s="515">
        <v>2</v>
      </c>
      <c r="J996" s="515">
        <v>2</v>
      </c>
    </row>
    <row r="997" spans="1:10" ht="13.8" thickBot="1">
      <c r="A997" s="517"/>
      <c r="B997" s="518" t="s">
        <v>14223</v>
      </c>
      <c r="C997" s="516"/>
      <c r="D997" s="519" t="s">
        <v>14222</v>
      </c>
      <c r="E997" s="515">
        <v>6.5</v>
      </c>
      <c r="F997" s="518" t="s">
        <v>1854</v>
      </c>
      <c r="G997" s="515" t="s">
        <v>1793</v>
      </c>
      <c r="H997" s="514"/>
      <c r="I997" s="515">
        <v>1</v>
      </c>
      <c r="J997" s="515">
        <v>4</v>
      </c>
    </row>
    <row r="998" spans="1:10" ht="13.8" thickBot="1">
      <c r="A998" s="517"/>
      <c r="B998" s="518" t="s">
        <v>14299</v>
      </c>
      <c r="C998" s="516"/>
      <c r="D998" s="531" t="s">
        <v>14298</v>
      </c>
      <c r="E998" s="521">
        <v>8</v>
      </c>
      <c r="F998" s="518" t="s">
        <v>1854</v>
      </c>
      <c r="G998" s="515" t="s">
        <v>1793</v>
      </c>
      <c r="H998" s="514"/>
      <c r="I998" s="515">
        <v>1</v>
      </c>
      <c r="J998" s="515">
        <v>2</v>
      </c>
    </row>
    <row r="999" spans="1:10" ht="13.8" thickBot="1">
      <c r="A999" s="517"/>
      <c r="B999" s="518" t="s">
        <v>12091</v>
      </c>
      <c r="C999" s="516"/>
      <c r="D999" s="514" t="s">
        <v>1593</v>
      </c>
      <c r="E999" s="515">
        <v>2</v>
      </c>
      <c r="F999" s="518" t="s">
        <v>1854</v>
      </c>
      <c r="G999" s="515" t="s">
        <v>4970</v>
      </c>
      <c r="H999" s="514"/>
      <c r="I999" s="522"/>
      <c r="J999" s="522">
        <v>2</v>
      </c>
    </row>
    <row r="1000" spans="1:10" ht="13.8" thickBot="1">
      <c r="A1000" s="517"/>
      <c r="B1000" s="518" t="s">
        <v>14157</v>
      </c>
      <c r="C1000" s="516"/>
      <c r="D1000" s="514" t="s">
        <v>14156</v>
      </c>
      <c r="E1000" s="515">
        <v>5</v>
      </c>
      <c r="F1000" s="518" t="s">
        <v>614</v>
      </c>
      <c r="G1000" s="515" t="s">
        <v>1793</v>
      </c>
      <c r="H1000" s="514" t="s">
        <v>1841</v>
      </c>
      <c r="I1000" s="522"/>
      <c r="J1000" s="522">
        <v>10</v>
      </c>
    </row>
    <row r="1001" spans="1:10" ht="13.8" thickBot="1">
      <c r="A1001" s="517"/>
      <c r="B1001" s="518" t="s">
        <v>12450</v>
      </c>
      <c r="C1001" s="516"/>
      <c r="D1001" s="514" t="s">
        <v>12449</v>
      </c>
      <c r="E1001" s="515">
        <v>7</v>
      </c>
      <c r="F1001" s="518" t="s">
        <v>614</v>
      </c>
      <c r="G1001" s="515" t="s">
        <v>4067</v>
      </c>
      <c r="H1001" s="514" t="s">
        <v>1251</v>
      </c>
      <c r="I1001" s="515">
        <v>1</v>
      </c>
      <c r="J1001" s="515">
        <v>10</v>
      </c>
    </row>
    <row r="1002" spans="1:10" ht="13.8" thickBot="1">
      <c r="A1002" s="517"/>
      <c r="B1002" s="518" t="s">
        <v>13317</v>
      </c>
      <c r="C1002" s="516"/>
      <c r="D1002" s="514" t="s">
        <v>13316</v>
      </c>
      <c r="E1002" s="515">
        <v>5</v>
      </c>
      <c r="F1002" s="518" t="s">
        <v>614</v>
      </c>
      <c r="G1002" s="515" t="s">
        <v>2523</v>
      </c>
      <c r="H1002" s="514"/>
      <c r="I1002" s="522"/>
      <c r="J1002" s="522">
        <v>3</v>
      </c>
    </row>
    <row r="1003" spans="1:10" ht="13.8" thickBot="1">
      <c r="A1003" s="517"/>
      <c r="B1003" s="518" t="s">
        <v>12578</v>
      </c>
      <c r="C1003" s="516"/>
      <c r="D1003" s="514" t="s">
        <v>1502</v>
      </c>
      <c r="E1003" s="515">
        <v>6.25</v>
      </c>
      <c r="F1003" s="518" t="s">
        <v>1854</v>
      </c>
      <c r="G1003" s="515" t="s">
        <v>3807</v>
      </c>
      <c r="H1003" s="514" t="s">
        <v>2067</v>
      </c>
      <c r="I1003" s="515"/>
      <c r="J1003" s="515">
        <v>9</v>
      </c>
    </row>
    <row r="1004" spans="1:10" ht="13.8" thickBot="1">
      <c r="A1004" s="517"/>
      <c r="B1004" s="518" t="s">
        <v>11925</v>
      </c>
      <c r="C1004" s="516"/>
      <c r="D1004" s="514" t="s">
        <v>11924</v>
      </c>
      <c r="E1004" s="515">
        <v>6.75</v>
      </c>
      <c r="F1004" s="518" t="s">
        <v>614</v>
      </c>
      <c r="G1004" s="515" t="s">
        <v>5226</v>
      </c>
      <c r="H1004" s="514" t="s">
        <v>1220</v>
      </c>
      <c r="I1004" s="515">
        <v>2</v>
      </c>
      <c r="J1004" s="515">
        <v>8</v>
      </c>
    </row>
    <row r="1005" spans="1:10" ht="13.8" thickBot="1">
      <c r="A1005" s="517"/>
      <c r="B1005" s="518" t="s">
        <v>12641</v>
      </c>
      <c r="C1005" s="516"/>
      <c r="D1005" s="514" t="s">
        <v>12640</v>
      </c>
      <c r="E1005" s="515">
        <v>6.3</v>
      </c>
      <c r="F1005" s="518" t="s">
        <v>614</v>
      </c>
      <c r="G1005" s="515" t="s">
        <v>3734</v>
      </c>
      <c r="H1005" s="514" t="s">
        <v>1226</v>
      </c>
      <c r="I1005" s="515">
        <v>2</v>
      </c>
      <c r="J1005" s="515">
        <v>15</v>
      </c>
    </row>
    <row r="1006" spans="1:10" ht="13.8" thickBot="1">
      <c r="A1006" s="517"/>
      <c r="B1006" s="518" t="s">
        <v>14289</v>
      </c>
      <c r="C1006" s="516"/>
      <c r="D1006" s="514" t="s">
        <v>14288</v>
      </c>
      <c r="E1006" s="515">
        <v>7.5</v>
      </c>
      <c r="F1006" s="518" t="s">
        <v>1854</v>
      </c>
      <c r="G1006" s="515" t="s">
        <v>1793</v>
      </c>
      <c r="H1006" s="514"/>
      <c r="I1006" s="515">
        <v>2</v>
      </c>
      <c r="J1006" s="515">
        <v>4</v>
      </c>
    </row>
    <row r="1007" spans="1:10" ht="13.8" thickBot="1">
      <c r="A1007" s="517"/>
      <c r="B1007" s="518" t="s">
        <v>11949</v>
      </c>
      <c r="C1007" s="516"/>
      <c r="D1007" s="514" t="s">
        <v>11948</v>
      </c>
      <c r="E1007" s="515">
        <v>6</v>
      </c>
      <c r="F1007" s="518" t="s">
        <v>614</v>
      </c>
      <c r="G1007" s="515" t="s">
        <v>5219</v>
      </c>
      <c r="H1007" s="514" t="s">
        <v>1224</v>
      </c>
      <c r="I1007" s="515"/>
      <c r="J1007" s="515">
        <v>15</v>
      </c>
    </row>
    <row r="1008" spans="1:10" ht="13.8" thickBot="1">
      <c r="A1008" s="517"/>
      <c r="B1008" s="518" t="s">
        <v>13804</v>
      </c>
      <c r="C1008" s="516"/>
      <c r="D1008" s="514" t="s">
        <v>13803</v>
      </c>
      <c r="E1008" s="515">
        <v>6</v>
      </c>
      <c r="F1008" s="518" t="s">
        <v>614</v>
      </c>
      <c r="G1008" s="515" t="s">
        <v>2152</v>
      </c>
      <c r="H1008" s="514"/>
      <c r="I1008" s="515">
        <v>1</v>
      </c>
      <c r="J1008" s="515">
        <v>10</v>
      </c>
    </row>
    <row r="1009" spans="1:10" ht="13.8" thickBot="1">
      <c r="A1009" s="517"/>
      <c r="B1009" s="518" t="s">
        <v>11881</v>
      </c>
      <c r="C1009" s="516"/>
      <c r="D1009" s="514" t="s">
        <v>11880</v>
      </c>
      <c r="E1009" s="515">
        <v>7.1</v>
      </c>
      <c r="F1009" s="518" t="s">
        <v>614</v>
      </c>
      <c r="G1009" s="515" t="s">
        <v>5286</v>
      </c>
      <c r="H1009" s="514" t="s">
        <v>1251</v>
      </c>
      <c r="I1009" s="515">
        <v>1</v>
      </c>
      <c r="J1009" s="515">
        <v>11</v>
      </c>
    </row>
    <row r="1010" spans="1:10" ht="13.8" thickBot="1">
      <c r="A1010" s="517"/>
      <c r="B1010" s="518" t="s">
        <v>14301</v>
      </c>
      <c r="C1010" s="516"/>
      <c r="D1010" s="520" t="s">
        <v>14300</v>
      </c>
      <c r="E1010" s="521">
        <v>8</v>
      </c>
      <c r="F1010" s="518" t="s">
        <v>1854</v>
      </c>
      <c r="G1010" s="515" t="s">
        <v>1793</v>
      </c>
      <c r="H1010" s="514"/>
      <c r="I1010" s="528">
        <v>2</v>
      </c>
      <c r="J1010" s="528">
        <v>2</v>
      </c>
    </row>
    <row r="1011" spans="1:10" ht="13.8" thickBot="1">
      <c r="A1011" s="517"/>
      <c r="B1011" s="518" t="s">
        <v>12532</v>
      </c>
      <c r="C1011" s="516"/>
      <c r="D1011" s="519" t="s">
        <v>12531</v>
      </c>
      <c r="E1011" s="515">
        <v>6.5</v>
      </c>
      <c r="F1011" s="518" t="s">
        <v>614</v>
      </c>
      <c r="G1011" s="515" t="s">
        <v>3856</v>
      </c>
      <c r="H1011" s="514" t="s">
        <v>1220</v>
      </c>
      <c r="I1011" s="515">
        <v>2</v>
      </c>
      <c r="J1011" s="515">
        <v>7</v>
      </c>
    </row>
    <row r="1012" spans="1:10" ht="13.8" thickBot="1">
      <c r="A1012" s="517"/>
      <c r="B1012" s="518" t="s">
        <v>12194</v>
      </c>
      <c r="C1012" s="516"/>
      <c r="D1012" s="514" t="s">
        <v>12193</v>
      </c>
      <c r="E1012" s="515">
        <v>6</v>
      </c>
      <c r="F1012" s="518" t="s">
        <v>614</v>
      </c>
      <c r="G1012" s="515" t="s">
        <v>4789</v>
      </c>
      <c r="H1012" s="514"/>
      <c r="I1012" s="515"/>
      <c r="J1012" s="515">
        <v>13</v>
      </c>
    </row>
    <row r="1013" spans="1:10" ht="13.8" thickBot="1">
      <c r="A1013" s="517"/>
      <c r="B1013" s="518" t="s">
        <v>14249</v>
      </c>
      <c r="C1013" s="516"/>
      <c r="D1013" s="519" t="s">
        <v>14248</v>
      </c>
      <c r="E1013" s="515">
        <v>6.75</v>
      </c>
      <c r="F1013" s="518" t="s">
        <v>1854</v>
      </c>
      <c r="G1013" s="515" t="s">
        <v>1793</v>
      </c>
      <c r="H1013" s="514" t="s">
        <v>1226</v>
      </c>
      <c r="I1013" s="515">
        <v>1</v>
      </c>
      <c r="J1013" s="515">
        <v>6</v>
      </c>
    </row>
    <row r="1014" spans="1:10" ht="13.8" thickBot="1">
      <c r="A1014" s="517"/>
      <c r="B1014" s="518" t="s">
        <v>11852</v>
      </c>
      <c r="C1014" s="516"/>
      <c r="D1014" s="514" t="s">
        <v>11851</v>
      </c>
      <c r="E1014" s="515">
        <v>6</v>
      </c>
      <c r="F1014" s="518" t="s">
        <v>614</v>
      </c>
      <c r="G1014" s="515" t="s">
        <v>5286</v>
      </c>
      <c r="H1014" s="514"/>
      <c r="I1014" s="515">
        <v>1</v>
      </c>
      <c r="J1014" s="515">
        <v>6</v>
      </c>
    </row>
    <row r="1015" spans="1:10" ht="13.8" thickBot="1">
      <c r="A1015" s="517"/>
      <c r="B1015" s="518" t="s">
        <v>13778</v>
      </c>
      <c r="C1015" s="516"/>
      <c r="D1015" s="514" t="s">
        <v>13777</v>
      </c>
      <c r="E1015" s="515">
        <v>5</v>
      </c>
      <c r="F1015" s="518" t="s">
        <v>614</v>
      </c>
      <c r="G1015" s="515" t="s">
        <v>2152</v>
      </c>
      <c r="H1015" s="514" t="s">
        <v>1841</v>
      </c>
      <c r="I1015" s="515"/>
      <c r="J1015" s="515">
        <v>13</v>
      </c>
    </row>
    <row r="1016" spans="1:10" ht="13.8" thickBot="1">
      <c r="A1016" s="517"/>
      <c r="B1016" s="518" t="s">
        <v>12661</v>
      </c>
      <c r="C1016" s="516"/>
      <c r="D1016" s="514" t="s">
        <v>12660</v>
      </c>
      <c r="E1016" s="515">
        <v>5.75</v>
      </c>
      <c r="F1016" s="518" t="s">
        <v>614</v>
      </c>
      <c r="G1016" s="515" t="s">
        <v>3724</v>
      </c>
      <c r="H1016" s="514" t="s">
        <v>1226</v>
      </c>
      <c r="I1016" s="515"/>
      <c r="J1016" s="515">
        <v>12</v>
      </c>
    </row>
    <row r="1017" spans="1:10" ht="13.8" thickBot="1">
      <c r="A1017" s="517"/>
      <c r="B1017" s="518" t="s">
        <v>13723</v>
      </c>
      <c r="C1017" s="516"/>
      <c r="D1017" s="514" t="s">
        <v>13722</v>
      </c>
      <c r="E1017" s="515">
        <v>7</v>
      </c>
      <c r="F1017" s="518" t="s">
        <v>1854</v>
      </c>
      <c r="G1017" s="515" t="s">
        <v>2289</v>
      </c>
      <c r="H1017" s="514" t="s">
        <v>1224</v>
      </c>
      <c r="I1017" s="515">
        <v>3</v>
      </c>
      <c r="J1017" s="515">
        <v>9</v>
      </c>
    </row>
    <row r="1018" spans="1:10" ht="13.8" thickBot="1">
      <c r="A1018" s="517"/>
      <c r="B1018" s="518" t="s">
        <v>13900</v>
      </c>
      <c r="C1018" s="516"/>
      <c r="D1018" s="514" t="s">
        <v>13899</v>
      </c>
      <c r="E1018" s="515">
        <v>6</v>
      </c>
      <c r="F1018" s="518" t="s">
        <v>614</v>
      </c>
      <c r="G1018" s="515" t="s">
        <v>2032</v>
      </c>
      <c r="H1018" s="514" t="s">
        <v>3556</v>
      </c>
      <c r="I1018" s="515"/>
      <c r="J1018" s="515">
        <v>17</v>
      </c>
    </row>
    <row r="1019" spans="1:10" ht="13.8" thickBot="1">
      <c r="A1019" s="517"/>
      <c r="B1019" s="518" t="s">
        <v>13727</v>
      </c>
      <c r="C1019" s="516"/>
      <c r="D1019" s="514" t="s">
        <v>13726</v>
      </c>
      <c r="E1019" s="515">
        <v>7.1</v>
      </c>
      <c r="F1019" s="518" t="s">
        <v>614</v>
      </c>
      <c r="G1019" s="515" t="s">
        <v>2289</v>
      </c>
      <c r="H1019" s="514" t="s">
        <v>1251</v>
      </c>
      <c r="I1019" s="515">
        <v>3</v>
      </c>
      <c r="J1019" s="515">
        <v>8</v>
      </c>
    </row>
    <row r="1020" spans="1:10" ht="13.8" thickBot="1">
      <c r="A1020" s="517"/>
      <c r="B1020" s="518" t="s">
        <v>12769</v>
      </c>
      <c r="C1020" s="516"/>
      <c r="D1020" s="514" t="s">
        <v>12768</v>
      </c>
      <c r="E1020" s="515">
        <v>6.25</v>
      </c>
      <c r="F1020" s="518" t="s">
        <v>614</v>
      </c>
      <c r="G1020" s="515" t="s">
        <v>3517</v>
      </c>
      <c r="H1020" s="514" t="s">
        <v>2319</v>
      </c>
      <c r="I1020" s="522">
        <v>3</v>
      </c>
      <c r="J1020" s="522">
        <v>18</v>
      </c>
    </row>
    <row r="1021" spans="1:10" ht="13.8" thickBot="1">
      <c r="A1021" s="517"/>
      <c r="B1021" s="518" t="s">
        <v>12523</v>
      </c>
      <c r="C1021" s="516"/>
      <c r="D1021" s="514" t="s">
        <v>12522</v>
      </c>
      <c r="E1021" s="515">
        <v>6.25</v>
      </c>
      <c r="F1021" s="518" t="s">
        <v>614</v>
      </c>
      <c r="G1021" s="515" t="s">
        <v>3856</v>
      </c>
      <c r="H1021" s="514" t="s">
        <v>1224</v>
      </c>
      <c r="I1021" s="522"/>
      <c r="J1021" s="522">
        <v>20</v>
      </c>
    </row>
    <row r="1022" spans="1:10" ht="13.8" thickBot="1">
      <c r="A1022" s="517"/>
      <c r="B1022" s="518" t="s">
        <v>14141</v>
      </c>
      <c r="C1022" s="516"/>
      <c r="D1022" s="514" t="s">
        <v>14140</v>
      </c>
      <c r="E1022" s="515">
        <v>5</v>
      </c>
      <c r="F1022" s="518" t="s">
        <v>1854</v>
      </c>
      <c r="G1022" s="515" t="s">
        <v>1793</v>
      </c>
      <c r="H1022" s="514"/>
      <c r="I1022" s="522"/>
      <c r="J1022" s="522">
        <v>13</v>
      </c>
    </row>
    <row r="1023" spans="1:10" ht="13.8" thickBot="1">
      <c r="A1023" s="517"/>
      <c r="B1023" s="518" t="s">
        <v>13746</v>
      </c>
      <c r="C1023" s="516"/>
      <c r="D1023" s="514" t="s">
        <v>13745</v>
      </c>
      <c r="E1023" s="515">
        <v>7.5</v>
      </c>
      <c r="F1023" s="518" t="s">
        <v>614</v>
      </c>
      <c r="G1023" s="515" t="s">
        <v>2289</v>
      </c>
      <c r="H1023" s="514" t="s">
        <v>1229</v>
      </c>
      <c r="I1023" s="522">
        <v>4</v>
      </c>
      <c r="J1023" s="522">
        <v>11</v>
      </c>
    </row>
    <row r="1024" spans="1:10" ht="13.8" thickBot="1">
      <c r="A1024" s="517"/>
      <c r="B1024" s="518" t="s">
        <v>14291</v>
      </c>
      <c r="C1024" s="516"/>
      <c r="D1024" s="514" t="s">
        <v>14290</v>
      </c>
      <c r="E1024" s="515">
        <v>7.5</v>
      </c>
      <c r="F1024" s="518" t="s">
        <v>614</v>
      </c>
      <c r="G1024" s="515" t="s">
        <v>1793</v>
      </c>
      <c r="H1024" s="514" t="s">
        <v>1226</v>
      </c>
      <c r="I1024" s="522">
        <v>2</v>
      </c>
      <c r="J1024" s="522">
        <v>8</v>
      </c>
    </row>
    <row r="1025" spans="1:10" ht="13.8" thickBot="1">
      <c r="A1025" s="517"/>
      <c r="B1025" s="518" t="s">
        <v>13695</v>
      </c>
      <c r="C1025" s="516"/>
      <c r="D1025" s="514" t="s">
        <v>1727</v>
      </c>
      <c r="E1025" s="515">
        <v>6.75</v>
      </c>
      <c r="F1025" s="518" t="s">
        <v>1854</v>
      </c>
      <c r="G1025" s="515" t="s">
        <v>2289</v>
      </c>
      <c r="H1025" s="514"/>
      <c r="I1025" s="522"/>
      <c r="J1025" s="522">
        <v>6</v>
      </c>
    </row>
    <row r="1026" spans="1:10" ht="13.8" thickBot="1">
      <c r="A1026" s="517"/>
      <c r="B1026" s="518" t="s">
        <v>13420</v>
      </c>
      <c r="C1026" s="516"/>
      <c r="D1026" s="514" t="s">
        <v>1328</v>
      </c>
      <c r="E1026" s="515">
        <v>6</v>
      </c>
      <c r="F1026" s="518" t="s">
        <v>614</v>
      </c>
      <c r="G1026" s="515" t="s">
        <v>2523</v>
      </c>
      <c r="H1026" s="514" t="s">
        <v>1224</v>
      </c>
      <c r="I1026" s="515">
        <v>1</v>
      </c>
      <c r="J1026" s="515">
        <v>13</v>
      </c>
    </row>
    <row r="1027" spans="1:10" ht="13.8" thickBot="1">
      <c r="A1027" s="517"/>
      <c r="B1027" s="518" t="s">
        <v>13914</v>
      </c>
      <c r="C1027" s="516"/>
      <c r="D1027" s="514" t="s">
        <v>13913</v>
      </c>
      <c r="E1027" s="515">
        <v>6.5</v>
      </c>
      <c r="F1027" s="518" t="s">
        <v>1854</v>
      </c>
      <c r="G1027" s="515" t="s">
        <v>2032</v>
      </c>
      <c r="H1027" s="514"/>
      <c r="I1027" s="515">
        <v>2</v>
      </c>
      <c r="J1027" s="515">
        <v>10</v>
      </c>
    </row>
    <row r="1028" spans="1:10" ht="13.8" thickBot="1">
      <c r="A1028" s="517"/>
      <c r="B1028" s="518" t="s">
        <v>13838</v>
      </c>
      <c r="C1028" s="516"/>
      <c r="D1028" s="519" t="s">
        <v>13837</v>
      </c>
      <c r="E1028" s="515">
        <v>6.75</v>
      </c>
      <c r="F1028" s="518" t="s">
        <v>1854</v>
      </c>
      <c r="G1028" s="515" t="s">
        <v>2087</v>
      </c>
      <c r="H1028" s="514" t="s">
        <v>1224</v>
      </c>
      <c r="I1028" s="515">
        <v>3</v>
      </c>
      <c r="J1028" s="515">
        <v>5</v>
      </c>
    </row>
    <row r="1029" spans="1:10" ht="13.8" thickBot="1">
      <c r="A1029" s="517"/>
      <c r="B1029" s="518" t="s">
        <v>13821</v>
      </c>
      <c r="C1029" s="516"/>
      <c r="D1029" s="514" t="s">
        <v>1270</v>
      </c>
      <c r="E1029" s="515">
        <v>6.75</v>
      </c>
      <c r="F1029" s="518" t="s">
        <v>614</v>
      </c>
      <c r="G1029" s="515" t="s">
        <v>2152</v>
      </c>
      <c r="H1029" s="514"/>
      <c r="I1029" s="515">
        <v>2</v>
      </c>
      <c r="J1029" s="515">
        <v>10</v>
      </c>
    </row>
    <row r="1030" spans="1:10" ht="13.8" thickBot="1">
      <c r="A1030" s="517"/>
      <c r="B1030" s="518" t="s">
        <v>13697</v>
      </c>
      <c r="C1030" s="516"/>
      <c r="D1030" s="519" t="s">
        <v>13696</v>
      </c>
      <c r="E1030" s="515">
        <v>6.75</v>
      </c>
      <c r="F1030" s="518" t="s">
        <v>1854</v>
      </c>
      <c r="G1030" s="515" t="s">
        <v>2289</v>
      </c>
      <c r="H1030" s="514" t="s">
        <v>1220</v>
      </c>
      <c r="I1030" s="515">
        <v>1</v>
      </c>
      <c r="J1030" s="515">
        <v>4</v>
      </c>
    </row>
    <row r="1031" spans="1:10" ht="13.8" thickBot="1">
      <c r="A1031" s="517"/>
      <c r="B1031" s="518" t="s">
        <v>14275</v>
      </c>
      <c r="C1031" s="516"/>
      <c r="D1031" s="514" t="s">
        <v>14101</v>
      </c>
      <c r="E1031" s="515">
        <v>7</v>
      </c>
      <c r="F1031" s="518" t="s">
        <v>614</v>
      </c>
      <c r="G1031" s="515" t="s">
        <v>1793</v>
      </c>
      <c r="H1031" s="514" t="s">
        <v>1226</v>
      </c>
      <c r="I1031" s="515">
        <v>1</v>
      </c>
      <c r="J1031" s="515">
        <v>2</v>
      </c>
    </row>
    <row r="1032" spans="1:10" ht="13.8" thickBot="1">
      <c r="A1032" s="517"/>
      <c r="B1032" s="518" t="s">
        <v>11909</v>
      </c>
      <c r="C1032" s="516"/>
      <c r="D1032" s="514" t="s">
        <v>11905</v>
      </c>
      <c r="E1032" s="515">
        <v>7.25</v>
      </c>
      <c r="F1032" s="518" t="s">
        <v>614</v>
      </c>
      <c r="G1032" s="515" t="s">
        <v>5245</v>
      </c>
      <c r="H1032" s="514" t="s">
        <v>1229</v>
      </c>
      <c r="I1032" s="515">
        <v>2</v>
      </c>
      <c r="J1032" s="515">
        <v>11</v>
      </c>
    </row>
    <row r="1033" spans="1:10" ht="13.8" thickBot="1">
      <c r="A1033" s="517"/>
      <c r="B1033" s="518" t="s">
        <v>13792</v>
      </c>
      <c r="C1033" s="516"/>
      <c r="D1033" s="514" t="s">
        <v>2153</v>
      </c>
      <c r="E1033" s="515">
        <v>5.5</v>
      </c>
      <c r="F1033" s="518" t="s">
        <v>614</v>
      </c>
      <c r="G1033" s="515" t="s">
        <v>2152</v>
      </c>
      <c r="H1033" s="514" t="s">
        <v>1251</v>
      </c>
      <c r="I1033" s="515"/>
      <c r="J1033" s="515">
        <v>5</v>
      </c>
    </row>
    <row r="1034" spans="1:10" ht="13.8" thickBot="1">
      <c r="A1034" s="517"/>
      <c r="B1034" s="518" t="s">
        <v>13956</v>
      </c>
      <c r="C1034" s="516"/>
      <c r="D1034" s="514" t="s">
        <v>1252</v>
      </c>
      <c r="E1034" s="515">
        <v>3</v>
      </c>
      <c r="F1034" s="518" t="s">
        <v>1854</v>
      </c>
      <c r="G1034" s="515" t="s">
        <v>1922</v>
      </c>
      <c r="H1034" s="514"/>
      <c r="I1034" s="515"/>
      <c r="J1034" s="515">
        <v>2</v>
      </c>
    </row>
    <row r="1035" spans="1:10" ht="13.8" thickBot="1">
      <c r="A1035" s="517"/>
      <c r="B1035" s="518" t="s">
        <v>14279</v>
      </c>
      <c r="C1035" s="516"/>
      <c r="D1035" s="514" t="s">
        <v>14278</v>
      </c>
      <c r="E1035" s="515">
        <v>7</v>
      </c>
      <c r="F1035" s="518" t="s">
        <v>614</v>
      </c>
      <c r="G1035" s="515" t="s">
        <v>1793</v>
      </c>
      <c r="H1035" s="514" t="s">
        <v>1251</v>
      </c>
      <c r="I1035" s="515"/>
      <c r="J1035" s="515">
        <v>14</v>
      </c>
    </row>
    <row r="1036" spans="1:10" ht="13.8" thickBot="1">
      <c r="A1036" s="517"/>
      <c r="B1036" s="518" t="s">
        <v>12067</v>
      </c>
      <c r="C1036" s="516"/>
      <c r="D1036" s="514" t="s">
        <v>5017</v>
      </c>
      <c r="E1036" s="515">
        <v>5.5</v>
      </c>
      <c r="F1036" s="518" t="s">
        <v>1854</v>
      </c>
      <c r="G1036" s="515" t="s">
        <v>5010</v>
      </c>
      <c r="H1036" s="514" t="s">
        <v>1224</v>
      </c>
      <c r="I1036" s="515"/>
      <c r="J1036" s="515">
        <v>13</v>
      </c>
    </row>
    <row r="1037" spans="1:10" ht="13.8" thickBot="1">
      <c r="A1037" s="517"/>
      <c r="B1037" s="518" t="s">
        <v>13402</v>
      </c>
      <c r="C1037" s="516"/>
      <c r="D1037" s="514" t="s">
        <v>13401</v>
      </c>
      <c r="E1037" s="515">
        <v>5.75</v>
      </c>
      <c r="F1037" s="518" t="s">
        <v>614</v>
      </c>
      <c r="G1037" s="515" t="s">
        <v>2523</v>
      </c>
      <c r="H1037" s="514" t="s">
        <v>1841</v>
      </c>
      <c r="I1037" s="515">
        <v>1</v>
      </c>
      <c r="J1037" s="515">
        <v>12</v>
      </c>
    </row>
    <row r="1038" spans="1:10" ht="13.8" thickBot="1">
      <c r="A1038" s="517"/>
      <c r="B1038" s="518" t="s">
        <v>12451</v>
      </c>
      <c r="C1038" s="516"/>
      <c r="D1038" s="514" t="s">
        <v>1537</v>
      </c>
      <c r="E1038" s="515">
        <v>7.25</v>
      </c>
      <c r="F1038" s="518" t="s">
        <v>1854</v>
      </c>
      <c r="G1038" s="515" t="s">
        <v>4067</v>
      </c>
      <c r="H1038" s="514" t="s">
        <v>1226</v>
      </c>
      <c r="I1038" s="515">
        <v>2</v>
      </c>
      <c r="J1038" s="515">
        <v>6</v>
      </c>
    </row>
    <row r="1039" spans="1:10" ht="13.8" thickBot="1">
      <c r="A1039" s="517"/>
      <c r="B1039" s="518" t="s">
        <v>14036</v>
      </c>
      <c r="C1039" s="516"/>
      <c r="D1039" s="514" t="s">
        <v>13991</v>
      </c>
      <c r="E1039" s="515">
        <v>1</v>
      </c>
      <c r="F1039" s="514"/>
      <c r="G1039" s="515" t="s">
        <v>1793</v>
      </c>
      <c r="H1039" s="514"/>
      <c r="I1039" s="515"/>
      <c r="J1039" s="515">
        <v>2</v>
      </c>
    </row>
    <row r="1040" spans="1:10" ht="13.8" thickBot="1">
      <c r="A1040" s="517"/>
      <c r="B1040" s="518" t="s">
        <v>12829</v>
      </c>
      <c r="C1040" s="516"/>
      <c r="D1040" s="514" t="s">
        <v>12828</v>
      </c>
      <c r="E1040" s="515">
        <v>7.5</v>
      </c>
      <c r="F1040" s="518" t="s">
        <v>1854</v>
      </c>
      <c r="G1040" s="515" t="s">
        <v>3517</v>
      </c>
      <c r="H1040" s="514"/>
      <c r="I1040" s="515">
        <v>3</v>
      </c>
      <c r="J1040" s="522">
        <v>3</v>
      </c>
    </row>
    <row r="1041" spans="1:10" ht="13.8" thickBot="1">
      <c r="A1041" s="517"/>
      <c r="B1041" s="518" t="s">
        <v>14160</v>
      </c>
      <c r="C1041" s="516"/>
      <c r="D1041" s="514" t="s">
        <v>14159</v>
      </c>
      <c r="E1041" s="515">
        <v>5.25</v>
      </c>
      <c r="F1041" s="518" t="s">
        <v>614</v>
      </c>
      <c r="G1041" s="515" t="s">
        <v>1793</v>
      </c>
      <c r="H1041" s="514" t="s">
        <v>1226</v>
      </c>
      <c r="I1041" s="515"/>
      <c r="J1041" s="515">
        <v>3</v>
      </c>
    </row>
    <row r="1042" spans="1:10" ht="13.8" thickBot="1">
      <c r="A1042" s="517"/>
      <c r="B1042" s="518" t="s">
        <v>12823</v>
      </c>
      <c r="C1042" s="516"/>
      <c r="D1042" s="514" t="s">
        <v>12822</v>
      </c>
      <c r="E1042" s="515">
        <v>7.25</v>
      </c>
      <c r="F1042" s="518" t="s">
        <v>1854</v>
      </c>
      <c r="G1042" s="515" t="s">
        <v>3517</v>
      </c>
      <c r="H1042" s="514" t="s">
        <v>1251</v>
      </c>
      <c r="I1042" s="515">
        <v>2</v>
      </c>
      <c r="J1042" s="515">
        <v>7</v>
      </c>
    </row>
    <row r="1043" spans="1:10" ht="13.8" thickBot="1">
      <c r="A1043" s="517"/>
      <c r="B1043" s="518" t="s">
        <v>12299</v>
      </c>
      <c r="C1043" s="516"/>
      <c r="D1043" s="514" t="s">
        <v>4315</v>
      </c>
      <c r="E1043" s="515">
        <v>4</v>
      </c>
      <c r="F1043" s="514"/>
      <c r="G1043" s="515" t="s">
        <v>4214</v>
      </c>
      <c r="H1043" s="514" t="s">
        <v>1226</v>
      </c>
      <c r="I1043" s="515"/>
      <c r="J1043" s="515">
        <v>1</v>
      </c>
    </row>
    <row r="1044" spans="1:10" ht="13.8" thickBot="1">
      <c r="A1044" s="517"/>
      <c r="B1044" s="518" t="s">
        <v>14096</v>
      </c>
      <c r="C1044" s="516"/>
      <c r="D1044" s="514" t="s">
        <v>1792</v>
      </c>
      <c r="E1044" s="515">
        <v>4</v>
      </c>
      <c r="F1044" s="514"/>
      <c r="G1044" s="515" t="s">
        <v>1793</v>
      </c>
      <c r="H1044" s="514"/>
      <c r="I1044" s="515"/>
      <c r="J1044" s="515"/>
    </row>
    <row r="1045" spans="1:10" ht="13.8" thickBot="1">
      <c r="A1045" s="517"/>
      <c r="B1045" s="518" t="s">
        <v>13166</v>
      </c>
      <c r="C1045" s="516"/>
      <c r="D1045" s="514" t="s">
        <v>13165</v>
      </c>
      <c r="E1045" s="515">
        <v>6</v>
      </c>
      <c r="F1045" s="518" t="s">
        <v>614</v>
      </c>
      <c r="G1045" s="515" t="s">
        <v>2943</v>
      </c>
      <c r="H1045" s="514" t="s">
        <v>1226</v>
      </c>
      <c r="I1045" s="515">
        <v>2</v>
      </c>
      <c r="J1045" s="515">
        <v>7</v>
      </c>
    </row>
    <row r="1046" spans="1:10" ht="13.8" thickBot="1">
      <c r="A1046" s="517"/>
      <c r="B1046" s="518" t="s">
        <v>14225</v>
      </c>
      <c r="C1046" s="516"/>
      <c r="D1046" s="514" t="s">
        <v>14224</v>
      </c>
      <c r="E1046" s="515">
        <v>6.5</v>
      </c>
      <c r="F1046" s="518" t="s">
        <v>614</v>
      </c>
      <c r="G1046" s="515" t="s">
        <v>1793</v>
      </c>
      <c r="H1046" s="514" t="s">
        <v>1224</v>
      </c>
      <c r="I1046" s="515">
        <v>3</v>
      </c>
      <c r="J1046" s="515">
        <v>11</v>
      </c>
    </row>
    <row r="1047" spans="1:10" ht="13.8" thickBot="1">
      <c r="A1047" s="517"/>
      <c r="B1047" s="518" t="s">
        <v>12432</v>
      </c>
      <c r="C1047" s="516"/>
      <c r="D1047" s="514" t="s">
        <v>12431</v>
      </c>
      <c r="E1047" s="515">
        <v>7.75</v>
      </c>
      <c r="F1047" s="518" t="s">
        <v>614</v>
      </c>
      <c r="G1047" s="515" t="s">
        <v>4102</v>
      </c>
      <c r="H1047" s="514" t="s">
        <v>1226</v>
      </c>
      <c r="I1047" s="515">
        <v>4</v>
      </c>
      <c r="J1047" s="515">
        <v>8</v>
      </c>
    </row>
    <row r="1048" spans="1:10" ht="13.8" thickBot="1">
      <c r="A1048" s="517"/>
      <c r="B1048" s="518" t="s">
        <v>12981</v>
      </c>
      <c r="C1048" s="516"/>
      <c r="D1048" s="514" t="s">
        <v>12980</v>
      </c>
      <c r="E1048" s="515">
        <v>7.25</v>
      </c>
      <c r="F1048" s="518" t="s">
        <v>614</v>
      </c>
      <c r="G1048" s="515" t="s">
        <v>3085</v>
      </c>
      <c r="H1048" s="514" t="s">
        <v>1251</v>
      </c>
      <c r="I1048" s="515">
        <v>2</v>
      </c>
      <c r="J1048" s="515">
        <v>8</v>
      </c>
    </row>
    <row r="1049" spans="1:10" ht="13.8" thickBot="1">
      <c r="A1049" s="517"/>
      <c r="B1049" s="518" t="s">
        <v>13546</v>
      </c>
      <c r="C1049" s="516"/>
      <c r="D1049" s="514" t="s">
        <v>13545</v>
      </c>
      <c r="E1049" s="515">
        <v>7.1</v>
      </c>
      <c r="F1049" s="518" t="s">
        <v>614</v>
      </c>
      <c r="G1049" s="515" t="s">
        <v>2523</v>
      </c>
      <c r="H1049" s="514" t="s">
        <v>1226</v>
      </c>
      <c r="I1049" s="515">
        <v>2</v>
      </c>
      <c r="J1049" s="515">
        <v>12</v>
      </c>
    </row>
    <row r="1050" spans="1:10" ht="13.8" thickBot="1">
      <c r="A1050" s="517"/>
      <c r="B1050" s="518" t="s">
        <v>14176</v>
      </c>
      <c r="C1050" s="516"/>
      <c r="D1050" s="514" t="s">
        <v>14175</v>
      </c>
      <c r="E1050" s="515">
        <v>5.5</v>
      </c>
      <c r="F1050" s="518" t="s">
        <v>614</v>
      </c>
      <c r="G1050" s="515" t="s">
        <v>1793</v>
      </c>
      <c r="H1050" s="514" t="s">
        <v>1226</v>
      </c>
      <c r="I1050" s="515">
        <v>1</v>
      </c>
      <c r="J1050" s="515">
        <v>12</v>
      </c>
    </row>
    <row r="1051" spans="1:10" ht="13.8" thickBot="1">
      <c r="A1051" s="517"/>
      <c r="B1051" s="518" t="s">
        <v>13708</v>
      </c>
      <c r="C1051" s="516"/>
      <c r="D1051" s="514" t="s">
        <v>13707</v>
      </c>
      <c r="E1051" s="515">
        <v>6.75</v>
      </c>
      <c r="F1051" s="518" t="s">
        <v>614</v>
      </c>
      <c r="G1051" s="515" t="s">
        <v>2289</v>
      </c>
      <c r="H1051" s="514" t="s">
        <v>1229</v>
      </c>
      <c r="I1051" s="515">
        <v>2</v>
      </c>
      <c r="J1051" s="515">
        <v>18</v>
      </c>
    </row>
    <row r="1052" spans="1:10" ht="13.8" thickBot="1">
      <c r="A1052" s="517"/>
      <c r="B1052" s="518" t="s">
        <v>12600</v>
      </c>
      <c r="C1052" s="516"/>
      <c r="D1052" s="514" t="s">
        <v>12599</v>
      </c>
      <c r="E1052" s="515">
        <v>7.1</v>
      </c>
      <c r="F1052" s="518" t="s">
        <v>1854</v>
      </c>
      <c r="G1052" s="515" t="s">
        <v>3807</v>
      </c>
      <c r="H1052" s="514"/>
      <c r="I1052" s="515">
        <v>2</v>
      </c>
      <c r="J1052" s="515">
        <v>3</v>
      </c>
    </row>
    <row r="1053" spans="1:10" ht="13.8" thickBot="1">
      <c r="A1053" s="517"/>
      <c r="B1053" s="518" t="s">
        <v>13752</v>
      </c>
      <c r="C1053" s="516"/>
      <c r="D1053" s="514" t="s">
        <v>13751</v>
      </c>
      <c r="E1053" s="515">
        <v>8.1</v>
      </c>
      <c r="F1053" s="518" t="s">
        <v>614</v>
      </c>
      <c r="G1053" s="515" t="s">
        <v>2289</v>
      </c>
      <c r="H1053" s="514" t="s">
        <v>1251</v>
      </c>
      <c r="I1053" s="515">
        <v>2</v>
      </c>
      <c r="J1053" s="515">
        <v>4</v>
      </c>
    </row>
    <row r="1054" spans="1:10" ht="13.8" thickBot="1">
      <c r="A1054" s="517"/>
      <c r="B1054" s="518" t="s">
        <v>13731</v>
      </c>
      <c r="C1054" s="516"/>
      <c r="D1054" s="514" t="s">
        <v>13730</v>
      </c>
      <c r="E1054" s="515">
        <v>7.25</v>
      </c>
      <c r="F1054" s="518" t="s">
        <v>614</v>
      </c>
      <c r="G1054" s="515" t="s">
        <v>2289</v>
      </c>
      <c r="H1054" s="514" t="s">
        <v>1226</v>
      </c>
      <c r="I1054" s="515">
        <v>3</v>
      </c>
      <c r="J1054" s="515">
        <v>5</v>
      </c>
    </row>
    <row r="1055" spans="1:10" ht="13.8" thickBot="1">
      <c r="A1055" s="517"/>
      <c r="B1055" s="518" t="s">
        <v>12542</v>
      </c>
      <c r="C1055" s="516"/>
      <c r="D1055" s="514" t="s">
        <v>12541</v>
      </c>
      <c r="E1055" s="515">
        <v>7.1</v>
      </c>
      <c r="F1055" s="518" t="s">
        <v>614</v>
      </c>
      <c r="G1055" s="515" t="s">
        <v>3856</v>
      </c>
      <c r="H1055" s="514" t="s">
        <v>1226</v>
      </c>
      <c r="I1055" s="515">
        <v>2</v>
      </c>
      <c r="J1055" s="515">
        <v>10</v>
      </c>
    </row>
    <row r="1056" spans="1:10" ht="13.8" thickBot="1">
      <c r="A1056" s="517"/>
      <c r="B1056" s="518" t="s">
        <v>14285</v>
      </c>
      <c r="C1056" s="516"/>
      <c r="D1056" s="514" t="s">
        <v>1802</v>
      </c>
      <c r="E1056" s="515">
        <v>7.5</v>
      </c>
      <c r="F1056" s="518" t="s">
        <v>614</v>
      </c>
      <c r="G1056" s="515" t="s">
        <v>1793</v>
      </c>
      <c r="H1056" s="514"/>
      <c r="I1056" s="515">
        <v>1</v>
      </c>
      <c r="J1056" s="515">
        <v>1</v>
      </c>
    </row>
    <row r="1057" spans="1:10" ht="13.8" thickBot="1">
      <c r="A1057" s="517"/>
      <c r="B1057" s="518" t="s">
        <v>13927</v>
      </c>
      <c r="C1057" s="516"/>
      <c r="D1057" s="514" t="s">
        <v>13926</v>
      </c>
      <c r="E1057" s="515">
        <v>6.8</v>
      </c>
      <c r="F1057" s="518" t="s">
        <v>614</v>
      </c>
      <c r="G1057" s="515" t="s">
        <v>2032</v>
      </c>
      <c r="H1057" s="514" t="s">
        <v>1226</v>
      </c>
      <c r="I1057" s="515">
        <v>2</v>
      </c>
      <c r="J1057" s="515">
        <v>6</v>
      </c>
    </row>
    <row r="1058" spans="1:10" ht="13.8" thickBot="1">
      <c r="A1058" s="517"/>
      <c r="B1058" s="518" t="s">
        <v>13081</v>
      </c>
      <c r="C1058" s="516"/>
      <c r="D1058" s="514" t="s">
        <v>13080</v>
      </c>
      <c r="E1058" s="515">
        <v>5.75</v>
      </c>
      <c r="F1058" s="518" t="s">
        <v>11671</v>
      </c>
      <c r="G1058" s="515" t="s">
        <v>2957</v>
      </c>
      <c r="H1058" s="514" t="s">
        <v>1226</v>
      </c>
      <c r="I1058" s="515"/>
      <c r="J1058" s="515">
        <v>4</v>
      </c>
    </row>
    <row r="1059" spans="1:10" ht="13.8" thickBot="1">
      <c r="A1059" s="517"/>
      <c r="B1059" s="518" t="s">
        <v>11673</v>
      </c>
      <c r="C1059" s="516"/>
      <c r="D1059" s="514" t="s">
        <v>11533</v>
      </c>
      <c r="E1059" s="515">
        <v>7.5</v>
      </c>
      <c r="F1059" s="518" t="s">
        <v>11671</v>
      </c>
      <c r="G1059" s="515" t="s">
        <v>11525</v>
      </c>
      <c r="H1059" s="514"/>
      <c r="I1059" s="515">
        <v>1</v>
      </c>
      <c r="J1059" s="515">
        <v>1</v>
      </c>
    </row>
    <row r="1060" spans="1:10" ht="13.8" thickBot="1">
      <c r="A1060" s="517"/>
      <c r="B1060" s="518" t="s">
        <v>14243</v>
      </c>
      <c r="C1060" s="516"/>
      <c r="D1060" s="514" t="s">
        <v>14242</v>
      </c>
      <c r="E1060" s="515">
        <v>6.7</v>
      </c>
      <c r="F1060" s="518" t="s">
        <v>614</v>
      </c>
      <c r="G1060" s="515" t="s">
        <v>1793</v>
      </c>
      <c r="H1060" s="514" t="s">
        <v>1229</v>
      </c>
      <c r="I1060" s="515"/>
      <c r="J1060" s="515">
        <v>7</v>
      </c>
    </row>
    <row r="1061" spans="1:10" ht="13.8" thickBot="1">
      <c r="A1061" s="517"/>
      <c r="B1061" s="518" t="s">
        <v>11672</v>
      </c>
      <c r="C1061" s="516"/>
      <c r="D1061" s="514" t="s">
        <v>11533</v>
      </c>
      <c r="E1061" s="515">
        <v>8.5</v>
      </c>
      <c r="F1061" s="518" t="s">
        <v>11671</v>
      </c>
      <c r="G1061" s="515" t="s">
        <v>11525</v>
      </c>
      <c r="H1061" s="514"/>
      <c r="I1061" s="515"/>
      <c r="J1061" s="515"/>
    </row>
    <row r="1062" spans="1:10" ht="13.8" thickBot="1">
      <c r="A1062" s="517"/>
      <c r="B1062" s="518" t="s">
        <v>12724</v>
      </c>
      <c r="C1062" s="516"/>
      <c r="D1062" s="514" t="s">
        <v>12723</v>
      </c>
      <c r="E1062" s="515">
        <v>5</v>
      </c>
      <c r="F1062" s="518" t="s">
        <v>1854</v>
      </c>
      <c r="G1062" s="515" t="s">
        <v>3517</v>
      </c>
      <c r="H1062" s="514"/>
      <c r="I1062" s="522"/>
      <c r="J1062" s="522"/>
    </row>
    <row r="1063" spans="1:10" ht="13.8" thickBot="1">
      <c r="A1063" s="517"/>
      <c r="B1063" s="518" t="s">
        <v>12901</v>
      </c>
      <c r="C1063" s="516"/>
      <c r="D1063" s="514" t="s">
        <v>12900</v>
      </c>
      <c r="E1063" s="515">
        <v>5</v>
      </c>
      <c r="F1063" s="518" t="s">
        <v>614</v>
      </c>
      <c r="G1063" s="515" t="s">
        <v>3285</v>
      </c>
      <c r="H1063" s="514" t="s">
        <v>1224</v>
      </c>
      <c r="I1063" s="515"/>
      <c r="J1063" s="515">
        <v>3</v>
      </c>
    </row>
    <row r="1064" spans="1:10" ht="13.8" thickBot="1">
      <c r="A1064" s="517"/>
      <c r="B1064" s="518" t="s">
        <v>14132</v>
      </c>
      <c r="C1064" s="516"/>
      <c r="D1064" s="514" t="s">
        <v>14131</v>
      </c>
      <c r="E1064" s="515">
        <v>5</v>
      </c>
      <c r="F1064" s="518" t="s">
        <v>614</v>
      </c>
      <c r="G1064" s="515" t="s">
        <v>1793</v>
      </c>
      <c r="H1064" s="514"/>
      <c r="I1064" s="515"/>
      <c r="J1064" s="515">
        <v>1</v>
      </c>
    </row>
    <row r="1065" spans="1:10" ht="13.8" thickBot="1">
      <c r="A1065" s="517"/>
      <c r="B1065" s="518" t="s">
        <v>14136</v>
      </c>
      <c r="C1065" s="516"/>
      <c r="D1065" s="514" t="s">
        <v>14135</v>
      </c>
      <c r="E1065" s="515">
        <v>5</v>
      </c>
      <c r="F1065" s="518" t="s">
        <v>614</v>
      </c>
      <c r="G1065" s="515" t="s">
        <v>1793</v>
      </c>
      <c r="H1065" s="514"/>
      <c r="I1065" s="522"/>
      <c r="J1065" s="522">
        <v>2</v>
      </c>
    </row>
    <row r="1066" spans="1:10" ht="13.8" thickBot="1">
      <c r="A1066" s="517"/>
      <c r="B1066" s="518" t="s">
        <v>12966</v>
      </c>
      <c r="C1066" s="516"/>
      <c r="D1066" s="514" t="s">
        <v>12965</v>
      </c>
      <c r="E1066" s="515">
        <v>7.5</v>
      </c>
      <c r="F1066" s="514"/>
      <c r="G1066" s="515" t="s">
        <v>3161</v>
      </c>
      <c r="H1066" s="514"/>
      <c r="I1066" s="515"/>
      <c r="J1066" s="515"/>
    </row>
    <row r="1067" spans="1:10" ht="13.8" thickBot="1">
      <c r="A1067" s="517"/>
      <c r="B1067" s="518" t="s">
        <v>12910</v>
      </c>
      <c r="C1067" s="516"/>
      <c r="D1067" s="514" t="s">
        <v>1390</v>
      </c>
      <c r="E1067" s="515">
        <v>2</v>
      </c>
      <c r="F1067" s="518" t="s">
        <v>614</v>
      </c>
      <c r="G1067" s="515" t="s">
        <v>3161</v>
      </c>
      <c r="H1067" s="514"/>
      <c r="I1067" s="515"/>
      <c r="J1067" s="515">
        <v>1</v>
      </c>
    </row>
    <row r="1068" spans="1:10" ht="13.8" thickBot="1">
      <c r="A1068" s="517"/>
      <c r="B1068" s="518" t="s">
        <v>13735</v>
      </c>
      <c r="C1068" s="516"/>
      <c r="D1068" s="514" t="s">
        <v>13734</v>
      </c>
      <c r="E1068" s="515">
        <v>7.5</v>
      </c>
      <c r="F1068" s="514"/>
      <c r="G1068" s="515" t="s">
        <v>2289</v>
      </c>
      <c r="H1068" s="514"/>
      <c r="I1068" s="515"/>
      <c r="J1068" s="515"/>
    </row>
    <row r="1069" spans="1:10" ht="13.8" thickBot="1">
      <c r="A1069" s="517"/>
      <c r="B1069" s="518" t="s">
        <v>11902</v>
      </c>
      <c r="C1069" s="516"/>
      <c r="D1069" s="514" t="s">
        <v>11901</v>
      </c>
      <c r="E1069" s="515">
        <v>6.25</v>
      </c>
      <c r="F1069" s="518" t="s">
        <v>11900</v>
      </c>
      <c r="G1069" s="515" t="s">
        <v>5248</v>
      </c>
      <c r="H1069" s="514" t="s">
        <v>1226</v>
      </c>
      <c r="I1069" s="515"/>
      <c r="J1069" s="515">
        <v>8</v>
      </c>
    </row>
    <row r="1070" spans="1:10" ht="13.8" thickBot="1">
      <c r="A1070" s="517"/>
      <c r="B1070" s="518" t="s">
        <v>13787</v>
      </c>
      <c r="C1070" s="516"/>
      <c r="D1070" s="514" t="s">
        <v>13786</v>
      </c>
      <c r="E1070" s="515">
        <v>5.5</v>
      </c>
      <c r="F1070" s="518" t="s">
        <v>614</v>
      </c>
      <c r="G1070" s="515" t="s">
        <v>2152</v>
      </c>
      <c r="H1070" s="514" t="s">
        <v>1224</v>
      </c>
      <c r="I1070" s="515"/>
      <c r="J1070" s="515">
        <v>3</v>
      </c>
    </row>
    <row r="1071" spans="1:10" ht="13.8" thickBot="1">
      <c r="A1071" s="517"/>
      <c r="B1071" s="518" t="s">
        <v>13393</v>
      </c>
      <c r="C1071" s="516"/>
      <c r="D1071" s="514" t="s">
        <v>13392</v>
      </c>
      <c r="E1071" s="515">
        <v>5.75</v>
      </c>
      <c r="F1071" s="518" t="s">
        <v>614</v>
      </c>
      <c r="G1071" s="515" t="s">
        <v>2523</v>
      </c>
      <c r="H1071" s="514" t="s">
        <v>1226</v>
      </c>
      <c r="I1071" s="515"/>
      <c r="J1071" s="515">
        <v>4</v>
      </c>
    </row>
    <row r="1072" spans="1:10" ht="13.8" thickBot="1">
      <c r="A1072" s="517"/>
      <c r="B1072" s="518" t="s">
        <v>11670</v>
      </c>
      <c r="C1072" s="516"/>
      <c r="D1072" s="514" t="s">
        <v>11533</v>
      </c>
      <c r="E1072" s="515"/>
      <c r="F1072" s="514"/>
      <c r="G1072" s="515" t="s">
        <v>11525</v>
      </c>
      <c r="H1072" s="514"/>
      <c r="I1072" s="515"/>
      <c r="J1072" s="515"/>
    </row>
    <row r="1073" spans="1:10" ht="13.8" thickBot="1">
      <c r="A1073" s="517"/>
      <c r="B1073" s="518" t="s">
        <v>11669</v>
      </c>
      <c r="C1073" s="516"/>
      <c r="D1073" s="514" t="s">
        <v>11533</v>
      </c>
      <c r="E1073" s="515"/>
      <c r="F1073" s="514"/>
      <c r="G1073" s="515" t="s">
        <v>11525</v>
      </c>
      <c r="H1073" s="514"/>
      <c r="I1073" s="515"/>
      <c r="J1073" s="515"/>
    </row>
    <row r="1074" spans="1:10" ht="13.8" thickBot="1">
      <c r="A1074" s="517"/>
      <c r="B1074" s="518" t="s">
        <v>11668</v>
      </c>
      <c r="C1074" s="516"/>
      <c r="D1074" s="514" t="s">
        <v>11533</v>
      </c>
      <c r="E1074" s="515"/>
      <c r="F1074" s="514"/>
      <c r="G1074" s="515" t="s">
        <v>11525</v>
      </c>
      <c r="H1074" s="514"/>
      <c r="I1074" s="515"/>
      <c r="J1074" s="515"/>
    </row>
    <row r="1075" spans="1:10" ht="13.8" thickBot="1">
      <c r="A1075" s="517"/>
      <c r="B1075" s="518" t="s">
        <v>12665</v>
      </c>
      <c r="C1075" s="516"/>
      <c r="D1075" s="514" t="s">
        <v>1466</v>
      </c>
      <c r="E1075" s="515"/>
      <c r="F1075" s="514"/>
      <c r="G1075" s="515" t="s">
        <v>3652</v>
      </c>
      <c r="H1075" s="514"/>
      <c r="I1075" s="515"/>
      <c r="J1075" s="515"/>
    </row>
    <row r="1076" spans="1:10" ht="13.8" thickBot="1">
      <c r="A1076" s="517"/>
      <c r="B1076" s="518" t="s">
        <v>12508</v>
      </c>
      <c r="C1076" s="516"/>
      <c r="D1076" s="514" t="s">
        <v>12507</v>
      </c>
      <c r="E1076" s="515">
        <v>5</v>
      </c>
      <c r="F1076" s="518" t="s">
        <v>614</v>
      </c>
      <c r="G1076" s="515" t="s">
        <v>3856</v>
      </c>
      <c r="H1076" s="514" t="s">
        <v>1226</v>
      </c>
      <c r="I1076" s="515"/>
      <c r="J1076" s="515">
        <v>2</v>
      </c>
    </row>
    <row r="1077" spans="1:10" ht="13.8" thickBot="1">
      <c r="A1077" s="517"/>
      <c r="B1077" s="518" t="s">
        <v>13133</v>
      </c>
      <c r="C1077" s="516"/>
      <c r="D1077" s="514" t="s">
        <v>13132</v>
      </c>
      <c r="E1077" s="515">
        <v>6.5</v>
      </c>
      <c r="F1077" s="518" t="s">
        <v>614</v>
      </c>
      <c r="G1077" s="515" t="s">
        <v>2957</v>
      </c>
      <c r="H1077" s="514" t="s">
        <v>1226</v>
      </c>
      <c r="I1077" s="515">
        <v>1</v>
      </c>
      <c r="J1077" s="515">
        <v>7</v>
      </c>
    </row>
    <row r="1078" spans="1:10" ht="13.8" thickBot="1">
      <c r="A1078" s="517"/>
      <c r="B1078" s="518" t="s">
        <v>12837</v>
      </c>
      <c r="C1078" s="516"/>
      <c r="D1078" s="514" t="s">
        <v>12836</v>
      </c>
      <c r="E1078" s="515">
        <v>8</v>
      </c>
      <c r="F1078" s="514"/>
      <c r="G1078" s="515" t="s">
        <v>3517</v>
      </c>
      <c r="H1078" s="514"/>
      <c r="I1078" s="515"/>
      <c r="J1078" s="515"/>
    </row>
    <row r="1079" spans="1:10" ht="13.8" thickBot="1">
      <c r="A1079" s="517"/>
      <c r="B1079" s="518" t="s">
        <v>12877</v>
      </c>
      <c r="C1079" s="516"/>
      <c r="D1079" s="514" t="s">
        <v>12876</v>
      </c>
      <c r="E1079" s="515">
        <v>7.25</v>
      </c>
      <c r="F1079" s="514"/>
      <c r="G1079" s="515" t="s">
        <v>3414</v>
      </c>
      <c r="H1079" s="514"/>
      <c r="I1079" s="515"/>
      <c r="J1079" s="515"/>
    </row>
    <row r="1080" spans="1:10" ht="13.8" thickBot="1">
      <c r="A1080" s="517"/>
      <c r="B1080" s="518" t="s">
        <v>13806</v>
      </c>
      <c r="C1080" s="516"/>
      <c r="D1080" s="514" t="s">
        <v>13805</v>
      </c>
      <c r="E1080" s="515">
        <v>6</v>
      </c>
      <c r="F1080" s="514"/>
      <c r="G1080" s="515" t="s">
        <v>2152</v>
      </c>
      <c r="H1080" s="514" t="s">
        <v>1224</v>
      </c>
      <c r="I1080" s="515"/>
      <c r="J1080" s="515">
        <v>2</v>
      </c>
    </row>
    <row r="1081" spans="1:10" ht="13.8" thickBot="1">
      <c r="A1081" s="517"/>
      <c r="B1081" s="518" t="s">
        <v>12568</v>
      </c>
      <c r="C1081" s="516"/>
      <c r="D1081" s="514" t="s">
        <v>12567</v>
      </c>
      <c r="E1081" s="515">
        <v>5.75</v>
      </c>
      <c r="F1081" s="514"/>
      <c r="G1081" s="515" t="s">
        <v>3807</v>
      </c>
      <c r="H1081" s="514" t="s">
        <v>1226</v>
      </c>
      <c r="I1081" s="515">
        <v>2</v>
      </c>
      <c r="J1081" s="515">
        <v>3</v>
      </c>
    </row>
    <row r="1082" spans="1:10" ht="13.8" thickBot="1">
      <c r="A1082" s="517"/>
      <c r="B1082" s="518" t="s">
        <v>12075</v>
      </c>
      <c r="C1082" s="516"/>
      <c r="D1082" s="514" t="s">
        <v>12074</v>
      </c>
      <c r="E1082" s="515">
        <v>6.4</v>
      </c>
      <c r="F1082" s="518" t="s">
        <v>614</v>
      </c>
      <c r="G1082" s="515" t="s">
        <v>5010</v>
      </c>
      <c r="H1082" s="514" t="s">
        <v>1841</v>
      </c>
      <c r="I1082" s="515">
        <v>1</v>
      </c>
      <c r="J1082" s="522">
        <v>8</v>
      </c>
    </row>
    <row r="1083" spans="1:10" ht="13.8" thickBot="1">
      <c r="A1083" s="517"/>
      <c r="B1083" s="518" t="s">
        <v>13506</v>
      </c>
      <c r="C1083" s="516"/>
      <c r="D1083" s="514" t="s">
        <v>13505</v>
      </c>
      <c r="E1083" s="515">
        <v>6.7</v>
      </c>
      <c r="F1083" s="518" t="s">
        <v>614</v>
      </c>
      <c r="G1083" s="515" t="s">
        <v>2523</v>
      </c>
      <c r="H1083" s="514" t="s">
        <v>1226</v>
      </c>
      <c r="I1083" s="515"/>
      <c r="J1083" s="515">
        <v>6</v>
      </c>
    </row>
    <row r="1084" spans="1:10" ht="13.8" thickBot="1">
      <c r="A1084" s="517"/>
      <c r="B1084" s="518" t="s">
        <v>13347</v>
      </c>
      <c r="C1084" s="516"/>
      <c r="D1084" s="514" t="s">
        <v>1300</v>
      </c>
      <c r="E1084" s="515">
        <v>5.5</v>
      </c>
      <c r="F1084" s="514"/>
      <c r="G1084" s="515" t="s">
        <v>2523</v>
      </c>
      <c r="H1084" s="514"/>
      <c r="I1084" s="515"/>
      <c r="J1084" s="515">
        <v>1</v>
      </c>
    </row>
    <row r="1085" spans="1:10" ht="13.8" thickBot="1">
      <c r="A1085" s="517"/>
      <c r="B1085" s="518" t="s">
        <v>12855</v>
      </c>
      <c r="C1085" s="516"/>
      <c r="D1085" s="514" t="s">
        <v>12854</v>
      </c>
      <c r="E1085" s="515">
        <v>7</v>
      </c>
      <c r="F1085" s="514"/>
      <c r="G1085" s="515" t="s">
        <v>3452</v>
      </c>
      <c r="H1085" s="514"/>
      <c r="I1085" s="515"/>
      <c r="J1085" s="515"/>
    </row>
    <row r="1086" spans="1:10" ht="13.8" thickBot="1">
      <c r="A1086" s="517"/>
      <c r="B1086" s="518" t="s">
        <v>13447</v>
      </c>
      <c r="C1086" s="516"/>
      <c r="D1086" s="514" t="s">
        <v>13446</v>
      </c>
      <c r="E1086" s="515">
        <v>6.25</v>
      </c>
      <c r="F1086" s="518" t="s">
        <v>614</v>
      </c>
      <c r="G1086" s="515" t="s">
        <v>2523</v>
      </c>
      <c r="H1086" s="514" t="s">
        <v>1226</v>
      </c>
      <c r="I1086" s="515"/>
      <c r="J1086" s="515">
        <v>3</v>
      </c>
    </row>
    <row r="1087" spans="1:10" ht="13.8" thickBot="1">
      <c r="A1087" s="517"/>
      <c r="B1087" s="518" t="s">
        <v>14257</v>
      </c>
      <c r="C1087" s="516"/>
      <c r="D1087" s="514" t="s">
        <v>14256</v>
      </c>
      <c r="E1087" s="515">
        <v>7</v>
      </c>
      <c r="F1087" s="514"/>
      <c r="G1087" s="515" t="s">
        <v>1793</v>
      </c>
      <c r="H1087" s="514"/>
      <c r="I1087" s="515"/>
      <c r="J1087" s="515"/>
    </row>
    <row r="1088" spans="1:10" ht="13.8" thickBot="1">
      <c r="A1088" s="517"/>
      <c r="B1088" s="518" t="s">
        <v>12387</v>
      </c>
      <c r="C1088" s="516"/>
      <c r="D1088" s="514" t="s">
        <v>12386</v>
      </c>
      <c r="E1088" s="515">
        <v>7</v>
      </c>
      <c r="F1088" s="514"/>
      <c r="G1088" s="515" t="s">
        <v>4160</v>
      </c>
      <c r="H1088" s="514"/>
      <c r="I1088" s="515"/>
      <c r="J1088" s="515"/>
    </row>
    <row r="1089" spans="1:10" ht="13.8" thickBot="1">
      <c r="A1089" s="517"/>
      <c r="B1089" s="518" t="s">
        <v>12839</v>
      </c>
      <c r="C1089" s="516"/>
      <c r="D1089" s="514" t="s">
        <v>1452</v>
      </c>
      <c r="E1089" s="515">
        <v>9</v>
      </c>
      <c r="F1089" s="514"/>
      <c r="G1089" s="515" t="s">
        <v>3517</v>
      </c>
      <c r="H1089" s="514"/>
      <c r="I1089" s="515"/>
      <c r="J1089" s="515"/>
    </row>
    <row r="1090" spans="1:10" ht="13.8" thickBot="1">
      <c r="A1090" s="517"/>
      <c r="B1090" s="518" t="s">
        <v>12333</v>
      </c>
      <c r="C1090" s="516"/>
      <c r="D1090" s="514" t="s">
        <v>12332</v>
      </c>
      <c r="E1090" s="515">
        <v>6.1</v>
      </c>
      <c r="F1090" s="518" t="s">
        <v>614</v>
      </c>
      <c r="G1090" s="515" t="s">
        <v>4214</v>
      </c>
      <c r="H1090" s="514" t="s">
        <v>1251</v>
      </c>
      <c r="I1090" s="522"/>
      <c r="J1090" s="522">
        <v>8</v>
      </c>
    </row>
    <row r="1091" spans="1:10" ht="13.8" thickBot="1">
      <c r="A1091" s="517"/>
      <c r="B1091" s="518" t="s">
        <v>11667</v>
      </c>
      <c r="C1091" s="516"/>
      <c r="D1091" s="514" t="s">
        <v>11533</v>
      </c>
      <c r="E1091" s="515">
        <v>7</v>
      </c>
      <c r="F1091" s="514"/>
      <c r="G1091" s="515" t="s">
        <v>11525</v>
      </c>
      <c r="H1091" s="514"/>
      <c r="I1091" s="522"/>
      <c r="J1091" s="522"/>
    </row>
    <row r="1092" spans="1:10" ht="13.8" thickBot="1">
      <c r="A1092" s="517"/>
      <c r="B1092" s="518" t="s">
        <v>11666</v>
      </c>
      <c r="C1092" s="516"/>
      <c r="D1092" s="514" t="s">
        <v>11533</v>
      </c>
      <c r="E1092" s="515">
        <v>7.25</v>
      </c>
      <c r="F1092" s="514"/>
      <c r="G1092" s="515" t="s">
        <v>11525</v>
      </c>
      <c r="H1092" s="514"/>
      <c r="I1092" s="522"/>
      <c r="J1092" s="522"/>
    </row>
    <row r="1093" spans="1:10" ht="13.8" thickBot="1">
      <c r="A1093" s="517"/>
      <c r="B1093" s="518" t="s">
        <v>11665</v>
      </c>
      <c r="C1093" s="516"/>
      <c r="D1093" s="514" t="s">
        <v>11664</v>
      </c>
      <c r="E1093" s="515"/>
      <c r="F1093" s="514"/>
      <c r="G1093" s="515" t="s">
        <v>11525</v>
      </c>
      <c r="H1093" s="514"/>
      <c r="I1093" s="522"/>
      <c r="J1093" s="522"/>
    </row>
    <row r="1094" spans="1:10" ht="13.8" thickBot="1">
      <c r="A1094" s="517"/>
      <c r="B1094" s="518" t="s">
        <v>11663</v>
      </c>
      <c r="C1094" s="516"/>
      <c r="D1094" s="514" t="s">
        <v>11533</v>
      </c>
      <c r="E1094" s="515">
        <v>7.5</v>
      </c>
      <c r="F1094" s="514"/>
      <c r="G1094" s="515" t="s">
        <v>11525</v>
      </c>
      <c r="H1094" s="514"/>
      <c r="I1094" s="522"/>
      <c r="J1094" s="522"/>
    </row>
    <row r="1095" spans="1:10" ht="13.8" thickBot="1">
      <c r="A1095" s="517"/>
      <c r="B1095" s="518" t="s">
        <v>13765</v>
      </c>
      <c r="C1095" s="516"/>
      <c r="D1095" s="519" t="s">
        <v>2155</v>
      </c>
      <c r="E1095" s="515">
        <v>4</v>
      </c>
      <c r="F1095" s="518" t="s">
        <v>614</v>
      </c>
      <c r="G1095" s="515" t="s">
        <v>2152</v>
      </c>
      <c r="H1095" s="514" t="s">
        <v>1226</v>
      </c>
      <c r="I1095" s="515"/>
      <c r="J1095" s="515">
        <v>6</v>
      </c>
    </row>
    <row r="1096" spans="1:10" ht="13.8" thickBot="1">
      <c r="A1096" s="517"/>
      <c r="B1096" s="518" t="s">
        <v>13154</v>
      </c>
      <c r="C1096" s="516"/>
      <c r="D1096" s="514" t="s">
        <v>13153</v>
      </c>
      <c r="E1096" s="515">
        <v>7.1</v>
      </c>
      <c r="F1096" s="518" t="s">
        <v>614</v>
      </c>
      <c r="G1096" s="515" t="s">
        <v>2957</v>
      </c>
      <c r="H1096" s="514" t="s">
        <v>1226</v>
      </c>
      <c r="I1096" s="515"/>
      <c r="J1096" s="515">
        <v>4</v>
      </c>
    </row>
    <row r="1097" spans="1:10" ht="13.8" thickBot="1">
      <c r="A1097" s="517"/>
      <c r="B1097" s="518" t="s">
        <v>13087</v>
      </c>
      <c r="C1097" s="516"/>
      <c r="D1097" s="514" t="s">
        <v>13086</v>
      </c>
      <c r="E1097" s="515">
        <v>6</v>
      </c>
      <c r="F1097" s="518" t="s">
        <v>614</v>
      </c>
      <c r="G1097" s="515" t="s">
        <v>2957</v>
      </c>
      <c r="H1097" s="514" t="s">
        <v>1224</v>
      </c>
      <c r="I1097" s="515"/>
      <c r="J1097" s="515">
        <v>2</v>
      </c>
    </row>
    <row r="1098" spans="1:10" ht="13.8" thickBot="1">
      <c r="A1098" s="517"/>
      <c r="B1098" s="518" t="s">
        <v>14166</v>
      </c>
      <c r="C1098" s="516"/>
      <c r="D1098" s="514" t="s">
        <v>14165</v>
      </c>
      <c r="E1098" s="515">
        <v>5.5</v>
      </c>
      <c r="F1098" s="518" t="s">
        <v>614</v>
      </c>
      <c r="G1098" s="515" t="s">
        <v>1793</v>
      </c>
      <c r="H1098" s="514"/>
      <c r="I1098" s="515"/>
      <c r="J1098" s="515">
        <v>4</v>
      </c>
    </row>
    <row r="1099" spans="1:10" ht="13.8" thickBot="1">
      <c r="A1099" s="517"/>
      <c r="B1099" s="518" t="s">
        <v>12071</v>
      </c>
      <c r="C1099" s="516"/>
      <c r="D1099" s="514" t="s">
        <v>12070</v>
      </c>
      <c r="E1099" s="515">
        <v>5.5</v>
      </c>
      <c r="F1099" s="518" t="s">
        <v>614</v>
      </c>
      <c r="G1099" s="515" t="s">
        <v>5010</v>
      </c>
      <c r="H1099" s="514" t="s">
        <v>1226</v>
      </c>
      <c r="I1099" s="515"/>
      <c r="J1099" s="515">
        <v>2</v>
      </c>
    </row>
    <row r="1100" spans="1:10" ht="13.8" thickBot="1">
      <c r="A1100" s="517"/>
      <c r="B1100" s="518" t="s">
        <v>13836</v>
      </c>
      <c r="C1100" s="516"/>
      <c r="D1100" s="514" t="s">
        <v>13835</v>
      </c>
      <c r="E1100" s="515">
        <v>5</v>
      </c>
      <c r="F1100" s="518" t="s">
        <v>614</v>
      </c>
      <c r="G1100" s="515" t="s">
        <v>2087</v>
      </c>
      <c r="H1100" s="514"/>
      <c r="I1100" s="515"/>
      <c r="J1100" s="515">
        <v>2</v>
      </c>
    </row>
    <row r="1101" spans="1:10" ht="13.8" thickBot="1">
      <c r="A1101" s="517"/>
      <c r="B1101" s="518" t="s">
        <v>12100</v>
      </c>
      <c r="C1101" s="516"/>
      <c r="D1101" s="514" t="s">
        <v>1593</v>
      </c>
      <c r="E1101" s="515">
        <v>4</v>
      </c>
      <c r="F1101" s="514"/>
      <c r="G1101" s="515" t="s">
        <v>4970</v>
      </c>
      <c r="H1101" s="514"/>
      <c r="I1101" s="515"/>
      <c r="J1101" s="515">
        <v>1</v>
      </c>
    </row>
    <row r="1102" spans="1:10" ht="13.8" thickBot="1">
      <c r="A1102" s="517"/>
      <c r="B1102" s="518" t="s">
        <v>13185</v>
      </c>
      <c r="C1102" s="516"/>
      <c r="D1102" s="514" t="s">
        <v>13184</v>
      </c>
      <c r="E1102" s="515">
        <v>5.75</v>
      </c>
      <c r="F1102" s="518" t="s">
        <v>614</v>
      </c>
      <c r="G1102" s="515" t="s">
        <v>2841</v>
      </c>
      <c r="H1102" s="514"/>
      <c r="I1102" s="515"/>
      <c r="J1102" s="515">
        <v>2</v>
      </c>
    </row>
    <row r="1103" spans="1:10" ht="13.8" thickBot="1">
      <c r="A1103" s="517"/>
      <c r="B1103" s="518" t="s">
        <v>13769</v>
      </c>
      <c r="C1103" s="516"/>
      <c r="D1103" s="514" t="s">
        <v>13768</v>
      </c>
      <c r="E1103" s="515">
        <v>5</v>
      </c>
      <c r="F1103" s="514"/>
      <c r="G1103" s="515" t="s">
        <v>2152</v>
      </c>
      <c r="H1103" s="514"/>
      <c r="I1103" s="515"/>
      <c r="J1103" s="515">
        <v>2</v>
      </c>
    </row>
    <row r="1104" spans="1:10" ht="13.8" thickBot="1">
      <c r="A1104" s="517"/>
      <c r="B1104" s="518" t="s">
        <v>13770</v>
      </c>
      <c r="C1104" s="516"/>
      <c r="D1104" s="514" t="s">
        <v>1270</v>
      </c>
      <c r="E1104" s="515">
        <v>5</v>
      </c>
      <c r="F1104" s="518" t="s">
        <v>614</v>
      </c>
      <c r="G1104" s="515" t="s">
        <v>2152</v>
      </c>
      <c r="H1104" s="514"/>
      <c r="I1104" s="515"/>
      <c r="J1104" s="515">
        <v>3</v>
      </c>
    </row>
    <row r="1105" spans="1:10" ht="13.8" thickBot="1">
      <c r="A1105" s="517"/>
      <c r="B1105" s="518" t="s">
        <v>13339</v>
      </c>
      <c r="C1105" s="516"/>
      <c r="D1105" s="514" t="s">
        <v>13338</v>
      </c>
      <c r="E1105" s="515">
        <v>5.25</v>
      </c>
      <c r="F1105" s="514"/>
      <c r="G1105" s="515" t="s">
        <v>2523</v>
      </c>
      <c r="H1105" s="514"/>
      <c r="I1105" s="515">
        <v>1</v>
      </c>
      <c r="J1105" s="515">
        <v>3</v>
      </c>
    </row>
    <row r="1106" spans="1:10" ht="13.8" thickBot="1">
      <c r="A1106" s="517"/>
      <c r="B1106" s="518" t="s">
        <v>14215</v>
      </c>
      <c r="C1106" s="516"/>
      <c r="D1106" s="514" t="s">
        <v>1899</v>
      </c>
      <c r="E1106" s="515">
        <v>6.5</v>
      </c>
      <c r="F1106" s="514"/>
      <c r="G1106" s="515" t="s">
        <v>1793</v>
      </c>
      <c r="H1106" s="514"/>
      <c r="I1106" s="515">
        <v>1</v>
      </c>
      <c r="J1106" s="515">
        <v>2</v>
      </c>
    </row>
    <row r="1107" spans="1:10" ht="13.8" thickBot="1">
      <c r="A1107" s="517"/>
      <c r="B1107" s="518" t="s">
        <v>12097</v>
      </c>
      <c r="C1107" s="516"/>
      <c r="D1107" s="514" t="s">
        <v>1593</v>
      </c>
      <c r="E1107" s="515">
        <v>3</v>
      </c>
      <c r="F1107" s="514"/>
      <c r="G1107" s="515" t="s">
        <v>4970</v>
      </c>
      <c r="H1107" s="514"/>
      <c r="I1107" s="515"/>
      <c r="J1107" s="515">
        <v>2</v>
      </c>
    </row>
    <row r="1108" spans="1:10" ht="13.8" thickBot="1">
      <c r="A1108" s="517"/>
      <c r="B1108" s="518" t="s">
        <v>13270</v>
      </c>
      <c r="C1108" s="516"/>
      <c r="D1108" s="514" t="s">
        <v>2681</v>
      </c>
      <c r="E1108" s="515">
        <v>4</v>
      </c>
      <c r="F1108" s="514"/>
      <c r="G1108" s="515" t="s">
        <v>2523</v>
      </c>
      <c r="H1108" s="514"/>
      <c r="I1108" s="515"/>
      <c r="J1108" s="515">
        <v>2</v>
      </c>
    </row>
    <row r="1109" spans="1:10" ht="13.8" thickBot="1">
      <c r="A1109" s="517"/>
      <c r="B1109" s="518" t="s">
        <v>13627</v>
      </c>
      <c r="C1109" s="516"/>
      <c r="D1109" s="514" t="s">
        <v>13626</v>
      </c>
      <c r="E1109" s="515">
        <v>5</v>
      </c>
      <c r="F1109" s="514"/>
      <c r="G1109" s="515" t="s">
        <v>2289</v>
      </c>
      <c r="H1109" s="514"/>
      <c r="I1109" s="515"/>
      <c r="J1109" s="515">
        <v>2</v>
      </c>
    </row>
    <row r="1110" spans="1:10" ht="13.8" thickBot="1">
      <c r="A1110" s="517"/>
      <c r="B1110" s="518" t="s">
        <v>12096</v>
      </c>
      <c r="C1110" s="516"/>
      <c r="D1110" s="514" t="s">
        <v>1593</v>
      </c>
      <c r="E1110" s="515">
        <v>3</v>
      </c>
      <c r="F1110" s="514"/>
      <c r="G1110" s="515" t="s">
        <v>4970</v>
      </c>
      <c r="H1110" s="514"/>
      <c r="I1110" s="515"/>
      <c r="J1110" s="515">
        <v>2</v>
      </c>
    </row>
    <row r="1111" spans="1:10" ht="13.8" thickBot="1">
      <c r="A1111" s="517"/>
      <c r="B1111" s="518" t="s">
        <v>12103</v>
      </c>
      <c r="C1111" s="516"/>
      <c r="D1111" s="514" t="s">
        <v>1593</v>
      </c>
      <c r="E1111" s="515">
        <v>4</v>
      </c>
      <c r="F1111" s="514"/>
      <c r="G1111" s="515" t="s">
        <v>4970</v>
      </c>
      <c r="H1111" s="514"/>
      <c r="I1111" s="515"/>
      <c r="J1111" s="515">
        <v>2</v>
      </c>
    </row>
    <row r="1112" spans="1:10" ht="13.8" thickBot="1">
      <c r="A1112" s="517"/>
      <c r="B1112" s="518" t="s">
        <v>14102</v>
      </c>
      <c r="C1112" s="516"/>
      <c r="D1112" s="514" t="s">
        <v>14101</v>
      </c>
      <c r="E1112" s="515">
        <v>4</v>
      </c>
      <c r="F1112" s="514"/>
      <c r="G1112" s="515" t="s">
        <v>1793</v>
      </c>
      <c r="H1112" s="514" t="s">
        <v>1224</v>
      </c>
      <c r="I1112" s="515"/>
      <c r="J1112" s="515">
        <v>1</v>
      </c>
    </row>
    <row r="1113" spans="1:10" ht="13.8" thickBot="1">
      <c r="A1113" s="517"/>
      <c r="B1113" s="518" t="s">
        <v>14100</v>
      </c>
      <c r="C1113" s="516"/>
      <c r="D1113" s="514" t="s">
        <v>1797</v>
      </c>
      <c r="E1113" s="515">
        <v>4</v>
      </c>
      <c r="F1113" s="514"/>
      <c r="G1113" s="515" t="s">
        <v>1793</v>
      </c>
      <c r="H1113" s="514" t="s">
        <v>1224</v>
      </c>
      <c r="I1113" s="515"/>
      <c r="J1113" s="515">
        <v>1</v>
      </c>
    </row>
    <row r="1114" spans="1:10" ht="13.8" thickBot="1">
      <c r="A1114" s="517"/>
      <c r="B1114" s="518" t="s">
        <v>14021</v>
      </c>
      <c r="C1114" s="516"/>
      <c r="D1114" s="514" t="s">
        <v>13991</v>
      </c>
      <c r="E1114" s="515">
        <v>1</v>
      </c>
      <c r="F1114" s="514"/>
      <c r="G1114" s="515" t="s">
        <v>1793</v>
      </c>
      <c r="H1114" s="514"/>
      <c r="I1114" s="515"/>
      <c r="J1114" s="515">
        <v>1</v>
      </c>
    </row>
    <row r="1115" spans="1:10" ht="13.8" thickBot="1">
      <c r="A1115" s="517"/>
      <c r="B1115" s="518" t="s">
        <v>13715</v>
      </c>
      <c r="C1115" s="516"/>
      <c r="D1115" s="514" t="s">
        <v>13714</v>
      </c>
      <c r="E1115" s="515">
        <v>7</v>
      </c>
      <c r="F1115" s="514"/>
      <c r="G1115" s="515" t="s">
        <v>2289</v>
      </c>
      <c r="H1115" s="514"/>
      <c r="I1115" s="515"/>
      <c r="J1115" s="515">
        <v>1</v>
      </c>
    </row>
    <row r="1116" spans="1:10" ht="13.8" thickBot="1">
      <c r="A1116" s="517"/>
      <c r="B1116" s="518" t="s">
        <v>13205</v>
      </c>
      <c r="C1116" s="516"/>
      <c r="D1116" s="514" t="s">
        <v>1331</v>
      </c>
      <c r="E1116" s="515">
        <v>5</v>
      </c>
      <c r="F1116" s="518" t="s">
        <v>614</v>
      </c>
      <c r="G1116" s="515" t="s">
        <v>2797</v>
      </c>
      <c r="H1116" s="514" t="s">
        <v>1226</v>
      </c>
      <c r="I1116" s="515"/>
      <c r="J1116" s="515">
        <v>5</v>
      </c>
    </row>
    <row r="1117" spans="1:10" ht="13.8" thickBot="1">
      <c r="A1117" s="517"/>
      <c r="B1117" s="518" t="s">
        <v>11861</v>
      </c>
      <c r="C1117" s="516"/>
      <c r="D1117" s="514" t="s">
        <v>11860</v>
      </c>
      <c r="E1117" s="515">
        <v>6.25</v>
      </c>
      <c r="F1117" s="518" t="s">
        <v>614</v>
      </c>
      <c r="G1117" s="515" t="s">
        <v>5286</v>
      </c>
      <c r="H1117" s="514" t="s">
        <v>1226</v>
      </c>
      <c r="I1117" s="515">
        <v>1</v>
      </c>
      <c r="J1117" s="515">
        <v>14</v>
      </c>
    </row>
    <row r="1118" spans="1:10" ht="13.8" thickBot="1">
      <c r="A1118" s="517"/>
      <c r="B1118" s="518" t="s">
        <v>12201</v>
      </c>
      <c r="C1118" s="516"/>
      <c r="D1118" s="514" t="s">
        <v>12200</v>
      </c>
      <c r="E1118" s="515">
        <v>7</v>
      </c>
      <c r="F1118" s="514"/>
      <c r="G1118" s="515" t="s">
        <v>4789</v>
      </c>
      <c r="H1118" s="514"/>
      <c r="I1118" s="515">
        <v>1</v>
      </c>
      <c r="J1118" s="515">
        <v>3</v>
      </c>
    </row>
    <row r="1119" spans="1:10" ht="13.8" thickBot="1">
      <c r="A1119" s="517"/>
      <c r="B1119" s="518" t="s">
        <v>13802</v>
      </c>
      <c r="C1119" s="516"/>
      <c r="D1119" s="514" t="s">
        <v>13801</v>
      </c>
      <c r="E1119" s="515">
        <v>6</v>
      </c>
      <c r="F1119" s="518" t="s">
        <v>614</v>
      </c>
      <c r="G1119" s="515" t="s">
        <v>2152</v>
      </c>
      <c r="H1119" s="514"/>
      <c r="I1119" s="515">
        <v>1</v>
      </c>
      <c r="J1119" s="515">
        <v>4</v>
      </c>
    </row>
    <row r="1120" spans="1:10" ht="13.8" thickBot="1">
      <c r="A1120" s="517"/>
      <c r="B1120" s="518" t="s">
        <v>13102</v>
      </c>
      <c r="C1120" s="516"/>
      <c r="D1120" s="519" t="s">
        <v>13101</v>
      </c>
      <c r="E1120" s="515">
        <v>6.1</v>
      </c>
      <c r="F1120" s="518" t="s">
        <v>614</v>
      </c>
      <c r="G1120" s="515" t="s">
        <v>2957</v>
      </c>
      <c r="H1120" s="514" t="s">
        <v>1251</v>
      </c>
      <c r="I1120" s="515"/>
      <c r="J1120" s="515">
        <v>8</v>
      </c>
    </row>
    <row r="1121" spans="1:10" ht="13.8" thickBot="1">
      <c r="A1121" s="517"/>
      <c r="B1121" s="518" t="s">
        <v>13618</v>
      </c>
      <c r="C1121" s="516"/>
      <c r="D1121" s="514" t="s">
        <v>13617</v>
      </c>
      <c r="E1121" s="515">
        <v>4.5</v>
      </c>
      <c r="F1121" s="518" t="s">
        <v>614</v>
      </c>
      <c r="G1121" s="515" t="s">
        <v>2289</v>
      </c>
      <c r="H1121" s="514"/>
      <c r="I1121" s="515"/>
      <c r="J1121" s="515">
        <v>3</v>
      </c>
    </row>
    <row r="1122" spans="1:10" ht="13.8" thickBot="1">
      <c r="A1122" s="517"/>
      <c r="B1122" s="518" t="s">
        <v>13211</v>
      </c>
      <c r="C1122" s="516"/>
      <c r="D1122" s="514" t="s">
        <v>13210</v>
      </c>
      <c r="E1122" s="515">
        <v>6</v>
      </c>
      <c r="F1122" s="514"/>
      <c r="G1122" s="515" t="s">
        <v>2797</v>
      </c>
      <c r="H1122" s="514"/>
      <c r="I1122" s="515"/>
      <c r="J1122" s="515">
        <v>6</v>
      </c>
    </row>
    <row r="1123" spans="1:10" ht="13.8" thickBot="1">
      <c r="A1123" s="517"/>
      <c r="B1123" s="518" t="s">
        <v>13465</v>
      </c>
      <c r="C1123" s="516"/>
      <c r="D1123" s="514" t="s">
        <v>13464</v>
      </c>
      <c r="E1123" s="515">
        <v>6.25</v>
      </c>
      <c r="F1123" s="518" t="s">
        <v>614</v>
      </c>
      <c r="G1123" s="515" t="s">
        <v>2523</v>
      </c>
      <c r="H1123" s="514" t="s">
        <v>1251</v>
      </c>
      <c r="I1123" s="515">
        <v>1</v>
      </c>
      <c r="J1123" s="515">
        <v>13</v>
      </c>
    </row>
    <row r="1124" spans="1:10" ht="13.8" thickBot="1">
      <c r="A1124" s="517"/>
      <c r="B1124" s="518" t="s">
        <v>14305</v>
      </c>
      <c r="C1124" s="516"/>
      <c r="D1124" s="514" t="s">
        <v>13642</v>
      </c>
      <c r="E1124" s="515">
        <v>5.5</v>
      </c>
      <c r="F1124" s="518" t="s">
        <v>614</v>
      </c>
      <c r="G1124" s="515" t="s">
        <v>2289</v>
      </c>
      <c r="H1124" s="514" t="s">
        <v>1226</v>
      </c>
      <c r="I1124" s="515"/>
      <c r="J1124" s="515">
        <v>7</v>
      </c>
    </row>
    <row r="1125" spans="1:10" ht="13.8" thickBot="1">
      <c r="A1125" s="517"/>
      <c r="B1125" s="518" t="s">
        <v>12472</v>
      </c>
      <c r="C1125" s="516"/>
      <c r="D1125" s="514" t="s">
        <v>12471</v>
      </c>
      <c r="E1125" s="515">
        <v>6.75</v>
      </c>
      <c r="F1125" s="518" t="s">
        <v>614</v>
      </c>
      <c r="G1125" s="515" t="s">
        <v>3996</v>
      </c>
      <c r="H1125" s="514" t="s">
        <v>1220</v>
      </c>
      <c r="I1125" s="515"/>
      <c r="J1125" s="515">
        <v>2</v>
      </c>
    </row>
    <row r="1126" spans="1:10" ht="13.8" thickBot="1">
      <c r="A1126" s="517"/>
      <c r="B1126" s="518" t="s">
        <v>12759</v>
      </c>
      <c r="C1126" s="516"/>
      <c r="D1126" s="514" t="s">
        <v>12758</v>
      </c>
      <c r="E1126" s="515">
        <v>6.1</v>
      </c>
      <c r="F1126" s="518" t="s">
        <v>614</v>
      </c>
      <c r="G1126" s="515" t="s">
        <v>3517</v>
      </c>
      <c r="H1126" s="514"/>
      <c r="I1126" s="515">
        <v>1</v>
      </c>
      <c r="J1126" s="515">
        <v>7</v>
      </c>
    </row>
    <row r="1127" spans="1:10" ht="13.8" thickBot="1">
      <c r="A1127" s="517"/>
      <c r="B1127" s="518" t="s">
        <v>11662</v>
      </c>
      <c r="C1127" s="516"/>
      <c r="D1127" s="514" t="s">
        <v>11533</v>
      </c>
      <c r="E1127" s="515"/>
      <c r="F1127" s="514"/>
      <c r="G1127" s="515" t="s">
        <v>11525</v>
      </c>
      <c r="H1127" s="514"/>
      <c r="I1127" s="515"/>
      <c r="J1127" s="515"/>
    </row>
    <row r="1128" spans="1:10" ht="13.8" thickBot="1">
      <c r="A1128" s="517"/>
      <c r="B1128" s="518" t="s">
        <v>12359</v>
      </c>
      <c r="C1128" s="516"/>
      <c r="D1128" s="514" t="s">
        <v>1607</v>
      </c>
      <c r="E1128" s="515">
        <v>7.5</v>
      </c>
      <c r="F1128" s="518" t="s">
        <v>614</v>
      </c>
      <c r="G1128" s="515" t="s">
        <v>4214</v>
      </c>
      <c r="H1128" s="514" t="s">
        <v>1226</v>
      </c>
      <c r="I1128" s="515">
        <v>1</v>
      </c>
      <c r="J1128" s="515">
        <v>2</v>
      </c>
    </row>
    <row r="1129" spans="1:10" ht="13.8" thickBot="1">
      <c r="A1129" s="517"/>
      <c r="B1129" s="518" t="s">
        <v>13410</v>
      </c>
      <c r="C1129" s="516"/>
      <c r="D1129" s="514" t="s">
        <v>1313</v>
      </c>
      <c r="E1129" s="515">
        <v>6</v>
      </c>
      <c r="F1129" s="518" t="s">
        <v>614</v>
      </c>
      <c r="G1129" s="515" t="s">
        <v>2523</v>
      </c>
      <c r="H1129" s="514"/>
      <c r="I1129" s="515"/>
      <c r="J1129" s="515">
        <v>6</v>
      </c>
    </row>
    <row r="1130" spans="1:10" ht="13.8" thickBot="1">
      <c r="A1130" s="517"/>
      <c r="B1130" s="518" t="s">
        <v>13574</v>
      </c>
      <c r="C1130" s="516"/>
      <c r="D1130" s="514" t="s">
        <v>2448</v>
      </c>
      <c r="E1130" s="515">
        <v>5</v>
      </c>
      <c r="F1130" s="514"/>
      <c r="G1130" s="515" t="s">
        <v>2449</v>
      </c>
      <c r="H1130" s="514"/>
      <c r="I1130" s="515"/>
      <c r="J1130" s="515">
        <v>2</v>
      </c>
    </row>
    <row r="1131" spans="1:10" ht="13.8" thickBot="1">
      <c r="A1131" s="517"/>
      <c r="B1131" s="518" t="s">
        <v>13060</v>
      </c>
      <c r="C1131" s="516"/>
      <c r="D1131" s="519" t="s">
        <v>1552</v>
      </c>
      <c r="E1131" s="515">
        <v>5.5</v>
      </c>
      <c r="F1131" s="518" t="s">
        <v>614</v>
      </c>
      <c r="G1131" s="515" t="s">
        <v>2957</v>
      </c>
      <c r="H1131" s="514"/>
      <c r="I1131" s="515">
        <v>1</v>
      </c>
      <c r="J1131" s="515">
        <v>8</v>
      </c>
    </row>
    <row r="1132" spans="1:10" ht="13.8" thickBot="1">
      <c r="A1132" s="517"/>
      <c r="B1132" s="518" t="s">
        <v>11882</v>
      </c>
      <c r="C1132" s="516"/>
      <c r="D1132" s="519" t="s">
        <v>1381</v>
      </c>
      <c r="E1132" s="515">
        <v>7.5</v>
      </c>
      <c r="F1132" s="518" t="s">
        <v>614</v>
      </c>
      <c r="G1132" s="515" t="s">
        <v>5286</v>
      </c>
      <c r="H1132" s="514" t="s">
        <v>1251</v>
      </c>
      <c r="I1132" s="515"/>
      <c r="J1132" s="515">
        <v>2</v>
      </c>
    </row>
    <row r="1133" spans="1:10" ht="13.8" thickBot="1">
      <c r="A1133" s="517"/>
      <c r="B1133" s="518" t="s">
        <v>13220</v>
      </c>
      <c r="C1133" s="516"/>
      <c r="D1133" s="514" t="s">
        <v>13219</v>
      </c>
      <c r="E1133" s="515">
        <v>6.6</v>
      </c>
      <c r="F1133" s="518" t="s">
        <v>614</v>
      </c>
      <c r="G1133" s="515" t="s">
        <v>2797</v>
      </c>
      <c r="H1133" s="514" t="s">
        <v>1251</v>
      </c>
      <c r="I1133" s="515"/>
      <c r="J1133" s="515">
        <v>11</v>
      </c>
    </row>
    <row r="1134" spans="1:10" ht="13.8" thickBot="1">
      <c r="A1134" s="517"/>
      <c r="B1134" s="518" t="s">
        <v>12130</v>
      </c>
      <c r="C1134" s="516"/>
      <c r="D1134" s="514" t="s">
        <v>1598</v>
      </c>
      <c r="E1134" s="515">
        <v>6</v>
      </c>
      <c r="F1134" s="514"/>
      <c r="G1134" s="515" t="s">
        <v>4970</v>
      </c>
      <c r="H1134" s="514"/>
      <c r="I1134" s="515"/>
      <c r="J1134" s="515">
        <v>2</v>
      </c>
    </row>
    <row r="1135" spans="1:10" ht="13.8" thickBot="1">
      <c r="A1135" s="517"/>
      <c r="B1135" s="518" t="s">
        <v>14269</v>
      </c>
      <c r="C1135" s="516"/>
      <c r="D1135" s="514" t="s">
        <v>14268</v>
      </c>
      <c r="E1135" s="515">
        <v>7</v>
      </c>
      <c r="F1135" s="514"/>
      <c r="G1135" s="515" t="s">
        <v>1793</v>
      </c>
      <c r="H1135" s="514"/>
      <c r="I1135" s="515">
        <v>1</v>
      </c>
      <c r="J1135" s="515">
        <v>3</v>
      </c>
    </row>
    <row r="1136" spans="1:10" ht="13.8" thickBot="1">
      <c r="A1136" s="517"/>
      <c r="B1136" s="518" t="s">
        <v>14304</v>
      </c>
      <c r="C1136" s="516"/>
      <c r="D1136" s="519" t="s">
        <v>12376</v>
      </c>
      <c r="E1136" s="515">
        <v>6.1</v>
      </c>
      <c r="F1136" s="514"/>
      <c r="G1136" s="515" t="s">
        <v>4160</v>
      </c>
      <c r="H1136" s="514" t="s">
        <v>1226</v>
      </c>
      <c r="I1136" s="515"/>
      <c r="J1136" s="515">
        <v>8</v>
      </c>
    </row>
    <row r="1137" spans="1:10" ht="13.8" thickBot="1">
      <c r="A1137" s="517"/>
      <c r="B1137" s="518" t="s">
        <v>11936</v>
      </c>
      <c r="C1137" s="516"/>
      <c r="D1137" s="519" t="s">
        <v>11935</v>
      </c>
      <c r="E1137" s="515">
        <v>7.4</v>
      </c>
      <c r="F1137" s="518" t="s">
        <v>614</v>
      </c>
      <c r="G1137" s="515" t="s">
        <v>5226</v>
      </c>
      <c r="H1137" s="514" t="s">
        <v>1224</v>
      </c>
      <c r="I1137" s="515"/>
      <c r="J1137" s="515">
        <v>3</v>
      </c>
    </row>
    <row r="1138" spans="1:10" ht="13.8" thickBot="1">
      <c r="A1138" s="517"/>
      <c r="B1138" s="518" t="s">
        <v>12015</v>
      </c>
      <c r="C1138" s="516"/>
      <c r="D1138" s="514" t="s">
        <v>1499</v>
      </c>
      <c r="E1138" s="515">
        <v>7</v>
      </c>
      <c r="F1138" s="514"/>
      <c r="G1138" s="515" t="s">
        <v>5109</v>
      </c>
      <c r="H1138" s="514"/>
      <c r="I1138" s="515"/>
      <c r="J1138" s="515">
        <v>2</v>
      </c>
    </row>
    <row r="1139" spans="1:10" ht="13.8" thickBot="1">
      <c r="A1139" s="517"/>
      <c r="B1139" s="518" t="s">
        <v>12375</v>
      </c>
      <c r="C1139" s="516"/>
      <c r="D1139" s="514" t="s">
        <v>12374</v>
      </c>
      <c r="E1139" s="515">
        <v>6</v>
      </c>
      <c r="F1139" s="518" t="s">
        <v>614</v>
      </c>
      <c r="G1139" s="515" t="s">
        <v>4160</v>
      </c>
      <c r="H1139" s="514" t="s">
        <v>1251</v>
      </c>
      <c r="I1139" s="515"/>
      <c r="J1139" s="515">
        <v>11</v>
      </c>
    </row>
    <row r="1140" spans="1:10" ht="13.8" thickBot="1">
      <c r="A1140" s="517"/>
      <c r="B1140" s="518" t="s">
        <v>14210</v>
      </c>
      <c r="C1140" s="516"/>
      <c r="D1140" s="514" t="s">
        <v>14209</v>
      </c>
      <c r="E1140" s="515">
        <v>6.5</v>
      </c>
      <c r="F1140" s="514"/>
      <c r="G1140" s="515" t="s">
        <v>1793</v>
      </c>
      <c r="H1140" s="514"/>
      <c r="I1140" s="515"/>
      <c r="J1140" s="515"/>
    </row>
    <row r="1141" spans="1:10" ht="13.8" thickBot="1">
      <c r="A1141" s="517"/>
      <c r="B1141" s="518" t="s">
        <v>13528</v>
      </c>
      <c r="C1141" s="516"/>
      <c r="D1141" s="514" t="s">
        <v>13527</v>
      </c>
      <c r="E1141" s="515">
        <v>6.75</v>
      </c>
      <c r="F1141" s="518" t="s">
        <v>13526</v>
      </c>
      <c r="G1141" s="515" t="s">
        <v>2523</v>
      </c>
      <c r="H1141" s="514" t="s">
        <v>1841</v>
      </c>
      <c r="I1141" s="515">
        <v>1</v>
      </c>
      <c r="J1141" s="515">
        <v>5</v>
      </c>
    </row>
    <row r="1142" spans="1:10" ht="13.8" thickBot="1">
      <c r="A1142" s="517"/>
      <c r="B1142" s="518" t="s">
        <v>13571</v>
      </c>
      <c r="C1142" s="516"/>
      <c r="D1142" s="514" t="s">
        <v>2448</v>
      </c>
      <c r="E1142" s="515">
        <v>5</v>
      </c>
      <c r="F1142" s="514"/>
      <c r="G1142" s="515" t="s">
        <v>2449</v>
      </c>
      <c r="H1142" s="514"/>
      <c r="I1142" s="515"/>
      <c r="J1142" s="515"/>
    </row>
    <row r="1143" spans="1:10" ht="13.8" thickBot="1">
      <c r="A1143" s="517"/>
      <c r="B1143" s="518" t="s">
        <v>12110</v>
      </c>
      <c r="C1143" s="516"/>
      <c r="D1143" s="514" t="s">
        <v>1593</v>
      </c>
      <c r="E1143" s="515">
        <v>5</v>
      </c>
      <c r="F1143" s="514"/>
      <c r="G1143" s="515" t="s">
        <v>4970</v>
      </c>
      <c r="H1143" s="514"/>
      <c r="I1143" s="515"/>
      <c r="J1143" s="515"/>
    </row>
    <row r="1144" spans="1:10" ht="13.8" thickBot="1">
      <c r="A1144" s="517"/>
      <c r="B1144" s="518" t="s">
        <v>14251</v>
      </c>
      <c r="C1144" s="516"/>
      <c r="D1144" s="514" t="s">
        <v>14250</v>
      </c>
      <c r="E1144" s="515">
        <v>6.75</v>
      </c>
      <c r="F1144" s="518" t="s">
        <v>614</v>
      </c>
      <c r="G1144" s="515" t="s">
        <v>1793</v>
      </c>
      <c r="H1144" s="514" t="s">
        <v>1226</v>
      </c>
      <c r="I1144" s="515"/>
      <c r="J1144" s="515">
        <v>7</v>
      </c>
    </row>
    <row r="1145" spans="1:10" ht="13.8" thickBot="1">
      <c r="A1145" s="517"/>
      <c r="B1145" s="518" t="s">
        <v>12355</v>
      </c>
      <c r="C1145" s="516"/>
      <c r="D1145" s="514" t="s">
        <v>12354</v>
      </c>
      <c r="E1145" s="515">
        <v>7.5</v>
      </c>
      <c r="F1145" s="514"/>
      <c r="G1145" s="515" t="s">
        <v>4214</v>
      </c>
      <c r="H1145" s="514"/>
      <c r="I1145" s="515"/>
      <c r="J1145" s="515"/>
    </row>
    <row r="1146" spans="1:10" ht="13.8" thickBot="1">
      <c r="A1146" s="517"/>
      <c r="B1146" s="518" t="s">
        <v>13604</v>
      </c>
      <c r="C1146" s="516"/>
      <c r="D1146" s="514" t="s">
        <v>13603</v>
      </c>
      <c r="E1146" s="515">
        <v>6.8</v>
      </c>
      <c r="F1146" s="518" t="s">
        <v>614</v>
      </c>
      <c r="G1146" s="515" t="s">
        <v>2449</v>
      </c>
      <c r="H1146" s="514" t="s">
        <v>1251</v>
      </c>
      <c r="I1146" s="515"/>
      <c r="J1146" s="515">
        <v>6</v>
      </c>
    </row>
    <row r="1147" spans="1:10" ht="13.8" thickBot="1">
      <c r="A1147" s="517"/>
      <c r="B1147" s="518" t="s">
        <v>12549</v>
      </c>
      <c r="C1147" s="516"/>
      <c r="D1147" s="514" t="s">
        <v>12548</v>
      </c>
      <c r="E1147" s="515">
        <v>4</v>
      </c>
      <c r="F1147" s="514"/>
      <c r="G1147" s="515" t="s">
        <v>3807</v>
      </c>
      <c r="H1147" s="514"/>
      <c r="I1147" s="515"/>
      <c r="J1147" s="515"/>
    </row>
    <row r="1148" spans="1:10" ht="13.8" thickBot="1">
      <c r="A1148" s="517"/>
      <c r="B1148" s="518" t="s">
        <v>12552</v>
      </c>
      <c r="C1148" s="516"/>
      <c r="D1148" s="514" t="s">
        <v>1502</v>
      </c>
      <c r="E1148" s="515">
        <v>5</v>
      </c>
      <c r="F1148" s="514"/>
      <c r="G1148" s="515" t="s">
        <v>3807</v>
      </c>
      <c r="H1148" s="514"/>
      <c r="I1148" s="515"/>
      <c r="J1148" s="515"/>
    </row>
    <row r="1149" spans="1:10" ht="13.8" thickBot="1">
      <c r="A1149" s="517"/>
      <c r="B1149" s="518" t="s">
        <v>13264</v>
      </c>
      <c r="C1149" s="516"/>
      <c r="D1149" s="514" t="s">
        <v>13263</v>
      </c>
      <c r="E1149" s="515">
        <v>4</v>
      </c>
      <c r="F1149" s="514"/>
      <c r="G1149" s="515" t="s">
        <v>2523</v>
      </c>
      <c r="H1149" s="514"/>
      <c r="I1149" s="515"/>
      <c r="J1149" s="515"/>
    </row>
    <row r="1150" spans="1:10" ht="13.8" thickBot="1">
      <c r="A1150" s="517"/>
      <c r="B1150" s="518" t="s">
        <v>13783</v>
      </c>
      <c r="C1150" s="516"/>
      <c r="D1150" s="514" t="s">
        <v>13782</v>
      </c>
      <c r="E1150" s="515">
        <v>5.5</v>
      </c>
      <c r="F1150" s="514"/>
      <c r="G1150" s="515" t="s">
        <v>2152</v>
      </c>
      <c r="H1150" s="514"/>
      <c r="I1150" s="515"/>
      <c r="J1150" s="515"/>
    </row>
    <row r="1151" spans="1:10" ht="13.8" thickBot="1">
      <c r="A1151" s="517"/>
      <c r="B1151" s="518" t="s">
        <v>13781</v>
      </c>
      <c r="C1151" s="516"/>
      <c r="D1151" s="514" t="s">
        <v>13780</v>
      </c>
      <c r="E1151" s="515">
        <v>5.5</v>
      </c>
      <c r="F1151" s="514"/>
      <c r="G1151" s="515" t="s">
        <v>2152</v>
      </c>
      <c r="H1151" s="514"/>
      <c r="I1151" s="515"/>
      <c r="J1151" s="515"/>
    </row>
    <row r="1152" spans="1:10" ht="13.8" thickBot="1">
      <c r="A1152" s="517"/>
      <c r="B1152" s="518" t="s">
        <v>11661</v>
      </c>
      <c r="C1152" s="516"/>
      <c r="D1152" s="514" t="s">
        <v>11612</v>
      </c>
      <c r="E1152" s="515"/>
      <c r="F1152" s="514"/>
      <c r="G1152" s="515" t="s">
        <v>11525</v>
      </c>
      <c r="H1152" s="514"/>
      <c r="I1152" s="515"/>
      <c r="J1152" s="515"/>
    </row>
    <row r="1153" spans="1:10" ht="13.8" thickBot="1">
      <c r="A1153" s="517"/>
      <c r="B1153" s="518" t="s">
        <v>13292</v>
      </c>
      <c r="C1153" s="516"/>
      <c r="D1153" s="514" t="s">
        <v>13291</v>
      </c>
      <c r="E1153" s="515">
        <v>5</v>
      </c>
      <c r="F1153" s="514"/>
      <c r="G1153" s="515" t="s">
        <v>2523</v>
      </c>
      <c r="H1153" s="514"/>
      <c r="I1153" s="515"/>
      <c r="J1153" s="515"/>
    </row>
    <row r="1154" spans="1:10" ht="13.8" thickBot="1">
      <c r="A1154" s="517"/>
      <c r="B1154" s="518" t="s">
        <v>12120</v>
      </c>
      <c r="C1154" s="516"/>
      <c r="D1154" s="514" t="s">
        <v>12108</v>
      </c>
      <c r="E1154" s="515">
        <v>5.5</v>
      </c>
      <c r="F1154" s="514"/>
      <c r="G1154" s="515" t="s">
        <v>4970</v>
      </c>
      <c r="H1154" s="514"/>
      <c r="I1154" s="515"/>
      <c r="J1154" s="515"/>
    </row>
    <row r="1155" spans="1:10" ht="13.8" thickBot="1">
      <c r="A1155" s="517"/>
      <c r="B1155" s="518" t="s">
        <v>12585</v>
      </c>
      <c r="C1155" s="516"/>
      <c r="D1155" s="514" t="s">
        <v>12584</v>
      </c>
      <c r="E1155" s="515">
        <v>6.5</v>
      </c>
      <c r="F1155" s="514"/>
      <c r="G1155" s="515" t="s">
        <v>3807</v>
      </c>
      <c r="H1155" s="514"/>
      <c r="I1155" s="515"/>
      <c r="J1155" s="515"/>
    </row>
    <row r="1156" spans="1:10" ht="13.8" thickBot="1">
      <c r="A1156" s="517"/>
      <c r="B1156" s="518" t="s">
        <v>11660</v>
      </c>
      <c r="C1156" s="516"/>
      <c r="D1156" s="514" t="s">
        <v>11612</v>
      </c>
      <c r="E1156" s="515"/>
      <c r="F1156" s="514"/>
      <c r="G1156" s="515" t="s">
        <v>11525</v>
      </c>
      <c r="H1156" s="514"/>
      <c r="I1156" s="515"/>
      <c r="J1156" s="515"/>
    </row>
    <row r="1157" spans="1:10" ht="13.8" thickBot="1">
      <c r="A1157" s="517"/>
      <c r="B1157" s="518" t="s">
        <v>13370</v>
      </c>
      <c r="C1157" s="516"/>
      <c r="D1157" s="514" t="s">
        <v>13369</v>
      </c>
      <c r="E1157" s="515">
        <v>5.5</v>
      </c>
      <c r="F1157" s="518" t="s">
        <v>614</v>
      </c>
      <c r="G1157" s="515" t="s">
        <v>2523</v>
      </c>
      <c r="H1157" s="514" t="s">
        <v>1224</v>
      </c>
      <c r="I1157" s="515"/>
      <c r="J1157" s="515">
        <v>2</v>
      </c>
    </row>
    <row r="1158" spans="1:10" ht="13.8" thickBot="1">
      <c r="A1158" s="517"/>
      <c r="B1158" s="518" t="s">
        <v>12563</v>
      </c>
      <c r="C1158" s="516"/>
      <c r="D1158" s="514" t="s">
        <v>12562</v>
      </c>
      <c r="E1158" s="515">
        <v>5.5</v>
      </c>
      <c r="F1158" s="514"/>
      <c r="G1158" s="515" t="s">
        <v>3807</v>
      </c>
      <c r="H1158" s="514"/>
      <c r="I1158" s="515"/>
      <c r="J1158" s="515"/>
    </row>
    <row r="1159" spans="1:10" ht="13.8" thickBot="1">
      <c r="A1159" s="517"/>
      <c r="B1159" s="518" t="s">
        <v>12712</v>
      </c>
      <c r="C1159" s="516"/>
      <c r="D1159" s="514" t="s">
        <v>12711</v>
      </c>
      <c r="E1159" s="515">
        <v>4</v>
      </c>
      <c r="F1159" s="518" t="s">
        <v>614</v>
      </c>
      <c r="G1159" s="515" t="s">
        <v>3517</v>
      </c>
      <c r="H1159" s="514"/>
      <c r="I1159" s="515"/>
      <c r="J1159" s="515">
        <v>1</v>
      </c>
    </row>
    <row r="1160" spans="1:10" ht="13.8" thickBot="1">
      <c r="A1160" s="517"/>
      <c r="B1160" s="518" t="s">
        <v>11659</v>
      </c>
      <c r="C1160" s="516"/>
      <c r="D1160" s="514" t="s">
        <v>11612</v>
      </c>
      <c r="E1160" s="515"/>
      <c r="F1160" s="514"/>
      <c r="G1160" s="515" t="s">
        <v>11525</v>
      </c>
      <c r="H1160" s="514"/>
      <c r="I1160" s="515"/>
      <c r="J1160" s="515"/>
    </row>
    <row r="1161" spans="1:10" ht="13.8" thickBot="1">
      <c r="A1161" s="517"/>
      <c r="B1161" s="518" t="s">
        <v>12124</v>
      </c>
      <c r="C1161" s="516"/>
      <c r="D1161" s="514" t="s">
        <v>12123</v>
      </c>
      <c r="E1161" s="515">
        <v>5.5</v>
      </c>
      <c r="F1161" s="518" t="s">
        <v>151</v>
      </c>
      <c r="G1161" s="515" t="s">
        <v>4970</v>
      </c>
      <c r="H1161" s="514"/>
      <c r="I1161" s="515"/>
      <c r="J1161" s="515">
        <v>1</v>
      </c>
    </row>
    <row r="1162" spans="1:10" ht="13.8" thickBot="1">
      <c r="A1162" s="517"/>
      <c r="B1162" s="518" t="s">
        <v>13594</v>
      </c>
      <c r="C1162" s="516"/>
      <c r="D1162" s="514" t="s">
        <v>13593</v>
      </c>
      <c r="E1162" s="515">
        <v>6.5</v>
      </c>
      <c r="F1162" s="514"/>
      <c r="G1162" s="515" t="s">
        <v>2449</v>
      </c>
      <c r="H1162" s="514"/>
      <c r="I1162" s="515"/>
      <c r="J1162" s="515"/>
    </row>
    <row r="1163" spans="1:10" ht="13.8" thickBot="1">
      <c r="A1163" s="517"/>
      <c r="B1163" s="518" t="s">
        <v>13283</v>
      </c>
      <c r="C1163" s="516"/>
      <c r="D1163" s="514" t="s">
        <v>13282</v>
      </c>
      <c r="E1163" s="515">
        <v>4.5</v>
      </c>
      <c r="F1163" s="518" t="s">
        <v>151</v>
      </c>
      <c r="G1163" s="515" t="s">
        <v>2523</v>
      </c>
      <c r="H1163" s="514"/>
      <c r="I1163" s="515"/>
      <c r="J1163" s="515">
        <v>1</v>
      </c>
    </row>
    <row r="1164" spans="1:10" ht="13.8" thickBot="1">
      <c r="A1164" s="517"/>
      <c r="B1164" s="518" t="s">
        <v>11658</v>
      </c>
      <c r="C1164" s="516"/>
      <c r="D1164" s="514" t="s">
        <v>11612</v>
      </c>
      <c r="E1164" s="515"/>
      <c r="F1164" s="514"/>
      <c r="G1164" s="515" t="s">
        <v>11525</v>
      </c>
      <c r="H1164" s="514"/>
      <c r="I1164" s="515"/>
      <c r="J1164" s="515"/>
    </row>
    <row r="1165" spans="1:10" ht="13.8" thickBot="1">
      <c r="A1165" s="517"/>
      <c r="B1165" s="518" t="s">
        <v>12628</v>
      </c>
      <c r="C1165" s="516"/>
      <c r="D1165" s="514" t="s">
        <v>12627</v>
      </c>
      <c r="E1165" s="515">
        <v>5.5</v>
      </c>
      <c r="F1165" s="514"/>
      <c r="G1165" s="515" t="s">
        <v>3734</v>
      </c>
      <c r="H1165" s="514"/>
      <c r="I1165" s="515"/>
      <c r="J1165" s="515"/>
    </row>
    <row r="1166" spans="1:10" ht="13.8" thickBot="1">
      <c r="A1166" s="517"/>
      <c r="B1166" s="518" t="s">
        <v>13633</v>
      </c>
      <c r="C1166" s="516"/>
      <c r="D1166" s="519" t="s">
        <v>2297</v>
      </c>
      <c r="E1166" s="515">
        <v>5</v>
      </c>
      <c r="F1166" s="518" t="s">
        <v>614</v>
      </c>
      <c r="G1166" s="515" t="s">
        <v>2289</v>
      </c>
      <c r="H1166" s="514" t="s">
        <v>1226</v>
      </c>
      <c r="I1166" s="515"/>
      <c r="J1166" s="515">
        <v>5</v>
      </c>
    </row>
    <row r="1167" spans="1:10" ht="13.8" thickBot="1">
      <c r="A1167" s="517"/>
      <c r="B1167" s="518" t="s">
        <v>13795</v>
      </c>
      <c r="C1167" s="516"/>
      <c r="D1167" s="514" t="s">
        <v>2188</v>
      </c>
      <c r="E1167" s="515">
        <v>5.75</v>
      </c>
      <c r="F1167" s="518" t="s">
        <v>614</v>
      </c>
      <c r="G1167" s="515" t="s">
        <v>2152</v>
      </c>
      <c r="H1167" s="514" t="s">
        <v>1226</v>
      </c>
      <c r="I1167" s="515"/>
      <c r="J1167" s="515">
        <v>2</v>
      </c>
    </row>
    <row r="1168" spans="1:10" ht="13.8" thickBot="1">
      <c r="A1168" s="517"/>
      <c r="B1168" s="518" t="s">
        <v>11657</v>
      </c>
      <c r="C1168" s="516"/>
      <c r="D1168" s="514" t="s">
        <v>11533</v>
      </c>
      <c r="E1168" s="515"/>
      <c r="F1168" s="514"/>
      <c r="G1168" s="515" t="s">
        <v>11525</v>
      </c>
      <c r="H1168" s="514"/>
      <c r="I1168" s="515"/>
      <c r="J1168" s="515"/>
    </row>
    <row r="1169" spans="1:10" ht="13.8" thickBot="1">
      <c r="A1169" s="517"/>
      <c r="B1169" s="518" t="s">
        <v>12119</v>
      </c>
      <c r="C1169" s="516"/>
      <c r="D1169" s="514" t="s">
        <v>1593</v>
      </c>
      <c r="E1169" s="515">
        <v>5.5</v>
      </c>
      <c r="F1169" s="514"/>
      <c r="G1169" s="515" t="s">
        <v>4970</v>
      </c>
      <c r="H1169" s="514"/>
      <c r="I1169" s="515"/>
      <c r="J1169" s="515"/>
    </row>
    <row r="1170" spans="1:10" ht="13.8" thickBot="1">
      <c r="A1170" s="517"/>
      <c r="B1170" s="518" t="s">
        <v>12596</v>
      </c>
      <c r="C1170" s="516"/>
      <c r="D1170" s="514" t="s">
        <v>3849</v>
      </c>
      <c r="E1170" s="515">
        <v>7</v>
      </c>
      <c r="F1170" s="518" t="s">
        <v>1854</v>
      </c>
      <c r="G1170" s="515" t="s">
        <v>3807</v>
      </c>
      <c r="H1170" s="514" t="s">
        <v>1226</v>
      </c>
      <c r="I1170" s="515"/>
      <c r="J1170" s="515">
        <v>2</v>
      </c>
    </row>
    <row r="1171" spans="1:10" ht="13.8" thickBot="1">
      <c r="A1171" s="517"/>
      <c r="B1171" s="518" t="s">
        <v>13324</v>
      </c>
      <c r="C1171" s="516"/>
      <c r="D1171" s="514" t="s">
        <v>13323</v>
      </c>
      <c r="E1171" s="515">
        <v>5</v>
      </c>
      <c r="F1171" s="518" t="s">
        <v>614</v>
      </c>
      <c r="G1171" s="515" t="s">
        <v>2523</v>
      </c>
      <c r="H1171" s="514"/>
      <c r="I1171" s="515"/>
      <c r="J1171" s="515">
        <v>12</v>
      </c>
    </row>
    <row r="1172" spans="1:10" ht="13.8" thickBot="1">
      <c r="A1172" s="517"/>
      <c r="B1172" s="518" t="s">
        <v>12583</v>
      </c>
      <c r="C1172" s="516"/>
      <c r="D1172" s="514" t="s">
        <v>3822</v>
      </c>
      <c r="E1172" s="515">
        <v>6.4</v>
      </c>
      <c r="F1172" s="518" t="s">
        <v>614</v>
      </c>
      <c r="G1172" s="515" t="s">
        <v>3807</v>
      </c>
      <c r="H1172" s="514" t="s">
        <v>1226</v>
      </c>
      <c r="I1172" s="515"/>
      <c r="J1172" s="515">
        <v>11</v>
      </c>
    </row>
    <row r="1173" spans="1:10" ht="13.8" thickBot="1">
      <c r="A1173" s="517"/>
      <c r="B1173" s="518" t="s">
        <v>13471</v>
      </c>
      <c r="C1173" s="516"/>
      <c r="D1173" s="514" t="s">
        <v>13470</v>
      </c>
      <c r="E1173" s="515">
        <v>6.3</v>
      </c>
      <c r="F1173" s="518" t="s">
        <v>614</v>
      </c>
      <c r="G1173" s="515" t="s">
        <v>2523</v>
      </c>
      <c r="H1173" s="514" t="s">
        <v>2319</v>
      </c>
      <c r="I1173" s="515">
        <v>2</v>
      </c>
      <c r="J1173" s="515">
        <v>21</v>
      </c>
    </row>
    <row r="1174" spans="1:10" ht="13.8" thickBot="1">
      <c r="A1174" s="517"/>
      <c r="B1174" s="518" t="s">
        <v>13226</v>
      </c>
      <c r="C1174" s="516"/>
      <c r="D1174" s="514" t="s">
        <v>13225</v>
      </c>
      <c r="E1174" s="515">
        <v>7.25</v>
      </c>
      <c r="F1174" s="518" t="s">
        <v>614</v>
      </c>
      <c r="G1174" s="515" t="s">
        <v>2797</v>
      </c>
      <c r="H1174" s="514" t="s">
        <v>1226</v>
      </c>
      <c r="I1174" s="515">
        <v>1</v>
      </c>
      <c r="J1174" s="515">
        <v>4</v>
      </c>
    </row>
    <row r="1175" spans="1:10" ht="13.8" thickBot="1">
      <c r="A1175" s="517"/>
      <c r="B1175" s="518" t="s">
        <v>12999</v>
      </c>
      <c r="C1175" s="516"/>
      <c r="D1175" s="514" t="s">
        <v>1552</v>
      </c>
      <c r="E1175" s="515">
        <v>3</v>
      </c>
      <c r="F1175" s="518" t="s">
        <v>614</v>
      </c>
      <c r="G1175" s="515" t="s">
        <v>2957</v>
      </c>
      <c r="H1175" s="514"/>
      <c r="I1175" s="515"/>
      <c r="J1175" s="515">
        <v>8</v>
      </c>
    </row>
    <row r="1176" spans="1:10" ht="13.8" thickBot="1">
      <c r="A1176" s="517"/>
      <c r="B1176" s="518" t="s">
        <v>13961</v>
      </c>
      <c r="C1176" s="516"/>
      <c r="D1176" s="514" t="s">
        <v>13960</v>
      </c>
      <c r="E1176" s="515">
        <v>4</v>
      </c>
      <c r="F1176" s="514"/>
      <c r="G1176" s="515" t="s">
        <v>1922</v>
      </c>
      <c r="H1176" s="514"/>
      <c r="I1176" s="515"/>
      <c r="J1176" s="515">
        <v>8</v>
      </c>
    </row>
    <row r="1177" spans="1:10" ht="13.8" thickBot="1">
      <c r="A1177" s="517"/>
      <c r="B1177" s="518" t="s">
        <v>13130</v>
      </c>
      <c r="C1177" s="516"/>
      <c r="D1177" s="514" t="s">
        <v>13129</v>
      </c>
      <c r="E1177" s="515">
        <v>6.5</v>
      </c>
      <c r="F1177" s="518" t="s">
        <v>614</v>
      </c>
      <c r="G1177" s="515" t="s">
        <v>2957</v>
      </c>
      <c r="H1177" s="514" t="s">
        <v>1224</v>
      </c>
      <c r="I1177" s="515"/>
      <c r="J1177" s="515">
        <v>4</v>
      </c>
    </row>
    <row r="1178" spans="1:10" ht="13.8" thickBot="1">
      <c r="A1178" s="517"/>
      <c r="B1178" s="518" t="s">
        <v>12057</v>
      </c>
      <c r="C1178" s="516"/>
      <c r="D1178" s="514" t="s">
        <v>12056</v>
      </c>
      <c r="E1178" s="515">
        <v>5</v>
      </c>
      <c r="F1178" s="514"/>
      <c r="G1178" s="515" t="s">
        <v>5010</v>
      </c>
      <c r="H1178" s="514"/>
      <c r="I1178" s="515"/>
      <c r="J1178" s="515">
        <v>5</v>
      </c>
    </row>
    <row r="1179" spans="1:10" ht="13.8" thickBot="1">
      <c r="A1179" s="517"/>
      <c r="B1179" s="518" t="s">
        <v>13191</v>
      </c>
      <c r="C1179" s="516"/>
      <c r="D1179" s="514" t="s">
        <v>13190</v>
      </c>
      <c r="E1179" s="515">
        <v>6.4</v>
      </c>
      <c r="F1179" s="518" t="s">
        <v>614</v>
      </c>
      <c r="G1179" s="515" t="s">
        <v>2841</v>
      </c>
      <c r="H1179" s="514" t="s">
        <v>1226</v>
      </c>
      <c r="I1179" s="515"/>
      <c r="J1179" s="515">
        <v>14</v>
      </c>
    </row>
    <row r="1180" spans="1:10" ht="13.8" thickBot="1">
      <c r="A1180" s="517"/>
      <c r="B1180" s="518" t="s">
        <v>12835</v>
      </c>
      <c r="C1180" s="516"/>
      <c r="D1180" s="514" t="s">
        <v>12834</v>
      </c>
      <c r="E1180" s="515">
        <v>8</v>
      </c>
      <c r="F1180" s="514"/>
      <c r="G1180" s="515" t="s">
        <v>3517</v>
      </c>
      <c r="H1180" s="514"/>
      <c r="I1180" s="515"/>
      <c r="J1180" s="515"/>
    </row>
    <row r="1181" spans="1:10" ht="13.8" thickBot="1">
      <c r="A1181" s="517"/>
      <c r="B1181" s="518" t="s">
        <v>13315</v>
      </c>
      <c r="C1181" s="516"/>
      <c r="D1181" s="514" t="s">
        <v>13314</v>
      </c>
      <c r="E1181" s="515">
        <v>5</v>
      </c>
      <c r="F1181" s="518" t="s">
        <v>614</v>
      </c>
      <c r="G1181" s="515" t="s">
        <v>2523</v>
      </c>
      <c r="H1181" s="514"/>
      <c r="I1181" s="515"/>
      <c r="J1181" s="515">
        <v>2</v>
      </c>
    </row>
    <row r="1182" spans="1:10" ht="13.8" thickBot="1">
      <c r="A1182" s="517"/>
      <c r="B1182" s="518" t="s">
        <v>13596</v>
      </c>
      <c r="C1182" s="516"/>
      <c r="D1182" s="514" t="s">
        <v>13595</v>
      </c>
      <c r="E1182" s="515">
        <v>6.5</v>
      </c>
      <c r="F1182" s="518" t="s">
        <v>12586</v>
      </c>
      <c r="G1182" s="515" t="s">
        <v>2449</v>
      </c>
      <c r="H1182" s="514"/>
      <c r="I1182" s="515"/>
      <c r="J1182" s="515"/>
    </row>
    <row r="1183" spans="1:10" ht="13.8" thickBot="1">
      <c r="A1183" s="517"/>
      <c r="B1183" s="518" t="s">
        <v>12051</v>
      </c>
      <c r="C1183" s="516"/>
      <c r="D1183" s="514" t="s">
        <v>12050</v>
      </c>
      <c r="E1183" s="515">
        <v>4</v>
      </c>
      <c r="F1183" s="518" t="s">
        <v>614</v>
      </c>
      <c r="G1183" s="515" t="s">
        <v>5010</v>
      </c>
      <c r="H1183" s="514"/>
      <c r="I1183" s="515"/>
      <c r="J1183" s="515">
        <v>1</v>
      </c>
    </row>
    <row r="1184" spans="1:10" ht="13.8" thickBot="1">
      <c r="A1184" s="517"/>
      <c r="B1184" s="518" t="s">
        <v>14087</v>
      </c>
      <c r="C1184" s="516"/>
      <c r="D1184" s="514" t="s">
        <v>14086</v>
      </c>
      <c r="E1184" s="515">
        <v>3</v>
      </c>
      <c r="F1184" s="518" t="s">
        <v>1978</v>
      </c>
      <c r="G1184" s="515" t="s">
        <v>1793</v>
      </c>
      <c r="H1184" s="514"/>
      <c r="I1184" s="515"/>
      <c r="J1184" s="515">
        <v>1</v>
      </c>
    </row>
    <row r="1185" spans="1:10" ht="13.8" thickBot="1">
      <c r="A1185" s="517"/>
      <c r="B1185" s="518" t="s">
        <v>12588</v>
      </c>
      <c r="C1185" s="516"/>
      <c r="D1185" s="514" t="s">
        <v>12587</v>
      </c>
      <c r="E1185" s="515">
        <v>6.5</v>
      </c>
      <c r="F1185" s="518" t="s">
        <v>12586</v>
      </c>
      <c r="G1185" s="515" t="s">
        <v>3807</v>
      </c>
      <c r="H1185" s="514"/>
      <c r="I1185" s="515">
        <v>1</v>
      </c>
      <c r="J1185" s="515">
        <v>1</v>
      </c>
    </row>
    <row r="1186" spans="1:10" ht="13.8" thickBot="1">
      <c r="A1186" s="517"/>
      <c r="B1186" s="518" t="s">
        <v>11656</v>
      </c>
      <c r="C1186" s="516"/>
      <c r="D1186" s="520" t="s">
        <v>11655</v>
      </c>
      <c r="E1186" s="521"/>
      <c r="F1186" s="514"/>
      <c r="G1186" s="515" t="s">
        <v>11525</v>
      </c>
      <c r="H1186" s="514"/>
      <c r="I1186" s="522"/>
      <c r="J1186" s="522"/>
    </row>
    <row r="1187" spans="1:10" ht="13.8" thickBot="1">
      <c r="A1187" s="517"/>
      <c r="B1187" s="518" t="s">
        <v>13614</v>
      </c>
      <c r="C1187" s="516"/>
      <c r="D1187" s="514" t="s">
        <v>13613</v>
      </c>
      <c r="E1187" s="515">
        <v>7.5</v>
      </c>
      <c r="F1187" s="518" t="s">
        <v>614</v>
      </c>
      <c r="G1187" s="515" t="s">
        <v>2449</v>
      </c>
      <c r="H1187" s="514" t="s">
        <v>1251</v>
      </c>
      <c r="I1187" s="522">
        <v>1</v>
      </c>
      <c r="J1187" s="522">
        <v>8</v>
      </c>
    </row>
    <row r="1188" spans="1:10" ht="13.8" thickBot="1">
      <c r="A1188" s="517"/>
      <c r="B1188" s="518" t="s">
        <v>13320</v>
      </c>
      <c r="C1188" s="516"/>
      <c r="D1188" s="514" t="s">
        <v>2551</v>
      </c>
      <c r="E1188" s="515">
        <v>5</v>
      </c>
      <c r="F1188" s="518" t="s">
        <v>614</v>
      </c>
      <c r="G1188" s="515" t="s">
        <v>2523</v>
      </c>
      <c r="H1188" s="514"/>
      <c r="I1188" s="522"/>
      <c r="J1188" s="522">
        <v>8</v>
      </c>
    </row>
    <row r="1189" spans="1:10" ht="13.8" thickBot="1">
      <c r="A1189" s="517"/>
      <c r="B1189" s="518" t="s">
        <v>11981</v>
      </c>
      <c r="C1189" s="516"/>
      <c r="D1189" s="514" t="s">
        <v>11980</v>
      </c>
      <c r="E1189" s="515">
        <v>6</v>
      </c>
      <c r="F1189" s="518" t="s">
        <v>614</v>
      </c>
      <c r="G1189" s="515" t="s">
        <v>5180</v>
      </c>
      <c r="H1189" s="514" t="s">
        <v>1226</v>
      </c>
      <c r="I1189" s="522"/>
      <c r="J1189" s="522">
        <v>7</v>
      </c>
    </row>
    <row r="1190" spans="1:10" ht="13.8" thickBot="1">
      <c r="A1190" s="517"/>
      <c r="B1190" s="518" t="s">
        <v>13816</v>
      </c>
      <c r="C1190" s="516"/>
      <c r="D1190" s="514" t="s">
        <v>13815</v>
      </c>
      <c r="E1190" s="515">
        <v>6.5</v>
      </c>
      <c r="F1190" s="514"/>
      <c r="G1190" s="515" t="s">
        <v>2152</v>
      </c>
      <c r="H1190" s="514"/>
      <c r="I1190" s="522"/>
      <c r="J1190" s="522">
        <v>6</v>
      </c>
    </row>
    <row r="1191" spans="1:10" ht="13.8" thickBot="1">
      <c r="A1191" s="517"/>
      <c r="B1191" s="518" t="s">
        <v>11654</v>
      </c>
      <c r="C1191" s="516"/>
      <c r="D1191" s="514" t="s">
        <v>11533</v>
      </c>
      <c r="E1191" s="515">
        <v>9</v>
      </c>
      <c r="F1191" s="514"/>
      <c r="G1191" s="515" t="s">
        <v>11525</v>
      </c>
      <c r="H1191" s="514"/>
      <c r="I1191" s="522"/>
      <c r="J1191" s="522"/>
    </row>
    <row r="1192" spans="1:10" ht="13.8" thickBot="1">
      <c r="A1192" s="517"/>
      <c r="B1192" s="518" t="s">
        <v>13690</v>
      </c>
      <c r="C1192" s="516"/>
      <c r="D1192" s="514" t="s">
        <v>2308</v>
      </c>
      <c r="E1192" s="515">
        <v>6.5</v>
      </c>
      <c r="F1192" s="518" t="s">
        <v>614</v>
      </c>
      <c r="G1192" s="515" t="s">
        <v>2289</v>
      </c>
      <c r="H1192" s="514" t="s">
        <v>1226</v>
      </c>
      <c r="I1192" s="522">
        <v>1</v>
      </c>
      <c r="J1192" s="522">
        <v>11</v>
      </c>
    </row>
    <row r="1193" spans="1:10" ht="13.8" thickBot="1">
      <c r="A1193" s="517"/>
      <c r="B1193" s="518" t="s">
        <v>14139</v>
      </c>
      <c r="C1193" s="516"/>
      <c r="D1193" s="514" t="s">
        <v>1850</v>
      </c>
      <c r="E1193" s="515">
        <v>5</v>
      </c>
      <c r="F1193" s="518" t="s">
        <v>614</v>
      </c>
      <c r="G1193" s="515" t="s">
        <v>1793</v>
      </c>
      <c r="H1193" s="514"/>
      <c r="I1193" s="522">
        <v>1</v>
      </c>
      <c r="J1193" s="522">
        <v>5</v>
      </c>
    </row>
    <row r="1194" spans="1:10" ht="13.8" thickBot="1">
      <c r="A1194" s="517"/>
      <c r="B1194" s="518" t="s">
        <v>12659</v>
      </c>
      <c r="C1194" s="516"/>
      <c r="D1194" s="514" t="s">
        <v>12658</v>
      </c>
      <c r="E1194" s="515">
        <v>9</v>
      </c>
      <c r="F1194" s="514"/>
      <c r="G1194" s="515" t="s">
        <v>3734</v>
      </c>
      <c r="H1194" s="514"/>
      <c r="I1194" s="522"/>
      <c r="J1194" s="522"/>
    </row>
    <row r="1195" spans="1:10" ht="13.8" thickBot="1">
      <c r="A1195" s="517"/>
      <c r="B1195" s="518" t="s">
        <v>11653</v>
      </c>
      <c r="C1195" s="516"/>
      <c r="D1195" s="520" t="s">
        <v>11652</v>
      </c>
      <c r="E1195" s="521"/>
      <c r="F1195" s="514"/>
      <c r="G1195" s="515" t="s">
        <v>11525</v>
      </c>
      <c r="H1195" s="514"/>
      <c r="I1195" s="528"/>
      <c r="J1195" s="528"/>
    </row>
    <row r="1196" spans="1:10" ht="13.8" thickBot="1">
      <c r="A1196" s="517"/>
      <c r="B1196" s="518" t="s">
        <v>11651</v>
      </c>
      <c r="C1196" s="516"/>
      <c r="D1196" s="514" t="s">
        <v>11650</v>
      </c>
      <c r="E1196" s="515">
        <v>6</v>
      </c>
      <c r="F1196" s="514"/>
      <c r="G1196" s="515" t="s">
        <v>11525</v>
      </c>
      <c r="H1196" s="514"/>
      <c r="I1196" s="522"/>
      <c r="J1196" s="522">
        <v>1</v>
      </c>
    </row>
    <row r="1197" spans="1:10" ht="13.8" thickBot="1">
      <c r="A1197" s="517"/>
      <c r="B1197" s="518" t="s">
        <v>13631</v>
      </c>
      <c r="C1197" s="516"/>
      <c r="D1197" s="519" t="s">
        <v>1726</v>
      </c>
      <c r="E1197" s="515">
        <v>5</v>
      </c>
      <c r="F1197" s="518" t="s">
        <v>614</v>
      </c>
      <c r="G1197" s="515" t="s">
        <v>2289</v>
      </c>
      <c r="H1197" s="514" t="s">
        <v>1224</v>
      </c>
      <c r="I1197" s="522"/>
      <c r="J1197" s="522">
        <v>4</v>
      </c>
    </row>
    <row r="1198" spans="1:10" ht="13.8" thickBot="1">
      <c r="A1198" s="517"/>
      <c r="B1198" s="518" t="s">
        <v>12266</v>
      </c>
      <c r="C1198" s="516"/>
      <c r="D1198" s="519" t="s">
        <v>12265</v>
      </c>
      <c r="E1198" s="515">
        <v>7.1</v>
      </c>
      <c r="F1198" s="518" t="s">
        <v>614</v>
      </c>
      <c r="G1198" s="515" t="s">
        <v>4391</v>
      </c>
      <c r="H1198" s="514" t="s">
        <v>1251</v>
      </c>
      <c r="I1198" s="522">
        <v>2</v>
      </c>
      <c r="J1198" s="522">
        <v>6</v>
      </c>
    </row>
    <row r="1199" spans="1:10" ht="13.8" thickBot="1">
      <c r="A1199" s="517"/>
      <c r="B1199" s="518" t="s">
        <v>12203</v>
      </c>
      <c r="C1199" s="516"/>
      <c r="D1199" s="514" t="s">
        <v>12202</v>
      </c>
      <c r="E1199" s="515">
        <v>7</v>
      </c>
      <c r="F1199" s="518" t="s">
        <v>614</v>
      </c>
      <c r="G1199" s="515" t="s">
        <v>4789</v>
      </c>
      <c r="H1199" s="514" t="s">
        <v>1226</v>
      </c>
      <c r="I1199" s="522"/>
      <c r="J1199" s="515">
        <v>4</v>
      </c>
    </row>
    <row r="1200" spans="1:10" ht="13.8" thickBot="1">
      <c r="A1200" s="517"/>
      <c r="B1200" s="518" t="s">
        <v>11897</v>
      </c>
      <c r="C1200" s="516"/>
      <c r="D1200" s="514" t="s">
        <v>11896</v>
      </c>
      <c r="E1200" s="515">
        <v>7.25</v>
      </c>
      <c r="F1200" s="518" t="s">
        <v>614</v>
      </c>
      <c r="G1200" s="515" t="s">
        <v>11891</v>
      </c>
      <c r="H1200" s="514" t="s">
        <v>1229</v>
      </c>
      <c r="I1200" s="522"/>
      <c r="J1200" s="522">
        <v>7</v>
      </c>
    </row>
    <row r="1201" spans="1:10" ht="13.8" thickBot="1">
      <c r="A1201" s="517"/>
      <c r="B1201" s="518" t="s">
        <v>12781</v>
      </c>
      <c r="C1201" s="516"/>
      <c r="D1201" s="514" t="s">
        <v>12780</v>
      </c>
      <c r="E1201" s="515">
        <v>6.5</v>
      </c>
      <c r="F1201" s="518" t="s">
        <v>614</v>
      </c>
      <c r="G1201" s="515" t="s">
        <v>3517</v>
      </c>
      <c r="H1201" s="514"/>
      <c r="I1201" s="522">
        <v>1</v>
      </c>
      <c r="J1201" s="522">
        <v>4</v>
      </c>
    </row>
    <row r="1202" spans="1:10" ht="13.8" thickBot="1">
      <c r="A1202" s="517"/>
      <c r="B1202" s="518" t="s">
        <v>12958</v>
      </c>
      <c r="C1202" s="516"/>
      <c r="D1202" s="519" t="s">
        <v>12957</v>
      </c>
      <c r="E1202" s="515">
        <v>7</v>
      </c>
      <c r="F1202" s="518" t="s">
        <v>614</v>
      </c>
      <c r="G1202" s="515" t="s">
        <v>3161</v>
      </c>
      <c r="H1202" s="514" t="s">
        <v>1251</v>
      </c>
      <c r="I1202" s="522"/>
      <c r="J1202" s="515">
        <v>5</v>
      </c>
    </row>
    <row r="1203" spans="1:10" ht="13.8" thickBot="1">
      <c r="A1203" s="517"/>
      <c r="B1203" s="518" t="s">
        <v>11649</v>
      </c>
      <c r="C1203" s="516"/>
      <c r="D1203" s="514" t="s">
        <v>11533</v>
      </c>
      <c r="E1203" s="515">
        <v>8</v>
      </c>
      <c r="F1203" s="514"/>
      <c r="G1203" s="515" t="s">
        <v>11525</v>
      </c>
      <c r="H1203" s="514"/>
      <c r="I1203" s="522"/>
      <c r="J1203" s="522"/>
    </row>
    <row r="1204" spans="1:10" ht="13.8" thickBot="1">
      <c r="A1204" s="517"/>
      <c r="B1204" s="518" t="s">
        <v>13664</v>
      </c>
      <c r="C1204" s="516"/>
      <c r="D1204" s="514" t="s">
        <v>13663</v>
      </c>
      <c r="E1204" s="515">
        <v>6</v>
      </c>
      <c r="F1204" s="518" t="s">
        <v>614</v>
      </c>
      <c r="G1204" s="515" t="s">
        <v>2289</v>
      </c>
      <c r="H1204" s="514" t="s">
        <v>1226</v>
      </c>
      <c r="I1204" s="515">
        <v>3</v>
      </c>
      <c r="J1204" s="515">
        <v>9</v>
      </c>
    </row>
    <row r="1205" spans="1:10" ht="13.8" thickBot="1">
      <c r="A1205" s="517"/>
      <c r="B1205" s="518" t="s">
        <v>11876</v>
      </c>
      <c r="C1205" s="516"/>
      <c r="D1205" s="514" t="s">
        <v>11875</v>
      </c>
      <c r="E1205" s="515">
        <v>6.75</v>
      </c>
      <c r="F1205" s="518" t="s">
        <v>1854</v>
      </c>
      <c r="G1205" s="515" t="s">
        <v>5286</v>
      </c>
      <c r="H1205" s="514"/>
      <c r="I1205" s="515">
        <v>1</v>
      </c>
      <c r="J1205" s="515">
        <v>2</v>
      </c>
    </row>
    <row r="1206" spans="1:10" ht="13.8" thickBot="1">
      <c r="A1206" s="517"/>
      <c r="B1206" s="518" t="s">
        <v>11937</v>
      </c>
      <c r="C1206" s="516"/>
      <c r="D1206" s="514" t="s">
        <v>5227</v>
      </c>
      <c r="E1206" s="515">
        <v>7.5</v>
      </c>
      <c r="F1206" s="518" t="s">
        <v>1854</v>
      </c>
      <c r="G1206" s="515" t="s">
        <v>5226</v>
      </c>
      <c r="H1206" s="514"/>
      <c r="I1206" s="515">
        <v>2</v>
      </c>
      <c r="J1206" s="515">
        <v>2</v>
      </c>
    </row>
    <row r="1207" spans="1:10" ht="13.8" thickBot="1">
      <c r="A1207" s="517"/>
      <c r="B1207" s="518" t="s">
        <v>14174</v>
      </c>
      <c r="C1207" s="516"/>
      <c r="D1207" s="514" t="s">
        <v>14101</v>
      </c>
      <c r="E1207" s="515">
        <v>5.5</v>
      </c>
      <c r="F1207" s="518" t="s">
        <v>614</v>
      </c>
      <c r="G1207" s="515" t="s">
        <v>1793</v>
      </c>
      <c r="H1207" s="514" t="s">
        <v>1226</v>
      </c>
      <c r="I1207" s="515"/>
      <c r="J1207" s="515">
        <v>9</v>
      </c>
    </row>
    <row r="1208" spans="1:10" ht="13.8" thickBot="1">
      <c r="A1208" s="517"/>
      <c r="B1208" s="518" t="s">
        <v>13740</v>
      </c>
      <c r="C1208" s="516"/>
      <c r="D1208" s="514" t="s">
        <v>1726</v>
      </c>
      <c r="E1208" s="515">
        <v>7.5</v>
      </c>
      <c r="F1208" s="518" t="s">
        <v>13739</v>
      </c>
      <c r="G1208" s="515" t="s">
        <v>2289</v>
      </c>
      <c r="H1208" s="514" t="s">
        <v>1224</v>
      </c>
      <c r="I1208" s="515">
        <v>1</v>
      </c>
      <c r="J1208" s="515">
        <v>2</v>
      </c>
    </row>
    <row r="1209" spans="1:10" ht="13.8" thickBot="1">
      <c r="A1209" s="517"/>
      <c r="B1209" s="518" t="s">
        <v>14220</v>
      </c>
      <c r="C1209" s="516"/>
      <c r="D1209" s="514" t="s">
        <v>14219</v>
      </c>
      <c r="E1209" s="515">
        <v>6.5</v>
      </c>
      <c r="F1209" s="518" t="s">
        <v>614</v>
      </c>
      <c r="G1209" s="515" t="s">
        <v>1793</v>
      </c>
      <c r="H1209" s="514"/>
      <c r="I1209" s="515"/>
      <c r="J1209" s="515">
        <v>3</v>
      </c>
    </row>
    <row r="1210" spans="1:10" ht="13.8" thickBot="1">
      <c r="A1210" s="517"/>
      <c r="B1210" s="518" t="s">
        <v>12430</v>
      </c>
      <c r="C1210" s="516"/>
      <c r="D1210" s="514" t="s">
        <v>12429</v>
      </c>
      <c r="E1210" s="515">
        <v>7.5</v>
      </c>
      <c r="F1210" s="518" t="s">
        <v>2223</v>
      </c>
      <c r="G1210" s="515" t="s">
        <v>4102</v>
      </c>
      <c r="H1210" s="514" t="s">
        <v>1226</v>
      </c>
      <c r="I1210" s="515">
        <v>1</v>
      </c>
      <c r="J1210" s="515">
        <v>2</v>
      </c>
    </row>
    <row r="1211" spans="1:10" ht="13.8" thickBot="1">
      <c r="A1211" s="517"/>
      <c r="B1211" s="518" t="s">
        <v>12572</v>
      </c>
      <c r="C1211" s="516"/>
      <c r="D1211" s="514" t="s">
        <v>12571</v>
      </c>
      <c r="E1211" s="515">
        <v>6</v>
      </c>
      <c r="F1211" s="514"/>
      <c r="G1211" s="515" t="s">
        <v>3807</v>
      </c>
      <c r="H1211" s="514"/>
      <c r="I1211" s="515"/>
      <c r="J1211" s="515"/>
    </row>
    <row r="1212" spans="1:10" ht="13.8" thickBot="1">
      <c r="A1212" s="517"/>
      <c r="B1212" s="518" t="s">
        <v>11648</v>
      </c>
      <c r="C1212" s="516"/>
      <c r="D1212" s="514" t="s">
        <v>11612</v>
      </c>
      <c r="E1212" s="515">
        <v>7</v>
      </c>
      <c r="F1212" s="514"/>
      <c r="G1212" s="515" t="s">
        <v>11525</v>
      </c>
      <c r="H1212" s="514"/>
      <c r="I1212" s="515"/>
      <c r="J1212" s="515"/>
    </row>
    <row r="1213" spans="1:10" ht="13.8" thickBot="1">
      <c r="A1213" s="517"/>
      <c r="B1213" s="518" t="s">
        <v>13635</v>
      </c>
      <c r="C1213" s="516"/>
      <c r="D1213" s="514" t="s">
        <v>13634</v>
      </c>
      <c r="E1213" s="515">
        <v>5.5</v>
      </c>
      <c r="F1213" s="514"/>
      <c r="G1213" s="515" t="s">
        <v>2289</v>
      </c>
      <c r="H1213" s="514"/>
      <c r="I1213" s="515"/>
      <c r="J1213" s="515"/>
    </row>
    <row r="1214" spans="1:10" ht="13.8" thickBot="1">
      <c r="A1214" s="517"/>
      <c r="B1214" s="518" t="s">
        <v>12521</v>
      </c>
      <c r="C1214" s="516"/>
      <c r="D1214" s="514" t="s">
        <v>12520</v>
      </c>
      <c r="E1214" s="515">
        <v>6.25</v>
      </c>
      <c r="F1214" s="514"/>
      <c r="G1214" s="515" t="s">
        <v>3856</v>
      </c>
      <c r="H1214" s="514"/>
      <c r="I1214" s="515"/>
      <c r="J1214" s="515"/>
    </row>
    <row r="1215" spans="1:10" ht="13.8" thickBot="1">
      <c r="A1215" s="517"/>
      <c r="B1215" s="518" t="s">
        <v>12529</v>
      </c>
      <c r="C1215" s="516"/>
      <c r="D1215" s="514" t="s">
        <v>12528</v>
      </c>
      <c r="E1215" s="515">
        <v>6.5</v>
      </c>
      <c r="F1215" s="514"/>
      <c r="G1215" s="515" t="s">
        <v>3856</v>
      </c>
      <c r="H1215" s="514"/>
      <c r="I1215" s="515"/>
      <c r="J1215" s="515"/>
    </row>
    <row r="1216" spans="1:10" ht="13.8" thickBot="1">
      <c r="A1216" s="517"/>
      <c r="B1216" s="518" t="s">
        <v>13346</v>
      </c>
      <c r="C1216" s="516"/>
      <c r="D1216" s="514" t="s">
        <v>13345</v>
      </c>
      <c r="E1216" s="515">
        <v>5.5</v>
      </c>
      <c r="F1216" s="514"/>
      <c r="G1216" s="515" t="s">
        <v>2523</v>
      </c>
      <c r="H1216" s="514"/>
      <c r="I1216" s="515"/>
      <c r="J1216" s="515"/>
    </row>
    <row r="1217" spans="1:10" ht="13.8" thickBot="1">
      <c r="A1217" s="517"/>
      <c r="B1217" s="518" t="s">
        <v>14198</v>
      </c>
      <c r="C1217" s="516"/>
      <c r="D1217" s="514" t="s">
        <v>14197</v>
      </c>
      <c r="E1217" s="515">
        <v>6.25</v>
      </c>
      <c r="F1217" s="514"/>
      <c r="G1217" s="515" t="s">
        <v>1793</v>
      </c>
      <c r="H1217" s="514"/>
      <c r="I1217" s="515"/>
      <c r="J1217" s="515"/>
    </row>
    <row r="1218" spans="1:10" ht="13.8" thickBot="1">
      <c r="A1218" s="517"/>
      <c r="B1218" s="518" t="s">
        <v>14162</v>
      </c>
      <c r="C1218" s="516"/>
      <c r="D1218" s="514" t="s">
        <v>14161</v>
      </c>
      <c r="E1218" s="515">
        <v>5.5</v>
      </c>
      <c r="F1218" s="514"/>
      <c r="G1218" s="515" t="s">
        <v>1793</v>
      </c>
      <c r="H1218" s="514"/>
      <c r="I1218" s="515"/>
      <c r="J1218" s="515"/>
    </row>
    <row r="1219" spans="1:10" ht="13.8" thickBot="1">
      <c r="A1219" s="517"/>
      <c r="B1219" s="518" t="s">
        <v>12109</v>
      </c>
      <c r="C1219" s="516"/>
      <c r="D1219" s="514" t="s">
        <v>12108</v>
      </c>
      <c r="E1219" s="515">
        <v>5</v>
      </c>
      <c r="F1219" s="514"/>
      <c r="G1219" s="515" t="s">
        <v>4970</v>
      </c>
      <c r="H1219" s="514"/>
      <c r="I1219" s="515"/>
      <c r="J1219" s="515"/>
    </row>
    <row r="1220" spans="1:10" ht="13.8" thickBot="1">
      <c r="A1220" s="517"/>
      <c r="B1220" s="518" t="s">
        <v>12745</v>
      </c>
      <c r="C1220" s="516"/>
      <c r="D1220" s="514" t="s">
        <v>12744</v>
      </c>
      <c r="E1220" s="515">
        <v>6</v>
      </c>
      <c r="F1220" s="514"/>
      <c r="G1220" s="515" t="s">
        <v>3517</v>
      </c>
      <c r="H1220" s="514"/>
      <c r="I1220" s="515"/>
      <c r="J1220" s="515"/>
    </row>
    <row r="1221" spans="1:10" ht="13.8" thickBot="1">
      <c r="A1221" s="517"/>
      <c r="B1221" s="518" t="s">
        <v>12162</v>
      </c>
      <c r="C1221" s="516"/>
      <c r="D1221" s="514" t="s">
        <v>12161</v>
      </c>
      <c r="E1221" s="515">
        <v>5</v>
      </c>
      <c r="F1221" s="514"/>
      <c r="G1221" s="515" t="s">
        <v>4918</v>
      </c>
      <c r="H1221" s="514"/>
      <c r="I1221" s="515"/>
      <c r="J1221" s="515"/>
    </row>
    <row r="1222" spans="1:10" ht="13.8" thickBot="1">
      <c r="A1222" s="517"/>
      <c r="B1222" s="518" t="s">
        <v>12626</v>
      </c>
      <c r="C1222" s="516"/>
      <c r="D1222" s="514" t="s">
        <v>12625</v>
      </c>
      <c r="E1222" s="515">
        <v>5.5</v>
      </c>
      <c r="F1222" s="514"/>
      <c r="G1222" s="515" t="s">
        <v>3734</v>
      </c>
      <c r="H1222" s="514"/>
      <c r="I1222" s="515"/>
      <c r="J1222" s="515"/>
    </row>
    <row r="1223" spans="1:10" ht="13.8" thickBot="1">
      <c r="A1223" s="517"/>
      <c r="B1223" s="518" t="s">
        <v>11647</v>
      </c>
      <c r="C1223" s="516"/>
      <c r="D1223" s="514" t="s">
        <v>11612</v>
      </c>
      <c r="E1223" s="515">
        <v>6</v>
      </c>
      <c r="F1223" s="514"/>
      <c r="G1223" s="515" t="s">
        <v>11525</v>
      </c>
      <c r="H1223" s="514"/>
      <c r="I1223" s="515"/>
      <c r="J1223" s="515"/>
    </row>
    <row r="1224" spans="1:10" ht="13.8" thickBot="1">
      <c r="A1224" s="517"/>
      <c r="B1224" s="518" t="s">
        <v>11646</v>
      </c>
      <c r="C1224" s="516"/>
      <c r="D1224" s="514" t="s">
        <v>11612</v>
      </c>
      <c r="E1224" s="515">
        <v>5</v>
      </c>
      <c r="F1224" s="514"/>
      <c r="G1224" s="515" t="s">
        <v>11525</v>
      </c>
      <c r="H1224" s="514"/>
      <c r="I1224" s="515"/>
      <c r="J1224" s="515"/>
    </row>
    <row r="1225" spans="1:10" ht="13.8" thickBot="1">
      <c r="A1225" s="517"/>
      <c r="B1225" s="518" t="s">
        <v>11645</v>
      </c>
      <c r="C1225" s="516"/>
      <c r="D1225" s="514" t="s">
        <v>11612</v>
      </c>
      <c r="E1225" s="515">
        <v>7.5</v>
      </c>
      <c r="F1225" s="514"/>
      <c r="G1225" s="515" t="s">
        <v>11525</v>
      </c>
      <c r="H1225" s="514"/>
      <c r="I1225" s="515"/>
      <c r="J1225" s="515"/>
    </row>
    <row r="1226" spans="1:10" ht="13.8" thickBot="1">
      <c r="A1226" s="517"/>
      <c r="B1226" s="518" t="s">
        <v>11644</v>
      </c>
      <c r="C1226" s="516"/>
      <c r="D1226" s="514" t="s">
        <v>11612</v>
      </c>
      <c r="E1226" s="515">
        <v>5.5</v>
      </c>
      <c r="F1226" s="514"/>
      <c r="G1226" s="515" t="s">
        <v>11525</v>
      </c>
      <c r="H1226" s="514"/>
      <c r="I1226" s="515"/>
      <c r="J1226" s="515"/>
    </row>
    <row r="1227" spans="1:10" ht="13.8" thickBot="1">
      <c r="A1227" s="517"/>
      <c r="B1227" s="518" t="s">
        <v>11643</v>
      </c>
      <c r="C1227" s="516"/>
      <c r="D1227" s="514" t="s">
        <v>11612</v>
      </c>
      <c r="E1227" s="515">
        <v>4</v>
      </c>
      <c r="F1227" s="514"/>
      <c r="G1227" s="515" t="s">
        <v>11525</v>
      </c>
      <c r="H1227" s="514"/>
      <c r="I1227" s="515"/>
      <c r="J1227" s="515"/>
    </row>
    <row r="1228" spans="1:10" ht="13.8" thickBot="1">
      <c r="A1228" s="517"/>
      <c r="B1228" s="518" t="s">
        <v>11642</v>
      </c>
      <c r="C1228" s="516"/>
      <c r="D1228" s="514" t="s">
        <v>11612</v>
      </c>
      <c r="E1228" s="515">
        <v>7</v>
      </c>
      <c r="F1228" s="514"/>
      <c r="G1228" s="515" t="s">
        <v>11525</v>
      </c>
      <c r="H1228" s="514"/>
      <c r="I1228" s="515"/>
      <c r="J1228" s="515"/>
    </row>
    <row r="1229" spans="1:10" ht="13.8" thickBot="1">
      <c r="A1229" s="517"/>
      <c r="B1229" s="518" t="s">
        <v>11641</v>
      </c>
      <c r="C1229" s="516"/>
      <c r="D1229" s="514" t="s">
        <v>11612</v>
      </c>
      <c r="E1229" s="515">
        <v>6</v>
      </c>
      <c r="F1229" s="514"/>
      <c r="G1229" s="515" t="s">
        <v>11525</v>
      </c>
      <c r="H1229" s="514"/>
      <c r="I1229" s="515"/>
      <c r="J1229" s="515"/>
    </row>
    <row r="1230" spans="1:10" ht="13.8" thickBot="1">
      <c r="A1230" s="517"/>
      <c r="B1230" s="518" t="s">
        <v>11640</v>
      </c>
      <c r="C1230" s="516"/>
      <c r="D1230" s="514" t="s">
        <v>11612</v>
      </c>
      <c r="E1230" s="515">
        <v>7</v>
      </c>
      <c r="F1230" s="514"/>
      <c r="G1230" s="515" t="s">
        <v>11525</v>
      </c>
      <c r="H1230" s="514"/>
      <c r="I1230" s="515"/>
      <c r="J1230" s="515"/>
    </row>
    <row r="1231" spans="1:10" ht="13.8" thickBot="1">
      <c r="A1231" s="517"/>
      <c r="B1231" s="518" t="s">
        <v>11639</v>
      </c>
      <c r="C1231" s="516"/>
      <c r="D1231" s="514" t="s">
        <v>11612</v>
      </c>
      <c r="E1231" s="515">
        <v>6</v>
      </c>
      <c r="F1231" s="514"/>
      <c r="G1231" s="515" t="s">
        <v>11525</v>
      </c>
      <c r="H1231" s="514"/>
      <c r="I1231" s="515"/>
      <c r="J1231" s="515"/>
    </row>
    <row r="1232" spans="1:10" ht="13.8" thickBot="1">
      <c r="A1232" s="517"/>
      <c r="B1232" s="518" t="s">
        <v>11638</v>
      </c>
      <c r="C1232" s="516"/>
      <c r="D1232" s="514" t="s">
        <v>11612</v>
      </c>
      <c r="E1232" s="515">
        <v>5</v>
      </c>
      <c r="F1232" s="514"/>
      <c r="G1232" s="515" t="s">
        <v>11525</v>
      </c>
      <c r="H1232" s="514"/>
      <c r="I1232" s="515"/>
      <c r="J1232" s="515"/>
    </row>
    <row r="1233" spans="1:10" ht="13.8" thickBot="1">
      <c r="A1233" s="517"/>
      <c r="B1233" s="518" t="s">
        <v>11637</v>
      </c>
      <c r="C1233" s="516"/>
      <c r="D1233" s="514" t="s">
        <v>11612</v>
      </c>
      <c r="E1233" s="515">
        <v>5</v>
      </c>
      <c r="F1233" s="514"/>
      <c r="G1233" s="515" t="s">
        <v>11525</v>
      </c>
      <c r="H1233" s="514"/>
      <c r="I1233" s="515"/>
      <c r="J1233" s="515"/>
    </row>
    <row r="1234" spans="1:10" ht="13.8" thickBot="1">
      <c r="A1234" s="517"/>
      <c r="B1234" s="518" t="s">
        <v>11636</v>
      </c>
      <c r="C1234" s="516"/>
      <c r="D1234" s="514" t="s">
        <v>11612</v>
      </c>
      <c r="E1234" s="515">
        <v>6.25</v>
      </c>
      <c r="F1234" s="514"/>
      <c r="G1234" s="515" t="s">
        <v>11525</v>
      </c>
      <c r="H1234" s="514"/>
      <c r="I1234" s="515"/>
      <c r="J1234" s="515"/>
    </row>
    <row r="1235" spans="1:10" ht="13.8" thickBot="1">
      <c r="A1235" s="517"/>
      <c r="B1235" s="518" t="s">
        <v>11635</v>
      </c>
      <c r="C1235" s="516"/>
      <c r="D1235" s="514" t="s">
        <v>11533</v>
      </c>
      <c r="E1235" s="515">
        <v>8</v>
      </c>
      <c r="F1235" s="514"/>
      <c r="G1235" s="515" t="s">
        <v>11525</v>
      </c>
      <c r="H1235" s="514"/>
      <c r="I1235" s="515"/>
      <c r="J1235" s="515"/>
    </row>
    <row r="1236" spans="1:10" ht="13.8" thickBot="1">
      <c r="A1236" s="517"/>
      <c r="B1236" s="518" t="s">
        <v>11634</v>
      </c>
      <c r="C1236" s="516"/>
      <c r="D1236" s="514" t="s">
        <v>11612</v>
      </c>
      <c r="E1236" s="515">
        <v>6</v>
      </c>
      <c r="F1236" s="514"/>
      <c r="G1236" s="515" t="s">
        <v>11525</v>
      </c>
      <c r="H1236" s="514"/>
      <c r="I1236" s="515"/>
      <c r="J1236" s="515"/>
    </row>
    <row r="1237" spans="1:10" ht="13.8" thickBot="1">
      <c r="A1237" s="517"/>
      <c r="B1237" s="518" t="s">
        <v>11633</v>
      </c>
      <c r="C1237" s="516"/>
      <c r="D1237" s="514" t="s">
        <v>11612</v>
      </c>
      <c r="E1237" s="515">
        <v>6</v>
      </c>
      <c r="F1237" s="514"/>
      <c r="G1237" s="515" t="s">
        <v>11525</v>
      </c>
      <c r="H1237" s="514"/>
      <c r="I1237" s="515"/>
      <c r="J1237" s="515"/>
    </row>
    <row r="1238" spans="1:10" ht="13.8" thickBot="1">
      <c r="A1238" s="517"/>
      <c r="B1238" s="518" t="s">
        <v>11632</v>
      </c>
      <c r="C1238" s="516"/>
      <c r="D1238" s="514" t="s">
        <v>11612</v>
      </c>
      <c r="E1238" s="515">
        <v>5.5</v>
      </c>
      <c r="F1238" s="514"/>
      <c r="G1238" s="515" t="s">
        <v>11525</v>
      </c>
      <c r="H1238" s="514"/>
      <c r="I1238" s="515"/>
      <c r="J1238" s="515"/>
    </row>
    <row r="1239" spans="1:10" ht="13.8" thickBot="1">
      <c r="A1239" s="517"/>
      <c r="B1239" s="518" t="s">
        <v>12519</v>
      </c>
      <c r="C1239" s="516"/>
      <c r="D1239" s="514" t="s">
        <v>3855</v>
      </c>
      <c r="E1239" s="515">
        <v>6</v>
      </c>
      <c r="F1239" s="518" t="s">
        <v>614</v>
      </c>
      <c r="G1239" s="515" t="s">
        <v>3856</v>
      </c>
      <c r="H1239" s="514" t="s">
        <v>1251</v>
      </c>
      <c r="I1239" s="515"/>
      <c r="J1239" s="515">
        <v>7</v>
      </c>
    </row>
    <row r="1240" spans="1:10" ht="13.8" thickBot="1">
      <c r="A1240" s="517"/>
      <c r="B1240" s="518" t="s">
        <v>11631</v>
      </c>
      <c r="C1240" s="516"/>
      <c r="D1240" s="514" t="s">
        <v>11533</v>
      </c>
      <c r="E1240" s="515">
        <v>7.5</v>
      </c>
      <c r="F1240" s="514"/>
      <c r="G1240" s="515" t="s">
        <v>11525</v>
      </c>
      <c r="H1240" s="514"/>
      <c r="I1240" s="515"/>
      <c r="J1240" s="515"/>
    </row>
    <row r="1241" spans="1:10" ht="13.8" thickBot="1">
      <c r="A1241" s="517"/>
      <c r="B1241" s="518" t="s">
        <v>11630</v>
      </c>
      <c r="C1241" s="516"/>
      <c r="D1241" s="514" t="s">
        <v>11533</v>
      </c>
      <c r="E1241" s="515">
        <v>8</v>
      </c>
      <c r="F1241" s="514"/>
      <c r="G1241" s="515" t="s">
        <v>11525</v>
      </c>
      <c r="H1241" s="514"/>
      <c r="I1241" s="515"/>
      <c r="J1241" s="515"/>
    </row>
    <row r="1242" spans="1:10" ht="13.8" thickBot="1">
      <c r="A1242" s="517"/>
      <c r="B1242" s="518" t="s">
        <v>11629</v>
      </c>
      <c r="C1242" s="516"/>
      <c r="D1242" s="514" t="s">
        <v>11612</v>
      </c>
      <c r="E1242" s="515">
        <v>5</v>
      </c>
      <c r="F1242" s="514"/>
      <c r="G1242" s="515" t="s">
        <v>11525</v>
      </c>
      <c r="H1242" s="514"/>
      <c r="I1242" s="515"/>
      <c r="J1242" s="515"/>
    </row>
    <row r="1243" spans="1:10" ht="13.8" thickBot="1">
      <c r="A1243" s="517"/>
      <c r="B1243" s="518" t="s">
        <v>11628</v>
      </c>
      <c r="C1243" s="516"/>
      <c r="D1243" s="514" t="s">
        <v>11533</v>
      </c>
      <c r="E1243" s="515">
        <v>8</v>
      </c>
      <c r="F1243" s="514"/>
      <c r="G1243" s="515" t="s">
        <v>11525</v>
      </c>
      <c r="H1243" s="514"/>
      <c r="I1243" s="515"/>
      <c r="J1243" s="515"/>
    </row>
    <row r="1244" spans="1:10" ht="13.8" thickBot="1">
      <c r="A1244" s="517"/>
      <c r="B1244" s="518" t="s">
        <v>12653</v>
      </c>
      <c r="C1244" s="516"/>
      <c r="D1244" s="514" t="s">
        <v>12652</v>
      </c>
      <c r="E1244" s="515">
        <v>6.8</v>
      </c>
      <c r="F1244" s="518" t="s">
        <v>614</v>
      </c>
      <c r="G1244" s="515" t="s">
        <v>3734</v>
      </c>
      <c r="H1244" s="514" t="s">
        <v>1251</v>
      </c>
      <c r="I1244" s="515"/>
      <c r="J1244" s="515">
        <v>9</v>
      </c>
    </row>
    <row r="1245" spans="1:10" ht="13.8" thickBot="1">
      <c r="A1245" s="517"/>
      <c r="B1245" s="518" t="s">
        <v>11627</v>
      </c>
      <c r="C1245" s="516"/>
      <c r="D1245" s="514" t="s">
        <v>11612</v>
      </c>
      <c r="E1245" s="515">
        <v>5.5</v>
      </c>
      <c r="F1245" s="514"/>
      <c r="G1245" s="515" t="s">
        <v>11525</v>
      </c>
      <c r="H1245" s="514"/>
      <c r="I1245" s="515"/>
      <c r="J1245" s="515"/>
    </row>
    <row r="1246" spans="1:10" ht="13.8" thickBot="1">
      <c r="A1246" s="517"/>
      <c r="B1246" s="518" t="s">
        <v>11626</v>
      </c>
      <c r="C1246" s="516"/>
      <c r="D1246" s="514" t="s">
        <v>11612</v>
      </c>
      <c r="E1246" s="515">
        <v>6</v>
      </c>
      <c r="F1246" s="514"/>
      <c r="G1246" s="515" t="s">
        <v>11525</v>
      </c>
      <c r="H1246" s="514"/>
      <c r="I1246" s="515"/>
      <c r="J1246" s="515"/>
    </row>
    <row r="1247" spans="1:10" ht="13.8" thickBot="1">
      <c r="A1247" s="517"/>
      <c r="B1247" s="518" t="s">
        <v>11625</v>
      </c>
      <c r="C1247" s="516"/>
      <c r="D1247" s="514" t="s">
        <v>11612</v>
      </c>
      <c r="E1247" s="515">
        <v>7</v>
      </c>
      <c r="F1247" s="514"/>
      <c r="G1247" s="515" t="s">
        <v>11525</v>
      </c>
      <c r="H1247" s="514"/>
      <c r="I1247" s="515"/>
      <c r="J1247" s="515"/>
    </row>
    <row r="1248" spans="1:10" ht="13.8" thickBot="1">
      <c r="A1248" s="517"/>
      <c r="B1248" s="518" t="s">
        <v>11624</v>
      </c>
      <c r="C1248" s="516"/>
      <c r="D1248" s="514" t="s">
        <v>11612</v>
      </c>
      <c r="E1248" s="515">
        <v>7.5</v>
      </c>
      <c r="F1248" s="514"/>
      <c r="G1248" s="515" t="s">
        <v>11525</v>
      </c>
      <c r="H1248" s="514"/>
      <c r="I1248" s="515"/>
      <c r="J1248" s="515"/>
    </row>
    <row r="1249" spans="1:10" ht="13.8" thickBot="1">
      <c r="A1249" s="517"/>
      <c r="B1249" s="518" t="s">
        <v>11623</v>
      </c>
      <c r="C1249" s="516"/>
      <c r="D1249" s="514" t="s">
        <v>11612</v>
      </c>
      <c r="E1249" s="515">
        <v>6</v>
      </c>
      <c r="F1249" s="514"/>
      <c r="G1249" s="515" t="s">
        <v>11525</v>
      </c>
      <c r="H1249" s="514"/>
      <c r="I1249" s="515"/>
      <c r="J1249" s="515"/>
    </row>
    <row r="1250" spans="1:10" ht="13.8" thickBot="1">
      <c r="A1250" s="517"/>
      <c r="B1250" s="518" t="s">
        <v>11622</v>
      </c>
      <c r="C1250" s="516"/>
      <c r="D1250" s="514" t="s">
        <v>11612</v>
      </c>
      <c r="E1250" s="515">
        <v>6</v>
      </c>
      <c r="F1250" s="514"/>
      <c r="G1250" s="515" t="s">
        <v>11525</v>
      </c>
      <c r="H1250" s="514"/>
      <c r="I1250" s="515"/>
      <c r="J1250" s="515"/>
    </row>
    <row r="1251" spans="1:10" ht="13.8" thickBot="1">
      <c r="A1251" s="517"/>
      <c r="B1251" s="518" t="s">
        <v>11621</v>
      </c>
      <c r="C1251" s="516"/>
      <c r="D1251" s="514" t="s">
        <v>11612</v>
      </c>
      <c r="E1251" s="515">
        <v>7</v>
      </c>
      <c r="F1251" s="514"/>
      <c r="G1251" s="515" t="s">
        <v>11525</v>
      </c>
      <c r="H1251" s="514"/>
      <c r="I1251" s="515"/>
      <c r="J1251" s="515"/>
    </row>
    <row r="1252" spans="1:10" ht="13.8" thickBot="1">
      <c r="A1252" s="517"/>
      <c r="B1252" s="518" t="s">
        <v>11620</v>
      </c>
      <c r="C1252" s="516"/>
      <c r="D1252" s="514" t="s">
        <v>11612</v>
      </c>
      <c r="E1252" s="515">
        <v>6</v>
      </c>
      <c r="F1252" s="514"/>
      <c r="G1252" s="515" t="s">
        <v>11525</v>
      </c>
      <c r="H1252" s="514"/>
      <c r="I1252" s="515"/>
      <c r="J1252" s="515"/>
    </row>
    <row r="1253" spans="1:10" ht="13.8" thickBot="1">
      <c r="A1253" s="517"/>
      <c r="B1253" s="518" t="s">
        <v>11619</v>
      </c>
      <c r="C1253" s="516"/>
      <c r="D1253" s="514" t="s">
        <v>11612</v>
      </c>
      <c r="E1253" s="515">
        <v>6.25</v>
      </c>
      <c r="F1253" s="514"/>
      <c r="G1253" s="515" t="s">
        <v>11525</v>
      </c>
      <c r="H1253" s="514"/>
      <c r="I1253" s="515"/>
      <c r="J1253" s="515"/>
    </row>
    <row r="1254" spans="1:10" ht="13.8" thickBot="1">
      <c r="A1254" s="517"/>
      <c r="B1254" s="518" t="s">
        <v>11618</v>
      </c>
      <c r="C1254" s="516"/>
      <c r="D1254" s="514" t="s">
        <v>11612</v>
      </c>
      <c r="E1254" s="515">
        <v>6.25</v>
      </c>
      <c r="F1254" s="514"/>
      <c r="G1254" s="515" t="s">
        <v>11525</v>
      </c>
      <c r="H1254" s="514"/>
      <c r="I1254" s="515"/>
      <c r="J1254" s="515"/>
    </row>
    <row r="1255" spans="1:10" ht="13.8" thickBot="1">
      <c r="A1255" s="517"/>
      <c r="B1255" s="518" t="s">
        <v>11617</v>
      </c>
      <c r="C1255" s="516"/>
      <c r="D1255" s="514" t="s">
        <v>11612</v>
      </c>
      <c r="E1255" s="515">
        <v>7.5</v>
      </c>
      <c r="F1255" s="514"/>
      <c r="G1255" s="515" t="s">
        <v>11525</v>
      </c>
      <c r="H1255" s="514"/>
      <c r="I1255" s="515"/>
      <c r="J1255" s="515"/>
    </row>
    <row r="1256" spans="1:10" ht="13.8" thickBot="1">
      <c r="A1256" s="517"/>
      <c r="B1256" s="518" t="s">
        <v>11616</v>
      </c>
      <c r="C1256" s="516"/>
      <c r="D1256" s="514" t="s">
        <v>11612</v>
      </c>
      <c r="E1256" s="515">
        <v>6.25</v>
      </c>
      <c r="F1256" s="514"/>
      <c r="G1256" s="515" t="s">
        <v>11525</v>
      </c>
      <c r="H1256" s="514"/>
      <c r="I1256" s="515"/>
      <c r="J1256" s="515"/>
    </row>
    <row r="1257" spans="1:10" ht="13.8" thickBot="1">
      <c r="A1257" s="517"/>
      <c r="B1257" s="518" t="s">
        <v>11615</v>
      </c>
      <c r="C1257" s="516"/>
      <c r="D1257" s="514" t="s">
        <v>11612</v>
      </c>
      <c r="E1257" s="515">
        <v>6.25</v>
      </c>
      <c r="F1257" s="514"/>
      <c r="G1257" s="515" t="s">
        <v>11525</v>
      </c>
      <c r="H1257" s="514"/>
      <c r="I1257" s="515"/>
      <c r="J1257" s="515"/>
    </row>
    <row r="1258" spans="1:10" ht="13.8" thickBot="1">
      <c r="A1258" s="517"/>
      <c r="B1258" s="518" t="s">
        <v>11614</v>
      </c>
      <c r="C1258" s="516"/>
      <c r="D1258" s="514" t="s">
        <v>11612</v>
      </c>
      <c r="E1258" s="515">
        <v>6</v>
      </c>
      <c r="F1258" s="514"/>
      <c r="G1258" s="515" t="s">
        <v>11525</v>
      </c>
      <c r="H1258" s="514"/>
      <c r="I1258" s="515"/>
      <c r="J1258" s="515"/>
    </row>
    <row r="1259" spans="1:10" ht="13.8" thickBot="1">
      <c r="A1259" s="517"/>
      <c r="B1259" s="518" t="s">
        <v>11613</v>
      </c>
      <c r="C1259" s="516"/>
      <c r="D1259" s="514" t="s">
        <v>11612</v>
      </c>
      <c r="E1259" s="515">
        <v>6.25</v>
      </c>
      <c r="F1259" s="514"/>
      <c r="G1259" s="515" t="s">
        <v>11525</v>
      </c>
      <c r="H1259" s="514"/>
      <c r="I1259" s="515"/>
      <c r="J1259" s="515"/>
    </row>
    <row r="1260" spans="1:10" ht="13.8" thickBot="1">
      <c r="A1260" s="517"/>
      <c r="B1260" s="518" t="s">
        <v>13521</v>
      </c>
      <c r="C1260" s="516"/>
      <c r="D1260" s="514" t="s">
        <v>13520</v>
      </c>
      <c r="E1260" s="515">
        <v>6.75</v>
      </c>
      <c r="F1260" s="518" t="s">
        <v>614</v>
      </c>
      <c r="G1260" s="515" t="s">
        <v>2523</v>
      </c>
      <c r="H1260" s="514" t="s">
        <v>1226</v>
      </c>
      <c r="I1260" s="515"/>
      <c r="J1260" s="515">
        <v>4</v>
      </c>
    </row>
    <row r="1261" spans="1:10" ht="13.8" thickBot="1">
      <c r="A1261" s="517"/>
      <c r="B1261" s="518" t="s">
        <v>13824</v>
      </c>
      <c r="C1261" s="516"/>
      <c r="D1261" s="519" t="s">
        <v>1270</v>
      </c>
      <c r="E1261" s="515">
        <v>7</v>
      </c>
      <c r="F1261" s="518" t="s">
        <v>614</v>
      </c>
      <c r="G1261" s="515" t="s">
        <v>2152</v>
      </c>
      <c r="H1261" s="514" t="s">
        <v>1224</v>
      </c>
      <c r="I1261" s="515">
        <v>1</v>
      </c>
      <c r="J1261" s="515">
        <v>2</v>
      </c>
    </row>
    <row r="1262" spans="1:10" ht="13.8" thickBot="1">
      <c r="A1262" s="517"/>
      <c r="B1262" s="518" t="s">
        <v>12129</v>
      </c>
      <c r="C1262" s="516"/>
      <c r="D1262" s="514" t="s">
        <v>12128</v>
      </c>
      <c r="E1262" s="515">
        <v>6</v>
      </c>
      <c r="F1262" s="518" t="s">
        <v>614</v>
      </c>
      <c r="G1262" s="515" t="s">
        <v>4970</v>
      </c>
      <c r="H1262" s="514"/>
      <c r="I1262" s="515"/>
      <c r="J1262" s="515">
        <v>1</v>
      </c>
    </row>
    <row r="1263" spans="1:10" ht="13.8" thickBot="1">
      <c r="A1263" s="517"/>
      <c r="B1263" s="518" t="s">
        <v>12833</v>
      </c>
      <c r="C1263" s="516"/>
      <c r="D1263" s="514" t="s">
        <v>12832</v>
      </c>
      <c r="E1263" s="515">
        <v>7.5</v>
      </c>
      <c r="F1263" s="518" t="s">
        <v>614</v>
      </c>
      <c r="G1263" s="515" t="s">
        <v>3517</v>
      </c>
      <c r="H1263" s="514" t="s">
        <v>1251</v>
      </c>
      <c r="I1263" s="515"/>
      <c r="J1263" s="515">
        <v>2</v>
      </c>
    </row>
    <row r="1264" spans="1:10" ht="13.8" thickBot="1">
      <c r="A1264" s="517"/>
      <c r="B1264" s="518" t="s">
        <v>11974</v>
      </c>
      <c r="C1264" s="516"/>
      <c r="D1264" s="514" t="s">
        <v>5195</v>
      </c>
      <c r="E1264" s="515">
        <v>7.25</v>
      </c>
      <c r="F1264" s="518" t="s">
        <v>614</v>
      </c>
      <c r="G1264" s="515" t="s">
        <v>5196</v>
      </c>
      <c r="H1264" s="514" t="s">
        <v>1251</v>
      </c>
      <c r="I1264" s="515">
        <v>2</v>
      </c>
      <c r="J1264" s="515">
        <v>4</v>
      </c>
    </row>
    <row r="1265" spans="1:10" ht="13.8" thickBot="1">
      <c r="A1265" s="517"/>
      <c r="B1265" s="518" t="s">
        <v>12858</v>
      </c>
      <c r="C1265" s="516"/>
      <c r="D1265" s="514" t="s">
        <v>12857</v>
      </c>
      <c r="E1265" s="515">
        <v>7</v>
      </c>
      <c r="F1265" s="518" t="s">
        <v>614</v>
      </c>
      <c r="G1265" s="515" t="s">
        <v>3452</v>
      </c>
      <c r="H1265" s="514"/>
      <c r="I1265" s="515"/>
      <c r="J1265" s="515"/>
    </row>
    <row r="1266" spans="1:10" ht="13.8" thickBot="1">
      <c r="A1266" s="517"/>
      <c r="B1266" s="518" t="s">
        <v>12862</v>
      </c>
      <c r="C1266" s="516"/>
      <c r="D1266" s="514" t="s">
        <v>12861</v>
      </c>
      <c r="E1266" s="515">
        <v>7.1</v>
      </c>
      <c r="F1266" s="518" t="s">
        <v>614</v>
      </c>
      <c r="G1266" s="515" t="s">
        <v>3452</v>
      </c>
      <c r="H1266" s="514" t="s">
        <v>1226</v>
      </c>
      <c r="I1266" s="515"/>
      <c r="J1266" s="515">
        <v>2</v>
      </c>
    </row>
    <row r="1267" spans="1:10" ht="13.8" thickBot="1">
      <c r="A1267" s="517"/>
      <c r="B1267" s="518" t="s">
        <v>13106</v>
      </c>
      <c r="C1267" s="516"/>
      <c r="D1267" s="514" t="s">
        <v>13105</v>
      </c>
      <c r="E1267" s="515">
        <v>6.25</v>
      </c>
      <c r="F1267" s="518" t="s">
        <v>614</v>
      </c>
      <c r="G1267" s="515" t="s">
        <v>2957</v>
      </c>
      <c r="H1267" s="514"/>
      <c r="I1267" s="515">
        <v>1</v>
      </c>
      <c r="J1267" s="515">
        <v>3</v>
      </c>
    </row>
    <row r="1268" spans="1:10" ht="13.8" thickBot="1">
      <c r="A1268" s="517"/>
      <c r="B1268" s="518" t="s">
        <v>13834</v>
      </c>
      <c r="C1268" s="516"/>
      <c r="D1268" s="514" t="s">
        <v>13833</v>
      </c>
      <c r="E1268" s="515">
        <v>7.75</v>
      </c>
      <c r="F1268" s="518" t="s">
        <v>614</v>
      </c>
      <c r="G1268" s="515" t="s">
        <v>2152</v>
      </c>
      <c r="H1268" s="514" t="s">
        <v>1226</v>
      </c>
      <c r="I1268" s="515"/>
      <c r="J1268" s="515">
        <v>3</v>
      </c>
    </row>
    <row r="1269" spans="1:10" ht="13.8" thickBot="1">
      <c r="A1269" s="517"/>
      <c r="B1269" s="518" t="s">
        <v>13704</v>
      </c>
      <c r="C1269" s="516"/>
      <c r="D1269" s="514" t="s">
        <v>13703</v>
      </c>
      <c r="E1269" s="515">
        <v>6.75</v>
      </c>
      <c r="F1269" s="518" t="s">
        <v>614</v>
      </c>
      <c r="G1269" s="515" t="s">
        <v>2289</v>
      </c>
      <c r="H1269" s="514" t="s">
        <v>1841</v>
      </c>
      <c r="I1269" s="515"/>
      <c r="J1269" s="515">
        <v>12</v>
      </c>
    </row>
    <row r="1270" spans="1:10" ht="13.8" thickBot="1">
      <c r="A1270" s="517"/>
      <c r="B1270" s="518" t="s">
        <v>13744</v>
      </c>
      <c r="C1270" s="516"/>
      <c r="D1270" s="514" t="s">
        <v>13743</v>
      </c>
      <c r="E1270" s="515">
        <v>7.5</v>
      </c>
      <c r="F1270" s="518" t="s">
        <v>614</v>
      </c>
      <c r="G1270" s="515" t="s">
        <v>2289</v>
      </c>
      <c r="H1270" s="514" t="s">
        <v>1226</v>
      </c>
      <c r="I1270" s="515"/>
      <c r="J1270" s="515">
        <v>3</v>
      </c>
    </row>
    <row r="1271" spans="1:10" ht="13.8" thickBot="1">
      <c r="A1271" s="517"/>
      <c r="B1271" s="518" t="s">
        <v>13063</v>
      </c>
      <c r="C1271" s="516"/>
      <c r="D1271" s="514" t="s">
        <v>13062</v>
      </c>
      <c r="E1271" s="515">
        <v>5.5</v>
      </c>
      <c r="F1271" s="518" t="s">
        <v>614</v>
      </c>
      <c r="G1271" s="515" t="s">
        <v>2957</v>
      </c>
      <c r="H1271" s="514" t="s">
        <v>1224</v>
      </c>
      <c r="I1271" s="515"/>
      <c r="J1271" s="515">
        <v>1</v>
      </c>
    </row>
    <row r="1272" spans="1:10" ht="13.8" thickBot="1">
      <c r="A1272" s="517"/>
      <c r="B1272" s="518" t="s">
        <v>14277</v>
      </c>
      <c r="C1272" s="516"/>
      <c r="D1272" s="514" t="s">
        <v>14276</v>
      </c>
      <c r="E1272" s="515">
        <v>7</v>
      </c>
      <c r="F1272" s="518" t="s">
        <v>614</v>
      </c>
      <c r="G1272" s="515" t="s">
        <v>1793</v>
      </c>
      <c r="H1272" s="514" t="s">
        <v>1251</v>
      </c>
      <c r="I1272" s="522"/>
      <c r="J1272" s="515">
        <v>5</v>
      </c>
    </row>
    <row r="1273" spans="1:10" ht="13.8" thickBot="1">
      <c r="A1273" s="517"/>
      <c r="B1273" s="518" t="s">
        <v>12363</v>
      </c>
      <c r="C1273" s="516"/>
      <c r="D1273" s="514" t="s">
        <v>12362</v>
      </c>
      <c r="E1273" s="529">
        <v>8</v>
      </c>
      <c r="F1273" s="518" t="s">
        <v>614</v>
      </c>
      <c r="G1273" s="515" t="s">
        <v>4214</v>
      </c>
      <c r="H1273" s="514"/>
      <c r="I1273" s="522"/>
      <c r="J1273" s="522">
        <v>4</v>
      </c>
    </row>
    <row r="1274" spans="1:10" ht="13.8" thickBot="1">
      <c r="A1274" s="517"/>
      <c r="B1274" s="518" t="s">
        <v>11934</v>
      </c>
      <c r="C1274" s="516"/>
      <c r="D1274" s="514" t="s">
        <v>5231</v>
      </c>
      <c r="E1274" s="515">
        <v>7.25</v>
      </c>
      <c r="F1274" s="518" t="s">
        <v>614</v>
      </c>
      <c r="G1274" s="515" t="s">
        <v>5226</v>
      </c>
      <c r="H1274" s="514" t="s">
        <v>1251</v>
      </c>
      <c r="I1274" s="515"/>
      <c r="J1274" s="515">
        <v>12</v>
      </c>
    </row>
    <row r="1275" spans="1:10" ht="13.8" thickBot="1">
      <c r="A1275" s="517"/>
      <c r="B1275" s="518" t="s">
        <v>12000</v>
      </c>
      <c r="C1275" s="516"/>
      <c r="D1275" s="514" t="s">
        <v>11999</v>
      </c>
      <c r="E1275" s="515">
        <v>7.25</v>
      </c>
      <c r="F1275" s="518" t="s">
        <v>614</v>
      </c>
      <c r="G1275" s="515" t="s">
        <v>5155</v>
      </c>
      <c r="H1275" s="514" t="s">
        <v>1251</v>
      </c>
      <c r="I1275" s="522"/>
      <c r="J1275" s="522">
        <v>7</v>
      </c>
    </row>
    <row r="1276" spans="1:10" ht="13.8" thickBot="1">
      <c r="A1276" s="517"/>
      <c r="B1276" s="518" t="s">
        <v>12889</v>
      </c>
      <c r="C1276" s="516"/>
      <c r="D1276" s="514" t="s">
        <v>12888</v>
      </c>
      <c r="E1276" s="515">
        <v>7</v>
      </c>
      <c r="F1276" s="518" t="s">
        <v>614</v>
      </c>
      <c r="G1276" s="515" t="s">
        <v>3351</v>
      </c>
      <c r="H1276" s="514" t="s">
        <v>1224</v>
      </c>
      <c r="I1276" s="522"/>
      <c r="J1276" s="522">
        <v>1</v>
      </c>
    </row>
    <row r="1277" spans="1:10" ht="13.8" thickBot="1">
      <c r="A1277" s="517"/>
      <c r="B1277" s="518" t="s">
        <v>14171</v>
      </c>
      <c r="C1277" s="516"/>
      <c r="D1277" s="514" t="s">
        <v>14170</v>
      </c>
      <c r="E1277" s="515">
        <v>5.5</v>
      </c>
      <c r="F1277" s="518" t="s">
        <v>614</v>
      </c>
      <c r="G1277" s="515" t="s">
        <v>1793</v>
      </c>
      <c r="H1277" s="514" t="s">
        <v>1226</v>
      </c>
      <c r="I1277" s="522">
        <v>1</v>
      </c>
      <c r="J1277" s="522">
        <v>3</v>
      </c>
    </row>
    <row r="1278" spans="1:10" ht="13.8" thickBot="1">
      <c r="A1278" s="517"/>
      <c r="B1278" s="518" t="s">
        <v>12705</v>
      </c>
      <c r="C1278" s="516"/>
      <c r="D1278" s="520" t="s">
        <v>12704</v>
      </c>
      <c r="E1278" s="521"/>
      <c r="F1278" s="518" t="s">
        <v>12703</v>
      </c>
      <c r="G1278" s="515" t="s">
        <v>3517</v>
      </c>
      <c r="H1278" s="514"/>
      <c r="I1278" s="528"/>
      <c r="J1278" s="528"/>
    </row>
    <row r="1279" spans="1:10" ht="13.8" thickBot="1">
      <c r="A1279" s="517"/>
      <c r="B1279" s="518" t="s">
        <v>13511</v>
      </c>
      <c r="C1279" s="516"/>
      <c r="D1279" s="514" t="s">
        <v>2534</v>
      </c>
      <c r="E1279" s="515">
        <v>6.75</v>
      </c>
      <c r="F1279" s="514"/>
      <c r="G1279" s="515" t="s">
        <v>2523</v>
      </c>
      <c r="H1279" s="514"/>
      <c r="I1279" s="522"/>
      <c r="J1279" s="522"/>
    </row>
    <row r="1280" spans="1:10" ht="13.8" thickBot="1">
      <c r="A1280" s="517"/>
      <c r="B1280" s="518" t="s">
        <v>13518</v>
      </c>
      <c r="C1280" s="516"/>
      <c r="D1280" s="514" t="s">
        <v>13517</v>
      </c>
      <c r="E1280" s="515">
        <v>6.75</v>
      </c>
      <c r="F1280" s="518" t="s">
        <v>13516</v>
      </c>
      <c r="G1280" s="515" t="s">
        <v>2523</v>
      </c>
      <c r="H1280" s="514"/>
      <c r="I1280" s="522"/>
      <c r="J1280" s="522">
        <v>5</v>
      </c>
    </row>
    <row r="1281" spans="1:10" ht="13.8" thickBot="1">
      <c r="A1281" s="517"/>
      <c r="B1281" s="518" t="s">
        <v>13721</v>
      </c>
      <c r="C1281" s="516"/>
      <c r="D1281" s="519" t="s">
        <v>13720</v>
      </c>
      <c r="E1281" s="515">
        <v>7</v>
      </c>
      <c r="F1281" s="518" t="s">
        <v>614</v>
      </c>
      <c r="G1281" s="515" t="s">
        <v>2289</v>
      </c>
      <c r="H1281" s="514" t="s">
        <v>1224</v>
      </c>
      <c r="I1281" s="522">
        <v>2</v>
      </c>
      <c r="J1281" s="515">
        <v>4</v>
      </c>
    </row>
    <row r="1282" spans="1:10" ht="13.8" thickBot="1">
      <c r="A1282" s="517"/>
      <c r="B1282" s="518" t="s">
        <v>13832</v>
      </c>
      <c r="C1282" s="516"/>
      <c r="D1282" s="514" t="s">
        <v>1270</v>
      </c>
      <c r="E1282" s="515">
        <v>7.5</v>
      </c>
      <c r="F1282" s="518" t="s">
        <v>13831</v>
      </c>
      <c r="G1282" s="515" t="s">
        <v>2152</v>
      </c>
      <c r="H1282" s="514"/>
      <c r="I1282" s="522"/>
      <c r="J1282" s="522">
        <v>5</v>
      </c>
    </row>
    <row r="1283" spans="1:10" ht="13.8" thickBot="1">
      <c r="A1283" s="517"/>
      <c r="B1283" s="518" t="s">
        <v>13742</v>
      </c>
      <c r="C1283" s="516"/>
      <c r="D1283" s="519" t="s">
        <v>13741</v>
      </c>
      <c r="E1283" s="515">
        <v>7.5</v>
      </c>
      <c r="F1283" s="518" t="s">
        <v>614</v>
      </c>
      <c r="G1283" s="515" t="s">
        <v>2289</v>
      </c>
      <c r="H1283" s="514" t="s">
        <v>1226</v>
      </c>
      <c r="I1283" s="515"/>
      <c r="J1283" s="515">
        <v>3</v>
      </c>
    </row>
    <row r="1284" spans="1:10" ht="13.8" thickBot="1">
      <c r="A1284" s="517"/>
      <c r="B1284" s="518" t="s">
        <v>13606</v>
      </c>
      <c r="C1284" s="516"/>
      <c r="D1284" s="514" t="s">
        <v>13605</v>
      </c>
      <c r="E1284" s="515">
        <v>7</v>
      </c>
      <c r="F1284" s="514"/>
      <c r="G1284" s="515" t="s">
        <v>2449</v>
      </c>
      <c r="H1284" s="514"/>
      <c r="I1284" s="515"/>
      <c r="J1284" s="515">
        <v>2</v>
      </c>
    </row>
    <row r="1285" spans="1:10" ht="13.8" thickBot="1">
      <c r="A1285" s="517"/>
      <c r="B1285" s="518" t="s">
        <v>11993</v>
      </c>
      <c r="C1285" s="516"/>
      <c r="D1285" s="514" t="s">
        <v>11992</v>
      </c>
      <c r="E1285" s="515">
        <v>7</v>
      </c>
      <c r="F1285" s="514"/>
      <c r="G1285" s="515" t="s">
        <v>5180</v>
      </c>
      <c r="H1285" s="514"/>
      <c r="I1285" s="515"/>
      <c r="J1285" s="515">
        <v>1</v>
      </c>
    </row>
    <row r="1286" spans="1:10" ht="13.8" thickBot="1">
      <c r="A1286" s="517"/>
      <c r="B1286" s="518" t="s">
        <v>13558</v>
      </c>
      <c r="C1286" s="516"/>
      <c r="D1286" s="514" t="s">
        <v>2663</v>
      </c>
      <c r="E1286" s="515">
        <v>7.5</v>
      </c>
      <c r="F1286" s="514"/>
      <c r="G1286" s="515" t="s">
        <v>2523</v>
      </c>
      <c r="H1286" s="514" t="s">
        <v>1226</v>
      </c>
      <c r="I1286" s="515"/>
      <c r="J1286" s="515">
        <v>1</v>
      </c>
    </row>
    <row r="1287" spans="1:10" ht="13.8" thickBot="1">
      <c r="A1287" s="517"/>
      <c r="B1287" s="518" t="s">
        <v>13877</v>
      </c>
      <c r="C1287" s="516"/>
      <c r="D1287" s="514" t="s">
        <v>13876</v>
      </c>
      <c r="E1287" s="515">
        <v>5.5</v>
      </c>
      <c r="F1287" s="518" t="s">
        <v>614</v>
      </c>
      <c r="G1287" s="515" t="s">
        <v>2032</v>
      </c>
      <c r="H1287" s="514" t="s">
        <v>1224</v>
      </c>
      <c r="I1287" s="515"/>
      <c r="J1287" s="515">
        <v>2</v>
      </c>
    </row>
    <row r="1288" spans="1:10" ht="13.8" thickBot="1">
      <c r="A1288" s="517"/>
      <c r="B1288" s="518" t="s">
        <v>13405</v>
      </c>
      <c r="C1288" s="516"/>
      <c r="D1288" s="514" t="s">
        <v>1300</v>
      </c>
      <c r="E1288" s="515">
        <v>6</v>
      </c>
      <c r="F1288" s="514"/>
      <c r="G1288" s="515" t="s">
        <v>2523</v>
      </c>
      <c r="H1288" s="514"/>
      <c r="I1288" s="515"/>
      <c r="J1288" s="515">
        <v>2</v>
      </c>
    </row>
    <row r="1289" spans="1:10" ht="13.8" thickBot="1">
      <c r="A1289" s="517"/>
      <c r="B1289" s="518" t="s">
        <v>12831</v>
      </c>
      <c r="C1289" s="516"/>
      <c r="D1289" s="514" t="s">
        <v>12830</v>
      </c>
      <c r="E1289" s="515">
        <v>7.5</v>
      </c>
      <c r="F1289" s="514"/>
      <c r="G1289" s="515" t="s">
        <v>3517</v>
      </c>
      <c r="H1289" s="514" t="s">
        <v>1226</v>
      </c>
      <c r="I1289" s="515"/>
      <c r="J1289" s="515">
        <v>1</v>
      </c>
    </row>
    <row r="1290" spans="1:10" ht="13.8" thickBot="1">
      <c r="A1290" s="517"/>
      <c r="B1290" s="518" t="s">
        <v>12767</v>
      </c>
      <c r="C1290" s="516"/>
      <c r="D1290" s="514" t="s">
        <v>12766</v>
      </c>
      <c r="E1290" s="515">
        <v>6.25</v>
      </c>
      <c r="F1290" s="518" t="s">
        <v>614</v>
      </c>
      <c r="G1290" s="515" t="s">
        <v>3517</v>
      </c>
      <c r="H1290" s="514" t="s">
        <v>1226</v>
      </c>
      <c r="I1290" s="515"/>
      <c r="J1290" s="515">
        <v>8</v>
      </c>
    </row>
    <row r="1291" spans="1:10" ht="13.8" thickBot="1">
      <c r="A1291" s="517"/>
      <c r="B1291" s="518" t="s">
        <v>14284</v>
      </c>
      <c r="C1291" s="516"/>
      <c r="D1291" s="514" t="s">
        <v>14283</v>
      </c>
      <c r="E1291" s="515">
        <v>7.5</v>
      </c>
      <c r="F1291" s="514"/>
      <c r="G1291" s="515" t="s">
        <v>1793</v>
      </c>
      <c r="H1291" s="514"/>
      <c r="I1291" s="515"/>
      <c r="J1291" s="515">
        <v>1</v>
      </c>
    </row>
    <row r="1292" spans="1:10" ht="13.8" thickBot="1">
      <c r="A1292" s="517"/>
      <c r="B1292" s="518" t="s">
        <v>13116</v>
      </c>
      <c r="C1292" s="516"/>
      <c r="D1292" s="514" t="s">
        <v>1562</v>
      </c>
      <c r="E1292" s="515">
        <v>6.4</v>
      </c>
      <c r="F1292" s="518" t="s">
        <v>614</v>
      </c>
      <c r="G1292" s="515" t="s">
        <v>2957</v>
      </c>
      <c r="H1292" s="514" t="s">
        <v>1841</v>
      </c>
      <c r="I1292" s="515"/>
      <c r="J1292" s="515">
        <v>6</v>
      </c>
    </row>
    <row r="1293" spans="1:10" ht="13.8" thickBot="1">
      <c r="A1293" s="517"/>
      <c r="B1293" s="518" t="s">
        <v>13934</v>
      </c>
      <c r="C1293" s="516"/>
      <c r="D1293" s="514" t="s">
        <v>2044</v>
      </c>
      <c r="E1293" s="515">
        <v>7.5</v>
      </c>
      <c r="F1293" s="514"/>
      <c r="G1293" s="515" t="s">
        <v>2032</v>
      </c>
      <c r="H1293" s="514" t="s">
        <v>1226</v>
      </c>
      <c r="I1293" s="515"/>
      <c r="J1293" s="515">
        <v>1</v>
      </c>
    </row>
    <row r="1294" spans="1:10" ht="13.8" thickBot="1">
      <c r="A1294" s="517"/>
      <c r="B1294" s="518" t="s">
        <v>12602</v>
      </c>
      <c r="C1294" s="516"/>
      <c r="D1294" s="514" t="s">
        <v>12601</v>
      </c>
      <c r="E1294" s="515">
        <v>7.5</v>
      </c>
      <c r="F1294" s="514"/>
      <c r="G1294" s="515" t="s">
        <v>3807</v>
      </c>
      <c r="H1294" s="514" t="s">
        <v>1226</v>
      </c>
      <c r="I1294" s="515"/>
      <c r="J1294" s="515">
        <v>1</v>
      </c>
    </row>
    <row r="1295" spans="1:10" ht="13.8" thickBot="1">
      <c r="A1295" s="517"/>
      <c r="B1295" s="518" t="s">
        <v>13541</v>
      </c>
      <c r="C1295" s="516"/>
      <c r="D1295" s="514" t="s">
        <v>13540</v>
      </c>
      <c r="E1295" s="515">
        <v>7</v>
      </c>
      <c r="F1295" s="518" t="s">
        <v>614</v>
      </c>
      <c r="G1295" s="515" t="s">
        <v>2523</v>
      </c>
      <c r="H1295" s="514" t="s">
        <v>1226</v>
      </c>
      <c r="I1295" s="515"/>
      <c r="J1295" s="515">
        <v>1</v>
      </c>
    </row>
    <row r="1296" spans="1:10" ht="13.8" thickBot="1">
      <c r="A1296" s="517"/>
      <c r="B1296" s="518" t="s">
        <v>11611</v>
      </c>
      <c r="C1296" s="516"/>
      <c r="D1296" s="514" t="s">
        <v>11533</v>
      </c>
      <c r="E1296" s="515">
        <v>2</v>
      </c>
      <c r="F1296" s="518" t="s">
        <v>11609</v>
      </c>
      <c r="G1296" s="515" t="s">
        <v>11525</v>
      </c>
      <c r="H1296" s="514"/>
      <c r="I1296" s="515"/>
      <c r="J1296" s="515"/>
    </row>
    <row r="1297" spans="1:10" ht="13.8" thickBot="1">
      <c r="A1297" s="517"/>
      <c r="B1297" s="518" t="s">
        <v>12302</v>
      </c>
      <c r="C1297" s="516"/>
      <c r="D1297" s="514" t="s">
        <v>12301</v>
      </c>
      <c r="E1297" s="515">
        <v>4.5</v>
      </c>
      <c r="F1297" s="518" t="s">
        <v>11609</v>
      </c>
      <c r="G1297" s="515" t="s">
        <v>4214</v>
      </c>
      <c r="H1297" s="514"/>
      <c r="I1297" s="515"/>
      <c r="J1297" s="515"/>
    </row>
    <row r="1298" spans="1:10" ht="13.8" thickBot="1">
      <c r="A1298" s="517"/>
      <c r="B1298" s="518" t="s">
        <v>14116</v>
      </c>
      <c r="C1298" s="516"/>
      <c r="D1298" s="514" t="s">
        <v>14115</v>
      </c>
      <c r="E1298" s="515">
        <v>5</v>
      </c>
      <c r="F1298" s="518" t="s">
        <v>11609</v>
      </c>
      <c r="G1298" s="515" t="s">
        <v>1793</v>
      </c>
      <c r="H1298" s="514"/>
      <c r="I1298" s="515"/>
      <c r="J1298" s="515"/>
    </row>
    <row r="1299" spans="1:10" ht="13.8" thickBot="1">
      <c r="A1299" s="517"/>
      <c r="B1299" s="518" t="s">
        <v>14032</v>
      </c>
      <c r="C1299" s="516"/>
      <c r="D1299" s="514" t="s">
        <v>13991</v>
      </c>
      <c r="E1299" s="515">
        <v>1</v>
      </c>
      <c r="F1299" s="518" t="s">
        <v>11609</v>
      </c>
      <c r="G1299" s="515" t="s">
        <v>1793</v>
      </c>
      <c r="H1299" s="514"/>
      <c r="I1299" s="515"/>
      <c r="J1299" s="515">
        <v>1</v>
      </c>
    </row>
    <row r="1300" spans="1:10" ht="13.8" thickBot="1">
      <c r="A1300" s="517"/>
      <c r="B1300" s="518" t="s">
        <v>11610</v>
      </c>
      <c r="C1300" s="516"/>
      <c r="D1300" s="514" t="s">
        <v>11533</v>
      </c>
      <c r="E1300" s="515">
        <v>5</v>
      </c>
      <c r="F1300" s="518" t="s">
        <v>11609</v>
      </c>
      <c r="G1300" s="515" t="s">
        <v>11525</v>
      </c>
      <c r="H1300" s="514"/>
      <c r="I1300" s="515"/>
      <c r="J1300" s="515"/>
    </row>
    <row r="1301" spans="1:10" ht="13.8" thickBot="1">
      <c r="A1301" s="517"/>
      <c r="B1301" s="518" t="s">
        <v>14039</v>
      </c>
      <c r="C1301" s="516"/>
      <c r="D1301" s="514" t="s">
        <v>1792</v>
      </c>
      <c r="E1301" s="515">
        <v>2</v>
      </c>
      <c r="F1301" s="518" t="s">
        <v>11609</v>
      </c>
      <c r="G1301" s="515" t="s">
        <v>1793</v>
      </c>
      <c r="H1301" s="514"/>
      <c r="I1301" s="515"/>
      <c r="J1301" s="515"/>
    </row>
    <row r="1302" spans="1:10" ht="13.8" thickBot="1">
      <c r="A1302" s="517"/>
      <c r="B1302" s="518" t="s">
        <v>11825</v>
      </c>
      <c r="C1302" s="516"/>
      <c r="D1302" s="514" t="s">
        <v>11824</v>
      </c>
      <c r="E1302" s="515">
        <v>5</v>
      </c>
      <c r="F1302" s="518" t="s">
        <v>11609</v>
      </c>
      <c r="G1302" s="515" t="s">
        <v>5319</v>
      </c>
      <c r="H1302" s="514"/>
      <c r="I1302" s="515"/>
      <c r="J1302" s="515"/>
    </row>
    <row r="1303" spans="1:10" ht="13.8" thickBot="1">
      <c r="A1303" s="517"/>
      <c r="B1303" s="518" t="s">
        <v>12550</v>
      </c>
      <c r="C1303" s="516"/>
      <c r="D1303" s="514" t="s">
        <v>1502</v>
      </c>
      <c r="E1303" s="515">
        <v>4</v>
      </c>
      <c r="F1303" s="518" t="s">
        <v>11609</v>
      </c>
      <c r="G1303" s="515" t="s">
        <v>3807</v>
      </c>
      <c r="H1303" s="514"/>
      <c r="I1303" s="515"/>
      <c r="J1303" s="515"/>
    </row>
    <row r="1304" spans="1:10" ht="13.8" thickBot="1">
      <c r="A1304" s="517"/>
      <c r="B1304" s="518" t="s">
        <v>11961</v>
      </c>
      <c r="C1304" s="516"/>
      <c r="D1304" s="514" t="s">
        <v>11960</v>
      </c>
      <c r="E1304" s="515">
        <v>6</v>
      </c>
      <c r="F1304" s="518" t="s">
        <v>614</v>
      </c>
      <c r="G1304" s="515" t="s">
        <v>5196</v>
      </c>
      <c r="H1304" s="514" t="s">
        <v>1226</v>
      </c>
      <c r="I1304" s="515"/>
      <c r="J1304" s="515">
        <v>4</v>
      </c>
    </row>
    <row r="1305" spans="1:10" ht="13.8" thickBot="1">
      <c r="A1305" s="517"/>
      <c r="B1305" s="518" t="s">
        <v>13864</v>
      </c>
      <c r="C1305" s="516"/>
      <c r="D1305" s="514" t="s">
        <v>13863</v>
      </c>
      <c r="E1305" s="515">
        <v>5</v>
      </c>
      <c r="F1305" s="518" t="s">
        <v>1854</v>
      </c>
      <c r="G1305" s="515" t="s">
        <v>2032</v>
      </c>
      <c r="H1305" s="514"/>
      <c r="I1305" s="515"/>
      <c r="J1305" s="515"/>
    </row>
    <row r="1306" spans="1:10" ht="13.8" thickBot="1">
      <c r="A1306" s="517"/>
      <c r="B1306" s="518" t="s">
        <v>11608</v>
      </c>
      <c r="C1306" s="516"/>
      <c r="D1306" s="514" t="s">
        <v>11533</v>
      </c>
      <c r="E1306" s="515">
        <v>5.5</v>
      </c>
      <c r="F1306" s="514"/>
      <c r="G1306" s="515" t="s">
        <v>11525</v>
      </c>
      <c r="H1306" s="514"/>
      <c r="I1306" s="515"/>
      <c r="J1306" s="515"/>
    </row>
    <row r="1307" spans="1:10" ht="13.8" thickBot="1">
      <c r="A1307" s="517"/>
      <c r="B1307" s="518" t="s">
        <v>14117</v>
      </c>
      <c r="C1307" s="516"/>
      <c r="D1307" s="514" t="s">
        <v>1792</v>
      </c>
      <c r="E1307" s="515">
        <v>5</v>
      </c>
      <c r="F1307" s="518" t="s">
        <v>1854</v>
      </c>
      <c r="G1307" s="515" t="s">
        <v>1793</v>
      </c>
      <c r="H1307" s="514"/>
      <c r="I1307" s="515"/>
      <c r="J1307" s="515"/>
    </row>
    <row r="1308" spans="1:10" ht="13.8" thickBot="1">
      <c r="A1308" s="517"/>
      <c r="B1308" s="518" t="s">
        <v>12616</v>
      </c>
      <c r="C1308" s="516"/>
      <c r="D1308" s="514" t="s">
        <v>12615</v>
      </c>
      <c r="E1308" s="515">
        <v>5</v>
      </c>
      <c r="F1308" s="518" t="s">
        <v>1854</v>
      </c>
      <c r="G1308" s="515" t="s">
        <v>3734</v>
      </c>
      <c r="H1308" s="514"/>
      <c r="I1308" s="515"/>
      <c r="J1308" s="515">
        <v>1</v>
      </c>
    </row>
    <row r="1309" spans="1:10" ht="13.8" thickBot="1">
      <c r="A1309" s="517"/>
      <c r="B1309" s="518" t="s">
        <v>12553</v>
      </c>
      <c r="C1309" s="516"/>
      <c r="D1309" s="514" t="s">
        <v>1502</v>
      </c>
      <c r="E1309" s="515">
        <v>5</v>
      </c>
      <c r="F1309" s="518" t="s">
        <v>1854</v>
      </c>
      <c r="G1309" s="515" t="s">
        <v>3807</v>
      </c>
      <c r="H1309" s="514"/>
      <c r="I1309" s="515"/>
      <c r="J1309" s="515"/>
    </row>
    <row r="1310" spans="1:10" ht="13.8" thickBot="1">
      <c r="A1310" s="517"/>
      <c r="B1310" s="518" t="s">
        <v>11977</v>
      </c>
      <c r="C1310" s="516"/>
      <c r="D1310" s="514" t="s">
        <v>5184</v>
      </c>
      <c r="E1310" s="515">
        <v>6</v>
      </c>
      <c r="F1310" s="518" t="s">
        <v>614</v>
      </c>
      <c r="G1310" s="515" t="s">
        <v>5180</v>
      </c>
      <c r="H1310" s="514"/>
      <c r="I1310" s="515"/>
      <c r="J1310" s="515">
        <v>1</v>
      </c>
    </row>
    <row r="1311" spans="1:10" ht="13.8" thickBot="1">
      <c r="A1311" s="517"/>
      <c r="B1311" s="518" t="s">
        <v>14040</v>
      </c>
      <c r="C1311" s="516"/>
      <c r="D1311" s="514" t="s">
        <v>1792</v>
      </c>
      <c r="E1311" s="515">
        <v>2</v>
      </c>
      <c r="F1311" s="518" t="s">
        <v>1854</v>
      </c>
      <c r="G1311" s="515" t="s">
        <v>1793</v>
      </c>
      <c r="H1311" s="514"/>
      <c r="I1311" s="515"/>
      <c r="J1311" s="515"/>
    </row>
    <row r="1312" spans="1:10" ht="13.8" thickBot="1">
      <c r="A1312" s="517"/>
      <c r="B1312" s="518" t="s">
        <v>14233</v>
      </c>
      <c r="C1312" s="516"/>
      <c r="D1312" s="514" t="s">
        <v>14232</v>
      </c>
      <c r="E1312" s="515">
        <v>6.5</v>
      </c>
      <c r="F1312" s="518" t="s">
        <v>1854</v>
      </c>
      <c r="G1312" s="515" t="s">
        <v>1793</v>
      </c>
      <c r="H1312" s="514" t="s">
        <v>1226</v>
      </c>
      <c r="I1312" s="515">
        <v>1</v>
      </c>
      <c r="J1312" s="515">
        <v>7</v>
      </c>
    </row>
    <row r="1313" spans="1:10" ht="13.8" thickBot="1">
      <c r="A1313" s="517"/>
      <c r="B1313" s="518" t="s">
        <v>11895</v>
      </c>
      <c r="C1313" s="516"/>
      <c r="D1313" s="514" t="s">
        <v>11894</v>
      </c>
      <c r="E1313" s="515">
        <v>7</v>
      </c>
      <c r="F1313" s="518" t="s">
        <v>1854</v>
      </c>
      <c r="G1313" s="515" t="s">
        <v>11891</v>
      </c>
      <c r="H1313" s="514" t="s">
        <v>1251</v>
      </c>
      <c r="I1313" s="515">
        <v>3</v>
      </c>
      <c r="J1313" s="515">
        <v>7</v>
      </c>
    </row>
    <row r="1314" spans="1:10" ht="13.8" thickBot="1">
      <c r="A1314" s="517"/>
      <c r="B1314" s="518" t="s">
        <v>12180</v>
      </c>
      <c r="C1314" s="516"/>
      <c r="D1314" s="514" t="s">
        <v>12179</v>
      </c>
      <c r="E1314" s="515">
        <v>6</v>
      </c>
      <c r="F1314" s="518" t="s">
        <v>614</v>
      </c>
      <c r="G1314" s="515" t="s">
        <v>4822</v>
      </c>
      <c r="H1314" s="514" t="s">
        <v>1226</v>
      </c>
      <c r="I1314" s="515">
        <v>1</v>
      </c>
      <c r="J1314" s="515">
        <v>4</v>
      </c>
    </row>
    <row r="1315" spans="1:10" ht="13.8" thickBot="1">
      <c r="A1315" s="517"/>
      <c r="B1315" s="518" t="s">
        <v>12205</v>
      </c>
      <c r="C1315" s="516"/>
      <c r="D1315" s="514" t="s">
        <v>12204</v>
      </c>
      <c r="E1315" s="515">
        <v>6</v>
      </c>
      <c r="F1315" s="518" t="s">
        <v>1854</v>
      </c>
      <c r="G1315" s="515" t="s">
        <v>4717</v>
      </c>
      <c r="H1315" s="514"/>
      <c r="I1315" s="515"/>
      <c r="J1315" s="515">
        <v>1</v>
      </c>
    </row>
    <row r="1316" spans="1:10" ht="13.8" thickBot="1">
      <c r="A1316" s="517"/>
      <c r="B1316" s="518" t="s">
        <v>12546</v>
      </c>
      <c r="C1316" s="516"/>
      <c r="D1316" s="514" t="s">
        <v>1502</v>
      </c>
      <c r="E1316" s="515">
        <v>3</v>
      </c>
      <c r="F1316" s="518" t="s">
        <v>1854</v>
      </c>
      <c r="G1316" s="515" t="s">
        <v>3807</v>
      </c>
      <c r="H1316" s="514"/>
      <c r="I1316" s="515"/>
      <c r="J1316" s="515"/>
    </row>
    <row r="1317" spans="1:10" ht="13.8" thickBot="1">
      <c r="A1317" s="517"/>
      <c r="B1317" s="518" t="s">
        <v>12229</v>
      </c>
      <c r="C1317" s="516"/>
      <c r="D1317" s="514" t="s">
        <v>12228</v>
      </c>
      <c r="E1317" s="515">
        <v>6</v>
      </c>
      <c r="F1317" s="518" t="s">
        <v>2223</v>
      </c>
      <c r="G1317" s="515" t="s">
        <v>4644</v>
      </c>
      <c r="H1317" s="514"/>
      <c r="I1317" s="515"/>
      <c r="J1317" s="515"/>
    </row>
    <row r="1318" spans="1:10" ht="13.8" thickBot="1">
      <c r="A1318" s="517"/>
      <c r="B1318" s="518" t="s">
        <v>12002</v>
      </c>
      <c r="C1318" s="516"/>
      <c r="D1318" s="514" t="s">
        <v>12001</v>
      </c>
      <c r="E1318" s="515">
        <v>8</v>
      </c>
      <c r="F1318" s="518" t="s">
        <v>2223</v>
      </c>
      <c r="G1318" s="515" t="s">
        <v>5155</v>
      </c>
      <c r="H1318" s="514"/>
      <c r="I1318" s="515"/>
      <c r="J1318" s="515"/>
    </row>
    <row r="1319" spans="1:10" ht="13.8" thickBot="1">
      <c r="A1319" s="517"/>
      <c r="B1319" s="518" t="s">
        <v>12250</v>
      </c>
      <c r="C1319" s="516"/>
      <c r="D1319" s="514" t="s">
        <v>12249</v>
      </c>
      <c r="E1319" s="515">
        <v>8</v>
      </c>
      <c r="F1319" s="518" t="s">
        <v>2223</v>
      </c>
      <c r="G1319" s="515" t="s">
        <v>4509</v>
      </c>
      <c r="H1319" s="514"/>
      <c r="I1319" s="515"/>
      <c r="J1319" s="515"/>
    </row>
    <row r="1320" spans="1:10" ht="13.8" thickBot="1">
      <c r="A1320" s="517"/>
      <c r="B1320" s="518" t="s">
        <v>11607</v>
      </c>
      <c r="C1320" s="516"/>
      <c r="D1320" s="514" t="s">
        <v>11533</v>
      </c>
      <c r="E1320" s="515"/>
      <c r="F1320" s="514"/>
      <c r="G1320" s="515" t="s">
        <v>11525</v>
      </c>
      <c r="H1320" s="514"/>
      <c r="I1320" s="515"/>
      <c r="J1320" s="515">
        <v>1</v>
      </c>
    </row>
    <row r="1321" spans="1:10" ht="13.8" thickBot="1">
      <c r="A1321" s="517"/>
      <c r="B1321" s="518" t="s">
        <v>13256</v>
      </c>
      <c r="C1321" s="516"/>
      <c r="D1321" s="514" t="s">
        <v>2537</v>
      </c>
      <c r="E1321" s="515"/>
      <c r="F1321" s="514"/>
      <c r="G1321" s="515" t="s">
        <v>2523</v>
      </c>
      <c r="H1321" s="514"/>
      <c r="I1321" s="515"/>
      <c r="J1321" s="515"/>
    </row>
    <row r="1322" spans="1:10" ht="13.8" thickBot="1">
      <c r="A1322" s="517"/>
      <c r="B1322" s="518" t="s">
        <v>11606</v>
      </c>
      <c r="C1322" s="516"/>
      <c r="D1322" s="514" t="s">
        <v>11533</v>
      </c>
      <c r="E1322" s="515"/>
      <c r="F1322" s="514"/>
      <c r="G1322" s="515" t="s">
        <v>11525</v>
      </c>
      <c r="H1322" s="514"/>
      <c r="I1322" s="515"/>
      <c r="J1322" s="515"/>
    </row>
    <row r="1323" spans="1:10" ht="13.8" thickBot="1">
      <c r="A1323" s="517"/>
      <c r="B1323" s="518" t="s">
        <v>12285</v>
      </c>
      <c r="C1323" s="516"/>
      <c r="D1323" s="514" t="s">
        <v>1617</v>
      </c>
      <c r="E1323" s="515"/>
      <c r="F1323" s="514"/>
      <c r="G1323" s="515" t="s">
        <v>4214</v>
      </c>
      <c r="H1323" s="514"/>
      <c r="I1323" s="515"/>
      <c r="J1323" s="515"/>
    </row>
    <row r="1324" spans="1:10" ht="13.8" thickBot="1">
      <c r="A1324" s="517"/>
      <c r="B1324" s="518" t="s">
        <v>11605</v>
      </c>
      <c r="C1324" s="516"/>
      <c r="D1324" s="514" t="s">
        <v>11533</v>
      </c>
      <c r="E1324" s="515"/>
      <c r="F1324" s="514"/>
      <c r="G1324" s="515" t="s">
        <v>11525</v>
      </c>
      <c r="H1324" s="514"/>
      <c r="I1324" s="515"/>
      <c r="J1324" s="515"/>
    </row>
    <row r="1325" spans="1:10" ht="13.8" thickBot="1">
      <c r="A1325" s="517"/>
      <c r="B1325" s="518" t="s">
        <v>11604</v>
      </c>
      <c r="C1325" s="516"/>
      <c r="D1325" s="514" t="s">
        <v>11533</v>
      </c>
      <c r="E1325" s="515"/>
      <c r="F1325" s="514"/>
      <c r="G1325" s="515" t="s">
        <v>11525</v>
      </c>
      <c r="H1325" s="514"/>
      <c r="I1325" s="515"/>
      <c r="J1325" s="515"/>
    </row>
    <row r="1326" spans="1:10" ht="13.8" thickBot="1">
      <c r="A1326" s="517"/>
      <c r="B1326" s="518" t="s">
        <v>11603</v>
      </c>
      <c r="C1326" s="516"/>
      <c r="D1326" s="514" t="s">
        <v>11533</v>
      </c>
      <c r="E1326" s="515"/>
      <c r="F1326" s="514"/>
      <c r="G1326" s="515" t="s">
        <v>11525</v>
      </c>
      <c r="H1326" s="514"/>
      <c r="I1326" s="515"/>
      <c r="J1326" s="515"/>
    </row>
    <row r="1327" spans="1:10" ht="13.8" thickBot="1">
      <c r="A1327" s="517"/>
      <c r="B1327" s="518" t="s">
        <v>14008</v>
      </c>
      <c r="C1327" s="516"/>
      <c r="D1327" s="514" t="s">
        <v>13991</v>
      </c>
      <c r="E1327" s="515">
        <v>1</v>
      </c>
      <c r="F1327" s="518" t="s">
        <v>1854</v>
      </c>
      <c r="G1327" s="515" t="s">
        <v>1793</v>
      </c>
      <c r="H1327" s="514"/>
      <c r="I1327" s="515"/>
      <c r="J1327" s="515"/>
    </row>
    <row r="1328" spans="1:10" ht="13.8" thickBot="1">
      <c r="A1328" s="517"/>
      <c r="B1328" s="518" t="s">
        <v>13767</v>
      </c>
      <c r="C1328" s="516"/>
      <c r="D1328" s="514" t="s">
        <v>2214</v>
      </c>
      <c r="E1328" s="515">
        <v>4.5</v>
      </c>
      <c r="F1328" s="518" t="s">
        <v>614</v>
      </c>
      <c r="G1328" s="515" t="s">
        <v>2152</v>
      </c>
      <c r="H1328" s="514" t="s">
        <v>1226</v>
      </c>
      <c r="I1328" s="515"/>
      <c r="J1328" s="515">
        <v>3</v>
      </c>
    </row>
    <row r="1329" spans="1:10" ht="13.8" thickBot="1">
      <c r="A1329" s="517"/>
      <c r="B1329" s="518" t="s">
        <v>14009</v>
      </c>
      <c r="C1329" s="516"/>
      <c r="D1329" s="514" t="s">
        <v>1792</v>
      </c>
      <c r="E1329" s="515">
        <v>1</v>
      </c>
      <c r="F1329" s="518" t="s">
        <v>1854</v>
      </c>
      <c r="G1329" s="515" t="s">
        <v>1793</v>
      </c>
      <c r="H1329" s="514"/>
      <c r="I1329" s="515"/>
      <c r="J1329" s="515"/>
    </row>
    <row r="1330" spans="1:10" ht="13.8" thickBot="1">
      <c r="A1330" s="517"/>
      <c r="B1330" s="518" t="s">
        <v>13306</v>
      </c>
      <c r="C1330" s="516"/>
      <c r="D1330" s="514" t="s">
        <v>1300</v>
      </c>
      <c r="E1330" s="515">
        <v>5</v>
      </c>
      <c r="F1330" s="518" t="s">
        <v>1854</v>
      </c>
      <c r="G1330" s="515" t="s">
        <v>2523</v>
      </c>
      <c r="H1330" s="514"/>
      <c r="I1330" s="515"/>
      <c r="J1330" s="515">
        <v>1</v>
      </c>
    </row>
    <row r="1331" spans="1:10" ht="13.8" thickBot="1">
      <c r="A1331" s="517"/>
      <c r="B1331" s="518" t="s">
        <v>14063</v>
      </c>
      <c r="C1331" s="516"/>
      <c r="D1331" s="514" t="s">
        <v>1792</v>
      </c>
      <c r="E1331" s="515">
        <v>2</v>
      </c>
      <c r="F1331" s="518" t="s">
        <v>1854</v>
      </c>
      <c r="G1331" s="515" t="s">
        <v>1793</v>
      </c>
      <c r="H1331" s="514"/>
      <c r="I1331" s="515"/>
      <c r="J1331" s="515">
        <v>1</v>
      </c>
    </row>
    <row r="1332" spans="1:10" ht="13.8" thickBot="1">
      <c r="A1332" s="517"/>
      <c r="B1332" s="518" t="s">
        <v>14103</v>
      </c>
      <c r="C1332" s="516"/>
      <c r="D1332" s="514" t="s">
        <v>1792</v>
      </c>
      <c r="E1332" s="515">
        <v>4</v>
      </c>
      <c r="F1332" s="518" t="s">
        <v>1854</v>
      </c>
      <c r="G1332" s="515" t="s">
        <v>1793</v>
      </c>
      <c r="H1332" s="514" t="s">
        <v>1224</v>
      </c>
      <c r="I1332" s="515"/>
      <c r="J1332" s="515">
        <v>1</v>
      </c>
    </row>
    <row r="1333" spans="1:10" ht="13.8" thickBot="1">
      <c r="A1333" s="517"/>
      <c r="B1333" s="518" t="s">
        <v>13305</v>
      </c>
      <c r="C1333" s="516"/>
      <c r="D1333" s="514" t="s">
        <v>1300</v>
      </c>
      <c r="E1333" s="515">
        <v>5</v>
      </c>
      <c r="F1333" s="518" t="s">
        <v>1854</v>
      </c>
      <c r="G1333" s="515" t="s">
        <v>2523</v>
      </c>
      <c r="H1333" s="514"/>
      <c r="I1333" s="515"/>
      <c r="J1333" s="515">
        <v>1</v>
      </c>
    </row>
    <row r="1334" spans="1:10" ht="13.8" thickBot="1">
      <c r="A1334" s="517"/>
      <c r="B1334" s="518" t="s">
        <v>13860</v>
      </c>
      <c r="C1334" s="516"/>
      <c r="D1334" s="514" t="s">
        <v>13858</v>
      </c>
      <c r="E1334" s="515">
        <v>4</v>
      </c>
      <c r="F1334" s="518" t="s">
        <v>1854</v>
      </c>
      <c r="G1334" s="515" t="s">
        <v>2032</v>
      </c>
      <c r="H1334" s="514" t="s">
        <v>1224</v>
      </c>
      <c r="I1334" s="515"/>
      <c r="J1334" s="515">
        <v>1</v>
      </c>
    </row>
    <row r="1335" spans="1:10" ht="13.8" thickBot="1">
      <c r="A1335" s="517"/>
      <c r="B1335" s="518" t="s">
        <v>12297</v>
      </c>
      <c r="C1335" s="516"/>
      <c r="D1335" s="514" t="s">
        <v>12296</v>
      </c>
      <c r="E1335" s="515">
        <v>4</v>
      </c>
      <c r="F1335" s="518" t="s">
        <v>1854</v>
      </c>
      <c r="G1335" s="515" t="s">
        <v>4214</v>
      </c>
      <c r="H1335" s="514"/>
      <c r="I1335" s="515"/>
      <c r="J1335" s="515">
        <v>1</v>
      </c>
    </row>
    <row r="1336" spans="1:10" ht="13.8" thickBot="1">
      <c r="A1336" s="517"/>
      <c r="B1336" s="518" t="s">
        <v>12008</v>
      </c>
      <c r="C1336" s="516"/>
      <c r="D1336" s="514" t="s">
        <v>12007</v>
      </c>
      <c r="E1336" s="515">
        <v>4</v>
      </c>
      <c r="F1336" s="518" t="s">
        <v>1854</v>
      </c>
      <c r="G1336" s="515" t="s">
        <v>5109</v>
      </c>
      <c r="H1336" s="514"/>
      <c r="I1336" s="515"/>
      <c r="J1336" s="515">
        <v>1</v>
      </c>
    </row>
    <row r="1337" spans="1:10" ht="13.8" thickBot="1">
      <c r="A1337" s="517"/>
      <c r="B1337" s="518" t="s">
        <v>13289</v>
      </c>
      <c r="C1337" s="516"/>
      <c r="D1337" s="514" t="s">
        <v>13288</v>
      </c>
      <c r="E1337" s="515">
        <v>4.75</v>
      </c>
      <c r="F1337" s="518" t="s">
        <v>1854</v>
      </c>
      <c r="G1337" s="515" t="s">
        <v>2523</v>
      </c>
      <c r="H1337" s="514" t="s">
        <v>1226</v>
      </c>
      <c r="I1337" s="515"/>
      <c r="J1337" s="515">
        <v>1</v>
      </c>
    </row>
    <row r="1338" spans="1:10" ht="13.8" thickBot="1">
      <c r="A1338" s="517"/>
      <c r="B1338" s="518" t="s">
        <v>12674</v>
      </c>
      <c r="C1338" s="516"/>
      <c r="D1338" s="514" t="s">
        <v>12673</v>
      </c>
      <c r="E1338" s="515">
        <v>5</v>
      </c>
      <c r="F1338" s="518" t="s">
        <v>1854</v>
      </c>
      <c r="G1338" s="515" t="s">
        <v>3652</v>
      </c>
      <c r="H1338" s="514"/>
      <c r="I1338" s="515"/>
      <c r="J1338" s="515">
        <v>1</v>
      </c>
    </row>
    <row r="1339" spans="1:10" ht="13.8" thickBot="1">
      <c r="A1339" s="517"/>
      <c r="B1339" s="518" t="s">
        <v>14034</v>
      </c>
      <c r="C1339" s="516"/>
      <c r="D1339" s="514" t="s">
        <v>1792</v>
      </c>
      <c r="E1339" s="515">
        <v>1</v>
      </c>
      <c r="F1339" s="518" t="s">
        <v>1854</v>
      </c>
      <c r="G1339" s="515" t="s">
        <v>1793</v>
      </c>
      <c r="H1339" s="514"/>
      <c r="I1339" s="515"/>
      <c r="J1339" s="515">
        <v>1</v>
      </c>
    </row>
    <row r="1340" spans="1:10" ht="13.8" thickBot="1">
      <c r="A1340" s="517"/>
      <c r="B1340" s="518" t="s">
        <v>13859</v>
      </c>
      <c r="C1340" s="516"/>
      <c r="D1340" s="514" t="s">
        <v>13858</v>
      </c>
      <c r="E1340" s="515">
        <v>4</v>
      </c>
      <c r="F1340" s="518" t="s">
        <v>1854</v>
      </c>
      <c r="G1340" s="515" t="s">
        <v>2032</v>
      </c>
      <c r="H1340" s="514" t="s">
        <v>1224</v>
      </c>
      <c r="I1340" s="515"/>
      <c r="J1340" s="515">
        <v>1</v>
      </c>
    </row>
    <row r="1341" spans="1:10" ht="13.8" thickBot="1">
      <c r="A1341" s="517"/>
      <c r="B1341" s="518" t="s">
        <v>13312</v>
      </c>
      <c r="C1341" s="516"/>
      <c r="D1341" s="514" t="s">
        <v>1300</v>
      </c>
      <c r="E1341" s="515">
        <v>5</v>
      </c>
      <c r="F1341" s="514"/>
      <c r="G1341" s="515" t="s">
        <v>2523</v>
      </c>
      <c r="H1341" s="514"/>
      <c r="I1341" s="515"/>
      <c r="J1341" s="515">
        <v>2</v>
      </c>
    </row>
    <row r="1342" spans="1:10" ht="13.8" thickBot="1">
      <c r="A1342" s="517"/>
      <c r="B1342" s="518" t="s">
        <v>13269</v>
      </c>
      <c r="C1342" s="516"/>
      <c r="D1342" s="514" t="s">
        <v>1304</v>
      </c>
      <c r="E1342" s="515">
        <v>4</v>
      </c>
      <c r="F1342" s="518" t="s">
        <v>1854</v>
      </c>
      <c r="G1342" s="515" t="s">
        <v>2523</v>
      </c>
      <c r="H1342" s="514"/>
      <c r="I1342" s="515"/>
      <c r="J1342" s="515">
        <v>1</v>
      </c>
    </row>
    <row r="1343" spans="1:10" ht="13.8" thickBot="1">
      <c r="A1343" s="517"/>
      <c r="B1343" s="518" t="s">
        <v>12547</v>
      </c>
      <c r="C1343" s="516"/>
      <c r="D1343" s="514" t="s">
        <v>1502</v>
      </c>
      <c r="E1343" s="515">
        <v>3</v>
      </c>
      <c r="F1343" s="518" t="s">
        <v>1854</v>
      </c>
      <c r="G1343" s="515" t="s">
        <v>3807</v>
      </c>
      <c r="H1343" s="514"/>
      <c r="I1343" s="515"/>
      <c r="J1343" s="515"/>
    </row>
    <row r="1344" spans="1:10" ht="13.8" thickBot="1">
      <c r="A1344" s="517"/>
      <c r="B1344" s="518" t="s">
        <v>12706</v>
      </c>
      <c r="C1344" s="516"/>
      <c r="D1344" s="514" t="s">
        <v>1452</v>
      </c>
      <c r="E1344" s="515">
        <v>2</v>
      </c>
      <c r="F1344" s="518" t="s">
        <v>1854</v>
      </c>
      <c r="G1344" s="515" t="s">
        <v>3517</v>
      </c>
      <c r="H1344" s="514"/>
      <c r="I1344" s="515"/>
      <c r="J1344" s="515"/>
    </row>
    <row r="1345" spans="1:10" ht="13.8" thickBot="1">
      <c r="A1345" s="517"/>
      <c r="B1345" s="518" t="s">
        <v>12996</v>
      </c>
      <c r="C1345" s="516"/>
      <c r="D1345" s="514" t="s">
        <v>12995</v>
      </c>
      <c r="E1345" s="515">
        <v>3</v>
      </c>
      <c r="F1345" s="518" t="s">
        <v>1854</v>
      </c>
      <c r="G1345" s="515" t="s">
        <v>2957</v>
      </c>
      <c r="H1345" s="514"/>
      <c r="I1345" s="515"/>
      <c r="J1345" s="515">
        <v>1</v>
      </c>
    </row>
    <row r="1346" spans="1:10" ht="13.8" thickBot="1">
      <c r="A1346" s="517"/>
      <c r="B1346" s="518" t="s">
        <v>14033</v>
      </c>
      <c r="C1346" s="516"/>
      <c r="D1346" s="514" t="s">
        <v>13991</v>
      </c>
      <c r="E1346" s="515">
        <v>1</v>
      </c>
      <c r="F1346" s="518" t="s">
        <v>1854</v>
      </c>
      <c r="G1346" s="515" t="s">
        <v>1793</v>
      </c>
      <c r="H1346" s="514"/>
      <c r="I1346" s="515"/>
      <c r="J1346" s="515">
        <v>1</v>
      </c>
    </row>
    <row r="1347" spans="1:10" ht="13.8" thickBot="1">
      <c r="A1347" s="517"/>
      <c r="B1347" s="518" t="s">
        <v>12295</v>
      </c>
      <c r="C1347" s="516"/>
      <c r="D1347" s="514" t="s">
        <v>12294</v>
      </c>
      <c r="E1347" s="515">
        <v>4</v>
      </c>
      <c r="F1347" s="518" t="s">
        <v>1854</v>
      </c>
      <c r="G1347" s="515" t="s">
        <v>4214</v>
      </c>
      <c r="H1347" s="514"/>
      <c r="I1347" s="515"/>
      <c r="J1347" s="515">
        <v>1</v>
      </c>
    </row>
    <row r="1348" spans="1:10" ht="13.8" thickBot="1">
      <c r="A1348" s="517"/>
      <c r="B1348" s="518" t="s">
        <v>13478</v>
      </c>
      <c r="C1348" s="516"/>
      <c r="D1348" s="514" t="s">
        <v>13477</v>
      </c>
      <c r="E1348" s="515">
        <v>6.5</v>
      </c>
      <c r="F1348" s="518" t="s">
        <v>614</v>
      </c>
      <c r="G1348" s="515" t="s">
        <v>2523</v>
      </c>
      <c r="H1348" s="514"/>
      <c r="I1348" s="515"/>
      <c r="J1348" s="515">
        <v>1</v>
      </c>
    </row>
    <row r="1349" spans="1:10" ht="13.8" thickBot="1">
      <c r="A1349" s="517"/>
      <c r="B1349" s="518" t="s">
        <v>13386</v>
      </c>
      <c r="C1349" s="516"/>
      <c r="D1349" s="514" t="s">
        <v>13385</v>
      </c>
      <c r="E1349" s="515">
        <v>5.75</v>
      </c>
      <c r="F1349" s="518" t="s">
        <v>1854</v>
      </c>
      <c r="G1349" s="515" t="s">
        <v>2523</v>
      </c>
      <c r="H1349" s="514"/>
      <c r="I1349" s="515">
        <v>1</v>
      </c>
      <c r="J1349" s="515">
        <v>2</v>
      </c>
    </row>
    <row r="1350" spans="1:10" ht="13.8" thickBot="1">
      <c r="A1350" s="517"/>
      <c r="B1350" s="518" t="s">
        <v>12614</v>
      </c>
      <c r="C1350" s="516"/>
      <c r="D1350" s="514" t="s">
        <v>12613</v>
      </c>
      <c r="E1350" s="515">
        <v>5</v>
      </c>
      <c r="F1350" s="518" t="s">
        <v>1854</v>
      </c>
      <c r="G1350" s="515" t="s">
        <v>3734</v>
      </c>
      <c r="H1350" s="514"/>
      <c r="I1350" s="515"/>
      <c r="J1350" s="515"/>
    </row>
    <row r="1351" spans="1:10" ht="13.8" thickBot="1">
      <c r="A1351" s="517"/>
      <c r="B1351" s="518" t="s">
        <v>12320</v>
      </c>
      <c r="C1351" s="516"/>
      <c r="D1351" s="514" t="s">
        <v>12319</v>
      </c>
      <c r="E1351" s="515">
        <v>6</v>
      </c>
      <c r="F1351" s="518" t="s">
        <v>614</v>
      </c>
      <c r="G1351" s="515" t="s">
        <v>4214</v>
      </c>
      <c r="H1351" s="514"/>
      <c r="I1351" s="515"/>
      <c r="J1351" s="515">
        <v>1</v>
      </c>
    </row>
    <row r="1352" spans="1:10" ht="13.8" thickBot="1">
      <c r="A1352" s="517"/>
      <c r="B1352" s="518" t="s">
        <v>12672</v>
      </c>
      <c r="C1352" s="516"/>
      <c r="D1352" s="520" t="s">
        <v>12671</v>
      </c>
      <c r="E1352" s="521">
        <v>5</v>
      </c>
      <c r="F1352" s="518" t="s">
        <v>1854</v>
      </c>
      <c r="G1352" s="515" t="s">
        <v>3652</v>
      </c>
      <c r="H1352" s="514"/>
      <c r="I1352" s="515"/>
      <c r="J1352" s="515">
        <v>1</v>
      </c>
    </row>
    <row r="1353" spans="1:10" ht="13.8" thickBot="1">
      <c r="A1353" s="517"/>
      <c r="B1353" s="518" t="s">
        <v>13266</v>
      </c>
      <c r="C1353" s="516"/>
      <c r="D1353" s="514" t="s">
        <v>13265</v>
      </c>
      <c r="E1353" s="515">
        <v>4</v>
      </c>
      <c r="F1353" s="518" t="s">
        <v>1854</v>
      </c>
      <c r="G1353" s="515" t="s">
        <v>2523</v>
      </c>
      <c r="H1353" s="514"/>
      <c r="I1353" s="515"/>
      <c r="J1353" s="515">
        <v>1</v>
      </c>
    </row>
    <row r="1354" spans="1:10" ht="13.8" thickBot="1">
      <c r="A1354" s="517"/>
      <c r="B1354" s="518" t="s">
        <v>12719</v>
      </c>
      <c r="C1354" s="516"/>
      <c r="D1354" s="514" t="s">
        <v>12718</v>
      </c>
      <c r="E1354" s="515">
        <v>4.5</v>
      </c>
      <c r="F1354" s="518" t="s">
        <v>614</v>
      </c>
      <c r="G1354" s="515" t="s">
        <v>3517</v>
      </c>
      <c r="H1354" s="514" t="s">
        <v>1224</v>
      </c>
      <c r="I1354" s="515"/>
      <c r="J1354" s="515">
        <v>2</v>
      </c>
    </row>
    <row r="1355" spans="1:10" ht="13.8" thickBot="1">
      <c r="A1355" s="517"/>
      <c r="B1355" s="518" t="s">
        <v>12556</v>
      </c>
      <c r="C1355" s="516"/>
      <c r="D1355" s="514" t="s">
        <v>1502</v>
      </c>
      <c r="E1355" s="515">
        <v>5</v>
      </c>
      <c r="F1355" s="514"/>
      <c r="G1355" s="515" t="s">
        <v>3807</v>
      </c>
      <c r="H1355" s="514"/>
      <c r="I1355" s="515"/>
      <c r="J1355" s="515">
        <v>1</v>
      </c>
    </row>
    <row r="1356" spans="1:10" ht="13.8" thickBot="1">
      <c r="A1356" s="517"/>
      <c r="B1356" s="518" t="s">
        <v>14149</v>
      </c>
      <c r="C1356" s="516"/>
      <c r="D1356" s="514" t="s">
        <v>14148</v>
      </c>
      <c r="E1356" s="515">
        <v>5</v>
      </c>
      <c r="F1356" s="518" t="s">
        <v>614</v>
      </c>
      <c r="G1356" s="515" t="s">
        <v>1793</v>
      </c>
      <c r="H1356" s="514" t="s">
        <v>1224</v>
      </c>
      <c r="I1356" s="515"/>
      <c r="J1356" s="515">
        <v>4</v>
      </c>
    </row>
    <row r="1357" spans="1:10" ht="13.8" thickBot="1">
      <c r="A1357" s="517"/>
      <c r="B1357" s="518" t="s">
        <v>12278</v>
      </c>
      <c r="C1357" s="516"/>
      <c r="D1357" s="514" t="s">
        <v>12277</v>
      </c>
      <c r="E1357" s="515">
        <v>6.4</v>
      </c>
      <c r="F1357" s="518" t="s">
        <v>614</v>
      </c>
      <c r="G1357" s="515" t="s">
        <v>4354</v>
      </c>
      <c r="H1357" s="514" t="s">
        <v>1251</v>
      </c>
      <c r="I1357" s="515">
        <v>4</v>
      </c>
      <c r="J1357" s="515">
        <v>8</v>
      </c>
    </row>
    <row r="1358" spans="1:10" ht="13.8" thickBot="1">
      <c r="A1358" s="517"/>
      <c r="B1358" s="518" t="s">
        <v>12484</v>
      </c>
      <c r="C1358" s="516"/>
      <c r="D1358" s="514" t="s">
        <v>12483</v>
      </c>
      <c r="E1358" s="515">
        <v>6.7</v>
      </c>
      <c r="F1358" s="518" t="s">
        <v>614</v>
      </c>
      <c r="G1358" s="515" t="s">
        <v>3932</v>
      </c>
      <c r="H1358" s="514"/>
      <c r="I1358" s="515">
        <v>5</v>
      </c>
      <c r="J1358" s="515">
        <v>9</v>
      </c>
    </row>
    <row r="1359" spans="1:10" ht="13.8" thickBot="1">
      <c r="A1359" s="517"/>
      <c r="B1359" s="518" t="s">
        <v>12117</v>
      </c>
      <c r="C1359" s="516"/>
      <c r="D1359" s="514" t="s">
        <v>12116</v>
      </c>
      <c r="E1359" s="515">
        <v>5</v>
      </c>
      <c r="F1359" s="518" t="s">
        <v>1854</v>
      </c>
      <c r="G1359" s="515" t="s">
        <v>4970</v>
      </c>
      <c r="H1359" s="514" t="s">
        <v>1224</v>
      </c>
      <c r="I1359" s="515"/>
      <c r="J1359" s="515">
        <v>1</v>
      </c>
    </row>
    <row r="1360" spans="1:10" ht="13.8" thickBot="1">
      <c r="A1360" s="517"/>
      <c r="B1360" s="518" t="s">
        <v>12437</v>
      </c>
      <c r="C1360" s="516"/>
      <c r="D1360" s="514" t="s">
        <v>1537</v>
      </c>
      <c r="E1360" s="515">
        <v>5.5</v>
      </c>
      <c r="F1360" s="518" t="s">
        <v>1854</v>
      </c>
      <c r="G1360" s="515" t="s">
        <v>4067</v>
      </c>
      <c r="H1360" s="514"/>
      <c r="I1360" s="515"/>
      <c r="J1360" s="515">
        <v>1</v>
      </c>
    </row>
    <row r="1361" spans="1:10" ht="13.8" thickBot="1">
      <c r="A1361" s="517"/>
      <c r="B1361" s="518" t="s">
        <v>13304</v>
      </c>
      <c r="C1361" s="516"/>
      <c r="D1361" s="514" t="s">
        <v>1300</v>
      </c>
      <c r="E1361" s="515">
        <v>5</v>
      </c>
      <c r="F1361" s="518" t="s">
        <v>1854</v>
      </c>
      <c r="G1361" s="515" t="s">
        <v>2523</v>
      </c>
      <c r="H1361" s="514"/>
      <c r="I1361" s="515"/>
      <c r="J1361" s="515">
        <v>1</v>
      </c>
    </row>
    <row r="1362" spans="1:10" ht="13.8" thickBot="1">
      <c r="A1362" s="517"/>
      <c r="B1362" s="518" t="s">
        <v>13902</v>
      </c>
      <c r="C1362" s="516"/>
      <c r="D1362" s="514" t="s">
        <v>13901</v>
      </c>
      <c r="E1362" s="515">
        <v>6.25</v>
      </c>
      <c r="F1362" s="518" t="s">
        <v>1854</v>
      </c>
      <c r="G1362" s="515" t="s">
        <v>2032</v>
      </c>
      <c r="H1362" s="514"/>
      <c r="I1362" s="515"/>
      <c r="J1362" s="515">
        <v>1</v>
      </c>
    </row>
    <row r="1363" spans="1:10" ht="13.8" thickBot="1">
      <c r="A1363" s="517"/>
      <c r="B1363" s="518" t="s">
        <v>12305</v>
      </c>
      <c r="C1363" s="516"/>
      <c r="D1363" s="514" t="s">
        <v>1607</v>
      </c>
      <c r="E1363" s="515">
        <v>5</v>
      </c>
      <c r="F1363" s="518" t="s">
        <v>1854</v>
      </c>
      <c r="G1363" s="515" t="s">
        <v>4214</v>
      </c>
      <c r="H1363" s="514"/>
      <c r="I1363" s="515"/>
      <c r="J1363" s="515"/>
    </row>
    <row r="1364" spans="1:10" ht="13.8" thickBot="1">
      <c r="A1364" s="517"/>
      <c r="B1364" s="518" t="s">
        <v>12595</v>
      </c>
      <c r="C1364" s="516"/>
      <c r="D1364" s="514" t="s">
        <v>1502</v>
      </c>
      <c r="E1364" s="515">
        <v>7</v>
      </c>
      <c r="F1364" s="518" t="s">
        <v>1854</v>
      </c>
      <c r="G1364" s="515" t="s">
        <v>3807</v>
      </c>
      <c r="H1364" s="514"/>
      <c r="I1364" s="515">
        <v>2</v>
      </c>
      <c r="J1364" s="515">
        <v>2</v>
      </c>
    </row>
    <row r="1365" spans="1:10" ht="13.8" thickBot="1">
      <c r="A1365" s="517"/>
      <c r="B1365" s="518" t="s">
        <v>12318</v>
      </c>
      <c r="C1365" s="516"/>
      <c r="D1365" s="514" t="s">
        <v>12317</v>
      </c>
      <c r="E1365" s="515">
        <v>5.75</v>
      </c>
      <c r="F1365" s="518" t="s">
        <v>1854</v>
      </c>
      <c r="G1365" s="515" t="s">
        <v>4214</v>
      </c>
      <c r="H1365" s="514"/>
      <c r="I1365" s="515">
        <v>1</v>
      </c>
      <c r="J1365" s="515">
        <v>2</v>
      </c>
    </row>
    <row r="1366" spans="1:10" ht="13.8" thickBot="1">
      <c r="A1366" s="517"/>
      <c r="B1366" s="518" t="s">
        <v>12989</v>
      </c>
      <c r="C1366" s="516"/>
      <c r="D1366" s="514" t="s">
        <v>1554</v>
      </c>
      <c r="E1366" s="515">
        <v>1</v>
      </c>
      <c r="F1366" s="518" t="s">
        <v>1854</v>
      </c>
      <c r="G1366" s="515" t="s">
        <v>2957</v>
      </c>
      <c r="H1366" s="514"/>
      <c r="I1366" s="515"/>
      <c r="J1366" s="515">
        <v>1</v>
      </c>
    </row>
    <row r="1367" spans="1:10" ht="13.8" thickBot="1">
      <c r="A1367" s="517"/>
      <c r="B1367" s="518" t="s">
        <v>11602</v>
      </c>
      <c r="C1367" s="516"/>
      <c r="D1367" s="514" t="s">
        <v>11533</v>
      </c>
      <c r="E1367" s="515">
        <v>5</v>
      </c>
      <c r="F1367" s="518" t="s">
        <v>1854</v>
      </c>
      <c r="G1367" s="515" t="s">
        <v>11525</v>
      </c>
      <c r="H1367" s="514"/>
      <c r="I1367" s="515"/>
      <c r="J1367" s="515">
        <v>1</v>
      </c>
    </row>
    <row r="1368" spans="1:10" ht="13.8" thickBot="1">
      <c r="A1368" s="517"/>
      <c r="B1368" s="518" t="s">
        <v>12461</v>
      </c>
      <c r="C1368" s="516"/>
      <c r="D1368" s="514" t="s">
        <v>1525</v>
      </c>
      <c r="E1368" s="515">
        <v>5</v>
      </c>
      <c r="F1368" s="518" t="s">
        <v>1854</v>
      </c>
      <c r="G1368" s="515" t="s">
        <v>3996</v>
      </c>
      <c r="H1368" s="514"/>
      <c r="I1368" s="515"/>
      <c r="J1368" s="515"/>
    </row>
    <row r="1369" spans="1:10" ht="13.8" thickBot="1">
      <c r="A1369" s="517"/>
      <c r="B1369" s="518" t="s">
        <v>13298</v>
      </c>
      <c r="C1369" s="516"/>
      <c r="D1369" s="514" t="s">
        <v>1300</v>
      </c>
      <c r="E1369" s="515">
        <v>5</v>
      </c>
      <c r="F1369" s="518" t="s">
        <v>1854</v>
      </c>
      <c r="G1369" s="515" t="s">
        <v>2523</v>
      </c>
      <c r="H1369" s="514"/>
      <c r="I1369" s="515"/>
      <c r="J1369" s="515"/>
    </row>
    <row r="1370" spans="1:10" ht="13.8" thickBot="1">
      <c r="A1370" s="517"/>
      <c r="B1370" s="518" t="s">
        <v>14158</v>
      </c>
      <c r="C1370" s="516"/>
      <c r="D1370" s="514" t="s">
        <v>1899</v>
      </c>
      <c r="E1370" s="515">
        <v>5.25</v>
      </c>
      <c r="F1370" s="518" t="s">
        <v>1854</v>
      </c>
      <c r="G1370" s="515" t="s">
        <v>1793</v>
      </c>
      <c r="H1370" s="514"/>
      <c r="I1370" s="515"/>
      <c r="J1370" s="515">
        <v>2</v>
      </c>
    </row>
    <row r="1371" spans="1:10" ht="13.8" thickBot="1">
      <c r="A1371" s="517"/>
      <c r="B1371" s="518" t="s">
        <v>12560</v>
      </c>
      <c r="C1371" s="516"/>
      <c r="D1371" s="514" t="s">
        <v>12559</v>
      </c>
      <c r="E1371" s="515">
        <v>5</v>
      </c>
      <c r="F1371" s="518" t="s">
        <v>1854</v>
      </c>
      <c r="G1371" s="515" t="s">
        <v>3807</v>
      </c>
      <c r="H1371" s="514" t="s">
        <v>1224</v>
      </c>
      <c r="I1371" s="515"/>
      <c r="J1371" s="515">
        <v>1</v>
      </c>
    </row>
    <row r="1372" spans="1:10" ht="13.8" thickBot="1">
      <c r="A1372" s="517"/>
      <c r="B1372" s="518" t="s">
        <v>13091</v>
      </c>
      <c r="C1372" s="516"/>
      <c r="D1372" s="514" t="s">
        <v>3066</v>
      </c>
      <c r="E1372" s="515">
        <v>6</v>
      </c>
      <c r="F1372" s="518" t="s">
        <v>614</v>
      </c>
      <c r="G1372" s="515" t="s">
        <v>2957</v>
      </c>
      <c r="H1372" s="514" t="s">
        <v>2067</v>
      </c>
      <c r="I1372" s="515">
        <v>1</v>
      </c>
      <c r="J1372" s="515">
        <v>6</v>
      </c>
    </row>
    <row r="1373" spans="1:10" ht="13.8" thickBot="1">
      <c r="A1373" s="517"/>
      <c r="B1373" s="518" t="s">
        <v>12731</v>
      </c>
      <c r="C1373" s="516"/>
      <c r="D1373" s="514" t="s">
        <v>12730</v>
      </c>
      <c r="E1373" s="515">
        <v>5</v>
      </c>
      <c r="F1373" s="518" t="s">
        <v>1854</v>
      </c>
      <c r="G1373" s="515" t="s">
        <v>3517</v>
      </c>
      <c r="H1373" s="514" t="s">
        <v>1224</v>
      </c>
      <c r="I1373" s="515"/>
      <c r="J1373" s="515">
        <v>1</v>
      </c>
    </row>
    <row r="1374" spans="1:10" ht="13.8" thickBot="1">
      <c r="A1374" s="517"/>
      <c r="B1374" s="518" t="s">
        <v>13641</v>
      </c>
      <c r="C1374" s="516"/>
      <c r="D1374" s="514" t="s">
        <v>13640</v>
      </c>
      <c r="E1374" s="515">
        <v>5.5</v>
      </c>
      <c r="F1374" s="518" t="s">
        <v>614</v>
      </c>
      <c r="G1374" s="515" t="s">
        <v>2289</v>
      </c>
      <c r="H1374" s="514" t="s">
        <v>1226</v>
      </c>
      <c r="I1374" s="515"/>
      <c r="J1374" s="515">
        <v>1</v>
      </c>
    </row>
    <row r="1375" spans="1:10" ht="13.8" thickBot="1">
      <c r="A1375" s="517"/>
      <c r="B1375" s="518" t="s">
        <v>12663</v>
      </c>
      <c r="C1375" s="516"/>
      <c r="D1375" s="514" t="s">
        <v>12662</v>
      </c>
      <c r="E1375" s="515">
        <v>7</v>
      </c>
      <c r="F1375" s="518" t="s">
        <v>614</v>
      </c>
      <c r="G1375" s="515" t="s">
        <v>3724</v>
      </c>
      <c r="H1375" s="514" t="s">
        <v>1226</v>
      </c>
      <c r="I1375" s="515">
        <v>2</v>
      </c>
      <c r="J1375" s="515">
        <v>6</v>
      </c>
    </row>
    <row r="1376" spans="1:10" ht="13.8" thickBot="1">
      <c r="A1376" s="517"/>
      <c r="B1376" s="518" t="s">
        <v>14089</v>
      </c>
      <c r="C1376" s="516"/>
      <c r="D1376" s="514" t="s">
        <v>1874</v>
      </c>
      <c r="E1376" s="515">
        <v>3</v>
      </c>
      <c r="F1376" s="518" t="s">
        <v>1854</v>
      </c>
      <c r="G1376" s="515" t="s">
        <v>1793</v>
      </c>
      <c r="H1376" s="514"/>
      <c r="I1376" s="515"/>
      <c r="J1376" s="515">
        <v>2</v>
      </c>
    </row>
    <row r="1377" spans="1:10" ht="13.8" thickBot="1">
      <c r="A1377" s="517"/>
      <c r="B1377" s="518" t="s">
        <v>13268</v>
      </c>
      <c r="C1377" s="516"/>
      <c r="D1377" s="514" t="s">
        <v>2537</v>
      </c>
      <c r="E1377" s="515">
        <v>4</v>
      </c>
      <c r="F1377" s="518" t="s">
        <v>1854</v>
      </c>
      <c r="G1377" s="515" t="s">
        <v>2523</v>
      </c>
      <c r="H1377" s="514"/>
      <c r="I1377" s="515"/>
      <c r="J1377" s="515">
        <v>1</v>
      </c>
    </row>
    <row r="1378" spans="1:10" ht="13.8" thickBot="1">
      <c r="A1378" s="517"/>
      <c r="B1378" s="518" t="s">
        <v>13003</v>
      </c>
      <c r="C1378" s="516"/>
      <c r="D1378" s="519" t="s">
        <v>3057</v>
      </c>
      <c r="E1378" s="515">
        <v>3.5</v>
      </c>
      <c r="F1378" s="518" t="s">
        <v>1854</v>
      </c>
      <c r="G1378" s="515" t="s">
        <v>2957</v>
      </c>
      <c r="H1378" s="514" t="s">
        <v>1224</v>
      </c>
      <c r="I1378" s="515"/>
      <c r="J1378" s="515">
        <v>2</v>
      </c>
    </row>
    <row r="1379" spans="1:10" ht="13.8" thickBot="1">
      <c r="A1379" s="517"/>
      <c r="B1379" s="518" t="s">
        <v>13160</v>
      </c>
      <c r="C1379" s="516"/>
      <c r="D1379" s="514" t="s">
        <v>13159</v>
      </c>
      <c r="E1379" s="515">
        <v>7.25</v>
      </c>
      <c r="F1379" s="518" t="s">
        <v>1854</v>
      </c>
      <c r="G1379" s="515" t="s">
        <v>2957</v>
      </c>
      <c r="H1379" s="514" t="s">
        <v>1226</v>
      </c>
      <c r="I1379" s="515">
        <v>1</v>
      </c>
      <c r="J1379" s="515">
        <v>4</v>
      </c>
    </row>
    <row r="1380" spans="1:10" ht="13.8" thickBot="1">
      <c r="A1380" s="517"/>
      <c r="B1380" s="518" t="s">
        <v>11908</v>
      </c>
      <c r="C1380" s="516"/>
      <c r="D1380" s="514" t="s">
        <v>11907</v>
      </c>
      <c r="E1380" s="515">
        <v>6.75</v>
      </c>
      <c r="F1380" s="518" t="s">
        <v>614</v>
      </c>
      <c r="G1380" s="515" t="s">
        <v>5245</v>
      </c>
      <c r="H1380" s="514" t="s">
        <v>1226</v>
      </c>
      <c r="I1380" s="515"/>
      <c r="J1380" s="515">
        <v>3</v>
      </c>
    </row>
    <row r="1381" spans="1:10" ht="13.8" thickBot="1">
      <c r="A1381" s="517"/>
      <c r="B1381" s="518" t="s">
        <v>14105</v>
      </c>
      <c r="C1381" s="516"/>
      <c r="D1381" s="514" t="s">
        <v>1792</v>
      </c>
      <c r="E1381" s="515">
        <v>4</v>
      </c>
      <c r="F1381" s="514"/>
      <c r="G1381" s="515" t="s">
        <v>1793</v>
      </c>
      <c r="H1381" s="514" t="s">
        <v>1226</v>
      </c>
      <c r="I1381" s="515"/>
      <c r="J1381" s="515">
        <v>1</v>
      </c>
    </row>
    <row r="1382" spans="1:10" ht="13.8" thickBot="1">
      <c r="A1382" s="517"/>
      <c r="B1382" s="518" t="s">
        <v>12510</v>
      </c>
      <c r="C1382" s="516"/>
      <c r="D1382" s="514" t="s">
        <v>12509</v>
      </c>
      <c r="E1382" s="515">
        <v>5.5</v>
      </c>
      <c r="F1382" s="518" t="s">
        <v>151</v>
      </c>
      <c r="G1382" s="515" t="s">
        <v>3856</v>
      </c>
      <c r="H1382" s="514" t="s">
        <v>1224</v>
      </c>
      <c r="I1382" s="515"/>
      <c r="J1382" s="515">
        <v>4</v>
      </c>
    </row>
    <row r="1383" spans="1:10" ht="13.8" thickBot="1">
      <c r="A1383" s="517"/>
      <c r="B1383" s="518" t="s">
        <v>12534</v>
      </c>
      <c r="C1383" s="516"/>
      <c r="D1383" s="514" t="s">
        <v>12533</v>
      </c>
      <c r="E1383" s="515">
        <v>6.75</v>
      </c>
      <c r="F1383" s="518" t="s">
        <v>614</v>
      </c>
      <c r="G1383" s="515" t="s">
        <v>3856</v>
      </c>
      <c r="H1383" s="514" t="s">
        <v>1226</v>
      </c>
      <c r="I1383" s="515"/>
      <c r="J1383" s="515">
        <v>5</v>
      </c>
    </row>
    <row r="1384" spans="1:10" ht="13.8" thickBot="1">
      <c r="A1384" s="517"/>
      <c r="B1384" s="518" t="s">
        <v>11601</v>
      </c>
      <c r="C1384" s="516"/>
      <c r="D1384" s="514" t="s">
        <v>11600</v>
      </c>
      <c r="E1384" s="515">
        <v>8</v>
      </c>
      <c r="F1384" s="514"/>
      <c r="G1384" s="515" t="s">
        <v>11525</v>
      </c>
      <c r="H1384" s="514"/>
      <c r="I1384" s="515"/>
      <c r="J1384" s="515"/>
    </row>
    <row r="1385" spans="1:10" ht="13.8" thickBot="1">
      <c r="A1385" s="517"/>
      <c r="B1385" s="518" t="s">
        <v>13290</v>
      </c>
      <c r="C1385" s="516"/>
      <c r="D1385" s="514" t="s">
        <v>1300</v>
      </c>
      <c r="E1385" s="515">
        <v>5</v>
      </c>
      <c r="F1385" s="514"/>
      <c r="G1385" s="515" t="s">
        <v>2523</v>
      </c>
      <c r="H1385" s="514"/>
      <c r="I1385" s="515"/>
      <c r="J1385" s="515"/>
    </row>
    <row r="1386" spans="1:10" ht="13.8" thickBot="1">
      <c r="A1386" s="517"/>
      <c r="B1386" s="518" t="s">
        <v>14180</v>
      </c>
      <c r="C1386" s="516"/>
      <c r="D1386" s="514" t="s">
        <v>14179</v>
      </c>
      <c r="E1386" s="515">
        <v>6</v>
      </c>
      <c r="F1386" s="514"/>
      <c r="G1386" s="515" t="s">
        <v>1793</v>
      </c>
      <c r="H1386" s="514"/>
      <c r="I1386" s="515"/>
      <c r="J1386" s="515"/>
    </row>
    <row r="1387" spans="1:10" ht="13.8" thickBot="1">
      <c r="A1387" s="517"/>
      <c r="B1387" s="518" t="s">
        <v>14114</v>
      </c>
      <c r="C1387" s="516"/>
      <c r="D1387" s="514" t="s">
        <v>14113</v>
      </c>
      <c r="E1387" s="515">
        <v>5</v>
      </c>
      <c r="F1387" s="514"/>
      <c r="G1387" s="515" t="s">
        <v>1793</v>
      </c>
      <c r="H1387" s="514"/>
      <c r="I1387" s="515"/>
      <c r="J1387" s="515"/>
    </row>
    <row r="1388" spans="1:10" ht="13.8" thickBot="1">
      <c r="A1388" s="517"/>
      <c r="B1388" s="518" t="s">
        <v>13855</v>
      </c>
      <c r="C1388" s="516"/>
      <c r="D1388" s="514" t="s">
        <v>13854</v>
      </c>
      <c r="E1388" s="515">
        <v>4</v>
      </c>
      <c r="F1388" s="514"/>
      <c r="G1388" s="515" t="s">
        <v>2032</v>
      </c>
      <c r="H1388" s="514"/>
      <c r="I1388" s="515"/>
      <c r="J1388" s="515"/>
    </row>
    <row r="1389" spans="1:10" ht="13.8" thickBot="1">
      <c r="A1389" s="517"/>
      <c r="B1389" s="518" t="s">
        <v>13004</v>
      </c>
      <c r="C1389" s="516"/>
      <c r="D1389" s="514" t="s">
        <v>1552</v>
      </c>
      <c r="E1389" s="515">
        <v>4</v>
      </c>
      <c r="F1389" s="514"/>
      <c r="G1389" s="515" t="s">
        <v>2957</v>
      </c>
      <c r="H1389" s="514"/>
      <c r="I1389" s="515"/>
      <c r="J1389" s="515"/>
    </row>
    <row r="1390" spans="1:10" ht="13.8" thickBot="1">
      <c r="A1390" s="517"/>
      <c r="B1390" s="518" t="s">
        <v>13335</v>
      </c>
      <c r="C1390" s="516"/>
      <c r="D1390" s="514" t="s">
        <v>2537</v>
      </c>
      <c r="E1390" s="515">
        <v>5.25</v>
      </c>
      <c r="F1390" s="514"/>
      <c r="G1390" s="515" t="s">
        <v>2523</v>
      </c>
      <c r="H1390" s="514"/>
      <c r="I1390" s="515"/>
      <c r="J1390" s="515"/>
    </row>
    <row r="1391" spans="1:10" ht="13.8" thickBot="1">
      <c r="A1391" s="517"/>
      <c r="B1391" s="518" t="s">
        <v>13278</v>
      </c>
      <c r="C1391" s="516"/>
      <c r="D1391" s="514" t="s">
        <v>1300</v>
      </c>
      <c r="E1391" s="515">
        <v>4.5</v>
      </c>
      <c r="F1391" s="514"/>
      <c r="G1391" s="515" t="s">
        <v>2523</v>
      </c>
      <c r="H1391" s="514"/>
      <c r="I1391" s="515"/>
      <c r="J1391" s="515"/>
    </row>
    <row r="1392" spans="1:10" ht="13.8" thickBot="1">
      <c r="A1392" s="517"/>
      <c r="B1392" s="518" t="s">
        <v>12838</v>
      </c>
      <c r="C1392" s="516"/>
      <c r="D1392" s="514" t="s">
        <v>1452</v>
      </c>
      <c r="E1392" s="515">
        <v>8</v>
      </c>
      <c r="F1392" s="514"/>
      <c r="G1392" s="515" t="s">
        <v>3517</v>
      </c>
      <c r="H1392" s="514"/>
      <c r="I1392" s="515">
        <v>1</v>
      </c>
      <c r="J1392" s="515">
        <v>2</v>
      </c>
    </row>
    <row r="1393" spans="1:10" ht="13.8" thickBot="1">
      <c r="A1393" s="517"/>
      <c r="B1393" s="518" t="s">
        <v>12701</v>
      </c>
      <c r="C1393" s="516"/>
      <c r="D1393" s="514" t="s">
        <v>3534</v>
      </c>
      <c r="E1393" s="515"/>
      <c r="F1393" s="514"/>
      <c r="G1393" s="515" t="s">
        <v>3517</v>
      </c>
      <c r="H1393" s="514"/>
      <c r="I1393" s="515"/>
      <c r="J1393" s="515"/>
    </row>
    <row r="1394" spans="1:10" ht="13.8" thickBot="1">
      <c r="A1394" s="517"/>
      <c r="B1394" s="518" t="s">
        <v>13255</v>
      </c>
      <c r="C1394" s="516"/>
      <c r="D1394" s="514" t="s">
        <v>1300</v>
      </c>
      <c r="E1394" s="515"/>
      <c r="F1394" s="514"/>
      <c r="G1394" s="515" t="s">
        <v>2523</v>
      </c>
      <c r="H1394" s="514"/>
      <c r="I1394" s="515"/>
      <c r="J1394" s="515"/>
    </row>
    <row r="1395" spans="1:10" ht="13.8" thickBot="1">
      <c r="A1395" s="517"/>
      <c r="B1395" s="518" t="s">
        <v>13986</v>
      </c>
      <c r="C1395" s="516"/>
      <c r="D1395" s="514" t="s">
        <v>1792</v>
      </c>
      <c r="E1395" s="515"/>
      <c r="F1395" s="514"/>
      <c r="G1395" s="515" t="s">
        <v>1793</v>
      </c>
      <c r="H1395" s="514"/>
      <c r="I1395" s="515"/>
      <c r="J1395" s="515"/>
    </row>
    <row r="1396" spans="1:10" ht="13.8" thickBot="1">
      <c r="A1396" s="517"/>
      <c r="B1396" s="518" t="s">
        <v>12700</v>
      </c>
      <c r="C1396" s="516"/>
      <c r="D1396" s="514" t="s">
        <v>1452</v>
      </c>
      <c r="E1396" s="515"/>
      <c r="F1396" s="514"/>
      <c r="G1396" s="515" t="s">
        <v>3517</v>
      </c>
      <c r="H1396" s="514"/>
      <c r="I1396" s="515"/>
      <c r="J1396" s="515"/>
    </row>
    <row r="1397" spans="1:10" ht="13.8" thickBot="1">
      <c r="A1397" s="517"/>
      <c r="B1397" s="518" t="s">
        <v>12987</v>
      </c>
      <c r="C1397" s="516"/>
      <c r="D1397" s="514" t="s">
        <v>1554</v>
      </c>
      <c r="E1397" s="529">
        <v>1</v>
      </c>
      <c r="F1397" s="514"/>
      <c r="G1397" s="515" t="s">
        <v>2957</v>
      </c>
      <c r="H1397" s="514"/>
      <c r="I1397" s="529"/>
      <c r="J1397" s="529"/>
    </row>
    <row r="1398" spans="1:10" ht="13.8" thickBot="1">
      <c r="A1398" s="517"/>
      <c r="B1398" s="518" t="s">
        <v>11599</v>
      </c>
      <c r="C1398" s="516"/>
      <c r="D1398" s="514" t="s">
        <v>11533</v>
      </c>
      <c r="E1398" s="515"/>
      <c r="F1398" s="514"/>
      <c r="G1398" s="515" t="s">
        <v>11525</v>
      </c>
      <c r="H1398" s="514"/>
      <c r="I1398" s="515"/>
      <c r="J1398" s="515"/>
    </row>
    <row r="1399" spans="1:10" ht="13.8" thickBot="1">
      <c r="A1399" s="517"/>
      <c r="B1399" s="518" t="s">
        <v>11598</v>
      </c>
      <c r="C1399" s="516"/>
      <c r="D1399" s="514" t="s">
        <v>11533</v>
      </c>
      <c r="E1399" s="515"/>
      <c r="F1399" s="514"/>
      <c r="G1399" s="515" t="s">
        <v>11525</v>
      </c>
      <c r="H1399" s="514"/>
      <c r="I1399" s="515"/>
      <c r="J1399" s="515"/>
    </row>
    <row r="1400" spans="1:10" ht="13.8" thickBot="1">
      <c r="A1400" s="517"/>
      <c r="B1400" s="518" t="s">
        <v>13992</v>
      </c>
      <c r="C1400" s="516"/>
      <c r="D1400" s="514" t="s">
        <v>13991</v>
      </c>
      <c r="E1400" s="515">
        <v>1</v>
      </c>
      <c r="F1400" s="514"/>
      <c r="G1400" s="515" t="s">
        <v>1793</v>
      </c>
      <c r="H1400" s="514"/>
      <c r="I1400" s="515"/>
      <c r="J1400" s="515"/>
    </row>
    <row r="1401" spans="1:10" ht="13.8" thickBot="1">
      <c r="A1401" s="517"/>
      <c r="B1401" s="518" t="s">
        <v>12284</v>
      </c>
      <c r="C1401" s="516"/>
      <c r="D1401" s="514" t="s">
        <v>1617</v>
      </c>
      <c r="E1401" s="515"/>
      <c r="F1401" s="514"/>
      <c r="G1401" s="515" t="s">
        <v>4214</v>
      </c>
      <c r="H1401" s="514"/>
      <c r="I1401" s="515"/>
      <c r="J1401" s="515"/>
    </row>
    <row r="1402" spans="1:10" ht="13.8" thickBot="1">
      <c r="A1402" s="517"/>
      <c r="B1402" s="518" t="s">
        <v>12699</v>
      </c>
      <c r="C1402" s="516"/>
      <c r="D1402" s="514" t="s">
        <v>1452</v>
      </c>
      <c r="E1402" s="515"/>
      <c r="F1402" s="514"/>
      <c r="G1402" s="515" t="s">
        <v>3517</v>
      </c>
      <c r="H1402" s="514"/>
      <c r="I1402" s="515"/>
      <c r="J1402" s="515"/>
    </row>
    <row r="1403" spans="1:10" ht="13.8" thickBot="1">
      <c r="A1403" s="517"/>
      <c r="B1403" s="518" t="s">
        <v>11597</v>
      </c>
      <c r="C1403" s="516"/>
      <c r="D1403" s="514" t="s">
        <v>11533</v>
      </c>
      <c r="E1403" s="515"/>
      <c r="F1403" s="514"/>
      <c r="G1403" s="515" t="s">
        <v>11525</v>
      </c>
      <c r="H1403" s="514"/>
      <c r="I1403" s="515"/>
      <c r="J1403" s="515"/>
    </row>
    <row r="1404" spans="1:10" ht="13.8" thickBot="1">
      <c r="A1404" s="517"/>
      <c r="B1404" s="518" t="s">
        <v>11596</v>
      </c>
      <c r="C1404" s="516"/>
      <c r="D1404" s="514" t="s">
        <v>11533</v>
      </c>
      <c r="E1404" s="515"/>
      <c r="F1404" s="514"/>
      <c r="G1404" s="515" t="s">
        <v>11525</v>
      </c>
      <c r="H1404" s="514"/>
      <c r="I1404" s="515"/>
      <c r="J1404" s="515"/>
    </row>
    <row r="1405" spans="1:10" ht="13.8" thickBot="1">
      <c r="A1405" s="517"/>
      <c r="B1405" s="518" t="s">
        <v>11595</v>
      </c>
      <c r="C1405" s="516"/>
      <c r="D1405" s="514" t="s">
        <v>11533</v>
      </c>
      <c r="E1405" s="515"/>
      <c r="F1405" s="514"/>
      <c r="G1405" s="515" t="s">
        <v>11525</v>
      </c>
      <c r="H1405" s="514"/>
      <c r="I1405" s="515"/>
      <c r="J1405" s="515"/>
    </row>
    <row r="1406" spans="1:10" ht="13.8" thickBot="1">
      <c r="A1406" s="517"/>
      <c r="B1406" s="518" t="s">
        <v>11594</v>
      </c>
      <c r="C1406" s="516"/>
      <c r="D1406" s="514" t="s">
        <v>11533</v>
      </c>
      <c r="E1406" s="515"/>
      <c r="F1406" s="514"/>
      <c r="G1406" s="515" t="s">
        <v>11525</v>
      </c>
      <c r="H1406" s="514"/>
      <c r="I1406" s="515"/>
      <c r="J1406" s="515"/>
    </row>
    <row r="1407" spans="1:10" ht="13.8" thickBot="1">
      <c r="A1407" s="517"/>
      <c r="B1407" s="518" t="s">
        <v>12545</v>
      </c>
      <c r="C1407" s="516"/>
      <c r="D1407" s="514" t="s">
        <v>12544</v>
      </c>
      <c r="E1407" s="515"/>
      <c r="F1407" s="514"/>
      <c r="G1407" s="515" t="s">
        <v>3807</v>
      </c>
      <c r="H1407" s="514"/>
      <c r="I1407" s="515"/>
      <c r="J1407" s="515"/>
    </row>
    <row r="1408" spans="1:10" ht="13.8" thickBot="1">
      <c r="A1408" s="517"/>
      <c r="B1408" s="518" t="s">
        <v>11593</v>
      </c>
      <c r="C1408" s="516"/>
      <c r="D1408" s="514" t="s">
        <v>11533</v>
      </c>
      <c r="E1408" s="515"/>
      <c r="F1408" s="514"/>
      <c r="G1408" s="515" t="s">
        <v>11525</v>
      </c>
      <c r="H1408" s="514"/>
      <c r="I1408" s="515"/>
      <c r="J1408" s="515"/>
    </row>
    <row r="1409" spans="1:10" ht="13.8" thickBot="1">
      <c r="A1409" s="517"/>
      <c r="B1409" s="518" t="s">
        <v>11592</v>
      </c>
      <c r="C1409" s="516"/>
      <c r="D1409" s="514" t="s">
        <v>11533</v>
      </c>
      <c r="E1409" s="515"/>
      <c r="F1409" s="514"/>
      <c r="G1409" s="515" t="s">
        <v>11525</v>
      </c>
      <c r="H1409" s="514"/>
      <c r="I1409" s="515"/>
      <c r="J1409" s="515"/>
    </row>
    <row r="1410" spans="1:10" ht="13.8" thickBot="1">
      <c r="A1410" s="517"/>
      <c r="B1410" s="518" t="s">
        <v>11591</v>
      </c>
      <c r="C1410" s="516"/>
      <c r="D1410" s="514" t="s">
        <v>11533</v>
      </c>
      <c r="E1410" s="515"/>
      <c r="F1410" s="514"/>
      <c r="G1410" s="515" t="s">
        <v>11525</v>
      </c>
      <c r="H1410" s="514"/>
      <c r="I1410" s="515"/>
      <c r="J1410" s="515"/>
    </row>
    <row r="1411" spans="1:10" ht="13.8" thickBot="1">
      <c r="A1411" s="517"/>
      <c r="B1411" s="518" t="s">
        <v>12605</v>
      </c>
      <c r="C1411" s="516"/>
      <c r="D1411" s="514" t="s">
        <v>1480</v>
      </c>
      <c r="E1411" s="515"/>
      <c r="F1411" s="514"/>
      <c r="G1411" s="515" t="s">
        <v>3734</v>
      </c>
      <c r="H1411" s="514"/>
      <c r="I1411" s="515"/>
      <c r="J1411" s="515"/>
    </row>
    <row r="1412" spans="1:10" ht="13.8" thickBot="1">
      <c r="A1412" s="517"/>
      <c r="B1412" s="518" t="s">
        <v>12543</v>
      </c>
      <c r="C1412" s="516"/>
      <c r="D1412" s="514" t="s">
        <v>1502</v>
      </c>
      <c r="E1412" s="515"/>
      <c r="F1412" s="514"/>
      <c r="G1412" s="515" t="s">
        <v>3807</v>
      </c>
      <c r="H1412" s="514"/>
      <c r="I1412" s="515"/>
      <c r="J1412" s="515"/>
    </row>
    <row r="1413" spans="1:10" ht="13.8" thickBot="1">
      <c r="A1413" s="517"/>
      <c r="B1413" s="518" t="s">
        <v>13944</v>
      </c>
      <c r="C1413" s="516"/>
      <c r="D1413" s="514" t="s">
        <v>1252</v>
      </c>
      <c r="E1413" s="515"/>
      <c r="F1413" s="514"/>
      <c r="G1413" s="515" t="s">
        <v>1922</v>
      </c>
      <c r="H1413" s="514"/>
      <c r="I1413" s="515"/>
      <c r="J1413" s="515"/>
    </row>
    <row r="1414" spans="1:10" ht="13.8" thickBot="1">
      <c r="A1414" s="517"/>
      <c r="B1414" s="518" t="s">
        <v>13848</v>
      </c>
      <c r="C1414" s="516"/>
      <c r="D1414" s="514" t="s">
        <v>2044</v>
      </c>
      <c r="E1414" s="515"/>
      <c r="F1414" s="514"/>
      <c r="G1414" s="515" t="s">
        <v>2032</v>
      </c>
      <c r="H1414" s="514"/>
      <c r="I1414" s="515"/>
      <c r="J1414" s="515"/>
    </row>
    <row r="1415" spans="1:10" ht="13.8" thickBot="1">
      <c r="A1415" s="517"/>
      <c r="B1415" s="518" t="s">
        <v>13847</v>
      </c>
      <c r="C1415" s="516"/>
      <c r="D1415" s="514" t="s">
        <v>2044</v>
      </c>
      <c r="E1415" s="515"/>
      <c r="F1415" s="514"/>
      <c r="G1415" s="515" t="s">
        <v>2032</v>
      </c>
      <c r="H1415" s="514"/>
      <c r="I1415" s="515"/>
      <c r="J1415" s="515"/>
    </row>
    <row r="1416" spans="1:10" ht="13.8" thickBot="1">
      <c r="A1416" s="517"/>
      <c r="B1416" s="518" t="s">
        <v>12495</v>
      </c>
      <c r="C1416" s="516"/>
      <c r="D1416" s="514" t="s">
        <v>1507</v>
      </c>
      <c r="E1416" s="515"/>
      <c r="F1416" s="514"/>
      <c r="G1416" s="515" t="s">
        <v>3856</v>
      </c>
      <c r="H1416" s="514"/>
      <c r="I1416" s="515"/>
      <c r="J1416" s="515"/>
    </row>
    <row r="1417" spans="1:10" ht="13.8" thickBot="1">
      <c r="A1417" s="517"/>
      <c r="B1417" s="518" t="s">
        <v>13254</v>
      </c>
      <c r="C1417" s="516"/>
      <c r="D1417" s="514" t="s">
        <v>1300</v>
      </c>
      <c r="E1417" s="515"/>
      <c r="F1417" s="514"/>
      <c r="G1417" s="515" t="s">
        <v>2523</v>
      </c>
      <c r="H1417" s="514"/>
      <c r="I1417" s="515"/>
      <c r="J1417" s="515"/>
    </row>
    <row r="1418" spans="1:10" ht="13.8" thickBot="1">
      <c r="A1418" s="517"/>
      <c r="B1418" s="518" t="s">
        <v>13253</v>
      </c>
      <c r="C1418" s="516"/>
      <c r="D1418" s="514" t="s">
        <v>1300</v>
      </c>
      <c r="E1418" s="515"/>
      <c r="F1418" s="514"/>
      <c r="G1418" s="515" t="s">
        <v>2523</v>
      </c>
      <c r="H1418" s="514"/>
      <c r="I1418" s="515"/>
      <c r="J1418" s="515"/>
    </row>
    <row r="1419" spans="1:10" ht="13.8" thickBot="1">
      <c r="A1419" s="517"/>
      <c r="B1419" s="518" t="s">
        <v>12698</v>
      </c>
      <c r="C1419" s="516"/>
      <c r="D1419" s="514" t="s">
        <v>1452</v>
      </c>
      <c r="E1419" s="515"/>
      <c r="F1419" s="514"/>
      <c r="G1419" s="515" t="s">
        <v>3517</v>
      </c>
      <c r="H1419" s="514"/>
      <c r="I1419" s="515"/>
      <c r="J1419" s="515"/>
    </row>
    <row r="1420" spans="1:10" ht="13.8" thickBot="1">
      <c r="A1420" s="517"/>
      <c r="B1420" s="518" t="s">
        <v>12283</v>
      </c>
      <c r="C1420" s="516"/>
      <c r="D1420" s="514" t="s">
        <v>1607</v>
      </c>
      <c r="E1420" s="515"/>
      <c r="F1420" s="514"/>
      <c r="G1420" s="515" t="s">
        <v>4214</v>
      </c>
      <c r="H1420" s="514"/>
      <c r="I1420" s="515"/>
      <c r="J1420" s="515"/>
    </row>
    <row r="1421" spans="1:10" ht="13.8" thickBot="1">
      <c r="A1421" s="517"/>
      <c r="B1421" s="518" t="s">
        <v>13252</v>
      </c>
      <c r="C1421" s="516"/>
      <c r="D1421" s="514" t="s">
        <v>1300</v>
      </c>
      <c r="E1421" s="515"/>
      <c r="F1421" s="514"/>
      <c r="G1421" s="515" t="s">
        <v>2523</v>
      </c>
      <c r="H1421" s="514"/>
      <c r="I1421" s="515"/>
      <c r="J1421" s="515"/>
    </row>
    <row r="1422" spans="1:10" ht="13.8" thickBot="1">
      <c r="A1422" s="517"/>
      <c r="B1422" s="518" t="s">
        <v>13985</v>
      </c>
      <c r="C1422" s="516"/>
      <c r="D1422" s="514" t="s">
        <v>1792</v>
      </c>
      <c r="E1422" s="515"/>
      <c r="F1422" s="514"/>
      <c r="G1422" s="515" t="s">
        <v>1793</v>
      </c>
      <c r="H1422" s="514"/>
      <c r="I1422" s="515"/>
      <c r="J1422" s="515"/>
    </row>
    <row r="1423" spans="1:10" ht="13.8" thickBot="1">
      <c r="A1423" s="517"/>
      <c r="B1423" s="518" t="s">
        <v>11590</v>
      </c>
      <c r="C1423" s="516"/>
      <c r="D1423" s="514" t="s">
        <v>11533</v>
      </c>
      <c r="E1423" s="515"/>
      <c r="F1423" s="514"/>
      <c r="G1423" s="515" t="s">
        <v>11525</v>
      </c>
      <c r="H1423" s="514"/>
      <c r="I1423" s="515"/>
      <c r="J1423" s="515"/>
    </row>
    <row r="1424" spans="1:10" ht="13.8" thickBot="1">
      <c r="A1424" s="517"/>
      <c r="B1424" s="518" t="s">
        <v>13251</v>
      </c>
      <c r="C1424" s="516"/>
      <c r="D1424" s="514" t="s">
        <v>1300</v>
      </c>
      <c r="E1424" s="515"/>
      <c r="F1424" s="514"/>
      <c r="G1424" s="515" t="s">
        <v>2523</v>
      </c>
      <c r="H1424" s="514"/>
      <c r="I1424" s="515"/>
      <c r="J1424" s="515"/>
    </row>
    <row r="1425" spans="1:10" ht="13.8" thickBot="1">
      <c r="A1425" s="517"/>
      <c r="B1425" s="518" t="s">
        <v>12664</v>
      </c>
      <c r="C1425" s="516"/>
      <c r="D1425" s="514" t="s">
        <v>1466</v>
      </c>
      <c r="E1425" s="515"/>
      <c r="F1425" s="514"/>
      <c r="G1425" s="515" t="s">
        <v>3652</v>
      </c>
      <c r="H1425" s="514"/>
      <c r="I1425" s="515"/>
      <c r="J1425" s="515"/>
    </row>
    <row r="1426" spans="1:10" ht="13.8" thickBot="1">
      <c r="A1426" s="517"/>
      <c r="B1426" s="518" t="s">
        <v>13846</v>
      </c>
      <c r="C1426" s="516"/>
      <c r="D1426" s="514" t="s">
        <v>2044</v>
      </c>
      <c r="E1426" s="515"/>
      <c r="F1426" s="514"/>
      <c r="G1426" s="515" t="s">
        <v>2032</v>
      </c>
      <c r="H1426" s="514"/>
      <c r="I1426" s="515"/>
      <c r="J1426" s="515"/>
    </row>
    <row r="1427" spans="1:10" ht="13.8" thickBot="1">
      <c r="A1427" s="517"/>
      <c r="B1427" s="518" t="s">
        <v>12433</v>
      </c>
      <c r="C1427" s="516"/>
      <c r="D1427" s="514" t="s">
        <v>1537</v>
      </c>
      <c r="E1427" s="515"/>
      <c r="F1427" s="514"/>
      <c r="G1427" s="515" t="s">
        <v>4067</v>
      </c>
      <c r="H1427" s="514"/>
      <c r="I1427" s="515"/>
      <c r="J1427" s="515"/>
    </row>
    <row r="1428" spans="1:10" ht="13.8" thickBot="1">
      <c r="A1428" s="517"/>
      <c r="B1428" s="518" t="s">
        <v>12282</v>
      </c>
      <c r="C1428" s="516"/>
      <c r="D1428" s="514" t="s">
        <v>1607</v>
      </c>
      <c r="E1428" s="515"/>
      <c r="F1428" s="514"/>
      <c r="G1428" s="515" t="s">
        <v>4214</v>
      </c>
      <c r="H1428" s="514"/>
      <c r="I1428" s="515"/>
      <c r="J1428" s="515"/>
    </row>
    <row r="1429" spans="1:10" ht="13.8" thickBot="1">
      <c r="A1429" s="517"/>
      <c r="B1429" s="518" t="s">
        <v>13845</v>
      </c>
      <c r="C1429" s="516"/>
      <c r="D1429" s="514" t="s">
        <v>2044</v>
      </c>
      <c r="E1429" s="515"/>
      <c r="F1429" s="514"/>
      <c r="G1429" s="515" t="s">
        <v>2032</v>
      </c>
      <c r="H1429" s="514"/>
      <c r="I1429" s="515"/>
      <c r="J1429" s="515"/>
    </row>
    <row r="1430" spans="1:10" ht="13.8" thickBot="1">
      <c r="A1430" s="517"/>
      <c r="B1430" s="518" t="s">
        <v>12982</v>
      </c>
      <c r="C1430" s="516"/>
      <c r="D1430" s="514" t="s">
        <v>2968</v>
      </c>
      <c r="E1430" s="515"/>
      <c r="F1430" s="514"/>
      <c r="G1430" s="515" t="s">
        <v>2957</v>
      </c>
      <c r="H1430" s="514"/>
      <c r="I1430" s="515"/>
      <c r="J1430" s="515"/>
    </row>
    <row r="1431" spans="1:10" ht="13.8" thickBot="1">
      <c r="A1431" s="517"/>
      <c r="B1431" s="518" t="s">
        <v>12281</v>
      </c>
      <c r="C1431" s="516"/>
      <c r="D1431" s="514" t="s">
        <v>1607</v>
      </c>
      <c r="E1431" s="515"/>
      <c r="F1431" s="514"/>
      <c r="G1431" s="515" t="s">
        <v>4214</v>
      </c>
      <c r="H1431" s="514"/>
      <c r="I1431" s="515"/>
      <c r="J1431" s="515"/>
    </row>
    <row r="1432" spans="1:10" ht="13.8" thickBot="1">
      <c r="A1432" s="517"/>
      <c r="B1432" s="518" t="s">
        <v>13250</v>
      </c>
      <c r="C1432" s="516"/>
      <c r="D1432" s="514" t="s">
        <v>2663</v>
      </c>
      <c r="E1432" s="515"/>
      <c r="F1432" s="514"/>
      <c r="G1432" s="515" t="s">
        <v>2523</v>
      </c>
      <c r="H1432" s="514"/>
      <c r="I1432" s="515"/>
      <c r="J1432" s="515"/>
    </row>
    <row r="1433" spans="1:10" ht="13.8" thickBot="1">
      <c r="A1433" s="517"/>
      <c r="B1433" s="518" t="s">
        <v>12697</v>
      </c>
      <c r="C1433" s="516"/>
      <c r="D1433" s="514" t="s">
        <v>1452</v>
      </c>
      <c r="E1433" s="515"/>
      <c r="F1433" s="514"/>
      <c r="G1433" s="515" t="s">
        <v>3517</v>
      </c>
      <c r="H1433" s="514"/>
      <c r="I1433" s="515"/>
      <c r="J1433" s="515"/>
    </row>
    <row r="1434" spans="1:10" ht="13.8" thickBot="1">
      <c r="A1434" s="517"/>
      <c r="B1434" s="518" t="s">
        <v>13844</v>
      </c>
      <c r="C1434" s="516"/>
      <c r="D1434" s="514" t="s">
        <v>2044</v>
      </c>
      <c r="E1434" s="515"/>
      <c r="F1434" s="514"/>
      <c r="G1434" s="515" t="s">
        <v>2032</v>
      </c>
      <c r="H1434" s="514"/>
      <c r="I1434" s="515"/>
      <c r="J1434" s="515"/>
    </row>
    <row r="1435" spans="1:10" ht="13.8" thickBot="1">
      <c r="A1435" s="517"/>
      <c r="B1435" s="518" t="s">
        <v>12696</v>
      </c>
      <c r="C1435" s="516"/>
      <c r="D1435" s="514" t="s">
        <v>1452</v>
      </c>
      <c r="E1435" s="515"/>
      <c r="F1435" s="514"/>
      <c r="G1435" s="515" t="s">
        <v>3517</v>
      </c>
      <c r="H1435" s="514"/>
      <c r="I1435" s="515"/>
      <c r="J1435" s="515"/>
    </row>
    <row r="1436" spans="1:10" ht="13.8" thickBot="1">
      <c r="A1436" s="517"/>
      <c r="B1436" s="518" t="s">
        <v>11589</v>
      </c>
      <c r="C1436" s="516"/>
      <c r="D1436" s="514" t="s">
        <v>11533</v>
      </c>
      <c r="E1436" s="515"/>
      <c r="F1436" s="514"/>
      <c r="G1436" s="515" t="s">
        <v>11525</v>
      </c>
      <c r="H1436" s="514"/>
      <c r="I1436" s="515"/>
      <c r="J1436" s="515"/>
    </row>
    <row r="1437" spans="1:10" ht="13.8" thickBot="1">
      <c r="A1437" s="517"/>
      <c r="B1437" s="518" t="s">
        <v>11588</v>
      </c>
      <c r="C1437" s="516"/>
      <c r="D1437" s="514" t="s">
        <v>11533</v>
      </c>
      <c r="E1437" s="515"/>
      <c r="F1437" s="514"/>
      <c r="G1437" s="515" t="s">
        <v>11525</v>
      </c>
      <c r="H1437" s="514"/>
      <c r="I1437" s="515"/>
      <c r="J1437" s="515"/>
    </row>
    <row r="1438" spans="1:10" ht="13.8" thickBot="1">
      <c r="A1438" s="517"/>
      <c r="B1438" s="518" t="s">
        <v>11587</v>
      </c>
      <c r="C1438" s="516"/>
      <c r="D1438" s="514" t="s">
        <v>11533</v>
      </c>
      <c r="E1438" s="515"/>
      <c r="F1438" s="514"/>
      <c r="G1438" s="515" t="s">
        <v>11525</v>
      </c>
      <c r="H1438" s="514"/>
      <c r="I1438" s="515"/>
      <c r="J1438" s="515"/>
    </row>
    <row r="1439" spans="1:10" ht="13.8" thickBot="1">
      <c r="A1439" s="517"/>
      <c r="B1439" s="518" t="s">
        <v>11586</v>
      </c>
      <c r="C1439" s="516"/>
      <c r="D1439" s="514" t="s">
        <v>11533</v>
      </c>
      <c r="E1439" s="515"/>
      <c r="F1439" s="514"/>
      <c r="G1439" s="515" t="s">
        <v>11525</v>
      </c>
      <c r="H1439" s="514"/>
      <c r="I1439" s="515"/>
      <c r="J1439" s="515"/>
    </row>
    <row r="1440" spans="1:10" ht="13.8" thickBot="1">
      <c r="A1440" s="517"/>
      <c r="B1440" s="518" t="s">
        <v>11585</v>
      </c>
      <c r="C1440" s="516"/>
      <c r="D1440" s="514" t="s">
        <v>11533</v>
      </c>
      <c r="E1440" s="515"/>
      <c r="F1440" s="514"/>
      <c r="G1440" s="515" t="s">
        <v>11525</v>
      </c>
      <c r="H1440" s="514"/>
      <c r="I1440" s="515"/>
      <c r="J1440" s="515"/>
    </row>
    <row r="1441" spans="1:10" ht="13.8" thickBot="1">
      <c r="A1441" s="517"/>
      <c r="B1441" s="518" t="s">
        <v>11584</v>
      </c>
      <c r="C1441" s="516"/>
      <c r="D1441" s="514" t="s">
        <v>11533</v>
      </c>
      <c r="E1441" s="515"/>
      <c r="F1441" s="514"/>
      <c r="G1441" s="515" t="s">
        <v>11525</v>
      </c>
      <c r="H1441" s="514"/>
      <c r="I1441" s="515"/>
      <c r="J1441" s="515"/>
    </row>
    <row r="1442" spans="1:10" ht="13.8" thickBot="1">
      <c r="A1442" s="517"/>
      <c r="B1442" s="518" t="s">
        <v>11583</v>
      </c>
      <c r="C1442" s="516"/>
      <c r="D1442" s="514" t="s">
        <v>11533</v>
      </c>
      <c r="E1442" s="515"/>
      <c r="F1442" s="514"/>
      <c r="G1442" s="515" t="s">
        <v>11525</v>
      </c>
      <c r="H1442" s="514"/>
      <c r="I1442" s="515"/>
      <c r="J1442" s="515"/>
    </row>
    <row r="1443" spans="1:10" ht="13.8" thickBot="1">
      <c r="A1443" s="517"/>
      <c r="B1443" s="518" t="s">
        <v>11582</v>
      </c>
      <c r="C1443" s="516"/>
      <c r="D1443" s="514" t="s">
        <v>11533</v>
      </c>
      <c r="E1443" s="515"/>
      <c r="F1443" s="514"/>
      <c r="G1443" s="515" t="s">
        <v>11525</v>
      </c>
      <c r="H1443" s="514"/>
      <c r="I1443" s="515"/>
      <c r="J1443" s="515"/>
    </row>
    <row r="1444" spans="1:10" ht="13.8" thickBot="1">
      <c r="A1444" s="517"/>
      <c r="B1444" s="518" t="s">
        <v>11581</v>
      </c>
      <c r="C1444" s="516"/>
      <c r="D1444" s="514" t="s">
        <v>11533</v>
      </c>
      <c r="E1444" s="515"/>
      <c r="F1444" s="514"/>
      <c r="G1444" s="515" t="s">
        <v>11525</v>
      </c>
      <c r="H1444" s="514"/>
      <c r="I1444" s="515"/>
      <c r="J1444" s="515"/>
    </row>
    <row r="1445" spans="1:10" ht="13.8" thickBot="1">
      <c r="A1445" s="517"/>
      <c r="B1445" s="518" t="s">
        <v>11580</v>
      </c>
      <c r="C1445" s="516"/>
      <c r="D1445" s="514" t="s">
        <v>11533</v>
      </c>
      <c r="E1445" s="515"/>
      <c r="F1445" s="514"/>
      <c r="G1445" s="515" t="s">
        <v>11525</v>
      </c>
      <c r="H1445" s="514"/>
      <c r="I1445" s="515"/>
      <c r="J1445" s="515"/>
    </row>
    <row r="1446" spans="1:10" ht="13.8" thickBot="1">
      <c r="A1446" s="517"/>
      <c r="B1446" s="518" t="s">
        <v>11579</v>
      </c>
      <c r="C1446" s="516"/>
      <c r="D1446" s="514" t="s">
        <v>11533</v>
      </c>
      <c r="E1446" s="515"/>
      <c r="F1446" s="514"/>
      <c r="G1446" s="515" t="s">
        <v>11525</v>
      </c>
      <c r="H1446" s="514"/>
      <c r="I1446" s="515"/>
      <c r="J1446" s="515"/>
    </row>
    <row r="1447" spans="1:10" ht="13.8" thickBot="1">
      <c r="A1447" s="517"/>
      <c r="B1447" s="518" t="s">
        <v>13249</v>
      </c>
      <c r="C1447" s="516"/>
      <c r="D1447" s="514" t="s">
        <v>1300</v>
      </c>
      <c r="E1447" s="515"/>
      <c r="F1447" s="514"/>
      <c r="G1447" s="515" t="s">
        <v>2523</v>
      </c>
      <c r="H1447" s="514"/>
      <c r="I1447" s="515"/>
      <c r="J1447" s="515"/>
    </row>
    <row r="1448" spans="1:10" ht="13.8" thickBot="1">
      <c r="A1448" s="517"/>
      <c r="B1448" s="518" t="s">
        <v>13248</v>
      </c>
      <c r="C1448" s="516"/>
      <c r="D1448" s="514" t="s">
        <v>1328</v>
      </c>
      <c r="E1448" s="515"/>
      <c r="F1448" s="514"/>
      <c r="G1448" s="515" t="s">
        <v>2523</v>
      </c>
      <c r="H1448" s="514"/>
      <c r="I1448" s="515"/>
      <c r="J1448" s="515"/>
    </row>
    <row r="1449" spans="1:10" ht="13.8" thickBot="1">
      <c r="A1449" s="517"/>
      <c r="B1449" s="518" t="s">
        <v>12695</v>
      </c>
      <c r="C1449" s="516"/>
      <c r="D1449" s="514" t="s">
        <v>1452</v>
      </c>
      <c r="E1449" s="515"/>
      <c r="F1449" s="514"/>
      <c r="G1449" s="515" t="s">
        <v>3517</v>
      </c>
      <c r="H1449" s="514"/>
      <c r="I1449" s="515"/>
      <c r="J1449" s="515"/>
    </row>
    <row r="1450" spans="1:10" ht="13.8" thickBot="1">
      <c r="A1450" s="517"/>
      <c r="B1450" s="518" t="s">
        <v>12280</v>
      </c>
      <c r="C1450" s="516"/>
      <c r="D1450" s="514" t="s">
        <v>1607</v>
      </c>
      <c r="E1450" s="515"/>
      <c r="F1450" s="514"/>
      <c r="G1450" s="515" t="s">
        <v>4214</v>
      </c>
      <c r="H1450" s="514"/>
      <c r="I1450" s="515"/>
      <c r="J1450" s="515"/>
    </row>
    <row r="1451" spans="1:10" ht="13.8" thickBot="1">
      <c r="A1451" s="517"/>
      <c r="B1451" s="518" t="s">
        <v>13984</v>
      </c>
      <c r="C1451" s="516"/>
      <c r="D1451" s="514" t="s">
        <v>1792</v>
      </c>
      <c r="E1451" s="515"/>
      <c r="F1451" s="514"/>
      <c r="G1451" s="515" t="s">
        <v>1793</v>
      </c>
      <c r="H1451" s="514"/>
      <c r="I1451" s="515"/>
      <c r="J1451" s="515"/>
    </row>
    <row r="1452" spans="1:10" ht="13.8" thickBot="1">
      <c r="A1452" s="517"/>
      <c r="B1452" s="518" t="s">
        <v>13983</v>
      </c>
      <c r="C1452" s="516"/>
      <c r="D1452" s="514" t="s">
        <v>1792</v>
      </c>
      <c r="E1452" s="515"/>
      <c r="F1452" s="514"/>
      <c r="G1452" s="515" t="s">
        <v>1793</v>
      </c>
      <c r="H1452" s="514"/>
      <c r="I1452" s="515"/>
      <c r="J1452" s="515"/>
    </row>
    <row r="1453" spans="1:10" ht="13.8" thickBot="1">
      <c r="A1453" s="517"/>
      <c r="B1453" s="518" t="s">
        <v>12694</v>
      </c>
      <c r="C1453" s="516"/>
      <c r="D1453" s="514" t="s">
        <v>1452</v>
      </c>
      <c r="E1453" s="515"/>
      <c r="F1453" s="514"/>
      <c r="G1453" s="515" t="s">
        <v>3517</v>
      </c>
      <c r="H1453" s="514"/>
      <c r="I1453" s="515"/>
      <c r="J1453" s="515"/>
    </row>
    <row r="1454" spans="1:10" ht="13.8" thickBot="1">
      <c r="A1454" s="517"/>
      <c r="B1454" s="518" t="s">
        <v>13247</v>
      </c>
      <c r="C1454" s="516"/>
      <c r="D1454" s="514" t="s">
        <v>2663</v>
      </c>
      <c r="E1454" s="515"/>
      <c r="F1454" s="514"/>
      <c r="G1454" s="515" t="s">
        <v>2523</v>
      </c>
      <c r="H1454" s="514"/>
      <c r="I1454" s="515"/>
      <c r="J1454" s="515"/>
    </row>
    <row r="1455" spans="1:10" ht="13.8" thickBot="1">
      <c r="A1455" s="517"/>
      <c r="B1455" s="518" t="s">
        <v>13461</v>
      </c>
      <c r="C1455" s="516"/>
      <c r="D1455" s="519" t="s">
        <v>13460</v>
      </c>
      <c r="E1455" s="515">
        <v>6.25</v>
      </c>
      <c r="F1455" s="518" t="s">
        <v>614</v>
      </c>
      <c r="G1455" s="515" t="s">
        <v>2523</v>
      </c>
      <c r="H1455" s="514" t="s">
        <v>1226</v>
      </c>
      <c r="I1455" s="515">
        <v>1</v>
      </c>
      <c r="J1455" s="515">
        <v>9</v>
      </c>
    </row>
    <row r="1456" spans="1:10" ht="13.8" thickBot="1">
      <c r="A1456" s="517"/>
      <c r="B1456" s="518" t="s">
        <v>14188</v>
      </c>
      <c r="C1456" s="516"/>
      <c r="D1456" s="514" t="s">
        <v>1850</v>
      </c>
      <c r="E1456" s="515">
        <v>6</v>
      </c>
      <c r="F1456" s="518" t="s">
        <v>614</v>
      </c>
      <c r="G1456" s="515" t="s">
        <v>1793</v>
      </c>
      <c r="H1456" s="514" t="s">
        <v>1224</v>
      </c>
      <c r="I1456" s="515"/>
      <c r="J1456" s="515">
        <v>2</v>
      </c>
    </row>
    <row r="1457" spans="1:10" ht="13.8" thickBot="1">
      <c r="A1457" s="517"/>
      <c r="B1457" s="518" t="s">
        <v>13771</v>
      </c>
      <c r="C1457" s="516"/>
      <c r="D1457" s="514" t="s">
        <v>1270</v>
      </c>
      <c r="E1457" s="515">
        <v>5</v>
      </c>
      <c r="F1457" s="518" t="s">
        <v>614</v>
      </c>
      <c r="G1457" s="515" t="s">
        <v>2152</v>
      </c>
      <c r="H1457" s="514" t="s">
        <v>1224</v>
      </c>
      <c r="I1457" s="515"/>
      <c r="J1457" s="515">
        <v>1</v>
      </c>
    </row>
    <row r="1458" spans="1:10" ht="13.8" thickBot="1">
      <c r="A1458" s="517"/>
      <c r="B1458" s="518" t="s">
        <v>14235</v>
      </c>
      <c r="C1458" s="516"/>
      <c r="D1458" s="514" t="s">
        <v>14234</v>
      </c>
      <c r="E1458" s="515">
        <v>6.5</v>
      </c>
      <c r="F1458" s="518" t="s">
        <v>614</v>
      </c>
      <c r="G1458" s="515" t="s">
        <v>1793</v>
      </c>
      <c r="H1458" s="514" t="s">
        <v>1226</v>
      </c>
      <c r="I1458" s="515">
        <v>1</v>
      </c>
      <c r="J1458" s="515">
        <v>8</v>
      </c>
    </row>
    <row r="1459" spans="1:10" ht="13.8" thickBot="1">
      <c r="A1459" s="517"/>
      <c r="B1459" s="518" t="s">
        <v>12934</v>
      </c>
      <c r="C1459" s="516"/>
      <c r="D1459" s="514" t="s">
        <v>12933</v>
      </c>
      <c r="E1459" s="515">
        <v>6.4</v>
      </c>
      <c r="F1459" s="518" t="s">
        <v>614</v>
      </c>
      <c r="G1459" s="515" t="s">
        <v>3161</v>
      </c>
      <c r="H1459" s="514" t="s">
        <v>1226</v>
      </c>
      <c r="I1459" s="515"/>
      <c r="J1459" s="515">
        <v>1</v>
      </c>
    </row>
    <row r="1460" spans="1:10" ht="13.8" thickBot="1">
      <c r="A1460" s="517"/>
      <c r="B1460" s="518" t="s">
        <v>12409</v>
      </c>
      <c r="C1460" s="516"/>
      <c r="D1460" s="514" t="s">
        <v>4125</v>
      </c>
      <c r="E1460" s="515">
        <v>6</v>
      </c>
      <c r="F1460" s="518" t="s">
        <v>614</v>
      </c>
      <c r="G1460" s="515" t="s">
        <v>4121</v>
      </c>
      <c r="H1460" s="514"/>
      <c r="I1460" s="515"/>
      <c r="J1460" s="515">
        <v>1</v>
      </c>
    </row>
    <row r="1461" spans="1:10" ht="13.8" thickBot="1">
      <c r="A1461" s="517"/>
      <c r="B1461" s="518" t="s">
        <v>12806</v>
      </c>
      <c r="C1461" s="516"/>
      <c r="D1461" s="514" t="s">
        <v>12805</v>
      </c>
      <c r="E1461" s="515">
        <v>7</v>
      </c>
      <c r="F1461" s="518" t="s">
        <v>1854</v>
      </c>
      <c r="G1461" s="515" t="s">
        <v>3517</v>
      </c>
      <c r="H1461" s="514"/>
      <c r="I1461" s="515"/>
      <c r="J1461" s="515">
        <v>1</v>
      </c>
    </row>
    <row r="1462" spans="1:10" ht="13.8" thickBot="1">
      <c r="A1462" s="517"/>
      <c r="B1462" s="518" t="s">
        <v>11877</v>
      </c>
      <c r="C1462" s="516"/>
      <c r="D1462" s="514" t="s">
        <v>1381</v>
      </c>
      <c r="E1462" s="515">
        <v>7</v>
      </c>
      <c r="F1462" s="518" t="s">
        <v>614</v>
      </c>
      <c r="G1462" s="515" t="s">
        <v>5286</v>
      </c>
      <c r="H1462" s="514" t="s">
        <v>1226</v>
      </c>
      <c r="I1462" s="515"/>
      <c r="J1462" s="515">
        <v>4</v>
      </c>
    </row>
    <row r="1463" spans="1:10" ht="13.8" thickBot="1">
      <c r="A1463" s="517"/>
      <c r="B1463" s="518" t="s">
        <v>12555</v>
      </c>
      <c r="C1463" s="516"/>
      <c r="D1463" s="514" t="s">
        <v>12554</v>
      </c>
      <c r="E1463" s="515">
        <v>5</v>
      </c>
      <c r="F1463" s="518" t="s">
        <v>1854</v>
      </c>
      <c r="G1463" s="515" t="s">
        <v>3807</v>
      </c>
      <c r="H1463" s="514"/>
      <c r="I1463" s="515"/>
      <c r="J1463" s="515"/>
    </row>
    <row r="1464" spans="1:10" ht="13.8" thickBot="1">
      <c r="A1464" s="517"/>
      <c r="B1464" s="518" t="s">
        <v>12775</v>
      </c>
      <c r="C1464" s="516"/>
      <c r="D1464" s="514" t="s">
        <v>12774</v>
      </c>
      <c r="E1464" s="515">
        <v>6.3</v>
      </c>
      <c r="F1464" s="518" t="s">
        <v>614</v>
      </c>
      <c r="G1464" s="515" t="s">
        <v>3517</v>
      </c>
      <c r="H1464" s="514" t="s">
        <v>1226</v>
      </c>
      <c r="I1464" s="515">
        <v>1</v>
      </c>
      <c r="J1464" s="515">
        <v>5</v>
      </c>
    </row>
    <row r="1465" spans="1:10" ht="13.8" thickBot="1">
      <c r="A1465" s="517"/>
      <c r="B1465" s="518" t="s">
        <v>12970</v>
      </c>
      <c r="C1465" s="516"/>
      <c r="D1465" s="514" t="s">
        <v>3122</v>
      </c>
      <c r="E1465" s="515">
        <v>6.5</v>
      </c>
      <c r="F1465" s="518" t="s">
        <v>614</v>
      </c>
      <c r="G1465" s="515" t="s">
        <v>3116</v>
      </c>
      <c r="H1465" s="514" t="s">
        <v>1226</v>
      </c>
      <c r="I1465" s="515"/>
      <c r="J1465" s="515">
        <v>2</v>
      </c>
    </row>
    <row r="1466" spans="1:10" ht="13.8" thickBot="1">
      <c r="A1466" s="517"/>
      <c r="B1466" s="518" t="s">
        <v>13137</v>
      </c>
      <c r="C1466" s="516"/>
      <c r="D1466" s="514" t="s">
        <v>13136</v>
      </c>
      <c r="E1466" s="515">
        <v>6.6</v>
      </c>
      <c r="F1466" s="518" t="s">
        <v>614</v>
      </c>
      <c r="G1466" s="515" t="s">
        <v>2957</v>
      </c>
      <c r="H1466" s="514" t="s">
        <v>1251</v>
      </c>
      <c r="I1466" s="515">
        <v>3</v>
      </c>
      <c r="J1466" s="515">
        <v>8</v>
      </c>
    </row>
    <row r="1467" spans="1:10" ht="13.8" thickBot="1">
      <c r="A1467" s="517"/>
      <c r="B1467" s="518" t="s">
        <v>12849</v>
      </c>
      <c r="C1467" s="516"/>
      <c r="D1467" s="514" t="s">
        <v>12848</v>
      </c>
      <c r="E1467" s="515">
        <v>6.5</v>
      </c>
      <c r="F1467" s="518" t="s">
        <v>614</v>
      </c>
      <c r="G1467" s="515" t="s">
        <v>3452</v>
      </c>
      <c r="H1467" s="514" t="s">
        <v>1226</v>
      </c>
      <c r="I1467" s="515">
        <v>2</v>
      </c>
      <c r="J1467" s="515">
        <v>6</v>
      </c>
    </row>
    <row r="1468" spans="1:10" ht="13.8" thickBot="1">
      <c r="A1468" s="517"/>
      <c r="B1468" s="518" t="s">
        <v>13502</v>
      </c>
      <c r="C1468" s="516"/>
      <c r="D1468" s="514" t="s">
        <v>13501</v>
      </c>
      <c r="E1468" s="515">
        <v>6.7</v>
      </c>
      <c r="F1468" s="518" t="s">
        <v>614</v>
      </c>
      <c r="G1468" s="515" t="s">
        <v>2523</v>
      </c>
      <c r="H1468" s="514" t="s">
        <v>1226</v>
      </c>
      <c r="I1468" s="515">
        <v>1</v>
      </c>
      <c r="J1468" s="515">
        <v>5</v>
      </c>
    </row>
    <row r="1469" spans="1:10" ht="13.8" thickBot="1">
      <c r="A1469" s="517"/>
      <c r="B1469" s="518" t="s">
        <v>13209</v>
      </c>
      <c r="C1469" s="516"/>
      <c r="D1469" s="520" t="s">
        <v>13208</v>
      </c>
      <c r="E1469" s="521">
        <v>6</v>
      </c>
      <c r="F1469" s="518" t="s">
        <v>614</v>
      </c>
      <c r="G1469" s="515" t="s">
        <v>2797</v>
      </c>
      <c r="H1469" s="514"/>
      <c r="I1469" s="521"/>
      <c r="J1469" s="521">
        <v>5</v>
      </c>
    </row>
    <row r="1470" spans="1:10" ht="13.8" thickBot="1">
      <c r="A1470" s="517"/>
      <c r="B1470" s="518" t="s">
        <v>13005</v>
      </c>
      <c r="C1470" s="516"/>
      <c r="D1470" s="514" t="s">
        <v>1576</v>
      </c>
      <c r="E1470" s="515">
        <v>4</v>
      </c>
      <c r="F1470" s="518" t="s">
        <v>1854</v>
      </c>
      <c r="G1470" s="515" t="s">
        <v>2957</v>
      </c>
      <c r="H1470" s="514"/>
      <c r="I1470" s="515"/>
      <c r="J1470" s="515"/>
    </row>
    <row r="1471" spans="1:10" ht="13.8" thickBot="1">
      <c r="A1471" s="517"/>
      <c r="B1471" s="518" t="s">
        <v>12743</v>
      </c>
      <c r="C1471" s="516"/>
      <c r="D1471" s="514" t="s">
        <v>3579</v>
      </c>
      <c r="E1471" s="515">
        <v>5.75</v>
      </c>
      <c r="F1471" s="518" t="s">
        <v>1854</v>
      </c>
      <c r="G1471" s="515" t="s">
        <v>3517</v>
      </c>
      <c r="H1471" s="514"/>
      <c r="I1471" s="515"/>
      <c r="J1471" s="515">
        <v>1</v>
      </c>
    </row>
    <row r="1472" spans="1:10" ht="13.8" thickBot="1">
      <c r="A1472" s="517"/>
      <c r="B1472" s="518" t="s">
        <v>14255</v>
      </c>
      <c r="C1472" s="516"/>
      <c r="D1472" s="514" t="s">
        <v>14254</v>
      </c>
      <c r="E1472" s="515">
        <v>6.9</v>
      </c>
      <c r="F1472" s="518" t="s">
        <v>614</v>
      </c>
      <c r="G1472" s="515" t="s">
        <v>1793</v>
      </c>
      <c r="H1472" s="514" t="s">
        <v>1251</v>
      </c>
      <c r="I1472" s="515"/>
      <c r="J1472" s="515">
        <v>10</v>
      </c>
    </row>
    <row r="1473" spans="1:10" ht="13.8" thickBot="1">
      <c r="A1473" s="517"/>
      <c r="B1473" s="518" t="s">
        <v>13467</v>
      </c>
      <c r="C1473" s="516"/>
      <c r="D1473" s="514" t="s">
        <v>13466</v>
      </c>
      <c r="E1473" s="515">
        <v>6.25</v>
      </c>
      <c r="F1473" s="518" t="s">
        <v>614</v>
      </c>
      <c r="G1473" s="515" t="s">
        <v>2523</v>
      </c>
      <c r="H1473" s="514" t="s">
        <v>1229</v>
      </c>
      <c r="I1473" s="515"/>
      <c r="J1473" s="515">
        <v>8</v>
      </c>
    </row>
    <row r="1474" spans="1:10" ht="13.8" thickBot="1">
      <c r="A1474" s="517"/>
      <c r="B1474" s="518" t="s">
        <v>12496</v>
      </c>
      <c r="C1474" s="516"/>
      <c r="D1474" s="514" t="s">
        <v>1507</v>
      </c>
      <c r="E1474" s="515">
        <v>3</v>
      </c>
      <c r="F1474" s="518" t="s">
        <v>1854</v>
      </c>
      <c r="G1474" s="515" t="s">
        <v>3856</v>
      </c>
      <c r="H1474" s="514" t="s">
        <v>1226</v>
      </c>
      <c r="I1474" s="515"/>
      <c r="J1474" s="515">
        <v>2</v>
      </c>
    </row>
    <row r="1475" spans="1:10" ht="13.8" thickBot="1">
      <c r="A1475" s="517"/>
      <c r="B1475" s="518" t="s">
        <v>14164</v>
      </c>
      <c r="C1475" s="516"/>
      <c r="D1475" s="514" t="s">
        <v>14163</v>
      </c>
      <c r="E1475" s="515">
        <v>5.5</v>
      </c>
      <c r="F1475" s="518" t="s">
        <v>614</v>
      </c>
      <c r="G1475" s="515" t="s">
        <v>1793</v>
      </c>
      <c r="H1475" s="514"/>
      <c r="I1475" s="515"/>
      <c r="J1475" s="515">
        <v>1</v>
      </c>
    </row>
    <row r="1476" spans="1:10" ht="13.8" thickBot="1">
      <c r="A1476" s="517"/>
      <c r="B1476" s="518" t="s">
        <v>12946</v>
      </c>
      <c r="C1476" s="516"/>
      <c r="D1476" s="514" t="s">
        <v>3273</v>
      </c>
      <c r="E1476" s="515">
        <v>6.75</v>
      </c>
      <c r="F1476" s="518" t="s">
        <v>1854</v>
      </c>
      <c r="G1476" s="515" t="s">
        <v>3161</v>
      </c>
      <c r="H1476" s="514"/>
      <c r="I1476" s="515"/>
      <c r="J1476" s="515"/>
    </row>
    <row r="1477" spans="1:10" ht="13.8" thickBot="1">
      <c r="A1477" s="517"/>
      <c r="B1477" s="518" t="s">
        <v>13766</v>
      </c>
      <c r="C1477" s="516"/>
      <c r="D1477" s="514" t="s">
        <v>1270</v>
      </c>
      <c r="E1477" s="515">
        <v>4.5</v>
      </c>
      <c r="F1477" s="518" t="s">
        <v>614</v>
      </c>
      <c r="G1477" s="515" t="s">
        <v>2152</v>
      </c>
      <c r="H1477" s="514" t="s">
        <v>1224</v>
      </c>
      <c r="I1477" s="515"/>
      <c r="J1477" s="515">
        <v>1</v>
      </c>
    </row>
    <row r="1478" spans="1:10" ht="13.8" thickBot="1">
      <c r="A1478" s="517"/>
      <c r="B1478" s="518" t="s">
        <v>12742</v>
      </c>
      <c r="C1478" s="516"/>
      <c r="D1478" s="519" t="s">
        <v>12741</v>
      </c>
      <c r="E1478" s="515">
        <v>5.5</v>
      </c>
      <c r="F1478" s="518" t="s">
        <v>614</v>
      </c>
      <c r="G1478" s="515" t="s">
        <v>3517</v>
      </c>
      <c r="H1478" s="514" t="s">
        <v>1226</v>
      </c>
      <c r="I1478" s="515"/>
      <c r="J1478" s="515">
        <v>6</v>
      </c>
    </row>
    <row r="1479" spans="1:10" ht="13.8" thickBot="1">
      <c r="A1479" s="517"/>
      <c r="B1479" s="518" t="s">
        <v>13135</v>
      </c>
      <c r="C1479" s="516"/>
      <c r="D1479" s="514" t="s">
        <v>13134</v>
      </c>
      <c r="E1479" s="515">
        <v>6.6</v>
      </c>
      <c r="F1479" s="518" t="s">
        <v>614</v>
      </c>
      <c r="G1479" s="515" t="s">
        <v>2957</v>
      </c>
      <c r="H1479" s="514" t="s">
        <v>2417</v>
      </c>
      <c r="I1479" s="515">
        <v>2</v>
      </c>
      <c r="J1479" s="515">
        <v>7</v>
      </c>
    </row>
    <row r="1480" spans="1:10" ht="13.8" thickBot="1">
      <c r="A1480" s="517"/>
      <c r="B1480" s="518" t="s">
        <v>12270</v>
      </c>
      <c r="C1480" s="516"/>
      <c r="D1480" s="514" t="s">
        <v>12269</v>
      </c>
      <c r="E1480" s="515">
        <v>4</v>
      </c>
      <c r="F1480" s="518" t="s">
        <v>1854</v>
      </c>
      <c r="G1480" s="515" t="s">
        <v>4364</v>
      </c>
      <c r="H1480" s="514"/>
      <c r="I1480" s="515"/>
      <c r="J1480" s="515"/>
    </row>
    <row r="1481" spans="1:10" ht="13.8" thickBot="1">
      <c r="A1481" s="517"/>
      <c r="B1481" s="518" t="s">
        <v>12935</v>
      </c>
      <c r="C1481" s="516"/>
      <c r="D1481" s="514" t="s">
        <v>1390</v>
      </c>
      <c r="E1481" s="515">
        <v>6.5</v>
      </c>
      <c r="F1481" s="518" t="s">
        <v>1854</v>
      </c>
      <c r="G1481" s="515" t="s">
        <v>3161</v>
      </c>
      <c r="H1481" s="514"/>
      <c r="I1481" s="515"/>
      <c r="J1481" s="515"/>
    </row>
    <row r="1482" spans="1:10" ht="13.8" thickBot="1">
      <c r="A1482" s="517"/>
      <c r="B1482" s="518" t="s">
        <v>12353</v>
      </c>
      <c r="C1482" s="516"/>
      <c r="D1482" s="514" t="s">
        <v>12352</v>
      </c>
      <c r="E1482" s="515">
        <v>7.25</v>
      </c>
      <c r="F1482" s="518" t="s">
        <v>1854</v>
      </c>
      <c r="G1482" s="515" t="s">
        <v>4214</v>
      </c>
      <c r="H1482" s="514"/>
      <c r="I1482" s="515"/>
      <c r="J1482" s="515">
        <v>1</v>
      </c>
    </row>
    <row r="1483" spans="1:10" ht="13.8" thickBot="1">
      <c r="A1483" s="517"/>
      <c r="B1483" s="518" t="s">
        <v>12812</v>
      </c>
      <c r="C1483" s="516"/>
      <c r="D1483" s="514" t="s">
        <v>12811</v>
      </c>
      <c r="E1483" s="515">
        <v>7</v>
      </c>
      <c r="F1483" s="518" t="s">
        <v>614</v>
      </c>
      <c r="G1483" s="515" t="s">
        <v>3517</v>
      </c>
      <c r="H1483" s="514" t="s">
        <v>1251</v>
      </c>
      <c r="I1483" s="515">
        <v>1</v>
      </c>
      <c r="J1483" s="515">
        <v>5</v>
      </c>
    </row>
    <row r="1484" spans="1:10" ht="13.8" thickBot="1">
      <c r="A1484" s="517"/>
      <c r="B1484" s="518" t="s">
        <v>14229</v>
      </c>
      <c r="C1484" s="516"/>
      <c r="D1484" s="514" t="s">
        <v>14228</v>
      </c>
      <c r="E1484" s="515">
        <v>6.5</v>
      </c>
      <c r="F1484" s="518" t="s">
        <v>614</v>
      </c>
      <c r="G1484" s="515" t="s">
        <v>1793</v>
      </c>
      <c r="H1484" s="514" t="s">
        <v>1226</v>
      </c>
      <c r="I1484" s="515">
        <v>1</v>
      </c>
      <c r="J1484" s="515">
        <v>2</v>
      </c>
    </row>
    <row r="1485" spans="1:10" ht="13.8" thickBot="1">
      <c r="A1485" s="517"/>
      <c r="B1485" s="518" t="s">
        <v>12182</v>
      </c>
      <c r="C1485" s="516"/>
      <c r="D1485" s="514" t="s">
        <v>12181</v>
      </c>
      <c r="E1485" s="515">
        <v>6.5</v>
      </c>
      <c r="F1485" s="518" t="s">
        <v>614</v>
      </c>
      <c r="G1485" s="515" t="s">
        <v>4822</v>
      </c>
      <c r="H1485" s="514" t="s">
        <v>1251</v>
      </c>
      <c r="I1485" s="515"/>
      <c r="J1485" s="515">
        <v>3</v>
      </c>
    </row>
    <row r="1486" spans="1:10" ht="13.8" thickBot="1">
      <c r="A1486" s="517"/>
      <c r="B1486" s="518" t="s">
        <v>13026</v>
      </c>
      <c r="C1486" s="516"/>
      <c r="D1486" s="514" t="s">
        <v>13025</v>
      </c>
      <c r="E1486" s="515">
        <v>5</v>
      </c>
      <c r="F1486" s="518" t="s">
        <v>1854</v>
      </c>
      <c r="G1486" s="515" t="s">
        <v>2957</v>
      </c>
      <c r="H1486" s="514"/>
      <c r="I1486" s="515"/>
      <c r="J1486" s="515">
        <v>1</v>
      </c>
    </row>
    <row r="1487" spans="1:10" ht="13.8" thickBot="1">
      <c r="A1487" s="517"/>
      <c r="B1487" s="518" t="s">
        <v>13508</v>
      </c>
      <c r="C1487" s="516"/>
      <c r="D1487" s="514" t="s">
        <v>13507</v>
      </c>
      <c r="E1487" s="515">
        <v>6.7</v>
      </c>
      <c r="F1487" s="518" t="s">
        <v>614</v>
      </c>
      <c r="G1487" s="515" t="s">
        <v>2523</v>
      </c>
      <c r="H1487" s="514" t="s">
        <v>1251</v>
      </c>
      <c r="I1487" s="515">
        <v>1</v>
      </c>
      <c r="J1487" s="515">
        <v>6</v>
      </c>
    </row>
    <row r="1488" spans="1:10" ht="13.8" thickBot="1">
      <c r="A1488" s="517"/>
      <c r="B1488" s="518" t="s">
        <v>14267</v>
      </c>
      <c r="C1488" s="516"/>
      <c r="D1488" s="514" t="s">
        <v>1792</v>
      </c>
      <c r="E1488" s="515">
        <v>7</v>
      </c>
      <c r="F1488" s="518" t="s">
        <v>1854</v>
      </c>
      <c r="G1488" s="515" t="s">
        <v>1793</v>
      </c>
      <c r="H1488" s="514"/>
      <c r="I1488" s="515">
        <v>1</v>
      </c>
      <c r="J1488" s="515">
        <v>2</v>
      </c>
    </row>
    <row r="1489" spans="1:10" ht="13.8" thickBot="1">
      <c r="A1489" s="517"/>
      <c r="B1489" s="518" t="s">
        <v>14076</v>
      </c>
      <c r="C1489" s="516"/>
      <c r="D1489" s="514" t="s">
        <v>1792</v>
      </c>
      <c r="E1489" s="515">
        <v>3</v>
      </c>
      <c r="F1489" s="518" t="s">
        <v>1854</v>
      </c>
      <c r="G1489" s="515" t="s">
        <v>1793</v>
      </c>
      <c r="H1489" s="514"/>
      <c r="I1489" s="515"/>
      <c r="J1489" s="515"/>
    </row>
    <row r="1490" spans="1:10" ht="13.8" thickBot="1">
      <c r="A1490" s="517"/>
      <c r="B1490" s="518" t="s">
        <v>12594</v>
      </c>
      <c r="C1490" s="516"/>
      <c r="D1490" s="514" t="s">
        <v>12593</v>
      </c>
      <c r="E1490" s="515">
        <v>6.75</v>
      </c>
      <c r="F1490" s="518" t="s">
        <v>614</v>
      </c>
      <c r="G1490" s="515" t="s">
        <v>3807</v>
      </c>
      <c r="H1490" s="514" t="s">
        <v>1251</v>
      </c>
      <c r="I1490" s="515">
        <v>2</v>
      </c>
      <c r="J1490" s="515">
        <v>7</v>
      </c>
    </row>
    <row r="1491" spans="1:10" ht="13.8" thickBot="1">
      <c r="A1491" s="517"/>
      <c r="B1491" s="518" t="s">
        <v>14192</v>
      </c>
      <c r="C1491" s="516"/>
      <c r="D1491" s="514" t="s">
        <v>14191</v>
      </c>
      <c r="E1491" s="515">
        <v>6</v>
      </c>
      <c r="F1491" s="518" t="s">
        <v>614</v>
      </c>
      <c r="G1491" s="515" t="s">
        <v>1793</v>
      </c>
      <c r="H1491" s="514" t="s">
        <v>1226</v>
      </c>
      <c r="I1491" s="515"/>
      <c r="J1491" s="515">
        <v>4</v>
      </c>
    </row>
    <row r="1492" spans="1:10" ht="13.8" thickBot="1">
      <c r="A1492" s="517"/>
      <c r="B1492" s="518" t="s">
        <v>14124</v>
      </c>
      <c r="C1492" s="516"/>
      <c r="D1492" s="514" t="s">
        <v>1792</v>
      </c>
      <c r="E1492" s="515">
        <v>5</v>
      </c>
      <c r="F1492" s="518" t="s">
        <v>1854</v>
      </c>
      <c r="G1492" s="515" t="s">
        <v>1793</v>
      </c>
      <c r="H1492" s="514"/>
      <c r="I1492" s="515"/>
      <c r="J1492" s="515">
        <v>1</v>
      </c>
    </row>
    <row r="1493" spans="1:10" ht="13.8" thickBot="1">
      <c r="A1493" s="517"/>
      <c r="B1493" s="518" t="s">
        <v>13147</v>
      </c>
      <c r="C1493" s="516"/>
      <c r="D1493" s="514" t="s">
        <v>13146</v>
      </c>
      <c r="E1493" s="515">
        <v>6.75</v>
      </c>
      <c r="F1493" s="518" t="s">
        <v>614</v>
      </c>
      <c r="G1493" s="515" t="s">
        <v>2957</v>
      </c>
      <c r="H1493" s="514" t="s">
        <v>1251</v>
      </c>
      <c r="I1493" s="515">
        <v>1</v>
      </c>
      <c r="J1493" s="515">
        <v>9</v>
      </c>
    </row>
    <row r="1494" spans="1:10" ht="13.8" thickBot="1">
      <c r="A1494" s="517"/>
      <c r="B1494" s="518" t="s">
        <v>12678</v>
      </c>
      <c r="C1494" s="516"/>
      <c r="D1494" s="514" t="s">
        <v>1468</v>
      </c>
      <c r="E1494" s="515">
        <v>5.5</v>
      </c>
      <c r="F1494" s="518" t="s">
        <v>1854</v>
      </c>
      <c r="G1494" s="515" t="s">
        <v>3652</v>
      </c>
      <c r="H1494" s="514"/>
      <c r="I1494" s="515"/>
      <c r="J1494" s="515">
        <v>1</v>
      </c>
    </row>
    <row r="1495" spans="1:10" ht="13.8" thickBot="1">
      <c r="A1495" s="517"/>
      <c r="B1495" s="518" t="s">
        <v>12795</v>
      </c>
      <c r="C1495" s="516"/>
      <c r="D1495" s="514" t="s">
        <v>12794</v>
      </c>
      <c r="E1495" s="515">
        <v>6.75</v>
      </c>
      <c r="F1495" s="518" t="s">
        <v>614</v>
      </c>
      <c r="G1495" s="515" t="s">
        <v>3517</v>
      </c>
      <c r="H1495" s="514" t="s">
        <v>1224</v>
      </c>
      <c r="I1495" s="515">
        <v>1</v>
      </c>
      <c r="J1495" s="515">
        <v>5</v>
      </c>
    </row>
    <row r="1496" spans="1:10" ht="13.8" thickBot="1">
      <c r="A1496" s="517"/>
      <c r="B1496" s="518" t="s">
        <v>13232</v>
      </c>
      <c r="C1496" s="516"/>
      <c r="D1496" s="514" t="s">
        <v>13231</v>
      </c>
      <c r="E1496" s="515">
        <v>6</v>
      </c>
      <c r="F1496" s="518" t="s">
        <v>614</v>
      </c>
      <c r="G1496" s="515" t="s">
        <v>2779</v>
      </c>
      <c r="H1496" s="514"/>
      <c r="I1496" s="515"/>
      <c r="J1496" s="515">
        <v>1</v>
      </c>
    </row>
    <row r="1497" spans="1:10" ht="13.8" thickBot="1">
      <c r="A1497" s="517"/>
      <c r="B1497" s="518" t="s">
        <v>13706</v>
      </c>
      <c r="C1497" s="516"/>
      <c r="D1497" s="514" t="s">
        <v>13705</v>
      </c>
      <c r="E1497" s="515">
        <v>6.75</v>
      </c>
      <c r="F1497" s="518" t="s">
        <v>614</v>
      </c>
      <c r="G1497" s="515" t="s">
        <v>2289</v>
      </c>
      <c r="H1497" s="514" t="s">
        <v>1229</v>
      </c>
      <c r="I1497" s="515"/>
      <c r="J1497" s="515">
        <v>8</v>
      </c>
    </row>
    <row r="1498" spans="1:10" ht="13.8" thickBot="1">
      <c r="A1498" s="517"/>
      <c r="B1498" s="518" t="s">
        <v>13088</v>
      </c>
      <c r="C1498" s="516"/>
      <c r="D1498" s="514" t="s">
        <v>1576</v>
      </c>
      <c r="E1498" s="515">
        <v>6</v>
      </c>
      <c r="F1498" s="518" t="s">
        <v>614</v>
      </c>
      <c r="G1498" s="515" t="s">
        <v>2957</v>
      </c>
      <c r="H1498" s="514" t="s">
        <v>1224</v>
      </c>
      <c r="I1498" s="515"/>
      <c r="J1498" s="515">
        <v>2</v>
      </c>
    </row>
    <row r="1499" spans="1:10" ht="13.8" thickBot="1">
      <c r="A1499" s="517"/>
      <c r="B1499" s="518" t="s">
        <v>12733</v>
      </c>
      <c r="C1499" s="516"/>
      <c r="D1499" s="514" t="s">
        <v>12732</v>
      </c>
      <c r="E1499" s="515">
        <v>5</v>
      </c>
      <c r="F1499" s="518" t="s">
        <v>614</v>
      </c>
      <c r="G1499" s="515" t="s">
        <v>3517</v>
      </c>
      <c r="H1499" s="514" t="s">
        <v>1226</v>
      </c>
      <c r="I1499" s="515"/>
      <c r="J1499" s="515">
        <v>1</v>
      </c>
    </row>
    <row r="1500" spans="1:10" ht="13.8" thickBot="1">
      <c r="A1500" s="517"/>
      <c r="B1500" s="518" t="s">
        <v>12500</v>
      </c>
      <c r="C1500" s="516"/>
      <c r="D1500" s="514" t="s">
        <v>1507</v>
      </c>
      <c r="E1500" s="515">
        <v>5</v>
      </c>
      <c r="F1500" s="518" t="s">
        <v>1854</v>
      </c>
      <c r="G1500" s="515" t="s">
        <v>3856</v>
      </c>
      <c r="H1500" s="514"/>
      <c r="I1500" s="515"/>
      <c r="J1500" s="515">
        <v>1</v>
      </c>
    </row>
    <row r="1501" spans="1:10" ht="13.8" thickBot="1">
      <c r="A1501" s="517"/>
      <c r="B1501" s="518" t="s">
        <v>13098</v>
      </c>
      <c r="C1501" s="516"/>
      <c r="D1501" s="514" t="s">
        <v>13097</v>
      </c>
      <c r="E1501" s="515">
        <v>6</v>
      </c>
      <c r="F1501" s="518" t="s">
        <v>614</v>
      </c>
      <c r="G1501" s="515" t="s">
        <v>2957</v>
      </c>
      <c r="H1501" s="514" t="s">
        <v>1841</v>
      </c>
      <c r="I1501" s="515"/>
      <c r="J1501" s="515">
        <v>6</v>
      </c>
    </row>
    <row r="1502" spans="1:10" ht="13.8" thickBot="1">
      <c r="A1502" s="517"/>
      <c r="B1502" s="518" t="s">
        <v>13515</v>
      </c>
      <c r="C1502" s="516"/>
      <c r="D1502" s="514" t="s">
        <v>13514</v>
      </c>
      <c r="E1502" s="515">
        <v>6.75</v>
      </c>
      <c r="F1502" s="518" t="s">
        <v>614</v>
      </c>
      <c r="G1502" s="515" t="s">
        <v>2523</v>
      </c>
      <c r="H1502" s="514"/>
      <c r="I1502" s="515"/>
      <c r="J1502" s="515">
        <v>1</v>
      </c>
    </row>
    <row r="1503" spans="1:10" ht="13.8" thickBot="1">
      <c r="A1503" s="517"/>
      <c r="B1503" s="518" t="s">
        <v>12219</v>
      </c>
      <c r="C1503" s="516"/>
      <c r="D1503" s="514" t="s">
        <v>12218</v>
      </c>
      <c r="E1503" s="515">
        <v>5</v>
      </c>
      <c r="F1503" s="518" t="s">
        <v>1854</v>
      </c>
      <c r="G1503" s="515" t="s">
        <v>4672</v>
      </c>
      <c r="H1503" s="514"/>
      <c r="I1503" s="515"/>
      <c r="J1503" s="515"/>
    </row>
    <row r="1504" spans="1:10" ht="13.8" thickBot="1">
      <c r="A1504" s="517"/>
      <c r="B1504" s="518" t="s">
        <v>12879</v>
      </c>
      <c r="C1504" s="516"/>
      <c r="D1504" s="514" t="s">
        <v>12878</v>
      </c>
      <c r="E1504" s="515">
        <v>3</v>
      </c>
      <c r="F1504" s="518" t="s">
        <v>1854</v>
      </c>
      <c r="G1504" s="515" t="s">
        <v>3351</v>
      </c>
      <c r="H1504" s="514"/>
      <c r="I1504" s="515"/>
      <c r="J1504" s="515"/>
    </row>
    <row r="1505" spans="1:10" ht="13.8" thickBot="1">
      <c r="A1505" s="517"/>
      <c r="B1505" s="518" t="s">
        <v>13096</v>
      </c>
      <c r="C1505" s="516"/>
      <c r="D1505" s="514" t="s">
        <v>3057</v>
      </c>
      <c r="E1505" s="515">
        <v>6</v>
      </c>
      <c r="F1505" s="518" t="s">
        <v>614</v>
      </c>
      <c r="G1505" s="515" t="s">
        <v>2957</v>
      </c>
      <c r="H1505" s="514" t="s">
        <v>1841</v>
      </c>
      <c r="I1505" s="515"/>
      <c r="J1505" s="515">
        <v>5</v>
      </c>
    </row>
    <row r="1506" spans="1:10" ht="13.8" thickBot="1">
      <c r="A1506" s="517"/>
      <c r="B1506" s="518" t="s">
        <v>12575</v>
      </c>
      <c r="C1506" s="516"/>
      <c r="D1506" s="514" t="s">
        <v>12574</v>
      </c>
      <c r="E1506" s="515">
        <v>6</v>
      </c>
      <c r="F1506" s="518" t="s">
        <v>614</v>
      </c>
      <c r="G1506" s="515" t="s">
        <v>3807</v>
      </c>
      <c r="H1506" s="514" t="s">
        <v>1226</v>
      </c>
      <c r="I1506" s="515">
        <v>1</v>
      </c>
      <c r="J1506" s="515">
        <v>4</v>
      </c>
    </row>
    <row r="1507" spans="1:10" ht="13.8" thickBot="1">
      <c r="A1507" s="517"/>
      <c r="B1507" s="518" t="s">
        <v>12328</v>
      </c>
      <c r="C1507" s="516"/>
      <c r="D1507" s="514" t="s">
        <v>12327</v>
      </c>
      <c r="E1507" s="515">
        <v>6</v>
      </c>
      <c r="F1507" s="518" t="s">
        <v>1978</v>
      </c>
      <c r="G1507" s="515" t="s">
        <v>4214</v>
      </c>
      <c r="H1507" s="514" t="s">
        <v>1226</v>
      </c>
      <c r="I1507" s="515"/>
      <c r="J1507" s="515">
        <v>1</v>
      </c>
    </row>
    <row r="1508" spans="1:10" ht="13.8" thickBot="1">
      <c r="A1508" s="517"/>
      <c r="B1508" s="518" t="s">
        <v>13085</v>
      </c>
      <c r="C1508" s="516"/>
      <c r="D1508" s="514" t="s">
        <v>13084</v>
      </c>
      <c r="E1508" s="515">
        <v>5.75</v>
      </c>
      <c r="F1508" s="518" t="s">
        <v>614</v>
      </c>
      <c r="G1508" s="515" t="s">
        <v>2957</v>
      </c>
      <c r="H1508" s="514" t="s">
        <v>1251</v>
      </c>
      <c r="I1508" s="515"/>
      <c r="J1508" s="515">
        <v>3</v>
      </c>
    </row>
    <row r="1509" spans="1:10" ht="13.8" thickBot="1">
      <c r="A1509" s="517"/>
      <c r="B1509" s="518" t="s">
        <v>12710</v>
      </c>
      <c r="C1509" s="516"/>
      <c r="D1509" s="514" t="s">
        <v>12709</v>
      </c>
      <c r="E1509" s="515">
        <v>4</v>
      </c>
      <c r="F1509" s="518" t="s">
        <v>1854</v>
      </c>
      <c r="G1509" s="515" t="s">
        <v>3517</v>
      </c>
      <c r="H1509" s="514"/>
      <c r="I1509" s="515"/>
      <c r="J1509" s="515"/>
    </row>
    <row r="1510" spans="1:10" ht="13.8" thickBot="1">
      <c r="A1510" s="517"/>
      <c r="B1510" s="518" t="s">
        <v>13244</v>
      </c>
      <c r="C1510" s="516"/>
      <c r="D1510" s="514" t="s">
        <v>13243</v>
      </c>
      <c r="E1510" s="515">
        <v>7.1</v>
      </c>
      <c r="F1510" s="518" t="s">
        <v>614</v>
      </c>
      <c r="G1510" s="515" t="s">
        <v>2747</v>
      </c>
      <c r="H1510" s="514" t="s">
        <v>1224</v>
      </c>
      <c r="I1510" s="515"/>
      <c r="J1510" s="515">
        <v>3</v>
      </c>
    </row>
    <row r="1511" spans="1:10" ht="13.8" thickBot="1">
      <c r="A1511" s="517"/>
      <c r="B1511" s="518" t="s">
        <v>13980</v>
      </c>
      <c r="C1511" s="516"/>
      <c r="D1511" s="514" t="s">
        <v>13979</v>
      </c>
      <c r="E1511" s="515">
        <v>6.8</v>
      </c>
      <c r="F1511" s="518" t="s">
        <v>1854</v>
      </c>
      <c r="G1511" s="515" t="s">
        <v>1922</v>
      </c>
      <c r="H1511" s="514" t="s">
        <v>1224</v>
      </c>
      <c r="I1511" s="515">
        <v>1</v>
      </c>
      <c r="J1511" s="515">
        <v>4</v>
      </c>
    </row>
    <row r="1512" spans="1:10" ht="13.8" thickBot="1">
      <c r="A1512" s="517"/>
      <c r="B1512" s="518" t="s">
        <v>12623</v>
      </c>
      <c r="C1512" s="516"/>
      <c r="D1512" s="514" t="s">
        <v>3739</v>
      </c>
      <c r="E1512" s="515">
        <v>5.25</v>
      </c>
      <c r="F1512" s="518" t="s">
        <v>614</v>
      </c>
      <c r="G1512" s="515" t="s">
        <v>3734</v>
      </c>
      <c r="H1512" s="514" t="s">
        <v>1226</v>
      </c>
      <c r="I1512" s="515"/>
      <c r="J1512" s="515">
        <v>2</v>
      </c>
    </row>
    <row r="1513" spans="1:10" ht="13.8" thickBot="1">
      <c r="A1513" s="517"/>
      <c r="B1513" s="518" t="s">
        <v>12916</v>
      </c>
      <c r="C1513" s="516"/>
      <c r="D1513" s="514" t="s">
        <v>1390</v>
      </c>
      <c r="E1513" s="515">
        <v>5</v>
      </c>
      <c r="F1513" s="518" t="s">
        <v>1854</v>
      </c>
      <c r="G1513" s="515" t="s">
        <v>3161</v>
      </c>
      <c r="H1513" s="514"/>
      <c r="I1513" s="515"/>
      <c r="J1513" s="515">
        <v>1</v>
      </c>
    </row>
    <row r="1514" spans="1:10" ht="13.8" thickBot="1">
      <c r="A1514" s="517"/>
      <c r="B1514" s="518" t="s">
        <v>12207</v>
      </c>
      <c r="C1514" s="516"/>
      <c r="D1514" s="514" t="s">
        <v>12206</v>
      </c>
      <c r="E1514" s="515">
        <v>6.5</v>
      </c>
      <c r="F1514" s="518" t="s">
        <v>614</v>
      </c>
      <c r="G1514" s="515" t="s">
        <v>4717</v>
      </c>
      <c r="H1514" s="514" t="s">
        <v>1226</v>
      </c>
      <c r="I1514" s="515"/>
      <c r="J1514" s="515">
        <v>2</v>
      </c>
    </row>
    <row r="1515" spans="1:10" ht="13.8" thickBot="1">
      <c r="A1515" s="517"/>
      <c r="B1515" s="518" t="s">
        <v>12945</v>
      </c>
      <c r="C1515" s="516"/>
      <c r="D1515" s="514" t="s">
        <v>1390</v>
      </c>
      <c r="E1515" s="515">
        <v>6.75</v>
      </c>
      <c r="F1515" s="518" t="s">
        <v>1854</v>
      </c>
      <c r="G1515" s="515" t="s">
        <v>3161</v>
      </c>
      <c r="H1515" s="514"/>
      <c r="I1515" s="515"/>
      <c r="J1515" s="515"/>
    </row>
    <row r="1516" spans="1:10" ht="13.8" thickBot="1">
      <c r="A1516" s="517"/>
      <c r="B1516" s="518" t="s">
        <v>14075</v>
      </c>
      <c r="C1516" s="516"/>
      <c r="D1516" s="514" t="s">
        <v>1792</v>
      </c>
      <c r="E1516" s="515">
        <v>3</v>
      </c>
      <c r="F1516" s="518" t="s">
        <v>1854</v>
      </c>
      <c r="G1516" s="515" t="s">
        <v>1793</v>
      </c>
      <c r="H1516" s="514"/>
      <c r="I1516" s="515"/>
      <c r="J1516" s="515"/>
    </row>
    <row r="1517" spans="1:10" ht="13.8" thickBot="1">
      <c r="A1517" s="517"/>
      <c r="B1517" s="518" t="s">
        <v>11973</v>
      </c>
      <c r="C1517" s="516"/>
      <c r="D1517" s="514" t="s">
        <v>11972</v>
      </c>
      <c r="E1517" s="515">
        <v>7.1</v>
      </c>
      <c r="F1517" s="518" t="s">
        <v>614</v>
      </c>
      <c r="G1517" s="515" t="s">
        <v>5196</v>
      </c>
      <c r="H1517" s="514" t="s">
        <v>1251</v>
      </c>
      <c r="I1517" s="515"/>
      <c r="J1517" s="515">
        <v>3</v>
      </c>
    </row>
    <row r="1518" spans="1:10" ht="13.8" thickBot="1">
      <c r="A1518" s="517"/>
      <c r="B1518" s="518" t="s">
        <v>12667</v>
      </c>
      <c r="C1518" s="516"/>
      <c r="D1518" s="514" t="s">
        <v>1466</v>
      </c>
      <c r="E1518" s="515">
        <v>4</v>
      </c>
      <c r="F1518" s="518" t="s">
        <v>1854</v>
      </c>
      <c r="G1518" s="515" t="s">
        <v>3652</v>
      </c>
      <c r="H1518" s="514"/>
      <c r="I1518" s="515"/>
      <c r="J1518" s="515"/>
    </row>
    <row r="1519" spans="1:10" ht="13.8" thickBot="1">
      <c r="A1519" s="517"/>
      <c r="B1519" s="518" t="s">
        <v>11578</v>
      </c>
      <c r="C1519" s="516"/>
      <c r="D1519" s="514" t="s">
        <v>11577</v>
      </c>
      <c r="E1519" s="515">
        <v>7</v>
      </c>
      <c r="F1519" s="518" t="s">
        <v>1854</v>
      </c>
      <c r="G1519" s="515" t="s">
        <v>11525</v>
      </c>
      <c r="H1519" s="514"/>
      <c r="I1519" s="515">
        <v>1</v>
      </c>
      <c r="J1519" s="515">
        <v>1</v>
      </c>
    </row>
    <row r="1520" spans="1:10" ht="13.8" thickBot="1">
      <c r="A1520" s="517"/>
      <c r="B1520" s="518" t="s">
        <v>12947</v>
      </c>
      <c r="C1520" s="516"/>
      <c r="D1520" s="514" t="s">
        <v>1408</v>
      </c>
      <c r="E1520" s="515">
        <v>6.8</v>
      </c>
      <c r="F1520" s="518" t="s">
        <v>614</v>
      </c>
      <c r="G1520" s="515" t="s">
        <v>3161</v>
      </c>
      <c r="H1520" s="514" t="s">
        <v>1224</v>
      </c>
      <c r="I1520" s="515"/>
      <c r="J1520" s="515">
        <v>2</v>
      </c>
    </row>
    <row r="1521" spans="1:10" ht="13.8" thickBot="1">
      <c r="A1521" s="517"/>
      <c r="B1521" s="518" t="s">
        <v>13568</v>
      </c>
      <c r="C1521" s="516"/>
      <c r="D1521" s="514" t="s">
        <v>13567</v>
      </c>
      <c r="E1521" s="515">
        <v>8</v>
      </c>
      <c r="F1521" s="518" t="s">
        <v>1854</v>
      </c>
      <c r="G1521" s="515" t="s">
        <v>2523</v>
      </c>
      <c r="H1521" s="514"/>
      <c r="I1521" s="515">
        <v>1</v>
      </c>
      <c r="J1521" s="515">
        <v>2</v>
      </c>
    </row>
    <row r="1522" spans="1:10" ht="13.8" thickBot="1">
      <c r="A1522" s="517"/>
      <c r="B1522" s="518" t="s">
        <v>12112</v>
      </c>
      <c r="C1522" s="516"/>
      <c r="D1522" s="514" t="s">
        <v>1593</v>
      </c>
      <c r="E1522" s="515">
        <v>5</v>
      </c>
      <c r="F1522" s="518" t="s">
        <v>1854</v>
      </c>
      <c r="G1522" s="515" t="s">
        <v>4970</v>
      </c>
      <c r="H1522" s="514"/>
      <c r="I1522" s="515"/>
      <c r="J1522" s="515"/>
    </row>
    <row r="1523" spans="1:10" ht="13.8" thickBot="1">
      <c r="A1523" s="517"/>
      <c r="B1523" s="518" t="s">
        <v>12651</v>
      </c>
      <c r="C1523" s="516"/>
      <c r="D1523" s="514" t="s">
        <v>3782</v>
      </c>
      <c r="E1523" s="515">
        <v>6.8</v>
      </c>
      <c r="F1523" s="518" t="s">
        <v>614</v>
      </c>
      <c r="G1523" s="515" t="s">
        <v>3734</v>
      </c>
      <c r="H1523" s="514" t="s">
        <v>1226</v>
      </c>
      <c r="I1523" s="515">
        <v>1</v>
      </c>
      <c r="J1523" s="515">
        <v>4</v>
      </c>
    </row>
    <row r="1524" spans="1:10" ht="13.8" thickBot="1">
      <c r="A1524" s="517"/>
      <c r="B1524" s="518" t="s">
        <v>14074</v>
      </c>
      <c r="C1524" s="516"/>
      <c r="D1524" s="514" t="s">
        <v>1792</v>
      </c>
      <c r="E1524" s="515">
        <v>3</v>
      </c>
      <c r="F1524" s="518" t="s">
        <v>1854</v>
      </c>
      <c r="G1524" s="515" t="s">
        <v>1793</v>
      </c>
      <c r="H1524" s="514"/>
      <c r="I1524" s="515"/>
      <c r="J1524" s="515"/>
    </row>
    <row r="1525" spans="1:10" ht="13.8" thickBot="1">
      <c r="A1525" s="517"/>
      <c r="B1525" s="518" t="s">
        <v>12629</v>
      </c>
      <c r="C1525" s="516"/>
      <c r="D1525" s="514" t="s">
        <v>1488</v>
      </c>
      <c r="E1525" s="515">
        <v>5.5</v>
      </c>
      <c r="F1525" s="518" t="s">
        <v>614</v>
      </c>
      <c r="G1525" s="515" t="s">
        <v>3734</v>
      </c>
      <c r="H1525" s="514" t="s">
        <v>1251</v>
      </c>
      <c r="I1525" s="515"/>
      <c r="J1525" s="515">
        <v>1</v>
      </c>
    </row>
    <row r="1526" spans="1:10" ht="13.8" thickBot="1">
      <c r="A1526" s="517"/>
      <c r="B1526" s="518" t="s">
        <v>13689</v>
      </c>
      <c r="C1526" s="516"/>
      <c r="D1526" s="514" t="s">
        <v>13688</v>
      </c>
      <c r="E1526" s="515">
        <v>6.5</v>
      </c>
      <c r="F1526" s="518" t="s">
        <v>614</v>
      </c>
      <c r="G1526" s="515" t="s">
        <v>2289</v>
      </c>
      <c r="H1526" s="514" t="s">
        <v>1226</v>
      </c>
      <c r="I1526" s="515"/>
      <c r="J1526" s="515">
        <v>10</v>
      </c>
    </row>
    <row r="1527" spans="1:10" ht="13.8" thickBot="1">
      <c r="A1527" s="517"/>
      <c r="B1527" s="518" t="s">
        <v>13297</v>
      </c>
      <c r="C1527" s="516"/>
      <c r="D1527" s="514" t="s">
        <v>1300</v>
      </c>
      <c r="E1527" s="515">
        <v>5</v>
      </c>
      <c r="F1527" s="518" t="s">
        <v>1854</v>
      </c>
      <c r="G1527" s="515" t="s">
        <v>2523</v>
      </c>
      <c r="H1527" s="514"/>
      <c r="I1527" s="515"/>
      <c r="J1527" s="515"/>
    </row>
    <row r="1528" spans="1:10" ht="13.8" thickBot="1">
      <c r="A1528" s="517"/>
      <c r="B1528" s="518" t="s">
        <v>11969</v>
      </c>
      <c r="C1528" s="516"/>
      <c r="D1528" s="514" t="s">
        <v>11968</v>
      </c>
      <c r="E1528" s="515">
        <v>6.8</v>
      </c>
      <c r="F1528" s="518" t="s">
        <v>614</v>
      </c>
      <c r="G1528" s="515" t="s">
        <v>5196</v>
      </c>
      <c r="H1528" s="514" t="s">
        <v>1226</v>
      </c>
      <c r="I1528" s="515">
        <v>1</v>
      </c>
      <c r="J1528" s="515">
        <v>2</v>
      </c>
    </row>
    <row r="1529" spans="1:10" ht="13.8" thickBot="1">
      <c r="A1529" s="517"/>
      <c r="B1529" s="518" t="s">
        <v>14073</v>
      </c>
      <c r="C1529" s="516"/>
      <c r="D1529" s="514" t="s">
        <v>1792</v>
      </c>
      <c r="E1529" s="515">
        <v>3</v>
      </c>
      <c r="F1529" s="518" t="s">
        <v>1854</v>
      </c>
      <c r="G1529" s="515" t="s">
        <v>1793</v>
      </c>
      <c r="H1529" s="514"/>
      <c r="I1529" s="515"/>
      <c r="J1529" s="515"/>
    </row>
    <row r="1530" spans="1:10" ht="13.8" thickBot="1">
      <c r="A1530" s="517"/>
      <c r="B1530" s="518" t="s">
        <v>12691</v>
      </c>
      <c r="C1530" s="516"/>
      <c r="D1530" s="514" t="s">
        <v>12690</v>
      </c>
      <c r="E1530" s="515">
        <v>6.8</v>
      </c>
      <c r="F1530" s="518" t="s">
        <v>614</v>
      </c>
      <c r="G1530" s="515" t="s">
        <v>3652</v>
      </c>
      <c r="H1530" s="514" t="s">
        <v>1251</v>
      </c>
      <c r="I1530" s="515"/>
      <c r="J1530" s="515">
        <v>8</v>
      </c>
    </row>
    <row r="1531" spans="1:10" ht="13.8" thickBot="1">
      <c r="A1531" s="517"/>
      <c r="B1531" s="518" t="s">
        <v>12279</v>
      </c>
      <c r="C1531" s="516"/>
      <c r="D1531" s="514" t="s">
        <v>4352</v>
      </c>
      <c r="E1531" s="515">
        <v>7.5</v>
      </c>
      <c r="F1531" s="518" t="s">
        <v>614</v>
      </c>
      <c r="G1531" s="515" t="s">
        <v>4347</v>
      </c>
      <c r="H1531" s="514" t="s">
        <v>1226</v>
      </c>
      <c r="I1531" s="515">
        <v>1</v>
      </c>
      <c r="J1531" s="515">
        <v>5</v>
      </c>
    </row>
    <row r="1532" spans="1:10" ht="13.8" thickBot="1">
      <c r="A1532" s="517"/>
      <c r="B1532" s="518" t="s">
        <v>14138</v>
      </c>
      <c r="C1532" s="516"/>
      <c r="D1532" s="514" t="s">
        <v>14137</v>
      </c>
      <c r="E1532" s="515">
        <v>5</v>
      </c>
      <c r="F1532" s="518" t="s">
        <v>614</v>
      </c>
      <c r="G1532" s="515" t="s">
        <v>1793</v>
      </c>
      <c r="H1532" s="514"/>
      <c r="I1532" s="515"/>
      <c r="J1532" s="515">
        <v>3</v>
      </c>
    </row>
    <row r="1533" spans="1:10" ht="13.8" thickBot="1">
      <c r="A1533" s="517"/>
      <c r="B1533" s="518" t="s">
        <v>12069</v>
      </c>
      <c r="C1533" s="516"/>
      <c r="D1533" s="514" t="s">
        <v>12068</v>
      </c>
      <c r="E1533" s="515">
        <v>5.5</v>
      </c>
      <c r="F1533" s="518" t="s">
        <v>614</v>
      </c>
      <c r="G1533" s="515" t="s">
        <v>5010</v>
      </c>
      <c r="H1533" s="514" t="s">
        <v>1226</v>
      </c>
      <c r="I1533" s="515"/>
      <c r="J1533" s="515">
        <v>1</v>
      </c>
    </row>
    <row r="1534" spans="1:10" ht="13.8" thickBot="1">
      <c r="A1534" s="517"/>
      <c r="B1534" s="518" t="s">
        <v>12476</v>
      </c>
      <c r="C1534" s="516"/>
      <c r="D1534" s="514" t="s">
        <v>12475</v>
      </c>
      <c r="E1534" s="515">
        <v>7</v>
      </c>
      <c r="F1534" s="518" t="s">
        <v>614</v>
      </c>
      <c r="G1534" s="515" t="s">
        <v>3957</v>
      </c>
      <c r="H1534" s="514" t="s">
        <v>1251</v>
      </c>
      <c r="I1534" s="515">
        <v>1</v>
      </c>
      <c r="J1534" s="515">
        <v>3</v>
      </c>
    </row>
    <row r="1535" spans="1:10" ht="13.8" thickBot="1">
      <c r="A1535" s="517"/>
      <c r="B1535" s="518" t="s">
        <v>12217</v>
      </c>
      <c r="C1535" s="516"/>
      <c r="D1535" s="514" t="s">
        <v>12216</v>
      </c>
      <c r="E1535" s="515">
        <v>5</v>
      </c>
      <c r="F1535" s="518" t="s">
        <v>1854</v>
      </c>
      <c r="G1535" s="515" t="s">
        <v>4672</v>
      </c>
      <c r="H1535" s="514"/>
      <c r="I1535" s="515"/>
      <c r="J1535" s="515"/>
    </row>
    <row r="1536" spans="1:10" ht="13.8" thickBot="1">
      <c r="A1536" s="517"/>
      <c r="B1536" s="518" t="s">
        <v>11576</v>
      </c>
      <c r="C1536" s="516"/>
      <c r="D1536" s="514" t="s">
        <v>11533</v>
      </c>
      <c r="E1536" s="515">
        <v>5.5</v>
      </c>
      <c r="F1536" s="518" t="s">
        <v>1854</v>
      </c>
      <c r="G1536" s="515" t="s">
        <v>11525</v>
      </c>
      <c r="H1536" s="514"/>
      <c r="I1536" s="515"/>
      <c r="J1536" s="515">
        <v>2</v>
      </c>
    </row>
    <row r="1537" spans="1:10" ht="13.8" thickBot="1">
      <c r="A1537" s="517"/>
      <c r="B1537" s="518" t="s">
        <v>14169</v>
      </c>
      <c r="C1537" s="516"/>
      <c r="D1537" s="514" t="s">
        <v>1852</v>
      </c>
      <c r="E1537" s="515">
        <v>5.5</v>
      </c>
      <c r="F1537" s="518" t="s">
        <v>1854</v>
      </c>
      <c r="G1537" s="515" t="s">
        <v>1793</v>
      </c>
      <c r="H1537" s="514" t="s">
        <v>1226</v>
      </c>
      <c r="I1537" s="515"/>
      <c r="J1537" s="515">
        <v>2</v>
      </c>
    </row>
    <row r="1538" spans="1:10" ht="13.8" thickBot="1">
      <c r="A1538" s="517"/>
      <c r="B1538" s="518" t="s">
        <v>14072</v>
      </c>
      <c r="C1538" s="516"/>
      <c r="D1538" s="514" t="s">
        <v>1792</v>
      </c>
      <c r="E1538" s="515">
        <v>3</v>
      </c>
      <c r="F1538" s="518" t="s">
        <v>1854</v>
      </c>
      <c r="G1538" s="515" t="s">
        <v>1793</v>
      </c>
      <c r="H1538" s="514"/>
      <c r="I1538" s="515"/>
      <c r="J1538" s="515"/>
    </row>
    <row r="1539" spans="1:10" ht="13.8" thickBot="1">
      <c r="A1539" s="517"/>
      <c r="B1539" s="518" t="s">
        <v>14273</v>
      </c>
      <c r="C1539" s="516"/>
      <c r="D1539" s="514" t="s">
        <v>14272</v>
      </c>
      <c r="E1539" s="515">
        <v>7</v>
      </c>
      <c r="F1539" s="518" t="s">
        <v>1854</v>
      </c>
      <c r="G1539" s="515" t="s">
        <v>1793</v>
      </c>
      <c r="H1539" s="514"/>
      <c r="I1539" s="515">
        <v>2</v>
      </c>
      <c r="J1539" s="515">
        <v>3</v>
      </c>
    </row>
    <row r="1540" spans="1:10" ht="13.8" thickBot="1">
      <c r="A1540" s="517"/>
      <c r="B1540" s="518" t="s">
        <v>12944</v>
      </c>
      <c r="C1540" s="516"/>
      <c r="D1540" s="514" t="s">
        <v>12943</v>
      </c>
      <c r="E1540" s="515">
        <v>6.75</v>
      </c>
      <c r="F1540" s="518" t="s">
        <v>1854</v>
      </c>
      <c r="G1540" s="515" t="s">
        <v>3161</v>
      </c>
      <c r="H1540" s="514"/>
      <c r="I1540" s="515"/>
      <c r="J1540" s="515"/>
    </row>
    <row r="1541" spans="1:10" ht="13.8" thickBot="1">
      <c r="A1541" s="517"/>
      <c r="B1541" s="518" t="s">
        <v>14245</v>
      </c>
      <c r="C1541" s="516"/>
      <c r="D1541" s="520" t="s">
        <v>14244</v>
      </c>
      <c r="E1541" s="521">
        <v>6.75</v>
      </c>
      <c r="F1541" s="518" t="s">
        <v>1854</v>
      </c>
      <c r="G1541" s="515" t="s">
        <v>1793</v>
      </c>
      <c r="H1541" s="514"/>
      <c r="I1541" s="521"/>
      <c r="J1541" s="521"/>
    </row>
    <row r="1542" spans="1:10" ht="13.8" thickBot="1">
      <c r="A1542" s="517"/>
      <c r="B1542" s="518" t="s">
        <v>12073</v>
      </c>
      <c r="C1542" s="516"/>
      <c r="D1542" s="514" t="s">
        <v>12072</v>
      </c>
      <c r="E1542" s="515">
        <v>5.75</v>
      </c>
      <c r="F1542" s="518" t="s">
        <v>614</v>
      </c>
      <c r="G1542" s="515" t="s">
        <v>5010</v>
      </c>
      <c r="H1542" s="514" t="s">
        <v>1220</v>
      </c>
      <c r="I1542" s="515"/>
      <c r="J1542" s="515">
        <v>3</v>
      </c>
    </row>
    <row r="1543" spans="1:10" ht="13.8" thickBot="1">
      <c r="A1543" s="517"/>
      <c r="B1543" s="518" t="s">
        <v>12734</v>
      </c>
      <c r="C1543" s="516"/>
      <c r="D1543" s="514" t="s">
        <v>3579</v>
      </c>
      <c r="E1543" s="515">
        <v>5</v>
      </c>
      <c r="F1543" s="518" t="s">
        <v>1854</v>
      </c>
      <c r="G1543" s="515" t="s">
        <v>3517</v>
      </c>
      <c r="H1543" s="514" t="s">
        <v>1251</v>
      </c>
      <c r="I1543" s="515"/>
      <c r="J1543" s="515">
        <v>1</v>
      </c>
    </row>
    <row r="1544" spans="1:10" ht="13.8" thickBot="1">
      <c r="A1544" s="517"/>
      <c r="B1544" s="518" t="s">
        <v>13449</v>
      </c>
      <c r="C1544" s="516"/>
      <c r="D1544" s="514" t="s">
        <v>13448</v>
      </c>
      <c r="E1544" s="515">
        <v>6.25</v>
      </c>
      <c r="F1544" s="518" t="s">
        <v>614</v>
      </c>
      <c r="G1544" s="515" t="s">
        <v>2523</v>
      </c>
      <c r="H1544" s="514" t="s">
        <v>1226</v>
      </c>
      <c r="I1544" s="515"/>
      <c r="J1544" s="515">
        <v>3</v>
      </c>
    </row>
    <row r="1545" spans="1:10" ht="13.8" thickBot="1">
      <c r="A1545" s="517"/>
      <c r="B1545" s="518" t="s">
        <v>12681</v>
      </c>
      <c r="C1545" s="516"/>
      <c r="D1545" s="514" t="s">
        <v>1466</v>
      </c>
      <c r="E1545" s="515">
        <v>5.75</v>
      </c>
      <c r="F1545" s="518" t="s">
        <v>1854</v>
      </c>
      <c r="G1545" s="515" t="s">
        <v>3652</v>
      </c>
      <c r="H1545" s="514" t="s">
        <v>1251</v>
      </c>
      <c r="I1545" s="515"/>
      <c r="J1545" s="515">
        <v>2</v>
      </c>
    </row>
    <row r="1546" spans="1:10" ht="13.8" thickBot="1">
      <c r="A1546" s="517"/>
      <c r="B1546" s="518" t="s">
        <v>14097</v>
      </c>
      <c r="C1546" s="516"/>
      <c r="D1546" s="514" t="s">
        <v>1792</v>
      </c>
      <c r="E1546" s="515">
        <v>4</v>
      </c>
      <c r="F1546" s="518" t="s">
        <v>1854</v>
      </c>
      <c r="G1546" s="515" t="s">
        <v>1793</v>
      </c>
      <c r="H1546" s="514"/>
      <c r="I1546" s="515"/>
      <c r="J1546" s="515"/>
    </row>
    <row r="1547" spans="1:10" ht="13.8" thickBot="1">
      <c r="A1547" s="517"/>
      <c r="B1547" s="518" t="s">
        <v>11967</v>
      </c>
      <c r="C1547" s="516"/>
      <c r="D1547" s="514" t="s">
        <v>11966</v>
      </c>
      <c r="E1547" s="515">
        <v>6.25</v>
      </c>
      <c r="F1547" s="518" t="s">
        <v>614</v>
      </c>
      <c r="G1547" s="515" t="s">
        <v>5196</v>
      </c>
      <c r="H1547" s="514" t="s">
        <v>1251</v>
      </c>
      <c r="I1547" s="515"/>
      <c r="J1547" s="515">
        <v>10</v>
      </c>
    </row>
    <row r="1548" spans="1:10" ht="13.8" thickBot="1">
      <c r="A1548" s="517"/>
      <c r="B1548" s="518" t="s">
        <v>12470</v>
      </c>
      <c r="C1548" s="516"/>
      <c r="D1548" s="514" t="s">
        <v>12469</v>
      </c>
      <c r="E1548" s="515">
        <v>6.6</v>
      </c>
      <c r="F1548" s="518" t="s">
        <v>614</v>
      </c>
      <c r="G1548" s="515" t="s">
        <v>3996</v>
      </c>
      <c r="H1548" s="514" t="s">
        <v>1226</v>
      </c>
      <c r="I1548" s="515">
        <v>2</v>
      </c>
      <c r="J1548" s="515">
        <v>5</v>
      </c>
    </row>
    <row r="1549" spans="1:10" ht="13.8" thickBot="1">
      <c r="A1549" s="517"/>
      <c r="B1549" s="518" t="s">
        <v>13296</v>
      </c>
      <c r="C1549" s="516"/>
      <c r="D1549" s="514" t="s">
        <v>13295</v>
      </c>
      <c r="E1549" s="515">
        <v>5</v>
      </c>
      <c r="F1549" s="518" t="s">
        <v>1854</v>
      </c>
      <c r="G1549" s="515" t="s">
        <v>2523</v>
      </c>
      <c r="H1549" s="514"/>
      <c r="I1549" s="515"/>
      <c r="J1549" s="515"/>
    </row>
    <row r="1550" spans="1:10" ht="13.8" thickBot="1">
      <c r="A1550" s="517"/>
      <c r="B1550" s="518" t="s">
        <v>11575</v>
      </c>
      <c r="C1550" s="516"/>
      <c r="D1550" s="514" t="s">
        <v>11533</v>
      </c>
      <c r="E1550" s="515"/>
      <c r="F1550" s="518" t="s">
        <v>1854</v>
      </c>
      <c r="G1550" s="515" t="s">
        <v>11525</v>
      </c>
      <c r="H1550" s="514"/>
      <c r="I1550" s="515"/>
      <c r="J1550" s="515"/>
    </row>
    <row r="1551" spans="1:10" ht="13.8" thickBot="1">
      <c r="A1551" s="517"/>
      <c r="B1551" s="518" t="s">
        <v>12489</v>
      </c>
      <c r="C1551" s="516"/>
      <c r="D1551" s="514" t="s">
        <v>12488</v>
      </c>
      <c r="E1551" s="515">
        <v>6.5</v>
      </c>
      <c r="F1551" s="518" t="s">
        <v>614</v>
      </c>
      <c r="G1551" s="515" t="s">
        <v>3903</v>
      </c>
      <c r="H1551" s="514"/>
      <c r="I1551" s="515"/>
      <c r="J1551" s="515">
        <v>1</v>
      </c>
    </row>
    <row r="1552" spans="1:10" ht="13.8" thickBot="1">
      <c r="A1552" s="517"/>
      <c r="B1552" s="518" t="s">
        <v>12986</v>
      </c>
      <c r="C1552" s="516"/>
      <c r="D1552" s="514" t="s">
        <v>12985</v>
      </c>
      <c r="E1552" s="515"/>
      <c r="F1552" s="518" t="s">
        <v>1854</v>
      </c>
      <c r="G1552" s="515" t="s">
        <v>2957</v>
      </c>
      <c r="H1552" s="514"/>
      <c r="I1552" s="515"/>
      <c r="J1552" s="515"/>
    </row>
    <row r="1553" spans="1:10" ht="13.8" thickBot="1">
      <c r="A1553" s="517"/>
      <c r="B1553" s="518" t="s">
        <v>12618</v>
      </c>
      <c r="C1553" s="516"/>
      <c r="D1553" s="514" t="s">
        <v>12617</v>
      </c>
      <c r="E1553" s="515">
        <v>5</v>
      </c>
      <c r="F1553" s="518" t="s">
        <v>614</v>
      </c>
      <c r="G1553" s="515" t="s">
        <v>3734</v>
      </c>
      <c r="H1553" s="514"/>
      <c r="I1553" s="515"/>
      <c r="J1553" s="515">
        <v>1</v>
      </c>
    </row>
    <row r="1554" spans="1:10" ht="13.8" thickBot="1">
      <c r="A1554" s="517"/>
      <c r="B1554" s="518" t="s">
        <v>13115</v>
      </c>
      <c r="C1554" s="516"/>
      <c r="D1554" s="514" t="s">
        <v>13114</v>
      </c>
      <c r="E1554" s="515">
        <v>6.3</v>
      </c>
      <c r="F1554" s="518" t="s">
        <v>614</v>
      </c>
      <c r="G1554" s="515" t="s">
        <v>2957</v>
      </c>
      <c r="H1554" s="514" t="s">
        <v>1251</v>
      </c>
      <c r="I1554" s="515"/>
      <c r="J1554" s="515">
        <v>3</v>
      </c>
    </row>
    <row r="1555" spans="1:10" ht="13.8" thickBot="1">
      <c r="A1555" s="517"/>
      <c r="B1555" s="518" t="s">
        <v>12184</v>
      </c>
      <c r="C1555" s="516"/>
      <c r="D1555" s="514" t="s">
        <v>12183</v>
      </c>
      <c r="E1555" s="515">
        <v>6.75</v>
      </c>
      <c r="F1555" s="518" t="s">
        <v>614</v>
      </c>
      <c r="G1555" s="515" t="s">
        <v>4822</v>
      </c>
      <c r="H1555" s="514"/>
      <c r="I1555" s="515"/>
      <c r="J1555" s="515">
        <v>1</v>
      </c>
    </row>
    <row r="1556" spans="1:10" ht="13.8" thickBot="1">
      <c r="A1556" s="517"/>
      <c r="B1556" s="518" t="s">
        <v>13988</v>
      </c>
      <c r="C1556" s="516"/>
      <c r="D1556" s="514" t="s">
        <v>1852</v>
      </c>
      <c r="E1556" s="515"/>
      <c r="F1556" s="518" t="s">
        <v>1854</v>
      </c>
      <c r="G1556" s="515" t="s">
        <v>1793</v>
      </c>
      <c r="H1556" s="514"/>
      <c r="I1556" s="515"/>
      <c r="J1556" s="515"/>
    </row>
    <row r="1557" spans="1:10" ht="13.8" thickBot="1">
      <c r="A1557" s="517"/>
      <c r="B1557" s="518" t="s">
        <v>11947</v>
      </c>
      <c r="C1557" s="516"/>
      <c r="D1557" s="514" t="s">
        <v>11946</v>
      </c>
      <c r="E1557" s="515">
        <v>5.5</v>
      </c>
      <c r="F1557" s="518" t="s">
        <v>11945</v>
      </c>
      <c r="G1557" s="515" t="s">
        <v>5219</v>
      </c>
      <c r="H1557" s="514"/>
      <c r="I1557" s="515"/>
      <c r="J1557" s="515"/>
    </row>
    <row r="1558" spans="1:10" ht="13.8" thickBot="1">
      <c r="A1558" s="517"/>
      <c r="B1558" s="518" t="s">
        <v>11944</v>
      </c>
      <c r="C1558" s="516"/>
      <c r="D1558" s="514" t="s">
        <v>11943</v>
      </c>
      <c r="E1558" s="515">
        <v>5</v>
      </c>
      <c r="F1558" s="518" t="s">
        <v>1854</v>
      </c>
      <c r="G1558" s="515" t="s">
        <v>5219</v>
      </c>
      <c r="H1558" s="514" t="s">
        <v>1224</v>
      </c>
      <c r="I1558" s="515"/>
      <c r="J1558" s="515">
        <v>1</v>
      </c>
    </row>
    <row r="1559" spans="1:10" ht="13.8" thickBot="1">
      <c r="A1559" s="517"/>
      <c r="B1559" s="518" t="s">
        <v>12248</v>
      </c>
      <c r="C1559" s="516"/>
      <c r="D1559" s="514" t="s">
        <v>12247</v>
      </c>
      <c r="E1559" s="515">
        <v>6.75</v>
      </c>
      <c r="F1559" s="518" t="s">
        <v>614</v>
      </c>
      <c r="G1559" s="515" t="s">
        <v>4509</v>
      </c>
      <c r="H1559" s="514" t="s">
        <v>1226</v>
      </c>
      <c r="I1559" s="515">
        <v>1</v>
      </c>
      <c r="J1559" s="515">
        <v>4</v>
      </c>
    </row>
    <row r="1560" spans="1:10" ht="13.8" thickBot="1">
      <c r="A1560" s="517"/>
      <c r="B1560" s="518" t="s">
        <v>13065</v>
      </c>
      <c r="C1560" s="516"/>
      <c r="D1560" s="514" t="s">
        <v>13064</v>
      </c>
      <c r="E1560" s="515">
        <v>5.5</v>
      </c>
      <c r="F1560" s="518" t="s">
        <v>614</v>
      </c>
      <c r="G1560" s="515" t="s">
        <v>2957</v>
      </c>
      <c r="H1560" s="514" t="s">
        <v>1224</v>
      </c>
      <c r="I1560" s="515"/>
      <c r="J1560" s="515">
        <v>2</v>
      </c>
    </row>
    <row r="1561" spans="1:10" ht="13.8" thickBot="1">
      <c r="A1561" s="517"/>
      <c r="B1561" s="518" t="s">
        <v>13862</v>
      </c>
      <c r="C1561" s="516"/>
      <c r="D1561" s="514" t="s">
        <v>13861</v>
      </c>
      <c r="E1561" s="515">
        <v>4</v>
      </c>
      <c r="F1561" s="518" t="s">
        <v>614</v>
      </c>
      <c r="G1561" s="515" t="s">
        <v>2032</v>
      </c>
      <c r="H1561" s="514" t="s">
        <v>1226</v>
      </c>
      <c r="I1561" s="515">
        <v>1</v>
      </c>
      <c r="J1561" s="515">
        <v>2</v>
      </c>
    </row>
    <row r="1562" spans="1:10" ht="13.8" thickBot="1">
      <c r="A1562" s="517"/>
      <c r="B1562" s="518" t="s">
        <v>12950</v>
      </c>
      <c r="C1562" s="516"/>
      <c r="D1562" s="514" t="s">
        <v>12949</v>
      </c>
      <c r="E1562" s="515">
        <v>7</v>
      </c>
      <c r="F1562" s="518" t="s">
        <v>1854</v>
      </c>
      <c r="G1562" s="515" t="s">
        <v>3161</v>
      </c>
      <c r="H1562" s="514"/>
      <c r="I1562" s="515"/>
      <c r="J1562" s="515"/>
    </row>
    <row r="1563" spans="1:10" ht="13.8" thickBot="1">
      <c r="A1563" s="517"/>
      <c r="B1563" s="518" t="s">
        <v>12722</v>
      </c>
      <c r="C1563" s="516"/>
      <c r="D1563" s="514" t="s">
        <v>1452</v>
      </c>
      <c r="E1563" s="515">
        <v>5</v>
      </c>
      <c r="F1563" s="518" t="s">
        <v>1854</v>
      </c>
      <c r="G1563" s="515" t="s">
        <v>3517</v>
      </c>
      <c r="H1563" s="514"/>
      <c r="I1563" s="515"/>
      <c r="J1563" s="515"/>
    </row>
    <row r="1564" spans="1:10" ht="13.8" thickBot="1">
      <c r="A1564" s="517"/>
      <c r="B1564" s="518" t="s">
        <v>12416</v>
      </c>
      <c r="C1564" s="516"/>
      <c r="D1564" s="514" t="s">
        <v>1544</v>
      </c>
      <c r="E1564" s="515">
        <v>6</v>
      </c>
      <c r="F1564" s="518" t="s">
        <v>1854</v>
      </c>
      <c r="G1564" s="515" t="s">
        <v>4102</v>
      </c>
      <c r="H1564" s="514"/>
      <c r="I1564" s="515"/>
      <c r="J1564" s="515">
        <v>1</v>
      </c>
    </row>
    <row r="1565" spans="1:10" ht="13.8" thickBot="1">
      <c r="A1565" s="517"/>
      <c r="B1565" s="518" t="s">
        <v>11574</v>
      </c>
      <c r="C1565" s="516"/>
      <c r="D1565" s="514" t="s">
        <v>11533</v>
      </c>
      <c r="E1565" s="515">
        <v>3</v>
      </c>
      <c r="F1565" s="518" t="s">
        <v>1854</v>
      </c>
      <c r="G1565" s="515" t="s">
        <v>11525</v>
      </c>
      <c r="H1565" s="514"/>
      <c r="I1565" s="515"/>
      <c r="J1565" s="515"/>
    </row>
    <row r="1566" spans="1:10" ht="13.8" thickBot="1">
      <c r="A1566" s="517"/>
      <c r="B1566" s="518" t="s">
        <v>12212</v>
      </c>
      <c r="C1566" s="516"/>
      <c r="D1566" s="514" t="s">
        <v>4701</v>
      </c>
      <c r="E1566" s="515">
        <v>7.25</v>
      </c>
      <c r="F1566" s="518" t="s">
        <v>1854</v>
      </c>
      <c r="G1566" s="515" t="s">
        <v>4702</v>
      </c>
      <c r="H1566" s="514" t="s">
        <v>1226</v>
      </c>
      <c r="I1566" s="515">
        <v>1</v>
      </c>
      <c r="J1566" s="515">
        <v>1</v>
      </c>
    </row>
    <row r="1567" spans="1:10" ht="13.8" thickBot="1">
      <c r="A1567" s="517"/>
      <c r="B1567" s="518" t="s">
        <v>12188</v>
      </c>
      <c r="C1567" s="516"/>
      <c r="D1567" s="514" t="s">
        <v>12187</v>
      </c>
      <c r="E1567" s="515">
        <v>7.25</v>
      </c>
      <c r="F1567" s="518" t="s">
        <v>614</v>
      </c>
      <c r="G1567" s="515" t="s">
        <v>4822</v>
      </c>
      <c r="H1567" s="514" t="s">
        <v>1251</v>
      </c>
      <c r="I1567" s="515"/>
      <c r="J1567" s="515">
        <v>1</v>
      </c>
    </row>
    <row r="1568" spans="1:10" ht="13.8" thickBot="1">
      <c r="A1568" s="517"/>
      <c r="B1568" s="518" t="s">
        <v>11573</v>
      </c>
      <c r="C1568" s="516"/>
      <c r="D1568" s="514" t="s">
        <v>11533</v>
      </c>
      <c r="E1568" s="515">
        <v>4</v>
      </c>
      <c r="F1568" s="518" t="s">
        <v>1854</v>
      </c>
      <c r="G1568" s="515" t="s">
        <v>11525</v>
      </c>
      <c r="H1568" s="514"/>
      <c r="I1568" s="515"/>
      <c r="J1568" s="515"/>
    </row>
    <row r="1569" spans="1:10" ht="13.8" thickBot="1">
      <c r="A1569" s="517"/>
      <c r="B1569" s="518" t="s">
        <v>12798</v>
      </c>
      <c r="C1569" s="516"/>
      <c r="D1569" s="514" t="s">
        <v>1456</v>
      </c>
      <c r="E1569" s="515">
        <v>6.75</v>
      </c>
      <c r="F1569" s="518" t="s">
        <v>614</v>
      </c>
      <c r="G1569" s="515" t="s">
        <v>3517</v>
      </c>
      <c r="H1569" s="514" t="s">
        <v>1251</v>
      </c>
      <c r="I1569" s="515"/>
      <c r="J1569" s="515">
        <v>8</v>
      </c>
    </row>
    <row r="1570" spans="1:10" ht="13.8" thickBot="1">
      <c r="A1570" s="517"/>
      <c r="B1570" s="518" t="s">
        <v>13113</v>
      </c>
      <c r="C1570" s="516"/>
      <c r="D1570" s="514" t="s">
        <v>13112</v>
      </c>
      <c r="E1570" s="515">
        <v>6.3</v>
      </c>
      <c r="F1570" s="518" t="s">
        <v>614</v>
      </c>
      <c r="G1570" s="515" t="s">
        <v>2957</v>
      </c>
      <c r="H1570" s="514" t="s">
        <v>1226</v>
      </c>
      <c r="I1570" s="515"/>
      <c r="J1570" s="515">
        <v>6</v>
      </c>
    </row>
    <row r="1571" spans="1:10" ht="13.8" thickBot="1">
      <c r="A1571" s="517"/>
      <c r="B1571" s="518" t="s">
        <v>11572</v>
      </c>
      <c r="C1571" s="516"/>
      <c r="D1571" s="514" t="s">
        <v>11533</v>
      </c>
      <c r="E1571" s="515">
        <v>5</v>
      </c>
      <c r="F1571" s="518" t="s">
        <v>1854</v>
      </c>
      <c r="G1571" s="515" t="s">
        <v>11525</v>
      </c>
      <c r="H1571" s="514"/>
      <c r="I1571" s="515"/>
      <c r="J1571" s="515"/>
    </row>
    <row r="1572" spans="1:10" ht="13.8" thickBot="1">
      <c r="A1572" s="517"/>
      <c r="B1572" s="518" t="s">
        <v>13050</v>
      </c>
      <c r="C1572" s="516"/>
      <c r="D1572" s="514" t="s">
        <v>13049</v>
      </c>
      <c r="E1572" s="515">
        <v>5</v>
      </c>
      <c r="F1572" s="518" t="s">
        <v>614</v>
      </c>
      <c r="G1572" s="515" t="s">
        <v>2957</v>
      </c>
      <c r="H1572" s="514" t="s">
        <v>2374</v>
      </c>
      <c r="I1572" s="515"/>
      <c r="J1572" s="515">
        <v>5</v>
      </c>
    </row>
    <row r="1573" spans="1:10" ht="13.8" thickBot="1">
      <c r="A1573" s="517"/>
      <c r="B1573" s="518" t="s">
        <v>14118</v>
      </c>
      <c r="C1573" s="516"/>
      <c r="D1573" s="514" t="s">
        <v>1802</v>
      </c>
      <c r="E1573" s="515">
        <v>5</v>
      </c>
      <c r="F1573" s="518" t="s">
        <v>1854</v>
      </c>
      <c r="G1573" s="515" t="s">
        <v>1793</v>
      </c>
      <c r="H1573" s="514"/>
      <c r="I1573" s="515"/>
      <c r="J1573" s="515"/>
    </row>
    <row r="1574" spans="1:10" ht="13.8" thickBot="1">
      <c r="A1574" s="517"/>
      <c r="B1574" s="518" t="s">
        <v>13378</v>
      </c>
      <c r="C1574" s="516"/>
      <c r="D1574" s="514" t="s">
        <v>1300</v>
      </c>
      <c r="E1574" s="515">
        <v>5.5</v>
      </c>
      <c r="F1574" s="518" t="s">
        <v>614</v>
      </c>
      <c r="G1574" s="515" t="s">
        <v>2523</v>
      </c>
      <c r="H1574" s="514" t="s">
        <v>1226</v>
      </c>
      <c r="I1574" s="515"/>
      <c r="J1574" s="515">
        <v>2</v>
      </c>
    </row>
    <row r="1575" spans="1:10" ht="13.8" thickBot="1">
      <c r="A1575" s="517"/>
      <c r="B1575" s="518" t="s">
        <v>12054</v>
      </c>
      <c r="C1575" s="516"/>
      <c r="D1575" s="514" t="s">
        <v>1767</v>
      </c>
      <c r="E1575" s="515">
        <v>5</v>
      </c>
      <c r="F1575" s="518" t="s">
        <v>1854</v>
      </c>
      <c r="G1575" s="515" t="s">
        <v>5010</v>
      </c>
      <c r="H1575" s="514"/>
      <c r="I1575" s="515"/>
      <c r="J1575" s="515">
        <v>1</v>
      </c>
    </row>
    <row r="1576" spans="1:10" ht="13.8" thickBot="1">
      <c r="A1576" s="517"/>
      <c r="B1576" s="518" t="s">
        <v>11571</v>
      </c>
      <c r="C1576" s="516"/>
      <c r="D1576" s="514" t="s">
        <v>11570</v>
      </c>
      <c r="E1576" s="515"/>
      <c r="F1576" s="518" t="s">
        <v>1854</v>
      </c>
      <c r="G1576" s="515" t="s">
        <v>11525</v>
      </c>
      <c r="H1576" s="514"/>
      <c r="I1576" s="515"/>
      <c r="J1576" s="515"/>
    </row>
    <row r="1577" spans="1:10" ht="13.8" thickBot="1">
      <c r="A1577" s="517"/>
      <c r="B1577" s="518" t="s">
        <v>13987</v>
      </c>
      <c r="C1577" s="516"/>
      <c r="D1577" s="514" t="s">
        <v>1802</v>
      </c>
      <c r="E1577" s="515"/>
      <c r="F1577" s="518" t="s">
        <v>1854</v>
      </c>
      <c r="G1577" s="515" t="s">
        <v>1793</v>
      </c>
      <c r="H1577" s="514"/>
      <c r="I1577" s="515"/>
      <c r="J1577" s="515"/>
    </row>
    <row r="1578" spans="1:10" ht="13.8" thickBot="1">
      <c r="A1578" s="517"/>
      <c r="B1578" s="518" t="s">
        <v>13647</v>
      </c>
      <c r="C1578" s="516"/>
      <c r="D1578" s="514" t="s">
        <v>13646</v>
      </c>
      <c r="E1578" s="515">
        <v>6</v>
      </c>
      <c r="F1578" s="518" t="s">
        <v>614</v>
      </c>
      <c r="G1578" s="515" t="s">
        <v>2289</v>
      </c>
      <c r="H1578" s="514"/>
      <c r="I1578" s="515"/>
      <c r="J1578" s="515">
        <v>1</v>
      </c>
    </row>
    <row r="1579" spans="1:10" ht="13.8" thickBot="1">
      <c r="A1579" s="517"/>
      <c r="B1579" s="518" t="s">
        <v>13294</v>
      </c>
      <c r="C1579" s="516"/>
      <c r="D1579" s="514" t="s">
        <v>1302</v>
      </c>
      <c r="E1579" s="515">
        <v>5</v>
      </c>
      <c r="F1579" s="518" t="s">
        <v>1854</v>
      </c>
      <c r="G1579" s="515" t="s">
        <v>2523</v>
      </c>
      <c r="H1579" s="514"/>
      <c r="I1579" s="515"/>
      <c r="J1579" s="515"/>
    </row>
    <row r="1580" spans="1:10" ht="13.8" thickBot="1">
      <c r="A1580" s="517"/>
      <c r="B1580" s="518" t="s">
        <v>12909</v>
      </c>
      <c r="C1580" s="516"/>
      <c r="D1580" s="514" t="s">
        <v>12908</v>
      </c>
      <c r="E1580" s="515"/>
      <c r="F1580" s="518" t="s">
        <v>1854</v>
      </c>
      <c r="G1580" s="515" t="s">
        <v>3161</v>
      </c>
      <c r="H1580" s="514"/>
      <c r="I1580" s="515"/>
      <c r="J1580" s="515"/>
    </row>
    <row r="1581" spans="1:10" ht="13.8" thickBot="1">
      <c r="A1581" s="517"/>
      <c r="B1581" s="518" t="s">
        <v>13293</v>
      </c>
      <c r="C1581" s="516"/>
      <c r="D1581" s="514" t="s">
        <v>1300</v>
      </c>
      <c r="E1581" s="515">
        <v>5</v>
      </c>
      <c r="F1581" s="518" t="s">
        <v>1854</v>
      </c>
      <c r="G1581" s="515" t="s">
        <v>2523</v>
      </c>
      <c r="H1581" s="514"/>
      <c r="I1581" s="515"/>
      <c r="J1581" s="515"/>
    </row>
    <row r="1582" spans="1:10" ht="13.8" thickBot="1">
      <c r="A1582" s="517"/>
      <c r="B1582" s="518" t="s">
        <v>11569</v>
      </c>
      <c r="C1582" s="516"/>
      <c r="D1582" s="514" t="s">
        <v>11568</v>
      </c>
      <c r="E1582" s="515">
        <v>6.5</v>
      </c>
      <c r="F1582" s="514"/>
      <c r="G1582" s="515" t="s">
        <v>11525</v>
      </c>
      <c r="H1582" s="514"/>
      <c r="I1582" s="515"/>
      <c r="J1582" s="515"/>
    </row>
    <row r="1583" spans="1:10" ht="13.8" thickBot="1">
      <c r="A1583" s="517"/>
      <c r="B1583" s="518" t="s">
        <v>13490</v>
      </c>
      <c r="C1583" s="516"/>
      <c r="D1583" s="514" t="s">
        <v>13489</v>
      </c>
      <c r="E1583" s="515">
        <v>6.5</v>
      </c>
      <c r="F1583" s="518" t="s">
        <v>614</v>
      </c>
      <c r="G1583" s="515" t="s">
        <v>2523</v>
      </c>
      <c r="H1583" s="514" t="s">
        <v>1226</v>
      </c>
      <c r="I1583" s="515"/>
      <c r="J1583" s="515">
        <v>3</v>
      </c>
    </row>
    <row r="1584" spans="1:10" ht="13.8" thickBot="1">
      <c r="A1584" s="517"/>
      <c r="B1584" s="518" t="s">
        <v>11933</v>
      </c>
      <c r="C1584" s="516"/>
      <c r="D1584" s="514" t="s">
        <v>11932</v>
      </c>
      <c r="E1584" s="515">
        <v>7.25</v>
      </c>
      <c r="F1584" s="518" t="s">
        <v>614</v>
      </c>
      <c r="G1584" s="515" t="s">
        <v>5226</v>
      </c>
      <c r="H1584" s="514" t="s">
        <v>1251</v>
      </c>
      <c r="I1584" s="515">
        <v>1</v>
      </c>
      <c r="J1584" s="515">
        <v>4</v>
      </c>
    </row>
    <row r="1585" spans="1:10" ht="13.8" thickBot="1">
      <c r="A1585" s="517"/>
      <c r="B1585" s="518" t="s">
        <v>12702</v>
      </c>
      <c r="C1585" s="516"/>
      <c r="D1585" s="514" t="s">
        <v>3616</v>
      </c>
      <c r="E1585" s="515"/>
      <c r="F1585" s="518" t="s">
        <v>1854</v>
      </c>
      <c r="G1585" s="515" t="s">
        <v>3517</v>
      </c>
      <c r="H1585" s="514"/>
      <c r="I1585" s="515"/>
      <c r="J1585" s="515"/>
    </row>
    <row r="1586" spans="1:10" ht="13.8" thickBot="1">
      <c r="A1586" s="517"/>
      <c r="B1586" s="518" t="s">
        <v>13071</v>
      </c>
      <c r="C1586" s="516"/>
      <c r="D1586" s="514" t="s">
        <v>13070</v>
      </c>
      <c r="E1586" s="515">
        <v>5.5</v>
      </c>
      <c r="F1586" s="518" t="s">
        <v>614</v>
      </c>
      <c r="G1586" s="515" t="s">
        <v>2957</v>
      </c>
      <c r="H1586" s="514" t="s">
        <v>1224</v>
      </c>
      <c r="I1586" s="515"/>
      <c r="J1586" s="515">
        <v>3</v>
      </c>
    </row>
    <row r="1587" spans="1:10" ht="13.8" thickBot="1">
      <c r="A1587" s="517"/>
      <c r="B1587" s="518" t="s">
        <v>11567</v>
      </c>
      <c r="C1587" s="516"/>
      <c r="D1587" s="514" t="s">
        <v>11566</v>
      </c>
      <c r="E1587" s="515">
        <v>6.25</v>
      </c>
      <c r="F1587" s="514"/>
      <c r="G1587" s="515" t="s">
        <v>11525</v>
      </c>
      <c r="H1587" s="514"/>
      <c r="I1587" s="515"/>
      <c r="J1587" s="515">
        <v>1</v>
      </c>
    </row>
    <row r="1588" spans="1:10" ht="13.8" thickBot="1">
      <c r="A1588" s="517"/>
      <c r="B1588" s="518" t="s">
        <v>12779</v>
      </c>
      <c r="C1588" s="516"/>
      <c r="D1588" s="514" t="s">
        <v>1452</v>
      </c>
      <c r="E1588" s="515">
        <v>6.5</v>
      </c>
      <c r="F1588" s="518" t="s">
        <v>1854</v>
      </c>
      <c r="G1588" s="515" t="s">
        <v>3517</v>
      </c>
      <c r="H1588" s="514"/>
      <c r="I1588" s="515"/>
      <c r="J1588" s="515">
        <v>1</v>
      </c>
    </row>
    <row r="1589" spans="1:10" ht="13.8" thickBot="1">
      <c r="A1589" s="517"/>
      <c r="B1589" s="518" t="s">
        <v>12793</v>
      </c>
      <c r="C1589" s="516"/>
      <c r="D1589" s="520" t="s">
        <v>12792</v>
      </c>
      <c r="E1589" s="521">
        <v>6.75</v>
      </c>
      <c r="F1589" s="514"/>
      <c r="G1589" s="515" t="s">
        <v>3517</v>
      </c>
      <c r="H1589" s="514"/>
      <c r="I1589" s="515"/>
      <c r="J1589" s="515">
        <v>1</v>
      </c>
    </row>
    <row r="1590" spans="1:10" ht="13.8" thickBot="1">
      <c r="A1590" s="517"/>
      <c r="B1590" s="518" t="s">
        <v>13152</v>
      </c>
      <c r="C1590" s="516"/>
      <c r="D1590" s="514" t="s">
        <v>1552</v>
      </c>
      <c r="E1590" s="515">
        <v>7.1</v>
      </c>
      <c r="F1590" s="514"/>
      <c r="G1590" s="515" t="s">
        <v>2957</v>
      </c>
      <c r="H1590" s="514"/>
      <c r="I1590" s="515"/>
      <c r="J1590" s="515">
        <v>2</v>
      </c>
    </row>
    <row r="1591" spans="1:10" ht="13.8" thickBot="1">
      <c r="A1591" s="517"/>
      <c r="B1591" s="518" t="s">
        <v>13024</v>
      </c>
      <c r="C1591" s="516"/>
      <c r="D1591" s="514" t="s">
        <v>1554</v>
      </c>
      <c r="E1591" s="515">
        <v>5</v>
      </c>
      <c r="F1591" s="518" t="s">
        <v>2512</v>
      </c>
      <c r="G1591" s="515" t="s">
        <v>2957</v>
      </c>
      <c r="H1591" s="514"/>
      <c r="I1591" s="515"/>
      <c r="J1591" s="515">
        <v>1</v>
      </c>
    </row>
    <row r="1592" spans="1:10" ht="13.8" thickBot="1">
      <c r="A1592" s="517"/>
      <c r="B1592" s="518" t="s">
        <v>13789</v>
      </c>
      <c r="C1592" s="516"/>
      <c r="D1592" s="514" t="s">
        <v>13788</v>
      </c>
      <c r="E1592" s="515">
        <v>5.5</v>
      </c>
      <c r="F1592" s="518" t="s">
        <v>614</v>
      </c>
      <c r="G1592" s="515" t="s">
        <v>2152</v>
      </c>
      <c r="H1592" s="514" t="s">
        <v>1226</v>
      </c>
      <c r="I1592" s="515"/>
      <c r="J1592" s="515">
        <v>1</v>
      </c>
    </row>
    <row r="1593" spans="1:10" ht="13.8" thickBot="1">
      <c r="A1593" s="517"/>
      <c r="B1593" s="518" t="s">
        <v>12845</v>
      </c>
      <c r="C1593" s="516"/>
      <c r="D1593" s="514" t="s">
        <v>3451</v>
      </c>
      <c r="E1593" s="515">
        <v>6.1</v>
      </c>
      <c r="F1593" s="518" t="s">
        <v>614</v>
      </c>
      <c r="G1593" s="515" t="s">
        <v>3452</v>
      </c>
      <c r="H1593" s="514" t="s">
        <v>1220</v>
      </c>
      <c r="I1593" s="515"/>
      <c r="J1593" s="515">
        <v>2</v>
      </c>
    </row>
    <row r="1594" spans="1:10" ht="13.8" thickBot="1">
      <c r="A1594" s="517"/>
      <c r="B1594" s="518" t="s">
        <v>12753</v>
      </c>
      <c r="C1594" s="516"/>
      <c r="D1594" s="514" t="s">
        <v>12752</v>
      </c>
      <c r="E1594" s="515">
        <v>6</v>
      </c>
      <c r="F1594" s="518" t="s">
        <v>614</v>
      </c>
      <c r="G1594" s="515" t="s">
        <v>3517</v>
      </c>
      <c r="H1594" s="514" t="s">
        <v>2067</v>
      </c>
      <c r="I1594" s="515"/>
      <c r="J1594" s="515">
        <v>8</v>
      </c>
    </row>
    <row r="1595" spans="1:10" ht="13.8" thickBot="1">
      <c r="A1595" s="517"/>
      <c r="B1595" s="518" t="s">
        <v>11565</v>
      </c>
      <c r="C1595" s="516"/>
      <c r="D1595" s="514" t="s">
        <v>11533</v>
      </c>
      <c r="E1595" s="515">
        <v>6</v>
      </c>
      <c r="F1595" s="514"/>
      <c r="G1595" s="515" t="s">
        <v>11525</v>
      </c>
      <c r="H1595" s="514"/>
      <c r="I1595" s="515"/>
      <c r="J1595" s="515"/>
    </row>
    <row r="1596" spans="1:10" ht="13.8" thickBot="1">
      <c r="A1596" s="517"/>
      <c r="B1596" s="518" t="s">
        <v>12677</v>
      </c>
      <c r="C1596" s="516"/>
      <c r="D1596" s="514" t="s">
        <v>1466</v>
      </c>
      <c r="E1596" s="515">
        <v>5.5</v>
      </c>
      <c r="F1596" s="518" t="s">
        <v>1854</v>
      </c>
      <c r="G1596" s="515" t="s">
        <v>3652</v>
      </c>
      <c r="H1596" s="514"/>
      <c r="I1596" s="515"/>
      <c r="J1596" s="515"/>
    </row>
    <row r="1597" spans="1:10" ht="13.8" thickBot="1">
      <c r="A1597" s="517"/>
      <c r="B1597" s="518" t="s">
        <v>11564</v>
      </c>
      <c r="C1597" s="516"/>
      <c r="D1597" s="514" t="s">
        <v>11533</v>
      </c>
      <c r="E1597" s="515">
        <v>6.75</v>
      </c>
      <c r="F1597" s="514"/>
      <c r="G1597" s="515" t="s">
        <v>11525</v>
      </c>
      <c r="H1597" s="514"/>
      <c r="I1597" s="515"/>
      <c r="J1597" s="515"/>
    </row>
    <row r="1598" spans="1:10" ht="13.8" thickBot="1">
      <c r="A1598" s="517"/>
      <c r="B1598" s="518" t="s">
        <v>13111</v>
      </c>
      <c r="C1598" s="516"/>
      <c r="D1598" s="514" t="s">
        <v>13110</v>
      </c>
      <c r="E1598" s="515">
        <v>6.3</v>
      </c>
      <c r="F1598" s="518" t="s">
        <v>614</v>
      </c>
      <c r="G1598" s="515" t="s">
        <v>2957</v>
      </c>
      <c r="H1598" s="514" t="s">
        <v>1226</v>
      </c>
      <c r="I1598" s="515"/>
      <c r="J1598" s="515">
        <v>5</v>
      </c>
    </row>
    <row r="1599" spans="1:10" ht="13.8" thickBot="1">
      <c r="A1599" s="517"/>
      <c r="B1599" s="518" t="s">
        <v>12345</v>
      </c>
      <c r="C1599" s="516"/>
      <c r="D1599" s="514" t="s">
        <v>12344</v>
      </c>
      <c r="E1599" s="515">
        <v>6.3</v>
      </c>
      <c r="F1599" s="518" t="s">
        <v>614</v>
      </c>
      <c r="G1599" s="515" t="s">
        <v>4214</v>
      </c>
      <c r="H1599" s="514" t="s">
        <v>1841</v>
      </c>
      <c r="I1599" s="515"/>
      <c r="J1599" s="515">
        <v>8</v>
      </c>
    </row>
    <row r="1600" spans="1:10" ht="13.8" thickBot="1">
      <c r="A1600" s="517"/>
      <c r="B1600" s="518" t="s">
        <v>13645</v>
      </c>
      <c r="C1600" s="516"/>
      <c r="D1600" s="519" t="s">
        <v>13644</v>
      </c>
      <c r="E1600" s="515">
        <v>6</v>
      </c>
      <c r="F1600" s="514"/>
      <c r="G1600" s="515" t="s">
        <v>2289</v>
      </c>
      <c r="H1600" s="514"/>
      <c r="I1600" s="515"/>
      <c r="J1600" s="515">
        <v>1</v>
      </c>
    </row>
    <row r="1601" spans="1:10" ht="13.8" thickBot="1">
      <c r="A1601" s="517"/>
      <c r="B1601" s="518" t="s">
        <v>11563</v>
      </c>
      <c r="C1601" s="516"/>
      <c r="D1601" s="514" t="s">
        <v>11533</v>
      </c>
      <c r="E1601" s="515">
        <v>5.5</v>
      </c>
      <c r="F1601" s="518" t="s">
        <v>1854</v>
      </c>
      <c r="G1601" s="515" t="s">
        <v>11525</v>
      </c>
      <c r="H1601" s="514"/>
      <c r="I1601" s="515"/>
      <c r="J1601" s="515"/>
    </row>
    <row r="1602" spans="1:10" ht="13.8" thickBot="1">
      <c r="A1602" s="517"/>
      <c r="B1602" s="518" t="s">
        <v>11562</v>
      </c>
      <c r="C1602" s="516"/>
      <c r="D1602" s="514" t="s">
        <v>11533</v>
      </c>
      <c r="E1602" s="515"/>
      <c r="F1602" s="514"/>
      <c r="G1602" s="515" t="s">
        <v>11525</v>
      </c>
      <c r="H1602" s="514"/>
      <c r="I1602" s="515"/>
      <c r="J1602" s="515"/>
    </row>
    <row r="1603" spans="1:10" ht="13.8" thickBot="1">
      <c r="A1603" s="517"/>
      <c r="B1603" s="518" t="s">
        <v>12816</v>
      </c>
      <c r="C1603" s="516"/>
      <c r="D1603" s="514" t="s">
        <v>12815</v>
      </c>
      <c r="E1603" s="515">
        <v>7.1</v>
      </c>
      <c r="F1603" s="518" t="s">
        <v>614</v>
      </c>
      <c r="G1603" s="515" t="s">
        <v>3517</v>
      </c>
      <c r="H1603" s="514" t="s">
        <v>1226</v>
      </c>
      <c r="I1603" s="515"/>
      <c r="J1603" s="515">
        <v>4</v>
      </c>
    </row>
    <row r="1604" spans="1:10" ht="13.8" thickBot="1">
      <c r="A1604" s="517"/>
      <c r="B1604" s="518" t="s">
        <v>13557</v>
      </c>
      <c r="C1604" s="516"/>
      <c r="D1604" s="514" t="s">
        <v>1300</v>
      </c>
      <c r="E1604" s="515">
        <v>7.5</v>
      </c>
      <c r="F1604" s="518" t="s">
        <v>1854</v>
      </c>
      <c r="G1604" s="515" t="s">
        <v>2523</v>
      </c>
      <c r="H1604" s="514"/>
      <c r="I1604" s="515"/>
      <c r="J1604" s="515"/>
    </row>
    <row r="1605" spans="1:10" ht="13.8" thickBot="1">
      <c r="A1605" s="517"/>
      <c r="B1605" s="518" t="s">
        <v>12145</v>
      </c>
      <c r="C1605" s="516"/>
      <c r="D1605" s="514" t="s">
        <v>12144</v>
      </c>
      <c r="E1605" s="515">
        <v>7.5</v>
      </c>
      <c r="F1605" s="518" t="s">
        <v>1854</v>
      </c>
      <c r="G1605" s="515" t="s">
        <v>4970</v>
      </c>
      <c r="H1605" s="514"/>
      <c r="I1605" s="515"/>
      <c r="J1605" s="515"/>
    </row>
    <row r="1606" spans="1:10" ht="13.8" thickBot="1">
      <c r="A1606" s="517"/>
      <c r="B1606" s="518" t="s">
        <v>12143</v>
      </c>
      <c r="C1606" s="516"/>
      <c r="D1606" s="514" t="s">
        <v>12142</v>
      </c>
      <c r="E1606" s="515">
        <v>7.25</v>
      </c>
      <c r="F1606" s="518" t="s">
        <v>1854</v>
      </c>
      <c r="G1606" s="515" t="s">
        <v>4970</v>
      </c>
      <c r="H1606" s="514"/>
      <c r="I1606" s="515"/>
      <c r="J1606" s="515"/>
    </row>
    <row r="1607" spans="1:10" ht="13.8" thickBot="1">
      <c r="A1607" s="517"/>
      <c r="B1607" s="518" t="s">
        <v>13216</v>
      </c>
      <c r="C1607" s="516"/>
      <c r="D1607" s="514" t="s">
        <v>13215</v>
      </c>
      <c r="E1607" s="515">
        <v>6.1</v>
      </c>
      <c r="F1607" s="518" t="s">
        <v>614</v>
      </c>
      <c r="G1607" s="515" t="s">
        <v>2797</v>
      </c>
      <c r="H1607" s="514"/>
      <c r="I1607" s="515">
        <v>2</v>
      </c>
      <c r="J1607" s="515">
        <v>4</v>
      </c>
    </row>
    <row r="1608" spans="1:10" ht="13.8" thickBot="1">
      <c r="A1608" s="517"/>
      <c r="B1608" s="518" t="s">
        <v>12654</v>
      </c>
      <c r="C1608" s="516"/>
      <c r="D1608" s="514" t="s">
        <v>1482</v>
      </c>
      <c r="E1608" s="515">
        <v>7</v>
      </c>
      <c r="F1608" s="518" t="s">
        <v>1854</v>
      </c>
      <c r="G1608" s="515" t="s">
        <v>3734</v>
      </c>
      <c r="H1608" s="514"/>
      <c r="I1608" s="515"/>
      <c r="J1608" s="515"/>
    </row>
    <row r="1609" spans="1:10" ht="13.8" thickBot="1">
      <c r="A1609" s="517"/>
      <c r="B1609" s="518" t="s">
        <v>13670</v>
      </c>
      <c r="C1609" s="516"/>
      <c r="D1609" s="514" t="s">
        <v>1726</v>
      </c>
      <c r="E1609" s="515">
        <v>6.25</v>
      </c>
      <c r="F1609" s="518" t="s">
        <v>1854</v>
      </c>
      <c r="G1609" s="515" t="s">
        <v>2289</v>
      </c>
      <c r="H1609" s="514"/>
      <c r="I1609" s="515"/>
      <c r="J1609" s="515">
        <v>1</v>
      </c>
    </row>
    <row r="1610" spans="1:10" ht="13.8" thickBot="1">
      <c r="A1610" s="517"/>
      <c r="B1610" s="518" t="s">
        <v>12141</v>
      </c>
      <c r="C1610" s="516"/>
      <c r="D1610" s="514" t="s">
        <v>12140</v>
      </c>
      <c r="E1610" s="515">
        <v>7</v>
      </c>
      <c r="F1610" s="518" t="s">
        <v>1854</v>
      </c>
      <c r="G1610" s="515" t="s">
        <v>4970</v>
      </c>
      <c r="H1610" s="514"/>
      <c r="I1610" s="515"/>
      <c r="J1610" s="515"/>
    </row>
    <row r="1611" spans="1:10" ht="13.8" thickBot="1">
      <c r="A1611" s="517"/>
      <c r="B1611" s="518" t="s">
        <v>13057</v>
      </c>
      <c r="C1611" s="516"/>
      <c r="D1611" s="514" t="s">
        <v>1555</v>
      </c>
      <c r="E1611" s="515">
        <v>5.5</v>
      </c>
      <c r="F1611" s="518" t="s">
        <v>614</v>
      </c>
      <c r="G1611" s="515" t="s">
        <v>2957</v>
      </c>
      <c r="H1611" s="514"/>
      <c r="I1611" s="515"/>
      <c r="J1611" s="515">
        <v>2</v>
      </c>
    </row>
    <row r="1612" spans="1:10" ht="13.8" thickBot="1">
      <c r="A1612" s="517"/>
      <c r="B1612" s="518" t="s">
        <v>12153</v>
      </c>
      <c r="C1612" s="516"/>
      <c r="D1612" s="520" t="s">
        <v>12152</v>
      </c>
      <c r="E1612" s="521">
        <v>8</v>
      </c>
      <c r="F1612" s="518" t="s">
        <v>1854</v>
      </c>
      <c r="G1612" s="515" t="s">
        <v>4970</v>
      </c>
      <c r="H1612" s="514"/>
      <c r="I1612" s="521">
        <v>1</v>
      </c>
      <c r="J1612" s="521">
        <v>1</v>
      </c>
    </row>
    <row r="1613" spans="1:10" ht="13.8" thickBot="1">
      <c r="A1613" s="517"/>
      <c r="B1613" s="518" t="s">
        <v>12856</v>
      </c>
      <c r="C1613" s="516"/>
      <c r="D1613" s="514" t="s">
        <v>3451</v>
      </c>
      <c r="E1613" s="515">
        <v>7</v>
      </c>
      <c r="F1613" s="518" t="s">
        <v>1854</v>
      </c>
      <c r="G1613" s="515" t="s">
        <v>3452</v>
      </c>
      <c r="H1613" s="514"/>
      <c r="I1613" s="515"/>
      <c r="J1613" s="515"/>
    </row>
    <row r="1614" spans="1:10" ht="13.8" thickBot="1">
      <c r="A1614" s="517"/>
      <c r="B1614" s="518" t="s">
        <v>13441</v>
      </c>
      <c r="C1614" s="516"/>
      <c r="D1614" s="514" t="s">
        <v>13440</v>
      </c>
      <c r="E1614" s="515">
        <v>6.25</v>
      </c>
      <c r="F1614" s="518" t="s">
        <v>614</v>
      </c>
      <c r="G1614" s="515" t="s">
        <v>2523</v>
      </c>
      <c r="H1614" s="514"/>
      <c r="I1614" s="515">
        <v>2</v>
      </c>
      <c r="J1614" s="515">
        <v>3</v>
      </c>
    </row>
    <row r="1615" spans="1:10" ht="13.8" thickBot="1">
      <c r="A1615" s="517"/>
      <c r="B1615" s="518" t="s">
        <v>14241</v>
      </c>
      <c r="C1615" s="516"/>
      <c r="D1615" s="514" t="s">
        <v>14240</v>
      </c>
      <c r="E1615" s="515">
        <v>6.7</v>
      </c>
      <c r="F1615" s="518" t="s">
        <v>614</v>
      </c>
      <c r="G1615" s="515" t="s">
        <v>1793</v>
      </c>
      <c r="H1615" s="514" t="s">
        <v>1224</v>
      </c>
      <c r="I1615" s="515"/>
      <c r="J1615" s="515">
        <v>4</v>
      </c>
    </row>
    <row r="1616" spans="1:10" ht="13.8" thickBot="1">
      <c r="A1616" s="517"/>
      <c r="B1616" s="518" t="s">
        <v>12232</v>
      </c>
      <c r="C1616" s="516"/>
      <c r="D1616" s="514" t="s">
        <v>12231</v>
      </c>
      <c r="E1616" s="515"/>
      <c r="F1616" s="518" t="s">
        <v>614</v>
      </c>
      <c r="G1616" s="515" t="s">
        <v>4596</v>
      </c>
      <c r="H1616" s="514" t="s">
        <v>1226</v>
      </c>
      <c r="I1616" s="515"/>
      <c r="J1616" s="515">
        <v>1</v>
      </c>
    </row>
    <row r="1617" spans="1:10" ht="13.8" thickBot="1">
      <c r="A1617" s="517"/>
      <c r="B1617" s="518" t="s">
        <v>13794</v>
      </c>
      <c r="C1617" s="516"/>
      <c r="D1617" s="514" t="s">
        <v>13793</v>
      </c>
      <c r="E1617" s="515">
        <v>5.5</v>
      </c>
      <c r="F1617" s="518" t="s">
        <v>614</v>
      </c>
      <c r="G1617" s="515" t="s">
        <v>2152</v>
      </c>
      <c r="H1617" s="514" t="s">
        <v>1251</v>
      </c>
      <c r="I1617" s="515">
        <v>1</v>
      </c>
      <c r="J1617" s="515">
        <v>7</v>
      </c>
    </row>
    <row r="1618" spans="1:10" ht="13.8" thickBot="1">
      <c r="A1618" s="517"/>
      <c r="B1618" s="518" t="s">
        <v>12351</v>
      </c>
      <c r="C1618" s="516"/>
      <c r="D1618" s="519" t="s">
        <v>12350</v>
      </c>
      <c r="E1618" s="515">
        <v>7</v>
      </c>
      <c r="F1618" s="518" t="s">
        <v>614</v>
      </c>
      <c r="G1618" s="515" t="s">
        <v>4214</v>
      </c>
      <c r="H1618" s="514" t="s">
        <v>1226</v>
      </c>
      <c r="I1618" s="515"/>
      <c r="J1618" s="515">
        <v>1</v>
      </c>
    </row>
    <row r="1619" spans="1:10" ht="13.8" thickBot="1">
      <c r="A1619" s="517"/>
      <c r="B1619" s="518" t="s">
        <v>11927</v>
      </c>
      <c r="C1619" s="516"/>
      <c r="D1619" s="514" t="s">
        <v>11926</v>
      </c>
      <c r="E1619" s="515">
        <v>6.75</v>
      </c>
      <c r="F1619" s="518" t="s">
        <v>614</v>
      </c>
      <c r="G1619" s="515" t="s">
        <v>5226</v>
      </c>
      <c r="H1619" s="514" t="s">
        <v>1226</v>
      </c>
      <c r="I1619" s="515"/>
      <c r="J1619" s="515">
        <v>4</v>
      </c>
    </row>
    <row r="1620" spans="1:10" ht="13.8" thickBot="1">
      <c r="A1620" s="517"/>
      <c r="B1620" s="518" t="s">
        <v>11561</v>
      </c>
      <c r="C1620" s="516"/>
      <c r="D1620" s="514" t="s">
        <v>11560</v>
      </c>
      <c r="E1620" s="515">
        <v>7.5</v>
      </c>
      <c r="F1620" s="518" t="s">
        <v>1854</v>
      </c>
      <c r="G1620" s="515" t="s">
        <v>11525</v>
      </c>
      <c r="H1620" s="514"/>
      <c r="I1620" s="515"/>
      <c r="J1620" s="515"/>
    </row>
    <row r="1621" spans="1:10" ht="13.8" thickBot="1">
      <c r="A1621" s="517"/>
      <c r="B1621" s="518" t="s">
        <v>12436</v>
      </c>
      <c r="C1621" s="516"/>
      <c r="D1621" s="514" t="s">
        <v>12435</v>
      </c>
      <c r="E1621" s="515">
        <v>5</v>
      </c>
      <c r="F1621" s="518" t="s">
        <v>614</v>
      </c>
      <c r="G1621" s="515" t="s">
        <v>4067</v>
      </c>
      <c r="H1621" s="514" t="s">
        <v>1226</v>
      </c>
      <c r="I1621" s="515"/>
      <c r="J1621" s="515">
        <v>1</v>
      </c>
    </row>
    <row r="1622" spans="1:10" ht="13.8" thickBot="1">
      <c r="A1622" s="517"/>
      <c r="B1622" s="518" t="s">
        <v>12400</v>
      </c>
      <c r="C1622" s="516"/>
      <c r="D1622" s="514" t="s">
        <v>12399</v>
      </c>
      <c r="E1622" s="515">
        <v>7.25</v>
      </c>
      <c r="F1622" s="518" t="s">
        <v>614</v>
      </c>
      <c r="G1622" s="515" t="s">
        <v>4140</v>
      </c>
      <c r="H1622" s="514" t="s">
        <v>1224</v>
      </c>
      <c r="I1622" s="515">
        <v>1</v>
      </c>
      <c r="J1622" s="515">
        <v>4</v>
      </c>
    </row>
    <row r="1623" spans="1:10" ht="13.8" thickBot="1">
      <c r="A1623" s="517"/>
      <c r="B1623" s="518" t="s">
        <v>13380</v>
      </c>
      <c r="C1623" s="516"/>
      <c r="D1623" s="514" t="s">
        <v>13379</v>
      </c>
      <c r="E1623" s="515">
        <v>5.5</v>
      </c>
      <c r="F1623" s="518" t="s">
        <v>614</v>
      </c>
      <c r="G1623" s="515" t="s">
        <v>2523</v>
      </c>
      <c r="H1623" s="514" t="s">
        <v>1226</v>
      </c>
      <c r="I1623" s="515"/>
      <c r="J1623" s="515">
        <v>2</v>
      </c>
    </row>
    <row r="1624" spans="1:10" ht="13.8" thickBot="1">
      <c r="A1624" s="517"/>
      <c r="B1624" s="518" t="s">
        <v>12398</v>
      </c>
      <c r="C1624" s="516"/>
      <c r="D1624" s="514" t="s">
        <v>12397</v>
      </c>
      <c r="E1624" s="515">
        <v>7.1</v>
      </c>
      <c r="F1624" s="518" t="s">
        <v>614</v>
      </c>
      <c r="G1624" s="515" t="s">
        <v>4140</v>
      </c>
      <c r="H1624" s="514" t="s">
        <v>1251</v>
      </c>
      <c r="I1624" s="515"/>
      <c r="J1624" s="515">
        <v>4</v>
      </c>
    </row>
    <row r="1625" spans="1:10" ht="13.8" thickBot="1">
      <c r="A1625" s="517"/>
      <c r="B1625" s="518" t="s">
        <v>13492</v>
      </c>
      <c r="C1625" s="516"/>
      <c r="D1625" s="514" t="s">
        <v>13491</v>
      </c>
      <c r="E1625" s="515">
        <v>6.5</v>
      </c>
      <c r="F1625" s="518" t="s">
        <v>614</v>
      </c>
      <c r="G1625" s="515" t="s">
        <v>2523</v>
      </c>
      <c r="H1625" s="514" t="s">
        <v>1226</v>
      </c>
      <c r="I1625" s="515"/>
      <c r="J1625" s="515">
        <v>5</v>
      </c>
    </row>
    <row r="1626" spans="1:10" ht="13.8" thickBot="1">
      <c r="A1626" s="517"/>
      <c r="B1626" s="518" t="s">
        <v>13122</v>
      </c>
      <c r="C1626" s="516"/>
      <c r="D1626" s="514" t="s">
        <v>13121</v>
      </c>
      <c r="E1626" s="515">
        <v>6.5</v>
      </c>
      <c r="F1626" s="518" t="s">
        <v>614</v>
      </c>
      <c r="G1626" s="515" t="s">
        <v>2957</v>
      </c>
      <c r="H1626" s="514"/>
      <c r="I1626" s="515">
        <v>1</v>
      </c>
      <c r="J1626" s="515">
        <v>2</v>
      </c>
    </row>
    <row r="1627" spans="1:10" ht="13.8" thickBot="1">
      <c r="A1627" s="517"/>
      <c r="B1627" s="518" t="s">
        <v>13197</v>
      </c>
      <c r="C1627" s="516"/>
      <c r="D1627" s="514" t="s">
        <v>13196</v>
      </c>
      <c r="E1627" s="515">
        <v>6.8</v>
      </c>
      <c r="F1627" s="518" t="s">
        <v>614</v>
      </c>
      <c r="G1627" s="515" t="s">
        <v>2841</v>
      </c>
      <c r="H1627" s="514" t="s">
        <v>1226</v>
      </c>
      <c r="I1627" s="515"/>
      <c r="J1627" s="515">
        <v>4</v>
      </c>
    </row>
    <row r="1628" spans="1:10" ht="13.8" thickBot="1">
      <c r="A1628" s="517"/>
      <c r="B1628" s="518" t="s">
        <v>12979</v>
      </c>
      <c r="C1628" s="516"/>
      <c r="D1628" s="514" t="s">
        <v>12978</v>
      </c>
      <c r="E1628" s="515">
        <v>6.8</v>
      </c>
      <c r="F1628" s="518" t="s">
        <v>614</v>
      </c>
      <c r="G1628" s="515" t="s">
        <v>3085</v>
      </c>
      <c r="H1628" s="514" t="s">
        <v>1251</v>
      </c>
      <c r="I1628" s="515"/>
      <c r="J1628" s="515">
        <v>6</v>
      </c>
    </row>
    <row r="1629" spans="1:10" ht="13.8" thickBot="1">
      <c r="A1629" s="517"/>
      <c r="B1629" s="518" t="s">
        <v>11843</v>
      </c>
      <c r="C1629" s="516"/>
      <c r="D1629" s="514" t="s">
        <v>11842</v>
      </c>
      <c r="E1629" s="515">
        <v>5</v>
      </c>
      <c r="F1629" s="518" t="s">
        <v>614</v>
      </c>
      <c r="G1629" s="515" t="s">
        <v>5286</v>
      </c>
      <c r="H1629" s="514"/>
      <c r="I1629" s="515"/>
      <c r="J1629" s="515">
        <v>1</v>
      </c>
    </row>
    <row r="1630" spans="1:10" ht="13.8" thickBot="1">
      <c r="A1630" s="517"/>
      <c r="B1630" s="518" t="s">
        <v>12422</v>
      </c>
      <c r="C1630" s="516"/>
      <c r="D1630" s="514" t="s">
        <v>12421</v>
      </c>
      <c r="E1630" s="515">
        <v>6.4</v>
      </c>
      <c r="F1630" s="518" t="s">
        <v>614</v>
      </c>
      <c r="G1630" s="515" t="s">
        <v>4102</v>
      </c>
      <c r="H1630" s="514" t="s">
        <v>1226</v>
      </c>
      <c r="I1630" s="515">
        <v>1</v>
      </c>
      <c r="J1630" s="515">
        <v>7</v>
      </c>
    </row>
    <row r="1631" spans="1:10" ht="13.8" thickBot="1">
      <c r="A1631" s="517"/>
      <c r="B1631" s="518" t="s">
        <v>13236</v>
      </c>
      <c r="C1631" s="516"/>
      <c r="D1631" s="514" t="s">
        <v>13235</v>
      </c>
      <c r="E1631" s="515">
        <v>6.25</v>
      </c>
      <c r="F1631" s="518" t="s">
        <v>614</v>
      </c>
      <c r="G1631" s="515" t="s">
        <v>2779</v>
      </c>
      <c r="H1631" s="514"/>
      <c r="I1631" s="515"/>
      <c r="J1631" s="515">
        <v>1</v>
      </c>
    </row>
    <row r="1632" spans="1:10" ht="13.8" thickBot="1">
      <c r="A1632" s="517"/>
      <c r="B1632" s="518" t="s">
        <v>12612</v>
      </c>
      <c r="C1632" s="516"/>
      <c r="D1632" s="514" t="s">
        <v>1482</v>
      </c>
      <c r="E1632" s="515">
        <v>5</v>
      </c>
      <c r="F1632" s="518" t="s">
        <v>1854</v>
      </c>
      <c r="G1632" s="515" t="s">
        <v>3734</v>
      </c>
      <c r="H1632" s="514"/>
      <c r="I1632" s="515"/>
      <c r="J1632" s="515"/>
    </row>
    <row r="1633" spans="1:10" ht="13.8" thickBot="1">
      <c r="A1633" s="517"/>
      <c r="B1633" s="518" t="s">
        <v>12111</v>
      </c>
      <c r="C1633" s="516"/>
      <c r="D1633" s="514" t="s">
        <v>1593</v>
      </c>
      <c r="E1633" s="515">
        <v>5</v>
      </c>
      <c r="F1633" s="518" t="s">
        <v>1854</v>
      </c>
      <c r="G1633" s="515" t="s">
        <v>4970</v>
      </c>
      <c r="H1633" s="514"/>
      <c r="I1633" s="515"/>
      <c r="J1633" s="515"/>
    </row>
    <row r="1634" spans="1:10" ht="13.8" thickBot="1">
      <c r="A1634" s="517"/>
      <c r="B1634" s="518" t="s">
        <v>11559</v>
      </c>
      <c r="C1634" s="516"/>
      <c r="D1634" s="514" t="s">
        <v>11533</v>
      </c>
      <c r="E1634" s="515"/>
      <c r="F1634" s="514"/>
      <c r="G1634" s="515" t="s">
        <v>11525</v>
      </c>
      <c r="H1634" s="514"/>
      <c r="I1634" s="515"/>
      <c r="J1634" s="515"/>
    </row>
    <row r="1635" spans="1:10" ht="13.8" thickBot="1">
      <c r="A1635" s="517"/>
      <c r="B1635" s="518" t="s">
        <v>11558</v>
      </c>
      <c r="C1635" s="516"/>
      <c r="D1635" s="514" t="s">
        <v>11533</v>
      </c>
      <c r="E1635" s="515"/>
      <c r="F1635" s="514"/>
      <c r="G1635" s="515" t="s">
        <v>11525</v>
      </c>
      <c r="H1635" s="514"/>
      <c r="I1635" s="515"/>
      <c r="J1635" s="515"/>
    </row>
    <row r="1636" spans="1:10" ht="13.8" thickBot="1">
      <c r="A1636" s="517"/>
      <c r="B1636" s="518" t="s">
        <v>11557</v>
      </c>
      <c r="C1636" s="516"/>
      <c r="D1636" s="514" t="s">
        <v>11533</v>
      </c>
      <c r="E1636" s="515"/>
      <c r="F1636" s="514"/>
      <c r="G1636" s="515" t="s">
        <v>11525</v>
      </c>
      <c r="H1636" s="514"/>
      <c r="I1636" s="515"/>
      <c r="J1636" s="515"/>
    </row>
    <row r="1637" spans="1:10" ht="13.8" thickBot="1">
      <c r="A1637" s="517"/>
      <c r="B1637" s="518" t="s">
        <v>11556</v>
      </c>
      <c r="C1637" s="516"/>
      <c r="D1637" s="514" t="s">
        <v>11533</v>
      </c>
      <c r="E1637" s="515"/>
      <c r="F1637" s="514"/>
      <c r="G1637" s="515" t="s">
        <v>11525</v>
      </c>
      <c r="H1637" s="514"/>
      <c r="I1637" s="515"/>
      <c r="J1637" s="515"/>
    </row>
    <row r="1638" spans="1:10" ht="13.8" thickBot="1">
      <c r="A1638" s="517"/>
      <c r="B1638" s="518" t="s">
        <v>11555</v>
      </c>
      <c r="C1638" s="516"/>
      <c r="D1638" s="514" t="s">
        <v>11533</v>
      </c>
      <c r="E1638" s="515"/>
      <c r="F1638" s="514"/>
      <c r="G1638" s="515" t="s">
        <v>11525</v>
      </c>
      <c r="H1638" s="514"/>
      <c r="I1638" s="515"/>
      <c r="J1638" s="515"/>
    </row>
    <row r="1639" spans="1:10" ht="13.8" thickBot="1">
      <c r="A1639" s="517"/>
      <c r="B1639" s="518" t="s">
        <v>11554</v>
      </c>
      <c r="C1639" s="516"/>
      <c r="D1639" s="514" t="s">
        <v>11533</v>
      </c>
      <c r="E1639" s="515"/>
      <c r="F1639" s="514"/>
      <c r="G1639" s="515" t="s">
        <v>11525</v>
      </c>
      <c r="H1639" s="514"/>
      <c r="I1639" s="515"/>
      <c r="J1639" s="515"/>
    </row>
    <row r="1640" spans="1:10" ht="13.8" thickBot="1">
      <c r="A1640" s="517"/>
      <c r="B1640" s="518" t="s">
        <v>11553</v>
      </c>
      <c r="C1640" s="516"/>
      <c r="D1640" s="514" t="s">
        <v>11533</v>
      </c>
      <c r="E1640" s="515"/>
      <c r="F1640" s="514"/>
      <c r="G1640" s="515" t="s">
        <v>11525</v>
      </c>
      <c r="H1640" s="514"/>
      <c r="I1640" s="515"/>
      <c r="J1640" s="515"/>
    </row>
    <row r="1641" spans="1:10" ht="13.8" thickBot="1">
      <c r="A1641" s="517"/>
      <c r="B1641" s="518" t="s">
        <v>11552</v>
      </c>
      <c r="C1641" s="516"/>
      <c r="D1641" s="514" t="s">
        <v>11533</v>
      </c>
      <c r="E1641" s="515"/>
      <c r="F1641" s="514"/>
      <c r="G1641" s="515" t="s">
        <v>11525</v>
      </c>
      <c r="H1641" s="514"/>
      <c r="I1641" s="515"/>
      <c r="J1641" s="515"/>
    </row>
    <row r="1642" spans="1:10" ht="13.8" thickBot="1">
      <c r="A1642" s="517"/>
      <c r="B1642" s="518" t="s">
        <v>11551</v>
      </c>
      <c r="C1642" s="516"/>
      <c r="D1642" s="514" t="s">
        <v>11533</v>
      </c>
      <c r="E1642" s="515"/>
      <c r="F1642" s="514"/>
      <c r="G1642" s="515" t="s">
        <v>11525</v>
      </c>
      <c r="H1642" s="514"/>
      <c r="I1642" s="515"/>
      <c r="J1642" s="515"/>
    </row>
    <row r="1643" spans="1:10" ht="13.8" thickBot="1">
      <c r="A1643" s="517"/>
      <c r="B1643" s="518" t="s">
        <v>11550</v>
      </c>
      <c r="C1643" s="516"/>
      <c r="D1643" s="514" t="s">
        <v>11533</v>
      </c>
      <c r="E1643" s="515"/>
      <c r="F1643" s="514"/>
      <c r="G1643" s="515" t="s">
        <v>11525</v>
      </c>
      <c r="H1643" s="514"/>
      <c r="I1643" s="515"/>
      <c r="J1643" s="515"/>
    </row>
    <row r="1644" spans="1:10" ht="13.8" thickBot="1">
      <c r="A1644" s="517"/>
      <c r="B1644" s="518" t="s">
        <v>12749</v>
      </c>
      <c r="C1644" s="516"/>
      <c r="D1644" s="514" t="s">
        <v>12748</v>
      </c>
      <c r="E1644" s="515">
        <v>6</v>
      </c>
      <c r="F1644" s="518" t="s">
        <v>2223</v>
      </c>
      <c r="G1644" s="515" t="s">
        <v>3517</v>
      </c>
      <c r="H1644" s="514" t="s">
        <v>1224</v>
      </c>
      <c r="I1644" s="515"/>
      <c r="J1644" s="515">
        <v>1</v>
      </c>
    </row>
    <row r="1645" spans="1:10" ht="13.8" thickBot="1">
      <c r="A1645" s="517"/>
      <c r="B1645" s="518" t="s">
        <v>13630</v>
      </c>
      <c r="C1645" s="516"/>
      <c r="D1645" s="514" t="s">
        <v>13629</v>
      </c>
      <c r="E1645" s="515">
        <v>5</v>
      </c>
      <c r="F1645" s="518" t="s">
        <v>2223</v>
      </c>
      <c r="G1645" s="515" t="s">
        <v>2289</v>
      </c>
      <c r="H1645" s="514" t="s">
        <v>1224</v>
      </c>
      <c r="I1645" s="515"/>
      <c r="J1645" s="515">
        <v>2</v>
      </c>
    </row>
    <row r="1646" spans="1:10" ht="13.8" thickBot="1">
      <c r="A1646" s="517"/>
      <c r="B1646" s="518" t="s">
        <v>11549</v>
      </c>
      <c r="C1646" s="516"/>
      <c r="D1646" s="514" t="s">
        <v>11533</v>
      </c>
      <c r="E1646" s="515"/>
      <c r="F1646" s="514"/>
      <c r="G1646" s="515" t="s">
        <v>11525</v>
      </c>
      <c r="H1646" s="514"/>
      <c r="I1646" s="515"/>
      <c r="J1646" s="515"/>
    </row>
    <row r="1647" spans="1:10" ht="13.8" thickBot="1">
      <c r="A1647" s="517"/>
      <c r="B1647" s="518" t="s">
        <v>11548</v>
      </c>
      <c r="C1647" s="516"/>
      <c r="D1647" s="514" t="s">
        <v>11533</v>
      </c>
      <c r="E1647" s="515"/>
      <c r="F1647" s="514"/>
      <c r="G1647" s="515" t="s">
        <v>11525</v>
      </c>
      <c r="H1647" s="514"/>
      <c r="I1647" s="515"/>
      <c r="J1647" s="515"/>
    </row>
    <row r="1648" spans="1:10" ht="13.8" thickBot="1">
      <c r="A1648" s="517"/>
      <c r="B1648" s="518" t="s">
        <v>11547</v>
      </c>
      <c r="C1648" s="516"/>
      <c r="D1648" s="514" t="s">
        <v>11533</v>
      </c>
      <c r="E1648" s="515"/>
      <c r="F1648" s="514"/>
      <c r="G1648" s="515" t="s">
        <v>11525</v>
      </c>
      <c r="H1648" s="514"/>
      <c r="I1648" s="515"/>
      <c r="J1648" s="515"/>
    </row>
    <row r="1649" spans="1:10" ht="13.8" thickBot="1">
      <c r="A1649" s="517"/>
      <c r="B1649" s="518" t="s">
        <v>11546</v>
      </c>
      <c r="C1649" s="516"/>
      <c r="D1649" s="514" t="s">
        <v>11533</v>
      </c>
      <c r="E1649" s="515"/>
      <c r="F1649" s="514"/>
      <c r="G1649" s="515" t="s">
        <v>11525</v>
      </c>
      <c r="H1649" s="514"/>
      <c r="I1649" s="515"/>
      <c r="J1649" s="515"/>
    </row>
    <row r="1650" spans="1:10" ht="13.8" thickBot="1">
      <c r="A1650" s="517"/>
      <c r="B1650" s="518" t="s">
        <v>11545</v>
      </c>
      <c r="C1650" s="516"/>
      <c r="D1650" s="514" t="s">
        <v>11533</v>
      </c>
      <c r="E1650" s="515"/>
      <c r="F1650" s="514"/>
      <c r="G1650" s="515" t="s">
        <v>11525</v>
      </c>
      <c r="H1650" s="514"/>
      <c r="I1650" s="515"/>
      <c r="J1650" s="515"/>
    </row>
    <row r="1651" spans="1:10" ht="13.8" thickBot="1">
      <c r="A1651" s="517"/>
      <c r="B1651" s="518" t="s">
        <v>11544</v>
      </c>
      <c r="C1651" s="516"/>
      <c r="D1651" s="514" t="s">
        <v>11533</v>
      </c>
      <c r="E1651" s="515"/>
      <c r="F1651" s="514"/>
      <c r="G1651" s="515" t="s">
        <v>11525</v>
      </c>
      <c r="H1651" s="514"/>
      <c r="I1651" s="515"/>
      <c r="J1651" s="515">
        <v>1</v>
      </c>
    </row>
    <row r="1652" spans="1:10" ht="13.8" thickBot="1">
      <c r="A1652" s="517"/>
      <c r="B1652" s="518" t="s">
        <v>11543</v>
      </c>
      <c r="C1652" s="516"/>
      <c r="D1652" s="514" t="s">
        <v>11533</v>
      </c>
      <c r="E1652" s="515"/>
      <c r="F1652" s="514"/>
      <c r="G1652" s="515" t="s">
        <v>11525</v>
      </c>
      <c r="H1652" s="514"/>
      <c r="I1652" s="515"/>
      <c r="J1652" s="515"/>
    </row>
    <row r="1653" spans="1:10" ht="13.8" thickBot="1">
      <c r="A1653" s="517"/>
      <c r="B1653" s="518" t="s">
        <v>11542</v>
      </c>
      <c r="C1653" s="516"/>
      <c r="D1653" s="514" t="s">
        <v>11533</v>
      </c>
      <c r="E1653" s="515"/>
      <c r="F1653" s="514"/>
      <c r="G1653" s="515" t="s">
        <v>11525</v>
      </c>
      <c r="H1653" s="514"/>
      <c r="I1653" s="515"/>
      <c r="J1653" s="515"/>
    </row>
    <row r="1654" spans="1:10" ht="13.8" thickBot="1">
      <c r="A1654" s="517"/>
      <c r="B1654" s="518" t="s">
        <v>11541</v>
      </c>
      <c r="C1654" s="516"/>
      <c r="D1654" s="514" t="s">
        <v>11533</v>
      </c>
      <c r="E1654" s="515"/>
      <c r="F1654" s="514"/>
      <c r="G1654" s="515" t="s">
        <v>11525</v>
      </c>
      <c r="H1654" s="514"/>
      <c r="I1654" s="515"/>
      <c r="J1654" s="515">
        <v>1</v>
      </c>
    </row>
    <row r="1655" spans="1:10" ht="13.8" thickBot="1">
      <c r="A1655" s="517"/>
      <c r="B1655" s="518" t="s">
        <v>11540</v>
      </c>
      <c r="C1655" s="516"/>
      <c r="D1655" s="514" t="s">
        <v>11533</v>
      </c>
      <c r="E1655" s="515"/>
      <c r="F1655" s="514"/>
      <c r="G1655" s="515" t="s">
        <v>11525</v>
      </c>
      <c r="H1655" s="514"/>
      <c r="I1655" s="515"/>
      <c r="J1655" s="515"/>
    </row>
    <row r="1656" spans="1:10" ht="13.8" thickBot="1">
      <c r="A1656" s="517"/>
      <c r="B1656" s="518" t="s">
        <v>12778</v>
      </c>
      <c r="C1656" s="516"/>
      <c r="D1656" s="514" t="s">
        <v>1457</v>
      </c>
      <c r="E1656" s="515">
        <v>6.4</v>
      </c>
      <c r="F1656" s="518" t="s">
        <v>614</v>
      </c>
      <c r="G1656" s="515" t="s">
        <v>3517</v>
      </c>
      <c r="H1656" s="514" t="s">
        <v>1226</v>
      </c>
      <c r="I1656" s="515"/>
      <c r="J1656" s="515">
        <v>9</v>
      </c>
    </row>
    <row r="1657" spans="1:10" ht="13.8" thickBot="1">
      <c r="A1657" s="517"/>
      <c r="B1657" s="518" t="s">
        <v>11539</v>
      </c>
      <c r="C1657" s="516"/>
      <c r="D1657" s="514" t="s">
        <v>11533</v>
      </c>
      <c r="E1657" s="515"/>
      <c r="F1657" s="514"/>
      <c r="G1657" s="515" t="s">
        <v>11525</v>
      </c>
      <c r="H1657" s="514"/>
      <c r="I1657" s="515"/>
      <c r="J1657" s="515"/>
    </row>
    <row r="1658" spans="1:10" ht="13.8" thickBot="1">
      <c r="A1658" s="517"/>
      <c r="B1658" s="518" t="s">
        <v>11823</v>
      </c>
      <c r="C1658" s="516"/>
      <c r="D1658" s="514" t="s">
        <v>5328</v>
      </c>
      <c r="E1658" s="515">
        <v>6.25</v>
      </c>
      <c r="F1658" s="518" t="s">
        <v>614</v>
      </c>
      <c r="G1658" s="515" t="s">
        <v>5325</v>
      </c>
      <c r="H1658" s="514"/>
      <c r="I1658" s="515"/>
      <c r="J1658" s="515">
        <v>1</v>
      </c>
    </row>
    <row r="1659" spans="1:10" ht="13.8" thickBot="1">
      <c r="A1659" s="517"/>
      <c r="B1659" s="518" t="s">
        <v>11538</v>
      </c>
      <c r="C1659" s="516"/>
      <c r="D1659" s="514" t="s">
        <v>11533</v>
      </c>
      <c r="E1659" s="515"/>
      <c r="F1659" s="514"/>
      <c r="G1659" s="515" t="s">
        <v>11525</v>
      </c>
      <c r="H1659" s="514"/>
      <c r="I1659" s="515"/>
      <c r="J1659" s="515"/>
    </row>
    <row r="1660" spans="1:10" ht="13.8" thickBot="1">
      <c r="A1660" s="517"/>
      <c r="B1660" s="518" t="s">
        <v>11537</v>
      </c>
      <c r="C1660" s="516"/>
      <c r="D1660" s="514" t="s">
        <v>11533</v>
      </c>
      <c r="E1660" s="515"/>
      <c r="F1660" s="514"/>
      <c r="G1660" s="515" t="s">
        <v>11525</v>
      </c>
      <c r="H1660" s="514"/>
      <c r="I1660" s="515"/>
      <c r="J1660" s="515"/>
    </row>
    <row r="1661" spans="1:10" ht="13.8" thickBot="1">
      <c r="A1661" s="517"/>
      <c r="B1661" s="518" t="s">
        <v>11536</v>
      </c>
      <c r="C1661" s="516"/>
      <c r="D1661" s="514" t="s">
        <v>11533</v>
      </c>
      <c r="E1661" s="515"/>
      <c r="F1661" s="514"/>
      <c r="G1661" s="515" t="s">
        <v>11525</v>
      </c>
      <c r="H1661" s="514"/>
      <c r="I1661" s="515"/>
      <c r="J1661" s="515"/>
    </row>
    <row r="1662" spans="1:10" ht="13.8" thickBot="1">
      <c r="A1662" s="517"/>
      <c r="B1662" s="518" t="s">
        <v>11535</v>
      </c>
      <c r="C1662" s="516"/>
      <c r="D1662" s="514" t="s">
        <v>11533</v>
      </c>
      <c r="E1662" s="515"/>
      <c r="F1662" s="514"/>
      <c r="G1662" s="515" t="s">
        <v>11525</v>
      </c>
      <c r="H1662" s="514"/>
      <c r="I1662" s="515"/>
      <c r="J1662" s="515"/>
    </row>
    <row r="1663" spans="1:10" ht="13.8" thickBot="1">
      <c r="A1663" s="517"/>
      <c r="B1663" s="518" t="s">
        <v>11534</v>
      </c>
      <c r="C1663" s="516"/>
      <c r="D1663" s="514" t="s">
        <v>11533</v>
      </c>
      <c r="E1663" s="515"/>
      <c r="F1663" s="514"/>
      <c r="G1663" s="515" t="s">
        <v>11525</v>
      </c>
      <c r="H1663" s="514"/>
      <c r="I1663" s="515"/>
      <c r="J1663" s="515"/>
    </row>
    <row r="1664" spans="1:10" ht="13.8" thickBot="1">
      <c r="A1664" s="517"/>
      <c r="B1664" s="518" t="s">
        <v>12154</v>
      </c>
      <c r="C1664" s="516"/>
      <c r="D1664" s="514" t="s">
        <v>4966</v>
      </c>
      <c r="E1664" s="515">
        <v>5.5</v>
      </c>
      <c r="F1664" s="518" t="s">
        <v>614</v>
      </c>
      <c r="G1664" s="515" t="s">
        <v>4963</v>
      </c>
      <c r="H1664" s="514" t="s">
        <v>1224</v>
      </c>
      <c r="I1664" s="515"/>
      <c r="J1664" s="515">
        <v>1</v>
      </c>
    </row>
    <row r="1665" spans="1:10" ht="13.8" thickBot="1">
      <c r="A1665" s="517"/>
      <c r="B1665" s="518" t="s">
        <v>13079</v>
      </c>
      <c r="C1665" s="516"/>
      <c r="D1665" s="514" t="s">
        <v>1554</v>
      </c>
      <c r="E1665" s="515">
        <v>5.5</v>
      </c>
      <c r="F1665" s="518" t="s">
        <v>614</v>
      </c>
      <c r="G1665" s="515" t="s">
        <v>2957</v>
      </c>
      <c r="H1665" s="514" t="s">
        <v>1226</v>
      </c>
      <c r="I1665" s="515"/>
      <c r="J1665" s="515">
        <v>5</v>
      </c>
    </row>
    <row r="1666" spans="1:10" ht="13.8" thickBot="1">
      <c r="A1666" s="517"/>
      <c r="B1666" s="518" t="s">
        <v>12580</v>
      </c>
      <c r="C1666" s="516"/>
      <c r="D1666" s="514" t="s">
        <v>14303</v>
      </c>
      <c r="E1666" s="515">
        <v>6.25</v>
      </c>
      <c r="F1666" s="518" t="s">
        <v>614</v>
      </c>
      <c r="G1666" s="515" t="s">
        <v>3807</v>
      </c>
      <c r="H1666" s="514" t="s">
        <v>3306</v>
      </c>
      <c r="I1666" s="515">
        <v>2</v>
      </c>
      <c r="J1666" s="515">
        <v>30</v>
      </c>
    </row>
    <row r="1667" spans="1:10" ht="13.8" thickBot="1">
      <c r="A1667" s="517"/>
      <c r="B1667" s="518" t="s">
        <v>12170</v>
      </c>
      <c r="C1667" s="516"/>
      <c r="D1667" s="514" t="s">
        <v>12169</v>
      </c>
      <c r="E1667" s="515">
        <v>6</v>
      </c>
      <c r="F1667" s="518" t="s">
        <v>614</v>
      </c>
      <c r="G1667" s="515" t="s">
        <v>4905</v>
      </c>
      <c r="H1667" s="514" t="s">
        <v>1251</v>
      </c>
      <c r="I1667" s="515"/>
      <c r="J1667" s="515">
        <v>7</v>
      </c>
    </row>
    <row r="1668" spans="1:10" ht="13.8" thickBot="1">
      <c r="A1668" s="517"/>
      <c r="B1668" s="518" t="s">
        <v>14208</v>
      </c>
      <c r="C1668" s="516"/>
      <c r="D1668" s="514" t="s">
        <v>14207</v>
      </c>
      <c r="E1668" s="515">
        <v>6.3</v>
      </c>
      <c r="F1668" s="518" t="s">
        <v>1978</v>
      </c>
      <c r="G1668" s="515" t="s">
        <v>1793</v>
      </c>
      <c r="H1668" s="514"/>
      <c r="I1668" s="515"/>
      <c r="J1668" s="515">
        <v>5</v>
      </c>
    </row>
    <row r="1669" spans="1:10" ht="13.8" thickBot="1">
      <c r="A1669" s="517"/>
      <c r="B1669" s="518" t="s">
        <v>13544</v>
      </c>
      <c r="C1669" s="516"/>
      <c r="D1669" s="514" t="s">
        <v>13543</v>
      </c>
      <c r="E1669" s="515">
        <v>7.1</v>
      </c>
      <c r="F1669" s="514"/>
      <c r="G1669" s="515" t="s">
        <v>2523</v>
      </c>
      <c r="H1669" s="514"/>
      <c r="I1669" s="515"/>
      <c r="J1669" s="515">
        <v>1</v>
      </c>
    </row>
    <row r="1670" spans="1:10" ht="13.8" thickBot="1">
      <c r="A1670" s="517"/>
      <c r="B1670" s="518" t="s">
        <v>13656</v>
      </c>
      <c r="C1670" s="516"/>
      <c r="D1670" s="514" t="s">
        <v>13655</v>
      </c>
      <c r="E1670" s="515">
        <v>6</v>
      </c>
      <c r="F1670" s="518" t="s">
        <v>614</v>
      </c>
      <c r="G1670" s="515" t="s">
        <v>2289</v>
      </c>
      <c r="H1670" s="514" t="s">
        <v>1224</v>
      </c>
      <c r="I1670" s="515"/>
      <c r="J1670" s="515">
        <v>3</v>
      </c>
    </row>
    <row r="1671" spans="1:10" ht="13.8" thickBot="1">
      <c r="A1671" s="517"/>
      <c r="B1671" s="518" t="s">
        <v>13201</v>
      </c>
      <c r="C1671" s="516"/>
      <c r="D1671" s="514" t="s">
        <v>13200</v>
      </c>
      <c r="E1671" s="515">
        <v>8</v>
      </c>
      <c r="F1671" s="514"/>
      <c r="G1671" s="515" t="s">
        <v>2841</v>
      </c>
      <c r="H1671" s="514"/>
      <c r="I1671" s="515"/>
      <c r="J1671" s="515"/>
    </row>
    <row r="1672" spans="1:10" ht="13.8" thickBot="1">
      <c r="A1672" s="517"/>
      <c r="B1672" s="518" t="s">
        <v>13120</v>
      </c>
      <c r="C1672" s="516"/>
      <c r="D1672" s="514" t="s">
        <v>13119</v>
      </c>
      <c r="E1672" s="515">
        <v>6.5</v>
      </c>
      <c r="F1672" s="514"/>
      <c r="G1672" s="515" t="s">
        <v>2957</v>
      </c>
      <c r="H1672" s="514"/>
      <c r="I1672" s="515"/>
      <c r="J1672" s="515">
        <v>1</v>
      </c>
    </row>
    <row r="1673" spans="1:10" ht="13.8" thickBot="1">
      <c r="A1673" s="517"/>
      <c r="B1673" s="518" t="s">
        <v>13623</v>
      </c>
      <c r="C1673" s="516"/>
      <c r="D1673" s="514" t="s">
        <v>13622</v>
      </c>
      <c r="E1673" s="515">
        <v>5</v>
      </c>
      <c r="F1673" s="518" t="s">
        <v>614</v>
      </c>
      <c r="G1673" s="515" t="s">
        <v>2289</v>
      </c>
      <c r="H1673" s="514"/>
      <c r="I1673" s="515"/>
      <c r="J1673" s="515">
        <v>1</v>
      </c>
    </row>
    <row r="1674" spans="1:10" ht="13.8" thickBot="1">
      <c r="A1674" s="517"/>
      <c r="B1674" s="518" t="s">
        <v>13022</v>
      </c>
      <c r="C1674" s="516"/>
      <c r="D1674" s="514" t="s">
        <v>1552</v>
      </c>
      <c r="E1674" s="515">
        <v>4.5</v>
      </c>
      <c r="F1674" s="514"/>
      <c r="G1674" s="515" t="s">
        <v>2957</v>
      </c>
      <c r="H1674" s="514" t="s">
        <v>1224</v>
      </c>
      <c r="I1674" s="515"/>
      <c r="J1674" s="515">
        <v>1</v>
      </c>
    </row>
    <row r="1675" spans="1:10" ht="13.8" thickBot="1">
      <c r="A1675" s="517"/>
      <c r="B1675" s="518" t="s">
        <v>13882</v>
      </c>
      <c r="C1675" s="516"/>
      <c r="D1675" s="514" t="s">
        <v>13881</v>
      </c>
      <c r="E1675" s="515">
        <v>5.5</v>
      </c>
      <c r="F1675" s="518" t="s">
        <v>614</v>
      </c>
      <c r="G1675" s="515" t="s">
        <v>2032</v>
      </c>
      <c r="H1675" s="514" t="s">
        <v>1841</v>
      </c>
      <c r="I1675" s="515"/>
      <c r="J1675" s="515">
        <v>4</v>
      </c>
    </row>
    <row r="1676" spans="1:10" ht="13.8" thickBot="1">
      <c r="A1676" s="517"/>
      <c r="B1676" s="518" t="s">
        <v>13145</v>
      </c>
      <c r="C1676" s="516"/>
      <c r="D1676" s="514" t="s">
        <v>13144</v>
      </c>
      <c r="E1676" s="515">
        <v>6.75</v>
      </c>
      <c r="F1676" s="518" t="s">
        <v>614</v>
      </c>
      <c r="G1676" s="515" t="s">
        <v>2957</v>
      </c>
      <c r="H1676" s="514" t="s">
        <v>1251</v>
      </c>
      <c r="I1676" s="515"/>
      <c r="J1676" s="515">
        <v>8</v>
      </c>
    </row>
    <row r="1677" spans="1:10" ht="13.8" thickBot="1">
      <c r="A1677" s="517"/>
      <c r="B1677" s="518" t="s">
        <v>14264</v>
      </c>
      <c r="C1677" s="516"/>
      <c r="D1677" s="514" t="s">
        <v>14263</v>
      </c>
      <c r="E1677" s="515">
        <v>7</v>
      </c>
      <c r="F1677" s="514"/>
      <c r="G1677" s="515" t="s">
        <v>1793</v>
      </c>
      <c r="H1677" s="514"/>
      <c r="I1677" s="515"/>
      <c r="J1677" s="515">
        <v>1</v>
      </c>
    </row>
    <row r="1678" spans="1:10" ht="13.8" thickBot="1">
      <c r="A1678" s="517"/>
      <c r="B1678" s="518" t="s">
        <v>12156</v>
      </c>
      <c r="C1678" s="516"/>
      <c r="D1678" s="514" t="s">
        <v>12155</v>
      </c>
      <c r="E1678" s="515">
        <v>6.5</v>
      </c>
      <c r="F1678" s="514"/>
      <c r="G1678" s="515" t="s">
        <v>4963</v>
      </c>
      <c r="H1678" s="514"/>
      <c r="I1678" s="515"/>
      <c r="J1678" s="515">
        <v>1</v>
      </c>
    </row>
    <row r="1679" spans="1:10" ht="13.8" thickBot="1">
      <c r="A1679" s="517"/>
      <c r="B1679" s="518" t="s">
        <v>12365</v>
      </c>
      <c r="C1679" s="516"/>
      <c r="D1679" s="514" t="s">
        <v>12364</v>
      </c>
      <c r="E1679" s="515">
        <v>9</v>
      </c>
      <c r="F1679" s="514"/>
      <c r="G1679" s="515" t="s">
        <v>4214</v>
      </c>
      <c r="H1679" s="514"/>
      <c r="I1679" s="515"/>
      <c r="J1679" s="515"/>
    </row>
    <row r="1680" spans="1:10" ht="13.8" thickBot="1">
      <c r="A1680" s="517"/>
      <c r="B1680" s="518" t="s">
        <v>13023</v>
      </c>
      <c r="C1680" s="516"/>
      <c r="D1680" s="514" t="s">
        <v>1552</v>
      </c>
      <c r="E1680" s="515">
        <v>5</v>
      </c>
      <c r="F1680" s="514"/>
      <c r="G1680" s="515" t="s">
        <v>2957</v>
      </c>
      <c r="H1680" s="514"/>
      <c r="I1680" s="515"/>
      <c r="J1680" s="515"/>
    </row>
    <row r="1681" spans="1:10" ht="13.8" thickBot="1">
      <c r="A1681" s="517"/>
      <c r="B1681" s="518" t="s">
        <v>13616</v>
      </c>
      <c r="C1681" s="516"/>
      <c r="D1681" s="514" t="s">
        <v>13615</v>
      </c>
      <c r="E1681" s="515">
        <v>8.5</v>
      </c>
      <c r="F1681" s="514"/>
      <c r="G1681" s="515" t="s">
        <v>2449</v>
      </c>
      <c r="H1681" s="514"/>
      <c r="I1681" s="515"/>
      <c r="J1681" s="515"/>
    </row>
    <row r="1682" spans="1:10" ht="13.8" thickBot="1">
      <c r="A1682" s="517"/>
      <c r="B1682" s="518" t="s">
        <v>11532</v>
      </c>
      <c r="C1682" s="516"/>
      <c r="D1682" s="514" t="s">
        <v>11531</v>
      </c>
      <c r="E1682" s="515">
        <v>8.5</v>
      </c>
      <c r="F1682" s="514"/>
      <c r="G1682" s="515" t="s">
        <v>11525</v>
      </c>
      <c r="H1682" s="514"/>
      <c r="I1682" s="515"/>
      <c r="J1682" s="515"/>
    </row>
    <row r="1683" spans="1:10" ht="13.8" thickBot="1">
      <c r="A1683" s="517"/>
      <c r="B1683" s="518" t="s">
        <v>11530</v>
      </c>
      <c r="C1683" s="516"/>
      <c r="D1683" s="514" t="s">
        <v>11529</v>
      </c>
      <c r="E1683" s="515">
        <v>6.5</v>
      </c>
      <c r="F1683" s="514"/>
      <c r="G1683" s="515" t="s">
        <v>11525</v>
      </c>
      <c r="H1683" s="514"/>
      <c r="I1683" s="515"/>
      <c r="J1683" s="515"/>
    </row>
    <row r="1684" spans="1:10" ht="13.8" thickBot="1">
      <c r="A1684" s="517"/>
      <c r="B1684" s="518" t="s">
        <v>11890</v>
      </c>
      <c r="C1684" s="516"/>
      <c r="D1684" s="514" t="s">
        <v>11889</v>
      </c>
      <c r="E1684" s="515">
        <v>7</v>
      </c>
      <c r="F1684" s="514"/>
      <c r="G1684" s="515" t="s">
        <v>5269</v>
      </c>
      <c r="H1684" s="514"/>
      <c r="I1684" s="515"/>
      <c r="J1684" s="515">
        <v>1</v>
      </c>
    </row>
    <row r="1685" spans="1:10" ht="13.8" thickBot="1">
      <c r="A1685" s="517"/>
      <c r="B1685" s="518" t="s">
        <v>11991</v>
      </c>
      <c r="C1685" s="516"/>
      <c r="D1685" s="514" t="s">
        <v>11990</v>
      </c>
      <c r="E1685" s="515">
        <v>6.75</v>
      </c>
      <c r="F1685" s="518" t="s">
        <v>614</v>
      </c>
      <c r="G1685" s="515" t="s">
        <v>5180</v>
      </c>
      <c r="H1685" s="514" t="s">
        <v>1226</v>
      </c>
      <c r="I1685" s="515">
        <v>1</v>
      </c>
      <c r="J1685" s="515">
        <v>6</v>
      </c>
    </row>
    <row r="1686" spans="1:10" ht="13.8" thickBot="1">
      <c r="A1686" s="517"/>
      <c r="B1686" s="518" t="s">
        <v>12192</v>
      </c>
      <c r="C1686" s="516"/>
      <c r="D1686" s="514" t="s">
        <v>12191</v>
      </c>
      <c r="E1686" s="515">
        <v>5.75</v>
      </c>
      <c r="F1686" s="514"/>
      <c r="G1686" s="515" t="s">
        <v>4789</v>
      </c>
      <c r="H1686" s="514"/>
      <c r="I1686" s="515"/>
      <c r="J1686" s="515">
        <v>1</v>
      </c>
    </row>
    <row r="1687" spans="1:10" ht="13.8" thickBot="1">
      <c r="A1687" s="517"/>
      <c r="B1687" s="518" t="s">
        <v>12276</v>
      </c>
      <c r="C1687" s="516"/>
      <c r="D1687" s="519" t="s">
        <v>12275</v>
      </c>
      <c r="E1687" s="515">
        <v>6.25</v>
      </c>
      <c r="F1687" s="514"/>
      <c r="G1687" s="515" t="s">
        <v>4354</v>
      </c>
      <c r="H1687" s="514"/>
      <c r="I1687" s="515"/>
      <c r="J1687" s="515">
        <v>1</v>
      </c>
    </row>
    <row r="1688" spans="1:10" ht="13.8" thickBot="1">
      <c r="A1688" s="517"/>
      <c r="B1688" s="518" t="s">
        <v>12309</v>
      </c>
      <c r="C1688" s="516"/>
      <c r="D1688" s="514" t="s">
        <v>12308</v>
      </c>
      <c r="E1688" s="515">
        <v>5</v>
      </c>
      <c r="F1688" s="518" t="s">
        <v>614</v>
      </c>
      <c r="G1688" s="515" t="s">
        <v>4214</v>
      </c>
      <c r="H1688" s="514" t="s">
        <v>1224</v>
      </c>
      <c r="I1688" s="515"/>
      <c r="J1688" s="515">
        <v>1</v>
      </c>
    </row>
    <row r="1689" spans="1:10" ht="13.8" thickBot="1">
      <c r="A1689" s="517"/>
      <c r="B1689" s="518" t="s">
        <v>13972</v>
      </c>
      <c r="C1689" s="516"/>
      <c r="D1689" s="514" t="s">
        <v>13971</v>
      </c>
      <c r="E1689" s="515">
        <v>5.25</v>
      </c>
      <c r="F1689" s="515" t="s">
        <v>12413</v>
      </c>
      <c r="G1689" s="515" t="s">
        <v>1922</v>
      </c>
      <c r="H1689" s="514" t="s">
        <v>1226</v>
      </c>
      <c r="I1689" s="515"/>
      <c r="J1689" s="515">
        <v>1</v>
      </c>
    </row>
    <row r="1690" spans="1:10" ht="13.8" thickBot="1">
      <c r="A1690" s="517"/>
      <c r="B1690" s="518" t="s">
        <v>13286</v>
      </c>
      <c r="C1690" s="516"/>
      <c r="D1690" s="514" t="s">
        <v>1300</v>
      </c>
      <c r="E1690" s="515">
        <v>4.5</v>
      </c>
      <c r="F1690" s="518" t="s">
        <v>614</v>
      </c>
      <c r="G1690" s="515" t="s">
        <v>2523</v>
      </c>
      <c r="H1690" s="514" t="s">
        <v>1224</v>
      </c>
      <c r="I1690" s="515"/>
      <c r="J1690" s="515">
        <v>1</v>
      </c>
    </row>
    <row r="1691" spans="1:10" ht="13.8" thickBot="1">
      <c r="A1691" s="517"/>
      <c r="B1691" s="518" t="s">
        <v>12392</v>
      </c>
      <c r="C1691" s="516"/>
      <c r="D1691" s="514" t="s">
        <v>12391</v>
      </c>
      <c r="E1691" s="515">
        <v>5.5</v>
      </c>
      <c r="F1691" s="518" t="s">
        <v>614</v>
      </c>
      <c r="G1691" s="515" t="s">
        <v>4140</v>
      </c>
      <c r="H1691" s="514"/>
      <c r="I1691" s="515"/>
      <c r="J1691" s="515">
        <v>1</v>
      </c>
    </row>
    <row r="1692" spans="1:10" ht="13.8" thickBot="1">
      <c r="A1692" s="517"/>
      <c r="B1692" s="518" t="s">
        <v>13056</v>
      </c>
      <c r="C1692" s="516"/>
      <c r="D1692" s="514" t="s">
        <v>13055</v>
      </c>
      <c r="E1692" s="515">
        <v>5.5</v>
      </c>
      <c r="F1692" s="518" t="s">
        <v>614</v>
      </c>
      <c r="G1692" s="515" t="s">
        <v>2957</v>
      </c>
      <c r="H1692" s="514"/>
      <c r="I1692" s="515"/>
      <c r="J1692" s="515">
        <v>1</v>
      </c>
    </row>
    <row r="1693" spans="1:10" ht="13.8" thickBot="1">
      <c r="A1693" s="517"/>
      <c r="B1693" s="518" t="s">
        <v>13888</v>
      </c>
      <c r="C1693" s="516"/>
      <c r="D1693" s="514" t="s">
        <v>2044</v>
      </c>
      <c r="E1693" s="515">
        <v>6</v>
      </c>
      <c r="F1693" s="518" t="s">
        <v>614</v>
      </c>
      <c r="G1693" s="515" t="s">
        <v>2032</v>
      </c>
      <c r="H1693" s="514"/>
      <c r="I1693" s="515"/>
      <c r="J1693" s="515">
        <v>1</v>
      </c>
    </row>
    <row r="1694" spans="1:10" ht="13.8" thickBot="1">
      <c r="A1694" s="517"/>
      <c r="B1694" s="518" t="s">
        <v>12463</v>
      </c>
      <c r="C1694" s="516"/>
      <c r="D1694" s="514" t="s">
        <v>12462</v>
      </c>
      <c r="E1694" s="515">
        <v>5</v>
      </c>
      <c r="F1694" s="518" t="s">
        <v>614</v>
      </c>
      <c r="G1694" s="515" t="s">
        <v>3996</v>
      </c>
      <c r="H1694" s="514" t="s">
        <v>1226</v>
      </c>
      <c r="I1694" s="522"/>
      <c r="J1694" s="522">
        <v>2</v>
      </c>
    </row>
    <row r="1695" spans="1:10" ht="13.8" thickBot="1">
      <c r="A1695" s="517"/>
      <c r="B1695" s="518" t="s">
        <v>13810</v>
      </c>
      <c r="C1695" s="516"/>
      <c r="D1695" s="514" t="s">
        <v>13809</v>
      </c>
      <c r="E1695" s="515">
        <v>6.25</v>
      </c>
      <c r="F1695" s="518" t="s">
        <v>614</v>
      </c>
      <c r="G1695" s="515" t="s">
        <v>2152</v>
      </c>
      <c r="H1695" s="514" t="s">
        <v>1229</v>
      </c>
      <c r="I1695" s="515">
        <v>2</v>
      </c>
      <c r="J1695" s="515">
        <v>15</v>
      </c>
    </row>
    <row r="1696" spans="1:10" ht="13.8" thickBot="1">
      <c r="A1696" s="517"/>
      <c r="B1696" s="518" t="s">
        <v>12373</v>
      </c>
      <c r="C1696" s="516"/>
      <c r="D1696" s="514" t="s">
        <v>12372</v>
      </c>
      <c r="E1696" s="515">
        <v>6</v>
      </c>
      <c r="F1696" s="518" t="s">
        <v>614</v>
      </c>
      <c r="G1696" s="515" t="s">
        <v>4160</v>
      </c>
      <c r="H1696" s="514" t="s">
        <v>1226</v>
      </c>
      <c r="I1696" s="522">
        <v>2</v>
      </c>
      <c r="J1696" s="522">
        <v>9</v>
      </c>
    </row>
    <row r="1697" spans="1:10" ht="13.8" thickBot="1">
      <c r="A1697" s="517"/>
      <c r="B1697" s="518" t="s">
        <v>13573</v>
      </c>
      <c r="C1697" s="516"/>
      <c r="D1697" s="514" t="s">
        <v>13572</v>
      </c>
      <c r="E1697" s="515">
        <v>5</v>
      </c>
      <c r="F1697" s="514"/>
      <c r="G1697" s="515" t="s">
        <v>2449</v>
      </c>
      <c r="H1697" s="514"/>
      <c r="I1697" s="515"/>
      <c r="J1697" s="515">
        <v>1</v>
      </c>
    </row>
    <row r="1698" spans="1:10" ht="13.8" thickBot="1">
      <c r="A1698" s="517"/>
      <c r="B1698" s="518" t="s">
        <v>14155</v>
      </c>
      <c r="C1698" s="516"/>
      <c r="D1698" s="514" t="s">
        <v>14154</v>
      </c>
      <c r="E1698" s="515">
        <v>5</v>
      </c>
      <c r="F1698" s="514"/>
      <c r="G1698" s="515" t="s">
        <v>1793</v>
      </c>
      <c r="H1698" s="514" t="s">
        <v>1226</v>
      </c>
      <c r="I1698" s="515">
        <v>2</v>
      </c>
      <c r="J1698" s="515">
        <v>5</v>
      </c>
    </row>
    <row r="1699" spans="1:10" ht="13.8" thickBot="1">
      <c r="A1699" s="517"/>
      <c r="B1699" s="518" t="s">
        <v>12439</v>
      </c>
      <c r="C1699" s="516"/>
      <c r="D1699" s="514" t="s">
        <v>12438</v>
      </c>
      <c r="E1699" s="515">
        <v>6</v>
      </c>
      <c r="F1699" s="514"/>
      <c r="G1699" s="515" t="s">
        <v>4067</v>
      </c>
      <c r="H1699" s="514"/>
      <c r="I1699" s="515"/>
      <c r="J1699" s="515">
        <v>1</v>
      </c>
    </row>
    <row r="1700" spans="1:10" ht="13.8" thickBot="1">
      <c r="A1700" s="517"/>
      <c r="B1700" s="518" t="s">
        <v>13212</v>
      </c>
      <c r="C1700" s="516"/>
      <c r="D1700" s="514" t="s">
        <v>1331</v>
      </c>
      <c r="E1700" s="515">
        <v>6</v>
      </c>
      <c r="F1700" s="514"/>
      <c r="G1700" s="515" t="s">
        <v>2797</v>
      </c>
      <c r="H1700" s="514" t="s">
        <v>1224</v>
      </c>
      <c r="I1700" s="515"/>
      <c r="J1700" s="515">
        <v>3</v>
      </c>
    </row>
    <row r="1701" spans="1:10" ht="13.8" thickBot="1">
      <c r="A1701" s="517"/>
      <c r="B1701" s="518" t="s">
        <v>13582</v>
      </c>
      <c r="C1701" s="516"/>
      <c r="D1701" s="514" t="s">
        <v>2448</v>
      </c>
      <c r="E1701" s="515">
        <v>5.5</v>
      </c>
      <c r="F1701" s="514"/>
      <c r="G1701" s="515" t="s">
        <v>2449</v>
      </c>
      <c r="H1701" s="514"/>
      <c r="I1701" s="515"/>
      <c r="J1701" s="515">
        <v>1</v>
      </c>
    </row>
    <row r="1702" spans="1:10" ht="13.8" thickBot="1">
      <c r="A1702" s="517"/>
      <c r="B1702" s="518" t="s">
        <v>12466</v>
      </c>
      <c r="C1702" s="516"/>
      <c r="D1702" s="514" t="s">
        <v>12465</v>
      </c>
      <c r="E1702" s="515">
        <v>6</v>
      </c>
      <c r="F1702" s="514"/>
      <c r="G1702" s="515" t="s">
        <v>3996</v>
      </c>
      <c r="H1702" s="514"/>
      <c r="I1702" s="515"/>
      <c r="J1702" s="515">
        <v>1</v>
      </c>
    </row>
    <row r="1703" spans="1:10" ht="13.8" thickBot="1">
      <c r="A1703" s="517"/>
      <c r="B1703" s="518" t="s">
        <v>13976</v>
      </c>
      <c r="C1703" s="516"/>
      <c r="D1703" s="514" t="s">
        <v>13975</v>
      </c>
      <c r="E1703" s="515">
        <v>6.5</v>
      </c>
      <c r="F1703" s="518" t="s">
        <v>614</v>
      </c>
      <c r="G1703" s="515" t="s">
        <v>1922</v>
      </c>
      <c r="H1703" s="514" t="s">
        <v>1226</v>
      </c>
      <c r="I1703" s="515"/>
      <c r="J1703" s="515">
        <v>6</v>
      </c>
    </row>
    <row r="1704" spans="1:10" ht="13.8" thickBot="1">
      <c r="A1704" s="517"/>
      <c r="B1704" s="518" t="s">
        <v>11850</v>
      </c>
      <c r="C1704" s="516"/>
      <c r="D1704" s="514" t="s">
        <v>11849</v>
      </c>
      <c r="E1704" s="515">
        <v>6</v>
      </c>
      <c r="F1704" s="518" t="s">
        <v>614</v>
      </c>
      <c r="G1704" s="515" t="s">
        <v>5286</v>
      </c>
      <c r="H1704" s="514"/>
      <c r="I1704" s="515"/>
      <c r="J1704" s="515">
        <v>5</v>
      </c>
    </row>
    <row r="1705" spans="1:10" ht="13.8" thickBot="1">
      <c r="A1705" s="517"/>
      <c r="B1705" s="518" t="s">
        <v>13279</v>
      </c>
      <c r="C1705" s="516"/>
      <c r="D1705" s="514" t="s">
        <v>1300</v>
      </c>
      <c r="E1705" s="515">
        <v>4.5</v>
      </c>
      <c r="F1705" s="514"/>
      <c r="G1705" s="515" t="s">
        <v>2523</v>
      </c>
      <c r="H1705" s="514"/>
      <c r="I1705" s="515"/>
      <c r="J1705" s="515">
        <v>1</v>
      </c>
    </row>
    <row r="1706" spans="1:10" ht="13.8" thickBot="1">
      <c r="A1706" s="517"/>
      <c r="B1706" s="518" t="s">
        <v>11845</v>
      </c>
      <c r="C1706" s="516"/>
      <c r="D1706" s="514" t="s">
        <v>1381</v>
      </c>
      <c r="E1706" s="515">
        <v>5.5</v>
      </c>
      <c r="F1706" s="514"/>
      <c r="G1706" s="515" t="s">
        <v>5286</v>
      </c>
      <c r="H1706" s="514"/>
      <c r="I1706" s="515"/>
      <c r="J1706" s="515">
        <v>1</v>
      </c>
    </row>
    <row r="1707" spans="1:10" ht="13.8" thickBot="1">
      <c r="A1707" s="517"/>
      <c r="B1707" s="518" t="s">
        <v>13916</v>
      </c>
      <c r="C1707" s="516"/>
      <c r="D1707" s="514" t="s">
        <v>13915</v>
      </c>
      <c r="E1707" s="515">
        <v>6.5</v>
      </c>
      <c r="F1707" s="514"/>
      <c r="G1707" s="515" t="s">
        <v>2032</v>
      </c>
      <c r="H1707" s="514" t="s">
        <v>1251</v>
      </c>
      <c r="I1707" s="515"/>
      <c r="J1707" s="515">
        <v>10</v>
      </c>
    </row>
    <row r="1708" spans="1:10" ht="13.8" thickBot="1">
      <c r="A1708" s="517"/>
      <c r="B1708" s="518" t="s">
        <v>12482</v>
      </c>
      <c r="C1708" s="516"/>
      <c r="D1708" s="514" t="s">
        <v>12481</v>
      </c>
      <c r="E1708" s="515">
        <v>5.5</v>
      </c>
      <c r="F1708" s="514"/>
      <c r="G1708" s="515" t="s">
        <v>3932</v>
      </c>
      <c r="H1708" s="514" t="s">
        <v>1226</v>
      </c>
      <c r="I1708" s="515">
        <v>1</v>
      </c>
      <c r="J1708" s="515">
        <v>1</v>
      </c>
    </row>
    <row r="1709" spans="1:10" ht="13.8" thickBot="1">
      <c r="A1709" s="517"/>
      <c r="B1709" s="518" t="s">
        <v>12055</v>
      </c>
      <c r="C1709" s="516"/>
      <c r="D1709" s="514" t="s">
        <v>1767</v>
      </c>
      <c r="E1709" s="515">
        <v>5</v>
      </c>
      <c r="F1709" s="518" t="s">
        <v>614</v>
      </c>
      <c r="G1709" s="515" t="s">
        <v>5010</v>
      </c>
      <c r="H1709" s="514"/>
      <c r="I1709" s="515"/>
      <c r="J1709" s="515">
        <v>4</v>
      </c>
    </row>
    <row r="1710" spans="1:10" ht="13.8" thickBot="1">
      <c r="A1710" s="517"/>
      <c r="B1710" s="518" t="s">
        <v>13362</v>
      </c>
      <c r="C1710" s="516"/>
      <c r="D1710" s="514" t="s">
        <v>1300</v>
      </c>
      <c r="E1710" s="515">
        <v>5.5</v>
      </c>
      <c r="F1710" s="514"/>
      <c r="G1710" s="515" t="s">
        <v>2523</v>
      </c>
      <c r="H1710" s="514"/>
      <c r="I1710" s="515">
        <v>1</v>
      </c>
      <c r="J1710" s="515">
        <v>3</v>
      </c>
    </row>
    <row r="1711" spans="1:10" ht="13.8" thickBot="1">
      <c r="A1711" s="517"/>
      <c r="B1711" s="518" t="s">
        <v>13041</v>
      </c>
      <c r="C1711" s="516"/>
      <c r="D1711" s="514" t="s">
        <v>1552</v>
      </c>
      <c r="E1711" s="515">
        <v>5</v>
      </c>
      <c r="F1711" s="514"/>
      <c r="G1711" s="515" t="s">
        <v>2957</v>
      </c>
      <c r="H1711" s="514" t="s">
        <v>1224</v>
      </c>
      <c r="I1711" s="515"/>
      <c r="J1711" s="515">
        <v>4</v>
      </c>
    </row>
    <row r="1712" spans="1:10" ht="13.8" thickBot="1">
      <c r="A1712" s="517"/>
      <c r="B1712" s="518" t="s">
        <v>13319</v>
      </c>
      <c r="C1712" s="516"/>
      <c r="D1712" s="514" t="s">
        <v>13318</v>
      </c>
      <c r="E1712" s="515">
        <v>5</v>
      </c>
      <c r="F1712" s="518" t="s">
        <v>614</v>
      </c>
      <c r="G1712" s="515" t="s">
        <v>2523</v>
      </c>
      <c r="H1712" s="514"/>
      <c r="I1712" s="515"/>
      <c r="J1712" s="515">
        <v>6</v>
      </c>
    </row>
    <row r="1713" spans="1:10" ht="13.8" thickBot="1">
      <c r="A1713" s="517"/>
      <c r="B1713" s="518" t="s">
        <v>13874</v>
      </c>
      <c r="C1713" s="516"/>
      <c r="D1713" s="514" t="s">
        <v>13873</v>
      </c>
      <c r="E1713" s="515">
        <v>5.5</v>
      </c>
      <c r="F1713" s="518" t="s">
        <v>614</v>
      </c>
      <c r="G1713" s="515" t="s">
        <v>2032</v>
      </c>
      <c r="H1713" s="514"/>
      <c r="I1713" s="515"/>
      <c r="J1713" s="515">
        <v>3</v>
      </c>
    </row>
    <row r="1714" spans="1:10" ht="13.8" thickBot="1">
      <c r="A1714" s="517"/>
      <c r="B1714" s="518" t="s">
        <v>13069</v>
      </c>
      <c r="C1714" s="516"/>
      <c r="D1714" s="514" t="s">
        <v>13068</v>
      </c>
      <c r="E1714" s="515">
        <v>5.5</v>
      </c>
      <c r="F1714" s="514"/>
      <c r="G1714" s="515" t="s">
        <v>2957</v>
      </c>
      <c r="H1714" s="514" t="s">
        <v>1224</v>
      </c>
      <c r="I1714" s="515"/>
      <c r="J1714" s="515">
        <v>3</v>
      </c>
    </row>
    <row r="1715" spans="1:10" ht="13.8" thickBot="1">
      <c r="A1715" s="517"/>
      <c r="B1715" s="518" t="s">
        <v>13619</v>
      </c>
      <c r="C1715" s="516"/>
      <c r="D1715" s="514" t="s">
        <v>1726</v>
      </c>
      <c r="E1715" s="515">
        <v>5</v>
      </c>
      <c r="F1715" s="514"/>
      <c r="G1715" s="515" t="s">
        <v>2289</v>
      </c>
      <c r="H1715" s="514"/>
      <c r="I1715" s="515"/>
      <c r="J1715" s="515">
        <v>1</v>
      </c>
    </row>
    <row r="1716" spans="1:10" ht="13.8" thickBot="1">
      <c r="A1716" s="517"/>
      <c r="B1716" s="518" t="s">
        <v>12370</v>
      </c>
      <c r="C1716" s="516"/>
      <c r="D1716" s="514" t="s">
        <v>12369</v>
      </c>
      <c r="E1716" s="515">
        <v>5.5</v>
      </c>
      <c r="F1716" s="514"/>
      <c r="G1716" s="515" t="s">
        <v>4160</v>
      </c>
      <c r="H1716" s="514"/>
      <c r="I1716" s="515"/>
      <c r="J1716" s="515">
        <v>2</v>
      </c>
    </row>
    <row r="1717" spans="1:10" ht="13.8" thickBot="1">
      <c r="A1717" s="517"/>
      <c r="B1717" s="518" t="s">
        <v>14186</v>
      </c>
      <c r="C1717" s="516"/>
      <c r="D1717" s="514" t="s">
        <v>14185</v>
      </c>
      <c r="E1717" s="515">
        <v>6</v>
      </c>
      <c r="F1717" s="518" t="s">
        <v>614</v>
      </c>
      <c r="G1717" s="515" t="s">
        <v>1793</v>
      </c>
      <c r="H1717" s="514"/>
      <c r="I1717" s="515">
        <v>1</v>
      </c>
      <c r="J1717" s="515">
        <v>4</v>
      </c>
    </row>
    <row r="1718" spans="1:10" ht="13.8" thickBot="1">
      <c r="A1718" s="517"/>
      <c r="B1718" s="518" t="s">
        <v>14206</v>
      </c>
      <c r="C1718" s="516"/>
      <c r="D1718" s="514" t="s">
        <v>14205</v>
      </c>
      <c r="E1718" s="515">
        <v>6.25</v>
      </c>
      <c r="F1718" s="514"/>
      <c r="G1718" s="515" t="s">
        <v>1793</v>
      </c>
      <c r="H1718" s="514" t="s">
        <v>1251</v>
      </c>
      <c r="I1718" s="515"/>
      <c r="J1718" s="515">
        <v>4</v>
      </c>
    </row>
    <row r="1719" spans="1:10" ht="13.8" thickBot="1">
      <c r="A1719" s="517"/>
      <c r="B1719" s="518" t="s">
        <v>13592</v>
      </c>
      <c r="C1719" s="516"/>
      <c r="D1719" s="514" t="s">
        <v>13591</v>
      </c>
      <c r="E1719" s="515">
        <v>6.25</v>
      </c>
      <c r="F1719" s="514"/>
      <c r="G1719" s="515" t="s">
        <v>2449</v>
      </c>
      <c r="H1719" s="514" t="s">
        <v>1226</v>
      </c>
      <c r="I1719" s="515"/>
      <c r="J1719" s="515">
        <v>6</v>
      </c>
    </row>
    <row r="1720" spans="1:10" ht="13.8" thickBot="1">
      <c r="A1720" s="517"/>
      <c r="B1720" s="518" t="s">
        <v>12937</v>
      </c>
      <c r="C1720" s="516"/>
      <c r="D1720" s="514" t="s">
        <v>12936</v>
      </c>
      <c r="E1720" s="515">
        <v>6.5</v>
      </c>
      <c r="F1720" s="514"/>
      <c r="G1720" s="515" t="s">
        <v>3161</v>
      </c>
      <c r="H1720" s="514"/>
      <c r="I1720" s="515"/>
      <c r="J1720" s="515">
        <v>1</v>
      </c>
    </row>
    <row r="1721" spans="1:10" ht="13.8" thickBot="1">
      <c r="A1721" s="517"/>
      <c r="B1721" s="518" t="s">
        <v>11886</v>
      </c>
      <c r="C1721" s="516"/>
      <c r="D1721" s="514" t="s">
        <v>5272</v>
      </c>
      <c r="E1721" s="515">
        <v>5.5</v>
      </c>
      <c r="F1721" s="514"/>
      <c r="G1721" s="515" t="s">
        <v>5269</v>
      </c>
      <c r="H1721" s="514" t="s">
        <v>1226</v>
      </c>
      <c r="I1721" s="515"/>
      <c r="J1721" s="515">
        <v>3</v>
      </c>
    </row>
    <row r="1722" spans="1:10" ht="13.8" thickBot="1">
      <c r="A1722" s="517"/>
      <c r="B1722" s="518" t="s">
        <v>12412</v>
      </c>
      <c r="C1722" s="516"/>
      <c r="D1722" s="514" t="s">
        <v>1544</v>
      </c>
      <c r="E1722" s="515">
        <v>5.5</v>
      </c>
      <c r="F1722" s="518" t="s">
        <v>614</v>
      </c>
      <c r="G1722" s="515" t="s">
        <v>4102</v>
      </c>
      <c r="H1722" s="514" t="s">
        <v>1224</v>
      </c>
      <c r="I1722" s="515"/>
      <c r="J1722" s="515">
        <v>4</v>
      </c>
    </row>
    <row r="1723" spans="1:10" ht="13.8" thickBot="1">
      <c r="A1723" s="517"/>
      <c r="B1723" s="518" t="s">
        <v>12841</v>
      </c>
      <c r="C1723" s="516"/>
      <c r="D1723" s="514" t="s">
        <v>3451</v>
      </c>
      <c r="E1723" s="515">
        <v>5.5</v>
      </c>
      <c r="F1723" s="514"/>
      <c r="G1723" s="515" t="s">
        <v>3452</v>
      </c>
      <c r="H1723" s="514" t="s">
        <v>1224</v>
      </c>
      <c r="I1723" s="515"/>
      <c r="J1723" s="515">
        <v>1</v>
      </c>
    </row>
    <row r="1724" spans="1:10" ht="13.8" thickBot="1">
      <c r="A1724" s="517"/>
      <c r="B1724" s="518" t="s">
        <v>13819</v>
      </c>
      <c r="C1724" s="516"/>
      <c r="D1724" s="514" t="s">
        <v>2159</v>
      </c>
      <c r="E1724" s="515">
        <v>6.7</v>
      </c>
      <c r="F1724" s="514"/>
      <c r="G1724" s="515" t="s">
        <v>2152</v>
      </c>
      <c r="H1724" s="514" t="s">
        <v>1251</v>
      </c>
      <c r="I1724" s="515"/>
      <c r="J1724" s="515">
        <v>5</v>
      </c>
    </row>
    <row r="1725" spans="1:10" ht="13.8" thickBot="1">
      <c r="A1725" s="517"/>
      <c r="B1725" s="518" t="s">
        <v>13328</v>
      </c>
      <c r="C1725" s="516"/>
      <c r="D1725" s="514" t="s">
        <v>1300</v>
      </c>
      <c r="E1725" s="515">
        <v>5</v>
      </c>
      <c r="F1725" s="514"/>
      <c r="G1725" s="515" t="s">
        <v>2523</v>
      </c>
      <c r="H1725" s="514" t="s">
        <v>1224</v>
      </c>
      <c r="I1725" s="515"/>
      <c r="J1725" s="515">
        <v>2</v>
      </c>
    </row>
    <row r="1726" spans="1:10" ht="13.8" thickBot="1">
      <c r="A1726" s="517"/>
      <c r="B1726" s="518" t="s">
        <v>12938</v>
      </c>
      <c r="C1726" s="516"/>
      <c r="D1726" s="514" t="s">
        <v>1390</v>
      </c>
      <c r="E1726" s="515">
        <v>6.5</v>
      </c>
      <c r="F1726" s="514"/>
      <c r="G1726" s="515" t="s">
        <v>3161</v>
      </c>
      <c r="H1726" s="514" t="s">
        <v>1226</v>
      </c>
      <c r="I1726" s="515"/>
      <c r="J1726" s="515">
        <v>2</v>
      </c>
    </row>
    <row r="1727" spans="1:10" ht="13.8" thickBot="1">
      <c r="A1727" s="517"/>
      <c r="B1727" s="518" t="s">
        <v>13590</v>
      </c>
      <c r="C1727" s="516"/>
      <c r="D1727" s="514" t="s">
        <v>13589</v>
      </c>
      <c r="E1727" s="515">
        <v>6.25</v>
      </c>
      <c r="F1727" s="514"/>
      <c r="G1727" s="515" t="s">
        <v>2449</v>
      </c>
      <c r="H1727" s="514" t="s">
        <v>1226</v>
      </c>
      <c r="I1727" s="515"/>
      <c r="J1727" s="515">
        <v>2</v>
      </c>
    </row>
    <row r="1728" spans="1:10" ht="13.8" thickBot="1">
      <c r="A1728" s="517"/>
      <c r="B1728" s="518" t="s">
        <v>12037</v>
      </c>
      <c r="C1728" s="516"/>
      <c r="D1728" s="514" t="s">
        <v>12036</v>
      </c>
      <c r="E1728" s="515">
        <v>6.5</v>
      </c>
      <c r="F1728" s="518" t="s">
        <v>614</v>
      </c>
      <c r="G1728" s="515" t="s">
        <v>5042</v>
      </c>
      <c r="H1728" s="514" t="s">
        <v>1224</v>
      </c>
      <c r="I1728" s="515"/>
      <c r="J1728" s="515">
        <v>4</v>
      </c>
    </row>
    <row r="1729" spans="1:10" ht="13.8" thickBot="1">
      <c r="A1729" s="517"/>
      <c r="B1729" s="518" t="s">
        <v>12446</v>
      </c>
      <c r="C1729" s="516"/>
      <c r="D1729" s="514" t="s">
        <v>12445</v>
      </c>
      <c r="E1729" s="515">
        <v>6.25</v>
      </c>
      <c r="F1729" s="514"/>
      <c r="G1729" s="515" t="s">
        <v>4067</v>
      </c>
      <c r="H1729" s="514" t="s">
        <v>1226</v>
      </c>
      <c r="I1729" s="515"/>
      <c r="J1729" s="515">
        <v>1</v>
      </c>
    </row>
    <row r="1730" spans="1:10" ht="13.8" thickBot="1">
      <c r="A1730" s="517"/>
      <c r="B1730" s="518" t="s">
        <v>13381</v>
      </c>
      <c r="C1730" s="516"/>
      <c r="D1730" s="514" t="s">
        <v>1304</v>
      </c>
      <c r="E1730" s="515">
        <v>5.5</v>
      </c>
      <c r="F1730" s="514"/>
      <c r="G1730" s="515" t="s">
        <v>2523</v>
      </c>
      <c r="H1730" s="514" t="s">
        <v>1226</v>
      </c>
      <c r="I1730" s="515"/>
      <c r="J1730" s="515">
        <v>3</v>
      </c>
    </row>
    <row r="1731" spans="1:10" ht="13.8" thickBot="1">
      <c r="A1731" s="517"/>
      <c r="B1731" s="518" t="s">
        <v>13893</v>
      </c>
      <c r="C1731" s="516"/>
      <c r="D1731" s="514" t="s">
        <v>2065</v>
      </c>
      <c r="E1731" s="515">
        <v>6</v>
      </c>
      <c r="F1731" s="514"/>
      <c r="G1731" s="515" t="s">
        <v>2032</v>
      </c>
      <c r="H1731" s="514" t="s">
        <v>1224</v>
      </c>
      <c r="I1731" s="515"/>
      <c r="J1731" s="515">
        <v>2</v>
      </c>
    </row>
    <row r="1732" spans="1:10" ht="13.8" thickBot="1">
      <c r="A1732" s="517"/>
      <c r="B1732" s="518" t="s">
        <v>12394</v>
      </c>
      <c r="C1732" s="516"/>
      <c r="D1732" s="514" t="s">
        <v>12393</v>
      </c>
      <c r="E1732" s="515">
        <v>6.5</v>
      </c>
      <c r="F1732" s="514"/>
      <c r="G1732" s="515" t="s">
        <v>4140</v>
      </c>
      <c r="H1732" s="514"/>
      <c r="I1732" s="515"/>
      <c r="J1732" s="515">
        <v>2</v>
      </c>
    </row>
    <row r="1733" spans="1:10" ht="13.8" thickBot="1">
      <c r="A1733" s="517"/>
      <c r="B1733" s="518" t="s">
        <v>12171</v>
      </c>
      <c r="C1733" s="516"/>
      <c r="D1733" s="514" t="s">
        <v>4867</v>
      </c>
      <c r="E1733" s="515">
        <v>6.25</v>
      </c>
      <c r="F1733" s="514"/>
      <c r="G1733" s="515" t="s">
        <v>4865</v>
      </c>
      <c r="H1733" s="514" t="s">
        <v>1251</v>
      </c>
      <c r="I1733" s="515"/>
      <c r="J1733" s="515">
        <v>5</v>
      </c>
    </row>
    <row r="1734" spans="1:10" ht="13.8" thickBot="1">
      <c r="A1734" s="517"/>
      <c r="B1734" s="518" t="s">
        <v>13909</v>
      </c>
      <c r="C1734" s="516"/>
      <c r="D1734" s="514" t="s">
        <v>2044</v>
      </c>
      <c r="E1734" s="515">
        <v>6.5</v>
      </c>
      <c r="F1734" s="514"/>
      <c r="G1734" s="515" t="s">
        <v>2032</v>
      </c>
      <c r="H1734" s="514"/>
      <c r="I1734" s="515"/>
      <c r="J1734" s="515">
        <v>2</v>
      </c>
    </row>
    <row r="1735" spans="1:10" ht="13.8" thickBot="1">
      <c r="A1735" s="517"/>
      <c r="B1735" s="518" t="s">
        <v>13586</v>
      </c>
      <c r="C1735" s="516"/>
      <c r="D1735" s="514" t="s">
        <v>13585</v>
      </c>
      <c r="E1735" s="515">
        <v>6</v>
      </c>
      <c r="F1735" s="518" t="s">
        <v>614</v>
      </c>
      <c r="G1735" s="515" t="s">
        <v>2449</v>
      </c>
      <c r="H1735" s="514" t="s">
        <v>1226</v>
      </c>
      <c r="I1735" s="515"/>
      <c r="J1735" s="515">
        <v>4</v>
      </c>
    </row>
    <row r="1736" spans="1:10" ht="13.8" thickBot="1">
      <c r="A1736" s="517"/>
      <c r="B1736" s="518" t="s">
        <v>14167</v>
      </c>
      <c r="C1736" s="516"/>
      <c r="D1736" s="514" t="s">
        <v>1792</v>
      </c>
      <c r="E1736" s="515">
        <v>5.5</v>
      </c>
      <c r="F1736" s="514"/>
      <c r="G1736" s="515" t="s">
        <v>1793</v>
      </c>
      <c r="H1736" s="514" t="s">
        <v>1220</v>
      </c>
      <c r="I1736" s="515"/>
      <c r="J1736" s="515">
        <v>2</v>
      </c>
    </row>
    <row r="1737" spans="1:10" ht="13.8" thickBot="1">
      <c r="A1737" s="517"/>
      <c r="B1737" s="518" t="s">
        <v>13390</v>
      </c>
      <c r="C1737" s="516"/>
      <c r="D1737" s="514" t="s">
        <v>13389</v>
      </c>
      <c r="E1737" s="515">
        <v>5.75</v>
      </c>
      <c r="F1737" s="514"/>
      <c r="G1737" s="515" t="s">
        <v>2523</v>
      </c>
      <c r="H1737" s="514" t="s">
        <v>1224</v>
      </c>
      <c r="I1737" s="515"/>
      <c r="J1737" s="515">
        <v>5</v>
      </c>
    </row>
    <row r="1738" spans="1:10" ht="13.8" thickBot="1">
      <c r="A1738" s="517"/>
      <c r="B1738" s="518" t="s">
        <v>13584</v>
      </c>
      <c r="C1738" s="516"/>
      <c r="D1738" s="514" t="s">
        <v>13583</v>
      </c>
      <c r="E1738" s="515">
        <v>5.5</v>
      </c>
      <c r="F1738" s="514"/>
      <c r="G1738" s="515" t="s">
        <v>2449</v>
      </c>
      <c r="H1738" s="514"/>
      <c r="I1738" s="515"/>
      <c r="J1738" s="515">
        <v>2</v>
      </c>
    </row>
    <row r="1739" spans="1:10" ht="13.8" thickBot="1">
      <c r="A1739" s="517"/>
      <c r="B1739" s="518" t="s">
        <v>13400</v>
      </c>
      <c r="C1739" s="516"/>
      <c r="D1739" s="514" t="s">
        <v>1300</v>
      </c>
      <c r="E1739" s="515">
        <v>5.75</v>
      </c>
      <c r="F1739" s="514"/>
      <c r="G1739" s="515" t="s">
        <v>2523</v>
      </c>
      <c r="H1739" s="514" t="s">
        <v>1226</v>
      </c>
      <c r="I1739" s="515"/>
      <c r="J1739" s="515">
        <v>13</v>
      </c>
    </row>
    <row r="1740" spans="1:10" ht="13.8" thickBot="1">
      <c r="A1740" s="517"/>
      <c r="B1740" s="518" t="s">
        <v>13100</v>
      </c>
      <c r="C1740" s="516"/>
      <c r="D1740" s="514" t="s">
        <v>13099</v>
      </c>
      <c r="E1740" s="515">
        <v>6</v>
      </c>
      <c r="F1740" s="518" t="s">
        <v>614</v>
      </c>
      <c r="G1740" s="515" t="s">
        <v>2957</v>
      </c>
      <c r="H1740" s="514" t="s">
        <v>1251</v>
      </c>
      <c r="I1740" s="515">
        <v>1</v>
      </c>
      <c r="J1740" s="515">
        <v>14</v>
      </c>
    </row>
    <row r="1741" spans="1:10" ht="13.8" thickBot="1">
      <c r="A1741" s="517"/>
      <c r="B1741" s="518" t="s">
        <v>14187</v>
      </c>
      <c r="C1741" s="516"/>
      <c r="D1741" s="514" t="s">
        <v>1874</v>
      </c>
      <c r="E1741" s="515">
        <v>6</v>
      </c>
      <c r="F1741" s="514"/>
      <c r="G1741" s="515" t="s">
        <v>1793</v>
      </c>
      <c r="H1741" s="514" t="s">
        <v>1220</v>
      </c>
      <c r="I1741" s="515"/>
      <c r="J1741" s="515">
        <v>2</v>
      </c>
    </row>
    <row r="1742" spans="1:10" ht="13.8" thickBot="1">
      <c r="A1742" s="517"/>
      <c r="B1742" s="518" t="s">
        <v>12459</v>
      </c>
      <c r="C1742" s="516"/>
      <c r="D1742" s="514" t="s">
        <v>12458</v>
      </c>
      <c r="E1742" s="515">
        <v>7.5</v>
      </c>
      <c r="F1742" s="518" t="s">
        <v>614</v>
      </c>
      <c r="G1742" s="515" t="s">
        <v>4067</v>
      </c>
      <c r="H1742" s="514" t="s">
        <v>1226</v>
      </c>
      <c r="I1742" s="515"/>
      <c r="J1742" s="515">
        <v>2</v>
      </c>
    </row>
    <row r="1743" spans="1:10" ht="13.8" thickBot="1">
      <c r="A1743" s="517"/>
      <c r="B1743" s="518" t="s">
        <v>12871</v>
      </c>
      <c r="C1743" s="516"/>
      <c r="D1743" s="514" t="s">
        <v>12870</v>
      </c>
      <c r="E1743" s="515">
        <v>6.5</v>
      </c>
      <c r="F1743" s="518" t="s">
        <v>614</v>
      </c>
      <c r="G1743" s="515" t="s">
        <v>3414</v>
      </c>
      <c r="H1743" s="514" t="s">
        <v>1226</v>
      </c>
      <c r="I1743" s="515"/>
      <c r="J1743" s="515">
        <v>2</v>
      </c>
    </row>
    <row r="1744" spans="1:10" ht="13.8" thickBot="1">
      <c r="A1744" s="517"/>
      <c r="B1744" s="518" t="s">
        <v>12240</v>
      </c>
      <c r="C1744" s="516"/>
      <c r="D1744" s="514" t="s">
        <v>12239</v>
      </c>
      <c r="E1744" s="515">
        <v>5.5</v>
      </c>
      <c r="F1744" s="514"/>
      <c r="G1744" s="515" t="s">
        <v>4536</v>
      </c>
      <c r="H1744" s="514" t="s">
        <v>1224</v>
      </c>
      <c r="I1744" s="515"/>
      <c r="J1744" s="515">
        <v>2</v>
      </c>
    </row>
    <row r="1745" spans="1:10" ht="13.8" thickBot="1">
      <c r="A1745" s="517"/>
      <c r="B1745" s="518" t="s">
        <v>12566</v>
      </c>
      <c r="C1745" s="516"/>
      <c r="D1745" s="514" t="s">
        <v>1502</v>
      </c>
      <c r="E1745" s="515">
        <v>5.75</v>
      </c>
      <c r="F1745" s="514"/>
      <c r="G1745" s="515" t="s">
        <v>3807</v>
      </c>
      <c r="H1745" s="514" t="s">
        <v>1224</v>
      </c>
      <c r="I1745" s="515"/>
      <c r="J1745" s="515">
        <v>3</v>
      </c>
    </row>
    <row r="1746" spans="1:10" ht="13.8" thickBot="1">
      <c r="A1746" s="517"/>
      <c r="B1746" s="518" t="s">
        <v>12491</v>
      </c>
      <c r="C1746" s="516"/>
      <c r="D1746" s="514" t="s">
        <v>12490</v>
      </c>
      <c r="E1746" s="515">
        <v>6.5</v>
      </c>
      <c r="F1746" s="514"/>
      <c r="G1746" s="515" t="s">
        <v>3903</v>
      </c>
      <c r="H1746" s="514" t="s">
        <v>1224</v>
      </c>
      <c r="I1746" s="515"/>
      <c r="J1746" s="515">
        <v>4</v>
      </c>
    </row>
    <row r="1747" spans="1:10" ht="13.8" thickBot="1">
      <c r="A1747" s="517"/>
      <c r="B1747" s="518" t="s">
        <v>13612</v>
      </c>
      <c r="C1747" s="516"/>
      <c r="D1747" s="514" t="s">
        <v>13611</v>
      </c>
      <c r="E1747" s="515">
        <v>7.25</v>
      </c>
      <c r="F1747" s="518" t="s">
        <v>614</v>
      </c>
      <c r="G1747" s="515" t="s">
        <v>2449</v>
      </c>
      <c r="H1747" s="514" t="s">
        <v>1251</v>
      </c>
      <c r="I1747" s="515"/>
      <c r="J1747" s="515">
        <v>6</v>
      </c>
    </row>
    <row r="1748" spans="1:10" ht="13.8" thickBot="1">
      <c r="A1748" s="517"/>
      <c r="B1748" s="518" t="s">
        <v>11841</v>
      </c>
      <c r="C1748" s="516"/>
      <c r="D1748" s="514" t="s">
        <v>11840</v>
      </c>
      <c r="E1748" s="515">
        <v>5</v>
      </c>
      <c r="F1748" s="514"/>
      <c r="G1748" s="515" t="s">
        <v>5286</v>
      </c>
      <c r="H1748" s="514"/>
      <c r="I1748" s="515"/>
      <c r="J1748" s="515">
        <v>1</v>
      </c>
    </row>
    <row r="1749" spans="1:10" ht="13.8" thickBot="1">
      <c r="A1749" s="517"/>
      <c r="B1749" s="518" t="s">
        <v>12261</v>
      </c>
      <c r="C1749" s="516"/>
      <c r="D1749" s="514" t="s">
        <v>4440</v>
      </c>
      <c r="E1749" s="515">
        <v>7.25</v>
      </c>
      <c r="F1749" s="514"/>
      <c r="G1749" s="515" t="s">
        <v>4438</v>
      </c>
      <c r="H1749" s="514" t="s">
        <v>1226</v>
      </c>
      <c r="I1749" s="515"/>
      <c r="J1749" s="522">
        <v>2</v>
      </c>
    </row>
    <row r="1750" spans="1:10" ht="13.8" thickBot="1">
      <c r="A1750" s="517"/>
      <c r="B1750" s="518" t="s">
        <v>11985</v>
      </c>
      <c r="C1750" s="516"/>
      <c r="D1750" s="514" t="s">
        <v>11984</v>
      </c>
      <c r="E1750" s="515">
        <v>6.25</v>
      </c>
      <c r="F1750" s="514"/>
      <c r="G1750" s="515" t="s">
        <v>5180</v>
      </c>
      <c r="H1750" s="514" t="s">
        <v>1224</v>
      </c>
      <c r="I1750" s="515"/>
      <c r="J1750" s="515">
        <v>7</v>
      </c>
    </row>
    <row r="1751" spans="1:10" ht="13.8" thickBot="1">
      <c r="A1751" s="517"/>
      <c r="B1751" s="518" t="s">
        <v>12844</v>
      </c>
      <c r="C1751" s="516"/>
      <c r="D1751" s="514" t="s">
        <v>3457</v>
      </c>
      <c r="E1751" s="515">
        <v>6</v>
      </c>
      <c r="F1751" s="514"/>
      <c r="G1751" s="515" t="s">
        <v>3452</v>
      </c>
      <c r="H1751" s="514" t="s">
        <v>1224</v>
      </c>
      <c r="I1751" s="515"/>
      <c r="J1751" s="515">
        <v>2</v>
      </c>
    </row>
    <row r="1752" spans="1:10" ht="13.8" thickBot="1">
      <c r="A1752" s="517"/>
      <c r="B1752" s="518" t="s">
        <v>11940</v>
      </c>
      <c r="C1752" s="516"/>
      <c r="D1752" s="514" t="s">
        <v>11939</v>
      </c>
      <c r="E1752" s="515">
        <v>7.5</v>
      </c>
      <c r="F1752" s="518" t="s">
        <v>614</v>
      </c>
      <c r="G1752" s="515" t="s">
        <v>5226</v>
      </c>
      <c r="H1752" s="514" t="s">
        <v>1229</v>
      </c>
      <c r="I1752" s="515"/>
      <c r="J1752" s="515">
        <v>2</v>
      </c>
    </row>
    <row r="1753" spans="1:10" ht="13.8" thickBot="1">
      <c r="A1753" s="517"/>
      <c r="B1753" s="518" t="s">
        <v>13455</v>
      </c>
      <c r="C1753" s="516"/>
      <c r="D1753" s="514" t="s">
        <v>13454</v>
      </c>
      <c r="E1753" s="515">
        <v>6.25</v>
      </c>
      <c r="F1753" s="518" t="s">
        <v>614</v>
      </c>
      <c r="G1753" s="515" t="s">
        <v>2523</v>
      </c>
      <c r="H1753" s="514" t="s">
        <v>1226</v>
      </c>
      <c r="I1753" s="515"/>
      <c r="J1753" s="515">
        <v>6</v>
      </c>
    </row>
    <row r="1754" spans="1:10" ht="13.8" thickBot="1">
      <c r="A1754" s="517"/>
      <c r="B1754" s="518" t="s">
        <v>12260</v>
      </c>
      <c r="C1754" s="516"/>
      <c r="D1754" s="514" t="s">
        <v>12259</v>
      </c>
      <c r="E1754" s="515">
        <v>6.5</v>
      </c>
      <c r="F1754" s="518" t="s">
        <v>614</v>
      </c>
      <c r="G1754" s="515" t="s">
        <v>4438</v>
      </c>
      <c r="H1754" s="514" t="s">
        <v>1226</v>
      </c>
      <c r="I1754" s="515">
        <v>3</v>
      </c>
      <c r="J1754" s="515">
        <v>7</v>
      </c>
    </row>
    <row r="1755" spans="1:10" ht="13.8" thickBot="1">
      <c r="A1755" s="517"/>
      <c r="B1755" s="518" t="s">
        <v>12643</v>
      </c>
      <c r="C1755" s="516"/>
      <c r="D1755" s="514" t="s">
        <v>12642</v>
      </c>
      <c r="E1755" s="515">
        <v>6.4</v>
      </c>
      <c r="F1755" s="518" t="s">
        <v>614</v>
      </c>
      <c r="G1755" s="515" t="s">
        <v>3734</v>
      </c>
      <c r="H1755" s="514" t="s">
        <v>1226</v>
      </c>
      <c r="I1755" s="515"/>
      <c r="J1755" s="515">
        <v>9</v>
      </c>
    </row>
    <row r="1756" spans="1:10" ht="13.8" thickBot="1">
      <c r="A1756" s="517"/>
      <c r="B1756" s="518" t="s">
        <v>13918</v>
      </c>
      <c r="C1756" s="516"/>
      <c r="D1756" s="514" t="s">
        <v>13917</v>
      </c>
      <c r="E1756" s="515">
        <v>6.5</v>
      </c>
      <c r="F1756" s="518" t="s">
        <v>614</v>
      </c>
      <c r="G1756" s="515" t="s">
        <v>2032</v>
      </c>
      <c r="H1756" s="514" t="s">
        <v>2319</v>
      </c>
      <c r="I1756" s="515"/>
      <c r="J1756" s="515">
        <v>12</v>
      </c>
    </row>
    <row r="1757" spans="1:10" ht="13.8" thickBot="1">
      <c r="A1757" s="517"/>
      <c r="B1757" s="518" t="s">
        <v>13602</v>
      </c>
      <c r="C1757" s="516"/>
      <c r="D1757" s="514" t="s">
        <v>13601</v>
      </c>
      <c r="E1757" s="515">
        <v>6.8</v>
      </c>
      <c r="F1757" s="514"/>
      <c r="G1757" s="515" t="s">
        <v>2449</v>
      </c>
      <c r="H1757" s="514" t="s">
        <v>1226</v>
      </c>
      <c r="I1757" s="515">
        <v>3</v>
      </c>
      <c r="J1757" s="515">
        <v>7</v>
      </c>
    </row>
    <row r="1758" spans="1:10" ht="13.8" thickBot="1">
      <c r="A1758" s="517"/>
      <c r="B1758" s="518" t="s">
        <v>11938</v>
      </c>
      <c r="C1758" s="516"/>
      <c r="D1758" s="514" t="s">
        <v>5227</v>
      </c>
      <c r="E1758" s="515">
        <v>7.5</v>
      </c>
      <c r="F1758" s="514"/>
      <c r="G1758" s="515" t="s">
        <v>5226</v>
      </c>
      <c r="H1758" s="514" t="s">
        <v>1226</v>
      </c>
      <c r="I1758" s="515"/>
      <c r="J1758" s="515">
        <v>1</v>
      </c>
    </row>
    <row r="1759" spans="1:10" ht="13.8" thickBot="1">
      <c r="A1759" s="517"/>
      <c r="B1759" s="518" t="s">
        <v>13169</v>
      </c>
      <c r="C1759" s="516"/>
      <c r="D1759" s="514" t="s">
        <v>1365</v>
      </c>
      <c r="E1759" s="515">
        <v>6.5</v>
      </c>
      <c r="F1759" s="518" t="s">
        <v>614</v>
      </c>
      <c r="G1759" s="515" t="s">
        <v>2943</v>
      </c>
      <c r="H1759" s="514" t="s">
        <v>1975</v>
      </c>
      <c r="I1759" s="515"/>
      <c r="J1759" s="515">
        <v>4</v>
      </c>
    </row>
    <row r="1760" spans="1:10" ht="13.8" thickBot="1">
      <c r="A1760" s="517"/>
      <c r="B1760" s="518" t="s">
        <v>13651</v>
      </c>
      <c r="C1760" s="516"/>
      <c r="D1760" s="514" t="s">
        <v>13650</v>
      </c>
      <c r="E1760" s="515">
        <v>6</v>
      </c>
      <c r="F1760" s="514"/>
      <c r="G1760" s="515" t="s">
        <v>2289</v>
      </c>
      <c r="H1760" s="514" t="s">
        <v>1220</v>
      </c>
      <c r="I1760" s="515"/>
      <c r="J1760" s="515">
        <v>4</v>
      </c>
    </row>
    <row r="1761" spans="1:10" ht="13.8" thickBot="1">
      <c r="A1761" s="517"/>
      <c r="B1761" s="518" t="s">
        <v>13199</v>
      </c>
      <c r="C1761" s="516"/>
      <c r="D1761" s="514" t="s">
        <v>13198</v>
      </c>
      <c r="E1761" s="515">
        <v>7.5</v>
      </c>
      <c r="F1761" s="514"/>
      <c r="G1761" s="515" t="s">
        <v>2841</v>
      </c>
      <c r="H1761" s="514" t="s">
        <v>1226</v>
      </c>
      <c r="I1761" s="515"/>
      <c r="J1761" s="515">
        <v>1</v>
      </c>
    </row>
    <row r="1762" spans="1:10" ht="13.8" thickBot="1">
      <c r="A1762" s="517"/>
      <c r="B1762" s="518" t="s">
        <v>12059</v>
      </c>
      <c r="C1762" s="516"/>
      <c r="D1762" s="519" t="s">
        <v>12058</v>
      </c>
      <c r="E1762" s="515">
        <v>5</v>
      </c>
      <c r="F1762" s="514"/>
      <c r="G1762" s="515" t="s">
        <v>5010</v>
      </c>
      <c r="H1762" s="514" t="s">
        <v>1224</v>
      </c>
      <c r="I1762" s="515"/>
      <c r="J1762" s="515">
        <v>1</v>
      </c>
    </row>
    <row r="1763" spans="1:10" ht="13.8" thickBot="1">
      <c r="A1763" s="517"/>
      <c r="B1763" s="518" t="s">
        <v>11994</v>
      </c>
      <c r="C1763" s="516"/>
      <c r="D1763" s="514" t="s">
        <v>5163</v>
      </c>
      <c r="E1763" s="515">
        <v>5</v>
      </c>
      <c r="F1763" s="514"/>
      <c r="G1763" s="515" t="s">
        <v>5155</v>
      </c>
      <c r="H1763" s="514"/>
      <c r="I1763" s="515"/>
      <c r="J1763" s="515">
        <v>1</v>
      </c>
    </row>
    <row r="1764" spans="1:10" ht="13.8" thickBot="1">
      <c r="A1764" s="517"/>
      <c r="B1764" s="518" t="s">
        <v>14142</v>
      </c>
      <c r="C1764" s="516"/>
      <c r="D1764" s="514" t="s">
        <v>1874</v>
      </c>
      <c r="E1764" s="515">
        <v>5</v>
      </c>
      <c r="F1764" s="514"/>
      <c r="G1764" s="515" t="s">
        <v>1793</v>
      </c>
      <c r="H1764" s="514" t="s">
        <v>1224</v>
      </c>
      <c r="I1764" s="515"/>
      <c r="J1764" s="515">
        <v>1</v>
      </c>
    </row>
    <row r="1765" spans="1:10" ht="13.8" thickBot="1">
      <c r="A1765" s="517"/>
      <c r="B1765" s="518" t="s">
        <v>11899</v>
      </c>
      <c r="C1765" s="516"/>
      <c r="D1765" s="514" t="s">
        <v>11898</v>
      </c>
      <c r="E1765" s="515">
        <v>8</v>
      </c>
      <c r="F1765" s="518" t="s">
        <v>614</v>
      </c>
      <c r="G1765" s="515" t="s">
        <v>5257</v>
      </c>
      <c r="H1765" s="514" t="s">
        <v>1226</v>
      </c>
      <c r="I1765" s="515"/>
      <c r="J1765" s="515">
        <v>2</v>
      </c>
    </row>
    <row r="1766" spans="1:10" ht="13.8" thickBot="1">
      <c r="A1766" s="517"/>
      <c r="B1766" s="518" t="s">
        <v>12330</v>
      </c>
      <c r="C1766" s="516"/>
      <c r="D1766" s="519" t="s">
        <v>12329</v>
      </c>
      <c r="E1766" s="515">
        <v>6</v>
      </c>
      <c r="F1766" s="514"/>
      <c r="G1766" s="515" t="s">
        <v>4214</v>
      </c>
      <c r="H1766" s="514" t="s">
        <v>1226</v>
      </c>
      <c r="I1766" s="515"/>
      <c r="J1766" s="515">
        <v>5</v>
      </c>
    </row>
    <row r="1767" spans="1:10" ht="13.8" thickBot="1">
      <c r="A1767" s="517"/>
      <c r="B1767" s="518" t="s">
        <v>11919</v>
      </c>
      <c r="C1767" s="516"/>
      <c r="D1767" s="514" t="s">
        <v>11918</v>
      </c>
      <c r="E1767" s="515">
        <v>6.25</v>
      </c>
      <c r="F1767" s="518" t="s">
        <v>614</v>
      </c>
      <c r="G1767" s="515" t="s">
        <v>5226</v>
      </c>
      <c r="H1767" s="514" t="s">
        <v>1226</v>
      </c>
      <c r="I1767" s="515">
        <v>1</v>
      </c>
      <c r="J1767" s="515">
        <v>5</v>
      </c>
    </row>
    <row r="1768" spans="1:10" ht="13.8" thickBot="1">
      <c r="A1768" s="517"/>
      <c r="B1768" s="518" t="s">
        <v>12818</v>
      </c>
      <c r="C1768" s="516"/>
      <c r="D1768" s="514" t="s">
        <v>12817</v>
      </c>
      <c r="E1768" s="515">
        <v>7.1</v>
      </c>
      <c r="F1768" s="514"/>
      <c r="G1768" s="515" t="s">
        <v>3517</v>
      </c>
      <c r="H1768" s="514" t="s">
        <v>1226</v>
      </c>
      <c r="I1768" s="515">
        <v>1</v>
      </c>
      <c r="J1768" s="515">
        <v>7</v>
      </c>
    </row>
    <row r="1769" spans="1:10" ht="13.8" thickBot="1">
      <c r="A1769" s="517"/>
      <c r="B1769" s="518" t="s">
        <v>13638</v>
      </c>
      <c r="C1769" s="516"/>
      <c r="D1769" s="514" t="s">
        <v>2308</v>
      </c>
      <c r="E1769" s="515">
        <v>5.5</v>
      </c>
      <c r="F1769" s="514"/>
      <c r="G1769" s="515" t="s">
        <v>2289</v>
      </c>
      <c r="H1769" s="514" t="s">
        <v>1224</v>
      </c>
      <c r="I1769" s="515"/>
      <c r="J1769" s="515">
        <v>6</v>
      </c>
    </row>
    <row r="1770" spans="1:10" ht="13.8" thickBot="1">
      <c r="A1770" s="517"/>
      <c r="B1770" s="518" t="s">
        <v>13484</v>
      </c>
      <c r="C1770" s="516"/>
      <c r="D1770" s="514" t="s">
        <v>2552</v>
      </c>
      <c r="E1770" s="515">
        <v>6.5</v>
      </c>
      <c r="F1770" s="514"/>
      <c r="G1770" s="515" t="s">
        <v>2523</v>
      </c>
      <c r="H1770" s="514" t="s">
        <v>1224</v>
      </c>
      <c r="I1770" s="515"/>
      <c r="J1770" s="515">
        <v>2</v>
      </c>
    </row>
    <row r="1771" spans="1:10" ht="13.8" thickBot="1">
      <c r="A1771" s="517"/>
      <c r="B1771" s="518" t="s">
        <v>14194</v>
      </c>
      <c r="C1771" s="516"/>
      <c r="D1771" s="514" t="s">
        <v>14193</v>
      </c>
      <c r="E1771" s="515">
        <v>6.1</v>
      </c>
      <c r="F1771" s="514"/>
      <c r="G1771" s="515" t="s">
        <v>1793</v>
      </c>
      <c r="H1771" s="514" t="s">
        <v>1226</v>
      </c>
      <c r="I1771" s="515">
        <v>1</v>
      </c>
      <c r="J1771" s="515">
        <v>6</v>
      </c>
    </row>
    <row r="1772" spans="1:10" ht="13.8" thickBot="1">
      <c r="A1772" s="517"/>
      <c r="B1772" s="518" t="s">
        <v>13301</v>
      </c>
      <c r="C1772" s="516"/>
      <c r="D1772" s="514" t="s">
        <v>1300</v>
      </c>
      <c r="E1772" s="515">
        <v>5</v>
      </c>
      <c r="F1772" s="514"/>
      <c r="G1772" s="515" t="s">
        <v>2523</v>
      </c>
      <c r="H1772" s="514"/>
      <c r="I1772" s="515"/>
      <c r="J1772" s="515">
        <v>1</v>
      </c>
    </row>
    <row r="1773" spans="1:10" ht="13.8" thickBot="1">
      <c r="A1773" s="517"/>
      <c r="B1773" s="518" t="s">
        <v>12540</v>
      </c>
      <c r="C1773" s="516"/>
      <c r="D1773" s="514" t="s">
        <v>12539</v>
      </c>
      <c r="E1773" s="515">
        <v>7</v>
      </c>
      <c r="F1773" s="518" t="s">
        <v>614</v>
      </c>
      <c r="G1773" s="515" t="s">
        <v>3856</v>
      </c>
      <c r="H1773" s="514"/>
      <c r="I1773" s="515"/>
      <c r="J1773" s="515">
        <v>1</v>
      </c>
    </row>
    <row r="1774" spans="1:10" ht="13.8" thickBot="1">
      <c r="A1774" s="517"/>
      <c r="B1774" s="518" t="s">
        <v>14119</v>
      </c>
      <c r="C1774" s="516"/>
      <c r="D1774" s="514" t="s">
        <v>1792</v>
      </c>
      <c r="E1774" s="515">
        <v>5</v>
      </c>
      <c r="F1774" s="514"/>
      <c r="G1774" s="515" t="s">
        <v>1793</v>
      </c>
      <c r="H1774" s="514"/>
      <c r="I1774" s="515"/>
      <c r="J1774" s="515">
        <v>1</v>
      </c>
    </row>
    <row r="1775" spans="1:10" ht="13.8" thickBot="1">
      <c r="A1775" s="517"/>
      <c r="B1775" s="518" t="s">
        <v>13488</v>
      </c>
      <c r="C1775" s="516"/>
      <c r="D1775" s="519" t="s">
        <v>13487</v>
      </c>
      <c r="E1775" s="515">
        <v>6.5</v>
      </c>
      <c r="F1775" s="514"/>
      <c r="G1775" s="515" t="s">
        <v>2523</v>
      </c>
      <c r="H1775" s="514" t="s">
        <v>1224</v>
      </c>
      <c r="I1775" s="515"/>
      <c r="J1775" s="515">
        <v>5</v>
      </c>
    </row>
    <row r="1776" spans="1:10" ht="13.8" thickBot="1">
      <c r="A1776" s="517"/>
      <c r="B1776" s="518" t="s">
        <v>13820</v>
      </c>
      <c r="C1776" s="516"/>
      <c r="D1776" s="514" t="s">
        <v>1270</v>
      </c>
      <c r="E1776" s="515">
        <v>6.75</v>
      </c>
      <c r="F1776" s="514"/>
      <c r="G1776" s="515" t="s">
        <v>2152</v>
      </c>
      <c r="H1776" s="514"/>
      <c r="I1776" s="515"/>
      <c r="J1776" s="515">
        <v>1</v>
      </c>
    </row>
    <row r="1777" spans="1:10" ht="13.8" thickBot="1">
      <c r="A1777" s="517"/>
      <c r="B1777" s="518" t="s">
        <v>13713</v>
      </c>
      <c r="C1777" s="516"/>
      <c r="D1777" s="514" t="s">
        <v>2308</v>
      </c>
      <c r="E1777" s="515">
        <v>7</v>
      </c>
      <c r="F1777" s="514"/>
      <c r="G1777" s="515" t="s">
        <v>2289</v>
      </c>
      <c r="H1777" s="514"/>
      <c r="I1777" s="515"/>
      <c r="J1777" s="515">
        <v>1</v>
      </c>
    </row>
    <row r="1778" spans="1:10" ht="13.8" thickBot="1">
      <c r="A1778" s="517"/>
      <c r="B1778" s="518" t="s">
        <v>14181</v>
      </c>
      <c r="C1778" s="516"/>
      <c r="D1778" s="514" t="s">
        <v>1874</v>
      </c>
      <c r="E1778" s="515">
        <v>6</v>
      </c>
      <c r="F1778" s="514"/>
      <c r="G1778" s="515" t="s">
        <v>1793</v>
      </c>
      <c r="H1778" s="514"/>
      <c r="I1778" s="515"/>
      <c r="J1778" s="515">
        <v>1</v>
      </c>
    </row>
    <row r="1779" spans="1:10" ht="13.8" thickBot="1">
      <c r="A1779" s="517"/>
      <c r="B1779" s="518" t="s">
        <v>12530</v>
      </c>
      <c r="C1779" s="516"/>
      <c r="D1779" s="514" t="s">
        <v>1507</v>
      </c>
      <c r="E1779" s="515">
        <v>6.5</v>
      </c>
      <c r="F1779" s="514"/>
      <c r="G1779" s="515" t="s">
        <v>3856</v>
      </c>
      <c r="H1779" s="514"/>
      <c r="I1779" s="515"/>
      <c r="J1779" s="515">
        <v>1</v>
      </c>
    </row>
    <row r="1780" spans="1:10" ht="13.8" thickBot="1">
      <c r="A1780" s="517"/>
      <c r="B1780" s="518" t="s">
        <v>13423</v>
      </c>
      <c r="C1780" s="516"/>
      <c r="D1780" s="514" t="s">
        <v>1300</v>
      </c>
      <c r="E1780" s="515">
        <v>6</v>
      </c>
      <c r="F1780" s="514"/>
      <c r="G1780" s="515" t="s">
        <v>2523</v>
      </c>
      <c r="H1780" s="514" t="s">
        <v>1226</v>
      </c>
      <c r="I1780" s="515"/>
      <c r="J1780" s="515">
        <v>3</v>
      </c>
    </row>
    <row r="1781" spans="1:10" ht="13.8" thickBot="1">
      <c r="A1781" s="517"/>
      <c r="B1781" s="518" t="s">
        <v>12366</v>
      </c>
      <c r="C1781" s="516"/>
      <c r="D1781" s="519" t="s">
        <v>4161</v>
      </c>
      <c r="E1781" s="515">
        <v>5</v>
      </c>
      <c r="F1781" s="518" t="s">
        <v>614</v>
      </c>
      <c r="G1781" s="515" t="s">
        <v>4160</v>
      </c>
      <c r="H1781" s="514" t="s">
        <v>1226</v>
      </c>
      <c r="I1781" s="515"/>
      <c r="J1781" s="515">
        <v>2</v>
      </c>
    </row>
    <row r="1782" spans="1:10" ht="13.8" thickBot="1">
      <c r="A1782" s="517"/>
      <c r="B1782" s="518" t="s">
        <v>13431</v>
      </c>
      <c r="C1782" s="516"/>
      <c r="D1782" s="514" t="s">
        <v>13430</v>
      </c>
      <c r="E1782" s="515">
        <v>6.1</v>
      </c>
      <c r="F1782" s="514"/>
      <c r="G1782" s="515" t="s">
        <v>2523</v>
      </c>
      <c r="H1782" s="514"/>
      <c r="I1782" s="515"/>
      <c r="J1782" s="515">
        <v>3</v>
      </c>
    </row>
    <row r="1783" spans="1:10" ht="13.8" thickBot="1">
      <c r="A1783" s="517"/>
      <c r="B1783" s="518" t="s">
        <v>11528</v>
      </c>
      <c r="C1783" s="516"/>
      <c r="D1783" s="514" t="s">
        <v>11526</v>
      </c>
      <c r="E1783" s="515">
        <v>5.5</v>
      </c>
      <c r="F1783" s="514"/>
      <c r="G1783" s="515" t="s">
        <v>11525</v>
      </c>
      <c r="H1783" s="514"/>
      <c r="I1783" s="515"/>
      <c r="J1783" s="515">
        <v>1</v>
      </c>
    </row>
    <row r="1784" spans="1:10" ht="13.8" thickBot="1">
      <c r="A1784" s="517"/>
      <c r="B1784" s="518" t="s">
        <v>11527</v>
      </c>
      <c r="C1784" s="516"/>
      <c r="D1784" s="514" t="s">
        <v>11526</v>
      </c>
      <c r="E1784" s="515">
        <v>5.5</v>
      </c>
      <c r="F1784" s="514"/>
      <c r="G1784" s="515" t="s">
        <v>11525</v>
      </c>
      <c r="H1784" s="514"/>
      <c r="I1784" s="515"/>
      <c r="J1784" s="515">
        <v>1</v>
      </c>
    </row>
  </sheetData>
  <hyperlinks>
    <hyperlink ref="B4" r:id="rId1" display="https://www.google.com/url?q=http://www.spoj.com/problems/BACKUP/&amp;sa=D&amp;ust=1605639831954000&amp;usg=AFQjCNGe7T80OYypPwFC9HoUOB4BEORtQA" xr:uid="{50035956-4FDA-4C05-BFC6-156945D8F539}"/>
    <hyperlink ref="F4" r:id="rId2" display="https://www.google.com/url?q=https://github.com/mostafa-saad/MyCompetitiveProgramming/blob/master/Olympiad/APIO/APIO-07-Backup.txt&amp;sa=D&amp;ust=1605639831954000&amp;usg=AFQjCNHg36mzT40BCW8-TwFnkNCvdW2Vyg" xr:uid="{6D3D8AAB-5671-4F9A-BEE1-14FDB23E6E26}"/>
    <hyperlink ref="B5" r:id="rId3" display="https://www.google.com/url?q=http://www.spoj.com/problems/MOBILE2/&amp;sa=D&amp;ust=1605639831954000&amp;usg=AFQjCNFVywFA-tdPM6nqMtM31-r2Yh4N2A" xr:uid="{E029AFFE-7222-406A-831A-4B121D8A5AD3}"/>
    <hyperlink ref="F5" r:id="rId4" display="https://www.google.com/url?q=https://github.com/cacophonix/SPOJ/blob/master/MOBILE2.cpp&amp;sa=D&amp;ust=1605639831954000&amp;usg=AFQjCNGt2fu6DPp_lI3xI68uXT0HwI8hOQ" xr:uid="{F11B54DF-967D-417A-88BA-65F42E2DC31F}"/>
    <hyperlink ref="B6" r:id="rId5" display="https://www.google.com/url?q=https://www.spoj.com/problems/ZOO/&amp;sa=D&amp;ust=1605639831954000&amp;usg=AFQjCNEYRLh8ayYRqPNzqzBEBARs-nrOFA" xr:uid="{49012B2D-250A-4E3F-969A-847EC25DF96D}"/>
    <hyperlink ref="F6" r:id="rId6" display="https://www.google.com/url?q=https://github.com/mostafa-saad/MyCompetitiveProgramming/blob/master/Olympiad/APIO/APIO-07-Zoo.txt&amp;sa=D&amp;ust=1605639831955000&amp;usg=AFQjCNGIFxYaLBet5_-XoArL2PnCSOAQ3w" xr:uid="{B299D562-D412-4A6F-AB70-60AD169252AC}"/>
    <hyperlink ref="B7" r:id="rId7" display="https://www.google.com/url?q=https://tioj.ck.tp.edu.tw/problems/1739&amp;sa=D&amp;ust=1605639831955000&amp;usg=AFQjCNGOthU8FXIdlf2hIqDSgWItvF_V8A" xr:uid="{952EC5A3-3B2F-4F55-BA89-3C524A99D347}"/>
    <hyperlink ref="F7" r:id="rId8" display="https://www.google.com/url?q=https://github.com/mostafa-saad/MyCompetitiveProgramming/blob/master/Olympiad/APIO/APIO-08-Beads.txt&amp;sa=D&amp;ust=1605639831955000&amp;usg=AFQjCNFYKR01TwEI-dyK-4Hr6vYZR47v8Q" xr:uid="{B9361B76-0B9C-45FE-AD72-A763499CB8E1}"/>
    <hyperlink ref="B8" r:id="rId9" display="https://www.google.com/url?q=https://dunjudge.me/analysis/problems/542/&amp;sa=D&amp;ust=1605639831955000&amp;usg=AFQjCNFRd8yBXdWAgNV-Q5OsPl9r-oya8g" xr:uid="{7402A399-9AD3-4902-AB40-6E38D06CD18A}"/>
    <hyperlink ref="F8" r:id="rId10" display="https://www.google.com/url?q=https://github.com/mostafa-saad/MyCompetitiveProgramming/blob/master/Olympiad/APIO/APIO-08-DNA.txt&amp;sa=D&amp;ust=1605639831955000&amp;usg=AFQjCNF1kQAa_nrRikQo8zIIaw3jDRW5qA" xr:uid="{18EEA070-1093-4592-8A1F-B2286799111E}"/>
    <hyperlink ref="B9" r:id="rId11" display="https://www.google.com/url?q=https://tioj.ck.tp.edu.tw/problems/1740&amp;sa=D&amp;ust=1605639831955000&amp;usg=AFQjCNEC6aOKiMbRUAdaUDZok_1SlN-24w" xr:uid="{8483D921-A310-40C4-A0A0-221F70917FD3}"/>
    <hyperlink ref="F9" r:id="rId12" display="https://www.google.com/url?q=https://github.com/mostafa-saad/MyCompetitiveProgramming/blob/master/Olympiad/APIO/APIO-08-Roads.txt&amp;sa=D&amp;ust=1605639831956000&amp;usg=AFQjCNHibbsI0hHuI_ppzEBnCjhaExR8dA" xr:uid="{285D788A-F73D-4E67-BA2E-BFF827D9291B}"/>
    <hyperlink ref="B10" r:id="rId13" display="https://www.google.com/url?q=https://tioj.ck.tp.edu.tw/problems/1744&amp;sa=D&amp;ust=1605639831956000&amp;usg=AFQjCNHfssR2GgjeXTZ9OUIyaMqELSf6TQ" xr:uid="{C2DE642E-2C03-4C47-98A6-2DC9039467B7}"/>
    <hyperlink ref="F10" r:id="rId14" display="https://www.google.com/url?q=https://github.com/goar5670/CompetitiveProgramming/blob/master/APIO%252009-ATM.cpp&amp;sa=D&amp;ust=1605639831956000&amp;usg=AFQjCNHGoANmcGF9mJNg1xEKHWQ81NIBlQ" xr:uid="{2C7E26F3-89CF-4923-A189-7DDB50FEC45D}"/>
    <hyperlink ref="B11" r:id="rId15" display="https://www.google.com/url?q=https://dunjudge.me/analysis/problems/559/&amp;sa=D&amp;ust=1605639831956000&amp;usg=AFQjCNGad3kniLlZQlnAD0Zw5-RfA_v4Wg" xr:uid="{EA21C7FF-AC68-4505-A4D9-24DDC05EE216}"/>
    <hyperlink ref="F11" r:id="rId16" display="https://www.google.com/url?q=https://github.com/mostafa-saad/MyCompetitiveProgramming/blob/master/Olympiad/APIO/APIO-09-Convention.txt&amp;sa=D&amp;ust=1605639831956000&amp;usg=AFQjCNHd93roGIzqoIQlHv-_i83ezgxn4A" xr:uid="{0CF32338-069F-4305-BDD4-200B1495B08E}"/>
    <hyperlink ref="B12" r:id="rId17" display="https://www.google.com/url?q=https://tioj.ck.tp.edu.tw/problems/1742&amp;sa=D&amp;ust=1605639831957000&amp;usg=AFQjCNFNbINRbhjaZZ7nOOqX6E28b2i4JQ" xr:uid="{E59FC548-5029-4D74-9E6D-52AF44C71C78}"/>
    <hyperlink ref="F12" r:id="rId18" display="https://www.google.com/url?q=https://github.com/mostafa-saad/MyCompetitiveProgramming/blob/master/Olympiad/APIO/APIO-09-Oil.txt&amp;sa=D&amp;ust=1605639831957000&amp;usg=AFQjCNFkCyyTZBDiyCMrlkyNyrK3ccTR0w" xr:uid="{A1FD2D6D-5878-40E9-9E27-C85A42CD38D4}"/>
    <hyperlink ref="B13" r:id="rId19" display="https://www.google.com/url?q=https://dmoj.ca/problem/apio10p1&amp;sa=D&amp;ust=1605639831957000&amp;usg=AFQjCNGbObxT3uHrM5ogcNqmryM8bDa7lQ" xr:uid="{89848739-C9C0-47EB-994D-949CFE34671A}"/>
    <hyperlink ref="F13" r:id="rId20" display="https://www.google.com/url?q=https://github.com/timpostuvan/CompetitiveProgramming/blob/master/Olympiad/APIO/Commando2010.cpp&amp;sa=D&amp;ust=1605639831957000&amp;usg=AFQjCNHmvYPYtuTyJXQJXr2iq2QI3BVi3A" xr:uid="{7FDF7088-8A48-46EA-895E-CB5F4A855F27}"/>
    <hyperlink ref="B14" r:id="rId21" display="https://www.google.com/url?q=https://dmoj.ca/problem/apio10p2&amp;sa=D&amp;ust=1605639831957000&amp;usg=AFQjCNELNVlQjzWH4tvOHXlI_lUS5r_xPw" xr:uid="{8C6A3C4E-CD1E-4F3C-9BAE-E6BFB90BD8DB}"/>
    <hyperlink ref="F14" r:id="rId22" display="https://www.google.com/url?q=https://github.com/mostafa-saad/MyCompetitiveProgramming/blob/master/Olympiad/APIO/APIO-10-Patrol.txt&amp;sa=D&amp;ust=1605639831958000&amp;usg=AFQjCNFUz01bYLgcC4EpgarDgzzMyjOVaw" xr:uid="{A6705F5A-7193-48BA-B506-7C84861EAA5F}"/>
    <hyperlink ref="B15" r:id="rId23" display="https://www.google.com/url?q=https://dmoj.ca/problem/apio10p3&amp;sa=D&amp;ust=1605639831958000&amp;usg=AFQjCNHlmAIlKYrvJi57n8qZ4qtPOWs7lg" xr:uid="{E11BA76F-6F3B-4A7F-9712-6CBE0FF8ED6B}"/>
    <hyperlink ref="F15" r:id="rId24" display="https://www.google.com/url?q=https://github.com/shanto86/Training/blob/master/Dmoj/APIO%252010-Signaling.cpp&amp;sa=D&amp;ust=1605639831958000&amp;usg=AFQjCNHV_8mm-7yeRBySZ5lFDThibeMdXw" xr:uid="{EDC2794D-47F6-4651-A591-26BCFCEFE982}"/>
    <hyperlink ref="B16" r:id="rId25" display="https://www.google.com/url?q=https://tioj.ck.tp.edu.tw/problems/1748&amp;sa=D&amp;ust=1605639831958000&amp;usg=AFQjCNFzXm8_6YVf7_r15pLtUgYUngnjgA" xr:uid="{BAC358B3-EEB4-4791-B8F6-6153F5F54EB3}"/>
    <hyperlink ref="F16" r:id="rId26" display="https://www.google.com/url?q=https://github.com/mostafa-saad/MyCompetitiveProgramming/blob/master/Olympiad/APIO/APIO-11-Color.txt&amp;sa=D&amp;ust=1605639831958000&amp;usg=AFQjCNFvonbV__07EBFJ3r-dOeogJiRZig" xr:uid="{7A271DAB-2706-476F-B6D5-27E125D9EC27}"/>
    <hyperlink ref="B17" r:id="rId27" display="https://www.google.com/url?q=https://tioj.ck.tp.edu.tw/problems/1750&amp;sa=D&amp;ust=1605639831958000&amp;usg=AFQjCNFHDZtMzh_vUYlIRRFZzifxt86L8g" xr:uid="{ADDD515D-8AB7-4B5B-9171-EF28A33C5554}"/>
    <hyperlink ref="B18" r:id="rId28" display="https://www.google.com/url?q=https://dunjudge.me/analysis/problems/1232/&amp;sa=D&amp;ust=1605639831959000&amp;usg=AFQjCNGq13-ZPTcc1qZNQjcmaVSTEDZHXA" xr:uid="{717F72C3-31BA-42B8-B4DC-24A605DCFAEF}"/>
    <hyperlink ref="F18" r:id="rId29" display="https://www.google.com/url?q=https://github.com/mostafa-saad/MyCompetitiveProgramming/blob/master/Olympiad/APIO/APIO-11-Path.txt&amp;sa=D&amp;ust=1605639831959000&amp;usg=AFQjCNFJireJdoTCYzSyF3ml26EXWL4F5g" xr:uid="{554E6414-3833-43B1-A6AB-0870C6EE03D3}"/>
    <hyperlink ref="B19" r:id="rId30" display="https://www.google.com/url?q=https://dmoj.ca/problem/apio12p1&amp;sa=D&amp;ust=1605639831959000&amp;usg=AFQjCNEijPUixe9izfM7mS2pdpSRdt0tKA" xr:uid="{9CFA81A8-4FEC-47E6-8996-AE9E526528DC}"/>
    <hyperlink ref="F19" r:id="rId31" display="https://www.google.com/url?q=https://github.com/mostafa-saad/MyCompetitiveProgramming/blob/master/Olympiad/APIO/APIO-12-Dispatching.txt&amp;sa=D&amp;ust=1605639831959000&amp;usg=AFQjCNEhgEIY2Lugn7RAU30zS_qJHtVy5A" xr:uid="{3485D7CB-B901-4F60-A848-2A26E90B17E8}"/>
    <hyperlink ref="B20" r:id="rId32" display="https://www.google.com/url?q=https://dmoj.ca/problem/apio12p2&amp;sa=D&amp;ust=1605639831959000&amp;usg=AFQjCNGitK0VeaLrATiQEAJwb8OR24k-AQ" xr:uid="{A81909AD-FF95-4B01-B30E-D70F6F51CFA9}"/>
    <hyperlink ref="B21" r:id="rId33" display="https://www.google.com/url?q=https://dmoj.ca/problem/apio12p3&amp;sa=D&amp;ust=1605639831960000&amp;usg=AFQjCNEoo8b0-YkmlXYhsq6tEdC5xlp2Dw" xr:uid="{15A6C1E3-10F9-48B6-BC2A-5398CE20C83E}"/>
    <hyperlink ref="F21" r:id="rId34" display="https://www.google.com/url?q=https://github.com/tmwilliamlin168/CompetitiveProgramming/blob/master/APIO/12-Kunai.cpp&amp;sa=D&amp;ust=1605639831960000&amp;usg=AFQjCNGi3vRvORnHQ01JrpkJrHFu61BnOg" xr:uid="{EA7A6FD4-982D-4D82-90C6-4042288B269D}"/>
    <hyperlink ref="B22" r:id="rId35" display="https://www.google.com/url?q=https://oj.uz/problem/view/APIO13_robots&amp;sa=D&amp;ust=1605639831960000&amp;usg=AFQjCNFLd2s0zKOsBEj4exjJ916JhbMQEg" xr:uid="{E2C91E13-23D3-4168-8915-4DBF3C007B6D}"/>
    <hyperlink ref="F22" r:id="rId36" display="https://www.google.com/url?q=https://github.com/mostafa-saad/MyCompetitiveProgramming/blob/master/Olympiad/APIO/APIO-13-Robots.txt&amp;sa=D&amp;ust=1605639831960000&amp;usg=AFQjCNHbWLdxnieKwnjP0KVlcx_SdL93Kg" xr:uid="{52DD6B2A-05F0-4E98-ABA8-D87C25060A28}"/>
    <hyperlink ref="B23" r:id="rId37" display="https://www.google.com/url?q=https://dunjudge.me/analysis/problems/437/&amp;sa=D&amp;ust=1605639831960000&amp;usg=AFQjCNEGXRoSOOaX7RpIy4_C_kwdTygk6Q" xr:uid="{09EB568F-CC8A-4A01-B493-A92E94F68892}"/>
    <hyperlink ref="B24" r:id="rId38" display="https://www.google.com/url?q=https://oj.uz/problem/view/APIO13_toll&amp;sa=D&amp;ust=1605639831961000&amp;usg=AFQjCNHrfUN0zTCJBTp2f7pjdH4hNHl6Sw" xr:uid="{98EEAF5C-E6D3-4CB9-A98A-805D6AC34CFB}"/>
    <hyperlink ref="F24" r:id="rId39" display="https://www.google.com/url?q=https://github.com/tmwilliamlin168/CompetitiveProgramming/blob/master/APIO/13-Toll.cpp&amp;sa=D&amp;ust=1605639831961000&amp;usg=AFQjCNFCm4F-g7YMZPZEDKgTWlGpVUIAsQ" xr:uid="{73D89B58-F781-4CF2-B53F-B3785A5BCDAA}"/>
    <hyperlink ref="B25" r:id="rId40" display="https://www.google.com/url?q=https://oj.uz/problem/view/APIO14_beads&amp;sa=D&amp;ust=1605639831961000&amp;usg=AFQjCNEYyE2iXG_qxItIdozObU5-YU3ONw" xr:uid="{017859DB-7161-417F-9EAA-A5BC3C5F42B3}"/>
    <hyperlink ref="F25" r:id="rId41" display="https://www.google.com/url?q=https://github.com/tmwilliamlin168/CompetitiveProgramming/blob/master/APIO/14-Beads.cpp&amp;sa=D&amp;ust=1605639831961000&amp;usg=AFQjCNEUebtZt5KHt_nocD62czZmX3VclA" xr:uid="{C7BCB382-EAC8-4492-8CE4-16871FF34114}"/>
    <hyperlink ref="B26" r:id="rId42" display="https://www.google.com/url?q=https://dmoj.ca/problem/apio14p1&amp;sa=D&amp;ust=1605639831961000&amp;usg=AFQjCNEdf_iABNNUmif1cVfWj-7tq0_VDg" xr:uid="{9357FC36-87D4-4214-AB80-A9310DA057C3}"/>
    <hyperlink ref="F26" r:id="rId43" display="https://www.google.com/url?q=https://github.com/mostafa-saad/MyCompetitiveProgramming/blob/master/Olympiad/APIO/APIO-14-Palindrome.txt&amp;sa=D&amp;ust=1605639831962000&amp;usg=AFQjCNG2iMGledskc09IDtIZbrFwZ86WbQ" xr:uid="{149D02DB-DE6F-4F13-A697-1C7EFF8614C9}"/>
    <hyperlink ref="B27" r:id="rId44" display="https://www.google.com/url?q=https://oj.uz/problem/view/APIO14_sequence&amp;sa=D&amp;ust=1605639831962000&amp;usg=AFQjCNHPhYGFuFzG_RbXfiKlIG6a4SN8zg" xr:uid="{35F67FF1-E6C4-4C28-ADC7-8EB8395032A9}"/>
    <hyperlink ref="F27" r:id="rId45" display="https://www.google.com/url?q=https://github.com/mostafa-saad/MyCompetitiveProgramming/blob/master/Olympiad/APIO/APIO-14-Sequence.txt&amp;sa=D&amp;ust=1605639831962000&amp;usg=AFQjCNFxCAsTC3xLFCQLx-F2BFLihybOZA" xr:uid="{11762AA9-1568-449D-8AAA-54FA7731288F}"/>
    <hyperlink ref="B28" r:id="rId46" display="https://www.google.com/url?q=https://oj.uz/problem/view/APIO15_bridge&amp;sa=D&amp;ust=1605639831962000&amp;usg=AFQjCNGFhN6XlCkUfRROX8RQ0e8Q9BaWUA" xr:uid="{A2274A84-54D0-467B-8973-42FAD1FAF286}"/>
    <hyperlink ref="F28" r:id="rId47" display="https://www.google.com/url?q=https://github.com/mostafa-saad/MyCompetitiveProgramming/blob/master/Olympiad/APIO/APIO-15-bridge.txt&amp;sa=D&amp;ust=1605639831962000&amp;usg=AFQjCNELqmuRGjZduA7YKGUP23zodXFFzQ" xr:uid="{A7F1E409-3A5C-4B3B-8EB3-CD9E10FF7FF6}"/>
    <hyperlink ref="B29" r:id="rId48" display="https://www.google.com/url?q=https://oj.uz/problem/view/APIO15_sculpture&amp;sa=D&amp;ust=1605639831963000&amp;usg=AFQjCNGtI-lVX54r1IAxARjfOZQBI3pvQw" xr:uid="{4AC48C63-3C0B-4549-9C5A-ED2E85135032}"/>
    <hyperlink ref="F29" r:id="rId49" display="https://www.google.com/url?q=https://github.com/mostafa-saad/MyCompetitiveProgramming/blob/master/Olympiad/APIO/APIO-15-sculpture.txt&amp;sa=D&amp;ust=1605639831963000&amp;usg=AFQjCNEJM7TKdgtBmW0fNPiEcGMRSzkhvg" xr:uid="{BB3A2CCB-DC89-4EA2-A35A-A951FE3FFB61}"/>
    <hyperlink ref="B30" r:id="rId50" display="https://www.google.com/url?q=https://oj.uz/problem/view/APIO15_skyscraper&amp;sa=D&amp;ust=1605639831963000&amp;usg=AFQjCNHD8_WHfeZMobNVqeg55LqRbM0zRg" xr:uid="{AD611D82-8CD1-46EA-8FEC-A11211F9EA28}"/>
    <hyperlink ref="F30" r:id="rId51" display="https://www.google.com/url?q=https://github.com/mostafa-saad/MyCompetitiveProgramming/blob/master/Olympiad/APIO/APIO-15-skyscraper.txt&amp;sa=D&amp;ust=1605639831963000&amp;usg=AFQjCNHDoCX9RdO5u5Be9r735_oDz3yCsA" xr:uid="{923CB504-C089-4E9C-809F-722D84922030}"/>
    <hyperlink ref="B31" r:id="rId52" display="https://www.google.com/url?q=https://oj.uz/problem/view/APIO16_boat&amp;sa=D&amp;ust=1605639831964000&amp;usg=AFQjCNGjOJCHrwRyvecP_Rjp3V7WL_W-kw" xr:uid="{06C57390-DD9F-43E7-AB1B-739ECC0D9E49}"/>
    <hyperlink ref="F31" r:id="rId53" display="https://www.google.com/url?q=https://github.com/mostafa-saad/MyCompetitiveProgramming/blob/master/Olympiad/APIO/APIO-16-boat.txt&amp;sa=D&amp;ust=1605639831964000&amp;usg=AFQjCNGqawWyhuEYGN0ek6B72BlM9uOrKQ" xr:uid="{6894E98D-D205-44C3-B396-818570144E15}"/>
    <hyperlink ref="B32" r:id="rId54" display="https://www.google.com/url?q=https://oj.uz/problem/view/APIO16_fireworks&amp;sa=D&amp;ust=1605639831964000&amp;usg=AFQjCNEBM33W_NB_bBwfjoN3ooz6JPh8WA" xr:uid="{F108FB31-FF14-4177-99D8-4D3ADD195F10}"/>
    <hyperlink ref="F32" r:id="rId55" display="https://www.google.com/url?q=https://github.com/mostafa-saad/MyCompetitiveProgramming/blob/master/Olympiad/APIO/APIO-16-fireworks.txt&amp;sa=D&amp;ust=1605639831965000&amp;usg=AFQjCNH2wGOL1L9K2KbsDnMmxVFCpn58lQ" xr:uid="{244A932F-C8EC-46A2-91D0-97323397424C}"/>
    <hyperlink ref="B33" r:id="rId56" display="https://www.google.com/url?q=https://oj.uz/problems/source/184&amp;sa=D&amp;ust=1605639831965000&amp;usg=AFQjCNFgjxR7aJqCX4npqQlQ_UDgdFRv3g" xr:uid="{49114F2B-27A2-482A-A7A0-6F4698E16BB5}"/>
    <hyperlink ref="F33" r:id="rId57" display="https://www.google.com/url?q=https://github.com/mostafa-saad/MyCompetitiveProgramming/blob/master/Olympiad/APIO/APIO-16-gap.txt&amp;sa=D&amp;ust=1605639831965000&amp;usg=AFQjCNEV25pxu-LTje1hrhyoizlmPZ_H3w" xr:uid="{ACFAEAF1-30C7-463F-92D2-BF277BC473EC}"/>
    <hyperlink ref="B34" r:id="rId58" display="https://www.google.com/url?q=https://oj.uz/problem/view/APIO17_koala&amp;sa=D&amp;ust=1605639831966000&amp;usg=AFQjCNEibN4xzTYEub1oJPMyyoEVu-P3Bw" xr:uid="{DA9A0101-700B-467A-AE6C-A6B7C590F431}"/>
    <hyperlink ref="F34" r:id="rId59" display="https://www.google.com/url?q=https://github.com/mostafa-saad/MyCompetitiveProgramming/blob/master/Olympiad/APIO/official/2017&amp;sa=D&amp;ust=1605639831966000&amp;usg=AFQjCNFAuaCSfHI8n5Iyw8UueX22MEsl2A" xr:uid="{AE6EC526-0C28-4037-94C2-ACAEACF6D184}"/>
    <hyperlink ref="B35" r:id="rId60" display="https://www.google.com/url?q=https://oj.uz/problem/view/APIO17_merchant&amp;sa=D&amp;ust=1605639831966000&amp;usg=AFQjCNGZ-vQkher0DDdZwyP76l6wvcMEgA" xr:uid="{28D64E09-0F8D-4DB4-A591-C428837C513F}"/>
    <hyperlink ref="F35" r:id="rId61" display="https://www.google.com/url?q=https://github.com/mostafa-saad/MyCompetitiveProgramming/blob/master/Olympiad/APIO/APIO-17-merchant.txt&amp;sa=D&amp;ust=1605639831966000&amp;usg=AFQjCNGMJ88uEtqrkKbFfWpQZZqkE-YeBw" xr:uid="{8253AEFD-AA63-4C7B-9BB2-D023741DA9EC}"/>
    <hyperlink ref="B36" r:id="rId62" display="https://www.google.com/url?q=https://oj.uz/problem/view/APIO17_rainbow&amp;sa=D&amp;ust=1605639831968000&amp;usg=AFQjCNGT2HkoeXtNl__opVyqxzthWJGfwA" xr:uid="{82C105D3-7E93-4675-98A3-6F6047ED7E78}"/>
    <hyperlink ref="F36" r:id="rId63" display="https://www.google.com/url?q=https://github.com/mostafa-saad/MyCompetitiveProgramming/blob/master/Olympiad/APIO/APIO-17-rainbow.txt&amp;sa=D&amp;ust=1605639831969000&amp;usg=AFQjCNHZPe1KyAyKfuwQTm6PdvYuBJBnUg" xr:uid="{1ED1C549-D6AE-4733-BEFE-FADBD3DFB5D2}"/>
    <hyperlink ref="B37" r:id="rId64" display="https://www.google.com/url?q=https://oj.uz/problems/source/326&amp;sa=D&amp;ust=1605639831969000&amp;usg=AFQjCNFC3bM3wUVbOMkVt1eS1-LhCb3lwA" xr:uid="{BCA89FB1-8C82-4D17-9898-B2C36457DB9A}"/>
    <hyperlink ref="F37" r:id="rId65" display="https://www.google.com/url?q=https://github.com/timpostuvan/CompetitiveProgramming/blob/master/Olympiad/APIO/CircleSelection2018.cpp&amp;sa=D&amp;ust=1605639831969000&amp;usg=AFQjCNGTapyhG2wiyqKFpJiFkZV6GsGOTQ" xr:uid="{509FC786-15B9-4EAB-BD75-11473D6C3D74}"/>
    <hyperlink ref="B38" r:id="rId66" display="https://www.google.com/url?q=https://oj.uz/problems/source/326&amp;sa=D&amp;ust=1605639831970000&amp;usg=AFQjCNHqYs5z_sZfmYur9BZDSMpDqAaf5A" xr:uid="{C6F458EC-1257-46D5-9099-C96F45887963}"/>
    <hyperlink ref="F38" r:id="rId67" display="https://www.google.com/url?q=https://github.com/mostafa-saad/MyCompetitiveProgramming/blob/master/Olympiad/APIO/APIO-18-duathlon.txt&amp;sa=D&amp;ust=1605639831970000&amp;usg=AFQjCNEABy0x-DaNuiswbIpv0YlrMZI8Kg" xr:uid="{89AC6F12-2FAB-4BFF-8387-98A8E6E2797D}"/>
    <hyperlink ref="B39" r:id="rId68" display="https://www.google.com/url?q=https://oj.uz/problems/source/326&amp;sa=D&amp;ust=1605639831970000&amp;usg=AFQjCNHqYs5z_sZfmYur9BZDSMpDqAaf5A" xr:uid="{A449D925-B9EA-4955-8081-C193C705CC6F}"/>
    <hyperlink ref="F39" r:id="rId69" display="https://www.google.com/url?q=https://github.com/mostafa-saad/MyCompetitiveProgramming/blob/master/Olympiad/APIO/APIO-18-newhome.txt&amp;sa=D&amp;ust=1605639831971000&amp;usg=AFQjCNF5p-k_0Gnt07Ku6o7PNEYvbTK89g" xr:uid="{F92A1F69-7EF6-4B9B-8C3C-CF8FB2291F0E}"/>
    <hyperlink ref="B40" r:id="rId70" display="https://www.google.com/url?q=https://codeforces.com/gym/102257/&amp;sa=D&amp;ust=1605639831971000&amp;usg=AFQjCNHRnzJmR_gBMY-V-6bzkanhVPz-8w" xr:uid="{57D8BBA0-4B9F-45BC-A1C3-3DD0C3F7ACB8}"/>
    <hyperlink ref="F40" r:id="rId71" display="https://www.google.com/url?q=https://github.com/mostafa-saad/MyCompetitiveProgramming/blob/master/Olympiad/APIO/APIO-19-bridges.txt&amp;sa=D&amp;ust=1605639831971000&amp;usg=AFQjCNFRv-rkgrHbbzfO8Nx6tsYfFKIoKw" xr:uid="{A759BB5C-B445-411E-8D4B-A24FA3784EFF}"/>
    <hyperlink ref="B41" r:id="rId72" display="https://www.google.com/url?q=https://codeforces.com/gym/102257/&amp;sa=D&amp;ust=1605639831972000&amp;usg=AFQjCNGOY3MEPOpaB8luOATXF-cie2cO1Q" xr:uid="{F62F96C5-5C07-4CC2-991F-5209C83AA285}"/>
    <hyperlink ref="F41" r:id="rId73" display="https://www.google.com/url?q=https://github.com/mostafa-saad/MyCompetitiveProgramming/blob/master/Olympiad/APIO/APIO-19-strange_device.txt&amp;sa=D&amp;ust=1605639831972000&amp;usg=AFQjCNG63Y1elugs4d_P95TWOCdqtJ6kBg" xr:uid="{E8B6BA90-8B69-4A2B-9822-2A2718A28254}"/>
    <hyperlink ref="B42" r:id="rId74" display="https://www.google.com/url?q=https://codeforces.com/gym/102257/&amp;sa=D&amp;ust=1605639831972000&amp;usg=AFQjCNGOY3MEPOpaB8luOATXF-cie2cO1Q" xr:uid="{242064CA-E557-4EE0-B02E-EEB16CDCC46A}"/>
    <hyperlink ref="F42" r:id="rId75" display="https://www.google.com/url?q=https://github.com/Evilandrew228/CompetitiveProgramming/blob/master/APIO%252019-street_lamps&amp;sa=D&amp;ust=1605639831973000&amp;usg=AFQjCNHlE97cPbPDnvQwb1uUTTuMHL20Bg" xr:uid="{46E0B697-36B7-4253-A24F-CC591D6F752F}"/>
    <hyperlink ref="B43" r:id="rId76" display="https://www.google.com/url?q=http://www.spoj.com/problems/MCAMP/&amp;sa=D&amp;ust=1605639831973000&amp;usg=AFQjCNG94SZp3zQt_zD4PkBkbodgtz27dw" xr:uid="{DE2D7857-9543-482C-B012-D60097B7F579}"/>
    <hyperlink ref="F43" r:id="rId77" display="https://www.google.com/url?q=https://github.com/mostafa-saad/MyCompetitiveProgramming/blob/master/Olympiad/APIO/APIOPractice-14-mcamp.txt&amp;sa=D&amp;ust=1605639831973000&amp;usg=AFQjCNHPifB0Qf0QaO8-QX-GmLZzEeAOKw" xr:uid="{41BAEB8D-B1DC-4BE4-9DD7-4EFCEEBA6D8D}"/>
    <hyperlink ref="B44" r:id="rId78" display="https://www.google.com/url?q=https://www.acmicpc.net/problem/2336&amp;sa=D&amp;ust=1605639831974000&amp;usg=AFQjCNHg4175983IZc-i3daEr-fj_YKgwQ" xr:uid="{ECD011EF-267C-4422-9B68-C90054CC7E31}"/>
    <hyperlink ref="B45" r:id="rId79" display="https://www.google.com/url?q=https://www.acmicpc.net/problem/2192&amp;sa=D&amp;ust=1605639831974000&amp;usg=AFQjCNFVaVfV5KqIi-YwfKyfnGSYPsHUBA" xr:uid="{55580103-990F-4312-B981-B53A485033F9}"/>
    <hyperlink ref="B46" r:id="rId80" display="https://www.google.com/url?q=https://www.acmicpc.net/problem/7085&amp;sa=D&amp;ust=1605639831974000&amp;usg=AFQjCNFE7ji2ckATmBfGiIAI8bAQUwhexw" xr:uid="{30E92394-52B2-4DF9-A238-E1C77D644DF5}"/>
    <hyperlink ref="B47" r:id="rId81" display="https://www.google.com/url?q=https://www.acmicpc.net/problem/7083&amp;sa=D&amp;ust=1605639831975000&amp;usg=AFQjCNEQkePEE12WuVk0OpFb3YEsTJlOnQ" xr:uid="{9B465219-BD32-4E5F-9977-82051E23EA0A}"/>
    <hyperlink ref="B48" r:id="rId82" display="https://www.google.com/url?q=https://www.acmicpc.net/problem/7084&amp;sa=D&amp;ust=1605639831975000&amp;usg=AFQjCNH_KjVDC71Aycvj10Y2HnGES9oVKQ" xr:uid="{B3E070A1-66F6-4776-8DAA-E635EF61D511}"/>
    <hyperlink ref="B49" r:id="rId83" display="https://www.google.com/url?q=https://www.acmicpc.net/problem/7086&amp;sa=D&amp;ust=1605639831976000&amp;usg=AFQjCNHoeXasGtMcNVEiW93ajyqqTM3fcQ" xr:uid="{E0BE99A1-5F46-424A-B84A-D5456026A99E}"/>
    <hyperlink ref="F49" r:id="rId84" display="https://www.google.com/url?q=https://github.com/koosaga/olympiad/blob/master/Balkan/balkan05_race.cpp&amp;sa=D&amp;ust=1605639831976000&amp;usg=AFQjCNGNPxTDAz1D8phV0e-7-DJKOavykw" xr:uid="{697B41C8-6F9F-418C-A532-4E962B1D44D5}"/>
    <hyperlink ref="B50" r:id="rId85" display="https://www.google.com/url?q=https://www.acmicpc.net/problem/7087&amp;sa=D&amp;ust=1605639831976000&amp;usg=AFQjCNGgiplmzZ5lgO27U_c-J8T77d21GQ" xr:uid="{41C6256A-D3FF-40BC-B0B6-A7B839E874FC}"/>
    <hyperlink ref="B51" r:id="rId86" display="https://www.google.com/url?q=https://www.acmicpc.net/problem/7088&amp;sa=D&amp;ust=1605639831977000&amp;usg=AFQjCNE2KHmWOCAoQBeXzL2CeAMjzgBIGw" xr:uid="{1287CA4B-D2F9-43EA-A76D-9B9C08AB5366}"/>
    <hyperlink ref="B52" r:id="rId87" display="https://www.google.com/url?q=https://www.acmicpc.net/problem/7080&amp;sa=D&amp;ust=1605639831977000&amp;usg=AFQjCNFEMOHY7YddYT2-6hXaTj0TZ4RqcA" xr:uid="{6E1A224A-3164-4E91-9D7B-D8FE7CE2916A}"/>
    <hyperlink ref="B53" r:id="rId88" display="https://www.google.com/url?q=https://www.acmicpc.net/problem/7081&amp;sa=D&amp;ust=1605639831977000&amp;usg=AFQjCNHqb4QCHIJ3qP25enUrkIWH9PccbQ" xr:uid="{824C01EF-67F9-43CF-B374-2B0F0BFA6A44}"/>
    <hyperlink ref="F53" r:id="rId89" display="https://www.google.com/url?q=https://github.com/mostafa-saad/MyCompetitiveProgramming/blob/master/Olympiad/Balkan/Balkan-09-Reading.txt&amp;sa=D&amp;ust=1605639831978000&amp;usg=AFQjCNFe3iuti-2cLmvWiX2CkEoE3FNtTg" xr:uid="{2E48EB77-8B94-4B1A-AC4D-5E15A88D37BB}"/>
    <hyperlink ref="B54" r:id="rId90" display="https://www.google.com/url?q=https://www.acmicpc.net/problem/7082&amp;sa=D&amp;ust=1605639831978000&amp;usg=AFQjCNHXSPV5BeTb0T4rBLliCe7cQUp2dg" xr:uid="{C04594CA-A00B-482D-8C42-26B703AD222F}"/>
    <hyperlink ref="B55" r:id="rId91" display="https://www.google.com/url?q=https://oj.uz/problem/view/balkan11_2circles&amp;sa=D&amp;ust=1605639831978000&amp;usg=AFQjCNFCXxDL5ALtG96fojgFK6Z13IQCIQ" xr:uid="{B549C315-6D66-46CD-B18F-D4209854A071}"/>
    <hyperlink ref="F55" r:id="rId92" display="https://www.google.com/url?q=https://github.com/mostafa-saad/MyCompetitiveProgramming/blob/master/Olympiad/Balkan/Balkan-11-2circles.txt&amp;sa=D&amp;ust=1605639831980000&amp;usg=AFQjCNHnxnGZxrV-cjbqiQpeFFLJ-un8yQ" xr:uid="{645B0F36-9D68-496F-8D20-BE48A8D0D961}"/>
    <hyperlink ref="B56" r:id="rId93" display="https://www.google.com/url?q=https://oj.uz/problem/view/balkan11_cmp&amp;sa=D&amp;ust=1605639831980000&amp;usg=AFQjCNGiC8f3itQtGPdTAMYm4PAyJICHrA" xr:uid="{5097D5E1-DDA3-4A31-A8EB-622F3AEEB0A8}"/>
    <hyperlink ref="F56" r:id="rId94" display="https://www.google.com/url?q=https://github.com/mostafa-saad/MyCompetitiveProgramming/blob/master/Olympiad/Balkan/official/2011/cmp-sol.pdf&amp;sa=D&amp;ust=1605639831980000&amp;usg=AFQjCNGTq_IHpxuI6poGcLkYUXVKUo4qWg" xr:uid="{CDAC7907-53F0-4412-B7FB-C77ED9205162}"/>
    <hyperlink ref="B57" r:id="rId95" display="https://www.google.com/url?q=https://dunjudge.me/analysis/problems/573/&amp;sa=D&amp;ust=1605639831981000&amp;usg=AFQjCNFbugIcngdTsKhMN3KcLnWa0BpR1g" xr:uid="{43D3E8F9-2965-4740-B048-F635505BE185}"/>
    <hyperlink ref="F57" r:id="rId96" display="https://www.google.com/url?q=https://github.com/mostafa-saad/MyCompetitiveProgramming/blob/master/Olympiad/Balkan/Balkan-11-decrypt.txt&amp;sa=D&amp;ust=1605639831981000&amp;usg=AFQjCNEISdY_0Zi3NHRcYy6x3XY2_zKPrw" xr:uid="{5BCC1817-928E-4DBB-A7FD-96D6E62663DE}"/>
    <hyperlink ref="B58" r:id="rId97" display="https://www.google.com/url?q=https://oj.uz/problems/source/113&amp;sa=D&amp;ust=1605639831981000&amp;usg=AFQjCNF687uzTFmVtGDz8qXKh3UEc9GYkQ" xr:uid="{FF8BA218-72A8-4ACA-910A-EC47174154F9}"/>
    <hyperlink ref="F58" r:id="rId98" display="https://www.google.com/url?q=https://github.com/mostafa-saad/MyCompetitiveProgramming/blob/master/Olympiad/Balkan/Balkan-11-Medians.txt&amp;sa=D&amp;ust=1605639831981000&amp;usg=AFQjCNGdJWB-9RmEBGDXxIRqhSmRCcJ88g" xr:uid="{C63A18FC-9C1E-4B86-97E4-A70850AA7B3A}"/>
    <hyperlink ref="B59" r:id="rId99" display="https://www.google.com/url?q=https://oj.uz/problem/view/balkan11_timeismoney&amp;sa=D&amp;ust=1605639831982000&amp;usg=AFQjCNEkZZ8wCDLjvYlL-fYC4vEHkr8EjQ" xr:uid="{5FCB915F-9C18-4491-A3FB-47A10E7D6136}"/>
    <hyperlink ref="F59" r:id="rId100" display="https://www.google.com/url?q=https://github.com/tmwilliamlin168/CompetitiveProgramming/blob/master/BkOI/11-Time_Is_Money.cpp&amp;sa=D&amp;ust=1605639831982000&amp;usg=AFQjCNGYy7NsWYt81gqA554ZUN3pULJ3aw" xr:uid="{68272467-CCDE-4E75-9DA3-1220E1A8A3A5}"/>
    <hyperlink ref="B60" r:id="rId101" display="https://www.google.com/url?q=https://oj.uz/problem/view/balkan11_trapezoid&amp;sa=D&amp;ust=1605639831982000&amp;usg=AFQjCNHJQ06yLjYvR7-U2PwALPsz0HVBDQ" xr:uid="{E4F878FE-AB4F-47A0-8A25-6535C5030310}"/>
    <hyperlink ref="F60" r:id="rId102" display="https://www.google.com/url?q=https://github.com/mostafa-saad/MyCompetitiveProgramming/blob/master/Olympiad/Balkan/Balkan-11-Trapezoid.txt&amp;sa=D&amp;ust=1605639831983000&amp;usg=AFQjCNH36-v_qKNT2DFGFb0J4At0-nPOIQ" xr:uid="{D969B647-7B88-4C6A-B860-B1A8C62D896A}"/>
    <hyperlink ref="B61" r:id="rId103" display="https://www.google.com/url?q=https://www.acmicpc.net/problem/5254&amp;sa=D&amp;ust=1605639831983000&amp;usg=AFQjCNG2yCx_Sw2OkIsJgXJ3CPdzTXUgKg" xr:uid="{12CFA9CA-D9E9-4C5A-928C-43F3897B2428}"/>
    <hyperlink ref="F61" r:id="rId104" display="https://www.google.com/url?q=https://github.com/mostafa-saad/MyCompetitiveProgramming/blob/master/Olympiad/Balkan/Balkan-12-balls.txt&amp;sa=D&amp;ust=1605639831983000&amp;usg=AFQjCNFAXovkhL28qsfu12sopRJcxHbdiA" xr:uid="{E9DF63B6-C46A-45CC-BD11-B37BD9D8D8C9}"/>
    <hyperlink ref="B62" r:id="rId105" display="https://www.google.com/url?q=https://www.acmicpc.net/problem/5252&amp;sa=D&amp;ust=1605639831984000&amp;usg=AFQjCNHjVCxTV3uW_EG6KR1blFfkbJ9c4A" xr:uid="{DE17E6D9-C94D-48DA-97AB-D3025AE29DE9}"/>
    <hyperlink ref="F62" r:id="rId106" display="https://www.google.com/url?q=https://github.com/mostafa-saad/MyCompetitiveProgramming/blob/master/Olympiad/Balkan/Balkan-12-BestTeams.txt&amp;sa=D&amp;ust=1605639831984000&amp;usg=AFQjCNH58LQ29zdXoZocwkWVDRnuYD9Kdw" xr:uid="{8FA073BC-01FC-4398-A98D-EB91147B913A}"/>
    <hyperlink ref="B63" r:id="rId107" display="https://www.google.com/url?q=https://www.acmicpc.net/problem/5249&amp;sa=D&amp;ust=1605639831984000&amp;usg=AFQjCNG7TF8zJmKS5dq-kNjUDDfj0gOE2g" xr:uid="{AC5B6E01-FD9F-4B4A-BA71-B98AE884EAF8}"/>
    <hyperlink ref="B64" r:id="rId108" display="https://www.google.com/url?q=https://www.acmicpc.net/problem/5253&amp;sa=D&amp;ust=1605639831985000&amp;usg=AFQjCNGeO84qY52CoO3y1nLzmsvckFf_sQ" xr:uid="{6CFC7B64-390A-4F88-A38C-8D128D5D1508}"/>
    <hyperlink ref="F64" r:id="rId109" display="https://www.google.com/url?q=https://github.com/mostafa-saad/MyCompetitiveProgramming/blob/master/Olympiad/Balkan/Balkan-12-Fan_Groups.txt&amp;sa=D&amp;ust=1605639831985000&amp;usg=AFQjCNFHoWAsOwzBlVfNIrS6LlRo_l6uzQ" xr:uid="{2F1A0B03-1465-4E31-8D78-8E31AAAC25C5}"/>
    <hyperlink ref="B65" r:id="rId110" display="https://www.google.com/url?q=https://www.acmicpc.net/problem/5250&amp;sa=D&amp;ust=1605639831985000&amp;usg=AFQjCNHdDEK8ycQZGqPsxbmS1a9OWSGjuQ" xr:uid="{6E1F5B0B-44EC-41F4-A29D-0F2A28236296}"/>
    <hyperlink ref="F65" r:id="rId111" display="https://www.google.com/url?q=https://github.com/mostafa-saad/MyCompetitiveProgramming/blob/master/Olympiad/Balkan/Balkan-12-ShortestPaths.txt&amp;sa=D&amp;ust=1605639831986000&amp;usg=AFQjCNFEuz7Bry84uJaoDaN88R_izT-SPw" xr:uid="{D44BB17E-9135-4326-A393-D0F0638CD583}"/>
    <hyperlink ref="B66" r:id="rId112" display="https://www.google.com/url?q=https://www.acmicpc.net/problem/5251&amp;sa=D&amp;ust=1605639831986000&amp;usg=AFQjCNGoAenrNZMtMYN8SKo3ih09SCoLIg" xr:uid="{4E359E4D-CD9C-4464-97E0-BE860C0875DE}"/>
    <hyperlink ref="F66" r:id="rId113" display="https://www.google.com/url?q=https://github.com/mostafa-saad/MyCompetitiveProgramming/tree/master/Olympiad/Balkan/official/2012&amp;sa=D&amp;ust=1605639831986000&amp;usg=AFQjCNGQ75pPXjOlhJvg3OX7ZUwXi5n-uA" xr:uid="{AEA407A9-89BC-4C0C-BC9A-F6672549ABC5}"/>
    <hyperlink ref="B67" r:id="rId114" display="https://www.google.com/url?q=https://www.acmicpc.net/problem/12017&amp;sa=D&amp;ust=1605639831986000&amp;usg=AFQjCNEk-EcrhE2yBIGJOg5bjGbua3JGpQ" xr:uid="{83502BE8-CC34-413E-9471-823638F03575}"/>
    <hyperlink ref="F67" r:id="rId115" display="https://www.google.com/url?q=https://github.com/mostafa-saad/MyCompetitiveProgramming/tree/master/Olympiad/Balkan/official/2015&amp;sa=D&amp;ust=1605639831987000&amp;usg=AFQjCNEFo8nS2NPeDSb51fuAlqp3yHNk6g" xr:uid="{26626AA8-2A56-47DD-B95F-A23B045B232F}"/>
    <hyperlink ref="B68" r:id="rId116" display="https://www.google.com/url?q=https://www.acmicpc.net/problem/11555&amp;sa=D&amp;ust=1605639831987000&amp;usg=AFQjCNGDBvKtQt9bIvtmbkZOeRGFbJXQvQ" xr:uid="{97C6D6E3-985A-490E-ABD9-E33073BC8C03}"/>
    <hyperlink ref="F68" r:id="rId117" display="https://www.google.com/url?q=https://github.com/mostafa-saad/MyCompetitiveProgramming/tree/master/Olympiad/Balkan/official/2015&amp;sa=D&amp;ust=1605639831987000&amp;usg=AFQjCNEFo8nS2NPeDSb51fuAlqp3yHNk6g" xr:uid="{9BDC5D60-48E7-45EC-BCEC-ADF028FE7033}"/>
    <hyperlink ref="B69" r:id="rId118" display="https://www.google.com/url?q=https://www.acmicpc.net/problem/11783&amp;sa=D&amp;ust=1605639831988000&amp;usg=AFQjCNH_M_JOSK0FFA7dZpj0OVy-IVHUOQ" xr:uid="{3B475EE0-FDE6-4A8F-B98E-6D83F3524E47}"/>
    <hyperlink ref="F69" r:id="rId119" display="https://www.google.com/url?q=https://github.com/mostafa-saad/MyCompetitiveProgramming/tree/master/Olympiad/Balkan/official/2015&amp;sa=D&amp;ust=1605639831988000&amp;usg=AFQjCNGmD7IDhrOLSYl63_ZuQtca16cZQw" xr:uid="{633E5E3B-79B5-456C-8728-0E9A5A955BD7}"/>
    <hyperlink ref="B70" r:id="rId120" display="https://www.google.com/url?q=https://www.acmicpc.net/problem/11556&amp;sa=D&amp;ust=1605639831988000&amp;usg=AFQjCNE6qrJUm8BliVgNEgdS0-iOrPgBFg" xr:uid="{C66D5F11-804A-4CC8-AE05-23FC18E42AAD}"/>
    <hyperlink ref="F70" r:id="rId121" display="https://www.google.com/url?q=https://github.com/mostafa-saad/MyCompetitiveProgramming/tree/master/Olympiad/Balkan/official/2015&amp;sa=D&amp;ust=1605639831988000&amp;usg=AFQjCNGmD7IDhrOLSYl63_ZuQtca16cZQw" xr:uid="{4195179F-70CE-4E5A-9C4D-F43929FEEC98}"/>
    <hyperlink ref="B71" r:id="rId122" display="https://www.google.com/url?q=https://www.acmicpc.net/problem/11782&amp;sa=D&amp;ust=1605639831989000&amp;usg=AFQjCNG5bMQA8lpS6HW79j4Vezxc8Tcbww" xr:uid="{564BB5D7-EEBE-4A60-8246-183635A8C6E0}"/>
    <hyperlink ref="B72" r:id="rId123" display="https://www.google.com/url?q=https://www.acmicpc.net/category/94&amp;sa=D&amp;ust=1605639831989000&amp;usg=AFQjCNHlNP_DIegA_KcwdpcrzFAW9dLPqg" xr:uid="{29C83ADB-8176-4825-A416-287D0B2F6157}"/>
    <hyperlink ref="B73" r:id="rId124" display="https://www.google.com/url?q=https://www.hackerrank.com/contests/boi-2016/challenges&amp;sa=D&amp;ust=1605639831991000&amp;usg=AFQjCNGwOz-0IXTy3SlW6VDdNfFCQu9SXg" xr:uid="{4B90EC93-984F-4334-8A44-D271D38FAEA4}"/>
    <hyperlink ref="F73" r:id="rId125" display="https://www.google.com/url?q=https://github.com/mostafa-saad/MyCompetitiveProgramming/tree/master/Olympiad/Balkan/official/2016&amp;sa=D&amp;ust=1605639831991000&amp;usg=AFQjCNFcHWxAdEhiuo5zzIJvA_VZjsZWcg" xr:uid="{E0DB3E4E-3975-43FD-8B0D-5D9D327B7181}"/>
    <hyperlink ref="B74" r:id="rId126" display="https://www.google.com/url?q=https://www.hackerrank.com/contests/boi-2016/challenges&amp;sa=D&amp;ust=1605639831991000&amp;usg=AFQjCNGwOz-0IXTy3SlW6VDdNfFCQu9SXg" xr:uid="{BF83C479-B4F1-413A-9534-FCABC0A8117B}"/>
    <hyperlink ref="F74" r:id="rId127" display="https://www.google.com/url?q=https://github.com/mostafa-saad/MyCompetitiveProgramming/blob/master/Olympiad/Balkan/Balkan-16-Conference.txt&amp;sa=D&amp;ust=1605639831992000&amp;usg=AFQjCNFeXJmrBlGnPIRyNi38p4UGzqz8Vw" xr:uid="{1A0190DA-292A-494E-B301-F7284061248E}"/>
    <hyperlink ref="B75" r:id="rId128" display="https://www.google.com/url?q=https://www.hackerrank.com/contests/boi-2016/challenges&amp;sa=D&amp;ust=1605639831992000&amp;usg=AFQjCNGUspRLpeArndwzQ-DdVOMAo0L8rA" xr:uid="{9F2D9B9F-A25B-440A-853D-610BEA6865C8}"/>
    <hyperlink ref="F75" r:id="rId129" display="https://www.google.com/url?q=https://github.com/mostafa-saad/MyCompetitiveProgramming/tree/master/Olympiad/Balkan/official/2016&amp;sa=D&amp;ust=1605639831992000&amp;usg=AFQjCNH9VBQmVSAAGAIPmEIW7MpJRLWApg" xr:uid="{7C89E088-1D00-40B0-9D09-F988B4A5ECAA}"/>
    <hyperlink ref="B76" r:id="rId130" display="https://www.google.com/url?q=https://www.hackerrank.com/contests/boi-2016/challenges&amp;sa=D&amp;ust=1605639831992000&amp;usg=AFQjCNGUspRLpeArndwzQ-DdVOMAo0L8rA" xr:uid="{95459DBE-8CC3-485E-837E-1F098C2C5B38}"/>
    <hyperlink ref="B77" r:id="rId131" display="https://www.google.com/url?q=https://www.hackerrank.com/contests/boi-2016/challenges&amp;sa=D&amp;ust=1605639831993000&amp;usg=AFQjCNEnJWtQA6mPrJQxQlfXrBtc_DRuHg" xr:uid="{087874DC-9535-403D-AEE5-5F6EE26EEB85}"/>
    <hyperlink ref="F77" r:id="rId132" display="https://www.google.com/url?q=https://github.com/mostafa-saad/MyCompetitiveProgramming/tree/master/Olympiad/Balkan/official/2016&amp;sa=D&amp;ust=1605639831993000&amp;usg=AFQjCNFAiRMKqnZUxY6l-qHxLwDWUXcAFg" xr:uid="{29CBE316-3ABA-4371-9875-6A97BC66C81C}"/>
    <hyperlink ref="B78" r:id="rId133" display="https://www.google.com/url?q=https://www.hackerrank.com/contests/boi-2016/challenges&amp;sa=D&amp;ust=1605639831993000&amp;usg=AFQjCNEnJWtQA6mPrJQxQlfXrBtc_DRuHg" xr:uid="{E69B297C-55F0-4024-8F88-4959C268DC38}"/>
    <hyperlink ref="F78" r:id="rId134" display="https://www.google.com/url?q=https://bytefreaks.net/cyprus-computer-society/tasks-balkan-olympiad-in-informatics-2016&amp;sa=D&amp;ust=1605639831994000&amp;usg=AFQjCNFr92p2SyFIxnX11nw7RjkC0wUw9A" xr:uid="{E6534ADC-8731-4CA9-B773-C54733D6D99C}"/>
    <hyperlink ref="B79" r:id="rId135" display="https://www.google.com/url?q=https://csacademy.com/contest/balkan-oi-2017-day-2/&amp;sa=D&amp;ust=1605639831994000&amp;usg=AFQjCNHBGjHwYCGGPMUYJNIcpuRT777quw" xr:uid="{5A6260FE-272A-4B53-B7C6-6E7CE042E20E}"/>
    <hyperlink ref="F79" r:id="rId136" display="https://www.google.com/url?q=https://github.com/mostafa-saad/MyCompetitiveProgramming/blob/master/Olympiad/Balkan/Balkan-17-Cats.txt&amp;sa=D&amp;ust=1605639831994000&amp;usg=AFQjCNFoYmLvaehySQr4QUd4KDtBkajEdQ" xr:uid="{02D8280F-ED30-4C72-9A0A-0A63660346C8}"/>
    <hyperlink ref="B80" r:id="rId137" display="https://www.google.com/url?q=https://csacademy.com/contest/balkan-oi-2017-day-2/&amp;sa=D&amp;ust=1605639831995000&amp;usg=AFQjCNHfEa9KVop0Rz3xEU3SrO_USAuE3w" xr:uid="{2A693F90-791D-47A7-B365-7A814C628F6D}"/>
    <hyperlink ref="F80" r:id="rId138" display="https://www.google.com/url?q=https://github.com/mostafa-saad/MyCompetitiveProgramming/blob/master/Olympiad/Balkan/Balkan-17-CityAttractions.txt&amp;sa=D&amp;ust=1605639831995000&amp;usg=AFQjCNGUOyL6yL3SMG1Cfh7lhZu_Y6IIDQ" xr:uid="{41F81840-6F4F-4BAA-91EE-B8026F8B76E0}"/>
    <hyperlink ref="B81" r:id="rId139" display="https://www.google.com/url?q=https://csacademy.com/contest/balkan-oi-2017-day-2/&amp;sa=D&amp;ust=1605639831995000&amp;usg=AFQjCNHfEa9KVop0Rz3xEU3SrO_USAuE3w" xr:uid="{4DD0943B-F091-44E3-AE68-6ACE10F726F1}"/>
    <hyperlink ref="F81" r:id="rId140" display="https://www.google.com/url?q=https://github.com/mostafa-saad/MyCompetitiveProgramming/blob/master/Olympiad/Balkan/Balkan-17-Monsters.txt&amp;sa=D&amp;ust=1605639831995000&amp;usg=AFQjCNGPkA7tpR4hs2CkNkIv5Yn4UKkU4Q" xr:uid="{090811A3-4DDA-4798-AF03-E7AE8810DC11}"/>
    <hyperlink ref="B82" r:id="rId141" display="https://www.google.com/url?q=https://csacademy.com/contest/balkan-oi-2017-day-1/&amp;sa=D&amp;ust=1605639831996000&amp;usg=AFQjCNH3WB8gklp9b8MTv26yHrvfUfmI0Q" xr:uid="{BBDAA7F2-EB3F-49E6-A3D2-CBE714124F4B}"/>
    <hyperlink ref="B83" r:id="rId142" display="https://www.google.com/url?q=https://csacademy.com/contest/balkan-oi-2017-day-1/&amp;sa=D&amp;ust=1605639831996000&amp;usg=AFQjCNH3WB8gklp9b8MTv26yHrvfUfmI0Q" xr:uid="{C8ED093D-A703-4436-B3C7-B6DFE727E2AB}"/>
    <hyperlink ref="B84" r:id="rId143" display="https://www.google.com/url?q=https://csacademy.com/contest/balkan-oi-2017-day-1/&amp;sa=D&amp;ust=1605639831997000&amp;usg=AFQjCNEkAzsqgBqVrn-Fo3KN2uHZiN3AUg" xr:uid="{DB0CCBF7-3427-4563-A24E-33DC134830F4}"/>
    <hyperlink ref="B85" r:id="rId144" display="https://www.google.com/url?q=https://oj.uz/problem/view/BOI18_election&amp;sa=D&amp;ust=1605639831997000&amp;usg=AFQjCNHQJFXDIvCifhmxrVIvivvqmMTXaQ" xr:uid="{F958CC51-AA38-4989-B217-BF116523C31D}"/>
    <hyperlink ref="F85" r:id="rId145" display="https://www.google.com/url?q=https://github.com/mostafa-saad/MyCompetitiveProgramming/blob/master/Olympiad/Balkan/Balkan-18-election.txt&amp;sa=D&amp;ust=1605639831997000&amp;usg=AFQjCNEemWjAyyXGi05wG6nlaouFbMwuLw" xr:uid="{1EB4EE9C-9CEE-4B94-82C9-E265959FE8B3}"/>
    <hyperlink ref="B86" r:id="rId146" display="https://www.google.com/url?q=https://oj.uz/problem/view/BOI18_homecoming&amp;sa=D&amp;ust=1605639831998000&amp;usg=AFQjCNE7S7m_cEGTzXlfmaVDlGzueMGpmQ" xr:uid="{E8030A1E-56DF-4160-8ED3-9F1CCA84BAD2}"/>
    <hyperlink ref="B87" r:id="rId147" display="https://www.google.com/url?q=https://oj.uz/problem/view/BOI18_minmaxtree&amp;sa=D&amp;ust=1605639831998000&amp;usg=AFQjCNGTmh9oQW7l2WNOYe-F7yE8f4L3iw" xr:uid="{8A6BF117-5496-4FB0-8A0E-65D98C5ABA61}"/>
    <hyperlink ref="F87" r:id="rId148" display="https://www.google.com/url?q=https://github.com/mostafa-saad/MyCompetitiveProgramming/blob/master/Olympiad/Balkan/Balkan-18-minmaxtree.txt&amp;sa=D&amp;ust=1605639831999000&amp;usg=AFQjCNFPev8FhPUHY_U3242LUw-O8xaucA" xr:uid="{B93C2B7E-5715-43E1-8A0D-0C23DB480AE3}"/>
    <hyperlink ref="B88" r:id="rId149" display="https://www.google.com/url?q=https://oj.uz/problem/view/BOI18_parentrises&amp;sa=D&amp;ust=1605639831999000&amp;usg=AFQjCNF4fSw_xhEhlFCyt9F6XedFAk_9ZQ" xr:uid="{4E94123A-1A51-4C07-808D-6658DCD28F2F}"/>
    <hyperlink ref="F88" r:id="rId150" display="https://www.google.com/url?q=https://github.com/mostafa-saad/MyCompetitiveProgramming/blob/master/Olympiad/Balkan/official/2018/&amp;sa=D&amp;ust=1605639831999000&amp;usg=AFQjCNGoHczcJeKaJlgPuDtOja_JqVCJvA" xr:uid="{93115F21-32DB-46C0-9C23-4599AA4CDEC9}"/>
    <hyperlink ref="B89" r:id="rId151" display="https://www.google.com/url?q=https://oj.uz/problem/view/BOI18_popa&amp;sa=D&amp;ust=1605639832000000&amp;usg=AFQjCNHp682-kxmKauY8UMC-WAWgA6mdjQ" xr:uid="{F25E6E1B-BA3C-4D7A-B7C8-C214EE829B05}"/>
    <hyperlink ref="F89" r:id="rId152" display="https://www.google.com/url?q=https://github.com/mostafa-saad/MyCompetitiveProgramming/blob/master/Olympiad/Balkan/Balkan-18-popa.txt&amp;sa=D&amp;ust=1605639832000000&amp;usg=AFQjCNHL1KzGsv_G1mYiFbdBFnCyZKWSEA" xr:uid="{86EC8A1D-8756-4997-A349-FA4318C60CF4}"/>
    <hyperlink ref="B90" r:id="rId153" display="https://www.google.com/url?q=https://oj.uz/problem/view/BOI18_zalmoxis&amp;sa=D&amp;ust=1605639832000000&amp;usg=AFQjCNHQ8m9_Bpd7_mWGLhrXxwczvWwB3w" xr:uid="{20A80D05-B063-454C-90A6-A2C3925A4133}"/>
    <hyperlink ref="F90" r:id="rId154" display="https://www.google.com/url?q=https://github.com/mostafa-saad/MyCompetitiveProgramming/blob/master/Olympiad/Balkan/Balkan-18-zalmoxis.txt&amp;sa=D&amp;ust=1605639832000000&amp;usg=AFQjCNG8gTcQZYVMd7a105WpJ60O834ltQ" xr:uid="{71106A0D-62E7-446D-8665-6C83423E4B60}"/>
    <hyperlink ref="B91" r:id="rId155" display="https://www.google.com/url?q=https://cses.fi/116/list/&amp;sa=D&amp;ust=1605639832002000&amp;usg=AFQjCNFHsvF-lVLbPqjVDvC65a1fwsLLMQ" xr:uid="{3BDEF9B2-CAD0-4322-85BC-94FF0C590876}"/>
    <hyperlink ref="F91" r:id="rId156" display="https://www.google.com/url?q=https://github.com/mostafa-saad/MyCompetitiveProgramming/blob/master/Olympiad/Baltic/official/boi2005_solutions&amp;sa=D&amp;ust=1605639832002000&amp;usg=AFQjCNGNLRRBiGNXGUQPsuyWc0xt6oMPIQ" xr:uid="{B719A143-F903-414F-8C64-D5A207B5A235}"/>
    <hyperlink ref="B92" r:id="rId157" display="https://www.google.com/url?q=https://cses.fi/116/list/&amp;sa=D&amp;ust=1605639832002000&amp;usg=AFQjCNFHsvF-lVLbPqjVDvC65a1fwsLLMQ" xr:uid="{8FE658D2-0CC3-4192-AA92-AB70D61D09C1}"/>
    <hyperlink ref="F92" r:id="rId158" display="https://www.google.com/url?q=https://github.com/mostafa-saad/MyCompetitiveProgramming/blob/master/Olympiad/Baltic/Baltic-05-Bus_Trip.txt&amp;sa=D&amp;ust=1605639832003000&amp;usg=AFQjCNE3Q-LzUKhVTE9iM9FVbWZPqs3vOg" xr:uid="{5F63BDE7-B158-47B4-A78F-1E25C15A7C82}"/>
    <hyperlink ref="B93" r:id="rId159" display="https://www.google.com/url?q=https://cses.fi/115/list/&amp;sa=D&amp;ust=1605639832003000&amp;usg=AFQjCNHrVjncbELkcT0WlWsjGg_8vdXODQ" xr:uid="{2020130F-99D5-48B1-840B-12B366DBF9A4}"/>
    <hyperlink ref="F93" r:id="rId160" display="https://www.google.com/url?q=https://github.com/mostafa-saad/MyCompetitiveProgramming/blob/master/Olympiad/Baltic/official/boi2005_solutions&amp;sa=D&amp;ust=1605639832003000&amp;usg=AFQjCNHxu9izZpYmUjV1WPd_DDRwsxG5IQ" xr:uid="{4CA5278C-76D7-4A15-B55A-CE59CB28DA64}"/>
    <hyperlink ref="B94" r:id="rId161" display="https://www.google.com/url?q=https://cses.fi/115/list/&amp;sa=D&amp;ust=1605639832003000&amp;usg=AFQjCNHrVjncbELkcT0WlWsjGg_8vdXODQ" xr:uid="{928F0E25-95BF-400F-826B-12FA616A6E55}"/>
    <hyperlink ref="F94" r:id="rId162" display="https://www.google.com/url?q=https://github.com/mostafa-saad/MyCompetitiveProgramming/blob/master/Olympiad/JOI/Baltic/Baltic-05-Magic.txt&amp;sa=D&amp;ust=1605639832004000&amp;usg=AFQjCNEvw8eCF1EFskpfV7La5N8x9eu65A" xr:uid="{4259BEB3-BBB9-4616-B8D4-4069B5E7BBA2}"/>
    <hyperlink ref="B95" r:id="rId163" display="https://www.google.com/url?q=https://cses.fi/115/list/&amp;sa=D&amp;ust=1605639832004000&amp;usg=AFQjCNGd1MIpQMxIxLOVWGZnMZqArOGbYw" xr:uid="{0B80183D-B46B-4187-A2B2-D85954012322}"/>
    <hyperlink ref="F95" r:id="rId164" display="https://www.google.com/url?q=https://github.com/mostafa-saad/MyCompetitiveProgramming/blob/master/Olympiad/Baltic/official/boi2005_solutions&amp;sa=D&amp;ust=1605639832004000&amp;usg=AFQjCNHhH9tce4rJAuedluMu3BMIiB8NcA" xr:uid="{AA6FAE78-4DD4-4BC0-ABCA-31A8BDBD1833}"/>
    <hyperlink ref="B96" r:id="rId165" display="https://www.google.com/url?q=https://cses.fi/116/list/&amp;sa=D&amp;ust=1605639832004000&amp;usg=AFQjCNFb02NRfrDrubuKP6x0F2qbeDSqOg" xr:uid="{39C50D1B-9F83-4081-97C9-59BE3767EE7D}"/>
    <hyperlink ref="F96" r:id="rId166" display="https://www.google.com/url?q=https://github.com/mostafa-saad/MyCompetitiveProgramming/blob/master/Olympiad/Baltic/Baltic-05-Polygon.txt&amp;sa=D&amp;ust=1605639832005000&amp;usg=AFQjCNGra1cAyXafibbFfHt-DXCtsLZfCg" xr:uid="{72F30203-5703-4C6B-BE4C-E472939933BF}"/>
    <hyperlink ref="B97" r:id="rId167" display="https://www.google.com/url?q=https://cses.fi/109/list/&amp;sa=D&amp;ust=1605639832005000&amp;usg=AFQjCNGLRUpuUUNNaFFyOMtV42QkDkXNPg" xr:uid="{710A81DC-74F8-4E5C-89D8-904FFDF428B7}"/>
    <hyperlink ref="F97" r:id="rId168" display="https://www.google.com/url?q=https://github.com/mostafa-saad/MyCompetitiveProgramming/blob/master/Olympiad/Baltic/Baltic-06-Bitwise.txt&amp;sa=D&amp;ust=1605639832005000&amp;usg=AFQjCNHKk8PzJaUXcsHTaEItW-Y9qbBmUw" xr:uid="{841ADD3F-EDB4-4373-8903-64ED76449E2E}"/>
    <hyperlink ref="B98" r:id="rId169" display="https://www.google.com/url?q=https://cses.fi/110/list/&amp;sa=D&amp;ust=1605639832005000&amp;usg=AFQjCNFoZ23ulc3qycDTckNDVniLhqLasQ" xr:uid="{DEB4E8E2-E303-4179-8B4C-56A1D87E4399}"/>
    <hyperlink ref="B99" r:id="rId170" display="https://www.google.com/url?q=https://cses.fi/109/list/&amp;sa=D&amp;ust=1605639832006000&amp;usg=AFQjCNFl6X0dTRb8WYBl_CF5DH8cR__2Ww" xr:uid="{C2572410-614F-4698-B47B-2E7B6B7FFC2D}"/>
    <hyperlink ref="B100" r:id="rId171" display="https://www.google.com/url?q=https://cses.fi/109/list/&amp;sa=D&amp;ust=1605639832006000&amp;usg=AFQjCNFl6X0dTRb8WYBl_CF5DH8cR__2Ww" xr:uid="{FB4B3D9D-7D2D-4B8B-8518-B6AFF623F8CA}"/>
    <hyperlink ref="F100" r:id="rId172" display="https://www.google.com/url?q=https://github.com/mostafa-saad/MyCompetitiveProgramming/blob/master/Olympiad/Baltic/Baltic-06-Countries.txt&amp;sa=D&amp;ust=1605639832006000&amp;usg=AFQjCNFVYRyso-tLdRXYOzdR2c6ows6QFg" xr:uid="{C8145E4D-BAF2-428E-B82A-9721035C3801}"/>
    <hyperlink ref="B101" r:id="rId173" display="https://www.google.com/url?q=https://cses.fi/110/list/&amp;sa=D&amp;ust=1605639832007000&amp;usg=AFQjCNHz2v_r6Lfo9nhEpv9m_pG4co-R3Q" xr:uid="{CB89AA32-B44F-4889-8F4C-B411022C972E}"/>
    <hyperlink ref="F101" r:id="rId174" display="https://www.google.com/url?q=https://github.com/mostafa-saad/MyCompetitiveProgramming/blob/master/Olympiad/Baltic/official/boi2006_solutions&amp;sa=D&amp;ust=1605639832007000&amp;usg=AFQjCNFiKMs573HSd3nqsr5NLOiw_x9VQQ" xr:uid="{CB4ECFE0-6ADA-4301-B43D-F33FC54B5D55}"/>
    <hyperlink ref="B102" r:id="rId175" display="https://www.google.com/url?q=https://cses.fi/110/list/&amp;sa=D&amp;ust=1605639832007000&amp;usg=AFQjCNHz2v_r6Lfo9nhEpv9m_pG4co-R3Q" xr:uid="{215A2D65-1BF2-4611-80D4-2F8D1111A373}"/>
    <hyperlink ref="F102" r:id="rId176" display="https://www.google.com/url?q=https://github.com/mostafa-saad/MyCompetitiveProgramming/blob/master/Olympiad/Baltic/Baltic-06-RLE.txt&amp;sa=D&amp;ust=1605639832007000&amp;usg=AFQjCNHEvTOFfC247oCsKLn9wYbIupM21Q" xr:uid="{E03504A4-6E01-418F-9FBF-E77CC89B4ADB}"/>
    <hyperlink ref="B103" r:id="rId177" display="https://www.google.com/url?q=https://cses.fi/111/list/&amp;sa=D&amp;ust=1605639832008000&amp;usg=AFQjCNF_yBs5Qi8sAFd3mOT8B-p7Fa3Dvg" xr:uid="{A5B05467-A0D2-41F3-A48C-608BEAAF9E48}"/>
    <hyperlink ref="F103" r:id="rId178" display="https://www.google.com/url?q=https://github.com/mostafa-saad/MyCompetitiveProgramming/blob/master/Olympiad/Baltic/Baltic-07-Escape.txt&amp;sa=D&amp;ust=1605639832008000&amp;usg=AFQjCNGI7-1mA4h680zipEl2X4n5pmYzTw" xr:uid="{05574178-4F79-4272-8C16-8C3ED953A6AB}"/>
    <hyperlink ref="B104" r:id="rId179" display="https://www.google.com/url?q=https://cses.fi/112/list/&amp;sa=D&amp;ust=1605639832008000&amp;usg=AFQjCNEVZecXvQSAIwgcQneA0Kr7fLE-Pw" xr:uid="{995BEFD6-B223-4DCA-A23A-D86D13F0F446}"/>
    <hyperlink ref="F104" r:id="rId180" display="https://www.google.com/url?q=https://github.com/mostafa-saad/MyCompetitiveProgramming/blob/master/Olympiad/Baltic/Baltic-07-Fence.txt&amp;sa=D&amp;ust=1605639832009000&amp;usg=AFQjCNEMcsmSQ3M0iJpnc3hMijbtygRomw" xr:uid="{98B3FAFF-AFE5-44F7-B432-392757479A97}"/>
    <hyperlink ref="B105" r:id="rId181" display="https://www.google.com/url?q=https://cses.fi/112/list/&amp;sa=D&amp;ust=1605639832009000&amp;usg=AFQjCNFuH_rxHdgVUFeJwXWCBBNL5i4T9w" xr:uid="{48BABE5E-A10A-4AD0-8EF0-E2644C66AE05}"/>
    <hyperlink ref="F105" r:id="rId182" display="https://www.google.com/url?q=https://github.com/mostafa-saad/MyCompetitiveProgramming/blob/master/Olympiad/Baltic/Baltic-07-Points.txt&amp;sa=D&amp;ust=1605639832009000&amp;usg=AFQjCNEN0zGZwFzUgd2Mlqgo3SKYmOWfyw" xr:uid="{9545C352-DEC4-4CA0-A489-B4F2AA54DC24}"/>
    <hyperlink ref="B106" r:id="rId183" display="https://www.google.com/url?q=https://cses.fi/112/list/&amp;sa=D&amp;ust=1605639832009000&amp;usg=AFQjCNFuH_rxHdgVUFeJwXWCBBNL5i4T9w" xr:uid="{37645C5D-7256-4CD5-A438-3E8604AC339F}"/>
    <hyperlink ref="F106" r:id="rId184" display="https://www.google.com/url?q=https://github.com/mostafa-saad/MyCompetitiveProgramming/blob/master/Olympiad/Baltic/Baltic-07-Sequence.txt&amp;sa=D&amp;ust=1605639832010000&amp;usg=AFQjCNEk1T8tWxIKDyST_wgPDXFXtdXAkg" xr:uid="{11640F63-47DC-4660-B2AF-82232A0BD9E8}"/>
    <hyperlink ref="B107" r:id="rId185" display="https://www.google.com/url?q=https://cses.fi/111/list/&amp;sa=D&amp;ust=1605639832010000&amp;usg=AFQjCNE3cyJy6JzMFpR0givp0i3mOJm_oA" xr:uid="{0A1D19F8-82C0-43E9-9B4F-C6524D845919}"/>
    <hyperlink ref="F107" r:id="rId186" display="https://www.google.com/url?q=https://github.com/mostafa-saad/MyCompetitiveProgramming/blob/master/Olympiad/Baltic/official/boi2007_solutions&amp;sa=D&amp;ust=1605639832010000&amp;usg=AFQjCNFsXLhLu1vYVtuQ120F8D82l_Rgbw" xr:uid="{570FD21E-E85D-40DE-927D-57459F170A79}"/>
    <hyperlink ref="B108" r:id="rId187" display="https://www.google.com/url?q=https://cses.fi/111/list/&amp;sa=D&amp;ust=1605639832011000&amp;usg=AFQjCNGDWzbTZBVOzzNhfs3SdHGfIqz-pQ" xr:uid="{428D8EE3-A0A6-41E4-ABE6-485054F69D05}"/>
    <hyperlink ref="F108" r:id="rId188" display="https://www.google.com/url?q=https://github.com/mostafa-saad/MyCompetitiveProgramming/blob/master/Olympiad/Baltic/official/boi2007_solutions&amp;sa=D&amp;ust=1605639832012000&amp;usg=AFQjCNEzjQJaeT3xhr-4ls3_4f5ja5x97A" xr:uid="{F07AAD2C-9A4B-49EA-8FDA-560BFE338D8F}"/>
    <hyperlink ref="B109" r:id="rId189" display="https://www.google.com/url?q=https://cses.fi/114/list/&amp;sa=D&amp;ust=1605639832012000&amp;usg=AFQjCNEitwab1JlnlbSgaVREqnj4W_9xEw" xr:uid="{68463910-F232-4B66-BBC0-C2CA2174A397}"/>
    <hyperlink ref="F109" r:id="rId190" display="https://www.google.com/url?q=https://github.com/mostafa-saad/MyCompetitiveProgramming/blob/master/Olympiad/Baltic/official/boi2008_solutions&amp;sa=D&amp;ust=1605639832012000&amp;usg=AFQjCNFt45ZSP-rYci-OHmmvxdK3623TEg" xr:uid="{AB3B1DD7-4F19-439A-9445-4E2840A24B09}"/>
    <hyperlink ref="B110" r:id="rId191" display="https://www.google.com/url?q=https://cses.fi/113/list/&amp;sa=D&amp;ust=1605639832013000&amp;usg=AFQjCNHduE7COXHx-iQHGkovWhXwWEWc9A" xr:uid="{B6A69C3F-E896-440A-B807-BD3A540FAB60}"/>
    <hyperlink ref="F110" r:id="rId192" display="https://www.google.com/url?q=https://github.com/mostafa-saad/MyCompetitiveProgramming/blob/master/Olympiad/Baltic/Baltic-08-Game.txt&amp;sa=D&amp;ust=1605639832013000&amp;usg=AFQjCNGI52nFWEIuWnYgTsv5Y6xnpmpXhg" xr:uid="{5D607EE4-D98E-403D-995F-2F6663AD1A9F}"/>
    <hyperlink ref="B111" r:id="rId193" display="https://www.google.com/url?q=https://cses.fi/113/list/&amp;sa=D&amp;ust=1605639832013000&amp;usg=AFQjCNHduE7COXHx-iQHGkovWhXwWEWc9A" xr:uid="{1FF02E33-8AED-425E-A7FA-90F871EE966F}"/>
    <hyperlink ref="F111" r:id="rId194" display="https://www.google.com/url?q=https://github.com/mostafa-saad/MyCompetitiveProgramming/blob/master/Olympiad/Baltic/Baltic-08-Gates.txt&amp;sa=D&amp;ust=1605639832013000&amp;usg=AFQjCNFhVVUBgS9qr2Gqav4ajUDC6B09Pw" xr:uid="{0DD7024B-3E82-4A7E-9757-700BE0896E2A}"/>
    <hyperlink ref="B112" r:id="rId195" display="https://www.google.com/url?q=https://cses.fi/114/list/&amp;sa=D&amp;ust=1605639832014000&amp;usg=AFQjCNEZgZCVzgMmpwlky0-Qd7F_7zjduA" xr:uid="{E15B5115-9003-4E69-A208-C8CFD896301D}"/>
    <hyperlink ref="F112" r:id="rId196" display="https://www.google.com/url?q=https://github.com/mostafa-saad/MyCompetitiveProgramming/blob/master/Olympiad/Baltic/Baltic-08-Gloves.txt&amp;sa=D&amp;ust=1605639832014000&amp;usg=AFQjCNG7ODlNWUcuw35f59YjFnF_MlP7HA" xr:uid="{78F897D5-0420-4FDA-9CF3-888006B6A6EA}"/>
    <hyperlink ref="B113" r:id="rId197" display="https://www.google.com/url?q=https://cses.fi/114/list/&amp;sa=D&amp;ust=1605639832014000&amp;usg=AFQjCNEZgZCVzgMmpwlky0-Qd7F_7zjduA" xr:uid="{B29DF3BC-C110-407F-B86F-1DD4EF835BEE}"/>
    <hyperlink ref="F113" r:id="rId198" display="https://www.google.com/url?q=https://github.com/mostafa-saad/MyCompetitiveProgramming/blob/master/Olympiad/Baltic/Baltic-08-Grid.txt&amp;sa=D&amp;ust=1605639832014000&amp;usg=AFQjCNEtHJ7giqQIP1xY2rJKSZr6xypteA" xr:uid="{9323A86A-E9A5-4A4D-BE3D-2DBF10152ACD}"/>
    <hyperlink ref="B114" r:id="rId199" display="https://www.google.com/url?q=https://cses.fi/113/list/&amp;sa=D&amp;ust=1605639832015000&amp;usg=AFQjCNHLYO-bVI3BaQe0cW3Vv3eS47sO_g" xr:uid="{DF455890-EFF6-44E3-B3A5-88CED30953C6}"/>
    <hyperlink ref="F114" r:id="rId200" display="https://www.google.com/url?q=https://github.com/mostafa-saad/MyCompetitiveProgramming/blob/master/Olympiad/Baltic/Baltic-08-Magical.txt&amp;sa=D&amp;ust=1605639832015000&amp;usg=AFQjCNE-xHF1uekWD1ezLDMQDcmqFhGTXQ" xr:uid="{1DD66CC4-582C-4EEA-AF28-83A8527B99D6}"/>
    <hyperlink ref="B115" r:id="rId201" display="https://www.google.com/url?q=https://github.com/mostafa-saad/MyCompetitiveProgramming/blob/master/Olympiad/Baltic/Baltic-09-Beetles.txt&amp;sa=D&amp;ust=1605639832015000&amp;usg=AFQjCNFjIuQwmRT6ehn8JtL4Ka_S5jq-Lw" xr:uid="{4FB4A459-5AD4-4615-9DD6-C67D6ACADF46}"/>
    <hyperlink ref="F115" r:id="rId202" display="https://www.google.com/url?q=https://github.com/mostafa-saad/MyCompetitiveProgramming/blob/master/Olympiad/Baltic/Baltic-09-Beetles.txt&amp;sa=D&amp;ust=1605639832015000&amp;usg=AFQjCNFjIuQwmRT6ehn8JtL4Ka_S5jq-Lw" xr:uid="{6CAB430A-7F78-4041-ACF7-B693FE2FE5BB}"/>
    <hyperlink ref="B116" r:id="rId203" display="https://www.google.com/url?q=https://cses.fi/107/list/&amp;sa=D&amp;ust=1605639832016000&amp;usg=AFQjCNHOMa_GKMTODNN-_jqvPiyhvdHoog" xr:uid="{96385AA3-2FB5-487F-9B8E-64679094021B}"/>
    <hyperlink ref="F116" r:id="rId204" display="https://www.google.com/url?q=https://github.com/Szawinis/CompetitiveProgramming/blob/master/Olympiad/Baltic/Baltic09-candy.cpp&amp;sa=D&amp;ust=1605639832016000&amp;usg=AFQjCNF_2cTE-tsVuDIWAEZA7Xsf2gU-RQ" xr:uid="{D60907DA-F9E9-4D6A-AADF-090C4DE83D51}"/>
    <hyperlink ref="B117" r:id="rId205" display="https://www.google.com/url?q=https://cses.fi/108/list/&amp;sa=D&amp;ust=1605639832016000&amp;usg=AFQjCNH8YuQjm48QqWYAF8gM5udguEjB5A" xr:uid="{E6DD8389-5241-41D6-9898-FD61808FEA55}"/>
    <hyperlink ref="F117" r:id="rId206" display="https://www.google.com/url?q=https://github.com/mostafa-saad/MyCompetitiveProgramming/blob/master/Olympiad/Baltic/Baltic-09-Monument.txt&amp;sa=D&amp;ust=1605639832017000&amp;usg=AFQjCNEdA6yTNpv5krQYzFvFnUFWGV9C1w" xr:uid="{465EE3B1-D55F-4FD5-AC70-811287604EBF}"/>
    <hyperlink ref="B118" r:id="rId207" display="https://www.google.com/url?q=https://cses.fi/108/list/&amp;sa=D&amp;ust=1605639832017000&amp;usg=AFQjCNHIdYCps2rGo0SD7827kQzoy-qw8w" xr:uid="{A863B6D7-627F-412F-BE66-CD27026FEAF7}"/>
    <hyperlink ref="F118" r:id="rId208" display="https://www.google.com/url?q=https://github.com/mostafa-saad/MyCompetitiveProgramming/blob/master/Olympiad/Baltic/Baltic-09-Rectangle.txt&amp;sa=D&amp;ust=1605639832017000&amp;usg=AFQjCNEBOvNXJZ4T-2yPTbNgEC8D6dN5Aw" xr:uid="{13312C67-B985-4046-A1F3-8D06A0612E7C}"/>
    <hyperlink ref="B119" r:id="rId209" display="https://www.google.com/url?q=https://cses.fi/107/list/&amp;sa=D&amp;ust=1605639832017000&amp;usg=AFQjCNG0Qa7q6vm1DX4RKhCjCZRn_OD8dw" xr:uid="{78F5E109-5571-444A-8802-799C57DDACC4}"/>
    <hyperlink ref="F119" r:id="rId210" display="https://www.google.com/url?q=https://github.com/mostafa-saad/MyCompetitiveProgramming/blob/master/Olympiad/Baltic/Baltic-09-Subway.txt&amp;sa=D&amp;ust=1605639832017000&amp;usg=AFQjCNFE5X_mWn9SStmgiTVGULyMGM9Ttg" xr:uid="{C4B87C5F-C8A5-4FBA-9175-13A58A514FC3}"/>
    <hyperlink ref="B120" r:id="rId211" display="https://www.google.com/url?q=https://cses.fi/108/list/&amp;sa=D&amp;ust=1605639832018000&amp;usg=AFQjCNG_4Rl91fqOlD0Ns2JwRO_oVYj3Dw" xr:uid="{215B0498-B116-45C6-BCDF-2B4AC1D502D5}"/>
    <hyperlink ref="F120" r:id="rId212" display="https://www.google.com/url?q=https://github.com/mostafa-saad/MyCompetitiveProgramming/blob/master/Olympiad/Baltic/Baltic-09-Triangulate.txt&amp;sa=D&amp;ust=1605639832018000&amp;usg=AFQjCNGC7JFIDTFojy1tNqxf9bUDMHO8xA" xr:uid="{A9FBC9FC-8CF8-47A6-96CC-C238E6E084D1}"/>
    <hyperlink ref="B121" r:id="rId213" display="https://www.google.com/url?q=https://cses.fi/105/list/&amp;sa=D&amp;ust=1605639832018000&amp;usg=AFQjCNHYpbVuXgaXV6SUmknK4YmmMkHWlw" xr:uid="{7F857A7B-F80B-4F90-930F-F9064EF539DB}"/>
    <hyperlink ref="F121" r:id="rId214" display="https://www.google.com/url?q=https://github.com/mostafa-saad/MyCompetitiveProgramming/blob/master/Olympiad/Baltic/Baltic-10-Bears.txt&amp;sa=D&amp;ust=1605639832018000&amp;usg=AFQjCNFmyKRC4AyEnLUDy_ELBOgcEXUU2w" xr:uid="{7C7ABB9C-079A-4B75-B80F-8F7808A45912}"/>
    <hyperlink ref="B122" r:id="rId215" display="https://www.google.com/url?q=https://cses.fi/106/list/&amp;sa=D&amp;ust=1605639832019000&amp;usg=AFQjCNEnF1pbPiRTaKa3o1ckd6KnpVM0ug" xr:uid="{B5A71B60-0FED-41A6-8599-C3420CC00550}"/>
    <hyperlink ref="F122" r:id="rId216" display="https://www.google.com/url?q=https://github.com/mostafa-saad/MyCompetitiveProgramming/blob/master/Olympiad/Baltic/Baltic-10-Bins.txt&amp;sa=D&amp;ust=1605639832019000&amp;usg=AFQjCNEtdbzfXmwduo5NAtwqMbPUWJ8Vdw" xr:uid="{523E33A5-B0BD-431A-9302-1D1BCB40B395}"/>
    <hyperlink ref="B123" r:id="rId217" display="https://www.google.com/url?q=https://cses.fi/106/list/&amp;sa=D&amp;ust=1605639832019000&amp;usg=AFQjCNEnF1pbPiRTaKa3o1ckd6KnpVM0ug" xr:uid="{18A02B70-5863-4338-90A0-C59ADC9716F5}"/>
    <hyperlink ref="F123" r:id="rId218" display="https://www.google.com/url?q=https://github.com/mostafa-saad/MyCompetitiveProgramming/blob/master/Olympiad/Baltic/Baltic-10-Candies.txt&amp;sa=D&amp;ust=1605639832019000&amp;usg=AFQjCNHQDJeoRm421PCwYKs5cZe85Wtjbg" xr:uid="{E6C7BDCB-9C38-4D32-82B3-A3B82D9102E0}"/>
    <hyperlink ref="B124" r:id="rId219" display="https://www.google.com/url?q=https://cses.fi/105/list/&amp;sa=D&amp;ust=1605639832020000&amp;usg=AFQjCNG7tvu9J73dv6GXiciUYq_jHBqqwQ" xr:uid="{2742272B-DB60-48C6-A6FF-8104E8D249D8}"/>
    <hyperlink ref="F124" r:id="rId220" display="https://www.google.com/url?q=https://github.com/mostafa-saad/MyCompetitiveProgramming/blob/master/Olympiad/Baltic/official/boi2010_solutions&amp;sa=D&amp;ust=1605639832020000&amp;usg=AFQjCNFr3kqziL9ttuPr9B5V2cRTpPbbuA" xr:uid="{BE8100F6-2C3E-4FF6-9626-BE8039504F36}"/>
    <hyperlink ref="B125" r:id="rId221" display="https://www.google.com/url?q=https://cses.fi/106/list/&amp;sa=D&amp;ust=1605639832021000&amp;usg=AFQjCNECBHAhDtplsW7tjf_2-Csy3B5GzA" xr:uid="{3D6B702C-0F84-44CB-A62B-2B389865C8C2}"/>
    <hyperlink ref="F125" r:id="rId222" display="https://www.google.com/url?q=https://github.com/mostafa-saad/MyCompetitiveProgramming/blob/master/Olympiad/Baltic/official/boi2010_solutions&amp;sa=D&amp;ust=1605639832021000&amp;usg=AFQjCNEBtMARb-eXmLuPopk4Dwf-vt9MpA" xr:uid="{366926AF-11B8-4443-B49F-57FE520FAB5A}"/>
    <hyperlink ref="B126" r:id="rId223" display="https://www.google.com/url?q=https://cses.fi/105/list/&amp;sa=D&amp;ust=1605639832022000&amp;usg=AFQjCNGUIs2aCzHXLVGwmWc8SUDYIF7-Eg" xr:uid="{B52C9AC4-B765-4EC2-A2AA-6360F1DECC58}"/>
    <hyperlink ref="F126" r:id="rId224" display="https://www.google.com/url?q=https://github.com/mostafa-saad/MyCompetitiveProgramming/blob/master/Olympiad/Baltic/Baltic-10-PCB.txt&amp;sa=D&amp;ust=1605639832022000&amp;usg=AFQjCNFxIxbBKlqY1cRmSP-MYCi19R9aSw" xr:uid="{C91F2174-C767-4376-B819-8E2B1CCF9481}"/>
    <hyperlink ref="B127" r:id="rId225" display="https://www.google.com/url?q=https://oj.uz/problem/view/BOI11_grow&amp;sa=D&amp;ust=1605639832022000&amp;usg=AFQjCNEFjhsntctk0cQbKDpHaqZhyIuPMQ" xr:uid="{86286F9E-B8B0-43C4-827F-B9F684AAC0FB}"/>
    <hyperlink ref="F127" r:id="rId226" display="https://www.google.com/url?q=https://github.com/mostafa-saad/MyCompetitiveProgramming/blob/master/Olympiad/Baltic/Baltic-11-grow.txt&amp;sa=D&amp;ust=1605639832022000&amp;usg=AFQjCNH57i4Fqn2eAxuj2G1K6aci3wvB-A" xr:uid="{F14416F0-0393-4D28-9B14-31D7F57B0771}"/>
    <hyperlink ref="B128" r:id="rId227" display="https://www.google.com/url?q=https://cses.fi/100/list/&amp;sa=D&amp;ust=1605639832023000&amp;usg=AFQjCNEyjDvatqo5p3rsLfc70p_pTXnV1g" xr:uid="{E15F116C-B8C8-48E6-87C5-6C9F55C4C3F2}"/>
    <hyperlink ref="F128" r:id="rId228" display="https://www.google.com/url?q=https://github.com/mostafa-saad/MyCompetitiveProgramming/blob/master/Olympiad/Baltic/official/boi2011_solutions&amp;sa=D&amp;ust=1605639832023000&amp;usg=AFQjCNEBfcABWpvdWUJWR3zFCicOhBiTnA" xr:uid="{B1FD6D4C-9FD9-4796-B503-4D24C28D2588}"/>
    <hyperlink ref="B129" r:id="rId229" display="https://www.google.com/url?q=https://cses.fi/100/list/&amp;sa=D&amp;ust=1605639832023000&amp;usg=AFQjCNEyjDvatqo5p3rsLfc70p_pTXnV1g" xr:uid="{E91D01DD-9F1E-4116-A1A7-DCC36555063F}"/>
    <hyperlink ref="F129" r:id="rId230" display="https://www.google.com/url?q=https://github.com/mostafa-saad/MyCompetitiveProgramming/blob/master/Olympiad/Baltic/Baltic-11-Lamp.txt&amp;sa=D&amp;ust=1605639832023000&amp;usg=AFQjCNFYBOFg9dI47b4LbmtrQd8INn2mjg" xr:uid="{C5B1F78F-B03E-4806-A318-811CE50105A7}"/>
    <hyperlink ref="B130" r:id="rId231" display="https://www.google.com/url?q=https://cses.fi/101/list/&amp;sa=D&amp;ust=1605639832024000&amp;usg=AFQjCNFWd8HGEcqR4ZQMkbiJZCYkVcoFug" xr:uid="{A3ECC64E-AC03-449B-A3FD-C5B13CDB7E24}"/>
    <hyperlink ref="F130" r:id="rId232" display="https://www.google.com/url?q=https://github.com/mostafa-saad/MyCompetitiveProgramming/blob/master/Olympiad/Baltic/Baltic-11-Meetings.txt&amp;sa=D&amp;ust=1605639832024000&amp;usg=AFQjCNFL5HNlS0QziUAVEdwpGhVRKd1qJQ" xr:uid="{EC49E2FF-9342-4B35-96E6-9A9C48E7119B}"/>
    <hyperlink ref="B131" r:id="rId233" display="https://www.google.com/url?q=https://cses.fi/101/list/&amp;sa=D&amp;ust=1605639832024000&amp;usg=AFQjCNFWd8HGEcqR4ZQMkbiJZCYkVcoFug" xr:uid="{EBDA3054-699E-46C1-B5CD-322331BE7B24}"/>
    <hyperlink ref="F131" r:id="rId234" display="https://www.google.com/url?q=https://github.com/mostafa-saad/MyCompetitiveProgramming/blob/master/Olympiad/Baltic/Baltic-11-Mirroring.txt&amp;sa=D&amp;ust=1605639832024000&amp;usg=AFQjCNE6D3Q7mslA3thWGnb03HLau1q3nA" xr:uid="{C4D571C4-B92A-4804-8F72-2AD981C6E04B}"/>
    <hyperlink ref="B132" r:id="rId235" display="https://www.google.com/url?q=https://cses.fi/101/list/&amp;sa=D&amp;ust=1605639832025000&amp;usg=AFQjCNGrYp8jZRtQBvMJ_KIp2iHJkUnb7A" xr:uid="{765624ED-282B-468D-BC4C-4AECF4658756}"/>
    <hyperlink ref="F132" r:id="rId236" display="https://www.google.com/url?q=https://github.com/mostafa-saad/MyCompetitiveProgramming/blob/master/Olympiad/Baltic/official/boi2011_solutions&amp;sa=D&amp;ust=1605639832025000&amp;usg=AFQjCNEGFBlbVECZC-fAf0EWmGEKuWrGCw" xr:uid="{949B963E-39CE-43D1-B864-151FA071D022}"/>
    <hyperlink ref="B133" r:id="rId237" display="https://www.google.com/url?q=https://cses.fi/101/list/&amp;sa=D&amp;ust=1605639832025000&amp;usg=AFQjCNGrYp8jZRtQBvMJ_KIp2iHJkUnb7A" xr:uid="{712C2B43-C965-4E83-9FE3-1D68977FCF44}"/>
    <hyperlink ref="F133" r:id="rId238" display="https://www.google.com/url?q=https://github.com/mostafa-saad/MyCompetitiveProgramming/blob/master/Olympiad/Baltic/official/boi2011_solutions&amp;sa=D&amp;ust=1605639832025000&amp;usg=AFQjCNEGFBlbVECZC-fAf0EWmGEKuWrGCw" xr:uid="{BE07D9F1-FB10-4EBE-B23F-8B4BAC3A4359}"/>
    <hyperlink ref="B134" r:id="rId239" display="https://www.google.com/url?q=https://oj.uz/problem/view/BOI11_grow&amp;sa=D&amp;ust=1605639832026000&amp;usg=AFQjCNEOb5p4e9v9dY0gPj7seGxobsF-cA" xr:uid="{AB8993CE-D973-4764-99C7-25C82DA0CA8C}"/>
    <hyperlink ref="B135" r:id="rId240" display="https://www.google.com/url?q=https://cses.fi/100/list/&amp;sa=D&amp;ust=1605639832026000&amp;usg=AFQjCNFUpidkeNyHRkBPb64FVuUNoPW7Wg" xr:uid="{663C0247-56F4-4286-9498-C0CDE88874B9}"/>
    <hyperlink ref="F135" r:id="rId241" display="https://www.google.com/url?q=https://github.com/mostafa-saad/MyCompetitiveProgramming/blob/master/Olympiad/Baltic/Baltic-11-Vikings.txt&amp;sa=D&amp;ust=1605639832026000&amp;usg=AFQjCNE__N94nu5ycvUBXLTzcnNOQVqBhA" xr:uid="{0C473F25-544E-47B9-9A47-8E0A9BEA05BD}"/>
    <hyperlink ref="B136" r:id="rId242" display="https://www.google.com/url?q=https://cses.fi/98/list/&amp;sa=D&amp;ust=1605639832027000&amp;usg=AFQjCNHqf-BiQ-v1sE44OKH-qlaC4kTwyg" xr:uid="{64EFF405-C288-47AD-8E64-FBBD09496449}"/>
    <hyperlink ref="F136" r:id="rId243" display="https://www.google.com/url?q=https://github.com/mostafa-saad/MyCompetitiveProgramming/blob/master/Olympiad/Baltic/Baltic-12-Brackets.txt&amp;sa=D&amp;ust=1605639832027000&amp;usg=AFQjCNFNF16eU83sKActIzt789k0fF-cug" xr:uid="{AA4A12A6-698B-4BE6-8A39-80AC0D62290A}"/>
    <hyperlink ref="B137" r:id="rId244" display="https://www.google.com/url?q=https://cses.fi/99/list/&amp;sa=D&amp;ust=1605639832027000&amp;usg=AFQjCNEXZu_X5Qq2wZV33McGnyP7ikRctA" xr:uid="{78D78FEE-71EF-4B99-A06C-5EAB45DC90A8}"/>
    <hyperlink ref="F137" r:id="rId245" display="https://www.google.com/url?q=https://github.com/mostafa-saad/MyCompetitiveProgramming/blob/master/Olympiad/Baltic/Baltic-12-Fire.txt&amp;sa=D&amp;ust=1605639832027000&amp;usg=AFQjCNFR1z0Pz9DrXzWtsxov8hDt1nHR2w" xr:uid="{3421896F-8017-4D17-86DB-B8967F133226}"/>
    <hyperlink ref="B138" r:id="rId246" display="https://www.google.com/url?q=https://cses.fi/99/list/&amp;sa=D&amp;ust=1605639832027000&amp;usg=AFQjCNEXZu_X5Qq2wZV33McGnyP7ikRctA" xr:uid="{EC715CB5-142B-401E-9723-5157EC06FF05}"/>
    <hyperlink ref="F138" r:id="rId247" display="https://www.google.com/url?q=https://github.com/mostafa-saad/MyCompetitiveProgramming/blob/master/Olympiad/Baltic/Baltic-12-Melody.txt&amp;sa=D&amp;ust=1605639832027000&amp;usg=AFQjCNEBveFYF47aTmgBrQ5lO3f401GOkQ" xr:uid="{298C3BDB-B2CA-4A97-8ED4-F43D470B4618}"/>
    <hyperlink ref="B139" r:id="rId248" display="https://www.google.com/url?q=https://oj.uz/problem/view/BOI12_mobile&amp;sa=D&amp;ust=1605639832028000&amp;usg=AFQjCNHddkniSXLrBdE8cr-DoiXghdt4sA" xr:uid="{ED761A21-73DA-495F-A257-B3EBB0A04248}"/>
    <hyperlink ref="F139" r:id="rId249" display="https://www.google.com/url?q=https://github.com/mostafa-saad/MyCompetitiveProgramming/blob/master/Olympiad/Baltic/Baltic-12-mobile.txt&amp;sa=D&amp;ust=1605639832028000&amp;usg=AFQjCNE97r0I6CpWft-IAECHwp6WuvOXsw" xr:uid="{B249C1F4-F9D4-48F2-B865-9C5959639050}"/>
    <hyperlink ref="B140" r:id="rId250" display="https://www.google.com/url?q=https://cses.fi/98/list/&amp;sa=D&amp;ust=1605639832028000&amp;usg=AFQjCNEI8nS7wAvWGNPGQ-06U5Iu9kLSFw" xr:uid="{D6A34DF5-6DEC-4426-A7EC-F5199B82A7B1}"/>
    <hyperlink ref="F140" r:id="rId251" display="https://www.google.com/url?q=https://github.com/mostafa-saad/MyCompetitiveProgramming/blob/master/Olympiad/Baltic/Baltic-12-Peaks.txt&amp;sa=D&amp;ust=1605639832028000&amp;usg=AFQjCNH38j2Sazajr6rkLfkvezWGPKTDZA" xr:uid="{D39B3DEE-5B3D-4FB2-9DF7-88C4B57DE2CD}"/>
    <hyperlink ref="B141" r:id="rId252" display="https://www.google.com/url?q=https://cses.fi/99/list/&amp;sa=D&amp;ust=1605639832028000&amp;usg=AFQjCNFmGJ2C1QROt6L-T8oiF-WF6Yn9dA" xr:uid="{292E861D-879C-44A5-A371-185F99132349}"/>
    <hyperlink ref="B142" r:id="rId253" display="https://www.google.com/url?q=https://oj.uz/problem/view/BOI13_ballmachine&amp;sa=D&amp;ust=1605639832029000&amp;usg=AFQjCNGeoAApyEueJykSAxwiGzi-ppajUg" xr:uid="{11B3A6FC-AD98-4EBB-9AE2-8D4D2B6F5B46}"/>
    <hyperlink ref="F142" r:id="rId254" display="https://www.google.com/url?q=https://github.com/SpeedOfMagic/CompetitiveProgramming/blob/master/Baltic/13-ballmachine.cpp&amp;sa=D&amp;ust=1605639832030000&amp;usg=AFQjCNGduMK2Lf4zSBruGxxVnPbDHu79Ag" xr:uid="{BF731C37-5F13-4A90-8841-AF7989E51EA0}"/>
    <hyperlink ref="B143" r:id="rId255" display="https://www.google.com/url?q=https://oj.uz/problem/view/BOI13_brunhilda&amp;sa=D&amp;ust=1605639832030000&amp;usg=AFQjCNGvc4Aj6ve6HqEFYPg7FeuWioK1EA" xr:uid="{3EEBF49F-64B4-45FA-B9BD-6F33E46BD2CA}"/>
    <hyperlink ref="F143" r:id="rId256" display="https://www.google.com/url?q=https://github.com/mostafa-saad/MyCompetitiveProgramming/blob/master/Olympiad/Baltic/Baltic-13-brunhilda.txt&amp;sa=D&amp;ust=1605639832030000&amp;usg=AFQjCNHEFHVHFTu5_m_Ldok_4p42oGlPFw" xr:uid="{B1648D85-38BF-4191-AC0D-244B0080B0C2}"/>
    <hyperlink ref="B144" r:id="rId257" display="https://www.google.com/url?q=https://oj.uz/problem/view/BOI13_numbers&amp;sa=D&amp;ust=1605639832030000&amp;usg=AFQjCNFg68fh04_N7L-Adb3lP76gOKsOaQ" xr:uid="{9A51DB07-76F4-4A41-9D55-66E5525AB185}"/>
    <hyperlink ref="F144" r:id="rId258" display="https://www.google.com/url?q=https://github.com/mostafa-saad/MyCompetitiveProgramming/blob/master/Olympiad/Baltic/Baltic-13-numbers.txt&amp;sa=D&amp;ust=1605639832030000&amp;usg=AFQjCNHj4qSaXZ6NiVwGXAyx0MHp61IVcw" xr:uid="{71D38796-0151-47E6-9050-D4493D134D17}"/>
    <hyperlink ref="B145" r:id="rId259" display="https://www.google.com/url?q=https://oj.uz/problem/view/BOI13_pipes&amp;sa=D&amp;ust=1605639832031000&amp;usg=AFQjCNEGUxkiPjJvEOABtKuTIzxRJDHisQ" xr:uid="{73963413-F5A2-4BE8-B8D8-0802D501A121}"/>
    <hyperlink ref="F145" r:id="rId260" display="https://www.google.com/url?q=https://github.com/mostafa-saad/MyCompetitiveProgramming/blob/master/Olympiad/Baltic/Baltic-13-pipes.txt&amp;sa=D&amp;ust=1605639832031000&amp;usg=AFQjCNGcHtm1PTPbq27zCa8LO1bL5eVVtg" xr:uid="{D724B99A-835B-48DF-B11E-199764D968E6}"/>
    <hyperlink ref="B146" r:id="rId261" display="https://www.google.com/url?q=https://oj.uz/problem/view/BOI13_tracks&amp;sa=D&amp;ust=1605639832031000&amp;usg=AFQjCNHM9y_TbgNr674hEzvJOPSmVE5aNw" xr:uid="{CA4D1869-F15F-4A35-ABC1-0AEDED42B1AC}"/>
    <hyperlink ref="F146" r:id="rId262" display="https://www.google.com/url?q=https://github.com/mostafa-saad/MyCompetitiveProgramming/blob/master/Olympiad/Baltic/Baltic-13-tracks.txt&amp;sa=D&amp;ust=1605639832031000&amp;usg=AFQjCNGShzMwFTXeBagZg8eMFv1zp7WMfQ" xr:uid="{E7B46885-D795-43DF-AC44-59BDBD97E465}"/>
    <hyperlink ref="B147" r:id="rId263" display="https://www.google.com/url?q=https://oj.uz/problem/view/BOI13_vim&amp;sa=D&amp;ust=1605639832031000&amp;usg=AFQjCNHFOLergtWT4ZKP5aUB83V7hDEhNw" xr:uid="{924DF67E-B733-41EC-8CC7-62D262D2E82A}"/>
    <hyperlink ref="F147" r:id="rId264" display="https://www.google.com/url?q=https://github.com/mostafa-saad/MyCompetitiveProgramming/blob/master/Olympiad/Baltic/Baltic-13-vim.txt&amp;sa=D&amp;ust=1605639832032000&amp;usg=AFQjCNEV6Cl9qgDct0faOjBPQbR-f1aa3g" xr:uid="{D057C987-FE98-4492-8388-7E9BE8D873B3}"/>
    <hyperlink ref="B148" r:id="rId265" display="https://www.google.com/url?q=https://oj.uz/problem/view/BOI14_coprobber&amp;sa=D&amp;ust=1605639832032000&amp;usg=AFQjCNFcMvWj1a5YowqgWCD_LgOI5cXY8A" xr:uid="{96B970DC-3372-405C-93AD-AB9A9D260B84}"/>
    <hyperlink ref="F148" r:id="rId266" display="https://www.google.com/url?q=https://github.com/mostafa-saad/MyCompetitiveProgramming/blob/master/Olympiad/Baltic/Baltic-14-coprobber.txt&amp;sa=D&amp;ust=1605639832032000&amp;usg=AFQjCNHAqw93jXCm7PirgWSUEO5l8wJY1A" xr:uid="{D7CF8204-23C2-451F-8939-83589818D53A}"/>
    <hyperlink ref="B149" r:id="rId267" display="https://www.google.com/url?q=https://oj.uz/problem/view/BOI14_demarcation&amp;sa=D&amp;ust=1605639832032000&amp;usg=AFQjCNHnBaC1jtqX-DRS5ClNJqxS0fZrfA" xr:uid="{6FD9EBA4-0E33-4A77-9DE4-E012741EDEFF}"/>
    <hyperlink ref="F149" r:id="rId268" display="https://www.google.com/url?q=https://github.com/mostafa-saad/MyCompetitiveProgramming/blob/master/Olympiad/Baltic/official/boi2014_solutions&amp;sa=D&amp;ust=1605639832032000&amp;usg=AFQjCNFAdxGmwiDH-sqWtbhv8usE-xDimA" xr:uid="{41FA08EB-81AB-49E3-8BAF-09B26F9A0FC6}"/>
    <hyperlink ref="B150" r:id="rId269" display="https://www.google.com/url?q=https://oj.uz/problem/view/BOI14_friends&amp;sa=D&amp;ust=1605639832033000&amp;usg=AFQjCNHbTXEslVYHn1NnhQ6j2VOgKMmGfQ" xr:uid="{17F10FE5-E299-41CE-BF66-5098C05A17B3}"/>
    <hyperlink ref="F150" r:id="rId270" display="https://www.google.com/url?q=https://github.com/SpeedOfMagic/CompetitiveProgramming/blob/master/Baltic/14-friends.cpp&amp;sa=D&amp;ust=1605639832033000&amp;usg=AFQjCNF-xHbAe5yhSDHEpMHPfnRsfcLFVw" xr:uid="{9E83E522-D59E-4CCA-8DA4-EC2DE9B056AF}"/>
    <hyperlink ref="B151" r:id="rId271" display="https://www.google.com/url?q=https://oj.uz/problem/view/BOI14_network&amp;sa=D&amp;ust=1605639832033000&amp;usg=AFQjCNE92skM43Z8EdR4nMkrTZCIm0eGUA" xr:uid="{1EA4393C-CBF0-4704-9F72-F0DFA5BC9900}"/>
    <hyperlink ref="F151" r:id="rId272" display="https://www.google.com/url?q=https://github.com/mushisgosuuu/oj-solutions/blob/master/BOI/network2014.cpp&amp;sa=D&amp;ust=1605639832033000&amp;usg=AFQjCNFJ4clqhtSVgl2JsXAk8pGxnYlM4w" xr:uid="{AC0A51E9-DD09-4A61-9C21-6E1C330CB487}"/>
    <hyperlink ref="B152" r:id="rId273" display="https://www.google.com/url?q=https://oj.uz/problem/view/BOI14_portals&amp;sa=D&amp;ust=1605639832033000&amp;usg=AFQjCNHZ0Wapmdid3I9LrNORzZrrKQUqiA" xr:uid="{25BF29CA-B3D1-4C29-8F7B-B1AF03D19D7F}"/>
    <hyperlink ref="F152" r:id="rId274" display="https://www.google.com/url?q=https://github.com/tmwilliamlin168/CompetitiveProgramming/blob/master/BtOI/14-Portals.cpp&amp;sa=D&amp;ust=1605639832034000&amp;usg=AFQjCNH5VGhsW8aKbfFwCXFIA14kYotUBQ" xr:uid="{3B9484E4-9436-4F3E-BFF5-826609CBB4BE}"/>
    <hyperlink ref="B153" r:id="rId275" display="https://www.google.com/url?q=https://oj.uz/problem/view/BOI14_postmen&amp;sa=D&amp;ust=1605639832034000&amp;usg=AFQjCNG5g0PtjBLFU89veHSEXKC3VYo6NA" xr:uid="{FCCB43D3-12EF-4F53-B96E-7C44560F75B9}"/>
    <hyperlink ref="F153" r:id="rId276" display="https://www.google.com/url?q=https://github.com/mostafa-saad/MyCompetitiveProgramming/blob/master/Olympiad/Baltic/Baltic-14-postmen.txt&amp;sa=D&amp;ust=1605639832034000&amp;usg=AFQjCNF6f_R3GV1pVh8kKZtgPcXWjWXf_A" xr:uid="{C1149732-3414-4710-8BD4-B9795839A830}"/>
    <hyperlink ref="B154" r:id="rId277" display="https://www.google.com/url?q=https://oj.uz/problem/view/BOI14_sequence&amp;sa=D&amp;ust=1605639832034000&amp;usg=AFQjCNG925xE8D0PGa-Ox01hn4iT31iVaQ" xr:uid="{494A2390-C4AF-4750-A7D7-0FBF8CAE26D5}"/>
    <hyperlink ref="F154" r:id="rId278" display="https://www.google.com/url?q=https://github.com/mostafa-saad/MyCompetitiveProgramming/blob/master/Olympiad/Baltic/Baltic-14-sequence.txt&amp;sa=D&amp;ust=1605639832034000&amp;usg=AFQjCNF9hg_eT-sWVR5qE9OsH0TmENHzCQ" xr:uid="{FF9BFF3E-116B-470E-9003-F7BB3C9AB7D1}"/>
    <hyperlink ref="B155" r:id="rId279" display="https://www.google.com/url?q=https://oj.uz/problem/view/BOI15_bow&amp;sa=D&amp;ust=1605639832035000&amp;usg=AFQjCNEJstW7F3aT4vH1wrSZWtqm19DXog" xr:uid="{F99A63D6-E1FA-47B2-9CA8-27F6A0709E8C}"/>
    <hyperlink ref="F155" r:id="rId280" display="https://www.google.com/url?q=https://github.com/mostafa-saad/MyCompetitiveProgramming/blob/master/Olympiad/Baltic/Baltic-15-bow.txt&amp;sa=D&amp;ust=1605639832035000&amp;usg=AFQjCNEpihPknHOAEwHfWt5gGfgwV6WOIQ" xr:uid="{8063E3A0-D8FB-4A36-AE65-B48B1A001B48}"/>
    <hyperlink ref="B156" r:id="rId281" display="https://www.google.com/url?q=https://oj.uz/problem/view/BOI15_edi&amp;sa=D&amp;ust=1605639832035000&amp;usg=AFQjCNGIrzrKv5zV8MNdACkbGxx4CtGSCw" xr:uid="{98E69A5C-4535-432F-8FE3-AAA0FEFA56AB}"/>
    <hyperlink ref="F156" r:id="rId282" display="https://www.google.com/url?q=https://github.com/mostafa-saad/MyCompetitiveProgramming/blob/master/Olympiad/Baltic/Baltic-15-edi.txt&amp;sa=D&amp;ust=1605639832035000&amp;usg=AFQjCNF544qZsxn82bGLMhdWPvK7Bji3JQ" xr:uid="{EDFB63FA-B4A3-4DBF-B76F-F42FF0CDEC35}"/>
    <hyperlink ref="B157" r:id="rId283" display="https://www.google.com/url?q=https://oj.uz/problem/view/BOI15_fil&amp;sa=D&amp;ust=1605639832035000&amp;usg=AFQjCNEZmLb4fgu_LoHntuw9RhOt6x9KKg" xr:uid="{560B0702-3EB4-4EB7-905B-50CE9992E667}"/>
    <hyperlink ref="F157" r:id="rId284" display="https://www.google.com/url?q=https://github.com/mostafa-saad/MyCompetitiveProgramming/blob/master/Olympiad/Baltic/Baltic-15-fil.txt&amp;sa=D&amp;ust=1605639832036000&amp;usg=AFQjCNG36-_42nqbw-6baYM3Xm-rrqF-hQ" xr:uid="{5438A780-06F7-4181-8E7A-7EE23A013028}"/>
    <hyperlink ref="B158" r:id="rId285" display="https://www.google.com/url?q=https://oj.uz/problem/view/BOI15_hac&amp;sa=D&amp;ust=1605639832036000&amp;usg=AFQjCNFGGCRJXWPfYcfzoqRA9oBVY6P31Q" xr:uid="{D018372E-DA1A-4A62-9438-4765418DA87F}"/>
    <hyperlink ref="F158" r:id="rId286" display="https://www.google.com/url?q=https://github.com/mostafa-saad/MyCompetitiveProgramming/blob/master/Olympiad/Baltic/Baltic-15-hac.txt&amp;sa=D&amp;ust=1605639832036000&amp;usg=AFQjCNHOBfWhX6qmADVPtyLdoDKjP_BxtQ" xr:uid="{848B51CC-9F82-4D6C-B8E2-64DB72E0B607}"/>
    <hyperlink ref="B159" r:id="rId287" display="https://www.google.com/url?q=https://oj.uz/problem/view/BOI15_net&amp;sa=D&amp;ust=1605639832037000&amp;usg=AFQjCNH81dpWG-zZKlxBi-akZrgJ1FxhTw" xr:uid="{C45BD1AB-FB40-4777-8FD1-1C826767EB76}"/>
    <hyperlink ref="F159" r:id="rId288" display="https://www.google.com/url?q=https://github.com/mostafa-saad/MyCompetitiveProgramming/blob/master/Olympiad/Baltic/Baltic-15-net.txt&amp;sa=D&amp;ust=1605639832037000&amp;usg=AFQjCNHrA1IX1M0qZ1QQlRfBjZPeSc5WOA" xr:uid="{7C967C21-18E3-4E63-9CCE-529141A3F40B}"/>
    <hyperlink ref="B160" r:id="rId289" display="https://www.google.com/url?q=https://oj.uz/problem/view/BOI15_tug&amp;sa=D&amp;ust=1605639832037000&amp;usg=AFQjCNFO7fIC8vepv6Yabr_9ExyM6P_VEg" xr:uid="{B033B72D-059C-48EF-BAE9-B0777690773C}"/>
    <hyperlink ref="F160" r:id="rId290" display="https://www.google.com/url?q=https://github.com/mostafa-saad/MyCompetitiveProgramming/blob/master/Olympiad/Baltic/Baltic-15-tug.txt&amp;sa=D&amp;ust=1605639832037000&amp;usg=AFQjCNHqP6jJfpQfwfRcFyhgQfeSCe9X9A" xr:uid="{B8B68AAF-C13D-4A92-A3D1-B1B0ECE0641E}"/>
    <hyperlink ref="B161" r:id="rId291" display="https://www.google.com/url?q=https://oj.uz/problem/view/BOI16_bosses&amp;sa=D&amp;ust=1605639832038000&amp;usg=AFQjCNGCKmnBGzTYlI5Qa8IpsL5xGyNhDA" xr:uid="{07AC715B-C578-4276-A582-1A9E37D1FE20}"/>
    <hyperlink ref="F161" r:id="rId292" display="https://www.google.com/url?q=https://github.com/mostafa-saad/MyCompetitiveProgramming/blob/master/Olympiad/Baltic/Baltic-16-bosses.txt&amp;sa=D&amp;ust=1605639832038000&amp;usg=AFQjCNHa6B5sGmNysiU25LlRXQIE50ZhgQ" xr:uid="{77CCDD12-FA63-4BA8-B1DC-8EE9FC44A002}"/>
    <hyperlink ref="B162" r:id="rId293" display="https://www.google.com/url?q=https://oj.uz/problem/view/BOI16_cities&amp;sa=D&amp;ust=1605639832038000&amp;usg=AFQjCNEqqFx_XEgbXFpZ7NW9do4dkqj9Ow" xr:uid="{88B82634-CD4F-4017-9222-351899630944}"/>
    <hyperlink ref="F162" r:id="rId294" display="https://www.google.com/url?q=https://github.com/tmwilliamlin168/CompetitiveProgramming/blob/master/BtOI/16-Cities.cpp&amp;sa=D&amp;ust=1605639832038000&amp;usg=AFQjCNE4oGyTMrla-XFtVv1nz51dPDLlpg" xr:uid="{74E6C8D4-AB36-4BDB-A2E7-3D796674DB68}"/>
    <hyperlink ref="B163" r:id="rId295" display="https://www.google.com/url?q=https://oj.uz/problem/view/BOI16_park&amp;sa=D&amp;ust=1605639832038000&amp;usg=AFQjCNE4tMpmXbPAceIEZntgpUWzk3aSmQ" xr:uid="{4BB878C0-F098-4A79-86C7-0137A562FE29}"/>
    <hyperlink ref="F163" r:id="rId296" display="https://www.google.com/url?q=https://github.com/mostafa-saad/MyCompetitiveProgramming/blob/master/Olympiad/Baltic/Baltic-16-park.txt&amp;sa=D&amp;ust=1605639832038000&amp;usg=AFQjCNGsYv5gs2GX3k5_gwZSqa4b2SPA6Q" xr:uid="{B2E9AE5C-731D-4DA9-A581-67A4728552B2}"/>
    <hyperlink ref="B164" r:id="rId297" display="https://www.google.com/url?q=https://oj.uz/problem/view/BOI16_spiral&amp;sa=D&amp;ust=1605639832039000&amp;usg=AFQjCNGylAiOMH8nbI33jRSgfekOymkFiA" xr:uid="{F9EE0503-6CA3-4645-B362-189A49130EA1}"/>
    <hyperlink ref="F164" r:id="rId298" display="https://www.google.com/url?q=https://github.com/mostafa-saad/MyCompetitiveProgramming/blob/master/Olympiad/Baltic/official/boi2016_solutions&amp;sa=D&amp;ust=1605639832039000&amp;usg=AFQjCNFNZqu_4Yw3bV-1aciKbJRNMnc1jg" xr:uid="{6835E2CC-733D-4A5C-BB99-272F61373368}"/>
    <hyperlink ref="B165" r:id="rId299" display="https://www.google.com/url?q=https://oj.uz/problem/view/BOI16_swap&amp;sa=D&amp;ust=1605639832039000&amp;usg=AFQjCNH-1dsl5sKLNhmzcW0FByoqWYjdJg" xr:uid="{4E6E9BDC-0CE2-4B1C-92E6-620D06E944EF}"/>
    <hyperlink ref="F165" r:id="rId300" display="https://www.google.com/url?q=https://github.com/mostafa-saad/MyCompetitiveProgramming/blob/master/Olympiad/Baltic/Baltic-16-swap.txt&amp;sa=D&amp;ust=1605639832039000&amp;usg=AFQjCNHCgXHbyyjfPkWBm2yWXwJM5q7G-Q" xr:uid="{9B585C7A-99F9-4F6A-99C4-CB7086DC8FA4}"/>
    <hyperlink ref="B166" r:id="rId301" display="https://www.google.com/url?q=https://open.kattis.com/problems/catinatree&amp;sa=D&amp;ust=1605639832039000&amp;usg=AFQjCNHMABklBzCY64eGHUKuOeDVRgtsTw" xr:uid="{2B8D9C3F-A15F-4B16-A441-699134DA4F3F}"/>
    <hyperlink ref="F166" r:id="rId302" display="https://www.google.com/url?q=https://github.com/mostafa-saad/MyCompetitiveProgramming/blob/master/Olympiad/Baltic/Baltic-17-Cat.txt&amp;sa=D&amp;ust=1605639832039000&amp;usg=AFQjCNEAJyeEOlPVNrDu1sjZ7gHti1Ya0g" xr:uid="{5EBC2B29-5670-42AC-8308-368853139914}"/>
    <hyperlink ref="B167" r:id="rId303" display="https://www.google.com/url?q=https://oj.uz/problem/view/BOI17_friends&amp;sa=D&amp;ust=1605639832040000&amp;usg=AFQjCNFo3J7AFOT7aBnXr8aFO29of8-GOw" xr:uid="{35F00EF2-9796-4199-83AB-8CA243634DC3}"/>
    <hyperlink ref="F167" r:id="rId304" display="https://www.google.com/url?q=https://codeforces.com/blog/entry/51740?%23comment-356943&amp;sa=D&amp;ust=1605639832040000&amp;usg=AFQjCNGIIqY1JSzPJnk-9ceNbeONlwcjLg" xr:uid="{0D77EFF8-56BD-47B7-A95C-F55A1FE5BABA}"/>
    <hyperlink ref="B168" r:id="rId305" display="https://www.google.com/url?q=https://open.kattis.com/problem-sources/Baltic%2520Olympiad%2520in%2520Informatics%25202017%252C%2520Day%25202&amp;sa=D&amp;ust=1605639832040000&amp;usg=AFQjCNF_yhl0-k4j49oP2G_DfsBF2324OQ" xr:uid="{489BD683-50AD-4A37-AC9B-1174A8A854CA}"/>
    <hyperlink ref="F168" r:id="rId306" display="https://www.google.com/url?q=https://codeforces.com/blog/entry/51740?%23comment-356940&amp;sa=D&amp;ust=1605639832040000&amp;usg=AFQjCNFB8KiJMEcymmbbUtCF26x15cS0yg" xr:uid="{7F9DE792-CDA0-4BAF-A5AF-EE187A637EAE}"/>
    <hyperlink ref="B169" r:id="rId307" display="https://www.google.com/url?q=https://open.kattis.com/problem-sources/Baltic%2520Olympiad%2520in%2520Informatics%25202017%252C%2520Day%25201&amp;sa=D&amp;ust=1605639832040000&amp;usg=AFQjCNF0va6Q-fyD2I_xmkGuWZOGwn3J0A" xr:uid="{A273B674-3496-4260-8E99-72C0DCA4C989}"/>
    <hyperlink ref="F169" r:id="rId308" display="https://www.google.com/url?q=https://github.com/mostafa-saad/MyCompetitiveProgramming/blob/master/Olympiad/Baltic/Baltic-17-PoliticalDevelopment.txt&amp;sa=D&amp;ust=1605639832041000&amp;usg=AFQjCNG8QR0Jyf4KbgPdelvnmMEOYRbIGQ" xr:uid="{D8F87BE9-D9AD-4F86-A4B0-B15DC5BDEE0A}"/>
    <hyperlink ref="B170" r:id="rId309" display="https://www.google.com/url?q=https://open.kattis.com/problem-sources/Baltic%2520Olympiad%2520in%2520Informatics%25202017%252C%2520Day%25201&amp;sa=D&amp;ust=1605639832041000&amp;usg=AFQjCNFCEwvy6RsN3ZZBxIAPD7WnIfyDtA" xr:uid="{35B834BE-8493-460F-A778-DAA7E79A19A2}"/>
    <hyperlink ref="F170" r:id="rId310" display="https://www.google.com/url?q=https://github.com/mostafa-saad/MyCompetitiveProgramming/blob/master/Olympiad/Baltic/Baltic-17-Railway.txt&amp;sa=D&amp;ust=1605639832041000&amp;usg=AFQjCNFSct9LvWjzqjX4ENgjmx-xhtLgBg" xr:uid="{338A35BC-43BE-4348-B65A-96E6E7AC838E}"/>
    <hyperlink ref="B171" r:id="rId311" display="https://www.google.com/url?q=https://open.kattis.com/problem-sources/Baltic%2520Olympiad%2520in%2520Informatics%25202017%252C%2520Day%25201&amp;sa=D&amp;ust=1605639832041000&amp;usg=AFQjCNFCEwvy6RsN3ZZBxIAPD7WnIfyDtA" xr:uid="{2C65673A-A205-4DD8-ABFF-64CE851A1C30}"/>
    <hyperlink ref="F171" r:id="rId312" display="https://www.google.com/url?q=https://github.com/Szawinis/CompetitiveProgramming/blob/master/Olympiad/Baltic/Baltic17-toll.cpp&amp;sa=D&amp;ust=1605639832041000&amp;usg=AFQjCNGENNp_-Rve5ro5oryVmW461kWkzQ" xr:uid="{F1C29979-5172-4496-B9C2-BD58DE4E6ED4}"/>
    <hyperlink ref="B172" r:id="rId313" display="https://www.google.com/url?q=https://cses.fi/205/list/&amp;sa=D&amp;ust=1605639832042000&amp;usg=AFQjCNFxO2f87d0BmKt0-_-62jmj2MFV1Q" xr:uid="{B13C65CC-CB8F-4DFF-9857-800A983EA1B8}"/>
    <hyperlink ref="F172" r:id="rId314" display="https://www.google.com/url?q=https://github.com/mostafa-saad/MyCompetitiveProgramming/tree/master/Olympiad/Baltic/official/boi2018_solutions&amp;sa=D&amp;ust=1605639832042000&amp;usg=AFQjCNH_z6WgHNIjPHL_DZCcPw4hFW21dQ" xr:uid="{4EAAC663-9720-46C9-8B27-CEFC75AC0CD4}"/>
    <hyperlink ref="B173" r:id="rId315" display="https://www.google.com/url?q=https://boi18-day2-open.kattis.com/problems&amp;sa=D&amp;ust=1605639832042000&amp;usg=AFQjCNEvMLP5OKcjrFvMTM8DgS7zMCCTVQ" xr:uid="{314451B7-FF84-4BDC-8CFD-BD9830954B02}"/>
    <hyperlink ref="F173" r:id="rId316" display="https://www.google.com/url?q=https://github.com/mostafa-saad/MyCompetitiveProgramming/tree/master/Olympiad/Baltic/official/boi2018_solutions&amp;sa=D&amp;ust=1605639832042000&amp;usg=AFQjCNH_z6WgHNIjPHL_DZCcPw4hFW21dQ" xr:uid="{EDDBF069-C7EF-45F4-9619-B851AA09D7DD}"/>
    <hyperlink ref="B174" r:id="rId317" display="https://www.google.com/url?q=https://boi18-day1-open.kattis.com/problems&amp;sa=D&amp;ust=1605639832042000&amp;usg=AFQjCNG4593hB4trPWRl8MBq9-oxSWrDrg" xr:uid="{37852DD2-3550-4E91-87B9-3165C38A2835}"/>
    <hyperlink ref="F174" r:id="rId318" display="https://www.google.com/url?q=https://github.com/updown2/OI-Practice/blob/master/BOI/2018/Love%2520Polygon.txt&amp;sa=D&amp;ust=1605639832042000&amp;usg=AFQjCNHpDJyH3bD-duo26F93enCQ6TnGSQ" xr:uid="{62DD0E55-6121-4B2B-8B0D-C1AAA68E0DCA}"/>
    <hyperlink ref="B175" r:id="rId319" display="https://www.google.com/url?q=https://boi18-day1-open.kattis.com/problems&amp;sa=D&amp;ust=1605639832043000&amp;usg=AFQjCNFdKpFfjZzLHG-EbhuO05HRQDHzGg" xr:uid="{B4F4DE60-E112-4B37-A4A8-4A0E2CDC9229}"/>
    <hyperlink ref="F175" r:id="rId320" display="https://www.google.com/url?q=https://github.com/mostafa-saad/MyCompetitiveProgramming/blob/master/Olympiad/Baltic/Baltic-18-MartianDNA.txt&amp;sa=D&amp;ust=1605639832043000&amp;usg=AFQjCNEeWWsXjqERyccl8wMi84Q-orWzLw" xr:uid="{B8EA0EBE-56E2-4CB0-81B6-06560B1CDF2F}"/>
    <hyperlink ref="B176" r:id="rId321" display="https://www.google.com/url?q=https://boi18-day2-open.kattis.com/problems&amp;sa=D&amp;ust=1605639832044000&amp;usg=AFQjCNGhjlFL6xTdnPsA0kOplP5QYJzXmg" xr:uid="{2A0C85D9-0888-4616-8396-982D6AA88782}"/>
    <hyperlink ref="F176" r:id="rId322" display="https://www.google.com/url?q=https://github.com/mostafa-saad/MyCompetitiveProgramming/blob/master/Olympiad/Baltic/Baltic-18-Paths.txt&amp;sa=D&amp;ust=1605639832044000&amp;usg=AFQjCNELyy23Sng2-C7r8XkDcgXTmqya9Q" xr:uid="{CD7EFFA4-62F0-4A2E-B4BB-6C46A4B26343}"/>
    <hyperlink ref="B177" r:id="rId323" display="https://www.google.com/url?q=https://cses.fi/204/list/&amp;sa=D&amp;ust=1605639832044000&amp;usg=AFQjCNHXprWxfRfrxTNt9FxedAX2RIA6lA" xr:uid="{04438944-95FD-4CB1-8767-9D0ED327A1EB}"/>
    <hyperlink ref="F177" r:id="rId324" display="https://www.google.com/url?q=https://github.com/mostafa-saad/MyCompetitiveProgramming/tree/master/Olympiad/Baltic/official/boi2018_solutions&amp;sa=D&amp;ust=1605639832044000&amp;usg=AFQjCNE44kIgxCSjOqZylhZZsLtquNa9xg" xr:uid="{8ED4F543-2B1F-4238-8356-3F23B30A5B16}"/>
    <hyperlink ref="B178" r:id="rId325" display="https://www.google.com/url?q=https://oj.uz/problem/view/BOI19_kitchen&amp;sa=D&amp;ust=1605639832045000&amp;usg=AFQjCNGkyniP3SSjn1DQYNvCdTS8aCRKHw" xr:uid="{A8CFB5B7-0B53-41C9-8DC3-9B5B271CA03D}"/>
    <hyperlink ref="F178" r:id="rId326" display="https://www.google.com/url?q=https://github.com/mostafa-saad/MyCompetitiveProgramming/tree/master/Olympiad/Baltic/official/boi2019_solutions&amp;sa=D&amp;ust=1605639832045000&amp;usg=AFQjCNGOG1_j5F1LJdG7dWBqvSRAFnm3HA" xr:uid="{89B0C765-40D6-4DDA-A864-1DF848CCC50F}"/>
    <hyperlink ref="B179" r:id="rId327" display="https://www.google.com/url?q=https://oj.uz/problem/view/BOI19_nautilus&amp;sa=D&amp;ust=1605639832045000&amp;usg=AFQjCNFL1j_mu_guvEPumsR6ofKBbdO3NQ" xr:uid="{757818AD-0FC4-48AC-90E9-65BB8A157BF0}"/>
    <hyperlink ref="F179" r:id="rId328" display="https://www.google.com/url?q=https://github.com/mostafa-saad/MyCompetitiveProgramming/blob/master/Olympiad/Baltic/Baltic-19-nautilus.txt&amp;sa=D&amp;ust=1605639832045000&amp;usg=AFQjCNGUxAJfXyx4-X_tiQx4TVgUl4MTvA" xr:uid="{0E3E2702-0870-43CA-97FD-AADD629233B6}"/>
    <hyperlink ref="B180" r:id="rId329" display="https://www.google.com/url?q=https://oj.uz/problem/view/BOI19_necklace1&amp;sa=D&amp;ust=1605639832046000&amp;usg=AFQjCNEw20N_LxrV1D9mGOvkQojDuAl2NA" xr:uid="{1A1CB5C8-43D1-47FD-B5AC-46812899C1BA}"/>
    <hyperlink ref="F180" r:id="rId330" display="https://www.google.com/url?q=https://github.com/mostafa-saad/MyCompetitiveProgramming/blob/master/Olympiad/Baltic/Baltic-19-necklace1.txt&amp;sa=D&amp;ust=1605639832046000&amp;usg=AFQjCNFAJEtSRFmqmKJPeI6RwolkZW0sWw" xr:uid="{0B368F47-8373-44E6-83F7-B85FFA9A1BC4}"/>
    <hyperlink ref="B181" r:id="rId331" display="https://www.google.com/url?q=https://oj.uz/problem/view/BOI19_necklace4&amp;sa=D&amp;ust=1605639832046000&amp;usg=AFQjCNGF-f25hDD69FRl76KMJZ7W5FFP2A" xr:uid="{A884B303-0545-40F9-B885-9E95F2906567}"/>
    <hyperlink ref="F181" r:id="rId332" display="https://www.google.com/url?q=https://github.com/mostafa-saad/MyCompetitiveProgramming/tree/master/Olympiad/Baltic/official/boi2019_solutions&amp;sa=D&amp;ust=1605639832046000&amp;usg=AFQjCNHUMmAmq0BPsSMZxV0EyAvGeInOYg" xr:uid="{1E6EAB52-B7F5-4187-A517-31C74DC23A9E}"/>
    <hyperlink ref="B182" r:id="rId333" display="https://www.google.com/url?q=https://oj.uz/problem/view/BOI19_olympiads&amp;sa=D&amp;ust=1605639832046000&amp;usg=AFQjCNEkDQifqVTdYQ6jFY8K5XEnrfcYQQ" xr:uid="{9A012589-5897-4CDD-AD31-D36A21E7CEFF}"/>
    <hyperlink ref="F182" r:id="rId334" display="https://www.google.com/url?q=https://github.com/mostafa-saad/MyCompetitiveProgramming/blob/master/Olympiad/Baltic/Baltic-19-olympiads.txt&amp;sa=D&amp;ust=1605639832047000&amp;usg=AFQjCNGbj2N5JVSzkBJrSiz_SBtG8e63mQ" xr:uid="{AE0AE349-73EC-44AF-8800-BCC615BBEBA0}"/>
    <hyperlink ref="B183" r:id="rId335" display="https://www.google.com/url?q=https://oj.uz/problem/view/BOI19_valley&amp;sa=D&amp;ust=1605639832047000&amp;usg=AFQjCNEMpNIhXTrv2lbBPqKXp9RRJosncQ" xr:uid="{D582C897-7316-4B26-890A-856CB004B986}"/>
    <hyperlink ref="F183" r:id="rId336" display="https://www.google.com/url?q=https://github.com/mostafa-saad/MyCompetitiveProgramming/blob/master/Olympiad/Baltic/Baltic-19-valley.txt&amp;sa=D&amp;ust=1605639832047000&amp;usg=AFQjCNG8Ix70nJTTe-UkvXo-HyNulosvSQ" xr:uid="{3081DB89-4232-4C80-A700-D4F28D06D576}"/>
    <hyperlink ref="B184" r:id="rId337" display="https://www.google.com/url?q=https://boi18-practice-open.kattis.com/problems&amp;sa=D&amp;ust=1605639832047000&amp;usg=AFQjCNFliR2rc8sy8nIG9tGWxE3PIZtvdA" xr:uid="{5BD81BC3-98D6-402C-B7F0-ADE63B7981DF}"/>
    <hyperlink ref="F184" r:id="rId338" display="https://www.google.com/url?q=https://github.com/updown2/OI-Practice/blob/master/BOI/2018/Citations%2520(Practice%2520Session).txt&amp;sa=D&amp;ust=1605639832047000&amp;usg=AFQjCNE1kBdtV3P-D0FkhfAlSi_bi8ROhA" xr:uid="{E223C554-4A28-4975-9B12-DDFE3C1956FE}"/>
    <hyperlink ref="B185" r:id="rId339" display="https://www.google.com/url?q=https://boi18-practice-open.kattis.com/problems&amp;sa=D&amp;ust=1605639832048000&amp;usg=AFQjCNFsMb8A3jNbQXMeCJOVzqdXiFH5HQ" xr:uid="{4B840D03-EC26-447A-9793-A9046DFD6103}"/>
    <hyperlink ref="B186" r:id="rId340" display="https://www.google.com/url?q=https://open.kattis.com/problem-sources/Baltic%2520Olympiad%2520in%2520Informatics%25202017%252C%2520Warmup&amp;sa=D&amp;ust=1605639832048000&amp;usg=AFQjCNHO1pqZGd9nOWj_SbIZ0HI1ufiKsw" xr:uid="{261439DE-F989-4A4C-A3BD-FB0FA43934B3}"/>
    <hyperlink ref="B187" r:id="rId341" display="https://www.google.com/url?q=https://open.kattis.com/problem-sources/Baltic%2520Olympiad%2520in%2520Informatics%25202017%252C%2520Warmup&amp;sa=D&amp;ust=1605639832048000&amp;usg=AFQjCNHO1pqZGd9nOWj_SbIZ0HI1ufiKsw" xr:uid="{56300E09-3736-4053-82E9-3DC5332B5D31}"/>
    <hyperlink ref="B188" r:id="rId342" display="https://www.google.com/url?q=https://open.kattis.com/problem-sources/Baltic%2520Olympiad%2520in%2520Informatics%25202017%252C%2520Warmup&amp;sa=D&amp;ust=1605639832049000&amp;usg=AFQjCNFje4RyfOo1ggzz1WFpdA-bfJsOnA" xr:uid="{79E74265-F277-4BDD-B442-DE857FB7F66A}"/>
    <hyperlink ref="F188" r:id="rId343" display="https://www.google.com/url?q=https://github.com/mostafa-saad/MyCompetitiveProgramming/blob/master/Olympiad/Baltic/BalticWarmup-17-Toast.txt&amp;sa=D&amp;ust=1605639832049000&amp;usg=AFQjCNHReSGaU0Xam7XWB4jYz2gs_4O36g" xr:uid="{CC2FAF82-6D63-4931-A227-F3CE0779F5FF}"/>
    <hyperlink ref="B189" r:id="rId344" display="https://www.google.com/url?q=https://dmoj.ca/problem/ccc13s5&amp;sa=D&amp;ust=1605639832049000&amp;usg=AFQjCNE5J0p_ieaVfNCVQiUU3W0v1GfViQ" xr:uid="{B23C1B98-5A78-4560-8B12-BE2BD29807D8}"/>
    <hyperlink ref="B190" r:id="rId345" display="https://www.google.com/url?q=https://dmoj.ca/problem/ccc15s4&amp;sa=D&amp;ust=1605639832050000&amp;usg=AFQjCNF-8JpXWwSby3k7m7eTQaStdU7rLg" xr:uid="{84B704EF-E689-478A-ACC4-41386D0160F6}"/>
    <hyperlink ref="B191" r:id="rId346" display="https://www.google.com/url?q=https://dmoj.ca/problem/ccc16s5&amp;sa=D&amp;ust=1605639832050000&amp;usg=AFQjCNHbpq-RPiwmMHFGEVDt3aF1Ni6zFw" xr:uid="{8BE51640-C270-4CD1-AFC7-2988821A9DFC}"/>
    <hyperlink ref="B192" r:id="rId347" display="https://www.google.com/url?q=https://dmoj.ca/problem/ccc16s4&amp;sa=D&amp;ust=1605639832050000&amp;usg=AFQjCNHKsigxIjMsTyVSsUOOhNh6BZw12w" xr:uid="{EC8EA37D-98FA-4F54-BFA8-1BED8FFCE19A}"/>
    <hyperlink ref="B193" r:id="rId348" display="https://www.google.com/url?q=https://dmoj.ca/problem/ccc18s4&amp;sa=D&amp;ust=1605639832050000&amp;usg=AFQjCNGKiwfOfaaM3C7e9fK9BoYH6wyZWw" xr:uid="{FF97686A-7515-4B94-951C-112A2235F1EB}"/>
    <hyperlink ref="B194" r:id="rId349" display="https://www.google.com/url?q=https://dmoj.ca/problem/nccc6s2&amp;sa=D&amp;ust=1605639832051000&amp;usg=AFQjCNHPgpfIh4freTgCCVcRFi089GY8aw" xr:uid="{FF3EEDFB-5F49-437F-8526-3CBB14221360}"/>
    <hyperlink ref="B195" r:id="rId350" display="https://www.google.com/url?q=https://dmoj.ca/problem/nccc6s1&amp;sa=D&amp;ust=1605639832052000&amp;usg=AFQjCNHQ6XdkJfhfcGX0-kwOxGIidzOQrg" xr:uid="{FF98BFC1-465A-423D-BB4F-F50763C0A862}"/>
    <hyperlink ref="B196" r:id="rId351" display="https://www.google.com/url?q=https://dmoj.ca/problem/cco07p1&amp;sa=D&amp;ust=1605639832052000&amp;usg=AFQjCNFZyL7sJX_7vT1XTkYXC4HFY0ov6g" xr:uid="{8BF4D4BB-0C2B-4490-8266-9FAD08DC8444}"/>
    <hyperlink ref="B197" r:id="rId352" display="https://www.google.com/url?q=https://dmoj.ca/problem/cco07p6&amp;sa=D&amp;ust=1605639832053000&amp;usg=AFQjCNGpVYf4KELiJpXx2eNO6-P-BtRN8g" xr:uid="{F20556A2-A601-4ED5-8B7C-2CF4F779BA78}"/>
    <hyperlink ref="F197" r:id="rId353" display="https://www.google.com/url?q=https://github.com/win11905/submission/blob/61c76f8b073e5e5446e7688626c487a4dcbfcd9e/CCO/14/RoadConstruction.cpp&amp;sa=D&amp;ust=1605639832053000&amp;usg=AFQjCNHDMAmqAJ48gMN_HNKm7EJ3aEqqig" xr:uid="{27FF224E-B6CA-4AEE-90A7-F367F53931F9}"/>
    <hyperlink ref="B198" r:id="rId354" display="https://www.google.com/url?q=https://dmoj.ca/problem/cco08p5&amp;sa=D&amp;ust=1605639832053000&amp;usg=AFQjCNHNZpMJ5kS8ez04k6nx4kl98LtI8w" xr:uid="{659299E2-265C-41B7-87B1-1E5BEAD9C80C}"/>
    <hyperlink ref="B199" r:id="rId355" display="https://www.google.com/url?q=https://dmoj.ca/problem/cco12p6&amp;sa=D&amp;ust=1605639832053000&amp;usg=AFQjCNFw0xueTdpEO7-ySaQ5OdPa5tdjbA" xr:uid="{0502D708-B73A-4DD0-98F7-3652BA508AE9}"/>
    <hyperlink ref="B200" r:id="rId356" display="https://www.google.com/url?q=https://dmoj.ca/problem/cco13p2&amp;sa=D&amp;ust=1605639832054000&amp;usg=AFQjCNGMYkfVSObnXf4PRdcFpzOZSXFhYw" xr:uid="{E2F0B33C-DF8C-4650-9C85-C65C6B44E38D}"/>
    <hyperlink ref="B201" r:id="rId357" display="https://www.google.com/url?q=https://dmoj.ca/problem/cco15p1&amp;sa=D&amp;ust=1605639832054000&amp;usg=AFQjCNGdeDwX_sRGiAZw9uvugi_6uK09nA" xr:uid="{D8DD2C0C-3048-4545-AB51-C2819BE2DE53}"/>
    <hyperlink ref="B202" r:id="rId358" display="https://www.google.com/url?q=https://dmoj.ca/problem/mcco17p3&amp;sa=D&amp;ust=1605639832054000&amp;usg=AFQjCNEqzuHD2Yc8_qoupXOPQCF9FDQw8w" xr:uid="{E8E26386-31BE-4011-B374-AFCC1430E8D6}"/>
    <hyperlink ref="F202" r:id="rId359" display="https://www.google.com/url?q=https://github.com/thecodingwizard/competitive-programming/blob/master/DMOJ/CCO%252017-Connection.cpp&amp;sa=D&amp;ust=1605639832054000&amp;usg=AFQjCNFwZjOiKLzjA8UvJTskrKOClOdIXA" xr:uid="{68FBA925-9723-4EA0-B138-4A526D9499C5}"/>
    <hyperlink ref="B203" r:id="rId360" display="https://www.google.com/url?q=https://dmoj.ca/problem/cco18p5&amp;sa=D&amp;ust=1605639832055000&amp;usg=AFQjCNE0QVCZCZfBRRT1t6_DMZjm5mDvNQ" xr:uid="{37AF6EA2-3843-459E-A500-0BD88827B4FC}"/>
    <hyperlink ref="F203" r:id="rId361" display="https://www.google.com/url?q=https://github.com/luciocf/OI-Problems/blob/master/CCO/CCO%25202018/boring.cpp&amp;sa=D&amp;ust=1605639832055000&amp;usg=AFQjCNGVN9AD-zeDWeev8Z8WtX7_LFFjwQ" xr:uid="{4A507E0E-B9D2-43AB-9AD1-C339792CA0A7}"/>
    <hyperlink ref="B204" r:id="rId362" display="https://www.google.com/url?q=https://dmoj.ca/contest/cco18d2&amp;sa=D&amp;ust=1605639832055000&amp;usg=AFQjCNEuxiU_OKlaZ2dv-xy8ryzxIe3f3g" xr:uid="{2A8AB252-2A50-4915-A1D8-D0B4FAD9F6F8}"/>
    <hyperlink ref="B205" r:id="rId363" display="https://www.google.com/url?q=https://dmoj.ca/contest/cco18d1&amp;sa=D&amp;ust=1605639832056000&amp;usg=AFQjCNEBZZvtLe6g3M9xt3L5o7xIbTB-7A" xr:uid="{87F26210-EE28-4DC6-9B8E-A9617A0B9E6D}"/>
    <hyperlink ref="B206" r:id="rId364" display="https://www.google.com/url?q=https://dmoj.ca/contest/cco18d1&amp;sa=D&amp;ust=1605639832056000&amp;usg=AFQjCNEBZZvtLe6g3M9xt3L5o7xIbTB-7A" xr:uid="{B66603D7-041A-49AE-907A-AC482C33CB8D}"/>
    <hyperlink ref="F206" r:id="rId365" display="https://www.google.com/url?q=https://github.com/timpostuvan/CompetitiveProgramming/blob/master/Olympiad/CCO/GeeseVsHawks2018.cpp&amp;sa=D&amp;ust=1605639832056000&amp;usg=AFQjCNHC2nnhoawOD0WtLkHWQz_Z0SI7lg" xr:uid="{47A67444-727C-4E8A-9B5A-45BCA8BE74C0}"/>
    <hyperlink ref="B207" r:id="rId366" display="https://www.google.com/url?q=https://dmoj.ca/contest/cco18d2&amp;sa=D&amp;ust=1605639832056000&amp;usg=AFQjCNELekQanmlSqw8Kr88C5yXe5kCPHA" xr:uid="{E8A5025E-3B90-4EFD-9874-39B750D15790}"/>
    <hyperlink ref="F207" r:id="rId367" display="https://www.google.com/url?q=https://github.com/mostafa-saad/MyCompetitiveProgramming/blob/master/Olympiad/CCO/CCO-18-GradientDescent.txt&amp;sa=D&amp;ust=1605639832057000&amp;usg=AFQjCNH1hgka-ZXVLhkOX4hOn9h4v9pQXw" xr:uid="{B553E227-76BF-4EFA-8F9D-C5333A30B07C}"/>
    <hyperlink ref="B208" r:id="rId368" display="https://www.google.com/url?q=https://dmoj.ca/contest/cco18d1&amp;sa=D&amp;ust=1605639832057000&amp;usg=AFQjCNHBF35P0-ruKgTU9en-bKi5C0f-aA" xr:uid="{854036F5-FA70-4FF4-89CD-8AD1BF7AE14F}"/>
    <hyperlink ref="F208" r:id="rId369" display="https://www.google.com/url?q=https://github.com/timpostuvan/CompetitiveProgramming/blob/master/Olympiad/CCO/WrongAnswer2018.cpp&amp;sa=D&amp;ust=1605639832057000&amp;usg=AFQjCNGX0yjkQ6TqMRMRkNCWZuPsbjtOHQ" xr:uid="{4842B75E-5B21-43D1-A831-C86AAB6D3004}"/>
    <hyperlink ref="B209" r:id="rId370" display="https://www.google.com/url?q=https://dmoj.ca/problem/mcco17p3&amp;sa=D&amp;ust=1605639832057000&amp;usg=AFQjCNHB1OXFQnErWlaCrgxuqAZXrNmXag" xr:uid="{EA136592-FD60-4A19-ADD9-1707D14BC3F6}"/>
    <hyperlink ref="F209" r:id="rId371" display="https://www.google.com/url?q=https://github.com/mostafa-saad/MyCompetitiveProgramming/blob/master/Olympiad/CCO/CCOMock-17-Connection.txt&amp;sa=D&amp;ust=1605639832057000&amp;usg=AFQjCNGZt4Df-YpuSorPNp0-ssDzCD0VCQ" xr:uid="{66D80757-0868-411A-8061-33080456847D}"/>
    <hyperlink ref="B210" r:id="rId372" display="https://www.google.com/url?q=https://www.acmicpc.net/problem/7055&amp;sa=D&amp;ust=1605639832058000&amp;usg=AFQjCNEIQp24GvmOQgWQ6L0p7yXRcwALSA" xr:uid="{CB1CBAA4-25ED-450D-B9B7-76FFE5F95529}"/>
    <hyperlink ref="F210" r:id="rId373" display="https://www.google.com/url?q=https://github.com/mostafa-saad/MyCompetitiveProgramming/blob/master/Olympiad/CEOI/CEOI-02-Bugs.txt&amp;sa=D&amp;ust=1605639832058000&amp;usg=AFQjCNHTQOEE34Adn1KtDhmBpGpWoLt7yA" xr:uid="{0832683C-2C82-48CC-B318-180A2595A780}"/>
    <hyperlink ref="B211" r:id="rId374" display="https://www.google.com/url?q=http://poj.org/problem?id%3D1912&amp;sa=D&amp;ust=1605639832058000&amp;usg=AFQjCNHSoG9Ivux3Ucn3IATkvQdGmHMtQA" xr:uid="{E82ACA9F-4D1A-433D-B641-DB918AEDAE10}"/>
    <hyperlink ref="F211" r:id="rId375" display="https://www.google.com/url?q=https://github.com/mostafa-saad/MyCompetitiveProgramming/tree/master/Olympiad/CEOI/official/2002&amp;sa=D&amp;ust=1605639832058000&amp;usg=AFQjCNFVqDrDGWRZiM34H3T7asnHnJZ9Qw" xr:uid="{F43D75EE-D530-4110-A80B-B1D7F705BAB2}"/>
    <hyperlink ref="B212" r:id="rId376" display="https://www.google.com/url?q=https://www.acmicpc.net/problem/7056&amp;sa=D&amp;ust=1605639832059000&amp;usg=AFQjCNE6oSjceiVxIL_-U7F3YGH5T_DK9w" xr:uid="{EE040890-0414-4A75-9E17-EFF0F9D6F884}"/>
    <hyperlink ref="F212" r:id="rId377" display="https://www.google.com/url?q=https://github.com/mostafa-saad/MyCompetitiveProgramming/blob/master/Olympiad/CEOI/CEOI-02-Fence.txt&amp;sa=D&amp;ust=1605639832064000&amp;usg=AFQjCNF2K2DjUqvc3Vj-ioYQ0TfoXf7iVQ" xr:uid="{AE8BF00B-72A4-4A6E-AF2A-000E73E16323}"/>
    <hyperlink ref="B213" r:id="rId378" display="https://www.google.com/url?q=https://www.acmicpc.net/problem/7058&amp;sa=D&amp;ust=1605639832065000&amp;usg=AFQjCNEuKpaQbEYWvkd4ZWjjRmpYMVTrHw" xr:uid="{74628324-3D91-40E1-8B1A-776CCE6450CB}"/>
    <hyperlink ref="F213" r:id="rId379" display="https://www.google.com/url?q=https://github.com/mostafa-saad/MyCompetitiveProgramming/blob/master/Olympiad/CEOI/CEOI-02-Guards.txt&amp;sa=D&amp;ust=1605639832065000&amp;usg=AFQjCNF_UP0o1UsIFhIBHS3E5Wq4aseiIg" xr:uid="{985F52D8-EEBD-48ED-A51E-9FDCE1095105}"/>
    <hyperlink ref="B214" r:id="rId380" display="https://www.google.com/url?q=https://www.acmicpc.net/problem/1760&amp;sa=D&amp;ust=1605639832069000&amp;usg=AFQjCNG2Rhr9dCFNSdx1VYgVPJtShksbfA" xr:uid="{6F18D6B5-AEF3-442D-9C26-22420CE05553}"/>
    <hyperlink ref="B215" r:id="rId381" display="https://www.google.com/url?q=https://www.acmicpc.net/problem/2270&amp;sa=D&amp;ust=1605639832070000&amp;usg=AFQjCNFQWyBAx93xVuJprGyjlf8ey6r57A" xr:uid="{E2B50AEE-941D-48C2-925F-A367E6027C3C}"/>
    <hyperlink ref="F215" r:id="rId382" display="https://www.google.com/url?q=https://github.com/mostafa-saad/MyCompetitiveProgramming/blob/master/Olympiad/CEOI/CEOI-03-Hanoi.txt&amp;sa=D&amp;ust=1605639832070000&amp;usg=AFQjCNFN1vk2VINpvI-TXlrN_EgpQiGLWQ" xr:uid="{0D75DA16-9262-4D90-B224-66797BF596CD}"/>
    <hyperlink ref="B216" r:id="rId383" display="https://www.google.com/url?q=https://www.acmicpc.net/problem/7053&amp;sa=D&amp;ust=1605639832070000&amp;usg=AFQjCNFeLswjDb5iijlH5p4Wbugp8M93Dw" xr:uid="{CBBCB9FE-2C87-4F0C-A102-04DED50B40C9}"/>
    <hyperlink ref="F216" r:id="rId384" display="https://www.google.com/url?q=https://github.com/mostafa-saad/MyCompetitiveProgramming/tree/master/Olympiad/CEOI/official/2003&amp;sa=D&amp;ust=1605639832071000&amp;usg=AFQjCNEoV7l-oN-CkcK9Kb7Xi48TgrLZ7Q" xr:uid="{B78CA272-C529-493D-9BEA-C29E9DBB011E}"/>
    <hyperlink ref="B217" r:id="rId385" display="https://www.google.com/url?q=https://www.acmicpc.net/problem/2284&amp;sa=D&amp;ust=1605639832071000&amp;usg=AFQjCNGx1jzLmZhovgPgy_M2UAposaulDQ" xr:uid="{51805B8F-E3C8-4278-A6E5-9DCB37210B18}"/>
    <hyperlink ref="F217" r:id="rId386" display="https://www.google.com/url?q=https://github.com/mostafa-saad/MyCompetitiveProgramming/blob/master/Olympiad/CEOI/CEOI-03-Therace.txt&amp;sa=D&amp;ust=1605639832071000&amp;usg=AFQjCNHjT19YCEURW5z9l5wlHNj0_nw9ew" xr:uid="{C6936B02-B72C-4894-8179-3A05A7F6382A}"/>
    <hyperlink ref="B218" r:id="rId387" display="https://www.google.com/url?q=https://www.acmicpc.net/problem/7054&amp;sa=D&amp;ust=1605639832072000&amp;usg=AFQjCNGpvJyQ4Qd0SqtBnpJX_bdmzzTA8Q" xr:uid="{6139D9EE-3F0B-49BF-BC66-99C861880174}"/>
    <hyperlink ref="F218" r:id="rId388" display="https://www.google.com/url?q=https://github.com/mostafa-saad/MyCompetitiveProgramming/tree/master/Olympiad/CEOI/official/2003&amp;sa=D&amp;ust=1605639832072000&amp;usg=AFQjCNGqRpOJ4XZgUOyU0vQ7F1wFNtAHng" xr:uid="{1AA967F6-C4B5-4532-B132-763B587F06C4}"/>
    <hyperlink ref="B219" r:id="rId389" display="https://www.google.com/url?q=https://szkopul.edu.pl/problemset/problem/qYS15kJB5WGKbGxqJCIEVM1I/site/&amp;sa=D&amp;ust=1605639832072000&amp;usg=AFQjCNGQ6JjWtZ2ugK2uZAPLnb68roq3yA" xr:uid="{E832B014-4C64-4A77-B04B-93A0D909C54D}"/>
    <hyperlink ref="F219" r:id="rId390" display="https://www.google.com/url?q=https://github.com/mostafa-saad/MyCompetitiveProgramming/blob/master/Olympiad/CEOI/CEOI-04-Clouds.txt&amp;sa=D&amp;ust=1605639832072000&amp;usg=AFQjCNHLh5bolKJJXhKGIPEOlsU5ASqIvw" xr:uid="{EF5537BA-C167-459A-83A6-FC7D39599F06}"/>
    <hyperlink ref="B220" r:id="rId391" display="https://www.google.com/url?q=https://szkopul.edu.pl/problemset/problem/kTJwMBMs_vXtliFNlHAZ0Hcu/site/&amp;sa=D&amp;ust=1605639832073000&amp;usg=AFQjCNHYYvic3sDlxKY3EnTjqJWlHjI9bA" xr:uid="{37A86630-965D-4D79-8A0F-BF1AFDFB0634}"/>
    <hyperlink ref="F220" r:id="rId392" display="https://www.google.com/url?q=https://github.com/mostafa-saad/MyCompetitiveProgramming/blob/master/Olympiad/CEOI/CEOI-04-Football.txt&amp;sa=D&amp;ust=1605639832073000&amp;usg=AFQjCNHWiqUmbq0PjijTCVmp6qe8mlqXPw" xr:uid="{0BC30F85-F200-47E6-841A-5CDABAC90234}"/>
    <hyperlink ref="B221" r:id="rId393" display="https://www.google.com/url?q=https://szkopul.edu.pl/problemset/problem/vQpjG0o3j0x3BQDNXpuciN3n/site/&amp;sa=D&amp;ust=1605639832073000&amp;usg=AFQjCNHXwP3K1fxneNOPNsCabbaj6c1Uwg" xr:uid="{46BF8051-4BF6-4ECA-8AF3-30F90B2A6426}"/>
    <hyperlink ref="F221" r:id="rId394" display="https://www.google.com/url?q=https://github.com/mostafa-saad/MyCompetitiveProgramming/blob/master/Olympiad/CEOI/CEOI-04-Sweets.txt&amp;sa=D&amp;ust=1605639832074000&amp;usg=AFQjCNHrwf7XsRASXGEod6zu3Ze1VW-7jQ" xr:uid="{4F6D0BA4-4D77-4E67-8D58-20933562610E}"/>
    <hyperlink ref="B222" r:id="rId395" display="https://www.google.com/url?q=https://szkopul.edu.pl/problemset/problem/bNkLWTHzQeDyEuAUiKCwuxnG/site/&amp;sa=D&amp;ust=1605639832074000&amp;usg=AFQjCNGvHibcQxvRF2KhOvhauHXt97-PYw" xr:uid="{D615FBCE-22B5-4BEB-BEBE-E88346781A91}"/>
    <hyperlink ref="F222" r:id="rId396" display="https://www.google.com/url?q=https://github.com/mostafa-saad/MyCompetitiveProgramming/blob/master/Olympiad/CEOI/CEOI-04-Trips.txt&amp;sa=D&amp;ust=1605639832074000&amp;usg=AFQjCNFuFHRhe432QV06zAyHQYwZcq0rDQ" xr:uid="{8C9BB2DD-3B41-4E66-A94D-0B5853BE4051}"/>
    <hyperlink ref="B223" r:id="rId397" display="https://www.google.com/url?q=https://szkopul.edu.pl/problemset/problem/ovRIpLFK3IhyFPjnVXeZtGxH/site/?key%3Dstatement&amp;sa=D&amp;ust=1605639832075000&amp;usg=AFQjCNGMdAcEMGEC0pkEnTDpbcj1y3DKqw" xr:uid="{B70D7F70-5C15-4F93-9E52-A997012C0B62}"/>
    <hyperlink ref="F223" r:id="rId398" display="https://www.google.com/url?q=https://github.com/mostafa-saad/MyCompetitiveProgramming/blob/master/Olympiad/CEOI/CEOI-04-Two.txt&amp;sa=D&amp;ust=1605639832075000&amp;usg=AFQjCNFKKnp4ynygbAFk_eVm9zJiSGKkWA" xr:uid="{C19F8E5D-3681-414D-A35F-6C8EBE4E4944}"/>
    <hyperlink ref="B224" r:id="rId399" display="https://www.google.com/url?q=https://cses.fi/191/list/&amp;sa=D&amp;ust=1605639832075000&amp;usg=AFQjCNF7E_Xl-aTKxYXBEBvnCuANkELJNw" xr:uid="{B3DF8101-7641-4D44-8448-770AB0ED851D}"/>
    <hyperlink ref="F224" r:id="rId400" display="https://www.google.com/url?q=https://github.com/mostafa-saad/MyCompetitiveProgramming/blob/master/Olympiad/CEOI/CEOI-05-Depot.txt&amp;sa=D&amp;ust=1605639832075000&amp;usg=AFQjCNE195e8095884t4-zSZbsCtJvyyRQ" xr:uid="{21EBDDE0-0726-403B-A0CD-BD4DCF9128AF}"/>
    <hyperlink ref="B225" r:id="rId401" display="https://www.google.com/url?q=https://cses.fi/192/list/&amp;sa=D&amp;ust=1605639832076000&amp;usg=AFQjCNEyB53BCTA5jHa1IH6eVNsLsZXQiQ" xr:uid="{8B4F51FD-EEC6-4420-A209-308431ADA7B9}"/>
    <hyperlink ref="F225" r:id="rId402" display="https://www.google.com/url?q=https://github.com/mostafa-saad/MyCompetitiveProgramming/blob/master/Olympiad/CEOI/CEOI-05-Fence.txt&amp;sa=D&amp;ust=1605639832076000&amp;usg=AFQjCNH5ox2L6wo_T0iH4Zll1Mx0HmhupA" xr:uid="{72793547-0DF2-4330-B9C9-392AD9EA55ED}"/>
    <hyperlink ref="B226" r:id="rId403" display="https://www.google.com/url?q=https://cses.fi/191/list/&amp;sa=D&amp;ust=1605639832077000&amp;usg=AFQjCNGbCMkdFVBH_z5EEpa9KOmXDlsG3g" xr:uid="{C872DE0C-91D0-489E-A63F-92F0E8649FA0}"/>
    <hyperlink ref="F226" r:id="rId404" display="https://www.google.com/url?q=https://github.com/mostafa-saad/MyCompetitiveProgramming/blob/master/Olympiad/CEOI/CEOI-05-keys.txt&amp;sa=D&amp;ust=1605639832077000&amp;usg=AFQjCNE_EHiXSd6BWPuNckhc4mb40ewmng" xr:uid="{C6E6059F-EF0D-41B2-930F-65597AFBB8D4}"/>
    <hyperlink ref="B227" r:id="rId405" display="https://www.google.com/url?q=https://cses.fi/192/list/&amp;sa=D&amp;ust=1605639832077000&amp;usg=AFQjCNH6odW9s9gXDAAprnMe0Xw1NEKzhg" xr:uid="{E6AA98EF-1FCA-4F50-9390-971F7589E385}"/>
    <hyperlink ref="F227" r:id="rId406" display="https://www.google.com/url?q=https://github.com/mostafa-saad/MyCompetitiveProgramming/blob/master/Olympiad/CEOI/CEOI-05-Net.txt&amp;sa=D&amp;ust=1605639832077000&amp;usg=AFQjCNHaTKXOjixUwfy9OB-SyHIXV8TeIQ" xr:uid="{F52BAD85-2A17-49BD-A17C-27E8D2204237}"/>
    <hyperlink ref="B228" r:id="rId407" display="https://www.google.com/url?q=https://cses.fi/191/list/&amp;sa=D&amp;ust=1605639832078000&amp;usg=AFQjCNFO_W3Db0ErIx5CMzEBX37aFUzySQ" xr:uid="{B2D1A7BC-6863-4F0D-B6CA-7FD04DE3B87E}"/>
    <hyperlink ref="F228" r:id="rId408" display="https://www.google.com/url?q=https://github.com/mostafa-saad/MyCompetitiveProgramming/tree/master/Olympiad/CEOI/official/2005&amp;sa=D&amp;ust=1605639832078000&amp;usg=AFQjCNF-hw-LoQ3cCr9pP75NThQ6-ZEfNQ" xr:uid="{8F70B4B1-955C-44D5-8377-DED892B790AD}"/>
    <hyperlink ref="B229" r:id="rId409" display="https://www.google.com/url?q=https://cses.fi/192/list/&amp;sa=D&amp;ust=1605639832078000&amp;usg=AFQjCNHuOyVzUPz2ijUAf_poxDsjgikh1A" xr:uid="{C31B943C-7F86-4DB2-99FE-7E12C50EF05E}"/>
    <hyperlink ref="F229" r:id="rId410" display="https://www.google.com/url?q=https://github.com/mostafa-saad/MyCompetitiveProgramming/blob/master/Olympiad/CEOI/CEOI-05-Ticket.txt&amp;sa=D&amp;ust=1605639832078000&amp;usg=AFQjCNEun_hhiPGKn8cAwU3YNEX426OalQ" xr:uid="{165CFAC1-07BD-4965-A0F8-350EEC1927EE}"/>
    <hyperlink ref="B230" r:id="rId411" display="https://www.google.com/url?q=https://cses.fi/185/list/&amp;sa=D&amp;ust=1605639832079000&amp;usg=AFQjCNHXZiJ-V997PxZ63CdfLjm8mjXxkA" xr:uid="{D98BC0D5-1898-4A48-AD84-870091A2494F}"/>
    <hyperlink ref="F230" r:id="rId412" display="https://www.google.com/url?q=https://github.com/mostafa-saad/MyCompetitiveProgramming/blob/master/Olympiad/CEOI/CEOI-06-Antenna.txt&amp;sa=D&amp;ust=1605639832079000&amp;usg=AFQjCNH2E9yaCjXjenPZz-vBddQaRXsmYg" xr:uid="{D2C6D9B9-C868-4616-BB68-B508DFE502FD}"/>
    <hyperlink ref="B231" r:id="rId413" display="https://www.google.com/url?q=https://cses.fi/186/list/&amp;sa=D&amp;ust=1605639832081000&amp;usg=AFQjCNFHIJOJAvLpchLO8nY58Mvr5Fjv6A" xr:uid="{760FBC11-D7CD-471B-895F-915752A3FA1F}"/>
    <hyperlink ref="F231" r:id="rId414" display="https://www.google.com/url?q=https://github.com/mostafa-saad/MyCompetitiveProgramming/blob/master/Olympiad/CEOI/CEOI-06-Connect.txt&amp;sa=D&amp;ust=1605639832081000&amp;usg=AFQjCNGwIfQykf1iD6cygUov3nEcLOZYGg" xr:uid="{CEE9432C-F3AC-4FB4-A653-BAB2853D1FDF}"/>
    <hyperlink ref="B232" r:id="rId415" display="https://www.google.com/url?q=https://cses.fi/186/list/&amp;sa=D&amp;ust=1605639832081000&amp;usg=AFQjCNFHIJOJAvLpchLO8nY58Mvr5Fjv6A" xr:uid="{EB52AF81-EE75-48D1-A927-EF58BD9C1719}"/>
    <hyperlink ref="F232" r:id="rId416" display="https://www.google.com/url?q=https://github.com/mostafa-saad/MyCompetitiveProgramming/tree/master/Olympiad/CEOI/official/2006&amp;sa=D&amp;ust=1605639832081000&amp;usg=AFQjCNGrl_wjwtXYTTHYktZ1C4jgrys5og" xr:uid="{670C6512-5AE2-4C10-A41D-C7D2CCDFE242}"/>
    <hyperlink ref="B233" r:id="rId417" display="https://www.google.com/url?q=https://cses.fi/186/list/&amp;sa=D&amp;ust=1605639832082000&amp;usg=AFQjCNGQ-L3qV1-kyhcOA8_Q2Rr7uVB_uQ" xr:uid="{95ABC92F-99C7-4779-AB39-D4C4CB2727D7}"/>
    <hyperlink ref="F233" r:id="rId418" display="https://www.google.com/url?q=https://github.com/mostafa-saad/MyCompetitiveProgramming/blob/master/Olympiad/CEOI/CEOI-06-Meandian.txt&amp;sa=D&amp;ust=1605639832082000&amp;usg=AFQjCNFh1AEWJpCIeA5V8_JbxIOcZOpAww" xr:uid="{CD69585F-477F-4E0B-809E-E8B3B14B4E20}"/>
    <hyperlink ref="B234" r:id="rId419" display="https://www.google.com/url?q=https://cses.fi/185/list/&amp;sa=D&amp;ust=1605639832082000&amp;usg=AFQjCNHvAGxN3xWRUSLLl_UyuasEunPKlg" xr:uid="{2EB84B1F-6043-48E7-8A44-AE6D5AA54C81}"/>
    <hyperlink ref="F234" r:id="rId420" display="https://www.google.com/url?q=https://github.com/mostafa-saad/MyCompetitiveProgramming/blob/master/Olympiad/CEOI/CEOI-06-Queue.txt&amp;sa=D&amp;ust=1605639832082000&amp;usg=AFQjCNF8X6TvLKISK8H4hGJc41AnqE07xw" xr:uid="{D8C502DD-4F8F-4979-BF1A-BC19F58A21B4}"/>
    <hyperlink ref="B235" r:id="rId421" display="https://www.google.com/url?q=https://cses.fi/185/list/&amp;sa=D&amp;ust=1605639832083000&amp;usg=AFQjCNG4upfdt8l5i7Ev7eM2sbxGVFYybg" xr:uid="{B2A4DB16-87CF-45FF-963B-05EF212B3138}"/>
    <hyperlink ref="F235" r:id="rId422" display="https://www.google.com/url?q=https://github.com/mostafa-saad/MyCompetitiveProgramming/blob/master/Olympiad/CEOI/CEOI-06-Walk.txt&amp;sa=D&amp;ust=1605639832083000&amp;usg=AFQjCNHW2DrQIxTf5iI1T1xoju2RZORUzg" xr:uid="{FFD45929-928A-49E5-8357-E02AC298A59F}"/>
    <hyperlink ref="B236" r:id="rId423" display="https://www.google.com/url?q=https://cses.fi/188/list/&amp;sa=D&amp;ust=1605639832083000&amp;usg=AFQjCNHpui5gg8ZebvI1up5Uce9-YHsSPQ" xr:uid="{18340345-5D5D-4395-A967-834009E82636}"/>
    <hyperlink ref="B237" r:id="rId424" display="https://www.google.com/url?q=https://cses.fi/187/list/&amp;sa=D&amp;ust=1605639832084000&amp;usg=AFQjCNGD6TaVv8obH9PCVJvumIVPnodImQ" xr:uid="{93864B63-BB30-42C0-8BE9-87359F73B1E2}"/>
    <hyperlink ref="B238" r:id="rId425" display="https://www.google.com/url?q=https://cses.fi/187/list/&amp;sa=D&amp;ust=1605639832084000&amp;usg=AFQjCNGD6TaVv8obH9PCVJvumIVPnodImQ" xr:uid="{7716DBBB-C921-405B-A304-AD085CB99934}"/>
    <hyperlink ref="B239" r:id="rId426" display="https://www.google.com/url?q=https://cses.fi/188/list/&amp;sa=D&amp;ust=1605639832085000&amp;usg=AFQjCNF1EHNzJVfTzxtJbyBbl5ZqMikALg" xr:uid="{3E04AC4F-264F-42E9-8A2C-99D98F8F5752}"/>
    <hyperlink ref="B240" r:id="rId427" display="https://www.google.com/url?q=https://cses.fi/187/list/&amp;sa=D&amp;ust=1605639832085000&amp;usg=AFQjCNEXoxozx3QytZtDAa8dbh6ReWloVw" xr:uid="{673477D0-06F8-48CB-8678-469878F00DED}"/>
    <hyperlink ref="B241" r:id="rId428" display="https://www.google.com/url?q=https://cses.fi/188/list/&amp;sa=D&amp;ust=1605639832086000&amp;usg=AFQjCNHPE9hvRA8TVdDvK0341aiGU-KEWQ" xr:uid="{4E714249-78BC-4EA7-9254-4E2FFF51D3A4}"/>
    <hyperlink ref="B242" r:id="rId429" display="https://www.google.com/url?q=https://cses.fi/189/list/&amp;sa=D&amp;ust=1605639832086000&amp;usg=AFQjCNGtXbfMGAPu8BUGeeQFLzHyQuISiw" xr:uid="{D59C3E25-C220-478B-BC08-B550095BB460}"/>
    <hyperlink ref="F242" r:id="rId430" display="https://www.google.com/url?q=https://github.com/mostafa-saad/MyCompetitiveProgramming/blob/master/Olympiad/CEOI/CEOI-08-Dominance.txt&amp;sa=D&amp;ust=1605639832086000&amp;usg=AFQjCNEbKMEJ2nC5l3NtgIxSwaQwLv05gg" xr:uid="{1BCD0F6B-90C6-425C-9709-F29685744D4D}"/>
    <hyperlink ref="B243" r:id="rId431" display="https://www.google.com/url?q=https://cses.fi/190/list/&amp;sa=D&amp;ust=1605639832087000&amp;usg=AFQjCNGaeZEpTu0eUF0BWh6QypchvlnG9g" xr:uid="{CEC18F30-1046-421F-A9ED-FA7D91763E09}"/>
    <hyperlink ref="F243" r:id="rId432" display="https://www.google.com/url?q=https://github.com/mostafa-saad/MyCompetitiveProgramming/blob/master/Olympiad/CEOI/CEOI-08-Fence.txt&amp;sa=D&amp;ust=1605639832087000&amp;usg=AFQjCNF6Z0soQDIpxlXtmWDXF6P4Qv5B4A" xr:uid="{91C1C97D-E0E5-4FED-B159-21A099CBDD4A}"/>
    <hyperlink ref="B244" r:id="rId433" display="https://www.google.com/url?q=https://cses.fi/189/list/&amp;sa=D&amp;ust=1605639832087000&amp;usg=AFQjCNEpzGknB3naGn6EiaIZSpIFwuZ8tg" xr:uid="{50EC06F9-862E-4DBE-9E0E-7A3BB80F5E5F}"/>
    <hyperlink ref="F244" r:id="rId434" display="https://www.google.com/url?q=https://github.com/mostafa-saad/MyCompetitiveProgramming/tree/master/Olympiad/CEOI/official/2008&amp;sa=D&amp;ust=1605639832087000&amp;usg=AFQjCNGeKSr9JUlF-VHL35Y0kpJVpEB9kA" xr:uid="{FC8C0F1D-9886-40BB-9CEB-774EC8C7DFE9}"/>
    <hyperlink ref="B245" r:id="rId435" display="https://www.google.com/url?q=https://cses.fi/189/list/&amp;sa=D&amp;ust=1605639832088000&amp;usg=AFQjCNEquxZUnheTkbUjA-CBz62s1-yiBA" xr:uid="{6564D115-B918-4F92-B9F6-1B5EEB57E3A4}"/>
    <hyperlink ref="F245" r:id="rId436" display="https://www.google.com/url?q=https://github.com/mostafa-saad/MyCompetitiveProgramming/blob/master/Olympiad/CEOI/CEOI-08-Knights.txt&amp;sa=D&amp;ust=1605639832088000&amp;usg=AFQjCNEnJgHX_o98CjN8o-hGPFqA1iUoCg" xr:uid="{388C62BB-2A1C-4844-A1C4-22470658EC5E}"/>
    <hyperlink ref="B246" r:id="rId437" display="https://www.google.com/url?q=https://cses.fi/190/list/&amp;sa=D&amp;ust=1605639832088000&amp;usg=AFQjCNECMOV6rEni6ed8A4h4CeCuclelLg" xr:uid="{58FD7933-AF0E-454D-8EBF-A2A0487815B0}"/>
    <hyperlink ref="F246" r:id="rId438" display="https://www.google.com/url?q=https://github.com/mostafa-saad/MyCompetitiveProgramming/tree/master/Olympiad/CEOI/official/2008&amp;sa=D&amp;ust=1605639832088000&amp;usg=AFQjCNFdzJMPxPF5yEP7pqBBbo_Fvae6uA" xr:uid="{8F2336FC-908D-4200-8D01-F02F01DA88F3}"/>
    <hyperlink ref="B247" r:id="rId439" display="https://www.google.com/url?q=https://cses.fi/190/list/&amp;sa=D&amp;ust=1605639832089000&amp;usg=AFQjCNG67IvjLuMusH9p5z5-jUJ27bsIgg" xr:uid="{A4CAEDB3-931E-44CC-98C8-5ACCF0F3A2C8}"/>
    <hyperlink ref="F247" r:id="rId440" display="https://www.google.com/url?q=https://github.com/mostafa-saad/MyCompetitiveProgramming/blob/master/Olympiad/CEOI/CEOI-08-Snake.txt&amp;sa=D&amp;ust=1605639832089000&amp;usg=AFQjCNGdUeDvwA4-THuU_mWZJYDENTTYnA" xr:uid="{97581EC8-7862-46D7-9DFE-B968DB40EC5B}"/>
    <hyperlink ref="B248" r:id="rId441" display="https://www.google.com/url?q=https://cses.fi/179/list/&amp;sa=D&amp;ust=1605639832089000&amp;usg=AFQjCNF5bRid2Df7pDOG3nNF5krX0LGlxw" xr:uid="{ECADDCD1-4347-4EDB-BD0D-198396516A78}"/>
    <hyperlink ref="F248" r:id="rId442" display="https://www.google.com/url?q=https://github.com/mostafa-saad/MyCompetitiveProgramming/blob/master/Olympiad/CEOI/CEOI-09-Boxes.txt&amp;sa=D&amp;ust=1605639832089000&amp;usg=AFQjCNGecq7xEBb_cX-Su2u9ZZv6hWAYJw" xr:uid="{565A0191-38A7-44FA-A57F-F2ADE1E7B46E}"/>
    <hyperlink ref="B249" r:id="rId443" display="https://www.google.com/url?q=https://cses.fi/179/list/&amp;sa=D&amp;ust=1605639832090000&amp;usg=AFQjCNFP7QArlo58foGKhIitP0pWZ0R39A" xr:uid="{EBF40171-627A-45B9-A912-EF57EF6453EC}"/>
    <hyperlink ref="F249" r:id="rId444" display="https://www.google.com/url?q=https://github.com/mostafa-saad/MyCompetitiveProgramming/tree/master/Olympiad/CEOI/official/2009&amp;sa=D&amp;ust=1605639832091000&amp;usg=AFQjCNG4GNatseUYDceCUnFsDBAbYy4FPQ" xr:uid="{69B89D85-5076-412B-BA00-816D121A7DFD}"/>
    <hyperlink ref="B250" r:id="rId445" display="https://www.google.com/url?q=https://cses.fi/180/list/&amp;sa=D&amp;ust=1605639832091000&amp;usg=AFQjCNH_pTvuFKQ8Z777BWFh4nQOGgtyYg" xr:uid="{51D46A92-8AE3-491B-B1BB-946A1D7CA255}"/>
    <hyperlink ref="F250" r:id="rId446" display="https://www.google.com/url?q=https://github.com/MetalBall887/Competitive-Programming/blob/master/Olympiad/CEOI/CEOI%252009-Logs.cpp&amp;sa=D&amp;ust=1605639832091000&amp;usg=AFQjCNHQYwUqX3fhYa9doOLNGN0yLjCkOw" xr:uid="{724AFB58-124E-4FD0-9DAE-C73FACDC5EDD}"/>
    <hyperlink ref="B251" r:id="rId447" display="https://www.google.com/url?q=https://cses.fi/179/list/&amp;sa=D&amp;ust=1605639832092000&amp;usg=AFQjCNE0BT6FEdKy1TDJoyNMfV8POGthlQ" xr:uid="{FE363C8E-0A49-47F2-AA77-520C12DE2067}"/>
    <hyperlink ref="F251" r:id="rId448" display="https://www.google.com/url?q=https://github.com/mostafa-saad/MyCompetitiveProgramming/blob/master/Olympiad/CEOI/CEOI-09-Photo.txt&amp;sa=D&amp;ust=1605639832092000&amp;usg=AFQjCNHVBDQg3cs3x3OeKq7oy97GhLrusg" xr:uid="{CB4B9BE6-24BF-49D3-8C05-3DD5CDB0511E}"/>
    <hyperlink ref="B252" r:id="rId449" display="https://www.google.com/url?q=https://cses.fi/180/list/&amp;sa=D&amp;ust=1605639832092000&amp;usg=AFQjCNEafgd8eLgDYQGrM17tVUrhHL93pA" xr:uid="{30EFB504-2226-4F31-9AB8-2F32CDAA0A44}"/>
    <hyperlink ref="F252" r:id="rId450" display="https://www.google.com/url?q=https://github.com/mostafa-saad/MyCompetitiveProgramming/blob/master/Olympiad/CEOI/CEOI-09-Sorting.txt&amp;sa=D&amp;ust=1605639832092000&amp;usg=AFQjCNFWluvtZ9IEe0d0JQP4vT8XAqyVhQ" xr:uid="{BBA037EE-2108-43F3-B51B-5F1F4FA1EF8A}"/>
    <hyperlink ref="B253" r:id="rId451" display="https://www.google.com/url?q=https://cses.fi/180/list/&amp;sa=D&amp;ust=1605639832093000&amp;usg=AFQjCNHoBAKOg7NxCWmp5qLjmZoI7dFcnw" xr:uid="{8C896171-B86B-453E-95C0-D82426731A68}"/>
    <hyperlink ref="F253" r:id="rId452" display="https://www.google.com/url?q=https://github.com/mostafa-saad/MyCompetitiveProgramming/tree/master/Olympiad/CEOI/official/2009&amp;sa=D&amp;ust=1605639832093000&amp;usg=AFQjCNHRtkGbEbyhIMjg4_I9kgO554_54Q" xr:uid="{10D29224-E106-4DC3-8801-EBDB828E14A8}"/>
    <hyperlink ref="B254" r:id="rId453" display="https://www.google.com/url?q=https://szkopul.edu.pl/problemset/problem/4Pgr_vmxb_fPeFSn1NTJPqQa/site/&amp;sa=D&amp;ust=1605639832093000&amp;usg=AFQjCNHiLlvro5a_SSte3BRTOiDbLdKkUw" xr:uid="{AB72720A-C4ED-4991-919C-F149347C8B20}"/>
    <hyperlink ref="B255" r:id="rId454" display="https://www.google.com/url?q=https://szkopul.edu.pl/problemset/problem/-e02GdqRC4OgV8Hjb852pqQ9/site/&amp;sa=D&amp;ust=1605639832093000&amp;usg=AFQjCNF2WsjOkvruypKKLnRIjX5BrGWDcw" xr:uid="{AF1BC466-DF1F-4FA0-9B40-0D3692FE4424}"/>
    <hyperlink ref="B256" r:id="rId455" display="https://www.google.com/url?q=https://cses.fi/197/list/&amp;sa=D&amp;ust=1605639832094000&amp;usg=AFQjCNGzl1t20qvWXY1gkLuLd17bCy5Q3A" xr:uid="{C3CA237B-3A76-4637-AA3E-FE2CD895CDEE}"/>
    <hyperlink ref="B257" r:id="rId456" display="https://www.google.com/url?q=https://szkopul.edu.pl/problemset/problem/M09kYLBv3P6homsLzx_fmpgn/site/&amp;sa=D&amp;ust=1605639832094000&amp;usg=AFQjCNFEocF9a8AezBEv3Pz0b9wkp0gwiQ" xr:uid="{EB6DA8F4-8E41-4808-943C-D14E97180C91}"/>
    <hyperlink ref="B258" r:id="rId457" display="https://www.google.com/url?q=https://szkopul.edu.pl/problemset/problem/v6-xa-25AJSF4_oV5LAKvz7H/site/&amp;sa=D&amp;ust=1605639832095000&amp;usg=AFQjCNF78ZoAWdKPgQTHs-J0EoA2Wqwj5w" xr:uid="{04E79041-6ADE-4474-8862-A21214A8EA07}"/>
    <hyperlink ref="F258" r:id="rId458" display="https://www.google.com/url?q=https://github.com/mostafa-saad/MyCompetitiveProgramming/blob/master/Olympiad/CEOI/CEOI%252010-pin.cpp&amp;sa=D&amp;ust=1605639832095000&amp;usg=AFQjCNGO89Cx8oabZgMmWBJWO_RA6XlsbA" xr:uid="{3B67BDA5-E5D8-470F-8134-08EF7D2095BA}"/>
    <hyperlink ref="B259" r:id="rId459" display="https://www.google.com/url?q=https://szkopul.edu.pl/problemset/problem/5TfG0f1dOXc2sUTq9NMM9zSD/site/&amp;sa=D&amp;ust=1605639832095000&amp;usg=AFQjCNHm8ihGmAV3w19Xqf780HLvmlLwLg" xr:uid="{8141D7A8-F5D2-48FA-A45E-AE89C3A80BE7}"/>
    <hyperlink ref="F259" r:id="rId460" display="https://www.google.com/url?q=https://github.com/mostafa-saad/MyCompetitiveProgramming/blob/master/Olympiad/CEOI/CEOI-10-Tower.txt&amp;sa=D&amp;ust=1605639832095000&amp;usg=AFQjCNFecgq_63T0Nj-0BwggH5SUIUKBlA" xr:uid="{4B92C0D5-19AB-4490-924B-CDFD5E3E2A20}"/>
    <hyperlink ref="B260" r:id="rId461" display="https://www.google.com/url?q=https://szkopul.edu.pl/problemset/problem/XcxwG3EBHwd-6_fIF1NG3Wfg/site/?key%3Dstatement&amp;sa=D&amp;ust=1605639832096000&amp;usg=AFQjCNFWY_SoELTeNetkJEsq9X9KC2k7Cg" xr:uid="{711837E5-2E2D-428E-870B-B18A9D6299AA}"/>
    <hyperlink ref="B261" r:id="rId462" display="https://www.google.com/url?q=https://szkopul.edu.pl/problemset/problem/a9Oxizbg6JUS3CkEZr9BOd_H/site/?key%3Dstatement&amp;sa=D&amp;ust=1605639832096000&amp;usg=AFQjCNG0LAbzoKMHlMWoNS-FAf-MqZ0ZaQ" xr:uid="{1E80A970-44A9-4DE3-B576-D6DBE087A10A}"/>
    <hyperlink ref="F261" r:id="rId463" display="https://www.google.com/url?q=https://github.com/mostafa-saad/MyCompetitiveProgramming/blob/master/Olympiad/CEOI/CEOI-11-Hotel.txt&amp;sa=D&amp;ust=1605639832096000&amp;usg=AFQjCNGUqLBljhU1qmWCttsNvxyngVccAQ" xr:uid="{8061E07B-0780-45E0-A7F4-EB0D8FC94CFF}"/>
    <hyperlink ref="B262" r:id="rId464" display="https://www.google.com/url?q=https://szkopul.edu.pl/problemset/problem/in7jx1ATY7fnkmK87b9m_Nu_/site/&amp;sa=D&amp;ust=1605639832097000&amp;usg=AFQjCNFfvAybZMihbq6bhY4dPwEa9_4QrA" xr:uid="{5BCD88F0-5495-4179-9E5E-C9054A4B3537}"/>
    <hyperlink ref="F262" r:id="rId465" display="https://www.google.com/url?q=https://github.com/mostafa-saad/MyCompetitiveProgramming/blob/master/Olympiad/CEOI/official/2011/&amp;sa=D&amp;ust=1605639832097000&amp;usg=AFQjCNHkFBXubI81oYa1KH94suyXNAu-xw" xr:uid="{E3043FE2-22CA-442C-ADDB-A988E108DD34}"/>
    <hyperlink ref="B263" r:id="rId466" display="https://www.google.com/url?q=https://szkopul.edu.pl/problemset/problem/XZhW8DteK37aYwrB_JoHxd2E/site/&amp;sa=D&amp;ust=1605639832097000&amp;usg=AFQjCNGgWdkX4EMwVPmEoNY_Pt04dAjmrg" xr:uid="{8B1FC766-A292-4DA9-B747-D4A139B543C7}"/>
    <hyperlink ref="F263" r:id="rId467" display="https://www.google.com/url?q=https://github.com/mostafa-saad/MyCompetitiveProgramming/blob/master/Olympiad/CEOI/CEOI-11-Similarity.txt&amp;sa=D&amp;ust=1605639832097000&amp;usg=AFQjCNFP4y-9v-2h732MLYfaqlR6fwkLBg" xr:uid="{5660F23B-71D1-403E-8466-C9853622903F}"/>
    <hyperlink ref="B264" r:id="rId468" display="https://www.google.com/url?q=https://oj.uz/problem/view/CEOI11_tea&amp;sa=D&amp;ust=1605639832098000&amp;usg=AFQjCNGpQKOhaq1ToUBaCbheeL9KumR76Q" xr:uid="{10E7E080-A825-4091-834F-2DEEEF6B32DD}"/>
    <hyperlink ref="F264" r:id="rId469" display="https://www.google.com/url?q=https://github.com/mostafa-saad/MyCompetitiveProgramming/blob/master/Olympiad/CEOI/CEOI-11-Teams.txt&amp;sa=D&amp;ust=1605639832098000&amp;usg=AFQjCNFhRyc5LGuVrz_zOOGC0neHaJT8Kw" xr:uid="{9D5C611C-A307-4F99-9A0B-DB974ED614D4}"/>
    <hyperlink ref="B265" r:id="rId470" display="https://www.google.com/url?q=https://szkopul.edu.pl/problemset/problem/pWnFB3uRHH0y29PwkMBS2T0Z/site/&amp;sa=D&amp;ust=1605639832098000&amp;usg=AFQjCNEEB6u-xkfpP-S1aQNu8PxQ9nWlGw" xr:uid="{59E15541-695C-4B7A-B5FF-0D9C61A3F119}"/>
    <hyperlink ref="F265" r:id="rId471" display="https://www.google.com/url?q=https://github.com/mostafa-saad/MyCompetitiveProgramming/blob/master/Olympiad/CEOI/CEOI-11-Traffic.txt&amp;sa=D&amp;ust=1605639832099000&amp;usg=AFQjCNHZdElHW577SDSMPV_hJIVy7xc5jw" xr:uid="{DF7D7706-4F87-4136-93EF-9A6DD0525906}"/>
    <hyperlink ref="B266" r:id="rId472" display="https://www.google.com/url?q=https://oj.uz/problem/view/CEOI12_circuit&amp;sa=D&amp;ust=1605639832099000&amp;usg=AFQjCNFF_6SKrT11MhTbIC3p9lG5uw8r0g" xr:uid="{124BCACA-F908-4CC9-B1EA-807ED95B1104}"/>
    <hyperlink ref="F266" r:id="rId473" display="https://www.google.com/url?q=https://github.com/mostafa-saad/MyCompetitiveProgramming/blob/master/Olympiad/CEOI/CEOI-12-circuit.txt&amp;sa=D&amp;ust=1605639832099000&amp;usg=AFQjCNFNU1VlqqA7CdZKVKgVTj_hO6GZUg" xr:uid="{2F44FDD3-15AE-4581-B87B-73A75BE37E8F}"/>
    <hyperlink ref="B267" r:id="rId474" display="https://www.google.com/url?q=https://oj.uz/problem/view/CEOI12_highway&amp;sa=D&amp;ust=1605639832099000&amp;usg=AFQjCNFp51SDqiEe0SKtQJc1EmpNNmUcAw" xr:uid="{1A31D91A-E545-4DD3-B664-4D7F27E74121}"/>
    <hyperlink ref="F267" r:id="rId475" display="https://www.google.com/url?q=https://github.com/tmwilliamlin168/CompetitiveProgramming/blob/master/CEOI/12-Highway.cpp&amp;sa=D&amp;ust=1605639832100000&amp;usg=AFQjCNH2voMz3HVawkAfdktPk9djjpfgeA" xr:uid="{B93903BB-C7CD-461D-A165-AC53AFA057A6}"/>
    <hyperlink ref="B268" r:id="rId476" display="https://www.google.com/url?q=https://oj.uz/problem/view/CEOI12_jobs&amp;sa=D&amp;ust=1605639832100000&amp;usg=AFQjCNGKrLbmLqHgjs1YDGdLgJlNYBsRYw" xr:uid="{D0DDFC50-3645-4193-9A9A-72BCEC88A2DB}"/>
    <hyperlink ref="F268" r:id="rId477" display="https://www.google.com/url?q=https://github.com/SpeedOfMagic/CompetitiveProgramming/blob/master/CEOI/CEOI%252012-Jobs.cpp&amp;sa=D&amp;ust=1605639832101000&amp;usg=AFQjCNE0XewEc-opFYqgBQFW3qfgu7pkmQ" xr:uid="{2B9DB5F8-E84B-4E78-BB74-77BA3001FB8B}"/>
    <hyperlink ref="B269" r:id="rId478" display="https://www.google.com/url?q=https://oj.uz/problem/view/CEOI12_race&amp;sa=D&amp;ust=1605639832101000&amp;usg=AFQjCNHHIheNN2fpu-Wr39m0gLsiotoM_Q" xr:uid="{9BAC13EF-208F-413C-A74F-CAC673A1F5E9}"/>
    <hyperlink ref="F269" r:id="rId479" display="https://www.google.com/url?q=https://github.com/mostafa-saad/MyCompetitiveProgramming/blob/master/Olympiad/CEOI/CEOI-12-race.txt&amp;sa=D&amp;ust=1605639832101000&amp;usg=AFQjCNGwa-iN3NJrpTp227eNopUyzl_rqQ" xr:uid="{6B2C26FD-9D98-454F-BC0D-12DE60871959}"/>
    <hyperlink ref="B270" r:id="rId480" display="https://www.google.com/url?q=https://oj.uz/problems/source/60&amp;sa=D&amp;ust=1605639832101000&amp;usg=AFQjCNF7ynkNatKBBeLMpi0ym910Y6bArQ" xr:uid="{A81DD0E9-D863-4C5A-A341-E6252D914759}"/>
    <hyperlink ref="F270" r:id="rId481" display="https://www.google.com/url?q=https://github.com/tmwilliamlin168/CompetitiveProgramming/blob/master/CEOI/13-Adriatic.cpp&amp;sa=D&amp;ust=1605639832102000&amp;usg=AFQjCNEpo23HyUlpqJmslDRdNbfnKIyHAA" xr:uid="{C26AE1B5-5B88-4FC0-9249-C1AEB2A5F991}"/>
    <hyperlink ref="B271" r:id="rId482" display="https://www.google.com/url?q=https://oj.uz/problems/source/60&amp;sa=D&amp;ust=1605639832102000&amp;usg=AFQjCNFiCzA9VhKxt2lyF6PST3xnfLf72A" xr:uid="{8A8A2C2D-5310-469B-9217-7E141DCCCDF0}"/>
    <hyperlink ref="F271" r:id="rId483" display="https://www.google.com/url?q=https://github.com/mostafa-saad/MyCompetitiveProgramming/blob/master/Olympiad/CEOI/CEOI-13-board.txt&amp;sa=D&amp;ust=1605639832102000&amp;usg=AFQjCNE2YtT0RrL3uRPJ0CBrBUWozbz9Ww" xr:uid="{69326972-D7F5-4230-A6BB-D5F71FD06ABC}"/>
    <hyperlink ref="B272" r:id="rId484" display="https://www.google.com/url?q=https://www.acmicpc.net/problem/9282&amp;sa=D&amp;ust=1605639832102000&amp;usg=AFQjCNHxpZNbXl_R_lFjnkwkOy-D0VpNDg" xr:uid="{FDDD2517-7C53-4D50-A6B3-F494EEA485E3}"/>
    <hyperlink ref="F272" r:id="rId485" display="https://www.google.com/url?q=https://github.com/mostafa-saad/MyCompetitiveProgramming/blob/master/Olympiad/CEOI/official/2013&amp;sa=D&amp;ust=1605639832102000&amp;usg=AFQjCNF0XzQl9DkzhfcVhUPSR3_kTgRT8A" xr:uid="{A7048D15-4B12-4429-80DC-101610AB17BC}"/>
    <hyperlink ref="B273" r:id="rId486" display="https://www.google.com/url?q=https://oj.uz/problems/source/59&amp;sa=D&amp;ust=1605639832103000&amp;usg=AFQjCNE3OnW33VLHOP5oydLHKPZlalkS7w" xr:uid="{5F55BE3D-E01C-499D-BF6A-32673CD124C2}"/>
    <hyperlink ref="F273" r:id="rId487" display="https://www.google.com/url?q=https://github.com/tmwilliamlin168/CompetitiveProgramming/blob/master/CEOI/13-Tram.cpp&amp;sa=D&amp;ust=1605639832103000&amp;usg=AFQjCNHQP4FH3x3dBIh8unI1Z4aam-Pv6Q" xr:uid="{81C7646B-D88D-47A0-8024-4D780D2D2463}"/>
    <hyperlink ref="B274" r:id="rId488" display="https://www.google.com/url?q=https://oj.uz/problems/source/59&amp;sa=D&amp;ust=1605639832103000&amp;usg=AFQjCNE3OnW33VLHOP5oydLHKPZlalkS7w" xr:uid="{63DAF25C-63D4-41EF-87EA-70C5D54B0CEE}"/>
    <hyperlink ref="F274" r:id="rId489" display="https://www.google.com/url?q=https://github.com/mostafa-saad/MyCompetitiveProgramming/blob/master/Olympiad/CEOI/CEOI-13-treasure2.txt&amp;sa=D&amp;ust=1605639832104000&amp;usg=AFQjCNHsvhBoTKkJi7n1CwYde-XZSdupwQ" xr:uid="{7AB0F59B-56CF-41C0-9F7F-EF76FF2998AE}"/>
    <hyperlink ref="B275" r:id="rId490" display="https://www.google.com/url?q=https://dunjudge.me/analysis/problems/802/&amp;sa=D&amp;ust=1605639832104000&amp;usg=AFQjCNEk1jkwwih3ZZnv3--heOnLJrAWZA" xr:uid="{32864882-F8B1-4453-9320-EFD38551A76A}"/>
    <hyperlink ref="F275" r:id="rId491" display="https://www.google.com/url?q=https://github.com/mostafa-saad/MyCompetitiveProgramming/blob/master/Olympiad/CEOI/official/2013&amp;sa=D&amp;ust=1605639832104000&amp;usg=AFQjCNHgkFYF15Ho6d052lfVrPa_WCYCnA" xr:uid="{DDE96286-76E6-4572-B22D-2115137D0A09}"/>
    <hyperlink ref="B276" r:id="rId492" display="https://www.google.com/url?q=https://oj.uz/problems/source/121&amp;sa=D&amp;ust=1605639832104000&amp;usg=AFQjCNHKnhdzYtF9mbGnU8qwb2eNTesjdw" xr:uid="{B41E43B8-6698-4F25-A758-9C1076E35D43}"/>
    <hyperlink ref="F276" r:id="rId493" display="https://www.google.com/url?q=https://github.com/tmwilliamlin168/CompetitiveProgramming/blob/master/CEOI/14-007.cpp&amp;sa=D&amp;ust=1605639832105000&amp;usg=AFQjCNFuiDBeG94Mho-TqG3wNAJ2k9m9_w" xr:uid="{8DC2EE57-C8D8-4C9A-9077-6FAEEEA2F720}"/>
    <hyperlink ref="B277" r:id="rId494" display="https://www.google.com/url?q=https://oj.uz/problems/source/121&amp;sa=D&amp;ust=1605639832105000&amp;usg=AFQjCNE_gUH1iMRyxQzwLp1zpHTBpLQH8w" xr:uid="{062E5E0E-7275-46D1-A0AF-29A18A37AE7B}"/>
    <hyperlink ref="F277" r:id="rId495" display="https://www.google.com/url?q=https://github.com/stefdasca/CompetitiveProgramming/blob/master/CEOI/CEOI%252014-cake.cpp&amp;sa=D&amp;ust=1605639832105000&amp;usg=AFQjCNEyEEhqXMll8gpBNjcID-UzGmlfgQ" xr:uid="{66D9C7EC-F958-4DEB-859A-02B035A50761}"/>
    <hyperlink ref="B278" r:id="rId496" display="https://www.google.com/url?q=https://oj.uz/problems/source/120&amp;sa=D&amp;ust=1605639832106000&amp;usg=AFQjCNGjzk5MPphoncSPfK62kM7xjYKktA" xr:uid="{7F820420-4B2B-4A30-91DA-EB98C21BB1C8}"/>
    <hyperlink ref="F278" r:id="rId497" display="https://www.google.com/url?q=https://github.com/mostafa-saad/MyCompetitiveProgramming/blob/master/Olympiad/CEOI/CEOI-14-carnival.txt&amp;sa=D&amp;ust=1605639832106000&amp;usg=AFQjCNFnrom8rIuC82gKfm7XzzD_IZ7S9g" xr:uid="{2CBA3D5A-547F-47A0-9831-70882ADE4005}"/>
    <hyperlink ref="B279" r:id="rId498" display="https://www.google.com/url?q=https://oj.uz/problems/source/120&amp;sa=D&amp;ust=1605639832106000&amp;usg=AFQjCNGjzk5MPphoncSPfK62kM7xjYKktA" xr:uid="{833543F6-18D3-43E1-A527-BC25609ADC78}"/>
    <hyperlink ref="F279" r:id="rId499" display="https://www.google.com/url?q=https://github.com/tmwilliamlin168/CompetitiveProgramming/blob/master/CEOI/14-Fangorn.cpp&amp;sa=D&amp;ust=1605639832106000&amp;usg=AFQjCNFNOfFeACeUH2kF7E3TW0yjtvVj1g" xr:uid="{135EB080-FA5C-47B1-A232-3F519A3BA614}"/>
    <hyperlink ref="B280" r:id="rId500" display="https://www.google.com/url?q=https://oj.uz/problems/source/120&amp;sa=D&amp;ust=1605639832107000&amp;usg=AFQjCNEM7y-WjM4Kd7m7xGmZcbHoiqMhkg" xr:uid="{FC90440C-A636-4553-8BDE-135B042E5489}"/>
    <hyperlink ref="B281" r:id="rId501" display="https://www.google.com/url?q=https://oj.uz/problems/source/121&amp;sa=D&amp;ust=1605639832107000&amp;usg=AFQjCNFaruONyuTBK9i8aJuoSsJTcf_OEA" xr:uid="{48E7BDF9-6CDE-466C-BE5D-7058E0A8F231}"/>
    <hyperlink ref="F281" r:id="rId502" display="https://www.google.com/url?q=https://github.com/tmwilliamlin168/CompetitiveProgramming/blob/master/CEOI/14-Wall.cpp&amp;sa=D&amp;ust=1605639832107000&amp;usg=AFQjCNE3hahQUad7Ah1GYfO6DIayiRfLdA" xr:uid="{48535378-57DA-441C-85CA-816FC2A774A1}"/>
    <hyperlink ref="B282" r:id="rId503" display="https://www.google.com/url?q=https://oj.uz/problem/view/CEOI15_bobek&amp;sa=D&amp;ust=1605639832108000&amp;usg=AFQjCNHU5ElAHSapcocs5ioxUr8eRe6zWw" xr:uid="{6C87D014-07A6-4418-B9DF-8D4D795A097E}"/>
    <hyperlink ref="F282" r:id="rId504" display="https://www.google.com/url?q=https://github.com/SpeedOfMagic/CompetitiveProgramming/blob/master/CEOI/15-bobek.cpp&amp;sa=D&amp;ust=1605639832108000&amp;usg=AFQjCNFCxpZuBbY0MoxIP9mFdv6_yX1WgQ" xr:uid="{5AFEDD80-8A5B-4B83-B559-F1154FC47DBB}"/>
    <hyperlink ref="B283" r:id="rId505" display="https://www.google.com/url?q=https://oj.uz/problems/source/245&amp;sa=D&amp;ust=1605639832108000&amp;usg=AFQjCNH-Yug4KoIgYC5v5VIf4OxKOCrV5Q" xr:uid="{7DDDC21E-19F1-4AE8-94EA-A0F348CFFFCC}"/>
    <hyperlink ref="F283" r:id="rId506" display="https://www.google.com/url?q=https://github.com/luciocf/OI-Problems/blob/master/CEOI/CEOI%25202015/potemkin.cpp&amp;sa=D&amp;ust=1605639832108000&amp;usg=AFQjCNEj9XDG4BPzSfI7gGwKdBrVC0u_5Q" xr:uid="{773D360F-93E1-447E-BF59-BE0C46ACF609}"/>
    <hyperlink ref="B284" r:id="rId507" display="https://www.google.com/url?q=https://oj.uz/problem/view/CEOI15_nuclearia&amp;sa=D&amp;ust=1605639832109000&amp;usg=AFQjCNF-Xr4G8lWQydofGER8nvsIi5YKSQ" xr:uid="{0D0C0F6F-3ACA-472C-9938-C14B2D8F66CE}"/>
    <hyperlink ref="F284" r:id="rId508" display="https://www.google.com/url?q=https://github.com/mostafa-saad/MyCompetitiveProgramming/tree/master/Olympiad/CEOI/official/2015/day2&amp;sa=D&amp;ust=1605639832109000&amp;usg=AFQjCNFGCwyWpDjirs6UJHWoqRCXUahV3Q" xr:uid="{05792CB8-ED45-4289-987D-D1A6BD7B173F}"/>
    <hyperlink ref="B285" r:id="rId509" display="https://www.google.com/url?q=https://oj.uz/problems/source/245&amp;sa=D&amp;ust=1605639832110000&amp;usg=AFQjCNE9U1zQhvWHMxmdjP4F6xxfge-7WA" xr:uid="{A2E339DC-10FF-442B-9C4C-BCEDF3A78B4C}"/>
    <hyperlink ref="B286" r:id="rId510" display="https://www.google.com/url?q=https://oj.uz/problems/source/245&amp;sa=D&amp;ust=1605639832111000&amp;usg=AFQjCNGIg6GhomO9fG_VtLIjSIXEpE2Kcg" xr:uid="{A7A39F66-4925-4CDF-9ED2-E39316FB2510}"/>
    <hyperlink ref="F286" r:id="rId511" display="https://www.google.com/url?q=https://github.com/mostafa-saad/MyCompetitiveProgramming/blob/master/Olympiad/CEOI/CEOI-15-teams.txt&amp;sa=D&amp;ust=1605639832111000&amp;usg=AFQjCNEVbw30BO0Mkhtmx-wpvWEMEeMu5g" xr:uid="{B3EFFA4D-36B2-40B5-8292-B1660FBBF923}"/>
    <hyperlink ref="B287" r:id="rId512" display="https://www.google.com/url?q=https://oj.uz/problem/view/CEOI16_icc&amp;sa=D&amp;ust=1605639832111000&amp;usg=AFQjCNH6dtgwDXfe8ADaaQCMEgPs6k0hOA" xr:uid="{83895DE7-0108-4CDB-B0F3-332380D3FB3C}"/>
    <hyperlink ref="F287" r:id="rId513" display="https://www.google.com/url?q=https://github.com/mostafa-saad/MyCompetitiveProgramming/blob/master/Olympiad/CEOI/CEOI-16-icc.txt&amp;sa=D&amp;ust=1605639832111000&amp;usg=AFQjCNE2jPB9D0aqsL3qikT8WfBay0XWdw" xr:uid="{05315C7C-7040-43AB-8455-C5A0995AC49B}"/>
    <hyperlink ref="B288" r:id="rId514" display="https://www.google.com/url?q=https://oj.uz/problem/view/CEOI16_kangaroo&amp;sa=D&amp;ust=1605639832112000&amp;usg=AFQjCNHuALKnh2z2lJVMotNB3RK07RW0_Q" xr:uid="{F6C0208D-A26A-4824-AA49-BBA6C86FBA16}"/>
    <hyperlink ref="F288" r:id="rId515" display="https://www.google.com/url?q=https://github.com/mostafa-saad/MyCompetitiveProgramming/blob/master/Olympiad/CEOI/CEOI-16-Kangaroo.txt&amp;sa=D&amp;ust=1605639832112000&amp;usg=AFQjCNF9959OI-ryJLuoJIyj65-mqrpxgA" xr:uid="{6C56CC4A-C091-41BA-9D91-04F80411BD87}"/>
    <hyperlink ref="B289" r:id="rId516" display="https://www.google.com/url?q=https://oj.uz/problems/source/197&amp;sa=D&amp;ust=1605639832112000&amp;usg=AFQjCNE9d1-blwFja-afPoD9tp4oyx4HOg" xr:uid="{E744D9FF-4A5C-4EA1-8037-D468DE895D41}"/>
    <hyperlink ref="F289" r:id="rId517" display="https://www.google.com/url?q=https://github.com/mostafa-saad/MyCompetitiveProgramming/blob/master/Olympiad/CEOI/CEOI-16-match.txt&amp;sa=D&amp;ust=1605639832112000&amp;usg=AFQjCNHEiOrmaL2hTVYkqMPI_f4eEUwMcQ" xr:uid="{0940672E-DEE6-4311-B3E3-83FBC1B3A4C1}"/>
    <hyperlink ref="B290" r:id="rId518" display="https://www.google.com/url?q=https://oj.uz/problems/source/197&amp;sa=D&amp;ust=1605639832113000&amp;usg=AFQjCNFDZJQyyhBWVC2erxlv3COFCsAo6w" xr:uid="{C32D0D86-33FD-45C2-A072-CABD496D62DF}"/>
    <hyperlink ref="F290" r:id="rId519" display="https://www.google.com/url?q=https://github.com/mostafa-saad/MyCompetitiveProgramming/blob/master/Olympiad/CEOI/CEOI-16-popeala.txt&amp;sa=D&amp;ust=1605639832113000&amp;usg=AFQjCNE3vrialT12Q_FbjEBTf3ZlMRHYEw" xr:uid="{48D82C87-027F-4D52-A160-9D504B617592}"/>
    <hyperlink ref="B291" r:id="rId520" display="https://www.google.com/url?q=https://cses.fi/194/list/&amp;sa=D&amp;ust=1605639832113000&amp;usg=AFQjCNE1B5HgNLBiCQADck5QlbV3wsNOQw" xr:uid="{29EA77C8-6D5B-4FDC-B973-9749853C8661}"/>
    <hyperlink ref="F291" r:id="rId521" display="https://www.google.com/url?q=https://github.com/SpeedOfMagic/CompetitiveProgramming/blob/master/CEOI/16-router.txt&amp;sa=D&amp;ust=1605639832113000&amp;usg=AFQjCNEDpyB5wY-P7YithxxX_I91fpg6Lw" xr:uid="{0292D81D-E520-4D50-A267-4F4C40C7950E}"/>
    <hyperlink ref="B292" r:id="rId522" display="https://www.google.com/url?q=https://cses.fi/193/list/&amp;sa=D&amp;ust=1605639832114000&amp;usg=AFQjCNEjilf1pYNxJr5IT11-lqCXnRa3AQ" xr:uid="{AD0B432E-168C-4748-8392-C49A5011B7FB}"/>
    <hyperlink ref="F292" r:id="rId523" display="https://www.google.com/url?q=https://github.com/mostafa-saad/MyCompetitiveProgramming/blob/master/Olympiad/CEOI/CEOI-16-trick.txt&amp;sa=D&amp;ust=1605639832114000&amp;usg=AFQjCNG5gxzfFFWWejXn4P4cUJXSqeWpYg" xr:uid="{0CE02E63-EBA6-4733-B8F7-CBA35A9AF291}"/>
    <hyperlink ref="B293" r:id="rId524" display="https://www.google.com/url?q=https://csacademy.com/contest/ceoi-2017-day-2/&amp;sa=D&amp;ust=1605639832114000&amp;usg=AFQjCNHEIv8I80U2NhLStTexkAPIxoYEVw" xr:uid="{3F25828E-A77E-4D76-A69C-78B699A22608}"/>
    <hyperlink ref="F293" r:id="rId525" display="https://www.google.com/url?q=https://github.com/mostafa-saad/MyCompetitiveProgramming/blob/master/Olympiad/CEOI/CEOI-17-Building.txt&amp;sa=D&amp;ust=1605639832114000&amp;usg=AFQjCNF6WIiBqGv5sJi3D51QBqfaKYaOyA" xr:uid="{17A41736-B961-47DE-91BC-973586699F5B}"/>
    <hyperlink ref="B294" r:id="rId526" display="https://www.google.com/url?q=https://csacademy.com/contest/ceoi-2017-day-2/&amp;sa=D&amp;ust=1605639832115000&amp;usg=AFQjCNG7O_0atP_6UBrMJA4HQAixzM2Jaw" xr:uid="{C94FE12B-241F-4BEB-A475-F5069C789F72}"/>
    <hyperlink ref="F294" r:id="rId527" display="https://www.google.com/url?q=https://github.com/samyravitoria/olympics-problems/blob/master/CEOI/2017/chase.cpp&amp;sa=D&amp;ust=1605639832115000&amp;usg=AFQjCNFporUQGC4AhKN31rHhVWgPpVAo9A" xr:uid="{CCF99EAC-179C-46E0-8F4D-7467E8F172CB}"/>
    <hyperlink ref="B295" r:id="rId528" display="https://www.google.com/url?q=https://csacademy.com/contest/ceoi-2017-day-1/tasks/&amp;sa=D&amp;ust=1605639832115000&amp;usg=AFQjCNFiIgaayHNHB-H-zyLd-4CSZ73w8w" xr:uid="{711FED0D-6FE5-435C-A15A-7DEA602F4107}"/>
    <hyperlink ref="F295" r:id="rId529" display="https://www.google.com/url?q=https://github.com/mostafa-saad/MyCompetitiveProgramming/tree/master/Olympiad/JOI/CEOI/official/2017&amp;sa=D&amp;ust=1605639832115000&amp;usg=AFQjCNGoI_Bn0yNewCdNC2V_4QM65o213Q" xr:uid="{99B25F0B-9155-4B50-ABB5-7CE88E3202BE}"/>
    <hyperlink ref="B296" r:id="rId530" display="https://www.google.com/url?q=https://csacademy.com/contest/ceoi-2017-day-1/tasks/&amp;sa=D&amp;ust=1605639832116000&amp;usg=AFQjCNEEqu_aeS4vP1gF8JfYzaODYkkgDw" xr:uid="{4E6FAC23-6B4F-47C6-9939-62E8E61946CE}"/>
    <hyperlink ref="F296" r:id="rId531" display="https://www.google.com/url?q=https://github.com/mostafa-saad/MyCompetitiveProgramming/blob/master/Olympiad/CEOI/CEOI-17-OneWay.txt&amp;sa=D&amp;ust=1605639832116000&amp;usg=AFQjCNEx65B84CSsc7i-xWQbZsZ9lM4VNA" xr:uid="{99481C02-8A46-4425-8285-03AA9078429E}"/>
    <hyperlink ref="B297" r:id="rId532" display="https://www.google.com/url?q=https://csacademy.com/contest/ceoi-2017-day-2/&amp;sa=D&amp;ust=1605639832116000&amp;usg=AFQjCNEEC1RGmTPkGxw_QRJS2j3aeZSVcA" xr:uid="{8D9B7E6A-B3C3-4920-BE6B-20CF229FE87B}"/>
    <hyperlink ref="B298" r:id="rId533" display="https://www.google.com/url?q=https://csacademy.com/contest/ceoi-2017-day-1/tasks/&amp;sa=D&amp;ust=1605639832116000&amp;usg=AFQjCNEEqu_aeS4vP1gF8JfYzaODYkkgDw" xr:uid="{931BB6E8-3249-4086-9C12-D0B655B01953}"/>
    <hyperlink ref="F298" r:id="rId534" display="https://www.google.com/url?q=https://github.com/tmwilliamlin168/CompetitiveProgramming/blob/master/CEOI/17-Sure.cpp&amp;sa=D&amp;ust=1605639832116000&amp;usg=AFQjCNGr0vXwAFLC4Uo3-cSB2gwHEg-ZPQ" xr:uid="{6331B413-A46F-4EE9-989B-A169D47B7AE7}"/>
    <hyperlink ref="B299" r:id="rId535" display="https://www.google.com/url?q=https://csacademy.com/contest/ceoi-2018-day-1/task/cloud-computing/&amp;sa=D&amp;ust=1605639832117000&amp;usg=AFQjCNFhzS3ciA24jXjAZfzaGd-qsVszJA" xr:uid="{0F38F67F-7F92-429E-961A-F566B9472C06}"/>
    <hyperlink ref="F299" r:id="rId536" display="https://www.google.com/url?q=https://github.com/mostafa-saad/MyCompetitiveProgramming/blob/master/Olympiad/CEOI/CEOI-18-Cloud.txt&amp;sa=D&amp;ust=1605639832117000&amp;usg=AFQjCNGqC80iBANKLH1ZIk-zjjSmYACXlw" xr:uid="{05D1EE93-B29C-46F4-89FD-1A521C6CFBFC}"/>
    <hyperlink ref="B300" r:id="rId537" display="https://www.google.com/url?q=https://oj.uz/problem/view/CEOI18_fib&amp;sa=D&amp;ust=1605639832117000&amp;usg=AFQjCNGJhtH9xV5UzcalKHMmrIkYuk-JZQ" xr:uid="{2FD0C9E7-A15F-435A-B755-5B8D9FA97BDE}"/>
    <hyperlink ref="F300" r:id="rId538" display="https://www.google.com/url?q=https://github.com/mostafa-saad/MyCompetitiveProgramming/tree/master/Olympiad/CEOI/official/2018/day2&amp;sa=D&amp;ust=1605639832117000&amp;usg=AFQjCNHkwkKY-M7ejHq-oSYNb9bIVN9jmg" xr:uid="{0A2B01C4-AD87-41AC-84D5-FB91B4BBFB50}"/>
    <hyperlink ref="B301" r:id="rId539" display="https://www.google.com/url?q=https://csacademy.com/contest/ceoi-2018-day-1/task/global-warming/&amp;sa=D&amp;ust=1605639832117000&amp;usg=AFQjCNHlZ6CpXJAJdBb2z4Cyq92E74-oOQ" xr:uid="{CFDFE71F-F929-429F-9FE1-8D5522F5D8F0}"/>
    <hyperlink ref="F301" r:id="rId540" display="https://www.google.com/url?q=https://github.com/mostafa-saad/MyCompetitiveProgramming/blob/master/Olympiad/CEOI/CEOI-18-Global.txt&amp;sa=D&amp;ust=1605639832118000&amp;usg=AFQjCNHyu0QENMVncWLmxs-0BTZsYIQGpQ" xr:uid="{A4DAF416-782B-43E1-9891-D505C5CC168C}"/>
    <hyperlink ref="B302" r:id="rId541" display="https://www.google.com/url?q=https://csacademy.com/contest/ceoi-2018-day-1/task/lottery/&amp;sa=D&amp;ust=1605639832118000&amp;usg=AFQjCNG1i3T2QeG39BT6lU1Wfml7osbkCA" xr:uid="{E206D024-F8E1-4123-8E20-7DB70B731825}"/>
    <hyperlink ref="F302" r:id="rId542" display="https://www.google.com/url?q=https://github.com/mostafa-saad/MyCompetitiveProgramming/blob/master/Olympiad/CEOI/CEOI-18-Lottery.txt&amp;sa=D&amp;ust=1605639832118000&amp;usg=AFQjCNHPT2S0Ky6-b1Npy2kEOL2_br2-4Q" xr:uid="{B6E3A8A0-FC3F-4990-A08F-76F63FAE874C}"/>
    <hyperlink ref="B303" r:id="rId543" display="https://www.google.com/url?q=https://oj.uz/problem/view/CEOI18_toy&amp;sa=D&amp;ust=1605639832119000&amp;usg=AFQjCNGUKbJRqHxwGDDmvt8JUjD6zcYOGA" xr:uid="{A17609A0-97F0-47A9-9EC4-448970F241F5}"/>
    <hyperlink ref="F303" r:id="rId544" display="https://www.google.com/url?q=https://github.com/tmwilliamlin168/CompetitiveProgramming/blob/master/CEOI/18-Toy.cpp&amp;sa=D&amp;ust=1605639832119000&amp;usg=AFQjCNH1S4lFt2qwNu9aexqVsogpa1IvhQ" xr:uid="{0F20E0A8-958B-4070-9686-68C90F8C4193}"/>
    <hyperlink ref="B304" r:id="rId545" display="https://www.google.com/url?q=https://oj.uz/problem/view/CEOI18_tri&amp;sa=D&amp;ust=1605639832119000&amp;usg=AFQjCNEmkm3KRNul1E2DmwkvPxrjVSu6FQ" xr:uid="{340998F5-F9C2-4FCB-AB3E-B12D5065E270}"/>
    <hyperlink ref="B305" r:id="rId546" display="https://www.google.com/url?q=https://codeforces.com/contest/1193&amp;sa=D&amp;ust=1605639832119000&amp;usg=AFQjCNFBfPyPWtg0qQ50UQ1xmc1XAGm0Yw" xr:uid="{4D9620E9-1B90-420D-967E-18EC0D6CFB07}"/>
    <hyperlink ref="F305" r:id="rId547" display="https://www.google.com/url?q=https://codeforces.com/blog/entry/68748&amp;sa=D&amp;ust=1605639832120000&amp;usg=AFQjCNGv2QEZZxzR9sigKwlL8viRynR0kw" xr:uid="{2F6462F3-6BDB-48D8-848C-D91517FC1791}"/>
    <hyperlink ref="B306" r:id="rId548" display="https://www.google.com/url?q=https://codeforces.com/contest/1192/problem/C&amp;sa=D&amp;ust=1605639832120000&amp;usg=AFQjCNFHbG6iibDbb3TMZlJRztOtbgkC1g" xr:uid="{F708C5BD-9C25-4C2D-9FC0-468EBEFBB86C}"/>
    <hyperlink ref="F306" r:id="rId549" display="https://www.google.com/url?q=https://codeforces.com/blog/entry/68676&amp;sa=D&amp;ust=1605639832120000&amp;usg=AFQjCNGXJZnhhGhJyGQrQ6owtwd1iigkRA" xr:uid="{4FE89773-2C15-4DE3-9232-971119141555}"/>
    <hyperlink ref="B307" r:id="rId550" display="https://www.google.com/url?q=https://codeforces.com/contest/1192/problem/B&amp;sa=D&amp;ust=1605639832120000&amp;usg=AFQjCNH309uX2ikAmTwByEhvoX3ndwwPEw" xr:uid="{E7D30CA9-3337-4F14-AA9C-F9F4A329E16F}"/>
    <hyperlink ref="F307" r:id="rId551" display="https://www.google.com/url?q=https://codeforces.com/blog/entry/68676&amp;sa=D&amp;ust=1605639832120000&amp;usg=AFQjCNGXJZnhhGhJyGQrQ6owtwd1iigkRA" xr:uid="{1B74F63D-8A2B-42E6-A1EF-D74C6E1FBA40}"/>
    <hyperlink ref="B308" r:id="rId552" display="https://www.google.com/url?q=https://codeforces.com/contest/1193&amp;sa=D&amp;ust=1605639832121000&amp;usg=AFQjCNFyoorzW_dqujN64XlBNm8wDFDeOg" xr:uid="{30E13CB5-37A7-4AA2-817C-28E943210F6B}"/>
    <hyperlink ref="F308" r:id="rId553" display="https://www.google.com/url?q=https://github.com/mostafa-saad/MyCompetitiveProgramming/blob/master/Olympiad/CEOI/CEOI-19-MagicTree.txt&amp;sa=D&amp;ust=1605639832121000&amp;usg=AFQjCNEXI9qCx8YreV1vn-WEc9ztH4GpSg" xr:uid="{BE791E0F-3CE8-472C-B524-EBCE8E2F4B28}"/>
    <hyperlink ref="B309" r:id="rId554" display="https://www.google.com/url?q=https://codeforces.com/contest/1193&amp;sa=D&amp;ust=1605639832121000&amp;usg=AFQjCNFyoorzW_dqujN64XlBNm8wDFDeOg" xr:uid="{F7D89CB2-52F0-49CB-9EFF-A929ECDD0945}"/>
    <hyperlink ref="F309" r:id="rId555" display="https://www.google.com/url?q=https://codeforces.com/blog/entry/68748&amp;sa=D&amp;ust=1605639832121000&amp;usg=AFQjCNEU9LJgJLnXZxju9qA3YIOzaxANQg" xr:uid="{FCC43DB4-C61E-4D06-8270-E6D46A9D94F2}"/>
    <hyperlink ref="B310" r:id="rId556" display="https://www.google.com/url?q=https://codeforces.com/contest/1192/problem/A&amp;sa=D&amp;ust=1605639832122000&amp;usg=AFQjCNEv32uBFupzcq1F942tVEArhrt_0g" xr:uid="{85C0AB44-BD77-4069-AB76-85B85D6A1407}"/>
    <hyperlink ref="F310" r:id="rId557" display="https://www.google.com/url?q=https://codeforces.com/blog/entry/68676&amp;sa=D&amp;ust=1605639832122000&amp;usg=AFQjCNEnYxz3F4OYDwy_1iEYHUBvah8w5A" xr:uid="{B3F9AFDE-1F74-4789-8A7F-390D1BAEF8F8}"/>
    <hyperlink ref="B311" r:id="rId558" display="https://www.google.com/url?q=https://oj.uz/problem/view/CEOI17_museum&amp;sa=D&amp;ust=1605639832122000&amp;usg=AFQjCNGiNGStMsEq45nwc1zoQSKFrXqR2w" xr:uid="{D4D54346-9E45-440A-AF44-0EDA24F170D0}"/>
    <hyperlink ref="F311" r:id="rId559" display="https://www.google.com/url?q=https://github.com/mostafa-saad/MyCompetitiveProgramming/blob/master/Olympiad/CEOI/CEOIPractice_17-Museum.txt&amp;sa=D&amp;ust=1605639832122000&amp;usg=AFQjCNExaOsz_e9ewsUusEqyc1qx9jc7DA" xr:uid="{2DD0D2CB-C705-42F2-93B7-CA634EAF76AB}"/>
    <hyperlink ref="B312" r:id="rId560" display="https://www.google.com/url?q=https://dmoj.ca/problem/coci06c2p2&amp;sa=D&amp;ust=1605639832122000&amp;usg=AFQjCNEBwqe06118Lq6sh8xuO0OR7bSbDA" xr:uid="{674B8CD1-67E3-46AE-875F-87B7C4CF2248}"/>
    <hyperlink ref="F312" r:id="rId561" display="https://www.google.com/url?q=https://github.com/mostafa-saad/MyCompetitiveProgramming/tree/master/Olympiad/COCI/official/2007/contest2_solutions&amp;sa=D&amp;ust=1605639832122000&amp;usg=AFQjCNGXq8qIHdJtHScKkQ0ekMbP2jLxHA" xr:uid="{C3BD721C-DC95-45E9-BCB5-1E83EF4ACAFC}"/>
    <hyperlink ref="B313" r:id="rId562" display="https://www.google.com/url?q=https://wcipeg.com/problem/coci067p1&amp;sa=D&amp;ust=1605639832123000&amp;usg=AFQjCNGn4ye28Mp_tnkP0DAtE7WJgnSegQ" xr:uid="{02C9ADF9-B76F-4CFA-801D-FD7F662CC9E5}"/>
    <hyperlink ref="F313" r:id="rId563" display="https://www.google.com/url?q=https://github.com/mostafa-saad/MyCompetitiveProgramming/tree/master/Olympiad/COCI/official/2007/regional_solutions&amp;sa=D&amp;ust=1605639832123000&amp;usg=AFQjCNFsEs2GqH88IW2jCl22o56RTMIwVg" xr:uid="{286294FB-C3F8-49FF-AC0F-6F8261478C7C}"/>
    <hyperlink ref="B314" r:id="rId564" display="https://www.google.com/url?q=https://dmoj.ca/problem/coci06c3p5&amp;sa=D&amp;ust=1605639832123000&amp;usg=AFQjCNFRhwnGqbSSSZE8v4GBE-3t6Yp7ig" xr:uid="{50C788E3-4587-4239-AD1E-2F5317C3C095}"/>
    <hyperlink ref="F314" r:id="rId565" display="https://www.google.com/url?q=https://github.com/mostafa-saad/MyCompetitiveProgramming/blob/master/Olympiad/CEOI/06-Bicikli.txt&amp;sa=D&amp;ust=1605639832123000&amp;usg=AFQjCNF_Qsr4U1z0IeGBDzfDQceOEhbMiA" xr:uid="{26C80EF9-1F91-4566-9CE4-0D76A1EB31ED}"/>
    <hyperlink ref="B315" r:id="rId566" display="https://www.google.com/url?q=https://dmoj.ca/problem/coci06c1p5&amp;sa=D&amp;ust=1605639832124000&amp;usg=AFQjCNEExXlI-0zW8vN6gOhL4deCNkY6wQ" xr:uid="{89AAE9A1-D0C1-4475-AA19-FAE037D43993}"/>
    <hyperlink ref="F315" r:id="rId567" display="https://www.google.com/url?q=https://github.com/mostafa-saad/MyCompetitiveProgramming/tree/master/Olympiad/COCI/official/2007/contest1_solutions&amp;sa=D&amp;ust=1605639832124000&amp;usg=AFQjCNGeRdsmdg7HOLR349MIEqUhuQ7ImQ" xr:uid="{B659C823-C3C3-436F-B87E-C5F801D1B6C5}"/>
    <hyperlink ref="B316" r:id="rId568" display="https://www.google.com/url?q=https://wcipeg.com/problem/coci067p4&amp;sa=D&amp;ust=1605639832124000&amp;usg=AFQjCNG5Z2YHzXQ8CYbHHBqWnIjxH8CZUA" xr:uid="{2ED04B19-90BD-441E-BCB0-8A3422BF8280}"/>
    <hyperlink ref="F316" r:id="rId569" display="https://www.google.com/url?q=https://github.com/mostafa-saad/MyCompetitiveProgramming/blob/master/Olympiad/COCI/COCI-06-Circle.txt&amp;sa=D&amp;ust=1605639832124000&amp;usg=AFQjCNF3zQpRiHVCBdf-FCnwOfWvZby5rA" xr:uid="{B1084182-4F8F-4746-9E64-C3E990059237}"/>
    <hyperlink ref="B317" r:id="rId570" display="https://www.google.com/url?q=https://dmoj.ca/problem/coci06c1p6&amp;sa=D&amp;ust=1605639832124000&amp;usg=AFQjCNHunttQMA990W4WxKFkw15Oi1cFKQ" xr:uid="{DA2753FA-70E5-4075-A1C0-B17EBCDBB38F}"/>
    <hyperlink ref="F317" r:id="rId571" display="https://www.google.com/url?q=https://github.com/mostafa-saad/MyCompetitiveProgramming/blob/master/Olympiad/COCI/COCI-06-Debug.txt&amp;sa=D&amp;ust=1605639832125000&amp;usg=AFQjCNHH1iSSwIp5SHI-0qvLThLxPlgG2Q" xr:uid="{62E5F08F-DBF2-4C14-8AE6-2BE677E15945}"/>
    <hyperlink ref="B318" r:id="rId572" display="https://www.google.com/url?q=https://dmoj.ca/problem/coci06c5p6&amp;sa=D&amp;ust=1605639832125000&amp;usg=AFQjCNEFGro-XyawlxX2zf6gFByVBdcAJg" xr:uid="{D185126B-C1A0-48DB-8B1F-BE33D35BDD4B}"/>
    <hyperlink ref="F318" r:id="rId573" display="https://www.google.com/url?q=https://github.com/mostafa-saad/MyCompetitiveProgramming/blob/master/Olympiad/COCI/COCI-06-Dvaput.txt&amp;sa=D&amp;ust=1605639832125000&amp;usg=AFQjCNErbfph0j1UgzMAegbDob8hJbag8Q" xr:uid="{345A5CF4-C390-477E-A10F-D1843C5F3530}"/>
    <hyperlink ref="B319" r:id="rId574" display="https://www.google.com/url?q=https://wcipeg.com/problem/coci067p3&amp;sa=D&amp;ust=1605639832126000&amp;usg=AFQjCNGuCRFBuqj1Mbn4d_nIu4NOaTo3iw" xr:uid="{87AC6112-031C-4345-9F0F-0A673BE46E47}"/>
    <hyperlink ref="F319" r:id="rId575" display="https://www.google.com/url?q=https://github.com/mostafa-saad/MyCompetitiveProgramming/tree/master/Olympiad/COCI/official/2007/regional_solutions&amp;sa=D&amp;ust=1605639832126000&amp;usg=AFQjCNEmHl6LJKU8nTH-d_QxOE7Sf2h17Q" xr:uid="{21E91DA3-63F9-4AE1-94F0-ABE4208ABEB8}"/>
    <hyperlink ref="B320" r:id="rId576" display="https://www.google.com/url?q=https://dmoj.ca/problem/coci06c1p2&amp;sa=D&amp;ust=1605639832126000&amp;usg=AFQjCNG-PTbztmiRTW6mEso-qbPviBzoXQ" xr:uid="{8F6A9699-F80F-4591-80E2-1D90BD012708}"/>
    <hyperlink ref="F320" r:id="rId577" display="https://www.google.com/url?q=https://github.com/mostafa-saad/MyCompetitiveProgramming/tree/master/Olympiad/COCI/official/2007/contest1_solutions&amp;sa=D&amp;ust=1605639832127000&amp;usg=AFQjCNFn4UviGz6zohrmKO5YxkpOZDci5g" xr:uid="{4BAD8E5B-BFF8-4998-8466-0464C06C8A7E}"/>
    <hyperlink ref="B321" r:id="rId578" display="https://www.google.com/url?q=https://dmoj.ca/problem/coci06c4p6&amp;sa=D&amp;ust=1605639832127000&amp;usg=AFQjCNEMjbzjoTLQsYRWMHuEnyLgXJzytw" xr:uid="{2CC6746E-1ECA-4408-AD91-ABD003BE6035}"/>
    <hyperlink ref="F321" r:id="rId579" display="https://www.google.com/url?q=https://github.com/mostafa-saad/MyCompetitiveProgramming/blob/master/Olympiad/COCI/COCI-06-Ispiti.txt&amp;sa=D&amp;ust=1605639832127000&amp;usg=AFQjCNEGluEpPw41GfDxeVw1S8WGkGra8A" xr:uid="{1BA41F61-389C-4C6B-8B1C-32115698AE33}"/>
    <hyperlink ref="B322" r:id="rId580" display="https://www.google.com/url?q=https://dmoj.ca/problem/coci06c5p5&amp;sa=D&amp;ust=1605639832127000&amp;usg=AFQjCNFSgGEBhrwsXj_k_NiyhJrwW9KOWw" xr:uid="{A58486F7-F300-48F9-84EB-CE0CCA5EDD0C}"/>
    <hyperlink ref="F322" r:id="rId581" display="https://www.google.com/url?q=https://github.com/mostafa-saad/MyCompetitiveProgramming/tree/master/Olympiad/COCI/official/2007/contest5_solutions&amp;sa=D&amp;ust=1605639832127000&amp;usg=AFQjCNEZ3Wt7-WMyVej0WGlkFB6lsXOfgg" xr:uid="{F377CA36-B0C7-4660-8DA9-7B58659F9FF3}"/>
    <hyperlink ref="B323" r:id="rId582" display="https://www.google.com/url?q=https://dmoj.ca/problem/coci06c4p5&amp;sa=D&amp;ust=1605639832128000&amp;usg=AFQjCNHyaIBLPcuMRQDlms24qjltPjA8Vw" xr:uid="{39B005D0-D426-42C3-88D5-8D27A2C0D00E}"/>
    <hyperlink ref="F323" r:id="rId583" display="https://www.google.com/url?q=https://github.com/mostafa-saad/MyCompetitiveProgramming/blob/master/Olympiad/COCI/COCI-06-Jogurt.txt&amp;sa=D&amp;ust=1605639832128000&amp;usg=AFQjCNGrR9syaz8sJ6F1vSt7imDwR_uaKQ" xr:uid="{3F63B85E-EE19-4CF8-990E-18EC4396B7C9}"/>
    <hyperlink ref="B324" r:id="rId584" display="https://www.google.com/url?q=https://dmoj.ca/problem/coci06c6p4&amp;sa=D&amp;ust=1605639832128000&amp;usg=AFQjCNGzyhWz5ALbbwXTjxOG2qqGcZAO0Q" xr:uid="{7B5E9F91-9D0C-4FAA-B87A-550B83A362E5}"/>
    <hyperlink ref="F324" r:id="rId585" display="https://www.google.com/url?q=https://github.com/mostafa-saad/MyCompetitiveProgramming/blob/master/Olympiad/CEOI/COCI-06-Kamen.txt&amp;sa=D&amp;ust=1605639832128000&amp;usg=AFQjCNGaHfmJMSRQXIczFtT0Ol0b-UoNmg" xr:uid="{9CF6EE84-6A92-47A4-8CC8-A11E0F943D04}"/>
    <hyperlink ref="B325" r:id="rId586" display="https://www.google.com/url?q=https://dmoj.ca/problem/coci06c2p3&amp;sa=D&amp;ust=1605639832129000&amp;usg=AFQjCNEz_sXcmrI6li6R80L897K8astR2A" xr:uid="{CAF57184-8082-4C44-92AE-7FC7A9BF8481}"/>
    <hyperlink ref="F325" r:id="rId587" display="https://www.google.com/url?q=https://github.com/mostafa-saad/MyCompetitiveProgramming/tree/master/Olympiad/COCI/official/2007/contest2_solutions&amp;sa=D&amp;ust=1605639832129000&amp;usg=AFQjCNEdv42RbaRRH5nN2Rq4ygs-rxPn7w" xr:uid="{E06472F6-2C79-4DCB-B4B0-ECBB3FEF4625}"/>
    <hyperlink ref="B326" r:id="rId588" display="https://www.google.com/url?q=https://wcipeg.com/problem/coci065p4&amp;sa=D&amp;ust=1605639832129000&amp;usg=AFQjCNGWNNgDuATc62xA2LJnxJJ7nDR94g" xr:uid="{5C0673CB-AB3C-4373-B6E2-462E892DC72C}"/>
    <hyperlink ref="F326" r:id="rId589" display="https://www.google.com/url?q=https://github.com/mostafa-saad/MyCompetitiveProgramming/tree/master/Olympiad/COCI/official/2007/contest5_solutions&amp;sa=D&amp;ust=1605639832129000&amp;usg=AFQjCNHWXYhHiz9_X2Uf3Vn3jFgrlihtKA" xr:uid="{BF55303F-5A49-4665-A8C4-6B0FEE99C3DB}"/>
    <hyperlink ref="B327" r:id="rId590" display="https://www.google.com/url?q=https://dmoj.ca/problem/coci06c3p6&amp;sa=D&amp;ust=1605639832129000&amp;usg=AFQjCNFprx8wYKfR9BQuuFUacar2n2hjWQ" xr:uid="{AE3181C4-099B-4612-84B4-F726EAA11C79}"/>
    <hyperlink ref="F327" r:id="rId591" display="https://www.google.com/url?q=https://github.com/tsouza0/CompetitiveProgramming/blob/master/Olympiads/COCI/lista.cpp&amp;sa=D&amp;ust=1605639832130000&amp;usg=AFQjCNGa55nnNT3mZAGk4ikx2AzQuJ__cw" xr:uid="{5ABB6440-0686-492A-B7FA-784A6450734A}"/>
    <hyperlink ref="B328" r:id="rId592" display="https://www.google.com/url?q=https://dmoj.ca/problem/coci06c6p2&amp;sa=D&amp;ust=1605639832130000&amp;usg=AFQjCNEr1R-VqreTta2_lQVG-SLYfUIleQ" xr:uid="{9FCE3D8D-590E-418C-82A7-39337CCC3824}"/>
    <hyperlink ref="F328" r:id="rId593" display="https://www.google.com/url?q=https://github.com/mostafa-saad/MyCompetitiveProgramming/tree/master/Olympiad/COCI/official/2007/contest6_solutions&amp;sa=D&amp;ust=1605639832130000&amp;usg=AFQjCNGuQiFOODJCz0PWEGmaxkprXgqsBg" xr:uid="{86E8E888-80FE-4EBC-A69F-9372F2F6BEFB}"/>
    <hyperlink ref="B329" r:id="rId594" display="https://www.google.com/url?q=https://dmoj.ca/problem/coci06c6p3&amp;sa=D&amp;ust=1605639832130000&amp;usg=AFQjCNHP98CxgDmX-jaUhvzOt4dDAISZ3Q" xr:uid="{1DAA0288-AFFE-476D-8290-9FA2C89F4F44}"/>
    <hyperlink ref="F329" r:id="rId595" display="https://www.google.com/url?q=https://github.com/mostafa-saad/MyCompetitiveProgramming/tree/master/Olympiad/COCI/official/2007/contest6_solutions&amp;sa=D&amp;ust=1605639832130000&amp;usg=AFQjCNGuQiFOODJCz0PWEGmaxkprXgqsBg" xr:uid="{BDB6FE12-9BA8-4342-8683-7E8665FC752D}"/>
    <hyperlink ref="B330" r:id="rId596" display="https://www.google.com/url?q=https://dmoj.ca/problem/coci06c1p1&amp;sa=D&amp;ust=1605639832131000&amp;usg=AFQjCNEEyjPMWsPCY3qCOb5iOIz5JjxOyA" xr:uid="{B9381537-CD92-4A64-BB06-AEE9428AA9AE}"/>
    <hyperlink ref="F330" r:id="rId597" display="https://www.google.com/url?q=https://github.com/mostafa-saad/MyCompetitiveProgramming/tree/master/Olympiad/COCI/official/2007/contest1_solutions&amp;sa=D&amp;ust=1605639832131000&amp;usg=AFQjCNEoSctmKxUzhxj3ID_eGT9lRXS1mA" xr:uid="{FCB1977D-871E-42D4-AE18-1105E9DE30E8}"/>
    <hyperlink ref="B331" r:id="rId598" display="https://www.google.com/url?q=https://dmoj.ca/problem/coci06c5p2&amp;sa=D&amp;ust=1605639832131000&amp;usg=AFQjCNHZ_wDG5o024Yq8D8qh6ID2Sg4hNA" xr:uid="{E28E2FD2-0C23-4CA7-81F8-38738F143DEB}"/>
    <hyperlink ref="F331" r:id="rId599" display="https://www.google.com/url?q=https://github.com/mostafa-saad/MyCompetitiveProgramming/tree/master/Olympiad/COCI/official/2007/contest5_solutions&amp;sa=D&amp;ust=1605639832131000&amp;usg=AFQjCNF5xMrdj7FwrZ064frDVSU_y1D33w" xr:uid="{718D92C8-32E3-42AD-A275-F2F6AB1E70CD}"/>
    <hyperlink ref="B332" r:id="rId600" display="https://www.google.com/url?q=https://dmoj.ca/problem/coci06c3p2&amp;sa=D&amp;ust=1605639832131000&amp;usg=AFQjCNH4dhY1D56HYdkHPZSV6394-lCTGQ" xr:uid="{FF5DEAF9-80A7-4F90-AB39-1C0B0D196265}"/>
    <hyperlink ref="F332" r:id="rId601" display="https://www.google.com/url?q=https://github.com/mostafa-saad/MyCompetitiveProgramming/tree/master/Olympiad/COCI/official/2007/contest3_solutions&amp;sa=D&amp;ust=1605639832131000&amp;usg=AFQjCNEJmTHC5V4DQ1016j2n2227-NrNxQ" xr:uid="{83043FAD-826C-4705-B42A-74779AEDED72}"/>
    <hyperlink ref="B333" r:id="rId602" display="https://www.google.com/url?q=https://dmoj.ca/problem/coci06c1p3&amp;sa=D&amp;ust=1605639832132000&amp;usg=AFQjCNG-htKAsg-lQ56Q0eEJDGqwR2Qybg" xr:uid="{AB09B6E2-ED30-4104-ADF0-C405D0602023}"/>
    <hyperlink ref="F333" r:id="rId603" display="https://www.google.com/url?q=https://github.com/mostafa-saad/MyCompetitiveProgramming/tree/master/Olympiad/COCI/official/2007/contest1_solutions&amp;sa=D&amp;ust=1605639832132000&amp;usg=AFQjCNEQkFwoKb_kUIxmCJFKh0_lnvcIJg" xr:uid="{18B003B5-1660-480B-AA2F-A4D2A079AAA0}"/>
    <hyperlink ref="B334" r:id="rId604" display="https://www.google.com/url?q=https://dmoj.ca/problem/coci06c3p1&amp;sa=D&amp;ust=1605639832132000&amp;usg=AFQjCNHo_yo30ouRVSEumxF7ETGmDSPmvg" xr:uid="{446DA260-3200-4029-AE18-7F7FE5BCBDD7}"/>
    <hyperlink ref="F334" r:id="rId605" display="https://www.google.com/url?q=https://github.com/mostafa-saad/MyCompetitiveProgramming/tree/master/Olympiad/COCI/official/2007/contest3_solutions&amp;sa=D&amp;ust=1605639832132000&amp;usg=AFQjCNEIPjgGFGq_ZiFW7J2qE6v7U3ZLbQ" xr:uid="{4399F130-2F55-4F4C-9799-BED48C7E5708}"/>
    <hyperlink ref="B335" r:id="rId606" display="https://www.google.com/url?q=https://dmoj.ca/problem/coci06c6p1&amp;sa=D&amp;ust=1605639832132000&amp;usg=AFQjCNGpV2nUQ2-414rmrs_2MoCSZhn0mw" xr:uid="{0CFDDF07-09F8-414F-AD7E-EBB778A737BD}"/>
    <hyperlink ref="F335" r:id="rId607" display="https://www.google.com/url?q=https://github.com/mostafa-saad/MyCompetitiveProgramming/tree/master/Olympiad/COCI/official/2007/contest6_solutions&amp;sa=D&amp;ust=1605639832133000&amp;usg=AFQjCNHq1Umr-69iePPipzcNO23_hBXQug" xr:uid="{8FE7F579-A3BF-49BE-BE3F-BB9C03C1989E}"/>
    <hyperlink ref="B336" r:id="rId608" display="https://www.google.com/url?q=https://dmoj.ca/problem/coci06c6p6&amp;sa=D&amp;ust=1605639832133000&amp;usg=AFQjCNHinrPxMaGQoFmqqszh1vi2G_aNDg" xr:uid="{C9D79294-4EFA-40A6-9B4E-D6FDBCBD7B26}"/>
    <hyperlink ref="F336" r:id="rId609" display="https://www.google.com/url?q=https://github.com/mostafa-saad/MyCompetitiveProgramming/blob/master/Olympiad/COCI/COCI-06-Prostor.txt&amp;sa=D&amp;ust=1605639832133000&amp;usg=AFQjCNGes8aPGI8TLI3LK506XF4cOlTU7Q" xr:uid="{DFB9FAD5-2723-4425-A043-69ED2C2A3A57}"/>
    <hyperlink ref="B337" r:id="rId610" display="https://www.google.com/url?q=https://dmoj.ca/problem/coci06c4p3&amp;sa=D&amp;ust=1605639832134000&amp;usg=AFQjCNGZvnSyWiXMlR_B7tHMmPvnh7wW4Q" xr:uid="{6B0D1CA6-888C-4C4B-9697-483A68CDD36B}"/>
    <hyperlink ref="F337" r:id="rId611" display="https://www.google.com/url?q=https://github.com/mostafa-saad/MyCompetitiveProgramming/tree/master/Olympiad/COCI/official/2007/contest4_solutions&amp;sa=D&amp;ust=1605639832134000&amp;usg=AFQjCNGJ20PNY7JLa3s0Dwa55h3AlCRrGA" xr:uid="{A5B3EA93-F1CE-4B49-B9CE-BA89F7BB8A8E}"/>
    <hyperlink ref="B338" r:id="rId612" display="https://www.google.com/url?q=https://dmoj.ca/problem/coci06c2p1&amp;sa=D&amp;ust=1605639832134000&amp;usg=AFQjCNFNfxN3-wzNuNPlVosfjxqCsuIngw" xr:uid="{3FE8D754-481D-4807-A7D6-924D91D7E33E}"/>
    <hyperlink ref="F338" r:id="rId613" display="https://www.google.com/url?q=https://github.com/mostafa-saad/MyCompetitiveProgramming/tree/master/Olympiad/COCI/official/2007/contest2_solutions&amp;sa=D&amp;ust=1605639832134000&amp;usg=AFQjCNEBkfSy2tRQ9tRKr4fLNQSuMqvGZQ" xr:uid="{028F6017-C432-4CA2-9BD4-EC8B281C7410}"/>
    <hyperlink ref="B339" r:id="rId614" display="https://www.google.com/url?q=https://dmoj.ca/problem/coci06c4p1&amp;sa=D&amp;ust=1605639832134000&amp;usg=AFQjCNGiL5asmvm7DiDyAn2d6S9DDocBJQ" xr:uid="{BDD72DAE-9824-4997-B496-69263D85CCC6}"/>
    <hyperlink ref="F339" r:id="rId615" display="https://www.google.com/url?q=https://github.com/mostafa-saad/MyCompetitiveProgramming/tree/master/Olympiad/COCI/official/2007/contest4_solutions&amp;sa=D&amp;ust=1605639832135000&amp;usg=AFQjCNGMg7GssU5mQXJuAe9RwPetsYYbRw" xr:uid="{363F3782-FB4C-489A-AC75-787BD779BC7D}"/>
    <hyperlink ref="B340" r:id="rId616" display="https://www.google.com/url?q=https://dmoj.ca/problem/coci06c2p4&amp;sa=D&amp;ust=1605639832135000&amp;usg=AFQjCNHt9Mc9F7rG2be41g3RYCUD14LM7A" xr:uid="{778A1F9A-A559-40C8-8806-6D5E218FFCE7}"/>
    <hyperlink ref="F340" r:id="rId617" display="https://www.google.com/url?q=https://github.com/mostafa-saad/MyCompetitiveProgramming/tree/master/Olympiad/COCI/official/2007/contest2_solutions&amp;sa=D&amp;ust=1605639832135000&amp;usg=AFQjCNHjZoQmsYuDP8n9LcP2C-Zcle8YYA" xr:uid="{6B6235BB-25D1-4231-8F3A-FC1F9535E7A0}"/>
    <hyperlink ref="B341" r:id="rId618" display="https://www.google.com/url?q=https://dmoj.ca/problem/coci06c4p2&amp;sa=D&amp;ust=1605639832135000&amp;usg=AFQjCNGuDCXHRxRSStLCtle_665Jk9cJSw" xr:uid="{D1A8301D-67AC-4265-BA0A-4C549C067EE5}"/>
    <hyperlink ref="F341" r:id="rId619" display="https://www.google.com/url?q=https://github.com/mostafa-saad/MyCompetitiveProgramming/tree/master/Olympiad/COCI/official/2007/contest4_solutions&amp;sa=D&amp;ust=1605639832135000&amp;usg=AFQjCNGMg7GssU5mQXJuAe9RwPetsYYbRw" xr:uid="{604136E4-5C44-415E-90CC-6BFDC0679F01}"/>
    <hyperlink ref="B342" r:id="rId620" display="https://www.google.com/url?q=https://dmoj.ca/problem/coci06c1p4&amp;sa=D&amp;ust=1605639832135000&amp;usg=AFQjCNGl87EnLi69Uw0rRSKrxQk4UiqonQ" xr:uid="{27BDC159-F8EE-4EFA-AF07-B2E658A1AC87}"/>
    <hyperlink ref="F342" r:id="rId621" display="https://www.google.com/url?q=https://github.com/mostafa-saad/MyCompetitiveProgramming/tree/master/Olympiad/COCI/official/2007/contest1_solutions&amp;sa=D&amp;ust=1605639832136000&amp;usg=AFQjCNEtXe-zAu-5St8hghj3d-_SQ60EmQ" xr:uid="{72A8C984-BFAB-42B3-A4A1-AC52EEE4F7BB}"/>
    <hyperlink ref="B343" r:id="rId622" display="https://www.google.com/url?q=https://dmoj.ca/problem/coci06c2p5&amp;sa=D&amp;ust=1605639832136000&amp;usg=AFQjCNFrybYwsGlPNiCcLUX5RyNZEble-w" xr:uid="{607824A6-45AD-4409-810A-0CFF22AC3514}"/>
    <hyperlink ref="F343" r:id="rId623" display="https://www.google.com/url?q=https://github.com/mostafa-saad/MyCompetitiveProgramming/tree/master/Olympiad/COCI/official/2007/contest2_solutions&amp;sa=D&amp;ust=1605639832136000&amp;usg=AFQjCNFCTlyUojYhgCbjLqlZpBobXJ12Eg" xr:uid="{1006D1F5-C72F-48DB-A1F5-5F50F1240A12}"/>
    <hyperlink ref="B344" r:id="rId624" display="https://www.google.com/url?q=https://dmoj.ca/problem/coci06c2p6&amp;sa=D&amp;ust=1605639832136000&amp;usg=AFQjCNGJbppIAS670bVdUXueTcE9Dof_7g" xr:uid="{C8BD6C94-90A1-4572-A614-EE4B4CF94A83}"/>
    <hyperlink ref="F344" r:id="rId625" display="https://www.google.com/url?q=https://github.com/mostafa-saad/MyCompetitiveProgramming/blob/master/Olympiad/COCI/COCI-06-Straza.txt&amp;sa=D&amp;ust=1605639832136000&amp;usg=AFQjCNEW1rxffIRUS7-w1pQoa-e2-GjGCw" xr:uid="{156A9748-10A6-478A-ABF8-AAED238B4864}"/>
    <hyperlink ref="B345" r:id="rId626" display="https://www.google.com/url?q=https://dmoj.ca/problem/coci06c5p3&amp;sa=D&amp;ust=1605639832137000&amp;usg=AFQjCNFfIH5WEi-R7ARdKz6B7Mw8H3K0aQ" xr:uid="{69BE82FE-A386-4DF1-B0A7-A6283546F2B4}"/>
    <hyperlink ref="F345" r:id="rId627" display="https://www.google.com/url?q=https://github.com/mostafa-saad/MyCompetitiveProgramming/tree/master/Olympiad/COCI/official/2007/contest5_solutions&amp;sa=D&amp;ust=1605639832137000&amp;usg=AFQjCNHDsz8aX-M1KAJTuywfCjwRtxin4Q" xr:uid="{432708C4-0A0C-4885-B580-5F3737A5A50C}"/>
    <hyperlink ref="B346" r:id="rId628" display="https://www.google.com/url?q=https://wcipeg.com/problem/coci063p4&amp;sa=D&amp;ust=1605639832137000&amp;usg=AFQjCNFRoEiBKzI470wiUKF4g8Y4kW7EGg" xr:uid="{EA13B2C2-0ACB-40D1-9901-74EA9EC0B814}"/>
    <hyperlink ref="F346" r:id="rId629" display="https://www.google.com/url?q=https://github.com/mostafa-saad/MyCompetitiveProgramming/blob/master/Olympiad/CEOI/COCI-06-Tenkici&amp;sa=D&amp;ust=1605639832137000&amp;usg=AFQjCNEYIcX4HVPkFyLmRBxOH-_vq0MHkA" xr:uid="{797CE1D7-D21F-4539-948B-CFFE401D9A0D}"/>
    <hyperlink ref="B347" r:id="rId630" display="https://www.google.com/url?q=https://wcipeg.com/problem/coci067p2&amp;sa=D&amp;ust=1605639832137000&amp;usg=AFQjCNExGbXWNN6iXCp0IOOOoCubMbnP_w" xr:uid="{D5146A6D-E738-4055-A7A8-AF618D8212FE}"/>
    <hyperlink ref="F347" r:id="rId631" display="https://www.google.com/url?q=https://github.com/mostafa-saad/MyCompetitiveProgramming/tree/master/Olympiad/COCI/official/2007/regional_solutions&amp;sa=D&amp;ust=1605639832137000&amp;usg=AFQjCNFi5V0UsV3me8yGOumKVA02xebXrw" xr:uid="{E1A70391-1C0B-457D-A19F-E27F6F9B46E5}"/>
    <hyperlink ref="B348" r:id="rId632" display="https://www.google.com/url?q=https://dmoj.ca/problem/coci06c5p1&amp;sa=D&amp;ust=1605639832138000&amp;usg=AFQjCNGVN0AVdzKcV5KFxjzuXZmUGhRhkg" xr:uid="{E36AF229-748E-4B95-B983-FCDFFDAB799D}"/>
    <hyperlink ref="F348" r:id="rId633" display="https://www.google.com/url?q=https://github.com/mostafa-saad/MyCompetitiveProgramming/tree/master/Olympiad/COCI/official/2007/contest5_solutions&amp;sa=D&amp;ust=1605639832138000&amp;usg=AFQjCNG6lbbhOauf4gfY259oZ_dqkFt_yA" xr:uid="{016F3DA1-E999-4AFA-9A4B-FEC32B697E00}"/>
    <hyperlink ref="B349" r:id="rId634" display="https://www.google.com/url?q=https://dmoj.ca/problem/coci06c3p3&amp;sa=D&amp;ust=1605639832138000&amp;usg=AFQjCNGqCUC10PPYm_SeWtQV3uXQrByfvw" xr:uid="{A8D916F8-B985-402F-A2E1-8B5A148004BA}"/>
    <hyperlink ref="F349" r:id="rId635" display="https://www.google.com/url?q=https://github.com/mostafa-saad/MyCompetitiveProgramming/tree/master/Olympiad/COCI/official/2007/contest3_solutions&amp;sa=D&amp;ust=1605639832138000&amp;usg=AFQjCNFByfhgJBzX5CtIx_Nq1nVjC4FtpA" xr:uid="{8819DEB7-4FB3-42DA-9598-1E4C910A63CC}"/>
    <hyperlink ref="B350" r:id="rId636" display="https://www.google.com/url?q=https://dmoj.ca/problem/coci06c6p5&amp;sa=D&amp;ust=1605639832138000&amp;usg=AFQjCNHbxEHImO7TDunDNPQ8L7HxrGbRDQ" xr:uid="{9AD74FBC-464A-4DBA-BF85-0FD20BCE80B0}"/>
    <hyperlink ref="F350" r:id="rId637" display="https://www.google.com/url?q=https://github.com/mostafa-saad/MyCompetitiveProgramming/tree/master/Olympiad/COCI/official/2007/contest6_solutions&amp;sa=D&amp;ust=1605639832139000&amp;usg=AFQjCNGVuPx-u6DtqtJVVfAV-zAzm8tMLg" xr:uid="{9005CC5E-921C-4C48-99B9-1C6D48A88D96}"/>
    <hyperlink ref="B351" r:id="rId638" display="https://www.google.com/url?q=https://dmoj.ca/problem/coci06c4p4&amp;sa=D&amp;ust=1605639832139000&amp;usg=AFQjCNGP051RLVUwS6nUw1xT4zD5wm-NYA" xr:uid="{35E489EB-3BDE-47AB-9773-9DB60D9BF878}"/>
    <hyperlink ref="F351" r:id="rId639" display="https://www.google.com/url?q=https://github.com/mostafa-saad/MyCompetitiveProgramming/tree/master/Olympiad/COCI/official/2007/contest4_solutions&amp;sa=D&amp;ust=1605639832139000&amp;usg=AFQjCNEnhWfn3y7c--fPxa14exkvKW6LQw" xr:uid="{06E7C2FD-4DB1-4BD3-9A38-01672D65E74D}"/>
    <hyperlink ref="B352" r:id="rId640" display="https://www.google.com/url?q=https://dmoj.ca/problem/coci07c5p4&amp;sa=D&amp;ust=1605639832139000&amp;usg=AFQjCNFCZ21rkHH39Sjot-7Bseo83WcCsQ" xr:uid="{67331D3F-A89C-4272-B706-BAB987F2D01C}"/>
    <hyperlink ref="F352" r:id="rId641" display="https://www.google.com/url?q=https://github.com/mostafa-saad/MyCompetitiveProgramming/tree/master/Olympiad/COCI/official/2008/contest5_solutions&amp;sa=D&amp;ust=1605639832139000&amp;usg=AFQjCNGdnlzG0Ea44GYjkJ95ggBTkIZqKg" xr:uid="{C90281F1-B6AD-428E-91B6-A407EA56A067}"/>
    <hyperlink ref="B353" r:id="rId642" display="https://www.google.com/url?q=https://dmoj.ca/problem/coci07c5p5&amp;sa=D&amp;ust=1605639832139000&amp;usg=AFQjCNHEcw6FlO27aPH84MuI7jboS3FXug" xr:uid="{1353D54A-52F0-4BAA-A712-28817CC91459}"/>
    <hyperlink ref="F353" r:id="rId643" display="https://www.google.com/url?q=https://github.com/mostafa-saad/MyCompetitiveProgramming/blob/master/Olympiad/COCI/COCI-07-Barica.txt&amp;sa=D&amp;ust=1605639832140000&amp;usg=AFQjCNFwcoXRxRNA1gzqQCeHxZRNLcuMIQ" xr:uid="{EBDEDE53-613F-4EDB-865D-66B0EBDF33EC}"/>
    <hyperlink ref="B354" r:id="rId644" display="https://www.google.com/url?q=https://dmoj.ca/problem/coci07c5p6&amp;sa=D&amp;ust=1605639832141000&amp;usg=AFQjCNHqxiKaoAr23PRk67gW5dW6IP7z4w" xr:uid="{E21E2312-B89C-484E-BB9E-94F4E0A53553}"/>
    <hyperlink ref="F354" r:id="rId645" display="https://www.google.com/url?q=https://github.com/mostafa-saad/MyCompetitiveProgramming/blob/master/Olympiad/COCI/COCI-07-Baza.txt&amp;sa=D&amp;ust=1605639832141000&amp;usg=AFQjCNEUwZ-1OMFXlA7DrGe0ulM81Cbc_g" xr:uid="{F659D590-7069-4EA8-9937-7FCE7C8644BD}"/>
    <hyperlink ref="B355" r:id="rId646" display="https://www.google.com/url?q=https://dmoj.ca/problem/coci07c2p1&amp;sa=D&amp;ust=1605639832141000&amp;usg=AFQjCNGTEID0nQTBZun-RU5wN-3_TqSHmQ" xr:uid="{5CDC1CBA-67B6-4835-A7EC-5672D71C58BB}"/>
    <hyperlink ref="F355" r:id="rId647" display="https://www.google.com/url?q=https://github.com/mostafa-saad/MyCompetitiveProgramming/tree/master/Olympiad/COCI/official/2008/contest2_solutions&amp;sa=D&amp;ust=1605639832141000&amp;usg=AFQjCNHvENTnvZtki792EdwWuaYrz-HlkQ" xr:uid="{325A9DB7-5776-4FFF-927E-362004A8E0FD}"/>
    <hyperlink ref="B356" r:id="rId648" display="https://www.google.com/url?q=https://dmoj.ca/problem/coci07c6p6&amp;sa=D&amp;ust=1605639832141000&amp;usg=AFQjCNFjQF0gxZ3x7hpvIbH9LXBjfe71HQ" xr:uid="{AF38C0EA-39B4-4F24-9EE4-7A68CC8A08E6}"/>
    <hyperlink ref="F356" r:id="rId649" display="https://www.google.com/url?q=https://github.com/mostafa-saad/MyCompetitiveProgramming/blob/master/Olympiad/COCI/COCI-07-Cestarine.txt&amp;sa=D&amp;ust=1605639832142000&amp;usg=AFQjCNGare0g5pl5Sa_HJ_K98gCEhxPV8g" xr:uid="{CD5A82B7-467A-4D5E-A7A3-7D25C03CAF3D}"/>
    <hyperlink ref="B357" r:id="rId650" display="https://www.google.com/url?q=https://dmoj.ca/problem/coci07c3p1&amp;sa=D&amp;ust=1605639832142000&amp;usg=AFQjCNHInYYpqFotBKram5dX62qoA_Fsgw" xr:uid="{1D7FA30C-219C-4C62-A071-D45366CA3313}"/>
    <hyperlink ref="F357" r:id="rId651" display="https://www.google.com/url?q=https://github.com/mostafa-saad/MyCompetitiveProgramming/tree/master/Olympiad/COCI/official/2008/contest3_solutions&amp;sa=D&amp;ust=1605639832142000&amp;usg=AFQjCNEB6UsgFVjjPM1bqi19GhA5Ll8JXw" xr:uid="{E666FE84-AA1F-42D4-B76F-185922442F37}"/>
    <hyperlink ref="B358" r:id="rId652" display="https://www.google.com/url?q=https://dmoj.ca/problem/coci07c1p1&amp;sa=D&amp;ust=1605639832142000&amp;usg=AFQjCNGDUYXA22DmsJReiRFDwiHou8bimQ" xr:uid="{7D95514E-2E98-44DA-BAC4-21E5B3E125ED}"/>
    <hyperlink ref="F358" r:id="rId653" display="https://www.google.com/url?q=https://github.com/mostafa-saad/MyCompetitiveProgramming/tree/master/Olympiad/COCI/official/2008/contest1_solutions&amp;sa=D&amp;ust=1605639832142000&amp;usg=AFQjCNE_d8yWOmPLtn-wm-mXuw8oyzhPIA" xr:uid="{C497A049-DF1F-42A1-BFA9-834EB90BBB26}"/>
    <hyperlink ref="B359" r:id="rId654" display="https://www.google.com/url?q=https://dmoj.ca/problem/coci07c2p2&amp;sa=D&amp;ust=1605639832143000&amp;usg=AFQjCNGSnSCTe9t66QJYAK0FTBdDeSpnzQ" xr:uid="{5DB3E6E7-1699-4FE1-9D72-7B345804D39C}"/>
    <hyperlink ref="F359" r:id="rId655" display="https://www.google.com/url?q=https://github.com/mostafa-saad/MyCompetitiveProgramming/tree/master/Olympiad/COCI/official/2008/contest2_solutions&amp;sa=D&amp;ust=1605639832143000&amp;usg=AFQjCNFKr9A1ybs8NW_i3ApaaLoxW3PXbg" xr:uid="{716A7211-1CDE-498C-BA65-A59C67DCE637}"/>
    <hyperlink ref="B360" r:id="rId656" display="https://www.google.com/url?q=https://dmoj.ca/problem/coci07c3p5&amp;sa=D&amp;ust=1605639832143000&amp;usg=AFQjCNHdzauahT5UHAXpL-gM_7FqOA1S0Q" xr:uid="{E5A5E783-FF3E-46CC-AE41-63F8B799D15C}"/>
    <hyperlink ref="F360" r:id="rId657" display="https://www.google.com/url?q=https://github.com/mostafa-saad/MyCompetitiveProgramming/tree/master/Olympiad/COCI/official/2008/contest3_solutions&amp;sa=D&amp;ust=1605639832143000&amp;usg=AFQjCNHASIyIsgPMYnS3TYH_bp-5W1PJ0A" xr:uid="{D6311882-F0A7-4CD5-8DF1-74A7B497288C}"/>
    <hyperlink ref="B361" r:id="rId658" display="https://www.google.com/url?q=https://dmoj.ca/problem/coci07c3p4&amp;sa=D&amp;ust=1605639832143000&amp;usg=AFQjCNEDvKUXbiyvkxXuYxYbPdPn5Hty8A" xr:uid="{3CF14F75-9FF8-4B11-AD90-E86972382803}"/>
    <hyperlink ref="F361" r:id="rId659" display="https://www.google.com/url?q=https://github.com/mostafa-saad/MyCompetitiveProgramming/tree/master/Olympiad/COCI/official/2008/contest3_solutions&amp;sa=D&amp;ust=1605639832143000&amp;usg=AFQjCNHASIyIsgPMYnS3TYH_bp-5W1PJ0A" xr:uid="{A720C376-F74B-498D-B00B-54EAB00DB0EC}"/>
    <hyperlink ref="B362" r:id="rId660" display="https://www.google.com/url?q=https://dmoj.ca/problem/coci07c6p4&amp;sa=D&amp;ust=1605639832144000&amp;usg=AFQjCNEGMGV8z5h3EAkwHJTASzwybGd3gA" xr:uid="{9AED1296-DE53-462B-BAD1-5F8DED9D0189}"/>
    <hyperlink ref="F362" r:id="rId661" display="https://www.google.com/url?q=https://github.com/mostafa-saad/MyCompetitiveProgramming/tree/master/Olympiad/COCI/official/2008/contest6_solutions&amp;sa=D&amp;ust=1605639832144000&amp;usg=AFQjCNHoYxTgJvaftRSnAnJ-9Vu8PX3B-w" xr:uid="{3C4B105C-929D-4989-B530-EECE0A2E99BB}"/>
    <hyperlink ref="B363" r:id="rId662" display="https://www.google.com/url?q=https://dmoj.ca/problem/coci07c6p3&amp;sa=D&amp;ust=1605639832144000&amp;usg=AFQjCNHciuyUTo_vbdh8Ux5d6ZH9ojH41A" xr:uid="{27390DCA-C14E-4F3A-952D-A255489289CB}"/>
    <hyperlink ref="F363" r:id="rId663" display="https://www.google.com/url?q=https://github.com/mostafa-saad/MyCompetitiveProgramming/blob/master/Olympiad/COCI/COCI-07-Granica.txt&amp;sa=D&amp;ust=1605639832144000&amp;usg=AFQjCNHJ2u2W4R2MNOQu2X1E9eK-_b1P5w" xr:uid="{F1808667-755E-4513-8AAB-0E5498905CC0}"/>
    <hyperlink ref="B364" r:id="rId664" display="https://www.google.com/url?q=https://dmoj.ca/problem/coci07c5p3&amp;sa=D&amp;ust=1605639832145000&amp;usg=AFQjCNH0F3Yjk9SHvGzzA51ZujjT317iTg" xr:uid="{256C4DE2-06A4-4972-9587-A030FB44F7FE}"/>
    <hyperlink ref="F364" r:id="rId665" display="https://www.google.com/url?q=https://github.com/mostafa-saad/MyCompetitiveProgramming/tree/master/Olympiad/COCI/official/2008/contest5_solutions&amp;sa=D&amp;ust=1605639832145000&amp;usg=AFQjCNHPVJIq0F8u99CKRpI_TOD-RYojMA" xr:uid="{B06EA6D0-8CC8-4C28-B67E-8A7CC093B5E3}"/>
    <hyperlink ref="B365" r:id="rId666" display="https://www.google.com/url?q=https://wcipeg.com/problem/coci077p4&amp;sa=D&amp;ust=1605639832145000&amp;usg=AFQjCNFXE10o5uL83wAjxN-agGxF65RBiQ" xr:uid="{F4ABBCB8-C902-48FB-BE0B-C89047507E86}"/>
    <hyperlink ref="F365" r:id="rId667" display="https://www.google.com/url?q=https://github.com/mostafa-saad/MyCompetitiveProgramming/blob/master/Olympiad/COCI/COCI-07-Jednakost.txt&amp;sa=D&amp;ust=1605639832145000&amp;usg=AFQjCNEBKoQolIe6ACeqKIZ6HtbF6kED-g" xr:uid="{9A429A75-009B-4F9D-A6FA-7A8AFAB1D3CC}"/>
    <hyperlink ref="B366" r:id="rId668" display="https://www.google.com/url?q=https://dmoj.ca/problem/coci07c2p5&amp;sa=D&amp;ust=1605639832145000&amp;usg=AFQjCNE5YL-rEpd14WX48FjMa1h2-cvA6w" xr:uid="{562EFFE8-729C-46C5-91CA-D7F97F16D05C}"/>
    <hyperlink ref="F366" r:id="rId669" display="https://www.google.com/url?q=https://github.com/mostafa-saad/MyCompetitiveProgramming/blob/master/Olympiad/COCI/COCI-07-Kemija.txt&amp;sa=D&amp;ust=1605639832146000&amp;usg=AFQjCNGVE8w2JaQHI1XUmWVrZJhrS-anVg" xr:uid="{94FB5248-5731-4100-BB9F-B42016383C83}"/>
    <hyperlink ref="B367" r:id="rId670" display="https://www.google.com/url?q=https://wcipeg.com/problem/coci074p6&amp;sa=D&amp;ust=1605639832146000&amp;usg=AFQjCNH0QLvgRCvEIIrFy5MUWxvLQH1x2Q" xr:uid="{D3274677-CCF5-484D-9F34-3E9670A6EA26}"/>
    <hyperlink ref="F367" r:id="rId671" display="https://www.google.com/url?q=https://github.com/mostafa-saad/MyCompetitiveProgramming/blob/master/Olympiad/COCI/COCI-07-Kocke.txt&amp;sa=D&amp;ust=1605639832146000&amp;usg=AFQjCNFfH3oxe8Y0aOBkNxoYz47g0Ha02w" xr:uid="{E94EA8AB-84A7-4E43-B6E7-855EA32FAA66}"/>
    <hyperlink ref="B368" r:id="rId672" display="https://www.google.com/url?q=https://dmoj.ca/problem/crci07p3&amp;sa=D&amp;ust=1605639832146000&amp;usg=AFQjCNHl-M7AU0nnAc3NaheoECu0G4dDWw" xr:uid="{2280F36E-965E-4FCC-99C7-DAE4934CB152}"/>
    <hyperlink ref="F368" r:id="rId673" display="https://www.google.com/url?q=https://github.com/mostafa-saad/MyCompetitiveProgramming/tree/master/Olympiad/COCI/official/2008/regional_solutions&amp;sa=D&amp;ust=1605639832146000&amp;usg=AFQjCNEr0J6mp7YBApGluNYfnPUy3mZhwQ" xr:uid="{EEA2C425-5E06-431A-91D0-89C65C11CE4C}"/>
    <hyperlink ref="B369" r:id="rId674" display="https://www.google.com/url?q=https://dmoj.ca/problem/coci07c4p3&amp;sa=D&amp;ust=1605639832147000&amp;usg=AFQjCNEKrEPym3hLI7jiNy3LEAGtlJtG-Q" xr:uid="{E70EA146-A36C-4062-B0B5-90D62EA5208C}"/>
    <hyperlink ref="F369" r:id="rId675" display="https://www.google.com/url?q=https://github.com/mostafa-saad/MyCompetitiveProgramming/tree/master/Olympiad/COCI/official/2008/contest4_solutions&amp;sa=D&amp;ust=1605639832147000&amp;usg=AFQjCNHH7a4ZrVqzb0oP2-DLBThWVxvCsQ" xr:uid="{E0FCEB4A-89B4-488F-A287-CC26FCF454AF}"/>
    <hyperlink ref="B370" r:id="rId676" display="https://www.google.com/url?q=https://dmoj.ca/problem/coci07c4p4&amp;sa=D&amp;ust=1605639832147000&amp;usg=AFQjCNHRQaNkOjP_z0AbJl9IZI_l_sm2iQ" xr:uid="{8F2A96CC-4C6A-45AE-AA11-255A21A07EC4}"/>
    <hyperlink ref="F370" r:id="rId677" display="https://www.google.com/url?q=https://github.com/mostafa-saad/MyCompetitiveProgramming/tree/master/Olympiad/COCI/official/2008/contest4_solutions&amp;sa=D&amp;ust=1605639832148000&amp;usg=AFQjCNHaX9c7Hi-_m000c54nl5ZQaZZlHw" xr:uid="{AA646C82-4347-4AA5-AFF9-DBF700827B9E}"/>
    <hyperlink ref="B371" r:id="rId678" display="https://www.google.com/url?q=https://dmoj.ca/problem/crci07p2&amp;sa=D&amp;ust=1605639832148000&amp;usg=AFQjCNGz0fwAPs1m0AqP2h-OxxnHsRFK-A" xr:uid="{DC02EC1D-42BC-4A99-90A3-BCBE82012E79}"/>
    <hyperlink ref="F371" r:id="rId679" display="https://www.google.com/url?q=https://github.com/mostafa-saad/MyCompetitiveProgramming/tree/master/Olympiad/COCI/official/2008/regional_solutions&amp;sa=D&amp;ust=1605639832148000&amp;usg=AFQjCNF5mRWK5jMvBv9qpjg0sUYDJuGJ1A" xr:uid="{6FA156C2-28BB-447C-8ED0-48BD244BD027}"/>
    <hyperlink ref="B372" r:id="rId680" display="https://www.google.com/url?q=https://dmoj.ca/problem/coci07c3p2&amp;sa=D&amp;ust=1605639832148000&amp;usg=AFQjCNH11UjpEtV4bArxS5Yyb_R0YV_SZw" xr:uid="{73F88969-1E29-4638-A96A-4A6C39AA253D}"/>
    <hyperlink ref="F372" r:id="rId681" display="https://www.google.com/url?q=https://github.com/mostafa-saad/MyCompetitiveProgramming/tree/master/Olympiad/COCI/official/2008/contest3_solutions&amp;sa=D&amp;ust=1605639832149000&amp;usg=AFQjCNEFv6avyjnFuDJ-PmG2lFiAmQ81ow" xr:uid="{F53382AE-3462-4826-9F3A-EDCD2FCC1576}"/>
    <hyperlink ref="B373" r:id="rId682" display="https://www.google.com/url?q=https://dmoj.ca/problem/coci07c6p1&amp;sa=D&amp;ust=1605639832149000&amp;usg=AFQjCNH83iZzGXf1J47JkWaDH0IINirb8w" xr:uid="{B8A4782C-C00F-4354-A27F-65185B763330}"/>
    <hyperlink ref="F373" r:id="rId683" display="https://www.google.com/url?q=https://github.com/mostafa-saad/MyCompetitiveProgramming/tree/master/Olympiad/COCI/official/2008/contest6_solutions&amp;sa=D&amp;ust=1605639832149000&amp;usg=AFQjCNHz1Om7a7Q22j_a2tvqWUE1Tf1giQ" xr:uid="{60D43AAB-794C-490C-88B8-375705BC7DA4}"/>
    <hyperlink ref="B374" r:id="rId684" display="https://www.google.com/url?q=https://dmoj.ca/problem/coci07c5p2&amp;sa=D&amp;ust=1605639832149000&amp;usg=AFQjCNEFeH8aZRnX1Pq5-QIh8t4qkw3NgA" xr:uid="{729FE1BA-4C59-465D-ACE1-8C3D83611C13}"/>
    <hyperlink ref="F374" r:id="rId685" display="https://www.google.com/url?q=https://github.com/mostafa-saad/MyCompetitiveProgramming/tree/master/Olympiad/COCI/official/2008/contest5_solutions&amp;sa=D&amp;ust=1605639832149000&amp;usg=AFQjCNG0A23bwgmuPFIEV6jzeGhK2Y2I-g" xr:uid="{B46087E0-0347-41A1-A1A2-D68F7B9FC2BC}"/>
    <hyperlink ref="B375" r:id="rId686" display="https://www.google.com/url?q=https://wcipeg.com/problem/coci071p2&amp;sa=D&amp;ust=1605639832150000&amp;usg=AFQjCNGBFOQneVXNvlBpgHQ0hhVMd8SLXw" xr:uid="{6B9A1B76-3156-4FD2-B552-82EFEA3D3DD2}"/>
    <hyperlink ref="F375" r:id="rId687" display="https://www.google.com/url?q=https://github.com/mostafa-saad/MyCompetitiveProgramming/tree/master/Olympiad/COCI/official/2008/contest1_solutions&amp;sa=D&amp;ust=1605639832150000&amp;usg=AFQjCNGEcQwvfbtJjDoqpVcwoMJ3uCZNCA" xr:uid="{C315A20A-8963-4EC0-92BE-09810125EABC}"/>
    <hyperlink ref="B376" r:id="rId688" display="https://www.google.com/url?q=https://dmoj.ca/problem/crci07p1&amp;sa=D&amp;ust=1605639832150000&amp;usg=AFQjCNFGdbTCUaYssg_afFCpAVrtMAiqXg" xr:uid="{5970E144-AFED-492A-A5FC-1144C3890EE5}"/>
    <hyperlink ref="F376" r:id="rId689" display="https://www.google.com/url?q=https://github.com/mostafa-saad/MyCompetitiveProgramming/tree/master/Olympiad/COCI/official/2008/regional_solutions&amp;sa=D&amp;ust=1605639832150000&amp;usg=AFQjCNEt6Y-DUz8YUdWMYRLoha1ZzMr7iQ" xr:uid="{CB5D58CD-0A01-4DC9-9F87-029F27DE350F}"/>
    <hyperlink ref="B377" r:id="rId690" display="https://www.google.com/url?q=https://dmoj.ca/problem/coci07c4p5&amp;sa=D&amp;ust=1605639832150000&amp;usg=AFQjCNGKgqpwVQnB1wv5_GshBUJJfhB74A" xr:uid="{25EE156C-2DD1-4E41-9C0E-8D50B9B1D74E}"/>
    <hyperlink ref="F377" r:id="rId691" display="https://www.google.com/url?q=https://github.com/mostafa-saad/MyCompetitiveProgramming/tree/master/Olympiad/COCI/official/2008/contest4_solutions&amp;sa=D&amp;ust=1605639832150000&amp;usg=AFQjCNHeNaTF4ZOfSIhH6XD6C-nOcCNORw" xr:uid="{56C0B5EF-281C-45F1-B3D1-CAF3D76BDBEF}"/>
    <hyperlink ref="B378" r:id="rId692" display="https://www.google.com/url?q=https://dmoj.ca/problem/coci07c2p6&amp;sa=D&amp;ust=1605639832151000&amp;usg=AFQjCNHPpp6IsfZoT9WssgxqHF4_yxDtqw" xr:uid="{0E064E72-0C84-4A09-8702-23EDAF40AD3F}"/>
    <hyperlink ref="F378" r:id="rId693" display="https://www.google.com/url?q=https://github.com/mostafa-saad/MyCompetitiveProgramming/blob/master/Olympiad/COCI/COCI-07-Pravokutni.txt&amp;sa=D&amp;ust=1605639832151000&amp;usg=AFQjCNHTekoPBsrI3ml5ge4hO9-VNq4a2A" xr:uid="{E9B9C05A-2C46-4B62-8FC6-C4B7B77E4354}"/>
    <hyperlink ref="B379" r:id="rId694" display="https://www.google.com/url?q=https://dmoj.ca/problem/coci07c6p5&amp;sa=D&amp;ust=1605639832151000&amp;usg=AFQjCNE6FkQXgydZnStkwE6wi4mc0Oqjgg" xr:uid="{31DB1A6A-86AE-4DC6-A277-1D627BDAAA40}"/>
    <hyperlink ref="F379" r:id="rId695" display="https://www.google.com/url?q=https://github.com/mostafa-saad/MyCompetitiveProgramming/tree/master/Olympiad/COCI/official/2008/contest6_solutions&amp;sa=D&amp;ust=1605639832151000&amp;usg=AFQjCNEnXK15FDKpb5B67HHrJuu5h3262g" xr:uid="{8CF8919F-ADD3-452A-8403-6A348CDC3AAE}"/>
    <hyperlink ref="B380" r:id="rId696" display="https://www.google.com/url?q=https://dmoj.ca/problem/coci07c1p3&amp;sa=D&amp;ust=1605639832151000&amp;usg=AFQjCNFPRgp20UBPE5OnMWz6zMREktaz2A" xr:uid="{D32DA4E2-EBB6-4F9E-9263-A7446A63909C}"/>
    <hyperlink ref="F380" r:id="rId697" display="https://www.google.com/url?q=https://github.com/mostafa-saad/MyCompetitiveProgramming/tree/master/Olympiad/COCI/official/2008/contest1_solutions&amp;sa=D&amp;ust=1605639832151000&amp;usg=AFQjCNHC4ORv1URTXyBYiyH4Jhsuw3dfdg" xr:uid="{77C69CDB-EA96-45F9-8209-1A1C9F2D3583}"/>
    <hyperlink ref="B381" r:id="rId698" display="https://www.google.com/url?q=https://dmoj.ca/problem/coci07c2p3&amp;sa=D&amp;ust=1605639832152000&amp;usg=AFQjCNFStRpuTPA2hNonfq04og93H-zuoA" xr:uid="{6E5BC471-21C9-4D87-859E-6624750B467E}"/>
    <hyperlink ref="F381" r:id="rId699" display="https://www.google.com/url?q=https://github.com/mostafa-saad/MyCompetitiveProgramming/tree/master/Olympiad/COCI/official/2008/contest2_solutions&amp;sa=D&amp;ust=1605639832152000&amp;usg=AFQjCNHJaH6erkrEk1oojgFNwUvGdR6OTw" xr:uid="{BF909CF1-6AF9-4C64-B4A6-51F8DFAEC774}"/>
    <hyperlink ref="B382" r:id="rId700" display="https://www.google.com/url?q=https://dmoj.ca/problem/coci07c3p6&amp;sa=D&amp;ust=1605639832152000&amp;usg=AFQjCNHmE_Vfi_OHaWGsBUMwLC73Oofalg" xr:uid="{7086DB97-917A-498B-A882-708541C448FC}"/>
    <hyperlink ref="F382" r:id="rId701" display="https://www.google.com/url?q=https://github.com/mostafa-saad/MyCompetitiveProgramming/blob/master/Olympiad/COCI/COCI-07-Redoks.txt&amp;sa=D&amp;ust=1605639832152000&amp;usg=AFQjCNFQkJOWVHsbb4PS6-8C2FyoqfRuFA" xr:uid="{B00A9EDB-9BFF-4AB6-A66C-01D8C8B694CB}"/>
    <hyperlink ref="B383" r:id="rId702" display="https://www.google.com/url?q=https://dmoj.ca/problem/coci07c6p2&amp;sa=D&amp;ust=1605639832152000&amp;usg=AFQjCNGvpHpHPuIVRn0uBQq7rhLKbr69Jg" xr:uid="{30DF1967-A9AA-4C28-A2C2-2E964610726D}"/>
    <hyperlink ref="F383" r:id="rId703" display="https://www.google.com/url?q=https://github.com/mostafa-saad/MyCompetitiveProgramming/tree/master/Olympiad/COCI/official/2008/contest6_solutions&amp;sa=D&amp;ust=1605639832153000&amp;usg=AFQjCNFDAbCHDYv1OmyOWatzeiaIQMriSw" xr:uid="{3CDEDDC8-6D34-4D3A-840A-E8B1A266A27C}"/>
    <hyperlink ref="B384" r:id="rId704" display="https://www.google.com/url?q=https://dmoj.ca/problem/coci07c1p5&amp;sa=D&amp;ust=1605639832153000&amp;usg=AFQjCNHaMPOwYXpGEjKMi3upMWr2haDinw" xr:uid="{1129E52D-DA05-4964-B073-C1A821D403D1}"/>
    <hyperlink ref="F384" r:id="rId705" display="https://www.google.com/url?q=https://github.com/mostafa-saad/MyCompetitiveProgramming/tree/master/Olympiad/COCI/official/2008/contest1_solutions&amp;sa=D&amp;ust=1605639832153000&amp;usg=AFQjCNG-Q3-I3wcru0aR7a6JNRBVrFN0ZQ" xr:uid="{CE62BA8E-2F6C-4472-AD42-E2D0DD79D56B}"/>
    <hyperlink ref="B385" r:id="rId706" display="https://www.google.com/url?q=https://dmoj.ca/problem/coci07c1p6&amp;sa=D&amp;ust=1605639832153000&amp;usg=AFQjCNGtIv4MjZvR8wKbyu2whnuWuXLxNg" xr:uid="{9589CE05-26A2-4D8B-A825-0B94FD8293F3}"/>
    <hyperlink ref="F385" r:id="rId707" display="https://www.google.com/url?q=https://github.com/mostafa-saad/MyCompetitiveProgramming/blob/master/Olympiad/COCI/COCI-07-Staza.txt&amp;sa=D&amp;ust=1605639832153000&amp;usg=AFQjCNF8uhUexwCw4_0Wk0x5MTkNzrwoMA" xr:uid="{52DB0AB1-1E87-4514-AC3B-93EECCBE2044}"/>
    <hyperlink ref="B386" r:id="rId708" display="https://www.google.com/url?q=https://dmoj.ca/problem/coci07c3p3&amp;sa=D&amp;ust=1605639832154000&amp;usg=AFQjCNHagW3PvCbpG-QUaSk_UnUH-Nb9dQ" xr:uid="{175EA9C9-D2F8-49AB-A0F7-70A44A8BB959}"/>
    <hyperlink ref="F386" r:id="rId709" display="https://www.google.com/url?q=https://github.com/mostafa-saad/MyCompetitiveProgramming/tree/master/Olympiad/COCI/official/2008/contest3_solutions&amp;sa=D&amp;ust=1605639832154000&amp;usg=AFQjCNEFvwGiVPm69zGmgL1wai1kippGtw" xr:uid="{03C76BA9-C73C-42C1-9B6D-A2181B45D36C}"/>
    <hyperlink ref="B387" r:id="rId710" display="https://www.google.com/url?q=https://dmoj.ca/problem/coci07c5p1&amp;sa=D&amp;ust=1605639832154000&amp;usg=AFQjCNFcDXOFl3f8PWoFimnwIxow2PcqbA" xr:uid="{3A4FADDF-3E89-48FA-A81A-9001F4B83C85}"/>
    <hyperlink ref="F387" r:id="rId711" display="https://www.google.com/url?q=https://github.com/mostafa-saad/MyCompetitiveProgramming/tree/master/Olympiad/COCI/official/2008/contest5_solutions&amp;sa=D&amp;ust=1605639832155000&amp;usg=AFQjCNHOshPrB5z5ErDCzw9UIxBCzMpOAw" xr:uid="{B8658E9C-E196-4AAC-9B6D-D63764ED2284}"/>
    <hyperlink ref="B388" r:id="rId712" display="https://www.google.com/url?q=https://dmoj.ca/problem/coci07c2p4&amp;sa=D&amp;ust=1605639832155000&amp;usg=AFQjCNGm8oHj9KhdaCaPFPYFNh9AKN6tIg" xr:uid="{82171778-7EAE-41CC-9548-551717EC728D}"/>
    <hyperlink ref="F388" r:id="rId713" display="https://www.google.com/url?q=https://github.com/mostafa-saad/MyCompetitiveProgramming/tree/master/Olympiad/COCI/official/2008/contest2_solutions&amp;sa=D&amp;ust=1605639832155000&amp;usg=AFQjCNFsFaXHbq735l7cagRmGE32bzp9Vg" xr:uid="{8FF08E48-71F2-4C50-9DF9-D5340F9C626F}"/>
    <hyperlink ref="B389" r:id="rId714" display="https://www.google.com/url?q=https://dmoj.ca/problem/coci07c4p1&amp;sa=D&amp;ust=1605639832155000&amp;usg=AFQjCNGiq6YhDzgQGiEKNhn8S2ov95g2rQ" xr:uid="{325BC95F-A4E7-4F56-9B4F-F06A819B3CF0}"/>
    <hyperlink ref="F389" r:id="rId715" display="https://www.google.com/url?q=https://github.com/mostafa-saad/MyCompetitiveProgramming/tree/master/Olympiad/COCI/official/2008/contest4_solutions&amp;sa=D&amp;ust=1605639832155000&amp;usg=AFQjCNHd-gd_Yl0vPZWXLwDEn-r5cxBehg" xr:uid="{FC7DCE76-FEF5-46CA-9936-6C4D03E8AE99}"/>
    <hyperlink ref="B390" r:id="rId716" display="https://www.google.com/url?q=https://dmoj.ca/problem/coci07c4p2&amp;sa=D&amp;ust=1605639832156000&amp;usg=AFQjCNE7NBrAhi_MOCiPqS8WrjKWmRWjVw" xr:uid="{932FA302-0A44-4233-BAE9-CD1333D097F9}"/>
    <hyperlink ref="F390" r:id="rId717" display="https://www.google.com/url?q=https://github.com/mostafa-saad/MyCompetitiveProgramming/tree/master/Olympiad/COCI/official/2008/contest4_solutions&amp;sa=D&amp;ust=1605639832156000&amp;usg=AFQjCNFFTnJyA9jypCZy3w2Kggj6CrIQYw" xr:uid="{7F316194-2D2D-476D-9748-ADD820E7FD7D}"/>
    <hyperlink ref="B391" r:id="rId718" display="https://www.google.com/url?q=https://dmoj.ca/problem/coci07c1p4&amp;sa=D&amp;ust=1605639832156000&amp;usg=AFQjCNFc_EhI9jGjBGHJ_XcO9VjQmO89yA" xr:uid="{8898AE1F-814F-45C7-BECE-3BBA36A427C7}"/>
    <hyperlink ref="F391" r:id="rId719" display="https://www.google.com/url?q=https://github.com/mostafa-saad/MyCompetitiveProgramming/tree/master/Olympiad/COCI/official/2008/contest1_solutions&amp;sa=D&amp;ust=1605639832156000&amp;usg=AFQjCNGsOuWyof3hcvoqM1DI4y8GALTiWA" xr:uid="{11CD6DD5-D806-477A-85ED-06248CA9F7E9}"/>
    <hyperlink ref="B392" r:id="rId720" display="https://www.google.com/url?q=https://dmoj.ca/problem/coci08c6p2&amp;sa=D&amp;ust=1605639832156000&amp;usg=AFQjCNGx6I1rVItgv--maKOFmLnrT8rUjA" xr:uid="{2293E243-1A36-44DF-9262-69EAF76EE014}"/>
    <hyperlink ref="F392" r:id="rId721" display="https://www.google.com/url?q=https://github.com/mostafa-saad/MyCompetitiveProgramming/blob/master/Olympiad/COCI/official/2009/contest6_solutions&amp;sa=D&amp;ust=1605639832156000&amp;usg=AFQjCNEIcgy3-JFDGwGgpC0PLfjWVb1jcA" xr:uid="{4FD063F4-EA25-41F8-BE4A-E32F8A372BF6}"/>
    <hyperlink ref="B393" r:id="rId722" display="https://www.google.com/url?q=https://dmoj.ca/problem/coci08c3p5&amp;sa=D&amp;ust=1605639832157000&amp;usg=AFQjCNF8rPjqYiUm_MRlKS_Ar5NyBO4A5Q" xr:uid="{DD8376E2-D511-46FA-8CF5-F1CEA91B7687}"/>
    <hyperlink ref="F393" r:id="rId723" display="https://www.google.com/url?q=https://github.com/mostafa-saad/MyCompetitiveProgramming/blob/master/Olympiad/COCI/COCI-08-BST.txt&amp;sa=D&amp;ust=1605639832157000&amp;usg=AFQjCNHdIcF97YT4jnXjJnF3Tq4KqQmUPw" xr:uid="{5ADE0BA1-0B97-4853-87DC-238915A7FCF2}"/>
    <hyperlink ref="B394" r:id="rId724" display="https://www.google.com/url?q=https://dmoj.ca/problem/coci08c6p1&amp;sa=D&amp;ust=1605639832157000&amp;usg=AFQjCNH2NojYnYeL0Pcn0sYubVFqdkndSA" xr:uid="{05584A70-372D-48EE-A00A-09F0ABB5082C}"/>
    <hyperlink ref="F394" r:id="rId725" display="https://www.google.com/url?q=https://github.com/mostafa-saad/MyCompetitiveProgramming/blob/master/Olympiad/COCI/official/2009/contest6_solutions&amp;sa=D&amp;ust=1605639832157000&amp;usg=AFQjCNHua_fF7J7y6nu3MroxXrNwHMWvfw" xr:uid="{16671D7D-15E1-434C-BD1D-2A147B0E7313}"/>
    <hyperlink ref="B395" r:id="rId726" display="https://www.google.com/url?q=https://dmoj.ca/problem/coci08c2p6&amp;sa=D&amp;ust=1605639832157000&amp;usg=AFQjCNF4ujwsKvLORG_1tDKkTUfH0zEJEA" xr:uid="{B31864AD-2672-45D7-B7F9-8C799FA2A2BC}"/>
    <hyperlink ref="F395" r:id="rId727" display="https://www.google.com/url?q=https://github.com/mostafa-saad/MyCompetitiveProgramming/blob/master/Olympiad/COCI/official/2009/contest2_solutions&amp;sa=D&amp;ust=1605639832158000&amp;usg=AFQjCNEja5AaVg3J70TY39JOaWlJPlWlSg" xr:uid="{30896D20-7775-45C6-B444-7806862BD86E}"/>
    <hyperlink ref="B396" r:id="rId728" display="https://www.google.com/url?q=https://dmoj.ca/problem/coci08c3p3&amp;sa=D&amp;ust=1605639832158000&amp;usg=AFQjCNEynbTJp6V-bu3eJ_psU8BS4EWYmQ" xr:uid="{B7936247-B66D-4A48-AEDF-0DC40E1D0296}"/>
    <hyperlink ref="F396" r:id="rId729" display="https://www.google.com/url?q=https://github.com/mostafa-saad/MyCompetitiveProgramming/blob/master/Olympiad/COCI/official/2009/contest3_solutions&amp;sa=D&amp;ust=1605639832158000&amp;usg=AFQjCNEZUyM1BZTHKKoE87iwchgaAx94dQ" xr:uid="{746A7720-90DE-4628-97E4-5D0C935F4EFD}"/>
    <hyperlink ref="B397" r:id="rId730" display="https://www.google.com/url?q=https://dmoj.ca/problem/coci08c6p4&amp;sa=D&amp;ust=1605639832158000&amp;usg=AFQjCNG2CfR64OZ97Tcyrv7jg62SO5CEcQ" xr:uid="{ADE739C8-E186-4D9C-955B-F86F21C0C651}"/>
    <hyperlink ref="F397" r:id="rId731" display="https://www.google.com/url?q=https://github.com/mostafa-saad/MyCompetitiveProgramming/blob/master/Olympiad/COCI/official/2009/contest6_solutions&amp;sa=D&amp;ust=1605639832158000&amp;usg=AFQjCNFUN6CwO5MQo6ttt4ZBT8IFRWaJYg" xr:uid="{90ED60CF-04C7-44BF-8CC3-EBEBDCE6B44B}"/>
    <hyperlink ref="B398" r:id="rId732" display="https://www.google.com/url?q=https://dmoj.ca/problem/coci08c4p2&amp;sa=D&amp;ust=1605639832159000&amp;usg=AFQjCNGXs_Dk3OdNqWKjrJQgompcfBkqAw" xr:uid="{26EBB5C1-B5DB-44E5-BC36-D092171ED0D9}"/>
    <hyperlink ref="F398" r:id="rId733" display="https://www.google.com/url?q=https://github.com/mostafa-saad/MyCompetitiveProgramming/blob/master/Olympiad/COCI/official/2009/contest4_solutions&amp;sa=D&amp;ust=1605639832159000&amp;usg=AFQjCNGd38XbVLbySkSTfGvDKn56LCWdYA" xr:uid="{84F72D20-164C-4584-8893-6D67A2E186DD}"/>
    <hyperlink ref="B399" r:id="rId734" display="https://www.google.com/url?q=https://dmoj.ca/problem/coci08c6p5&amp;sa=D&amp;ust=1605639832159000&amp;usg=AFQjCNGQ-_0LPqlrlFHGyTdse1FrVZgZuQ" xr:uid="{DAD0E609-8E50-43ED-AF5B-3863C569A167}"/>
    <hyperlink ref="F399" r:id="rId735" display="https://www.google.com/url?q=https://github.com/mostafa-saad/MyCompetitiveProgramming/blob/master/Olympiad/COCI/COCI-08-Dostava.txt&amp;sa=D&amp;ust=1605639832159000&amp;usg=AFQjCNEXuRW_V_-USiQfPSscE0NFYZBEyw" xr:uid="{9DBDBF94-D598-43AC-97BD-FD495F9D1F42}"/>
    <hyperlink ref="B400" r:id="rId736" display="https://www.google.com/url?q=https://dmoj.ca/problem/coci08c5p2&amp;sa=D&amp;ust=1605639832159000&amp;usg=AFQjCNH0F7vpKZqw92XSRkCP7bvfeXjMxg" xr:uid="{EB16CBC1-983D-429D-A790-A593E41B5A33}"/>
    <hyperlink ref="F400" r:id="rId737" display="https://www.google.com/url?q=https://github.com/mostafa-saad/MyCompetitiveProgramming/blob/master/Olympiad/COCI/official/2009/contest5_solutions&amp;sa=D&amp;ust=1605639832159000&amp;usg=AFQjCNEpqMdk5Z0HFzABdTADMW4M6zc3-A" xr:uid="{AB89CD7E-E48A-4291-A0D3-06F6DDE57A70}"/>
    <hyperlink ref="B401" r:id="rId738" display="https://www.google.com/url?q=https://dmoj.ca/problem/coci08c5p3&amp;sa=D&amp;ust=1605639832160000&amp;usg=AFQjCNEJBLBRaoHzfF4fSoKL_t14MY767g" xr:uid="{C5BF2764-7F85-457B-8987-3150A51FD49F}"/>
    <hyperlink ref="F401" r:id="rId739" display="https://www.google.com/url?q=https://github.com/mostafa-saad/MyCompetitiveProgramming/blob/master/Olympiad/COCI/official/2009/contest5_solutions&amp;sa=D&amp;ust=1605639832160000&amp;usg=AFQjCNGY7GjhLX3NAnZZBSwON3uEwKiUVg" xr:uid="{4B64E741-BEDA-47CA-9CBF-DA2E63A4DD8B}"/>
    <hyperlink ref="B402" r:id="rId740" display="https://www.google.com/url?q=https://dmoj.ca/problem/coci08c1p4&amp;sa=D&amp;ust=1605639832160000&amp;usg=AFQjCNEECy_OYOPsOVTFLvRcSrJdoHoHCw" xr:uid="{623DD825-1C60-46BF-8C5D-B3345A0B03F7}"/>
    <hyperlink ref="F402" r:id="rId741" display="https://www.google.com/url?q=https://github.com/mostafa-saad/MyCompetitiveProgramming/blob/master/Olympiad/COCI/official/2009/contest1_solutions&amp;sa=D&amp;ust=1605639832160000&amp;usg=AFQjCNGWZ0A5UOBX5q97Ub7pGZ_mZjeeSw" xr:uid="{DD8C98B0-B721-4121-A6DC-0209C64D57FA}"/>
    <hyperlink ref="B403" r:id="rId742" display="https://www.google.com/url?q=https://dmoj.ca/problem/coci08c3p2&amp;sa=D&amp;ust=1605639832160000&amp;usg=AFQjCNHgSo3jBehDMuUm6jjLBaneIBAjaA" xr:uid="{256DF667-CB11-490D-8C97-69D7B61BFB28}"/>
    <hyperlink ref="F403" r:id="rId743" display="https://www.google.com/url?q=https://github.com/mostafa-saad/MyCompetitiveProgramming/blob/master/Olympiad/COCI/official/2009/contest3_solutions&amp;sa=D&amp;ust=1605639832161000&amp;usg=AFQjCNEJ-mG_VX6rIyI31OQJ2oYcrGeqCg" xr:uid="{DFDA5F8C-0802-4800-8239-AEEEB732BAE7}"/>
    <hyperlink ref="B404" r:id="rId744" display="https://www.google.com/url?q=https://dmoj.ca/problem/coci08c2p1&amp;sa=D&amp;ust=1605639832161000&amp;usg=AFQjCNHA4tiPA_wxuFpiEbclRH-RbJZXWQ" xr:uid="{A8E594DA-FB6B-4E47-A8FA-A9EA14FE6155}"/>
    <hyperlink ref="F404" r:id="rId745" display="https://www.google.com/url?q=https://github.com/mostafa-saad/MyCompetitiveProgramming/blob/master/Olympiad/COCI/official/2009/contest2_solutions&amp;sa=D&amp;ust=1605639832161000&amp;usg=AFQjCNEKzNzxkGlXvIVGm437pRi_WmpO4g" xr:uid="{A6E50221-D2E6-44C6-A828-8AEB4C272EBA}"/>
    <hyperlink ref="B405" r:id="rId746" display="https://www.google.com/url?q=https://dmoj.ca/problem/coci08c1p6&amp;sa=D&amp;ust=1605639832162000&amp;usg=AFQjCNH5FP9m1Y_hzvhXYeu-j0VkoF0BzA" xr:uid="{8475B7D7-6DDD-412F-B206-252F9ECB8C84}"/>
    <hyperlink ref="F405" r:id="rId747" display="https://www.google.com/url?q=https://github.com/mostafa-saad/MyCompetitiveProgramming/blob/master/Olympiad/COCI/COCI-08-Krtica.txt&amp;sa=D&amp;ust=1605639832162000&amp;usg=AFQjCNHwq4fWIedggB52F5lpiNL7tIxP6A" xr:uid="{D0544EA1-2217-4282-9E69-4223BBFAF54D}"/>
    <hyperlink ref="B406" r:id="rId748" display="https://www.google.com/url?q=https://dmoj.ca/problem/coci08c5p6&amp;sa=D&amp;ust=1605639832162000&amp;usg=AFQjCNHID3YZBQLMyyVOHf6_WIiTRvmWVQ" xr:uid="{80C3A976-ACB4-43A5-945F-A79B875292C5}"/>
    <hyperlink ref="F406" r:id="rId749" display="https://www.google.com/url?q=https://github.com/mostafa-saad/MyCompetitiveProgramming/blob/master/Olympiad/COCI/official/2009/contest5_solutions&amp;sa=D&amp;ust=1605639832162000&amp;usg=AFQjCNHotv96q2CdU-R9WmKw9I_04GXggg" xr:uid="{0A289B1C-0E98-47B0-BEE8-3352EF653B3A}"/>
    <hyperlink ref="B407" r:id="rId750" display="https://www.google.com/url?q=https://dmoj.ca/problem/coci08c5p1&amp;sa=D&amp;ust=1605639832162000&amp;usg=AFQjCNGzc34oIfO97VKWXJHao9U6Y39t1g" xr:uid="{D5B6962D-2EF2-4507-82FA-7B322EDD2FFE}"/>
    <hyperlink ref="F407" r:id="rId751" display="https://www.google.com/url?q=https://github.com/mostafa-saad/MyCompetitiveProgramming/blob/master/Olympiad/COCI/official/2009/contest5_solutions&amp;sa=D&amp;ust=1605639832163000&amp;usg=AFQjCNH9W89apzUg4t11oza1LgcSj-Ckcw" xr:uid="{959470E4-0906-48F9-9B17-8BF663A694DB}"/>
    <hyperlink ref="B408" r:id="rId752" display="https://www.google.com/url?q=https://dmoj.ca/problem/coci08c5p4&amp;sa=D&amp;ust=1605639832163000&amp;usg=AFQjCNEk4Yeykqf63MvM5NFSoCwuZufHhg" xr:uid="{9A332B3D-5102-496D-BFF6-31817383D7C8}"/>
    <hyperlink ref="F408" r:id="rId753" display="https://www.google.com/url?q=https://github.com/mostafa-saad/MyCompetitiveProgramming/blob/master/Olympiad/COCI/COCI-08-Lubenica.txt&amp;sa=D&amp;ust=1605639832163000&amp;usg=AFQjCNFmNZ_sE_2d_sxa2D4lVovXs9Jciw" xr:uid="{04B72D19-F6C7-4741-B717-26E7F759FDDA}"/>
    <hyperlink ref="B409" r:id="rId754" display="https://www.google.com/url?q=https://dmoj.ca/problem/coci08c3p4&amp;sa=D&amp;ust=1605639832163000&amp;usg=AFQjCNHwZu64Di_FF4oOVbGpaiY10se7Fg" xr:uid="{33A3CB40-0E8B-4DF0-AF6F-D59A2C94A814}"/>
    <hyperlink ref="F409" r:id="rId755" display="https://www.google.com/url?q=https://github.com/mostafa-saad/MyCompetitiveProgramming/blob/master/Olympiad/COCI/COCI-08-Matrica&amp;sa=D&amp;ust=1605639832163000&amp;usg=AFQjCNFOqadPoV8nt98Rj14eZgyoI9dJSA" xr:uid="{198DF18F-3CF0-4538-89DF-3591AC47CD72}"/>
    <hyperlink ref="B410" r:id="rId756" display="https://www.google.com/url?q=https://dmoj.ca/problem/coci08c4p1&amp;sa=D&amp;ust=1605639832163000&amp;usg=AFQjCNH80fvNdJq_eu2sdcISk193mHLsEg" xr:uid="{929B1605-2848-48CC-B744-A3E161C92508}"/>
    <hyperlink ref="F410" r:id="rId757" display="https://www.google.com/url?q=https://github.com/mostafa-saad/MyCompetitiveProgramming/blob/master/Olympiad/COCI/official/2009/contest4_solutions&amp;sa=D&amp;ust=1605639832164000&amp;usg=AFQjCNEwQdKdU1oHaZAxtrCZmiZ5OVcRcQ" xr:uid="{B88A4141-BD15-4176-B07F-3352F9078FBD}"/>
    <hyperlink ref="B411" r:id="rId758" display="https://www.google.com/url?q=https://dmoj.ca/problem/coci08c1p3&amp;sa=D&amp;ust=1605639832164000&amp;usg=AFQjCNHoG-BWj9Gm8PqsWPO4JaUPoK9zfg" xr:uid="{4D42D21B-092D-437F-B7BA-E9FAC7D3843E}"/>
    <hyperlink ref="F411" r:id="rId759" display="https://www.google.com/url?q=https://github.com/mostafa-saad/MyCompetitiveProgramming/blob/master/Olympiad/COCI/official/2009/contest1_solutions&amp;sa=D&amp;ust=1605639832164000&amp;usg=AFQjCNE-M5v1iZxfjrALM5pDrDLCaxTJdw" xr:uid="{759DFA68-0A35-4594-846B-CE89932B461A}"/>
    <hyperlink ref="B412" r:id="rId760" display="https://www.google.com/url?q=https://dmoj.ca/problem/coci08c3p6&amp;sa=D&amp;ust=1605639832164000&amp;usg=AFQjCNEdQrlGGgDVCF6xVeDkjnKCa6Gwig" xr:uid="{1F89BDF6-97E5-4243-A500-F3E26E4BA827}"/>
    <hyperlink ref="F412" r:id="rId761" display="https://www.google.com/url?q=https://github.com/mostafa-saad/MyCompetitiveProgramming/blob/master/Olympiad/COCI/COCI-08-Najkraci.txt&amp;sa=D&amp;ust=1605639832164000&amp;usg=AFQjCNHp_5u8jm716M9e1Vw_oZgvdVFMSg" xr:uid="{0DEDCB99-85D9-4A36-9E50-8380C0078CB3}"/>
    <hyperlink ref="B413" r:id="rId762" display="https://www.google.com/url?q=https://dmoj.ca/problem/coci08c6p3&amp;sa=D&amp;ust=1605639832165000&amp;usg=AFQjCNFO_PMX_QjFPQBFC_ATqkbWk52aGw" xr:uid="{B0140B36-B916-47EA-9CD6-366456C8BE0C}"/>
    <hyperlink ref="F413" r:id="rId763" display="https://www.google.com/url?q=https://github.com/mostafa-saad/MyCompetitiveProgramming/blob/master/Olympiad/COCI/official/2009/contest6_solutions&amp;sa=D&amp;ust=1605639832165000&amp;usg=AFQjCNHBvsS1Cf-p7Mi34SZulVzJmd0QtQ" xr:uid="{E334CD42-733A-447E-AD65-6EBBE88D06E2}"/>
    <hyperlink ref="B414" r:id="rId764" display="https://www.google.com/url?q=https://dmoj.ca/problem/coci08c4p6&amp;sa=D&amp;ust=1605639832165000&amp;usg=AFQjCNG5hX0dx7o93JfJMlAcfIHPAD45Zw" xr:uid="{1A757DF8-65E3-4880-8782-B4538DE4CBE4}"/>
    <hyperlink ref="F414" r:id="rId765" display="https://www.google.com/url?q=https://github.com/mostafa-saad/MyCompetitiveProgramming/blob/master/Olympiad/COCI/COCI-08-Periodni.txt&amp;sa=D&amp;ust=1605639832166000&amp;usg=AFQjCNHH8ROgTbhrZFAuXQvfuvFvPkLxiw" xr:uid="{D54D8788-6A2C-450B-BD04-F5C069874A82}"/>
    <hyperlink ref="B415" r:id="rId766" display="https://www.google.com/url?q=https://dmoj.ca/problem/coci08c2p3&amp;sa=D&amp;ust=1605639832166000&amp;usg=AFQjCNHn8s6N73OyQepmYO4b-GEv9Urvnw" xr:uid="{B3216FC8-2949-4A58-B474-EBDFFDF41ADF}"/>
    <hyperlink ref="F415" r:id="rId767" display="https://www.google.com/url?q=https://github.com/mostafa-saad/MyCompetitiveProgramming/blob/master/Olympiad/COCI/official/2009/contest2_solutions&amp;sa=D&amp;ust=1605639832166000&amp;usg=AFQjCNGcdU-8XTS0CuT0yVS_ISM2TAbVtQ" xr:uid="{B5131F87-8FCB-47F6-9EBD-3BFAB1109F2C}"/>
    <hyperlink ref="B416" r:id="rId768" display="https://www.google.com/url?q=https://dmoj.ca/problem/coci08c3p1&amp;sa=D&amp;ust=1605639832166000&amp;usg=AFQjCNF3BNiArVCOio9UtLz-dyF1KFmsHA" xr:uid="{BC1C6FC4-FF1E-4B13-895A-6102A7EBB9EB}"/>
    <hyperlink ref="F416" r:id="rId769" display="https://www.google.com/url?q=https://github.com/mostafa-saad/MyCompetitiveProgramming/blob/master/Olympiad/COCI/official/2009/contest3_solutions&amp;sa=D&amp;ust=1605639832167000&amp;usg=AFQjCNFxERdHFEiGrJXj-Y-RMeJkGBvWsA" xr:uid="{7AAE2F28-E55B-4ED4-B92E-D47B2FFA946A}"/>
    <hyperlink ref="B417" r:id="rId770" display="https://www.google.com/url?q=https://dmoj.ca/problem/coci08c1p2&amp;sa=D&amp;ust=1605639832167000&amp;usg=AFQjCNELgfPcnLZmwTOuVFz8PjQejCzVrw" xr:uid="{76BD67AF-2C67-455E-BEFF-54E58575A41B}"/>
    <hyperlink ref="F417" r:id="rId771" display="https://www.google.com/url?q=https://github.com/mostafa-saad/MyCompetitiveProgramming/blob/master/Olympiad/COCI/official/2009/contest1_solutions&amp;sa=D&amp;ust=1605639832167000&amp;usg=AFQjCNGP7QX0rVtLTAZ6z9C3ojDd18X8Fg" xr:uid="{5919A29B-CA56-4F65-A07D-86D1FADBED9E}"/>
    <hyperlink ref="B418" r:id="rId772" display="https://www.google.com/url?q=https://dmoj.ca/problem/coci08c2p2&amp;sa=D&amp;ust=1605639832168000&amp;usg=AFQjCNH88GXtG19L0ARPn6pg7J4cyEZP_w" xr:uid="{E0F95631-1E58-4CD4-AD89-B434F4F31849}"/>
    <hyperlink ref="F418" r:id="rId773" display="https://www.google.com/url?q=https://github.com/mostafa-saad/MyCompetitiveProgramming/blob/master/Olympiad/COCI/official/2009/contest2_solutions&amp;sa=D&amp;ust=1605639832168000&amp;usg=AFQjCNFT1SQ3mnC6qUpdKyhlUtvG97YJYw" xr:uid="{6DAFDB0A-FF47-4F0E-B7E2-50617A25C71B}"/>
    <hyperlink ref="B419" r:id="rId774" display="https://www.google.com/url?q=https://dmoj.ca/problem/coci08c4p3&amp;sa=D&amp;ust=1605639832168000&amp;usg=AFQjCNFS95snQcasReYWZKM0ytEosfxJMg" xr:uid="{7C68BB71-46D6-4573-A8BC-5B781C7CEFC3}"/>
    <hyperlink ref="F419" r:id="rId775" display="https://www.google.com/url?q=https://github.com/mostafa-saad/MyCompetitiveProgramming/blob/master/Olympiad/COCI/official/2009/contest4_solutions&amp;sa=D&amp;ust=1605639832168000&amp;usg=AFQjCNH8ezVGjH3IS5WjlOnex6KXED0i0A" xr:uid="{9DC1A055-E7F2-4152-8E51-18F3DFA46D1A}"/>
    <hyperlink ref="B420" r:id="rId776" display="https://www.google.com/url?q=https://dmoj.ca/problem/coci08c2p5&amp;sa=D&amp;ust=1605639832169000&amp;usg=AFQjCNHxQw9pNhyAM6hcMxtvyvYXKk5ZUw" xr:uid="{4391DDB7-1E13-4F20-96EF-7A99DE46EF68}"/>
    <hyperlink ref="F420" r:id="rId777" display="https://www.google.com/url?q=https://github.com/mostafa-saad/MyCompetitiveProgramming/blob/master/Olympiad/COCI/official/2009/contest2_solutions&amp;sa=D&amp;ust=1605639832169000&amp;usg=AFQjCNEra35kw_T1wDVQNovfFx-n7t7SpA" xr:uid="{DA9F9FE9-BE22-4FBA-974C-2480C4EAC09C}"/>
    <hyperlink ref="B421" r:id="rId778" display="https://www.google.com/url?q=https://dmoj.ca/problem/coci08c1p5&amp;sa=D&amp;ust=1605639832169000&amp;usg=AFQjCNGKontSr949qMn4rXE88tdLF8h5qw" xr:uid="{7122E7A7-8444-4793-88AF-5FB80EF49701}"/>
    <hyperlink ref="F421" r:id="rId779" display="https://www.google.com/url?q=https://github.com/mostafa-saad/MyCompetitiveProgramming/blob/master/Olympiad/COCI/official/2009/contest1_solutions&amp;sa=D&amp;ust=1605639832169000&amp;usg=AFQjCNE1m_-mxPWj8owRB5M_7tk6NfUIIQ" xr:uid="{E2EA13FC-D072-46E2-B6CD-784888D3E4D8}"/>
    <hyperlink ref="B422" r:id="rId780" display="https://www.google.com/url?q=https://dmoj.ca/problem/coci08c1p1&amp;sa=D&amp;ust=1605639832171000&amp;usg=AFQjCNHj5i79XqSUIYwacJuonfXAsWPbMQ" xr:uid="{58B0CDCE-B903-4E89-AD77-9251277DD3B2}"/>
    <hyperlink ref="F422" r:id="rId781" display="https://www.google.com/url?q=https://github.com/mostafa-saad/MyCompetitiveProgramming/blob/master/Olympiad/COCI/official/2009/contest1_solutions&amp;sa=D&amp;ust=1605639832171000&amp;usg=AFQjCNH38zJORN5x1EVxScuf2jc6W8vW4w" xr:uid="{A509B2F1-4A91-4D42-AC66-C34B2576AAA1}"/>
    <hyperlink ref="B423" r:id="rId782" display="https://www.google.com/url?q=https://dmoj.ca/problem/coci08c6p6&amp;sa=D&amp;ust=1605639832171000&amp;usg=AFQjCNHBeVSb7CS0f_uMhRrU3lH5tTT_Hg" xr:uid="{5A1ABD1A-838B-4D62-88E3-A6865632D5BD}"/>
    <hyperlink ref="F423" r:id="rId783" display="https://www.google.com/url?q=https://github.com/mostafa-saad/MyCompetitiveProgramming/blob/master/Olympiad/CEOI/COCI-08-Slicice.txt&amp;sa=D&amp;ust=1605639832172000&amp;usg=AFQjCNFP6tdmScYRhO82LS0_-KvT0dkl1w" xr:uid="{C7B9B090-9F59-4637-9832-C51CCF1540B2}"/>
    <hyperlink ref="B424" r:id="rId784" display="https://www.google.com/url?q=https://dmoj.ca/problem/coci08c4p4&amp;sa=D&amp;ust=1605639832172000&amp;usg=AFQjCNFoXIBKVkA_BjMObR-awyBkrEvIyQ" xr:uid="{60FAB063-F4BD-440C-A5B5-0D3929562F96}"/>
    <hyperlink ref="F424" r:id="rId785" display="https://www.google.com/url?q=https://github.com/mostafa-saad/MyCompetitiveProgramming/blob/master/Olympiad/COCI/COCI-08-Slikar.txt&amp;sa=D&amp;ust=1605639832172000&amp;usg=AFQjCNG3ZErV4-uyPvMqh4sv0BvzoMU_Lw" xr:uid="{D046B9F0-4829-400B-B899-679DBF6EE601}"/>
    <hyperlink ref="B425" r:id="rId786" display="https://www.google.com/url?q=https://dmoj.ca/problem/coci08c2p4&amp;sa=D&amp;ust=1605639832173000&amp;usg=AFQjCNFjxLmIWUgQyF7GlQiwz3eIVp_fqA" xr:uid="{2DB8E221-F48C-4DC3-9D1F-141E6E68B9E7}"/>
    <hyperlink ref="F425" r:id="rId787" display="https://www.google.com/url?q=https://github.com/mostafa-saad/MyCompetitiveProgramming/blob/master/Olympiad/COCI/official/2009/contest2_solutions&amp;sa=D&amp;ust=1605639832173000&amp;usg=AFQjCNHfMMxcecSlLftZgP5tRsP__65fNw" xr:uid="{9710E323-B7EF-458C-80FC-779CD430DDA9}"/>
    <hyperlink ref="B426" r:id="rId788" display="https://www.google.com/url?q=https://dmoj.ca/problem/coci08c5p5&amp;sa=D&amp;ust=1605639832173000&amp;usg=AFQjCNH5Lt2TQM4zsRzktafB74k7t9ZKHg" xr:uid="{A8D61526-F0BB-4539-AB1C-911063D2CE2B}"/>
    <hyperlink ref="F426" r:id="rId789" display="https://www.google.com/url?q=https://github.com/mostafa-saad/MyCompetitiveProgramming/blob/master/Olympiad/COCI/COCI-08-Tresnja.txt&amp;sa=D&amp;ust=1605639832173000&amp;usg=AFQjCNHhw7zliF5gXzLMToGTBT1F_hX23w" xr:uid="{65231C22-6717-4050-AAEC-EE11374485C0}"/>
    <hyperlink ref="B427" r:id="rId790" display="https://www.google.com/url?q=https://dmoj.ca/problem/coci08c4p5&amp;sa=D&amp;ust=1605639832174000&amp;usg=AFQjCNHH4RKu55TfyjgvpT1DP7XFluboGw" xr:uid="{CC73701D-054A-433C-A214-536D18B469D0}"/>
    <hyperlink ref="F427" r:id="rId791" display="https://www.google.com/url?q=https://github.com/mostafa-saad/MyCompetitiveProgramming/blob/master/Olympiad/COCI/COCI-08-Trezor.txt&amp;sa=D&amp;ust=1605639832174000&amp;usg=AFQjCNHPd-0XcxoQEHg3zwq4KPXBa9tuOg" xr:uid="{A0649DA6-869D-41BD-B29D-A50738845EA6}"/>
    <hyperlink ref="B428" r:id="rId792" display="https://www.google.com/url?q=https://wcipeg.com/problem/coci091p6&amp;sa=D&amp;ust=1605639832174000&amp;usg=AFQjCNFx1TjYqiEWa1yWjgSEvmD-Jq15rQ" xr:uid="{36FD9D51-0213-4D1E-ADCC-30ABCE87EF1E}"/>
    <hyperlink ref="F428" r:id="rId793" display="https://www.google.com/url?q=https://github.com/mostafa-saad/MyCompetitiveProgramming/blob/master/Olympiad/COCI/COCI-09-Aladin.txt&amp;sa=D&amp;ust=1605639832175000&amp;usg=AFQjCNHjuUSvva4NNSYJg9gGjPD7XIo3Cg" xr:uid="{7FACCB00-344D-41E3-9C4B-68463AA9A8DF}"/>
    <hyperlink ref="B429" r:id="rId794" display="https://www.google.com/url?q=https://wcipeg.com/problem/coci094p1&amp;sa=D&amp;ust=1605639832175000&amp;usg=AFQjCNGZABnlhxaq9v20hoUrguo5Ymxp0w" xr:uid="{18E73664-76EF-479C-871D-310EF4EE774C}"/>
    <hyperlink ref="F429" r:id="rId795" display="https://www.google.com/url?q=https://github.com/mostafa-saad/MyCompetitiveProgramming/blob/master/Olympiad/COCI/official/2010/contest4_solutions&amp;sa=D&amp;ust=1605639832175000&amp;usg=AFQjCNFo-5-m4VpWz-YIt48ev0ecsSLFNQ" xr:uid="{C235715F-1462-45D6-ABE6-CD00568746AA}"/>
    <hyperlink ref="B430" r:id="rId796" display="https://www.google.com/url?q=https://wcipeg.com/problem/coci097p3&amp;sa=D&amp;ust=1605639832175000&amp;usg=AFQjCNEMkqgLAik36a8jclYpcGQ3voDBvA" xr:uid="{319B0DA7-AAEF-4881-99D4-9A50E8E0EB6B}"/>
    <hyperlink ref="F430" r:id="rId797" display="https://www.google.com/url?q=https://github.com/mostafa-saad/MyCompetitiveProgramming/blob/master/Olympiad/COCI/official/2010/contest7_solutions&amp;sa=D&amp;ust=1605639832176000&amp;usg=AFQjCNE4eq_N4knMHG1xvcvtOt_sTsWdqQ" xr:uid="{6159A1D8-3FF9-4F75-BFA7-354F23AD23CB}"/>
    <hyperlink ref="B431" r:id="rId798" display="https://www.google.com/url?q=https://wcipeg.com/problem/coci097p2&amp;sa=D&amp;ust=1605639832176000&amp;usg=AFQjCNHp6g5wUnC1HyBIENeZOSlBDUMFeA" xr:uid="{9B0CC46A-0BE5-455B-9041-9074032D7543}"/>
    <hyperlink ref="F431" r:id="rId799" display="https://www.google.com/url?q=https://github.com/mostafa-saad/MyCompetitiveProgramming/blob/master/Olympiad/COCI/official/2010/contest7_solutions&amp;sa=D&amp;ust=1605639832176000&amp;usg=AFQjCNE4eq_N4knMHG1xvcvtOt_sTsWdqQ" xr:uid="{E591AF11-4882-4AD5-B2FD-E2BB1141FE78}"/>
    <hyperlink ref="B432" r:id="rId800" display="https://www.google.com/url?q=https://wcipeg.com/problem/coci095p2&amp;sa=D&amp;ust=1605639832177000&amp;usg=AFQjCNEf4BFVYXJKNJA9QAEq_Kbjtry0bQ" xr:uid="{33238223-57C8-4902-89CC-76A5609C24FF}"/>
    <hyperlink ref="F432" r:id="rId801" display="https://www.google.com/url?q=https://github.com/mostafa-saad/MyCompetitiveProgramming/blob/master/Olympiad/COCI/official/2010/contest5_solutions&amp;sa=D&amp;ust=1605639832177000&amp;usg=AFQjCNFJooTPCsiv4wL3EFFFPn-y3AZugA" xr:uid="{4BDAEE81-859A-4125-9C6F-DC4C33DE354E}"/>
    <hyperlink ref="B433" r:id="rId802" display="https://www.google.com/url?q=https://wcipeg.com/problem/coci091p3&amp;sa=D&amp;ust=1605639832177000&amp;usg=AFQjCNEj3tx8osRD1l99Yw-I-vfXpqoEpQ" xr:uid="{C0C23622-75E4-4DE5-94E3-39983B722732}"/>
    <hyperlink ref="F433" r:id="rId803" display="https://www.google.com/url?q=https://github.com/mostafa-saad/MyCompetitiveProgramming/blob/master/Olympiad/COCI/official/2010/contest1_solutions&amp;sa=D&amp;ust=1605639832177000&amp;usg=AFQjCNEzzceL-Fk8qwvNPwZaZvH2A4-KIg" xr:uid="{43FC1C01-FD4A-4FD4-BFEE-AB002C7E2E83}"/>
    <hyperlink ref="B434" r:id="rId804" display="https://www.google.com/url?q=https://dmoj.ca/problem/coci09c1p2&amp;sa=D&amp;ust=1605639832178000&amp;usg=AFQjCNHMoS6nTtoIPJWq8KxEPwl5gDQMvA" xr:uid="{3732411C-4F89-429D-8839-CF1ECD0563F9}"/>
    <hyperlink ref="F434" r:id="rId805" display="https://www.google.com/url?q=https://github.com/mostafa-saad/MyCompetitiveProgramming/blob/master/Olympiad/COCI/official/2010/contest1_solutions&amp;sa=D&amp;ust=1605639832178000&amp;usg=AFQjCNGXThd5-EC6R7d8aN96yo5Tom0zug" xr:uid="{E0BBAA64-98E3-42C4-B96F-33FDD85719FE}"/>
    <hyperlink ref="B435" r:id="rId806" display="https://www.google.com/url?q=https://wcipeg.com/problem/coci096p3&amp;sa=D&amp;ust=1605639832178000&amp;usg=AFQjCNGckcHv5XzS5Xd5zZlxLv4l-ZMsdA" xr:uid="{B0C96A03-2DF1-457C-BB90-735564168833}"/>
    <hyperlink ref="F435" r:id="rId807" display="https://www.google.com/url?q=https://github.com/mostafa-saad/MyCompetitiveProgramming/blob/master/Olympiad/COCI/official/2010/contest6_solutions&amp;sa=D&amp;ust=1605639832179000&amp;usg=AFQjCNGi4rQFTwV8szTnD8cvMo0XKLde4g" xr:uid="{A48CA588-E52A-4572-BD6E-E5630F8D4A42}"/>
    <hyperlink ref="B436" r:id="rId808" display="https://www.google.com/url?q=https://wcipeg.com/problem/coci092p1&amp;sa=D&amp;ust=1605639832179000&amp;usg=AFQjCNHDypJqT8CMJh-OMSHucMPKHgumAQ" xr:uid="{B214BEF7-9700-4D29-A353-689A9F219096}"/>
    <hyperlink ref="F436" r:id="rId809" display="https://www.google.com/url?q=https://github.com/mostafa-saad/MyCompetitiveProgramming/blob/master/Olympiad/COCI/official/2010/contest2_solutions&amp;sa=D&amp;ust=1605639832179000&amp;usg=AFQjCNG70_BzdzOOwIdRINsuM2WbohSysA" xr:uid="{09D75C10-B5AA-4C26-9D50-408377EB666C}"/>
    <hyperlink ref="B437" r:id="rId810" display="https://www.google.com/url?q=https://wcipeg.com/problem/coci093p1&amp;sa=D&amp;ust=1605639832179000&amp;usg=AFQjCNFBJ9rv6KBGZYc3ZE92_3BVNSNyAQ" xr:uid="{FA88486C-5C83-4BCD-83FD-7C31040F03F5}"/>
    <hyperlink ref="F437" r:id="rId811" display="https://www.google.com/url?q=https://github.com/mostafa-saad/MyCompetitiveProgramming/blob/master/Olympiad/COCI/official/2010/contest3_solutions&amp;sa=D&amp;ust=1605639832180000&amp;usg=AFQjCNEaipeTRncDYMaJ_fgu2Yok2Io0Pg" xr:uid="{F0B4F41A-B024-43BF-B053-624057D0E5AB}"/>
    <hyperlink ref="B438" r:id="rId812" display="https://www.google.com/url?q=https://wcipeg.com/problem/coci091p5&amp;sa=D&amp;ust=1605639832180000&amp;usg=AFQjCNFqmlIrrjvpMoVH7TrM_GDZhXGE7w" xr:uid="{56D2EE31-7059-4C0D-A215-93B63ABA599E}"/>
    <hyperlink ref="F438" r:id="rId813" display="https://www.google.com/url?q=https://github.com/mostafa-saad/MyCompetitiveProgramming/blob/master/Olympiad/COCI/official/2010/contest1_solutions&amp;sa=D&amp;ust=1605639832180000&amp;usg=AFQjCNE86rMyR5poNxVvoxKsVHOfqOneGA" xr:uid="{6DE04606-33B4-45C2-A735-F927111EA605}"/>
    <hyperlink ref="B439" r:id="rId814" display="https://www.google.com/url?q=https://wcipeg.com/problem/coci096p6&amp;sa=D&amp;ust=1605639832181000&amp;usg=AFQjCNGDiIfG_R51KQZBykxCN8HOC3mcSA" xr:uid="{5E3E5AA3-37A5-44D4-BD15-BC441F46F578}"/>
    <hyperlink ref="F439" r:id="rId815" display="https://www.google.com/url?q=https://github.com/mostafa-saad/MyCompetitiveProgramming/blob/master/Olympiad/COCI/COCI-09-Gremlini.txt&amp;sa=D&amp;ust=1605639832182000&amp;usg=AFQjCNFo2zQ9bHCW_R8gf2vOPZWxcLnlng" xr:uid="{A4926750-642A-428C-A8DD-53C6A4EE0C44}"/>
    <hyperlink ref="B440" r:id="rId816" display="https://www.google.com/url?q=https://wcipeg.com/problem/coci096p5&amp;sa=D&amp;ust=1605639832182000&amp;usg=AFQjCNFutOYVc8jjJ8Uq-QUksE3duDF3iA" xr:uid="{57C7AB3F-E8C6-4480-AA84-29240E714EC6}"/>
    <hyperlink ref="F440" r:id="rId817" display="https://www.google.com/url?q=https://github.com/mostafa-saad/MyCompetitiveProgramming/blob/master/Olympiad/COCI/official/2010/contest6_solutions&amp;sa=D&amp;ust=1605639832182000&amp;usg=AFQjCNF9vgWiRqhSnPo2oGdjpOXi29Kg3g" xr:uid="{25E1941A-F3F6-44D9-A28E-86F7E3E552B9}"/>
    <hyperlink ref="B441" r:id="rId818" display="https://www.google.com/url?q=https://wcipeg.com/problem/coci094p3&amp;sa=D&amp;ust=1605639832183000&amp;usg=AFQjCNF2pXFFIInaN3r0lhsjz0VoUvgDyQ" xr:uid="{A0464AFB-FB71-4CCA-BD12-F22421B8BE72}"/>
    <hyperlink ref="B442" r:id="rId819" display="https://www.google.com/url?q=https://wcipeg.com/problem/coci094p5&amp;sa=D&amp;ust=1605639832183000&amp;usg=AFQjCNEX8L0Qr8pJaII4fO6sxnWYSHJy0g" xr:uid="{43740993-8409-4F71-8F74-02E30541CC9B}"/>
    <hyperlink ref="F442" r:id="rId820" display="https://www.google.com/url?q=https://github.com/mostafa-saad/MyCompetitiveProgramming/blob/master/Olympiad/CEOI/COCI-09-Kaboom&amp;sa=D&amp;ust=1605639832184000&amp;usg=AFQjCNFlo0GRefoAwnS5sC2qikblMCJJog" xr:uid="{7D4E16BE-1636-42E7-B142-EEC58631F9D8}"/>
    <hyperlink ref="B443" r:id="rId821" display="https://www.google.com/url?q=https://wcipeg.com/problem/coci096p1&amp;sa=D&amp;ust=1605639832184000&amp;usg=AFQjCNEcMsX5lULj2b6ef4lxRAw87uXj9w" xr:uid="{0004C941-5597-4DA5-925B-5A34E1098643}"/>
    <hyperlink ref="F443" r:id="rId822" display="https://www.google.com/url?q=https://github.com/mostafa-saad/MyCompetitiveProgramming/blob/master/Olympiad/COCI/official/2010/contest6_solutions&amp;sa=D&amp;ust=1605639832184000&amp;usg=AFQjCNGR09CJPGqTlAIEz6x7BWFohr2_9w" xr:uid="{9EA50A44-7429-45B9-BE8F-77893B17768D}"/>
    <hyperlink ref="B444" r:id="rId823" display="https://www.google.com/url?q=https://wcipeg.com/problem/coci095p3&amp;sa=D&amp;ust=1605639832185000&amp;usg=AFQjCNGK4J5RHORhknLJl8B6ALZdoeB8Ww" xr:uid="{7E69DA16-32E7-45CD-89BD-55EF47940820}"/>
    <hyperlink ref="F444" r:id="rId824" display="https://www.google.com/url?q=https://github.com/mostafa-saad/MyCompetitiveProgramming/blob/master/Olympiad/COCI/official/2010/contest5_solutions&amp;sa=D&amp;ust=1605639832185000&amp;usg=AFQjCNHYmG9LpSvTJPYwoE_v-4jHUGx8DQ" xr:uid="{A19770E4-4B84-4C4F-BC7F-160315D430EA}"/>
    <hyperlink ref="B445" r:id="rId825" display="https://www.google.com/url?q=https://wcipeg.com/problem/coci097p5&amp;sa=D&amp;ust=1605639832185000&amp;usg=AFQjCNE0dRXY0udckC0XcyYwmdp8kIdUgw" xr:uid="{723B00E5-D6DE-4012-9137-6F58FE9DFCC0}"/>
    <hyperlink ref="F445" r:id="rId826" display="https://www.google.com/url?q=https://github.com/mostafa-saad/MyCompetitiveProgramming/blob/master/Olympiad/COCI/official/2010/contest7_solutions&amp;sa=D&amp;ust=1605639832185000&amp;usg=AFQjCNE_jb46YNoZnXq0ToWErV3H6YRdCg" xr:uid="{65ED64DE-DD32-4AFE-89BA-1AF9B89F9D97}"/>
    <hyperlink ref="B446" r:id="rId827" display="https://www.google.com/url?q=https://wcipeg.com/problem/coci092p3&amp;sa=D&amp;ust=1605639832186000&amp;usg=AFQjCNH6cBpO0QRfxSOVEDBPpqg5G9iivg" xr:uid="{2EDFA570-3288-45FB-878F-8D0C3DF1C4FA}"/>
    <hyperlink ref="B447" r:id="rId828" display="https://www.google.com/url?q=https://wcipeg.com/problem/coci091p4&amp;sa=D&amp;ust=1605639832186000&amp;usg=AFQjCNG7jbDmDrLKDY6f6knHWo4ueSxV6w" xr:uid="{9FA81638-E022-48AB-BDC5-F6A2D8117FBA}"/>
    <hyperlink ref="F447" r:id="rId829" display="https://www.google.com/url?q=https://github.com/mostafa-saad/MyCompetitiveProgramming/blob/master/Olympiad/COCI/official/2010/contest1_solutions&amp;sa=D&amp;ust=1605639832186000&amp;usg=AFQjCNFIYkG6usvuoXO-bBfV66H1KzPkfg" xr:uid="{F002D8B8-FA6E-4E72-B3FE-40405AB56B28}"/>
    <hyperlink ref="B448" r:id="rId830" display="https://www.google.com/url?q=https://wcipeg.com/problem/coci096p2&amp;sa=D&amp;ust=1605639832187000&amp;usg=AFQjCNGkgLEPxya41MOU9Mywaul7AbB62A" xr:uid="{B33966D7-60E7-4725-8AAB-E52712221D0A}"/>
    <hyperlink ref="F448" r:id="rId831" display="https://www.google.com/url?q=https://github.com/mostafa-saad/MyCompetitiveProgramming/blob/master/Olympiad/COCI/official/2010/contest6_solutions&amp;sa=D&amp;ust=1605639832187000&amp;usg=AFQjCNHjpKVz_113X4l8rhLDC20QW7DzLA" xr:uid="{93604FCF-F834-48D7-879D-5E26744CC7C7}"/>
    <hyperlink ref="B449" r:id="rId832" display="https://www.google.com/url?q=https://dmoj.ca/problem/coci09c1p1&amp;sa=D&amp;ust=1605639832187000&amp;usg=AFQjCNEtg3zWTX9C0MVl4A6KRY-hyfFivw" xr:uid="{37F67CEC-C457-4718-9F49-BC16AADCCCAD}"/>
    <hyperlink ref="B450" r:id="rId833" display="https://www.google.com/url?q=https://wcipeg.com/problem/coci094p4&amp;sa=D&amp;ust=1605639832188000&amp;usg=AFQjCNF4BoA3kpnULHUXqXcABsgzwB76PA" xr:uid="{76F9855D-FEB8-43FA-8510-4056724A79C7}"/>
    <hyperlink ref="F450" r:id="rId834" display="https://www.google.com/url?q=https://github.com/mostafa-saad/MyCompetitiveProgramming/blob/master/Olympiad/COCI/COCI-09-Ograda.txt&amp;sa=D&amp;ust=1605639832188000&amp;usg=AFQjCNEWqze7LNalMxifd6Pti3Sv4rsibg" xr:uid="{B1E9E3F9-D3C7-45EE-8FB1-79474F3245E8}"/>
    <hyperlink ref="B451" r:id="rId835" display="https://www.google.com/url?q=https://wcipeg.com/problem/coci094p6&amp;sa=D&amp;ust=1605639832188000&amp;usg=AFQjCNEzj677fVOiAiHUn22PvqHzw_r2mw" xr:uid="{FEA74470-D445-4DC5-800E-9D1FAA3A441F}"/>
    <hyperlink ref="F451" r:id="rId836" display="https://www.google.com/url?q=https://github.com/mostafa-saad/MyCompetitiveProgramming/blob/master/Olympiad/COCI/COCI-09-Palacinke.txt&amp;sa=D&amp;ust=1605639832189000&amp;usg=AFQjCNF4VEyjSZcc-XX46NLV5lIivrshug" xr:uid="{76513F42-9319-4395-AC65-FEB1F8285260}"/>
    <hyperlink ref="B452" r:id="rId837" display="https://www.google.com/url?q=https://wcipeg.com/problem/coci092p6&amp;sa=D&amp;ust=1605639832189000&amp;usg=AFQjCNHQo5CoU7nvVGmneyFzoKlerHlzqw" xr:uid="{9F847399-7EC0-4B62-AEA1-7D2CD5D9EC54}"/>
    <hyperlink ref="F452" r:id="rId838" display="https://www.google.com/url?q=https://github.com/mostafa-saad/MyCompetitiveProgramming/blob/master/Olympiad/COCI/official/2010/contest2_solutions&amp;sa=D&amp;ust=1605639832189000&amp;usg=AFQjCNH-fxPvDLOFCCxcOfk8JZYPhjoB9w" xr:uid="{A952745C-A527-4619-8838-D390D57C3D9A}"/>
    <hyperlink ref="B453" r:id="rId839" display="https://www.google.com/url?q=https://wcipeg.com/problem/coci093p5&amp;sa=D&amp;ust=1605639832189000&amp;usg=AFQjCNEyP8f2efWq76gxeMaS1ySO8pYerw" xr:uid="{E2FADE02-9F8C-46AB-A203-97EC7CCE07B2}"/>
    <hyperlink ref="F453" r:id="rId840" display="https://www.google.com/url?q=https://github.com/mostafa-saad/MyCompetitiveProgramming/blob/master/Olympiad/COCI/official/2010/contest3_solutions&amp;sa=D&amp;ust=1605639832190000&amp;usg=AFQjCNEkIyljTbnIr7GLbXuW9NYe8_2KPg" xr:uid="{50A91FA4-D09D-4BA2-8E70-0B3BC70C2075}"/>
    <hyperlink ref="B454" r:id="rId841" display="https://www.google.com/url?q=https://wcipeg.com/problem/coci094p2&amp;sa=D&amp;ust=1605639832190000&amp;usg=AFQjCNGu59mRMct-nUlY8OK0DnsU5lYPqw" xr:uid="{22688230-A6D2-4B43-81C0-9E31408898CD}"/>
    <hyperlink ref="F454" r:id="rId842" display="https://www.google.com/url?q=https://github.com/mostafa-saad/MyCompetitiveProgramming/blob/master/Olympiad/COCI/official/2010/contest4_solutions&amp;sa=D&amp;ust=1605639832190000&amp;usg=AFQjCNHYCl5gMmjmGy2KKbLv1kg-VP52fg" xr:uid="{15AE73F4-FC44-4388-B91C-90002C264E6D}"/>
    <hyperlink ref="B455" r:id="rId843" display="https://www.google.com/url?q=https://wcipeg.com/problem/coci092p5&amp;sa=D&amp;ust=1605639832191000&amp;usg=AFQjCNFifVGiOY9t-XzsMEbqtnzdhePtpw" xr:uid="{9D27B782-CCFF-4EAA-8648-33B7974F2713}"/>
    <hyperlink ref="F455" r:id="rId844" display="https://www.google.com/url?q=https://github.com/mostafa-saad/MyCompetitiveProgramming/blob/master/Olympiad/COCI/official/2010/contest2_solutions&amp;sa=D&amp;ust=1605639832191000&amp;usg=AFQjCNEt9PDpNHwCvrJgzPdFBVr8Htdl6g" xr:uid="{99BFBBED-FDBD-402D-8404-87F397195551}"/>
    <hyperlink ref="B456" r:id="rId845" display="https://www.google.com/url?q=https://wcipeg.com/problem/coci095p5&amp;sa=D&amp;ust=1605639832192000&amp;usg=AFQjCNEMU_jMk_qAZfSfr-tiNjOpr60u9Q" xr:uid="{E2B2B3DA-0D8D-4A5B-9060-7C34FB297B34}"/>
    <hyperlink ref="F456" r:id="rId846" display="https://www.google.com/url?q=https://github.com/mostafa-saad/MyCompetitiveProgramming/blob/master/Olympiad/COCI/official/2010/contest5_solutions&amp;sa=D&amp;ust=1605639832193000&amp;usg=AFQjCNG1_5YSE0lTLLaoCRZ3f0fBJEEiYw" xr:uid="{404BD280-5EA3-402F-A0AA-635746970ACD}"/>
    <hyperlink ref="B457" r:id="rId847" display="https://www.google.com/url?q=https://wcipeg.com/problem/coci093p4&amp;sa=D&amp;ust=1605639832193000&amp;usg=AFQjCNE_C2L7MiWoUOQhN47JO-7nhfUrXw" xr:uid="{49F95440-2242-4D02-A9B6-A4D1961434A8}"/>
    <hyperlink ref="F457" r:id="rId848" display="https://www.google.com/url?q=https://github.com/mostafa-saad/MyCompetitiveProgramming/blob/master/Olympiad/COCI/official/2010/contest3_solutions&amp;sa=D&amp;ust=1605639832193000&amp;usg=AFQjCNH8RSEVBP2hBZAOdjQ0SEIQkAlobg" xr:uid="{48727E78-B754-402B-9D14-B91D1EC82193}"/>
    <hyperlink ref="B458" r:id="rId849" display="https://www.google.com/url?q=https://wcipeg.com/problem/coci092p2&amp;sa=D&amp;ust=1605639832194000&amp;usg=AFQjCNHxZZEjcFDvzTpm3Zf7l73MrS74qg" xr:uid="{1058D00B-7DF0-42F5-AF2F-A0C187E189AB}"/>
    <hyperlink ref="F458" r:id="rId850" display="https://www.google.com/url?q=https://github.com/mostafa-saad/MyCompetitiveProgramming/blob/master/Olympiad/COCI/official/2010/contest2_solutions&amp;sa=D&amp;ust=1605639832194000&amp;usg=AFQjCNGV4cKIQbrmXp9LZwMur8DT7CyAEw" xr:uid="{3E94A030-66E2-4DF7-A918-055C1E1C3FDC}"/>
    <hyperlink ref="B459" r:id="rId851" display="https://www.google.com/url?q=https://wcipeg.com/problem/coci093p2&amp;sa=D&amp;ust=1605639832194000&amp;usg=AFQjCNGBs-1Smw2740aOUKXNkypgPMfkTg" xr:uid="{9A973920-1235-4CFD-B9FB-E930C85E1B8F}"/>
    <hyperlink ref="F459" r:id="rId852" display="https://www.google.com/url?q=https://github.com/mostafa-saad/MyCompetitiveProgramming/blob/master/Olympiad/COCI/official/2010/contest3_solutions&amp;sa=D&amp;ust=1605639832194000&amp;usg=AFQjCNHqTM_rB4lY8zIXX0mwnz4jhIlb4w" xr:uid="{C907BF56-C959-4725-8725-4D4F0C3E3225}"/>
    <hyperlink ref="B460" r:id="rId853" display="https://www.google.com/url?q=https://dunjudge.me/analysis/problems/153/&amp;sa=D&amp;ust=1605639832195000&amp;usg=AFQjCNFdrWQOCRKW5BqTg9a3WBXGFlrIYQ" xr:uid="{F999480C-0606-44E3-8130-8720FCEC244F}"/>
    <hyperlink ref="F460" r:id="rId854" display="https://www.google.com/url?q=https://github.com/mostafa-saad/MyCompetitiveProgramming/blob/master/Olympiad/CEOI/COCI-09-snowwhite.txt&amp;sa=D&amp;ust=1605639832195000&amp;usg=AFQjCNGr9xdg7-g3pbj-sUeZiSgQP_GyKg" xr:uid="{0067B63E-5ABB-471F-89AA-67CC6D5A7CCF}"/>
    <hyperlink ref="B461" r:id="rId855" display="https://www.google.com/url?q=https://wcipeg.com/problem/coci095p1&amp;sa=D&amp;ust=1605639832195000&amp;usg=AFQjCNGPRdl-iY11tHb8ahMLdTtN8Xd8MQ" xr:uid="{C27D06B4-0414-4FA5-A5BF-74DEDA4E27BA}"/>
    <hyperlink ref="F461" r:id="rId856" display="https://www.google.com/url?q=https://github.com/mostafa-saad/MyCompetitiveProgramming/blob/master/Olympiad/COCI/official/2010/contest5_solutions&amp;sa=D&amp;ust=1605639832196000&amp;usg=AFQjCNESFRicoJwcYLf5QtUWXHCK0_KZyg" xr:uid="{6F278877-331D-4FEF-AA1A-CF535463DA18}"/>
    <hyperlink ref="B462" r:id="rId857" display="https://www.google.com/url?q=https://wcipeg.com/problem/coci093p3&amp;sa=D&amp;ust=1605639832196000&amp;usg=AFQjCNGVQSRkUEuv8hLW1dxbDyAgyuF3xg" xr:uid="{48DCCB63-CFB1-4664-AD24-7944DF722BD6}"/>
    <hyperlink ref="F462" r:id="rId858" display="https://www.google.com/url?q=https://github.com/mostafa-saad/MyCompetitiveProgramming/blob/master/Olympiad/COCI/official/2010/contest3_solutions&amp;sa=D&amp;ust=1605639832196000&amp;usg=AFQjCNEhYU-qALOwdqX74RHgWtVkMRv54A" xr:uid="{35821DF2-AFE3-4A88-BFBD-1A03A68D9CE7}"/>
    <hyperlink ref="B463" r:id="rId859" display="https://www.google.com/url?q=https://wcipeg.com/problem/coci097p1&amp;sa=D&amp;ust=1605639832197000&amp;usg=AFQjCNFG2IijbaruYs_cNQkA1YiQciff0Q" xr:uid="{BC21CFF0-795C-4F9A-8777-5D84DC258490}"/>
    <hyperlink ref="F463" r:id="rId860" display="https://www.google.com/url?q=https://github.com/mostafa-saad/MyCompetitiveProgramming/blob/master/Olympiad/COCI/official/2010/contest7_solutions&amp;sa=D&amp;ust=1605639832197000&amp;usg=AFQjCNG4JypWn-zk51gWcdEU0GELG-lBRg" xr:uid="{C340F449-EABC-4987-8D87-4B327A667CBF}"/>
    <hyperlink ref="B464" r:id="rId861" display="https://www.google.com/url?q=https://dunjudge.me/analysis/problems/540/&amp;sa=D&amp;ust=1605639832197000&amp;usg=AFQjCNGVucXfhDpOV1RNSBgHxi9OxZOcTQ" xr:uid="{7EB91FBF-9A48-4C18-B4BD-C643AE748FBE}"/>
    <hyperlink ref="F464" r:id="rId862" display="https://www.google.com/url?q=https://github.com/mostafa-saad/MyCompetitiveProgramming/blob/master/Olympiad/COCI/official/2010/contest7_solutions&amp;sa=D&amp;ust=1605639832197000&amp;usg=AFQjCNG4JypWn-zk51gWcdEU0GELG-lBRg" xr:uid="{59733AE3-C22B-4675-8C27-F3B5998AA315}"/>
    <hyperlink ref="B465" r:id="rId863" display="https://www.google.com/url?q=https://wcipeg.com/problem/coci092p4&amp;sa=D&amp;ust=1605639832198000&amp;usg=AFQjCNGzzEj9eUaQ9vYYcxZ-V7Sqw48g3A" xr:uid="{03EE7FEB-E2FF-4180-834C-F98E3C44299D}"/>
    <hyperlink ref="F465" r:id="rId864" display="https://www.google.com/url?q=https://github.com/mostafa-saad/MyCompetitiveProgramming/blob/master/Olympiad/COCI/official/2010/contest2_solutions&amp;sa=D&amp;ust=1605639832198000&amp;usg=AFQjCNFRd6hUrdf-pObNO0ITRwq4dZkQZw" xr:uid="{A9962425-B05F-4B09-BA0B-D2C1532ADF00}"/>
    <hyperlink ref="B466" r:id="rId865" display="https://www.google.com/url?q=https://wcipeg.com/problem/coci096p4&amp;sa=D&amp;ust=1605639832198000&amp;usg=AFQjCNGmsuUdBO_fk7fVRtFEUI_hM47zEw" xr:uid="{A4A15374-223A-4C30-9478-C13FED412C05}"/>
    <hyperlink ref="F466" r:id="rId866" display="https://www.google.com/url?q=https://github.com/mostafa-saad/MyCompetitiveProgramming/blob/master/Olympiad/COCI/COCI-09-Xor.txt&amp;sa=D&amp;ust=1605639832199000&amp;usg=AFQjCNFmLcu-GAhsQ1B2u-a3FeCbR_cf6A" xr:uid="{BC1D3A48-5EB4-457F-AFC1-645B95C0AE58}"/>
    <hyperlink ref="B467" r:id="rId867" display="https://www.google.com/url?q=https://wcipeg.com/problem/coci095p4&amp;sa=D&amp;ust=1605639832199000&amp;usg=AFQjCNHWq8JYDtgpcD8YDwU0pyuH6rSC1w" xr:uid="{F8B38CBC-5E42-4637-A898-F9316BA0F592}"/>
    <hyperlink ref="F467" r:id="rId868" display="https://www.google.com/url?q=https://github.com/mostafa-saad/MyCompetitiveProgramming/blob/master/Olympiad/COCI/COCI-09-Zuma.txt&amp;sa=D&amp;ust=1605639832199000&amp;usg=AFQjCNFx_d3h9dplrptwfETNq_QCcisz3A" xr:uid="{8F5BD5D2-DE42-49E8-83F0-40109AA01566}"/>
    <hyperlink ref="B468" r:id="rId869" display="https://www.google.com/url?q=https://dunjudge.me/analysis/problems/578/&amp;sa=D&amp;ust=1605639832200000&amp;usg=AFQjCNEmNBs_KODESMxO4vCA2uvyBjCyxA" xr:uid="{851FBB46-DCEE-4323-BACD-4A99C6CCFB70}"/>
    <hyperlink ref="F468" r:id="rId870" display="https://www.google.com/url?q=https://github.com/mostafa-saad/MyCompetitiveProgramming/blob/master/Olympiad/CEOI/COCI-10-upit.txt&amp;sa=D&amp;ust=1605639832200000&amp;usg=AFQjCNERXNXuH1SqcpBZ0kGq-ojKG2YKVQ" xr:uid="{D2956BF3-B8BF-4C96-A0BA-F3F34C859D95}"/>
    <hyperlink ref="B469" r:id="rId871" display="https://www.google.com/url?q=https://dunjudge.me/analysis/problems/752/&amp;sa=D&amp;ust=1605639832200000&amp;usg=AFQjCNFRnHRqqxfNWGXH121RstSPZpG8fA" xr:uid="{468631EC-D7CF-4F7A-851B-D26B72978F0B}"/>
    <hyperlink ref="F469" r:id="rId872" display="https://www.google.com/url?q=https://github.com/mostafa-saad/MyCompetitiveProgramming/blob/master/Olympiad/COCI/official/2012/contest3_solutions&amp;sa=D&amp;ust=1605639832200000&amp;usg=AFQjCNHre7PTqOVAeJpq2R5MZgORb3xY-g" xr:uid="{8FD21340-2330-420A-A383-96F426C8A36A}"/>
    <hyperlink ref="B470" r:id="rId873" display="https://www.google.com/url?q=https://dunjudge.me/analysis/problems/1358/&amp;sa=D&amp;ust=1605639832201000&amp;usg=AFQjCNGwKajxBjYJqgQCoVcUhUWuQDiu8Q" xr:uid="{37EAB4AB-0339-4915-AE05-EA106804523D}"/>
    <hyperlink ref="F470" r:id="rId874" display="https://www.google.com/url?q=https://github.com/mostafa-saad/MyCompetitiveProgramming/blob/master/Olympiad/COCI/official/2013/contest1_solutions&amp;sa=D&amp;ust=1605639832201000&amp;usg=AFQjCNHAYV2kWfqhQ7Rjpu18Wg_9UE4k_g" xr:uid="{7A2F3300-D0FB-426F-B0EB-B1B2FFF3F879}"/>
    <hyperlink ref="B471" r:id="rId875" display="https://www.google.com/url?q=https://dunjudge.me/analysis/problems/1380/&amp;sa=D&amp;ust=1605639832201000&amp;usg=AFQjCNFmnmXTiMhMmIJOMD1dWiGxs28XbQ" xr:uid="{AE873503-1F78-4F84-AFFD-2DADD16A7A9A}"/>
    <hyperlink ref="F471" r:id="rId876" display="https://www.google.com/url?q=https://github.com/mostafa-saad/MyCompetitiveProgramming/blob/master/Olympiad/COCI/official/2013/contest5_solutions&amp;sa=D&amp;ust=1605639832202000&amp;usg=AFQjCNGQBUYVEDIAoGho-eWWFGdJSGu6fw" xr:uid="{3EFD16CA-7F68-4077-A242-BFED02A51B02}"/>
    <hyperlink ref="B472" r:id="rId877" display="https://www.google.com/url?q=https://dunjudge.me/analysis/problems/1385/&amp;sa=D&amp;ust=1605639832202000&amp;usg=AFQjCNGm4K_Y809AmTA-7zAFe1fNlIw-qQ" xr:uid="{231B1C81-6AEE-4489-9A59-61EE210BB366}"/>
    <hyperlink ref="F472" r:id="rId878" display="https://www.google.com/url?q=https://github.com/mostafa-saad/MyCompetitiveProgramming/blob/master/Olympiad/COCI/official/2013/contest6_solutions&amp;sa=D&amp;ust=1605639832202000&amp;usg=AFQjCNEI2g_uiXm1096e5K-5yLHWGfz8VA" xr:uid="{AF8109B9-9E31-4DD4-9F74-566DAECAA320}"/>
    <hyperlink ref="B473" r:id="rId879" display="https://www.google.com/url?q=http://hsin.hr/coci/archive/2011_2012/&amp;sa=D&amp;ust=1605639832203000&amp;usg=AFQjCNEyrwLE1Vncv9yNaERWyqnTBs1-nA" xr:uid="{6F035E72-7261-485B-9C35-E5E604EB3640}"/>
    <hyperlink ref="F473" r:id="rId880" display="https://www.google.com/url?q=https://github.com/mostafa-saad/MyCompetitiveProgramming/tree/master/Olympiad/COCI/official/2012/contest6_solutions&amp;sa=D&amp;ust=1605639832204000&amp;usg=AFQjCNGSyn0mlh7CIxAVlgvX-rsft3AHHw" xr:uid="{00C0E908-DD51-4B0A-ADEB-FB2551DB2A90}"/>
    <hyperlink ref="B474" r:id="rId881" display="https://www.google.com/url?q=https://dunjudge.me/analysis/problems/1365/&amp;sa=D&amp;ust=1605639832204000&amp;usg=AFQjCNEBgP3FKED1huqBYqPmC3nwzFBEew" xr:uid="{AAC637A9-2372-4E67-8FB8-A9206BF36F56}"/>
    <hyperlink ref="F474" r:id="rId882" display="https://www.google.com/url?q=https://github.com/mostafa-saad/MyCompetitiveProgramming/blob/master/Olympiad/COCI/official/2013/contest2_solutions&amp;sa=D&amp;ust=1605639832204000&amp;usg=AFQjCNFE3l_PmS22IiShDD0EaOWAfb_mAQ" xr:uid="{E6A6431F-B193-42B8-8579-E514E6E4D418}"/>
    <hyperlink ref="B475" r:id="rId883" display="https://www.google.com/url?q=https://dunjudge.me/analysis/problems/1360/&amp;sa=D&amp;ust=1605639832205000&amp;usg=AFQjCNGVQxB1Wm3RjKzOrk0z1Xs4QcVFaw" xr:uid="{81C75036-9F12-4C80-A9B8-537828068EE8}"/>
    <hyperlink ref="F475" r:id="rId884" display="https://www.google.com/url?q=https://github.com/mostafa-saad/MyCompetitiveProgramming/blob/master/Olympiad/COCI/official/2013/contest1_solutions&amp;sa=D&amp;ust=1605639832205000&amp;usg=AFQjCNGMBMagrFO9AOu9KsXcGTEcT0CIvg" xr:uid="{9A814418-79C9-40F0-8145-3DEC5E81CD7D}"/>
    <hyperlink ref="B476" r:id="rId885" display="https://www.google.com/url?q=https://dunjudge.me/analysis/problems/1356/&amp;sa=D&amp;ust=1605639832205000&amp;usg=AFQjCNEsINN5oDp9VeQKaR_jAts2U2GO4Q" xr:uid="{6C257CF9-387F-4EEE-B9AB-3B038446965A}"/>
    <hyperlink ref="F476" r:id="rId886" display="https://www.google.com/url?q=https://github.com/mostafa-saad/MyCompetitiveProgramming/blob/master/Olympiad/COCI/official/2013/contest3_solutions&amp;sa=D&amp;ust=1605639832205000&amp;usg=AFQjCNEDtBRxtIzg2xBMiwqQRHDCVvVMEg" xr:uid="{85132E04-FCAD-4B03-BF2C-AAD4BD6A562C}"/>
    <hyperlink ref="B477" r:id="rId887" display="https://www.google.com/url?q=https://dunjudge.me/analysis/problems/1362/&amp;sa=D&amp;ust=1605639832206000&amp;usg=AFQjCNFRQXswj_tcCHwMr1-IbXOfiM6rbA" xr:uid="{67FF0419-9DE6-4F1B-B956-94549EDD2848}"/>
    <hyperlink ref="F477" r:id="rId888" display="https://www.google.com/url?q=https://github.com/mostafa-saad/MyCompetitiveProgramming/blob/master/Olympiad/COCI/COCI-12-mars.txt&amp;sa=D&amp;ust=1605639832206000&amp;usg=AFQjCNEl5wo6bll_YsG9Sjt7aNTJcpW0Bw" xr:uid="{517E5C31-1915-4A76-AE50-1AAC5775E729}"/>
    <hyperlink ref="B478" r:id="rId889" display="https://www.google.com/url?q=https://dunjudge.me/analysis/problems/1375/&amp;sa=D&amp;ust=1605639832206000&amp;usg=AFQjCNHgSjztaTHMqgxAWu1S4nddbB94Zw" xr:uid="{0291F532-3E0C-4D3F-8AB6-90C0B5FC2062}"/>
    <hyperlink ref="F478" r:id="rId890" display="https://www.google.com/url?q=https://github.com/mostafa-saad/MyCompetitiveProgramming/blob/master/Olympiad/COCI/official/2013/contest4_solutions&amp;sa=D&amp;ust=1605639832206000&amp;usg=AFQjCNH42f73wVbo8e1jUb2KTmnxJA7TyQ" xr:uid="{A5DFF329-EDCD-42DF-90F4-96E0EBBF2138}"/>
    <hyperlink ref="B479" r:id="rId891" display="https://www.google.com/url?q=https://dunjudge.me/analysis/problems/1357/&amp;sa=D&amp;ust=1605639832207000&amp;usg=AFQjCNGuR6DSmOHm4jf4LNswgk2YFCGGMA" xr:uid="{409EE4FD-87B6-470D-9A36-B0958B33EAD6}"/>
    <hyperlink ref="F479" r:id="rId892" display="https://www.google.com/url?q=https://github.com/mostafa-saad/MyCompetitiveProgramming/blob/master/Olympiad/COCI/official/2013/contest3_solutions&amp;sa=D&amp;ust=1605639832207000&amp;usg=AFQjCNF70SznTUP8LCtsG5vuzb8A5BjQYQ" xr:uid="{958F1F8D-4127-4082-9D3B-47524457F2BE}"/>
    <hyperlink ref="B480" r:id="rId893" display="https://www.google.com/url?q=https://dunjudge.me/analysis/problems/1382/&amp;sa=D&amp;ust=1605639832207000&amp;usg=AFQjCNF677gQJ6ewGPX8qZz1FVMaU6ikZA" xr:uid="{E4D187A6-2539-440D-B045-F53C26BD57B2}"/>
    <hyperlink ref="F480" r:id="rId894" display="https://www.google.com/url?q=https://github.com/mostafa-saad/MyCompetitiveProgramming/blob/master/Olympiad/COCI/official/2013/contest6_solutions&amp;sa=D&amp;ust=1605639832207000&amp;usg=AFQjCNHvYzD7KeKy-ItixbufNBw8jFt3og" xr:uid="{32D9F437-51AB-4199-A1C4-28C6E9361F10}"/>
    <hyperlink ref="B481" r:id="rId895" display="https://www.google.com/url?q=https://dunjudge.me/analysis/problems/1413/&amp;sa=D&amp;ust=1605639832207000&amp;usg=AFQjCNEKhrHJUmXQSmMBSikmRQjJFZQTwg" xr:uid="{55F41A55-95C5-4F56-A251-009E88A1D1C6}"/>
    <hyperlink ref="F481" r:id="rId896" display="https://www.google.com/url?q=https://github.com/mostafa-saad/MyCompetitiveProgramming/blob/master/Olympiad/COCI/COCI-13-cokolade.txt&amp;sa=D&amp;ust=1605639832208000&amp;usg=AFQjCNHKAbR-DRgJtLhdtBKw4O1MG6Br2A" xr:uid="{CD8C6340-5E04-43F6-A903-46B203ED0EDD}"/>
    <hyperlink ref="B482" r:id="rId897" display="https://www.google.com/url?q=https://dunjudge.me/analysis/problems/1417/&amp;sa=D&amp;ust=1605639832208000&amp;usg=AFQjCNGIxGrnPCC2Or1GdrNr3A3Ug3pbeg" xr:uid="{024EB3D6-450E-4B63-92C2-E9951EB3BDDF}"/>
    <hyperlink ref="F482" r:id="rId898" display="https://www.google.com/url?q=https://github.com/mostafa-saad/MyCompetitiveProgramming/blob/master/Olympiad/COCI/official/2014/contest5_solutions&amp;sa=D&amp;ust=1605639832208000&amp;usg=AFQjCNGHaHF5y68EJL-3aFQzZEueIKhc9Q" xr:uid="{7F2C43C9-2C0C-4237-98FD-47FC67036D25}"/>
    <hyperlink ref="B483" r:id="rId899" display="https://www.google.com/url?q=https://dmoj.ca/problem/coci13c1p2&amp;sa=D&amp;ust=1605639832209000&amp;usg=AFQjCNFikx504ecx0K9mB9AORELCgu1vzA" xr:uid="{5DDCE75B-366C-430C-B894-EE98CE51CCBF}"/>
    <hyperlink ref="F483" r:id="rId900" display="https://www.google.com/url?q=https://github.com/mostafa-saad/MyCompetitiveProgramming/blob/master/Olympiad/COCI/official/2014/contest1_solutions&amp;sa=D&amp;ust=1605639832209000&amp;usg=AFQjCNGXvf8CFMgzyXTUHmCkZVRQIygwQA" xr:uid="{42A0A107-8499-4E2D-8965-B1ED31F9E6CC}"/>
    <hyperlink ref="B484" r:id="rId901" display="https://www.google.com/url?q=https://dunjudge.me/analysis/problems/777/&amp;sa=D&amp;ust=1605639832209000&amp;usg=AFQjCNGo7BMIMbS94vSnBu6Iw1KzVIFlxg" xr:uid="{2DF64FE8-2817-4D71-A4AB-2DC02031B26F}"/>
    <hyperlink ref="F484" r:id="rId902" display="https://www.google.com/url?q=https://github.com/mostafa-saad/MyCompetitiveProgramming/blob/master/Olympiad/COCI/official/2014/contest5_solutions&amp;sa=D&amp;ust=1605639832209000&amp;usg=AFQjCNHh4SBJ0k3Rr36rggIVTRKnsRHS4g" xr:uid="{E380AA25-1E6E-466D-857A-F8F589D9AD4E}"/>
    <hyperlink ref="B485" r:id="rId903" display="https://www.google.com/url?q=https://dmoj.ca/problem/coci13c1p4&amp;sa=D&amp;ust=1605639832209000&amp;usg=AFQjCNFOalddSndt41ED_fY6nxWu19lqoA" xr:uid="{F1E2126A-8341-49EA-89A5-5B7B196187D3}"/>
    <hyperlink ref="F485" r:id="rId904" display="https://www.google.com/url?q=https://github.com/mostafa-saad/MyCompetitiveProgramming/blob/master/Olympiad/COCI/official/2014/contest1_solutions&amp;sa=D&amp;ust=1605639832210000&amp;usg=AFQjCNGAVEouF6cbhToKQC1uRXvW5qy7vA" xr:uid="{C4556730-0ED9-423D-AD82-714FAF21A0E8}"/>
    <hyperlink ref="B486" r:id="rId905" display="https://www.google.com/url?q=https://dunjudge.me/analysis/problems/1401/&amp;sa=D&amp;ust=1605639832210000&amp;usg=AFQjCNFIiPiWWdF4du8TU_5rqt18gukxdg" xr:uid="{E5C75E46-A01B-4EB0-8A9F-0E9EDC86B7B0}"/>
    <hyperlink ref="F486" r:id="rId906" display="https://www.google.com/url?q=https://github.com/mostafa-saad/MyCompetitiveProgramming/blob/master/Olympiad/COCI/official/2014/contest2_solutions&amp;sa=D&amp;ust=1605639832210000&amp;usg=AFQjCNETH1tgGltDn5Ambu4uqvM9C7V-SA" xr:uid="{B88F7017-6C1D-44CB-B0A6-DA1247151413}"/>
    <hyperlink ref="B487" r:id="rId907" display="https://www.google.com/url?q=https://dmoj.ca/problem/coci13c1p5&amp;sa=D&amp;ust=1605639832210000&amp;usg=AFQjCNGT-CLYdbLNPYbEyest1V2pEA4P7g" xr:uid="{FB613C21-7DA6-494B-885A-5835C0002EB7}"/>
    <hyperlink ref="F487" r:id="rId908" display="https://www.google.com/url?q=https://github.com/mostafa-saad/MyCompetitiveProgramming/blob/master/Olympiad/COCI/official/2014/contest1_solutions&amp;sa=D&amp;ust=1605639832210000&amp;usg=AFQjCNGAVEouF6cbhToKQC1uRXvW5qy7vA" xr:uid="{A4F85E0A-4305-40EB-A876-BD7EB591953E}"/>
    <hyperlink ref="B488" r:id="rId909" display="https://www.google.com/url?q=https://dunjudge.me/analysis/problems/1408/&amp;sa=D&amp;ust=1605639832211000&amp;usg=AFQjCNEf44KaavaMfrKK_uWgEWTJGpb4eg" xr:uid="{B3BC1A0B-F376-4150-A783-7DA52BFE1399}"/>
    <hyperlink ref="F488" r:id="rId910" display="https://www.google.com/url?q=https://github.com/mostafa-saad/MyCompetitiveProgramming/blob/master/Olympiad/COCI/COCI-13-parovi.txt&amp;sa=D&amp;ust=1605639832211000&amp;usg=AFQjCNGau0hm048Sygv2URaAYW5Hi5K9vQ" xr:uid="{7E5B1E95-6709-433A-834E-7D53575059E0}"/>
    <hyperlink ref="B489" r:id="rId911" display="https://www.google.com/url?q=https://dmoj.ca/problem/coci13c1p3&amp;sa=D&amp;ust=1605639832211000&amp;usg=AFQjCNFAHzLA8D3qVpd42zdbxLsgewOmpg" xr:uid="{594F9BDB-42A0-425E-A6EA-B7CA534A0AE4}"/>
    <hyperlink ref="F489" r:id="rId912" display="https://www.google.com/url?q=https://github.com/mostafa-saad/MyCompetitiveProgramming/blob/master/Olympiad/COCI/official/2014/contest1_solutions&amp;sa=D&amp;ust=1605639832211000&amp;usg=AFQjCNENtucFH4j83X8AOIIHwDvsQ47OeA" xr:uid="{9A06D808-3124-4D02-963C-C002971135BF}"/>
    <hyperlink ref="B490" r:id="rId913" display="https://www.google.com/url?q=https://dunjudge.me/analysis/problems/1411/&amp;sa=D&amp;ust=1605639832212000&amp;usg=AFQjCNFk46HEjg1S-6W43EZg6XOxuHV-VA" xr:uid="{6D891983-AE2D-4389-A113-98F11CF58CF6}"/>
    <hyperlink ref="F490" r:id="rId914" display="https://www.google.com/url?q=https://github.com/mostafa-saad/MyCompetitiveProgramming/blob/master/Olympiad/COCI/official/2014/contest4_solutions&amp;sa=D&amp;ust=1605639832212000&amp;usg=AFQjCNHz_MZhnieyPx6K0Fu0B63tesHPzA" xr:uid="{9C418CDD-ACD1-44B2-987E-8AB0DF99D70F}"/>
    <hyperlink ref="B491" r:id="rId915" display="https://www.google.com/url?q=https://dmoj.ca/problem/coci13c1p1&amp;sa=D&amp;ust=1605639832213000&amp;usg=AFQjCNEdMmLR0wF6Nu0XyqZcJM0NmWFCzA" xr:uid="{17F0923C-07A1-439B-A639-6B49AF5BD80E}"/>
    <hyperlink ref="F491" r:id="rId916" display="https://www.google.com/url?q=https://github.com/mostafa-saad/MyCompetitiveProgramming/blob/master/Olympiad/COCI/official/2014/contest1_solutions&amp;sa=D&amp;ust=1605639832213000&amp;usg=AFQjCNGG4OMQYWnixd_zsVURQtehorvRdA" xr:uid="{305B4C43-69A1-4AC2-B9B7-29833E8056AA}"/>
    <hyperlink ref="B492" r:id="rId917" display="https://www.google.com/url?q=https://dunjudge.me/analysis/problems/1221/&amp;sa=D&amp;ust=1605639832213000&amp;usg=AFQjCNHIBCgdBwY8trVhyietqoThDlqTgg" xr:uid="{0DD97B8B-63F2-45A1-BA8E-9E8AA12D9E08}"/>
    <hyperlink ref="F492" r:id="rId918" display="https://www.google.com/url?q=https://github.com/mostafa-saad/MyCompetitiveProgramming/blob/master/Olympiad/COCI/official/2015/contest7_solutions&amp;sa=D&amp;ust=1605639832213000&amp;usg=AFQjCNGPqrOUbtHMe9Ebr3aYO0cLTAmhQA" xr:uid="{1FFF8EAF-182C-43A0-BD68-7916E608A4A2}"/>
    <hyperlink ref="B493" r:id="rId919" display="https://www.google.com/url?q=https://oj.uz/problem/view/COCI14_bob&amp;sa=D&amp;ust=1605639832214000&amp;usg=AFQjCNHa7HzoKx0eIxwEJz13JZw_5kNgLA" xr:uid="{A160754A-9831-44D8-8B24-0B6BBDF7FDC6}"/>
    <hyperlink ref="F493" r:id="rId920" display="https://www.google.com/url?q=https://github.com/mostafa-saad/MyCompetitiveProgramming/blob/master/Olympiad/COCI/COCI-14-bob.txt&amp;sa=D&amp;ust=1605639832214000&amp;usg=AFQjCNGkzhkSCb2iCr7hZ1L7M1Im8Caamw" xr:uid="{31BA0976-766B-4C70-B82A-46C28F12F8CC}"/>
    <hyperlink ref="B494" r:id="rId921" display="https://www.google.com/url?q=https://dmoj.ca/problem/coci14c4p1&amp;sa=D&amp;ust=1605639832214000&amp;usg=AFQjCNEFTZHmTotQ7ousT7_e5hj69xejLQ" xr:uid="{F0B34FC0-FEB2-4B71-BBB2-04DF0E29B959}"/>
    <hyperlink ref="B495" r:id="rId922" display="https://www.google.com/url?q=https://dmoj.ca/problem/coci14c3p4&amp;sa=D&amp;ust=1605639832214000&amp;usg=AFQjCNHlbc12zwq3JX3FPD5_qWjUPtczew" xr:uid="{A16FC530-5DD8-4E96-9AD5-D68357204122}"/>
    <hyperlink ref="F495" r:id="rId923" display="https://www.google.com/url?q=https://github.com/mostafa-saad/MyCompetitiveProgramming/blob/master/Olympiad/COCI/official/2015/contest3_solutions&amp;sa=D&amp;ust=1605639832214000&amp;usg=AFQjCNEsi2UPwDTSWSPXn_ej4ryWIxHeZA" xr:uid="{6940FA04-181D-40AC-AA51-2FCB823D4B59}"/>
    <hyperlink ref="B496" r:id="rId924" display="https://www.google.com/url?q=https://dmoj.ca/problem/coci14c5p6&amp;sa=D&amp;ust=1605639832215000&amp;usg=AFQjCNGjHbkqE21xtUKDvVGUyX3xQJVA8g" xr:uid="{A30FE952-988F-40F0-AA49-C563A2B8043B}"/>
    <hyperlink ref="F496" r:id="rId925" display="https://www.google.com/url?q=https://github.com/mostafa-saad/MyCompetitiveProgramming/blob/master/Olympiad/COCI/official/2015/contest5_solutions&amp;sa=D&amp;ust=1605639832215000&amp;usg=AFQjCNFC9TIUktJ7aCeT4iertvkKBTAI0g" xr:uid="{FA2CC7F8-6A8B-4602-BCD5-70856020A2E4}"/>
    <hyperlink ref="B497" r:id="rId926" display="https://www.google.com/url?q=https://dmoj.ca/problem/coci14c3p2&amp;sa=D&amp;ust=1605639832215000&amp;usg=AFQjCNEnZE-EizCf5S17l1oaTqwYg4NEMg" xr:uid="{05C891C9-F660-4BAA-B770-1CD8C11810CF}"/>
    <hyperlink ref="B498" r:id="rId927" display="https://www.google.com/url?q=https://dmoj.ca/problem/coci14c5p1&amp;sa=D&amp;ust=1605639832215000&amp;usg=AFQjCNEz-iJ-hfwD_f7_kt4p97PAe_F3CA" xr:uid="{F269A327-0336-4D2D-A682-15A36FD75ACE}"/>
    <hyperlink ref="B499" r:id="rId928" display="https://www.google.com/url?q=https://dmoj.ca/problem/coci14c5p5&amp;sa=D&amp;ust=1605639832216000&amp;usg=AFQjCNEZ5e_2Zw5CDCEF4TPZOQs0LaqMsA" xr:uid="{B374BAD7-A487-444B-AD1E-B7FD1D0785C1}"/>
    <hyperlink ref="F499" r:id="rId929" display="https://www.google.com/url?q=https://github.com/mostafa-saad/MyCompetitiveProgramming/blob/master/Olympiad/COCI/official/2015/contest5_solutions&amp;sa=D&amp;ust=1605639832216000&amp;usg=AFQjCNEZ4-pQpTRbO-y_lVlt3o8XYh-lzg" xr:uid="{DC33349F-2198-4568-B929-05628A8F39C6}"/>
    <hyperlink ref="B500" r:id="rId930" display="https://www.google.com/url?q=https://dmoj.ca/problem/coci14c7p4&amp;sa=D&amp;ust=1605639832216000&amp;usg=AFQjCNF9WWcY5CqrYS5NliBFpJSDAOj6TA" xr:uid="{8565EE1D-7610-4075-8212-F19A661B69E3}"/>
    <hyperlink ref="B501" r:id="rId931" display="https://www.google.com/url?q=https://dmoj.ca/problem/coci14c3p6&amp;sa=D&amp;ust=1605639832216000&amp;usg=AFQjCNECJOaRKTI67KHuAyXWxziCtQ_U6w" xr:uid="{548D9146-9960-46DA-965B-268B59291D96}"/>
    <hyperlink ref="F501" r:id="rId932" display="https://www.google.com/url?q=https://github.com/mostafa-saad/MyCompetitiveProgramming/blob/master/Olympiad/COCI/COCI-14-Kamioni.txt&amp;sa=D&amp;ust=1605639832216000&amp;usg=AFQjCNHh-B1BCjPMyoJSiGmE6NlaReWagQ" xr:uid="{9E5DC92A-CC08-4CC6-AF83-A1742F13DB22}"/>
    <hyperlink ref="B502" r:id="rId933" display="https://www.google.com/url?q=https://dmoj.ca/problem/coci14c1p6&amp;sa=D&amp;ust=1605639832217000&amp;usg=AFQjCNG-8qP2U_BQ60nk7qYwOJBC1z2rGg" xr:uid="{1C2C6C10-48B6-470D-B5C5-021CA715BA6D}"/>
    <hyperlink ref="F502" r:id="rId934" display="https://www.google.com/url?q=https://github.com/mostafa-saad/MyCompetitiveProgramming/blob/master/Olympiad/COCI/COCI-14-Kamp.txt&amp;sa=D&amp;ust=1605639832217000&amp;usg=AFQjCNH7_XVNUF6pqboHFxJZgk2H13n_aQ" xr:uid="{9EBB082B-974D-4721-9B68-AD98FA276683}"/>
    <hyperlink ref="B503" r:id="rId935" display="https://www.google.com/url?q=https://dmoj.ca/problem/coci14c1p2&amp;sa=D&amp;ust=1605639832217000&amp;usg=AFQjCNGBuTqDc4cRuXeq3zYKWCFzFUd-DA" xr:uid="{003E23FA-0111-4193-856B-E7E7FFABAF0A}"/>
    <hyperlink ref="B504" r:id="rId936" display="https://www.google.com/url?q=https://dmoj.ca/problem/coci14c6p4&amp;sa=D&amp;ust=1605639832217000&amp;usg=AFQjCNEMGCfYHgNxKG3X8tpOk8AoasQWMw" xr:uid="{C7A885DF-A618-4D98-9294-2042390A7AC7}"/>
    <hyperlink ref="F504" r:id="rId937" display="https://www.google.com/url?q=https://github.com/mostafa-saad/MyCompetitiveProgramming/blob/master/Olympiad/COCI/official/2015/contest6_solutions&amp;sa=D&amp;ust=1605639832217000&amp;usg=AFQjCNE5qLPVHLM40YDYbVivXGqh-Q521A" xr:uid="{A70E5CE8-AEFF-4F31-ABAC-27AD35F20DFA}"/>
    <hyperlink ref="B505" r:id="rId938" display="https://www.google.com/url?q=https://dmoj.ca/problem/coci14c7p2&amp;sa=D&amp;ust=1605639832218000&amp;usg=AFQjCNGzIt9mcyY2F38fwDZQ10RM8hhSIQ" xr:uid="{29AE3AB0-EBB2-46D1-8342-57645637FF56}"/>
    <hyperlink ref="F505" r:id="rId939" display="https://www.google.com/url?q=https://github.com/mostafa-saad/MyCompetitiveProgramming/blob/master/Olympiad/COCI/official/2015/contest7_solutions&amp;sa=D&amp;ust=1605639832218000&amp;usg=AFQjCNEKvOjD5yoe4toziVstoXdN9TE41w" xr:uid="{33565CBA-99D7-4939-9F0A-1D030C9E4841}"/>
    <hyperlink ref="B506" r:id="rId940" display="https://www.google.com/url?q=https://dmoj.ca/problem/coci14c1p4&amp;sa=D&amp;ust=1605639832218000&amp;usg=AFQjCNFbuu2l7VLwLl3o7-MjrnYpXOqEWw" xr:uid="{1547AEA8-0A30-4411-A242-ACF9DB0CC4AA}"/>
    <hyperlink ref="F506" r:id="rId941" display="https://www.google.com/url?q=https://github.com/mostafa-saad/MyCompetitiveProgramming/blob/master/Olympiad/COCI/COCI-14-Mafija.txt&amp;sa=D&amp;ust=1605639832218000&amp;usg=AFQjCNEuMenEadS7oTfYNhpBC9D-JEYwIA" xr:uid="{BA61E7CE-8692-4A7E-9B2A-8DAFDB07DA18}"/>
    <hyperlink ref="B507" r:id="rId942" display="https://www.google.com/url?q=https://dmoj.ca/problem/coci14c6p3&amp;sa=D&amp;ust=1605639832218000&amp;usg=AFQjCNFwpve0zfp69r5dwv9zg3hY-GAgEg" xr:uid="{89FC2968-ED49-4ECE-897E-1809F51C4952}"/>
    <hyperlink ref="F507" r:id="rId943" display="https://www.google.com/url?q=https://github.com/mostafa-saad/MyCompetitiveProgramming/blob/master/Olympiad/COCI/official/2015/contest6_solutions&amp;sa=D&amp;ust=1605639832219000&amp;usg=AFQjCNG2aeBRoTNXBfUV_TKlHU8n30uzuQ" xr:uid="{CAF64E21-7386-4BC2-81ED-3DD3F5F63674}"/>
    <hyperlink ref="B508" r:id="rId944" display="https://www.google.com/url?q=https://oj.uz/problem/view/COCI14_mobitel&amp;sa=D&amp;ust=1605639832219000&amp;usg=AFQjCNETXzOX_MknrBB7HG9IDvh1-0uq0A" xr:uid="{9EC80ED7-0218-4689-AC61-C6A23583BE05}"/>
    <hyperlink ref="B509" r:id="rId945" display="https://www.google.com/url?q=https://dmoj.ca/problem/coci14c4p4&amp;sa=D&amp;ust=1605639832220000&amp;usg=AFQjCNFmuGPGiZkgWYpSoIMWSaq5IWeikg" xr:uid="{15633BBD-443D-4347-87B8-B7B96EBB0E13}"/>
    <hyperlink ref="F509" r:id="rId946" display="https://www.google.com/url?q=https://github.com/mostafa-saad/MyCompetitiveProgramming/blob/master/Olympiad/COCI/official/2015/contest4_solutions&amp;sa=D&amp;ust=1605639832220000&amp;usg=AFQjCNGST2AMfFv89Lw4f2WK_q8ouLFjOg" xr:uid="{E160ED2D-6C22-4007-87BE-B31F8C6783A0}"/>
    <hyperlink ref="B510" r:id="rId947" display="https://www.google.com/url?q=https://dmoj.ca/problem/coci14c6p5&amp;sa=D&amp;ust=1605639832220000&amp;usg=AFQjCNFeJMoBS28pip5CnsR4V_XY3UqLSg" xr:uid="{43502D24-B604-499F-B77E-C4630ED1F22C}"/>
    <hyperlink ref="F510" r:id="rId948" display="https://www.google.com/url?q=https://github.com/mostafa-saad/MyCompetitiveProgramming/blob/master/Olympiad/COCI/official/2015/contest6_solutions&amp;sa=D&amp;ust=1605639832220000&amp;usg=AFQjCNHypWBMGc1jqHYQ06ukDFCP2Cq8mA" xr:uid="{AF3657BB-4383-4681-9751-6512BA37C500}"/>
    <hyperlink ref="B511" r:id="rId949" display="https://www.google.com/url?q=https://dmoj.ca/problem/coci14c6p2&amp;sa=D&amp;ust=1605639832221000&amp;usg=AFQjCNG3jyZWkvT03RcAQ0Gq1Kb_fWpUMA" xr:uid="{DA86846A-E811-41BB-92D2-C9BC75037263}"/>
    <hyperlink ref="F511" r:id="rId950" display="https://www.google.com/url?q=https://github.com/mostafa-saad/MyCompetitiveProgramming/blob/master/Olympiad/COCI/official/2015/contest6_solutions&amp;sa=D&amp;ust=1605639832221000&amp;usg=AFQjCNFubwLlXvhR2qmpR0Fu4mhe0Nz0nQ" xr:uid="{9D66A190-B94B-4943-932F-DECE1B6285D2}"/>
    <hyperlink ref="B512" r:id="rId951" display="https://www.google.com/url?q=https://dunjudge.me/analysis/problems/803/&amp;sa=D&amp;ust=1605639832221000&amp;usg=AFQjCNH6r04cLWVYXWhWA8YecQn4VWrvXA" xr:uid="{7A1DE791-2352-42E4-AF0E-D5081C95A41A}"/>
    <hyperlink ref="F512" r:id="rId952" display="https://www.google.com/url?q=https://github.com/mostafa-saad/MyCompetitiveProgramming/blob/master/Olympiad/COCI/COCI-14-norma.txt&amp;sa=D&amp;ust=1605639832221000&amp;usg=AFQjCNHY_x1ybzk9vC0AyMHAZ5QzseKP0Q" xr:uid="{800482A0-77D1-4DC2-A14C-832017657EFB}"/>
    <hyperlink ref="B513" r:id="rId953" display="https://www.google.com/url?q=https://dmoj.ca/problem/coci14c6p1&amp;sa=D&amp;ust=1605639832222000&amp;usg=AFQjCNEDaFWn0mJk-_41PHw97hq3woI32A" xr:uid="{858E5EA0-A490-44E9-B6F2-EC3A7B17DC82}"/>
    <hyperlink ref="F513" r:id="rId954" display="https://www.google.com/url?q=https://github.com/mostafa-saad/MyCompetitiveProgramming/blob/master/Olympiad/COCI/official/2015/contest6_solutions&amp;sa=D&amp;ust=1605639832222000&amp;usg=AFQjCNHr6n2u5Xd_o_CXySb4vuC3ZdGQww" xr:uid="{08FFC065-0E57-4E4A-BAD1-DC369B6DD72C}"/>
    <hyperlink ref="B514" r:id="rId955" display="https://www.google.com/url?q=https://dmoj.ca/problem/coci14c1p3&amp;sa=D&amp;ust=1605639832222000&amp;usg=AFQjCNGOZSdOUsuWqTavsVywg0cmPPsZTw" xr:uid="{9A03CB44-BDEE-43E1-819A-BF684FAF98FD}"/>
    <hyperlink ref="B515" r:id="rId956" display="https://www.google.com/url?q=https://dmoj.ca/problem/coci14c7p6&amp;sa=D&amp;ust=1605639832222000&amp;usg=AFQjCNHb9-dCcQF-X3so-pNsie_Jyb8lRg" xr:uid="{2108AFB9-7D91-4618-BFA8-89A8ED34D2BD}"/>
    <hyperlink ref="F515" r:id="rId957" display="https://www.google.com/url?q=https://github.com/mostafa-saad/MyCompetitiveProgramming/blob/master/Olympiad/COCI/COCI-14-Police.txt&amp;sa=D&amp;ust=1605639832222000&amp;usg=AFQjCNHDS5Pw4j2r-gAsMGBZg7-2LRJoog" xr:uid="{F6BB842E-EB05-43A6-AB30-C3588087D5DB}"/>
    <hyperlink ref="B516" r:id="rId958" display="https://www.google.com/url?q=https://dmoj.ca/problem/coci14c4p3&amp;sa=D&amp;ust=1605639832223000&amp;usg=AFQjCNGKK54Fk59Wrcc-bxBpQdMwaTU-hA" xr:uid="{AC576A1E-2A14-4882-BA97-99228293AA2E}"/>
    <hyperlink ref="F516" r:id="rId959" display="https://www.google.com/url?q=https://github.com/mostafa-saad/MyCompetitiveProgramming/blob/master/Olympiad/COCI/official/2015/contest4_solutions&amp;sa=D&amp;ust=1605639832223000&amp;usg=AFQjCNELk2CDG9m_n5vIoNmwTnqwa_25ng" xr:uid="{1B745B8B-25E7-47DE-AC97-3D4CC624250E}"/>
    <hyperlink ref="B517" r:id="rId960" display="https://www.google.com/url?q=https://oj.uz/problem/view/COCI14_prosjek&amp;sa=D&amp;ust=1605639832223000&amp;usg=AFQjCNG_wG9l8E0GZC1z6cX5f7Peh-4tfg" xr:uid="{63162D97-1A95-496C-B04C-1F2561CCCAE1}"/>
    <hyperlink ref="B518" r:id="rId961" display="https://www.google.com/url?q=https://dmoj.ca/problem/coci14c4p2&amp;sa=D&amp;ust=1605639832223000&amp;usg=AFQjCNEljIw1BSji7-raA8YVKyCSIjhCiw" xr:uid="{AF3EBBC6-9881-4B15-AB61-EC7207087D8A}"/>
    <hyperlink ref="F518" r:id="rId962" display="https://www.google.com/url?q=https://github.com/mostafa-saad/MyCompetitiveProgramming/blob/master/Olympiad/COCI/official/2015/contest4_solutions&amp;sa=D&amp;ust=1605639832223000&amp;usg=AFQjCNELk2CDG9m_n5vIoNmwTnqwa_25ng" xr:uid="{C0D01DD8-F3FE-45F2-A21B-9C9457AB9DD7}"/>
    <hyperlink ref="B519" r:id="rId963" display="https://www.google.com/url?q=https://dmoj.ca/problem/coci14c4p5&amp;sa=D&amp;ust=1605639832224000&amp;usg=AFQjCNG84JhGtOT6hD5PmWwp5DVZX6mdIQ" xr:uid="{6DAB5B91-2FCB-4414-8829-82BB9072EAE9}"/>
    <hyperlink ref="F519" r:id="rId964" display="https://www.google.com/url?q=https://github.com/mostafa-saad/MyCompetitiveProgramming/blob/master/Olympiad/COCI/COCI-14-Sabor.txt&amp;sa=D&amp;ust=1605639832224000&amp;usg=AFQjCNF4iVW0XWU-dSOnlgeklq9hdCdsUA" xr:uid="{CCBEBA12-D5A8-490D-AE70-E82F3BB4DF49}"/>
    <hyperlink ref="B520" r:id="rId965" display="https://www.google.com/url?q=https://dmoj.ca/problem/coci14c3p3&amp;sa=D&amp;ust=1605639832224000&amp;usg=AFQjCNHnoCy8S4rj8nHM_kVrTBTGN1GFAQ" xr:uid="{BA74D21F-1FFE-4142-88E5-63AB38A9553E}"/>
    <hyperlink ref="F520" r:id="rId966" display="https://www.google.com/url?q=https://github.com/mostafa-saad/MyCompetitiveProgramming/blob/master/Olympiad/COCI/official/2015/contest3_solutions&amp;sa=D&amp;ust=1605639832224000&amp;usg=AFQjCNFHSvfDqwycK2GykpIsAxdNQN5ncA" xr:uid="{A2FFDACE-CA29-4FFD-AB36-D0F42BA16C72}"/>
    <hyperlink ref="B521" r:id="rId967" display="https://www.google.com/url?q=https://dmoj.ca/problem/coci14c4p6&amp;sa=D&amp;ust=1605639832224000&amp;usg=AFQjCNEzfPRQa-8tN-me7ZuJbO_iDo0hyg" xr:uid="{7FFB242E-2D48-40E5-9DBC-FF47F39F836C}"/>
    <hyperlink ref="F521" r:id="rId968" display="https://www.google.com/url?q=https://github.com/mostafa-saad/MyCompetitiveProgramming/blob/master/Olympiad/COCI/COCI-14-Stanovi.txt&amp;sa=D&amp;ust=1605639832224000&amp;usg=AFQjCNEV5MSR_JK8mnnluL_5dCrySGCTxg" xr:uid="{18A0881D-0BA5-43A6-A431-A00DC44D8C7E}"/>
    <hyperlink ref="B522" r:id="rId969" display="https://www.google.com/url?q=https://dmoj.ca/problem/coci14c3p5&amp;sa=D&amp;ust=1605639832225000&amp;usg=AFQjCNHOnf8EiOEiy0tI_8Tyg3ONah_m8Q" xr:uid="{A481A23C-4350-4500-96B3-0B3AD22F3757}"/>
    <hyperlink ref="F522" r:id="rId970" display="https://www.google.com/url?q=https://github.com/mostafa-saad/MyCompetitiveProgramming/blob/master/Olympiad/COCI/COCI-14-Stogovi.txt&amp;sa=D&amp;ust=1605639832225000&amp;usg=AFQjCNHccOf7_9C4kQqrbWUl20CyseS_pw" xr:uid="{59CEDED5-BFB3-494B-AFD1-B528FAE2BEEE}"/>
    <hyperlink ref="B523" r:id="rId971" display="https://www.google.com/url?q=https://dmoj.ca/problem/coci14c3p1&amp;sa=D&amp;ust=1605639832225000&amp;usg=AFQjCNG5JljwwLfuhqL53jjvkzMGxyuibA" xr:uid="{BE8C4F64-37EB-47E7-AB7D-00278FC5EAE1}"/>
    <hyperlink ref="B524" r:id="rId972" display="https://www.google.com/url?q=https://oj.uz/problem/view/COCI14_studentsko&amp;sa=D&amp;ust=1605639832225000&amp;usg=AFQjCNF8gl19EelcJjQtvTXkdd3qyr7urA" xr:uid="{5842A636-2AF0-43CB-842D-B6FA7F3B0798}"/>
    <hyperlink ref="F524" r:id="rId973" display="https://www.google.com/url?q=https://github.com/mostafa-saad/MyCompetitiveProgramming/blob/master/Olympiad/COCI/COCI-14-studentsko.txt&amp;sa=D&amp;ust=1605639832226000&amp;usg=AFQjCNFlvZJkaFHOWceieOlQ1tOdddb07g" xr:uid="{E38813D2-E08D-4968-A41E-3663610E9773}"/>
    <hyperlink ref="B525" r:id="rId974" display="https://www.google.com/url?q=https://dmoj.ca/problem/coci14c2p5&amp;sa=D&amp;ust=1605639832226000&amp;usg=AFQjCNEByNY7RnXomFaVYjPQMq6_IndzPw" xr:uid="{A2B90E1F-ADD4-4FA6-BFA0-2CFD8C590813}"/>
    <hyperlink ref="F525" r:id="rId975" display="https://www.google.com/url?q=https://github.com/mostafa-saad/MyCompetitiveProgramming/blob/master/Olympiad/CEOI/COCI-14-Suma.txt&amp;sa=D&amp;ust=1605639832226000&amp;usg=AFQjCNEv8Vo0c7EpIhoutSR-RR5_j3taww" xr:uid="{5CCDCD51-CA75-4A71-BE75-0467F6A68518}"/>
    <hyperlink ref="B526" r:id="rId976" display="https://www.google.com/url?q=https://dmoj.ca/problem/coci14c7p1&amp;sa=D&amp;ust=1605639832226000&amp;usg=AFQjCNF7S0Nwp6F0zqPz07AUPaVdp2cmwA" xr:uid="{5CE83374-0E9A-43E3-8CCD-71D2952C5113}"/>
    <hyperlink ref="F526" r:id="rId977" display="https://www.google.com/url?q=https://github.com/mostafa-saad/MyCompetitiveProgramming/blob/master/Olympiad/COCI/official/2015/contest7_solutions&amp;sa=D&amp;ust=1605639832227000&amp;usg=AFQjCNHJ1y4GMLTDxCsxMPGBmIASL4r38Q" xr:uid="{B1498645-A09B-40F4-B3F7-462A6BB2E51D}"/>
    <hyperlink ref="B527" r:id="rId978" display="https://www.google.com/url?q=https://dmoj.ca/problem/coci14c5p3&amp;sa=D&amp;ust=1605639832227000&amp;usg=AFQjCNEqgNEFV4uxWbsHka3zBSH0f62D9w" xr:uid="{1C59378E-CB26-4EA5-988B-A4909B6B87D7}"/>
    <hyperlink ref="B528" r:id="rId979" display="https://www.google.com/url?q=https://oj.uz/problem/view/COCI14_utrka&amp;sa=D&amp;ust=1605639832228000&amp;usg=AFQjCNGFc-Pe10LvJHpxj_IpoCNqjhTchw" xr:uid="{B5B4D9EE-6F1E-4720-B0EC-66F3856D6234}"/>
    <hyperlink ref="B529" r:id="rId980" display="https://www.google.com/url?q=https://dmoj.ca/problem/coci14c1p5&amp;sa=D&amp;ust=1605639832228000&amp;usg=AFQjCNFejCpo01CBykN2pCLCfnfq4_Xgtg" xr:uid="{992B1A85-8F1E-4F5E-9069-F56CF11808A6}"/>
    <hyperlink ref="F529" r:id="rId981" display="https://www.google.com/url?q=https://github.com/mostafa-saad/MyCompetitiveProgramming/blob/master/Olympiad/COCI/official/2015/contest1_solutions&amp;sa=D&amp;ust=1605639832228000&amp;usg=AFQjCNGSuKW2BZPVEtK8hhQz1L3xk51zAg" xr:uid="{7AE20905-DB52-4151-81F5-F728A41082A3}"/>
    <hyperlink ref="B530" r:id="rId982" display="https://www.google.com/url?q=https://dmoj.ca/problem/coci14c5p4&amp;sa=D&amp;ust=1605639832229000&amp;usg=AFQjCNH_Dm6xsGgF5fAtyBfEQYnY-zjTBA" xr:uid="{B908805C-7C72-48F5-B8E8-49418F7939B4}"/>
    <hyperlink ref="F530" r:id="rId983" display="https://www.google.com/url?q=https://github.com/mostafa-saad/MyCompetitiveProgramming/blob/master/Olympiad/COCI/official/2015/contest5_solutions&amp;sa=D&amp;ust=1605639832229000&amp;usg=AFQjCNH1TYJk9M7wiq8kU_2igXqRVDfHKg" xr:uid="{78DF339B-BB91-43CA-A419-BF6CAC8D2760}"/>
    <hyperlink ref="B531" r:id="rId984" display="https://www.google.com/url?q=https://dmoj.ca/problem/coci14c5p2&amp;sa=D&amp;ust=1605639832229000&amp;usg=AFQjCNFOzbrmADo7VabeHin3rigswITR4Q" xr:uid="{728005C8-292C-457B-9CBB-B47E5F142466}"/>
    <hyperlink ref="F531" r:id="rId985" display="https://www.google.com/url?q=https://github.com/mostafa-saad/MyCompetitiveProgramming/blob/master/Olympiad/COCI/official/2015/contest5_solutions&amp;sa=D&amp;ust=1605639832229000&amp;usg=AFQjCNH1TYJk9M7wiq8kU_2igXqRVDfHKg" xr:uid="{FFBC8826-4FD7-4DFA-A813-3FCAF05BBF0C}"/>
    <hyperlink ref="B532" r:id="rId986" display="https://www.google.com/url?q=https://oj.uz/problem/view/COCI15_akcija&amp;sa=D&amp;ust=1605639832230000&amp;usg=AFQjCNF4WyR96EOAdCJ2gska9-gYA4pteg" xr:uid="{D366A30A-38AC-4D80-894C-E762EF954F8A}"/>
    <hyperlink ref="B533" r:id="rId987" display="https://www.google.com/url?q=https://oj.uz/problem/view/COCI15_baloni&amp;sa=D&amp;ust=1605639832230000&amp;usg=AFQjCNHQoQplcYbpiCUJgVuR3aGbBpHs4A" xr:uid="{3FEE9E2D-2F59-41C1-BCB0-BBE968D3DA8A}"/>
    <hyperlink ref="F533" r:id="rId988" display="https://www.google.com/url?q=https://github.com/zoooma13/Competitive-Programming/blob/master/baloni2.cpp&amp;sa=D&amp;ust=1605639832230000&amp;usg=AFQjCNFv28vL2Ag7zLG3Cjpkqv02O2AISw" xr:uid="{3956C699-134F-4BD1-B158-C2D15ECA3337}"/>
    <hyperlink ref="B534" r:id="rId989" display="https://www.google.com/url?q=https://dmoj.ca/problem/coci15c4p4&amp;sa=D&amp;ust=1605639832230000&amp;usg=AFQjCNFZ7obfp2V4-eJNwUG4mtU12Glegw" xr:uid="{A2763CC0-A8C0-41E5-BCAA-45012FDE312C}"/>
    <hyperlink ref="B535" r:id="rId990" display="https://www.google.com/url?q=https://dmoj.ca/problem/coci15c4p3&amp;sa=D&amp;ust=1605639832231000&amp;usg=AFQjCNFJcuOKbnyY4lt3CedMTSKhqjR8Dw" xr:uid="{B00B8D06-91E9-4B04-B509-2BDF2B0A6C5A}"/>
    <hyperlink ref="B536" r:id="rId991" display="https://www.google.com/url?q=https://dmoj.ca/problem/coci15c3p6&amp;sa=D&amp;ust=1605639832231000&amp;usg=AFQjCNEPVzM891JYrD-qVAYBYbnFtpMY-g" xr:uid="{D485F511-6F95-4343-B326-5D8720B81074}"/>
    <hyperlink ref="F536" r:id="rId992" display="https://www.google.com/url?q=https://github.com/mostafa-saad/MyCompetitiveProgramming/blob/master/Olympiad/COCI/COCI-15-Domino.txt&amp;sa=D&amp;ust=1605639832231000&amp;usg=AFQjCNED6829zg01QFq0-Z4Z5XbwNq-Jkw" xr:uid="{396987C3-FC20-409B-A230-89D32166F5FE}"/>
    <hyperlink ref="B537" r:id="rId993" display="https://www.google.com/url?q=https://oj.uz/problem/view/COCI15_drzava&amp;sa=D&amp;ust=1605639832232000&amp;usg=AFQjCNEXUlcPHJrGdbEPA6aRe3S3pJno7Q" xr:uid="{88BA7B1B-B792-45F6-9606-288892539CCD}"/>
    <hyperlink ref="F537" r:id="rId994" display="https://www.google.com/url?q=https://github.com/mostafa-saad/MyCompetitiveProgramming/blob/master/Olympiad/COCI/official/2016/contest2_solutions&amp;sa=D&amp;ust=1605639832232000&amp;usg=AFQjCNHVV24QnJwXuOnk1w5htDP-TTwEQQ" xr:uid="{A31CBF2F-7BBE-4CDC-A599-7E56742ED810}"/>
    <hyperlink ref="B538" r:id="rId995" display="https://www.google.com/url?q=https://dmoj.ca/problem/coci15c4p6&amp;sa=D&amp;ust=1605639832232000&amp;usg=AFQjCNF_O8b6Mre9AtWG-FLEoafn5OnUYg" xr:uid="{9A781E1D-8D85-4BC8-B0AC-1BA8336639CD}"/>
    <hyperlink ref="F538" r:id="rId996" display="https://www.google.com/url?q=https://github.com/mostafa-saad/MyCompetitiveProgramming/blob/master/Olympiad/COCI/COCI-15-Endor.txt&amp;sa=D&amp;ust=1605639832232000&amp;usg=AFQjCNFKvYHhbigqT6s7gXHkiZ0vR6tkVQ" xr:uid="{5C61C20A-D7B8-4D4F-A653-8386A6848A89}"/>
    <hyperlink ref="B539" r:id="rId997" display="https://www.google.com/url?q=https://oj.uz/problem/view/COCI15_esej&amp;sa=D&amp;ust=1605639832233000&amp;usg=AFQjCNF6zbSvyZFblFLZGv0J5sKsAu3J6w" xr:uid="{8B9E8A75-B431-4087-8931-F42D4930864C}"/>
    <hyperlink ref="B540" r:id="rId998" display="https://www.google.com/url?q=https://dmoj.ca/problem/coci15c4p5&amp;sa=D&amp;ust=1605639832233000&amp;usg=AFQjCNFbSZ7W4N_JR9YA2rzCQTaogmclFg" xr:uid="{C3E9C828-941A-48C2-A065-355E4B028177}"/>
    <hyperlink ref="F540" r:id="rId999" display="https://www.google.com/url?q=https://github.com/mostafa-saad/MyCompetitiveProgramming/blob/master/Olympiad/COCI/COCI-15-galaksija.txt&amp;sa=D&amp;ust=1605639832233000&amp;usg=AFQjCNHensWZ-F4JeuUiZzjcRCQqErT6GQ" xr:uid="{5672C45A-8EE8-4BF6-AA37-4AE138102BCB}"/>
    <hyperlink ref="B541" r:id="rId1000" display="https://www.google.com/url?q=https://oj.uz/problem/view/COCI15_geppetto&amp;sa=D&amp;ust=1605639832233000&amp;usg=AFQjCNHBx1QLcnlWqTC9gbfBgSpU-1SGhQ" xr:uid="{D9A1A75A-6DB7-4A3A-8BF9-CAAAE3229192}"/>
    <hyperlink ref="B542" r:id="rId1001" display="https://www.google.com/url?q=https://dmoj.ca/problem/coci15c4p2&amp;sa=D&amp;ust=1605639832234000&amp;usg=AFQjCNEoWdGnL908uo31ihH7ivBGK3A1Jg" xr:uid="{50263BEC-2E53-400D-B363-5A3E9A730232}"/>
    <hyperlink ref="B543" r:id="rId1002" display="https://www.google.com/url?q=https://oj.uz/problem/view/COCI15_karte&amp;sa=D&amp;ust=1605639832234000&amp;usg=AFQjCNFSa2sYrfI9h0Dzlj5D1gEcBwtHwA" xr:uid="{DFC48CDF-1E66-4819-BDF7-3F6855AA8511}"/>
    <hyperlink ref="B544" r:id="rId1003" display="https://www.google.com/url?q=https://oj.uz/problem/view/COCI15_marko&amp;sa=D&amp;ust=1605639832234000&amp;usg=AFQjCNFp-ij_iFbHo66uhblPCZAILUxQKw" xr:uid="{A5251FB9-D9E2-4D82-AF17-0ABD6364D7CB}"/>
    <hyperlink ref="B545" r:id="rId1004" display="https://www.google.com/url?q=https://dmoj.ca/problem/coci15c3p3&amp;sa=D&amp;ust=1605639832235000&amp;usg=AFQjCNHqxNeHrtgyUB8hsGSg5y9ItnXvpQ" xr:uid="{CDDB0D4A-90AB-437A-A6C1-0573A90C8638}"/>
    <hyperlink ref="F545" r:id="rId1005" display="https://www.google.com/url?q=https://github.com/mostafa-saad/MyCompetitiveProgramming/blob/master/Olympiad/COCI/official/2016/contest3_solutions&amp;sa=D&amp;ust=1605639832235000&amp;usg=AFQjCNElICJNXehXDhg-4cxtZVUSSZdS8w" xr:uid="{2E0C8334-5470-4665-8CAD-11E3CF11CE2C}"/>
    <hyperlink ref="B546" r:id="rId1006" display="https://www.google.com/url?q=https://dmoj.ca/problem/coci15c3p5&amp;sa=D&amp;ust=1605639832235000&amp;usg=AFQjCNGt1pjA1TEXjqJXuY364ViJOCEqdA" xr:uid="{F898DF67-F278-4322-97A7-B1912EF4DA32}"/>
    <hyperlink ref="F546" r:id="rId1007" display="https://www.google.com/url?q=https://github.com/mostafa-saad/MyCompetitiveProgramming/blob/master/Olympiad/COCI/COCI-15-Nekameleoni.txt&amp;sa=D&amp;ust=1605639832236000&amp;usg=AFQjCNHBF3FM-_3HX86qvqrOBsunYKPzaw" xr:uid="{40F81FDB-A974-450F-A22B-4EAEA01327E8}"/>
    <hyperlink ref="B547" r:id="rId1008" display="https://www.google.com/url?q=https://oj.uz/problem/view/COCI15_pot&amp;sa=D&amp;ust=1605639832236000&amp;usg=AFQjCNEbt_f-fpyGjX80R6GyhFHoSWIQeQ" xr:uid="{CF4D4493-8D1A-4F26-A5F7-6302DDA6515C}"/>
    <hyperlink ref="B548" r:id="rId1009" display="https://www.google.com/url?q=https://oj.uz/problem/view/COCI15_relativnost&amp;sa=D&amp;ust=1605639832237000&amp;usg=AFQjCNEDq6yLGVR9GOjUdpSQLcl27esrYA" xr:uid="{DD800A17-AA4E-41CA-883C-B9FDBC9D06B9}"/>
    <hyperlink ref="F548" r:id="rId1010" display="https://www.google.com/url?q=https://github.com/mostafa-saad/MyCompetitiveProgramming/blob/master/Olympiad/COCI/COCI-15-relativnost.txt&amp;sa=D&amp;ust=1605639832237000&amp;usg=AFQjCNFoDfJvfkXh6solmfeGrn6WeDIIIA" xr:uid="{04E0EF5F-83DB-46B0-9B75-669CEB598D88}"/>
    <hyperlink ref="B549" r:id="rId1011" display="https://www.google.com/url?q=https://oj.uz/problem/view/COCI15_savez&amp;sa=D&amp;ust=1605639832237000&amp;usg=AFQjCNG0pthwhfYihAc9XI-Y-PynzK9ERA" xr:uid="{1AD44978-FA6A-4A40-A82E-0F1FE2F54FE9}"/>
    <hyperlink ref="F549" r:id="rId1012" display="https://www.google.com/url?q=https://github.com/mostafa-saad/MyCompetitiveProgramming/blob/master/Olympiad/COCI/COCI-15-savez.txt&amp;sa=D&amp;ust=1605639832237000&amp;usg=AFQjCNEP3gPFDcUP1MfooDu8FAcEcbz48w" xr:uid="{4D246D92-60EB-4DF8-BEB9-21B632CA6FDB}"/>
    <hyperlink ref="B550" r:id="rId1013" display="https://www.google.com/url?q=https://dmoj.ca/problem/coci15c3p4&amp;sa=D&amp;ust=1605639832238000&amp;usg=AFQjCNGH1JQATQWnVbw0WsWPmq0rcfALAQ" xr:uid="{FE56BD74-761B-4229-93BC-520F6FDB753C}"/>
    <hyperlink ref="F550" r:id="rId1014" display="https://www.google.com/url?q=https://github.com/mostafa-saad/MyCompetitiveProgramming/blob/master/Olympiad/COCI/official/2016/contest3_solutions&amp;sa=D&amp;ust=1605639832238000&amp;usg=AFQjCNFNTF9OdtaEHJO1IofdStKNII_N3Q" xr:uid="{7F5AF195-5798-430A-83FF-2174CF9528B8}"/>
    <hyperlink ref="B551" r:id="rId1015" display="https://www.google.com/url?q=https://oj.uz/problem/view/COCI15_topovi&amp;sa=D&amp;ust=1605639832238000&amp;usg=AFQjCNEBjH7ujP4icuameW0GFPlZzXMg4w" xr:uid="{FFD09389-DD6B-4216-8E7D-D447A586F72C}"/>
    <hyperlink ref="F551" r:id="rId1016" display="https://www.google.com/url?q=https://github.com/mostafa-saad/MyCompetitiveProgramming/blob/master/Olympiad/COCI/COCI-15-topovi.txt&amp;sa=D&amp;ust=1605639832238000&amp;usg=AFQjCNGBSQxQaJ6JjE8Q_ZOxZHG7pYdkDw" xr:uid="{27BE8ED7-6170-4B7B-B50B-C114EF572F06}"/>
    <hyperlink ref="B552" r:id="rId1017" display="https://www.google.com/url?q=https://oj.uz/problem/view/COCI15_uzastopni&amp;sa=D&amp;ust=1605639832238000&amp;usg=AFQjCNGdt99zsL0xzQvaw_MXah8V1-v2_A" xr:uid="{BF199D22-535B-4AAA-B50F-BDEB06CE723E}"/>
    <hyperlink ref="F552" r:id="rId1018" display="https://www.google.com/url?q=https://github.com/mostafa-saad/MyCompetitiveProgramming/blob/master/Olympiad/COCI/COCI-15-uzastopni.txt&amp;sa=D&amp;ust=1605639832239000&amp;usg=AFQjCNEbEaQMw0eCwsh2FZutLkD9pWs2qg" xr:uid="{985EC5DE-4F64-421F-909B-116B89F6DCBA}"/>
    <hyperlink ref="B553" r:id="rId1019" display="https://www.google.com/url?q=https://oj.uz/problem/view/COCI15_vudu&amp;sa=D&amp;ust=1605639832239000&amp;usg=AFQjCNFqAS_wE22HC42Gd7WkFCTXQnEU1A" xr:uid="{2C4975B4-8FBD-4AC7-AB5F-E233AB4ACBE1}"/>
    <hyperlink ref="F553" r:id="rId1020" display="https://www.google.com/url?q=https://github.com/mostafa-saad/MyCompetitiveProgramming/blob/master/Olympiad/JOI/COCI/COCI-15-vudu.txt&amp;sa=D&amp;ust=1605639832239000&amp;usg=AFQjCNH5N33QNYLCntRs1Dh40d2J8rfGag" xr:uid="{64E0D58F-D600-4368-A3ED-AFB2ED1741F3}"/>
    <hyperlink ref="B554" r:id="rId1021" display="https://www.google.com/url?q=https://dmoj.ca/problem/coci15c4p1&amp;sa=D&amp;ust=1605639832239000&amp;usg=AFQjCNG3P64x0AbMhfYxXpYEYljOqBNNeg" xr:uid="{EA7399FB-950F-4D91-81C1-124317999C8E}"/>
    <hyperlink ref="B555" r:id="rId1022" display="https://www.google.com/url?q=https://oj.uz/problem/view/COCI16_burza&amp;sa=D&amp;ust=1605639832240000&amp;usg=AFQjCNFk8OXkF_w3A5qkQ1fY-i9nOptLxA" xr:uid="{BDE707E5-6B97-4CD6-99AB-60297A1F197E}"/>
    <hyperlink ref="F555" r:id="rId1023" display="https://www.google.com/url?q=https://github.com/mostafa-saad/MyCompetitiveProgramming/blob/master/Olympiad/COCI/COCI-16-burza.txt&amp;sa=D&amp;ust=1605639832240000&amp;usg=AFQjCNHXWcA-PxlHYFDw7MifACnRx5K9dg" xr:uid="{A29BDA21-8944-47C4-85E1-2B28933B2915}"/>
    <hyperlink ref="B556" r:id="rId1024" display="https://www.google.com/url?q=https://dmoj.ca/problem/coci16c1p3&amp;sa=D&amp;ust=1605639832240000&amp;usg=AFQjCNHdC52VETF_K6nqLb29eEQ5fsEYgg" xr:uid="{B35AD9D3-23E0-437D-8FF0-59440A201183}"/>
    <hyperlink ref="F556" r:id="rId1025" display="https://www.google.com/url?q=https://github.com/nikolapesic2802/Programming-Practice/blob/master/Cezar/main.cpp&amp;sa=D&amp;ust=1605639832240000&amp;usg=AFQjCNFrFXk-zzu_nAxEONdoZ2ejp7cq3w" xr:uid="{104B95D4-3A51-4276-A661-2B87D92C3B46}"/>
    <hyperlink ref="B557" r:id="rId1026" display="https://www.google.com/url?q=https://oj.uz/problem/view/COCI16_go&amp;sa=D&amp;ust=1605639832240000&amp;usg=AFQjCNHS7SBu24XAplfMxGg3DZMd36mhbg" xr:uid="{C2FDBA0E-16DA-475B-9BA3-26BFBB1F9558}"/>
    <hyperlink ref="F557" r:id="rId1027" display="https://www.google.com/url?q=https://github.com/mostafa-saad/MyCompetitiveProgramming/blob/master/Olympiad/COCI/official/2017/contest2_solutions&amp;sa=D&amp;ust=1605639832241000&amp;usg=AFQjCNEHgjN01C7KHGV9EFhXCoqxjgYUrg" xr:uid="{775DABA7-9AE4-41F9-89B8-071CB8DBF293}"/>
    <hyperlink ref="B558" r:id="rId1028" display="https://www.google.com/url?q=https://oj.uz/problem/view/COCI16_imena&amp;sa=D&amp;ust=1605639832241000&amp;usg=AFQjCNG-B6lHBwLx1UbpYJE1mLBgIPJd2g" xr:uid="{3D336A43-13CB-4296-BF66-B4A7BA31542F}"/>
    <hyperlink ref="F558" r:id="rId1029" display="https://www.google.com/url?q=https://github.com/mostafa-saad/MyCompetitiveProgramming/blob/master/Olympiad/COCI/official/2017/contest3_solutions&amp;sa=D&amp;ust=1605639832241000&amp;usg=AFQjCNEi6TNhu9ILwE-cjB0oOrnUL0ZurQ" xr:uid="{B6C7C6F3-3331-4C6F-9359-9B296839CAAB}"/>
    <hyperlink ref="B559" r:id="rId1030" display="https://www.google.com/url?q=https://oj.uz/problem/view/COCI16_jetpack&amp;sa=D&amp;ust=1605639832241000&amp;usg=AFQjCNH75PRNCXuUZQcSVlP5QoiX1c4m6A" xr:uid="{79981E62-9198-442D-A247-DD2C91ABFC6D}"/>
    <hyperlink ref="F559" r:id="rId1031" display="https://www.google.com/url?q=https://github.com/mostafa-saad/MyCompetitiveProgramming/blob/master/Olympiad/COCI/official/2017/contest1_solutions&amp;sa=D&amp;ust=1605639832241000&amp;usg=AFQjCNF_a0ncc3i2IMMlxQib4P4LAMLsig" xr:uid="{CF0FA010-960C-4CFA-B6D1-4B00217AFE20}"/>
    <hyperlink ref="B560" r:id="rId1032" display="https://www.google.com/url?q=https://oj.uz/problem/view/COCI16_kralj&amp;sa=D&amp;ust=1605639832242000&amp;usg=AFQjCNFC6Mk8yikjzmPcS7K4-u-0OZIT8g" xr:uid="{DF5354F0-B0A0-4547-82EF-6628D2E7A9A4}"/>
    <hyperlink ref="F560" r:id="rId1033" display="https://www.google.com/url?q=https://github.com/mostafa-saad/MyCompetitiveProgramming/blob/master/Olympiad/COCI/COCI-16-kralj.txt&amp;sa=D&amp;ust=1605639832242000&amp;usg=AFQjCNGkq21PAd353eW6lR6O-a5EfjGidA" xr:uid="{8444001D-8DA5-4647-A04D-EA90E8CAA130}"/>
    <hyperlink ref="B561" r:id="rId1034" display="https://www.google.com/url?q=https://oj.uz/problem/view/COCI16_kronican&amp;sa=D&amp;ust=1605639832242000&amp;usg=AFQjCNHnNhE1Y6bA2nPvZadBRIMIHxgBnQ" xr:uid="{1D07ADDA-876E-4CD7-96FB-FABCB6A0C1DD}"/>
    <hyperlink ref="F561" r:id="rId1035" display="https://www.google.com/url?q=https://github.com/mostafa-saad/MyCompetitiveProgramming/blob/master/Olympiad/COCI/official/2017/contest3_solutions&amp;sa=D&amp;ust=1605639832242000&amp;usg=AFQjCNG063KRxb5evnYO4AoxdrBhKlO_3w" xr:uid="{D9D28292-38FA-447F-B2B7-8D44EAEBC6EF}"/>
    <hyperlink ref="B562" r:id="rId1036" display="https://www.google.com/url?q=https://oj.uz/problem/view/COCI16_kvalitetni&amp;sa=D&amp;ust=1605639832242000&amp;usg=AFQjCNEFNsd1MDyE3VAsBsShCyS0eYlXdg" xr:uid="{B1ED779A-31D3-4C23-BE6E-1888803F82DB}"/>
    <hyperlink ref="F562" r:id="rId1037" display="https://www.google.com/url?q=https://github.com/mostafa-saad/MyCompetitiveProgramming/blob/master/Olympiad/COCI/official/2017/contest3_solutions&amp;sa=D&amp;ust=1605639832243000&amp;usg=AFQjCNFRgWd0LOrMOtbbIWmwyVdQneA0FQ" xr:uid="{28B6DDAF-C8EA-4F27-97BA-061D879CDB79}"/>
    <hyperlink ref="B563" r:id="rId1038" display="https://www.google.com/url?q=https://oj.uz/problem/view/COCI16_mag&amp;sa=D&amp;ust=1605639832243000&amp;usg=AFQjCNEcQWdlWq3uifbdrSE7MpOGMFrjXg" xr:uid="{9358DC5F-315B-4E4C-ACAB-8C56BB9C4114}"/>
    <hyperlink ref="F563" r:id="rId1039" display="https://www.google.com/url?q=https://github.com/mostafa-saad/MyCompetitiveProgramming/blob/master/Olympiad/COCI/COCI-16-mag.txt&amp;sa=D&amp;ust=1605639832243000&amp;usg=AFQjCNGdbvoeEebXkys2o5EX_7hoz1o37w" xr:uid="{4640A1DA-22D8-4A2F-A5A8-722587D93B48}"/>
    <hyperlink ref="B564" r:id="rId1040" display="https://www.google.com/url?q=https://oj.uz/problem/view/COCI16_meksikanac&amp;sa=D&amp;ust=1605639832244000&amp;usg=AFQjCNHVrtwcLYdQEg89UWRNJpUgfrOFuw" xr:uid="{03D28D8C-69F2-4522-B3E0-F1B50AF3F10F}"/>
    <hyperlink ref="F564" r:id="rId1041" display="https://www.google.com/url?q=https://github.com/mostafa-saad/MyCompetitiveProgramming/blob/master/Olympiad/COCI/official/2017/contest3_solutions&amp;sa=D&amp;ust=1605639832244000&amp;usg=AFQjCNEStpR7X0JiRlPU7dLG9Ast_BXS6w" xr:uid="{03B16876-847E-4D9F-9A07-89DB055C88F4}"/>
    <hyperlink ref="B565" r:id="rId1042" display="https://www.google.com/url?q=https://oj.uz/problem/view/COCI16_nizin&amp;sa=D&amp;ust=1605639832244000&amp;usg=AFQjCNGP8HEjLoYpIYPrd6NaC1IuWZB3-w" xr:uid="{49EBC71F-3D43-482E-92B7-81DE751DDF78}"/>
    <hyperlink ref="F565" r:id="rId1043" display="https://www.google.com/url?q=https://github.com/mostafa-saad/MyCompetitiveProgramming/blob/master/Olympiad/COCI/official/2017/contest2_solutions&amp;sa=D&amp;ust=1605639832245000&amp;usg=AFQjCNH3tWyhBVU1RWvEY1K98Z_2ozPUaw" xr:uid="{A3A98FAE-FBBB-40BF-9808-786A9440CFF0}"/>
    <hyperlink ref="B566" r:id="rId1044" display="https://www.google.com/url?q=https://oj.uz/problem/view/COCI16_pohlepko&amp;sa=D&amp;ust=1605639832245000&amp;usg=AFQjCNGoH_LqQtPSiLzO2ClQUGl7n-hruQ" xr:uid="{6541042F-9A7B-42DF-92F4-6B947BBA87CB}"/>
    <hyperlink ref="F566" r:id="rId1045" display="https://www.google.com/url?q=https://github.com/mostafa-saad/MyCompetitiveProgramming/blob/master/Olympiad/COCI/official/2017/contest3_solutions&amp;sa=D&amp;ust=1605639832245000&amp;usg=AFQjCNGxWTlo-JcXLPKCjCAwdf1JIM6TnQ" xr:uid="{1C62D69C-85B0-44CD-BAA4-A9FC3F0D6B9D}"/>
    <hyperlink ref="B567" r:id="rId1046" display="https://www.google.com/url?q=https://oj.uz/problem/view/COCI16_prosjecni&amp;sa=D&amp;ust=1605639832245000&amp;usg=AFQjCNHGa6_fwFFRnh_scL68EXlJ0EfeVQ" xr:uid="{DD7744DE-8D11-4701-8AB1-B4258C0454F1}"/>
    <hyperlink ref="F567" r:id="rId1047" display="https://www.google.com/url?q=https://github.com/mostafa-saad/MyCompetitiveProgramming/blob/master/Olympiad/COCI/official/2017/contest2_solutions&amp;sa=D&amp;ust=1605639832245000&amp;usg=AFQjCNH3tWyhBVU1RWvEY1K98Z_2ozPUaw" xr:uid="{37F30F20-2BDC-43F6-A785-6C91605D8611}"/>
    <hyperlink ref="B568" r:id="rId1048" display="https://www.google.com/url?q=https://oj.uz/problem/view/COCI16_tarifa&amp;sa=D&amp;ust=1605639832246000&amp;usg=AFQjCNEvW4WdjdgseXvWZicj0An1kYUF-A" xr:uid="{FDFFA832-D8C5-4415-9D28-C0E562EB6AF4}"/>
    <hyperlink ref="B569" r:id="rId1049" display="https://www.google.com/url?q=https://oj.uz/problem/view/COCI16_tavan&amp;sa=D&amp;ust=1605639832246000&amp;usg=AFQjCNFpYuDk4ARWwXBEvk8PYrW71IYsVw" xr:uid="{41C44F36-213F-47DE-9BDE-6A01B90D6418}"/>
    <hyperlink ref="F569" r:id="rId1050" display="https://www.google.com/url?q=https://github.com/mostafa-saad/MyCompetitiveProgramming/blob/master/Olympiad/COCI/official/2017/contest2_solutions&amp;sa=D&amp;ust=1605639832246000&amp;usg=AFQjCNGwDlDXns0CjO7X7uFn5IFpvRBYhw" xr:uid="{EEECD63E-0D33-4076-9D16-B6415E6AD7E5}"/>
    <hyperlink ref="B570" r:id="rId1051" display="https://www.google.com/url?q=https://oj.uz/problem/view/COCI16_vjestica&amp;sa=D&amp;ust=1605639832246000&amp;usg=AFQjCNFtV-fFgRw0B83eWS9r4D2_cu2fBA" xr:uid="{D6CAE86C-FA5B-4C5F-9490-E7DEE1773C83}"/>
    <hyperlink ref="F570" r:id="rId1052" display="https://www.google.com/url?q=https://github.com/mostafa-saad/MyCompetitiveProgramming/blob/master/Olympiad/COCI/COCI-16-vjestica.txt&amp;sa=D&amp;ust=1605639832246000&amp;usg=AFQjCNHoxrD6wGXlu7px8hW_18zui4b_kQ" xr:uid="{52A8616C-DA4D-48A5-96E1-84B6416F2144}"/>
    <hyperlink ref="B571" r:id="rId1053" display="https://www.google.com/url?q=https://oj.uz/problem/view/COCI16_zamjene&amp;sa=D&amp;ust=1605639832247000&amp;usg=AFQjCNHpOgusthlhUJMoXk4KEFI-uHJZFw" xr:uid="{BD053455-BB64-40FB-B196-7430B827A99D}"/>
    <hyperlink ref="F571" r:id="rId1054" display="https://www.google.com/url?q=https://github.com/mostafa-saad/MyCompetitiveProgramming/blob/master/Olympiad/COCI/COCI-16-zamjene.txt&amp;sa=D&amp;ust=1605639832247000&amp;usg=AFQjCNFANpy-koI_BaHVWs1PQmL-tKnGNg" xr:uid="{DB404D51-26A5-4BBF-ADD4-63BF9A958810}"/>
    <hyperlink ref="B572" r:id="rId1055" display="https://www.google.com/url?q=https://oj.uz/problem/view/COCI16_zoltan&amp;sa=D&amp;ust=1605639832247000&amp;usg=AFQjCNGus525lI--CQxkpYUQbzYDrssIpg" xr:uid="{4CAD47D9-2660-4C0E-88E8-A86BD2F897B5}"/>
    <hyperlink ref="F572" r:id="rId1056" display="https://www.google.com/url?q=https://github.com/mostafa-saad/MyCompetitiveProgramming/blob/master/Olympiad/COCI/COCI-16-zoltan.txt&amp;sa=D&amp;ust=1605639832247000&amp;usg=AFQjCNE0W6Hg_O4NEgqfCNRpvvWHeLMLMQ" xr:uid="{93C1E682-99AE-4F68-A097-E060F993B8A2}"/>
    <hyperlink ref="B573" r:id="rId1057" display="https://www.google.com/url?q=https://oj.uz/problem/view/COCI17_aron&amp;sa=D&amp;ust=1605639832247000&amp;usg=AFQjCNFDHTljNoOnHghp6nu11ilLM7M8dg" xr:uid="{5A7BC16A-7914-4C9C-9C06-ABE3EA9E6D56}"/>
    <hyperlink ref="B574" r:id="rId1058" display="https://www.google.com/url?q=https://oj.uz/problem/view/COCI17_automobil&amp;sa=D&amp;ust=1605639832248000&amp;usg=AFQjCNGHI-DYDSuWzNwaizLUk9IzcxI8Sg" xr:uid="{AF2E93EA-3625-4B35-A10F-97542B0C37CC}"/>
    <hyperlink ref="F574" r:id="rId1059" display="https://www.google.com/url?q=https://ideone.com/Ejf10T&amp;sa=D&amp;ust=1605639832248000&amp;usg=AFQjCNFhVb84bS5extzN0uoMA_Kd-Z14Qg" xr:uid="{E4AA186F-3122-482A-8D34-BF45CEB09207}"/>
    <hyperlink ref="B575" r:id="rId1060" display="https://www.google.com/url?q=https://oj.uz/problem/view/COCI17_baza&amp;sa=D&amp;ust=1605639832248000&amp;usg=AFQjCNFIPxDbP5prnotgUFzsGCP2wx2REQ" xr:uid="{C3617D49-3E60-4C20-8121-6CDDA3488C31}"/>
    <hyperlink ref="B576" r:id="rId1061" display="https://www.google.com/url?q=https://oj.uz/problem/view/COCI17_bridz&amp;sa=D&amp;ust=1605639832248000&amp;usg=AFQjCNGdAqFKRuYrDWLk5MU1h6DGSIgGZA" xr:uid="{76D0A738-A17F-41C7-AA8C-A7880651DE0C}"/>
    <hyperlink ref="B577" r:id="rId1062" display="https://www.google.com/url?q=https://oj.uz/problem/view/COCI17_ceste&amp;sa=D&amp;ust=1605639832249000&amp;usg=AFQjCNEpAbT2EsKk1FG0slwkiwim0Oeerw" xr:uid="{356EC134-9E4D-4CAD-A0FF-64E9BCAE00B6}"/>
    <hyperlink ref="F577" r:id="rId1063" display="https://www.google.com/url?q=https://github.com/MohamedAhmed04/Competitive-programming/blob/master/COCI/COCI%252017-Ceste.cpp&amp;sa=D&amp;ust=1605639832249000&amp;usg=AFQjCNEvsuFFD7GCTeg3N0uHkxBBcPS17g" xr:uid="{3E89EFD8-EF4F-4F84-A731-72A33ABA275E}"/>
    <hyperlink ref="B578" r:id="rId1064" display="https://www.google.com/url?q=https://oj.uz/problem/view/COCI17_cezar&amp;sa=D&amp;ust=1605639832249000&amp;usg=AFQjCNGH1uclBxnYJVlrzMbdGLDDNue83Q" xr:uid="{F08CFAA7-21FD-4A99-809F-10A43C082F8A}"/>
    <hyperlink ref="B579" r:id="rId1065" display="https://www.google.com/url?q=https://oj.uz/problem/view/COCI17_deda&amp;sa=D&amp;ust=1605639832249000&amp;usg=AFQjCNFzBwK1tca8dQ2kNsr9dX_jPNKg_g" xr:uid="{989C2C79-BC89-4F8F-835D-E57C74F98CD5}"/>
    <hyperlink ref="F579" r:id="rId1066" display="https://www.google.com/url?q=https://github.com/mostafa-saad/MyCompetitiveProgramming/blob/master/Olympiad/COCI/COCI-17-deda.txt&amp;sa=D&amp;ust=1605639832250000&amp;usg=AFQjCNGh7mlH8EFLwJKp6sXb6WYea5_awQ" xr:uid="{62886C94-5658-4463-8755-B2B3DA4D869C}"/>
    <hyperlink ref="B580" r:id="rId1067" display="https://www.google.com/url?q=https://oj.uz/problem/view/COCI17_dojave&amp;sa=D&amp;ust=1605639832250000&amp;usg=AFQjCNF42zoZOC9Wjejcl26CweEafm_0Yw" xr:uid="{88734BBB-FA05-45F1-9F4E-D791E4EE1BAF}"/>
    <hyperlink ref="B581" r:id="rId1068" display="https://www.google.com/url?q=https://oj.uz/problem/view/COCI17_doktor&amp;sa=D&amp;ust=1605639832250000&amp;usg=AFQjCNFq0MFVppSuAA9ssGlkaieTkgVH1Q" xr:uid="{D7A774CC-13F3-4887-8502-568699B4B273}"/>
    <hyperlink ref="F581" r:id="rId1069" display="https://www.google.com/url?q=https://github.com/mostafa-saad/MyCompetitiveProgramming/blob/master/Olympiad/COCI/official/2018/contest2_solutions&amp;sa=D&amp;ust=1605639832250000&amp;usg=AFQjCNHTMOnfVcYZeRNUPSDUJNDTxRd_rQ" xr:uid="{1C681B4D-C825-4E94-9A1C-BC052527A491}"/>
    <hyperlink ref="B582" r:id="rId1070" display="https://www.google.com/url?q=https://oj.uz/problem/view/COCI17_garaza&amp;sa=D&amp;ust=1605639832251000&amp;usg=AFQjCNFqJTw99hQwh3ftYKfVIlsZYT9lZw" xr:uid="{D2A276C9-4C62-40E4-AA3C-0B302510C79D}"/>
    <hyperlink ref="F582" r:id="rId1071" display="https://www.google.com/url?q=https://github.com/mostafa-saad/MyCompetitiveProgramming/blob/master/Olympiad/COCI/official/2018/contest2_solutions&amp;sa=D&amp;ust=1605639832252000&amp;usg=AFQjCNFYgKPPedldeffCXep3ZoK_Xhfjew" xr:uid="{13DCA094-E453-449E-B53B-63F08166860E}"/>
    <hyperlink ref="B583" r:id="rId1072" display="https://www.google.com/url?q=https://oj.uz/problem/view/COCI17_gauss&amp;sa=D&amp;ust=1605639832252000&amp;usg=AFQjCNFeeY-WRCk_gCwjUVlMF7h7yGbW6Q" xr:uid="{B903E3F4-CC13-4352-8627-E3EC8511C2CD}"/>
    <hyperlink ref="B584" r:id="rId1073" display="https://www.google.com/url?q=https://oj.uz/problem/view/COCI17_hindeks&amp;sa=D&amp;ust=1605639832252000&amp;usg=AFQjCNG1sKglL62F6X312zei8wfkMiyZxw" xr:uid="{17DE2753-860F-47CC-9A49-9C670BCFBE7C}"/>
    <hyperlink ref="B585" r:id="rId1074" display="https://www.google.com/url?q=https://oj.uz/problem/view/COCI17_hokej&amp;sa=D&amp;ust=1605639832253000&amp;usg=AFQjCNG_YXCovf1DxfonDTzapTVBFS_arQ" xr:uid="{2029138F-77EF-48D3-A6DC-F75890209082}"/>
    <hyperlink ref="F585" r:id="rId1075" display="https://www.google.com/url?q=https://github.com/mostafa-saad/MyCompetitiveProgramming/blob/master/Olympiad/COCI/official/2018/contest1_solutions&amp;sa=D&amp;ust=1605639832253000&amp;usg=AFQjCNEh8fNErZkVEOBDaq34DUaj0s-qlQ" xr:uid="{3F2EB363-41CE-4DC0-ABD8-44AA07AA0598}"/>
    <hyperlink ref="B586" r:id="rId1076" display="https://www.google.com/url?q=https://oj.uz/problem/view/COCI17_igra&amp;sa=D&amp;ust=1605639832253000&amp;usg=AFQjCNHbKsaJJMXPg2JMPeULkaltqPyGaQ" xr:uid="{6C310C06-E249-4E0E-A65D-52CDD900BC4E}"/>
    <hyperlink ref="F586" r:id="rId1077" display="https://www.google.com/url?q=https://github.com/mostafa-saad/MyCompetitiveProgramming/blob/master/Olympiad/COCI/official/2017/contest7_solutions&amp;sa=D&amp;ust=1605639832253000&amp;usg=AFQjCNGdUXjs4NhZJVjl444V3ylkO02ysA" xr:uid="{2FE6970E-0987-4C56-A3EA-61F80CCAFD62}"/>
    <hyperlink ref="B587" r:id="rId1078" display="https://www.google.com/url?q=https://oj.uz/problem/view/COCI17_izbori&amp;sa=D&amp;ust=1605639832253000&amp;usg=AFQjCNFHzzPcVN5Rsg3xuGf1w-JgxJzryg" xr:uid="{07CED42E-BCF3-4D10-B7FF-DC7244900C25}"/>
    <hyperlink ref="B588" r:id="rId1079" display="https://www.google.com/url?q=https://oj.uz/problem/view/COCI17_kartomat&amp;sa=D&amp;ust=1605639832254000&amp;usg=AFQjCNEIsPp8OIMh54PgvJGsrJTvn6jQbA" xr:uid="{4E023FE3-458A-4A93-BD22-FA369CBE409C}"/>
    <hyperlink ref="F588" r:id="rId1080" display="https://www.google.com/url?q=https://github.com/mostafa-saad/MyCompetitiveProgramming/blob/master/Olympiad/COCI/official/2017/contest4_solutions&amp;sa=D&amp;ust=1605639832254000&amp;usg=AFQjCNFSCwnyMEHYS3S0Mn41iIZbC9otnw" xr:uid="{441A8E0C-78BC-4EC8-8239-25C7341A3823}"/>
    <hyperlink ref="B589" r:id="rId1081" display="https://www.google.com/url?q=https://oj.uz/problem/view/COCI17_kas&amp;sa=D&amp;ust=1605639832254000&amp;usg=AFQjCNFRJ8gsDdps1BzGaHVjaTLw0X6LEw" xr:uid="{2BF83C11-EC71-4E7C-BD03-564BBB25D284}"/>
    <hyperlink ref="F589" r:id="rId1082" display="https://www.google.com/url?q=https://github.com/mostafa-saad/MyCompetitiveProgramming/blob/master/Olympiad/COCI/COCI-17-kas.txt&amp;sa=D&amp;ust=1605639832254000&amp;usg=AFQjCNGhLdVHUllYOrinV0SMnVYEJ669Cg" xr:uid="{F646DC9F-2CE3-4897-8BB7-85C2E9E6A791}"/>
    <hyperlink ref="B590" r:id="rId1083" display="https://www.google.com/url?q=https://oj.uz/problem/view/COCI17_klavir&amp;sa=D&amp;ust=1605639832255000&amp;usg=AFQjCNEFOacyeRU4208cG7qaAOZ49FRjQA" xr:uid="{00DB503B-F5DD-42FD-B9B7-8CF431B90F52}"/>
    <hyperlink ref="F590" r:id="rId1084" display="https://www.google.com/url?q=https://github.com/mostafa-saad/MyCompetitiveProgramming/blob/master/Olympiad/CEOI/COCI-17-klavir.txt&amp;sa=D&amp;ust=1605639832255000&amp;usg=AFQjCNH_lSq-htto_hpPpS--DUq0Nez9wQ" xr:uid="{24483B32-665C-402B-99EF-F12D1D48901C}"/>
    <hyperlink ref="B591" r:id="rId1085" display="https://www.google.com/url?q=https://oj.uz/problem/view/COCI17_kosnja&amp;sa=D&amp;ust=1605639832255000&amp;usg=AFQjCNEZRCKwTxTeOxf-J5i66gNpZx_ZqQ" xr:uid="{782E64EC-09C3-4701-B415-25AD64EDA2A3}"/>
    <hyperlink ref="B592" r:id="rId1086" display="https://www.google.com/url?q=https://oj.uz/problem/view/COCI17_krov&amp;sa=D&amp;ust=1605639832255000&amp;usg=AFQjCNHpWxJca2CZr1dTdXYOdsHEWUCDWQ" xr:uid="{2EEE974E-7418-4BB3-8A34-73B893685860}"/>
    <hyperlink ref="B593" r:id="rId1087" display="https://www.google.com/url?q=https://oj.uz/problem/view/COCI17_lozinke&amp;sa=D&amp;ust=1605639832256000&amp;usg=AFQjCNGW4L-j5JQlLywNQv902qv47Q_YNg" xr:uid="{AB7097A7-8D81-42F8-8E1B-D5C66D7A7458}"/>
    <hyperlink ref="F593" r:id="rId1088" display="https://www.google.com/url?q=https://oj.uz/submission/85415&amp;sa=D&amp;ust=1605639832256000&amp;usg=AFQjCNFTyMlcIEXnFcoFZ3v5WhHJ8WVwsw" xr:uid="{803FDC4A-3522-4F08-AC44-A512A2EF70A8}"/>
    <hyperlink ref="B594" r:id="rId1089" display="https://www.google.com/url?q=https://oj.uz/problem/view/COCI17_osmosmjerka&amp;sa=D&amp;ust=1605639832256000&amp;usg=AFQjCNG3yccBcqaL9jn3sVU_Q67duMiNEg" xr:uid="{6CD679C3-0B20-4F26-8666-2D3DDB41420A}"/>
    <hyperlink ref="F594" r:id="rId1090" display="https://www.google.com/url?q=https://github.com/mostafa-saad/MyCompetitiveProgramming/blob/master/Olympiad/COCI/COCI-17-osmosmjerka.txt&amp;sa=D&amp;ust=1605639832256000&amp;usg=AFQjCNHf9c7TQdk6Y-m0UnhQOpsPALJCcA" xr:uid="{3FC35157-74D7-487A-B126-4236909E402A}"/>
    <hyperlink ref="B595" r:id="rId1091" display="https://www.google.com/url?q=https://oj.uz/problem/view/COCI17_paralelogrami&amp;sa=D&amp;ust=1605639832256000&amp;usg=AFQjCNELTiLzVAgWWPd67ojQcDNxYXmjxg" xr:uid="{8D36C695-E4CD-472D-9158-7521FAB20F70}"/>
    <hyperlink ref="F595" r:id="rId1092" display="https://www.google.com/url?q=https://github.com/mostafa-saad/MyCompetitiveProgramming/blob/master/Olympiad/COCI/official/2017/contest7_solutions&amp;sa=D&amp;ust=1605639832257000&amp;usg=AFQjCNFyi7rOVtLdHj48zquFR6anYOe0Mw" xr:uid="{7438BFDC-7FB2-4208-B4A2-7874296763DA}"/>
    <hyperlink ref="B596" r:id="rId1093" display="https://www.google.com/url?q=https://oj.uz/problem/view/COCI17_pareto&amp;sa=D&amp;ust=1605639832257000&amp;usg=AFQjCNGjVIPdYmua9lX2pkAgmL3y6YcuXg" xr:uid="{9F1E54D5-318B-43EF-B48E-11D61066A5F2}"/>
    <hyperlink ref="F596" r:id="rId1094" display="https://www.google.com/url?q=https://github.com/mostafa-saad/MyCompetitiveProgramming/blob/master/Olympiad/COCI/official/2017/contest5_solutions&amp;sa=D&amp;ust=1605639832257000&amp;usg=AFQjCNEBTIIGvZ9S6ywzWUdrszXLWTp9Ow" xr:uid="{945C01E1-9631-4E28-A196-F1C4A77DEAB1}"/>
    <hyperlink ref="B597" r:id="rId1095" display="https://www.google.com/url?q=https://oj.uz/problem/view/COCI17_plahte&amp;sa=D&amp;ust=1605639832257000&amp;usg=AFQjCNE0QY7zld1XWscRuSv1Ae2XqoPuKg" xr:uid="{839EF199-2849-4889-9B27-1D1ED2F8E547}"/>
    <hyperlink ref="F597" r:id="rId1096" display="https://www.google.com/url?q=https://github.com/mostafa-saad/MyCompetitiveProgramming/blob/master/Olympiad/COCI/official/2018/contest1_solutions&amp;sa=D&amp;ust=1605639832258000&amp;usg=AFQjCNFEZ56IKBHNOSl2ti-FnC7CJ8IDDg" xr:uid="{749E3B8D-5B87-4DB7-90CB-ED57416A65FF}"/>
    <hyperlink ref="B598" r:id="rId1097" display="https://www.google.com/url?q=https://oj.uz/problem/view/COCI17_poklon&amp;sa=D&amp;ust=1605639832258000&amp;usg=AFQjCNG72VMbXItiDQYHjCGSdotsfh1Xzg" xr:uid="{40F8CFD5-D9C1-46A3-87D9-4326D2A7CC5D}"/>
    <hyperlink ref="F598" r:id="rId1098" display="https://www.google.com/url?q=https://github.com/mostafa-saad/MyCompetitiveProgramming/blob/master/Olympiad/COCI/official/2017/contest5_solutions&amp;sa=D&amp;ust=1605639832258000&amp;usg=AFQjCNHQ8OkcO3PYHapklh_sOWR0tIiuwg" xr:uid="{978E62E2-7EE1-4898-934E-FE1B12BC1D91}"/>
    <hyperlink ref="B599" r:id="rId1099" display="https://www.google.com/url?q=https://oj.uz/problem/view/COCI17_poklon7&amp;sa=D&amp;ust=1605639832258000&amp;usg=AFQjCNE_B3f5aQyBQtdy2aqbB0dyBDk2nQ" xr:uid="{F8754205-D258-456B-9B7A-E74045B992E8}"/>
    <hyperlink ref="F599" r:id="rId1100" display="https://www.google.com/url?q=https://github.com/mostafa-saad/MyCompetitiveProgramming/blob/master/Olympiad/COCI/official/2017/contest7_solutions&amp;sa=D&amp;ust=1605639832258000&amp;usg=AFQjCNHJPtwd2PpoNoeJhnCXYFg-NpUQSw" xr:uid="{49BE10D6-5CD3-4BA6-9880-9598E3CDD158}"/>
    <hyperlink ref="B600" r:id="rId1101" display="https://www.google.com/url?q=https://oj.uz/problem/view/COCI17_portal&amp;sa=D&amp;ust=1605639832258000&amp;usg=AFQjCNEUkcbZlC7-ArbSKE9bqg6iFU6FSA" xr:uid="{22303788-47C2-4AFA-BCED-15C702C899B0}"/>
    <hyperlink ref="F600" r:id="rId1102" display="https://www.google.com/url?q=https://github.com/luciocf/OI-Problems/blob/master/COCI/COCI%25202017-2018/portals.cpp&amp;sa=D&amp;ust=1605639832259000&amp;usg=AFQjCNFju61UDjMSfwFdCLA43-P0tXHG8A" xr:uid="{132BC87E-3524-4123-8C49-2B3370591444}"/>
    <hyperlink ref="B601" r:id="rId1103" display="https://www.google.com/url?q=https://oj.uz/problem/view/COCI17_programiranje&amp;sa=D&amp;ust=1605639832260000&amp;usg=AFQjCNH2J7jywJoYBSyMySlzDU7cAVIdBw" xr:uid="{357197D1-6148-467C-9693-6C1B7989A4F4}"/>
    <hyperlink ref="B602" r:id="rId1104" display="https://www.google.com/url?q=https://oj.uz/problem/view/COCI17_rasvjeta&amp;sa=D&amp;ust=1605639832260000&amp;usg=AFQjCNHCj84cxQ1iP0rupj-ic124QqeWKQ" xr:uid="{C9D8BE44-5AAF-4428-8388-129FC4B98D26}"/>
    <hyperlink ref="B603" r:id="rId1105" display="https://www.google.com/url?q=https://oj.uz/problem/view/COCI17_retro&amp;sa=D&amp;ust=1605639832260000&amp;usg=AFQjCNEqytJsGScZTYRfHJAL45Qxkgr2Qw" xr:uid="{70F87E1A-6369-461C-84D8-646CC7A29B2D}"/>
    <hyperlink ref="B604" r:id="rId1106" display="https://www.google.com/url?q=https://oj.uz/problem/view/COCI17_rima&amp;sa=D&amp;ust=1605639832260000&amp;usg=AFQjCNEq_PpbPTC_e1jaFldacU0GdvHRLg" xr:uid="{90905894-D344-421B-80A6-FBECEEFABD4E}"/>
    <hyperlink ref="F604" r:id="rId1107" display="https://www.google.com/url?q=https://github.com/mostafa-saad/MyCompetitiveProgramming/blob/master/Olympiad/COCI/official/2017/contest4_solutions&amp;sa=D&amp;ust=1605639832261000&amp;usg=AFQjCNE3AUBy6FLyukTlLYzBk8AxmRgolg" xr:uid="{2713BF72-9299-45FE-B15D-B5684877575A}"/>
    <hyperlink ref="B605" r:id="rId1108" display="https://www.google.com/url?q=https://oj.uz/problem/view/COCI17_ronald&amp;sa=D&amp;ust=1605639832261000&amp;usg=AFQjCNHJaJloPYZQAXO-pGcXxrA9XkOvBA" xr:uid="{71F9055D-79AF-4856-8FD7-D1B4F8F346A7}"/>
    <hyperlink ref="F605" r:id="rId1109" display="https://www.google.com/url?q=https://github.com/mostafa-saad/MyCompetitiveProgramming/blob/master/Olympiad/COCI/official/2017/contest5_solutions&amp;sa=D&amp;ust=1605639832261000&amp;usg=AFQjCNHC6DwIBcWI9WoARZQgfdHij7VB_g" xr:uid="{07836F59-2783-4B42-848C-46116DCBB38E}"/>
    <hyperlink ref="B606" r:id="rId1110" display="https://www.google.com/url?q=https://oj.uz/problem/view/COCI17_san&amp;sa=D&amp;ust=1605639832261000&amp;usg=AFQjCNHOXVBNbSQSkojNCWO2nj0OCY3ujA" xr:uid="{300C8877-B856-4139-B444-548CF94C18C4}"/>
    <hyperlink ref="F606" r:id="rId1111" display="https://www.google.com/url?q=https://github.com/mostafa-saad/MyCompetitiveProgramming/blob/master/Olympiad/COCI/official/2018/contest2_solutions&amp;sa=D&amp;ust=1605639832261000&amp;usg=AFQjCNEkM_zBHXw7cUT3Lmpx1xUdiCZcHA" xr:uid="{188662D6-03FC-488F-8A42-66501914FA68}"/>
    <hyperlink ref="B607" r:id="rId1112" display="https://www.google.com/url?q=https://oj.uz/problem/view/COCI17_savrsen&amp;sa=D&amp;ust=1605639832262000&amp;usg=AFQjCNEv6_8DK5-wdzR_NMav2enxRIFgFg" xr:uid="{8EBD3B12-4EA8-46A4-B289-3FC7BD64ABC1}"/>
    <hyperlink ref="F607" r:id="rId1113" display="https://www.google.com/url?q=https://github.com/mostafa-saad/MyCompetitiveProgramming/blob/master/Olympiad/COCI/official/2017/contest6_solutions&amp;sa=D&amp;ust=1605639832262000&amp;usg=AFQjCNGb7YTMq3nOLnOnYHJUkWdSV2qrHw" xr:uid="{D412A4A7-6723-4B7E-BA66-735AF077FA18}"/>
    <hyperlink ref="B608" r:id="rId1114" display="https://www.google.com/url?q=https://oj.uz/problem/view/COCI17_sazetak&amp;sa=D&amp;ust=1605639832262000&amp;usg=AFQjCNEhA_CNNkx-qQ6YNjQ0ebSFrOImgw" xr:uid="{2646F2CC-7BFC-450A-B7DF-774FAF03630D}"/>
    <hyperlink ref="B609" r:id="rId1115" display="https://www.google.com/url?q=https://oj.uz/problem/view/COCI17_sirni&amp;sa=D&amp;ust=1605639832262000&amp;usg=AFQjCNGtL0r0FSC9KiZe6-Bzixi210cspQ" xr:uid="{4F9DC698-220D-44E6-B61F-CBA1FC8DB9C7}"/>
    <hyperlink ref="F609" r:id="rId1116" display="https://www.google.com/url?q=https://github.com/mostafa-saad/MyCompetitiveProgramming/blob/master/Olympiad/COCI/COCI-17-sirni.txt&amp;sa=D&amp;ust=1605639832262000&amp;usg=AFQjCNHNCL74m77Z5neB2XSKm5TCMKW4AQ" xr:uid="{ABF44808-54CC-458E-BA2B-83C2A7F70434}"/>
    <hyperlink ref="B610" r:id="rId1117" display="https://www.google.com/url?q=https://oj.uz/problem/view/COCI17_telefoni&amp;sa=D&amp;ust=1605639832263000&amp;usg=AFQjCNFe4n_ZTpHebvj2qtkiNIF0Tb88yw" xr:uid="{F1E60C6C-8B0E-4F80-AAC1-86785572E89C}"/>
    <hyperlink ref="F610" r:id="rId1118" display="https://www.google.com/url?q=https://github.com/mostafa-saad/MyCompetitiveProgramming/blob/master/Olympiad/COCI/official/2017/contest6_solutions&amp;sa=D&amp;ust=1605639832263000&amp;usg=AFQjCNFZeqHypk7nkywhdc0iTgjANKjrGQ" xr:uid="{A5164646-38FD-4CA4-BE2E-A393AB933C73}"/>
    <hyperlink ref="B611" r:id="rId1119" display="https://www.google.com/url?q=https://oj.uz/problem/view/COCI17_tetris&amp;sa=D&amp;ust=1605639832263000&amp;usg=AFQjCNF89RGBvMXnajiWfD_-MZyY-qDHnw" xr:uid="{3A95A7E7-8709-4D7D-9115-C44CDA586318}"/>
    <hyperlink ref="B612" r:id="rId1120" display="https://www.google.com/url?q=https://oj.uz/problem/view/COCI17_tuna&amp;sa=D&amp;ust=1605639832263000&amp;usg=AFQjCNGAK1vLG0hlU--QCjJKFPC2Vruyww" xr:uid="{B071B79A-E273-4D12-96F7-90DAFA274DFC}"/>
    <hyperlink ref="B613" r:id="rId1121" display="https://www.google.com/url?q=https://oj.uz/problem/view/COCI17_turnir&amp;sa=D&amp;ust=1605639832264000&amp;usg=AFQjCNFBFuwCNwYatJOB2agPLwGZdKWpaA" xr:uid="{71B2DC8B-64ED-4185-AE73-06BECBFD2095}"/>
    <hyperlink ref="F613" r:id="rId1122" display="https://www.google.com/url?q=https://github.com/mostafa-saad/MyCompetitiveProgramming/blob/master/Olympiad/COCI/official/2017/contest6_solutions&amp;sa=D&amp;ust=1605639832264000&amp;usg=AFQjCNGJpomhbGCu7cBjCpG5zfoUKNM4sA" xr:uid="{89F44F8E-B9D1-460D-8A43-C30A7B8D27BE}"/>
    <hyperlink ref="B614" r:id="rId1123" display="https://www.google.com/url?q=https://oj.uz/problem/view/COCI17_unija&amp;sa=D&amp;ust=1605639832264000&amp;usg=AFQjCNEt2umQy8ZC0fbs0Qo8OJd-__-BSw" xr:uid="{14C7665A-80C8-4BF4-BFF1-E211095DE205}"/>
    <hyperlink ref="F614" r:id="rId1124" display="https://www.google.com/url?q=https://github.com/mostafa-saad/MyCompetitiveProgramming/blob/master/Olympiad/COCI/official/2017/contest5_solutions&amp;sa=D&amp;ust=1605639832264000&amp;usg=AFQjCNF6xXoNrUJCFqs8hwSVymQDCZiJJg" xr:uid="{28CAC32B-C525-4561-8B51-05B80770A8A2}"/>
    <hyperlink ref="B615" r:id="rId1125" display="https://www.google.com/url?q=https://oj.uz/problem/view/COCI17_usmjeri&amp;sa=D&amp;ust=1605639832265000&amp;usg=AFQjCNEA9wMBtTJBUZWqY80h4k3931Byeg" xr:uid="{6925BB23-CC40-40D1-A4AB-FA84CA5A38F4}"/>
    <hyperlink ref="F615" r:id="rId1126" display="https://www.google.com/url?q=https://github.com/mostafa-saad/MyCompetitiveProgramming/blob/master/Olympiad/COCI/official/2018/contest2_solutions&amp;sa=D&amp;ust=1605639832265000&amp;usg=AFQjCNHPb-p9R9XK-iesnI49BQkDu3XfAg" xr:uid="{2127912B-6A95-4871-AF8C-E716FA1B1DCC}"/>
    <hyperlink ref="B616" r:id="rId1127" display="https://www.google.com/url?q=https://oj.uz/problem/view/COCI17_uzastopni&amp;sa=D&amp;ust=1605639832265000&amp;usg=AFQjCNFaV1uOygyZnZwZr-HKOeoHRhu_FA" xr:uid="{54275772-2E1A-40C9-9005-02D2E53E8A2B}"/>
    <hyperlink ref="F616" r:id="rId1128" display="https://www.google.com/url?q=https://github.com/AhmedElsisy/CompetitiveProgramming/blob/master/Olympiad/COCI/COCI%252017-uzastopni.cpp&amp;sa=D&amp;ust=1605639832266000&amp;usg=AFQjCNGnKlIN7VIVW-a5BGhVtwKyhNO_rA" xr:uid="{38BC025A-EDD2-4AD0-8FD9-EEA7EE6DD5E2}"/>
    <hyperlink ref="B617" r:id="rId1129" display="https://www.google.com/url?q=https://oj.uz/problem/view/COCI17_vode&amp;sa=D&amp;ust=1605639832266000&amp;usg=AFQjCNHXtHeqkNkZENcKxsgQJMAf7KAy1w" xr:uid="{A912FC3E-DF6F-479E-B82E-DE026937BD04}"/>
    <hyperlink ref="F617" r:id="rId1130" display="https://www.google.com/url?q=https://github.com/Rockbet/Problems/blob/master/COCI/COCI%25202017-2018/Vode.cpp&amp;sa=D&amp;ust=1605639832266000&amp;usg=AFQjCNFcyJWwoBJGCUE-p1qMC3d-5FDtaQ" xr:uid="{FE5DF302-673C-42E8-A7DB-2C5623D350D4}"/>
    <hyperlink ref="B618" r:id="rId1131" display="https://www.google.com/url?q=https://oj.uz/problem/view/COCI17_zigzag&amp;sa=D&amp;ust=1605639832267000&amp;usg=AFQjCNHd3yhqFlEbriJuD7KZ3raAJN7pVg" xr:uid="{65ED14E2-4AE8-44E3-BF99-BDF93B2A4BEC}"/>
    <hyperlink ref="B619" r:id="rId1132" display="https://www.google.com/url?q=https://oj.uz/problem/view/COCI18_alkemija&amp;sa=D&amp;ust=1605639832267000&amp;usg=AFQjCNH8JhpKz83VvXxcOJ86jiRJnp1SZw" xr:uid="{76B00804-AFA6-4BE2-A8C5-413106A6FF20}"/>
    <hyperlink ref="B620" r:id="rId1133" display="https://www.google.com/url?q=https://oj.uz/problem/view/COCI18_birokracija&amp;sa=D&amp;ust=1605639832269000&amp;usg=AFQjCNGPd-yUH8siqHyi_TpS5N1jm-14Wg" xr:uid="{F7A0E786-98C8-4D7E-BDAB-B5D54403002B}"/>
    <hyperlink ref="B621" r:id="rId1134" display="https://www.google.com/url?q=https://oj.uz/problem/view/COCI18_clickbait&amp;sa=D&amp;ust=1605639832270000&amp;usg=AFQjCNHhquvvkgdnwXHDwrGo-qUr2uxcOQ" xr:uid="{602F654E-B795-4B7F-BACE-91F48035FBD4}"/>
    <hyperlink ref="B622" r:id="rId1135" display="https://www.google.com/url?q=https://oj.uz/problem/view/COCI18_cover&amp;sa=D&amp;ust=1605639832270000&amp;usg=AFQjCNGIDIqQMw7ISXwb9mh_7hmPwleYPQ" xr:uid="{BF157050-B4C8-4DB1-9539-439000FB9114}"/>
    <hyperlink ref="F622" r:id="rId1136" display="https://www.google.com/url?q=https://github.com/luciocf/OI-Problems/blob/master/COCI/COCI%25202017-2018/cover.cpp&amp;sa=D&amp;ust=1605639832270000&amp;usg=AFQjCNFf2or9mL5UhEL8dXWzdPJvk3Ayuw" xr:uid="{4F3BC8F8-8D49-49DA-BB45-6BF218BB9AF8}"/>
    <hyperlink ref="B623" r:id="rId1137" display="https://www.google.com/url?q=https://oj.uz/problem/view/COCI18_dostavljac&amp;sa=D&amp;ust=1605639832271000&amp;usg=AFQjCNF_XjwKe73e5SfLIeCvodecqUpVIQ" xr:uid="{1EE2CA8F-6057-43FE-B5C1-EC31CEECE2B5}"/>
    <hyperlink ref="F623" r:id="rId1138" display="https://www.google.com/url?q=https://github.com/luciocf/OI-Problems/blob/master/COCI/COCI%25202017-2018/dostavljac.cpp&amp;sa=D&amp;ust=1605639832271000&amp;usg=AFQjCNFa3wmA82pTWd8eihBEXij_3v74EA" xr:uid="{C9875B8A-F7D6-409A-9481-C68A01142ADA}"/>
    <hyperlink ref="B624" r:id="rId1139" display="https://www.google.com/url?q=https://oj.uz/problem/view/COCI18_go&amp;sa=D&amp;ust=1605639832271000&amp;usg=AFQjCNFTgUYwnE81MLNct1CJ9fTObMyahA" xr:uid="{09145AFC-9AA0-4C24-B01D-452C6227A371}"/>
    <hyperlink ref="F624" r:id="rId1140" display="https://www.google.com/url?q=https://ideone.com/xq3cEb&amp;sa=D&amp;ust=1605639832271000&amp;usg=AFQjCNGhwwJy_b76BVtIOdMK5yAch2VTLA" xr:uid="{46348289-8CC9-409E-80D8-114376317E6E}"/>
    <hyperlink ref="B625" r:id="rId1141" display="https://www.google.com/url?q=https://oj.uz/problem/view/COCI18_karte&amp;sa=D&amp;ust=1605639832272000&amp;usg=AFQjCNH53pf2cY_p7_LribQ8q2GutFdFpg" xr:uid="{B19F229F-128A-484C-B868-713B41271E12}"/>
    <hyperlink ref="F625" r:id="rId1142" display="https://www.google.com/url?q=https://github.com/mostafa-saad/MyCompetitiveProgramming/blob/master/Olympiad/COCI/COCI-18-karte.txt&amp;sa=D&amp;ust=1605639832272000&amp;usg=AFQjCNFsRDcqtuThc10xn9TLt4pHc4xM_A" xr:uid="{F50DB7D4-65BC-46A1-88F8-ECC5DB788A39}"/>
    <hyperlink ref="B626" r:id="rId1143" display="https://www.google.com/url?q=https://oj.uz/problem/view/COCI18_kotrljanje&amp;sa=D&amp;ust=1605639832272000&amp;usg=AFQjCNEIEt8k0UOO8wLS96tN7RK3KFuw7A" xr:uid="{D5C28BE3-54F0-42A8-80BD-6729C91CBE60}"/>
    <hyperlink ref="B627" r:id="rId1144" display="https://www.google.com/url?q=https://oj.uz/problem/view/COCI18_magnus&amp;sa=D&amp;ust=1605639832273000&amp;usg=AFQjCNHOTmTpS-DtsDLj6vrglefiYFanhw" xr:uid="{E0848EA3-1F03-4216-A23B-3C4E069D77F5}"/>
    <hyperlink ref="B628" r:id="rId1145" display="https://www.google.com/url?q=https://oj.uz/problem/view/COCI18_mate&amp;sa=D&amp;ust=1605639832273000&amp;usg=AFQjCNHl0pspERzmPBgsD1hhRjuePmwINg" xr:uid="{50760F0C-2750-4D01-A653-505924AD05D0}"/>
    <hyperlink ref="B629" r:id="rId1146" display="https://www.google.com/url?q=https://oj.uz/problem/view/COCI18_nlo&amp;sa=D&amp;ust=1605639832274000&amp;usg=AFQjCNGiGlbgWCqd9jiXmPFDHtQ9_ZuG_A" xr:uid="{31CEA35B-C0B2-4314-B275-BF24C1F8BC45}"/>
    <hyperlink ref="B630" r:id="rId1147" display="https://www.google.com/url?q=https://oj.uz/problem/view/COCI18_olivander&amp;sa=D&amp;ust=1605639832274000&amp;usg=AFQjCNEFh8h6x8toNzWyH0laj2DCiy1jUw" xr:uid="{FE188063-334C-49C2-B587-4013D720B2C7}"/>
    <hyperlink ref="B631" r:id="rId1148" display="https://www.google.com/url?q=https://oj.uz/problem/view/COCI18_pictionary&amp;sa=D&amp;ust=1605639832275000&amp;usg=AFQjCNHpn3ZBC8gHMVgRLUdl8Yci1rR4Hw" xr:uid="{6F4CC9F7-90DD-4365-9661-ACED4EED8139}"/>
    <hyperlink ref="F631" r:id="rId1149" display="https://www.google.com/url?q=https://github.com/mostafa-saad/MyCompetitiveProgramming/blob/master/Olympiad/COCI/COCI-18-pictionary.txt&amp;sa=D&amp;ust=1605639832275000&amp;usg=AFQjCNE4p2PWno2Fj2JBNCV-7sjtYRosOQ" xr:uid="{5CC3DCD9-00E1-406F-AA70-6590562E5F88}"/>
    <hyperlink ref="B632" r:id="rId1150" display="https://www.google.com/url?q=https://oj.uz/problem/view/COCI18_pismo&amp;sa=D&amp;ust=1605639832275000&amp;usg=AFQjCNEc-AdflAd_r9jMnXUIEDc4NVCHLQ" xr:uid="{675121A5-97EF-435D-989A-2D0E051BAFF0}"/>
    <hyperlink ref="B633" r:id="rId1151" display="https://www.google.com/url?q=https://oj.uz/problem/view/COCI18_planinarenje&amp;sa=D&amp;ust=1605639832276000&amp;usg=AFQjCNEqpikUjkNb-8oXrqAzvxxDqmZX-A" xr:uid="{4DF2FF4A-A9B5-45F7-8B27-9B867523A963}"/>
    <hyperlink ref="F633" r:id="rId1152" display="https://www.google.com/url?q=http://blog.brucemerry.org.za/2018/01/coci-20172018-r5-analysis.html&amp;sa=D&amp;ust=1605639832276000&amp;usg=AFQjCNFTBCZzA-Hz-rkoTMOe7PfQg-QNlA" xr:uid="{ABE600A4-7E95-4218-9F4C-FCA11EF8937C}"/>
    <hyperlink ref="B634" r:id="rId1153" display="https://www.google.com/url?q=https://oj.uz/problem/view/COCI18_prakticni&amp;sa=D&amp;ust=1605639832276000&amp;usg=AFQjCNFfL7NvS3dLWcrX1MVTEyJrolmxWg" xr:uid="{617E1E7C-614A-4ED3-8A14-C221D7A1B186}"/>
    <hyperlink ref="B635" r:id="rId1154" display="https://www.google.com/url?q=https://oj.uz/problem/view/COCI18_priglavci&amp;sa=D&amp;ust=1605639832277000&amp;usg=AFQjCNEVo2Z8CrI3kVzCBKHbRHrQ6PjVrw" xr:uid="{33B22132-B1E5-4BAD-837A-42E8C9D6414A}"/>
    <hyperlink ref="F635" r:id="rId1155" display="https://www.google.com/url?q=https://github.com/farmerboy95/CompetitiveProgramming/blob/master/COCI/COCI%252018-priglavci.cpp&amp;sa=D&amp;ust=1605639832277000&amp;usg=AFQjCNFzJ0WPavLbtzvrmdlLQKC7P9bWeQ" xr:uid="{906D0ACE-CA1E-4BFF-BC79-B6466449C3ED}"/>
    <hyperlink ref="B636" r:id="rId1156" display="https://www.google.com/url?q=https://oj.uz/problem/view/COCI18_prosjek&amp;sa=D&amp;ust=1605639832277000&amp;usg=AFQjCNG9Q0hIrSiE8Nq4fdWhPuZq-_mreA" xr:uid="{17FDCEA6-C26B-4004-B669-91C4D8A86DB3}"/>
    <hyperlink ref="B637" r:id="rId1157" display="https://www.google.com/url?q=https://oj.uz/problem/view/COCI18_sajam&amp;sa=D&amp;ust=1605639832278000&amp;usg=AFQjCNFKYo6WaYfPkHNqMOmobX7ppRl0lA" xr:uid="{72F11017-126D-407E-9FEB-71402B0B6613}"/>
    <hyperlink ref="B638" r:id="rId1158" display="https://www.google.com/url?q=https://oj.uz/problem/view/COCI18_spirale&amp;sa=D&amp;ust=1605639832278000&amp;usg=AFQjCNFUSOyfNTGUWUoqySKmTG6Lpi8teg" xr:uid="{122E9687-5368-41E1-A456-94DB625620BC}"/>
    <hyperlink ref="B639" r:id="rId1159" display="https://www.google.com/url?q=https://oj.uz/problem/view/COCI18_timovi&amp;sa=D&amp;ust=1605639832279000&amp;usg=AFQjCNGmDRhBDQjZpQAp_sj0kXhLxB9v1g" xr:uid="{C1E87761-E4B0-4FBA-A524-FBA51FC7BDD3}"/>
    <hyperlink ref="B640" r:id="rId1160" display="https://www.google.com/url?q=https://oj.uz/problem/view/COCI18_vrtic&amp;sa=D&amp;ust=1605639832279000&amp;usg=AFQjCNFP8XiFilQoQi1sVeAKv5w5kI1SDA" xr:uid="{34A23D01-09ED-4850-899F-2EAF20F4280C}"/>
    <hyperlink ref="B641" r:id="rId1161" display="https://www.google.com/url?q=https://oj.uz/problem/view/COCI19_akvizna&amp;sa=D&amp;ust=1605639832281000&amp;usg=AFQjCNFlAGzsgvQ-U7ny16aKB_1zYtu23g" xr:uid="{0E45FC5D-6781-4458-A7B1-B356E2E98C5A}"/>
    <hyperlink ref="B642" r:id="rId1162" display="https://www.google.com/url?q=https://oj.uz/problem/view/COCI18_cipele&amp;sa=D&amp;ust=1605639832281000&amp;usg=AFQjCNFrQRlzj0-V2ltk59xJqCPTq2v5oQ" xr:uid="{23039C58-4450-4BE1-BE63-4117E8983141}"/>
    <hyperlink ref="B643" r:id="rId1163" display="https://www.google.com/url?q=https://oj.uz/problem/view/COCI18_deblo&amp;sa=D&amp;ust=1605639832281000&amp;usg=AFQjCNGSJSPZ5cUjrsrpLez4KF5j_u1q9g" xr:uid="{60E825D0-DBD2-492F-843E-154D7B33C86C}"/>
    <hyperlink ref="F643" r:id="rId1164" display="https://www.google.com/url?q=https://github.com/YazanZebak/CompetitiveProgramming/blob/master/Olympiad/COCI/COCI-18-DEBLO.cpp&amp;sa=D&amp;ust=1605639832282000&amp;usg=AFQjCNGkNwU7ref1jF6ja8qb10kCn6xELg" xr:uid="{502479C2-60F1-4BD7-B547-4833FD000336}"/>
    <hyperlink ref="B644" r:id="rId1165" display="https://www.google.com/url?q=https://oj.uz/problem/view/COCI19_elder&amp;sa=D&amp;ust=1605639832282000&amp;usg=AFQjCNF5iQVyLIK16z8Q9SStSRXA3GiSVw" xr:uid="{1CCF0302-2917-48CE-8829-0C022A62C58D}"/>
    <hyperlink ref="B645" r:id="rId1166" display="https://www.google.com/url?q=https://oj.uz/problem/view/COCI19_jarvis&amp;sa=D&amp;ust=1605639832282000&amp;usg=AFQjCNHaW9vcUtbakSbBxpt55Ypggqa-yQ" xr:uid="{EAF447CA-2B45-4603-9450-90E82C511C45}"/>
    <hyperlink ref="B646" r:id="rId1167" display="https://www.google.com/url?q=https://oj.uz/problem/view/COCI19_kisik&amp;sa=D&amp;ust=1605639832283000&amp;usg=AFQjCNEshZuMlRKQFItarzXlRmuiNrl2Dg" xr:uid="{C110CD1C-8918-469D-8344-7DD24FE11C01}"/>
    <hyperlink ref="B647" r:id="rId1168" display="https://www.google.com/url?q=https://oj.uz/problem/view/COCI18_kocka&amp;sa=D&amp;ust=1605639832283000&amp;usg=AFQjCNGmqGV0AT8F7VoIfWreuOZKUect6w" xr:uid="{83C9CE6A-FDD1-4C92-8613-13996A1C2E22}"/>
    <hyperlink ref="F647" r:id="rId1169" display="https://www.google.com/url?q=https://github.com/ZeyadKhattab/Competitive-Programming/blob/master/Problems/COCI%252019-kocka.java&amp;sa=D&amp;ust=1605639832283000&amp;usg=AFQjCNHxsqlpbqViowcPozGWgssdY1PUrw" xr:uid="{26E0EE37-CA7F-4608-BCD2-C400868DFC9B}"/>
    <hyperlink ref="B648" r:id="rId1170" display="https://www.google.com/url?q=https://oj.uz/problem/view/COCI19_konj&amp;sa=D&amp;ust=1605639832283000&amp;usg=AFQjCNEm3jl9iTKsUsoaQ1vAWFHLHUf_BQ" xr:uid="{3A24C72E-847D-44E6-842A-135C39693BEF}"/>
    <hyperlink ref="B649" r:id="rId1171" display="https://www.google.com/url?q=https://oj.uz/problem/view/COCI19_lun&amp;sa=D&amp;ust=1605639832284000&amp;usg=AFQjCNEHieprUCjCJJbQl1U4KJQF1Kaq4A" xr:uid="{305A485F-1407-4A5C-B012-3FC643613F9D}"/>
    <hyperlink ref="B650" r:id="rId1172" display="https://www.google.com/url?q=https://oj.uz/problem/view/COCI18_maja&amp;sa=D&amp;ust=1605639832284000&amp;usg=AFQjCNE-j_ZlRn19B9hNgcTcFCF9Xfie_w" xr:uid="{FF52A693-9883-4F65-BCA1-3F15F592BC35}"/>
    <hyperlink ref="F650" r:id="rId1173" display="https://www.google.com/url?q=https://github.com/sofhiasouza/CompetitiveProgramming/blob/master/COCI/2018-2019/Contest%2520%25232/maja.cpp&amp;sa=D&amp;ust=1605639832284000&amp;usg=AFQjCNFT_raz2b7ivKYCWSpAVeVBm5Cvpw" xr:uid="{655A85F3-C0A1-4C4C-9933-BA47F02D782B}"/>
    <hyperlink ref="B651" r:id="rId1174" display="https://www.google.com/url?q=https://oj.uz/problem/view/COCI18_nadan&amp;sa=D&amp;ust=1605639832285000&amp;usg=AFQjCNGDZBsAIk-pvXeenm7Ki5L3r3QOVw" xr:uid="{4F09A087-5FDE-40F0-B8A5-B66A39EBABFF}"/>
    <hyperlink ref="B652" r:id="rId1175" display="https://www.google.com/url?q=https://oj.uz/problem/view/COCI19_parametriziran&amp;sa=D&amp;ust=1605639832285000&amp;usg=AFQjCNFzZnbtI-8xNdfKUNBIX7hSPLxCUQ" xr:uid="{1730A507-51CB-4B5B-82CF-9BFBD523016A}"/>
    <hyperlink ref="F652" r:id="rId1176" display="https://www.google.com/url?q=https://github.com/Szawinis/CompetitiveProgramming/blob/master/Olympiad/COCI/COCI19-parametriziran.cpp&amp;sa=D&amp;ust=1605639832285000&amp;usg=AFQjCNE6B0GGNzcpl_qiRpS2ophYOywO5A" xr:uid="{744E0C67-FF92-4288-8349-FDCC02BD26BC}"/>
    <hyperlink ref="B653" r:id="rId1177" display="https://www.google.com/url?q=https://oj.uz/problem/view/COCI18_preokret&amp;sa=D&amp;ust=1605639832286000&amp;usg=AFQjCNFc1kznMBekYz7dmX2nVOXdSSGkAA" xr:uid="{C194FFE9-D4C9-451D-8DED-9BFA9A8EABC5}"/>
    <hyperlink ref="B654" r:id="rId1178" display="https://www.google.com/url?q=https://oj.uz/problem/view/COCI19_simfonija&amp;sa=D&amp;ust=1605639832286000&amp;usg=AFQjCNFeOJXBh9KxRamBTKq_nzhFrCA_7w" xr:uid="{E0907142-9121-4250-AC06-0B1E153E4D8B}"/>
    <hyperlink ref="F654" r:id="rId1179" display="https://www.google.com/url?q=https://github.com/Szawinis/CompetitiveProgramming/blob/master/Olympiad/COCI/COCI19-simfonija.cpp&amp;sa=D&amp;ust=1605639832286000&amp;usg=AFQjCNG-VTQvqbRCZX6Of44uImSeReu4mw" xr:uid="{5AE17A18-9D16-439F-8F12-341EA07A4313}"/>
    <hyperlink ref="B655" r:id="rId1180" display="https://www.google.com/url?q=https://oj.uz/problem/view/COCI19_slagalica&amp;sa=D&amp;ust=1605639832287000&amp;usg=AFQjCNGcU5WRpf0NrlKT5eA7nXOlxrWLdw" xr:uid="{32EF56BC-DE53-483A-A64C-3C96A13D2AA8}"/>
    <hyperlink ref="B656" r:id="rId1181" display="https://www.google.com/url?q=https://oj.uz/problem/view/COCI19_slicice&amp;sa=D&amp;ust=1605639832287000&amp;usg=AFQjCNHvNxWAqw9aKKNJtF75G1GToEGvUQ" xr:uid="{8A4FA93A-7D6F-41E8-8B8D-9EC576AF7065}"/>
    <hyperlink ref="F656" r:id="rId1182" display="https://www.google.com/url?q=https://github.com/CPSolutionsSzawinis/CompetitiveProgramming/blob/master/Olympiad/COCI/COCI19-slicice.cpp&amp;sa=D&amp;ust=1605639832287000&amp;usg=AFQjCNHLDxMMGk1w8-SbHd7YSSbYKMeZsQ" xr:uid="{13C0EBA2-4C8B-47E5-A537-E5D8140D3505}"/>
    <hyperlink ref="B657" r:id="rId1183" display="https://www.google.com/url?q=https://oj.uz/problem/view/COCI18_strah&amp;sa=D&amp;ust=1605639832288000&amp;usg=AFQjCNGwKR1jGIivvY-T_zhQk16_knrkjg" xr:uid="{84A2C3AB-4A9D-4810-8E10-CDF9D195D250}"/>
    <hyperlink ref="F657" r:id="rId1184" display="https://www.google.com/url?q=https://github.com/Szawinis/CompetitiveProgramming/blob/master/Olympiad/COCI/COCI18-strah.cpp&amp;sa=D&amp;ust=1605639832288000&amp;usg=AFQjCNG6eURKF0tMMG357WOqYL-FRsYHsQ" xr:uid="{5D96C818-0F88-44D6-A6C4-F5C1D60ADCEB}"/>
    <hyperlink ref="B658" r:id="rId1185" display="https://www.google.com/url?q=https://oj.uz/problem/view/COCI18_suncanje&amp;sa=D&amp;ust=1605639832288000&amp;usg=AFQjCNHb5EGobPexKMxs2S2zJeAbf9qcnA" xr:uid="{6827AB50-1F46-4726-B366-D1AB5169DBBC}"/>
    <hyperlink ref="F658" r:id="rId1186" display="https://www.google.com/url?q=https://github.com/Szawinis/CompetitiveProgramming/blob/master/Olympiad/COCI/COCI18-suncanje.cpp&amp;sa=D&amp;ust=1605639832288000&amp;usg=AFQjCNFc9qjpJw5JHYgU6UqWXqJuudF0CA" xr:uid="{A1367DB7-9D83-4D58-A7F4-A306A8141EC9}"/>
    <hyperlink ref="B659" r:id="rId1187" display="https://www.google.com/url?q=https://oj.uz/problem/view/COCI18_teoreticar&amp;sa=D&amp;ust=1605639832289000&amp;usg=AFQjCNGJ62f-HQkvF4UrapOJi7fE-BSCCQ" xr:uid="{74E5F874-95E4-4EC9-9CEC-88F8055D8298}"/>
    <hyperlink ref="B660" r:id="rId1188" display="https://www.google.com/url?q=https://oj.uz/problem/view/COCI19_titlovi&amp;sa=D&amp;ust=1605639832289000&amp;usg=AFQjCNFRvf9IeiXIZce49-13eoS33eDMBg" xr:uid="{C80DB17D-6EFD-49AF-8C2F-C355623FC64D}"/>
    <hyperlink ref="B661" r:id="rId1189" display="https://www.google.com/url?q=https://oj.uz/problem/view/COCI19_transport&amp;sa=D&amp;ust=1605639832290000&amp;usg=AFQjCNFlDdwOdM0WDlQkIDdHGDF813DF2g" xr:uid="{4DD24319-F9D2-4ECF-B5ED-418DF4CF5722}"/>
    <hyperlink ref="F661" r:id="rId1190" display="https://www.google.com/url?q=https://github.com/mostafa-saad/MyCompetitiveProgramming/blob/master/Olympiad/COCI/COCI-19-transport.txt&amp;sa=D&amp;ust=1605639832291000&amp;usg=AFQjCNHlvuNisLTMxQTkGthZdRsIErWAtA" xr:uid="{E3CCC775-C86E-401A-A267-1B26B8819830}"/>
    <hyperlink ref="B662" r:id="rId1191" display="https://www.google.com/url?q=https://oj.uz/problem/view/COCI19_wand&amp;sa=D&amp;ust=1605639832291000&amp;usg=AFQjCNGGAK-XZf4Kf-eHLKVhPfFBsYZ-6w" xr:uid="{0AD2D029-76CA-47CD-9C57-FC559400BAE9}"/>
    <hyperlink ref="B663" r:id="rId1192" display="https://www.google.com/url?q=https://oj.uz/problem/view/COCI18_zamjena&amp;sa=D&amp;ust=1605639832291000&amp;usg=AFQjCNE8FLc2_y3p5ZUiw0LVa6gwt32y0Q" xr:uid="{A936EE35-C9A5-43D2-8C52-1DB3B8902361}"/>
    <hyperlink ref="F666" r:id="rId1193" display="https://www.google.com/url?q=https://github.com/dolphingarlic/CompetitiveProgramming/blob/master/COI/COCI%252020-emacs.cpp&amp;sa=D&amp;ust=1605639832293000&amp;usg=AFQjCNFOqUqcuASV7MBRD5sAp5ULi5bo8w" xr:uid="{7029E626-6CC1-4137-8C44-E3A3C3612842}"/>
    <hyperlink ref="F670" r:id="rId1194" display="https://www.google.com/url?q=https://github.com/dolphingarlic/CompetitiveProgramming/blob/master/COI/COCI%252020-politicari.cpp&amp;sa=D&amp;ust=1605639832294000&amp;usg=AFQjCNHA1dDVxki0VPL0INXjxPgUAn3emg" xr:uid="{3DF1C6A3-3411-4737-935C-9A3BEFC8FF33}"/>
    <hyperlink ref="F671" r:id="rId1195" display="https://www.google.com/url?q=https://github.com/dolphingarlic/CompetitiveProgramming/blob/master/COI/COCI%252020-putovanje.cpp&amp;sa=D&amp;ust=1605639832295000&amp;usg=AFQjCNFMvqB3jiZRHQ5Cf5zWefraiPnLxA" xr:uid="{BA72ED4B-27BF-4E98-BFB8-83D7C30B6F72}"/>
    <hyperlink ref="F675" r:id="rId1196" display="https://www.google.com/url?q=https://github.com/dolphingarlic/CompetitiveProgramming/blob/master/COI/COCI%252020-zapina.cpp&amp;sa=D&amp;ust=1605639832297000&amp;usg=AFQjCNGHfTyCMoSwhKphyqbsyeCFfMz2ug" xr:uid="{A13263A0-5FCE-4646-A8EC-0BCE87FBFC30}"/>
    <hyperlink ref="B676" r:id="rId1197" display="https://www.google.com/url?q=https://dmoj.ca/problem/coi06p1&amp;sa=D&amp;ust=1605639832297000&amp;usg=AFQjCNFiDxeMsP058sIPdIKoorOlHo9WRw" xr:uid="{92710A56-4E1B-45C4-BDC0-C6908D8CBDC3}"/>
    <hyperlink ref="F676" r:id="rId1198" display="https://www.google.com/url?q=https://github.com/mostafa-saad/MyCompetitiveProgramming/blob/master/Olympiad/COI/COI-06-Patrik.txt&amp;sa=D&amp;ust=1605639832297000&amp;usg=AFQjCNGHYfRUGP5_8C0afRvZUhKMP8aGWA" xr:uid="{FC356B74-80F3-4A24-908E-1955F7FDBBD5}"/>
    <hyperlink ref="B677" r:id="rId1199" display="https://www.google.com/url?q=https://dmoj.ca/problem/coi06p2&amp;sa=D&amp;ust=1605639832298000&amp;usg=AFQjCNFQK6FbEfzz-_8sIQ4kUSWO1fX3hQ" xr:uid="{4739B8EB-9B6B-4173-9AEA-53F1B509301F}"/>
    <hyperlink ref="F677" r:id="rId1200" display="https://www.google.com/url?q=https://github.com/timpostuvan/CompetitiveProgramming/blob/master/Olympiad/COI/Policija2006.cpp&amp;sa=D&amp;ust=1605639832298000&amp;usg=AFQjCNG-ShlmzAWQyfUg3VvAkixAeAVePA" xr:uid="{0389DC10-1F5F-4EDA-B99A-D3D0774396AA}"/>
    <hyperlink ref="B678" r:id="rId1201" display="https://www.google.com/url?q=https://dmoj.ca/problem/coi06p3&amp;sa=D&amp;ust=1605639832298000&amp;usg=AFQjCNEngzw-nsek1BJmQHIPmPOEhakpSw" xr:uid="{FA098DE8-76C2-45E5-B1F4-EADD06F68C9D}"/>
    <hyperlink ref="F678" r:id="rId1202" display="https://www.google.com/url?q=https://github.com/mostafa-saad/MyCompetitiveProgramming/tree/master/Olympiad/COCI/official/2007/olympiad_solutions&amp;sa=D&amp;ust=1605639832298000&amp;usg=AFQjCNGCzl6Xz0cM3lbnyQXYx02Hq1oeEQ" xr:uid="{9D1D92F0-EB7B-415E-BF9A-B792D65DEA69}"/>
    <hyperlink ref="B679" r:id="rId1203" display="https://www.google.com/url?q=https://wcipeg.com/problem/coi07p1&amp;sa=D&amp;ust=1605639832299000&amp;usg=AFQjCNFgRFuKUy0lEZfqOalhfa0f5Q-0LQ" xr:uid="{4DE956D1-EA86-43F4-BA68-07B983676F11}"/>
    <hyperlink ref="F679" r:id="rId1204" display="https://www.google.com/url?q=https://github.com/mostafa-saad/MyCompetitiveProgramming/tree/master/Olympiad/COCI/official/2008/olympiad_solutions&amp;sa=D&amp;ust=1605639832299000&amp;usg=AFQjCNHdeLZDIPhqC7pqEiBXn2--Pbc_rQ" xr:uid="{226EC17E-D274-4141-B835-4CA801494C62}"/>
    <hyperlink ref="B680" r:id="rId1205" display="https://www.google.com/url?q=https://wcipeg.com/problem/coi07p2&amp;sa=D&amp;ust=1605639832299000&amp;usg=AFQjCNHcnOXW_Y4TZfjfPlVWf6tbyVULEw" xr:uid="{9C58B8B1-5D44-4CF4-BDEC-1438DDAF26DB}"/>
    <hyperlink ref="F680" r:id="rId1206" display="https://www.google.com/url?q=https://github.com/mostafa-saad/MyCompetitiveProgramming/blob/master/Olympiad/COI/COI_07-Kolekcija.txt&amp;sa=D&amp;ust=1605639832300000&amp;usg=AFQjCNHd3oysPXZ-NChQeqGZDLxMdl53pg" xr:uid="{A60E53B8-7F56-49FA-89E9-EEC2A9E898CE}"/>
    <hyperlink ref="B681" r:id="rId1207" display="https://www.google.com/url?q=https://wcipeg.com/problem/coi07p3&amp;sa=D&amp;ust=1605639832300000&amp;usg=AFQjCNFZA57RgmF1jc8rboY356Qvuo3F2g" xr:uid="{AFDB45D4-392A-4FA7-892E-9634AC63BC76}"/>
    <hyperlink ref="F681" r:id="rId1208" display="https://www.google.com/url?q=https://github.com/mostafa-saad/MyCompetitiveProgramming/blob/master/Olympiad/COI/COI-07-Tamnica.txt&amp;sa=D&amp;ust=1605639832300000&amp;usg=AFQjCNFvkUTG3rpCAaiqcLPw9lFZwk1ydQ" xr:uid="{AA9588BC-A506-4A62-944D-6566E9AD581E}"/>
    <hyperlink ref="B682" r:id="rId1209" display="https://www.google.com/url?q=https://wcipeg.com/problem/coi07p4&amp;sa=D&amp;ust=1605639832301000&amp;usg=AFQjCNG_G9CMMfGCTd7OG1o-dSXLvXoeFA" xr:uid="{ED6F4884-243B-462B-B6BF-D95F2D2B7DCF}"/>
    <hyperlink ref="F682" r:id="rId1210" display="https://www.google.com/url?q=https://github.com/mostafa-saad/MyCompetitiveProgramming/blob/master/Olympiad/COI/COI-07-Umnozak.txt&amp;sa=D&amp;ust=1605639832301000&amp;usg=AFQjCNGkelVoA5Vlk4B0eP7KZ5LoPiKWIg" xr:uid="{3D28A76F-B823-41D6-B5F9-2C2BC602C359}"/>
    <hyperlink ref="B683" r:id="rId1211" display="https://www.google.com/url?q=https://wcipeg.com/problem/coci087p3&amp;sa=D&amp;ust=1605639832301000&amp;usg=AFQjCNEZjTdmI41zihR7uz097VE4hHtO5A" xr:uid="{AB2ECAED-E877-43E1-8F46-0B7D7533F9C5}"/>
    <hyperlink ref="F683" r:id="rId1212" display="https://www.google.com/url?q=https://github.com/mostafa-saad/MyCompetitiveProgramming/blob/master/Olympiad/COCI/official/2009/regional_solutions&amp;sa=D&amp;ust=1605639832302000&amp;usg=AFQjCNEZqeBC1Em5RTDnFFkFRHWGOfGd1g" xr:uid="{FA6BD8F2-E1BE-4773-AF3C-2EE8D8D4BDCA}"/>
    <hyperlink ref="B684" r:id="rId1213" display="https://www.google.com/url?q=https://wcipeg.com/problem/coci087p6&amp;sa=D&amp;ust=1605639832303000&amp;usg=AFQjCNHRmuPRqFuXGb0Wezxxq8G-yKMpUA" xr:uid="{B235DAC3-F774-4777-9F87-0C71C7779F79}"/>
    <hyperlink ref="F684" r:id="rId1214" display="https://www.google.com/url?q=https://github.com/mostafa-saad/MyCompetitiveProgramming/blob/master/Olympiad/COI/COI-08-Cvjetici.txt&amp;sa=D&amp;ust=1605639832303000&amp;usg=AFQjCNHntH63uxc7a5_m2BZBbxUbEzf9pg" xr:uid="{B4D37627-AEEF-465F-93BD-285E91A7350F}"/>
    <hyperlink ref="B685" r:id="rId1215" display="https://www.google.com/url?q=https://wcipeg.com/problem/coi08p1&amp;sa=D&amp;ust=1605639832303000&amp;usg=AFQjCNGLhd8LMcdqCFa85I7E9xTgvohr3A" xr:uid="{D021290B-206A-4951-A5B6-05ECABA68991}"/>
    <hyperlink ref="F685" r:id="rId1216" display="https://www.google.com/url?q=https://github.com/mostafa-saad/MyCompetitiveProgramming/blob/master/Olympiad/COI/COI-08-Izbori.txt&amp;sa=D&amp;ust=1605639832303000&amp;usg=AFQjCNErV_-n9CHaqBtg7ZHs5yAlvSOfag" xr:uid="{FBF95738-9192-4332-BBDE-C0A745BE56E7}"/>
    <hyperlink ref="B686" r:id="rId1217" display="https://www.google.com/url?q=https://wcipeg.com/problem/coci087p2&amp;sa=D&amp;ust=1605639832304000&amp;usg=AFQjCNFQ77S1_sQ6JRCOwg0BLI2MJFkgYw" xr:uid="{24CDE617-F559-4917-96FE-2A061571AFD5}"/>
    <hyperlink ref="F686" r:id="rId1218" display="https://www.google.com/url?q=https://github.com/mostafa-saad/MyCompetitiveProgramming/blob/master/Olympiad/COCI/official/2009/regional_solutions&amp;sa=D&amp;ust=1605639832304000&amp;usg=AFQjCNEMqE0YaVKYEa5LvB6JUyQedQAMZQ" xr:uid="{61B62AF0-655F-4B8D-879C-4958867367E2}"/>
    <hyperlink ref="B687" r:id="rId1219" display="https://www.google.com/url?q=https://wcipeg.com/problem/coci087p1&amp;sa=D&amp;ust=1605639832304000&amp;usg=AFQjCNGHubFFecz4wBVDlC79nwtdIC0JVg" xr:uid="{AECBE89F-25BE-4F5C-A472-7FE4C520266F}"/>
    <hyperlink ref="F687" r:id="rId1220" display="https://www.google.com/url?q=https://github.com/mostafa-saad/MyCompetitiveProgramming/blob/master/Olympiad/COCI/official/2009/regional_solutions&amp;sa=D&amp;ust=1605639832305000&amp;usg=AFQjCNEgAPcECGXRnI8a3dCisF678Hq1Hw" xr:uid="{C7FCF714-D02C-43E6-A91F-5D7F94DCD3ED}"/>
    <hyperlink ref="B688" r:id="rId1221" display="https://www.google.com/url?q=https://wcipeg.com/problem/coi08p2&amp;sa=D&amp;ust=1605639832305000&amp;usg=AFQjCNHMxzeVVTIanL8cE_NjLQhefQO_cg" xr:uid="{35EF32CB-4F8D-4F09-AD6D-C7F8CF7EBEF8}"/>
    <hyperlink ref="F688" r:id="rId1222" display="https://www.google.com/url?q=https://github.com/mostafa-saad/MyCompetitiveProgramming/blob/master/Olympiad/COI/COI-08-Otoci.txt&amp;sa=D&amp;ust=1605639832305000&amp;usg=AFQjCNGCm1cRJXgJD0L3GLJKhXyabXpxGQ" xr:uid="{D1988F72-1F05-4C41-83DF-710B7BB94C40}"/>
    <hyperlink ref="B689" r:id="rId1223" display="https://www.google.com/url?q=https://wcipeg.com/problem/coi08p3&amp;sa=D&amp;ust=1605639832306000&amp;usg=AFQjCNGGVZRO0iyRep3Fc_-u-QU-jIEPTg" xr:uid="{6840A1D9-60EF-4CC0-AA6C-2930DFAD6569}"/>
    <hyperlink ref="F689" r:id="rId1224" display="https://www.google.com/url?q=https://github.com/mostafa-saad/MyCompetitiveProgramming/tree/master/Olympiad/COCI/official/2009/olympiad_solutions&amp;sa=D&amp;ust=1605639832306000&amp;usg=AFQjCNEx4pwmefBjB5JriWmEGjKHTUK3Fw" xr:uid="{4A4F2C74-8F73-4E00-BACD-72A8733C7514}"/>
    <hyperlink ref="B690" r:id="rId1225" display="https://www.google.com/url?q=https://wcipeg.com/problem/coci087p5&amp;sa=D&amp;ust=1605639832306000&amp;usg=AFQjCNH9Y9u-YulhGzRC3Z0wxcJflvF5ng" xr:uid="{591DD41F-BC68-479D-A4FE-E08DDE14F60F}"/>
    <hyperlink ref="F690" r:id="rId1226" display="https://www.google.com/url?q=https://github.com/mostafa-saad/MyCompetitiveProgramming/blob/master/Olympiad/COCI/official/2009/regional_solutions&amp;sa=D&amp;ust=1605639832306000&amp;usg=AFQjCNEbVnRfAFDzHk7ZoFO5cygyFAJK4A" xr:uid="{3780A8D7-A6C2-4762-BD04-45707E683ECD}"/>
    <hyperlink ref="B691" r:id="rId1227" display="https://www.google.com/url?q=https://wcipeg.com/problem/coci087p4&amp;sa=D&amp;ust=1605639832307000&amp;usg=AFQjCNE0SppgMJyE7S22miU56AUH2qhfNA" xr:uid="{E214BC3E-B3EA-436F-9607-7C18D06645E6}"/>
    <hyperlink ref="F691" r:id="rId1228" display="https://www.google.com/url?q=https://github.com/mostafa-saad/MyCompetitiveProgramming/blob/master/Olympiad/COCI/official/2009/regional_solutions&amp;sa=D&amp;ust=1605639832307000&amp;usg=AFQjCNEbNIGferWW_3IJ--A2SjoVfEHHmQ" xr:uid="{266F46E3-820E-420A-8CEA-7D7F19DF54D9}"/>
    <hyperlink ref="B692" r:id="rId1229" display="https://www.google.com/url?q=https://wcipeg.com/problem/coi09p1&amp;sa=D&amp;ust=1605639832307000&amp;usg=AFQjCNEp1d-Uqmhi0_Jgl5xBTdZFhuu7bA" xr:uid="{193EC965-5928-44F8-ABC0-CBAC69B1B2A2}"/>
    <hyperlink ref="F692" r:id="rId1230" display="https://www.google.com/url?q=https://github.com/mostafa-saad/MyCompetitiveProgramming/blob/master/COI/official/2010&amp;sa=D&amp;ust=1605639832307000&amp;usg=AFQjCNHGC1q2mwJW-uQ8O-zcznY5xIV4gA" xr:uid="{3C9C1DC7-0E80-4183-A079-CFC6999EA810}"/>
    <hyperlink ref="B693" r:id="rId1231" display="https://www.google.com/url?q=https://wcipeg.com/problem/coi09p2&amp;sa=D&amp;ust=1605639832308000&amp;usg=AFQjCNEgFTD1HEUbDelperie6woXXCL5BQ" xr:uid="{7A48C484-0396-4586-82D3-EBC671A0FDF2}"/>
    <hyperlink ref="F693" r:id="rId1232" display="https://www.google.com/url?q=https://github.com/mostafa-saad/MyCompetitiveProgramming/blob/master/Olympiad/COI/COI-09-Kolo.txt&amp;sa=D&amp;ust=1605639832308000&amp;usg=AFQjCNGt6-5s8Ca4fyU8d20Z9wAYhBifcg" xr:uid="{D8A1D05A-EC54-458E-A3A4-7E64B4EA9A65}"/>
    <hyperlink ref="B694" r:id="rId1233" display="https://www.google.com/url?q=https://wcipeg.com/problem/coi09p3&amp;sa=D&amp;ust=1605639832308000&amp;usg=AFQjCNEKQBhjJtO_wYZK2OQeTSXqMBjqpg" xr:uid="{C39A77D7-D312-48F0-97F9-A1773D30D46D}"/>
    <hyperlink ref="F694" r:id="rId1234" display="https://www.google.com/url?q=https://github.com/mostafa-saad/MyCompetitiveProgramming/blob/master/Olympiad/COI/COI-09-Loza.txt&amp;sa=D&amp;ust=1605639832309000&amp;usg=AFQjCNE2dfN3PafxnIz4Z_Z7nG7_HtjJbg" xr:uid="{7A4C26AF-351D-43DD-A657-BA6B669E2A93}"/>
    <hyperlink ref="B695" r:id="rId1235" display="https://www.google.com/url?q=https://dunjudge.me/analysis/problems/543/&amp;sa=D&amp;ust=1605639832309000&amp;usg=AFQjCNFxwDwSBX0YEHfILxt55esVmn3JgA" xr:uid="{C52ADAD7-F876-481C-893A-411EABA0D126}"/>
    <hyperlink ref="F695" r:id="rId1236" display="https://www.google.com/url?q=https://github.com/mostafa-saad/MyCompetitiveProgramming/blob/master/Olympiad/COI/COI-10-kamion.txt&amp;sa=D&amp;ust=1605639832309000&amp;usg=AFQjCNEQUYEG-Ms1sFlb9eZn60h2-x6jJQ" xr:uid="{0B05BA73-DF97-4927-8971-0F605F2AC80D}"/>
    <hyperlink ref="B696" r:id="rId1237" display="https://www.google.com/url?q=https://oj.uz/problem/view/COI14_css&amp;sa=D&amp;ust=1605639832309000&amp;usg=AFQjCNHuRMGY4OdcE_NcZsIelnRI_cUuLQ" xr:uid="{164846FE-04B7-4CFA-8F8A-3331CD844482}"/>
    <hyperlink ref="B697" r:id="rId1238" display="https://www.google.com/url?q=https://oj.uz/problem/view/COI14_grad&amp;sa=D&amp;ust=1605639832310000&amp;usg=AFQjCNFkrHC-omLcjl-dxBv6kSeqKG6ung" xr:uid="{46797D55-2D23-4256-AF7F-DE74961AEFF4}"/>
    <hyperlink ref="F697" r:id="rId1239" display="https://www.google.com/url?q=https://github.com/mostafa-saad/MyCompetitiveProgramming/tree/master/Olympiad/COI/official/2014&amp;sa=D&amp;ust=1605639832310000&amp;usg=AFQjCNGpUsduk3vKd17cHhkwbWr5xuIeOw" xr:uid="{50DCC7A2-9496-4F92-AE3E-2B308EB0377E}"/>
    <hyperlink ref="B698" r:id="rId1240" display="https://www.google.com/url?q=https://oj.uz/problem/view/COI14_gta&amp;sa=D&amp;ust=1605639832310000&amp;usg=AFQjCNFNrP36FDQ9Zawawz1YwDhOnzyFBA" xr:uid="{2E949877-DDB3-4A04-8194-05200783D2D5}"/>
    <hyperlink ref="F698" r:id="rId1241" display="https://www.google.com/url?q=https://github.com/mostafa-saad/MyCompetitiveProgramming/blob/master/Olympiad/COI/COI-14-gta.txt&amp;sa=D&amp;ust=1605639832311000&amp;usg=AFQjCNH7N3STFx7QzI2_fvdA3Fqb-CCEFg" xr:uid="{36A09F04-2477-4299-9C73-F6B72DC835EF}"/>
    <hyperlink ref="B699" r:id="rId1242" display="https://www.google.com/url?q=https://oj.uz/problem/view/COI14_kosta&amp;sa=D&amp;ust=1605639832311000&amp;usg=AFQjCNEgeTgeZnocw0d7S-UQ_Y2lv6dQKA" xr:uid="{1D294D42-96EA-4292-B3D4-118C0A8E6320}"/>
    <hyperlink ref="F699" r:id="rId1243" display="https://www.google.com/url?q=https://github.com/mostafa-saad/MyCompetitiveProgramming/tree/master/Olympiad/COI/official/2014&amp;sa=D&amp;ust=1605639832311000&amp;usg=AFQjCNHjq5UjsdzUJFJcksDsu709piHuew" xr:uid="{630D970B-EFCC-4119-B62E-9D1DB4640AA3}"/>
    <hyperlink ref="B700" r:id="rId1244" display="https://www.google.com/url?q=https://oj.uz/problem/view/COI14_krave&amp;sa=D&amp;ust=1605639832312000&amp;usg=AFQjCNHwaJo-JnSlMSHBK3YhB4YiDE67pA" xr:uid="{23E21859-D0D9-4795-BC80-E0A4A36B708B}"/>
    <hyperlink ref="F700" r:id="rId1245" display="https://www.google.com/url?q=https://github.com/mostafa-saad/MyCompetitiveProgramming/blob/master/Olympiad/COI/COI-14-krave.txt&amp;sa=D&amp;ust=1605639832312000&amp;usg=AFQjCNGK5alBqeiRN1fjGDgYkD2vaQlHmQ" xr:uid="{98E0C35E-EA6D-4C66-9DE0-70093680FB00}"/>
    <hyperlink ref="B701" r:id="rId1246" display="https://www.google.com/url?q=https://oj.uz/problem/view/COI14_mostovi&amp;sa=D&amp;ust=1605639832313000&amp;usg=AFQjCNF2qB00hPdem8Uzi2gVktTVaHGF0Q" xr:uid="{7ACBF4DC-144F-4B25-85BD-8A3008121DAB}"/>
    <hyperlink ref="F701" r:id="rId1247" display="https://www.google.com/url?q=https://github.com/mostafa-saad/MyCompetitiveProgramming/tree/master/Olympiad/COI/official/2014&amp;sa=D&amp;ust=1605639832313000&amp;usg=AFQjCNHaipJ_NblrNOGD_tbids9qcPy-NQ" xr:uid="{A266CBF2-8F6D-4440-BC23-86D7968FC234}"/>
    <hyperlink ref="B702" r:id="rId1248" display="https://www.google.com/url?q=https://oj.uz/problem/view/COI14_nizovi&amp;sa=D&amp;ust=1605639832313000&amp;usg=AFQjCNFp_9iBbJH37-uUZ08lHxWJpqvEfw" xr:uid="{3AD9CDDC-4C91-4520-8685-6FEF432E5DA9}"/>
    <hyperlink ref="F702" r:id="rId1249" display="https://www.google.com/url?q=https://github.com/mostafa-saad/MyCompetitiveProgramming/tree/master/Olympiad/COI/official/2014&amp;sa=D&amp;ust=1605639832313000&amp;usg=AFQjCNHaipJ_NblrNOGD_tbids9qcPy-NQ" xr:uid="{F29DA152-491D-445B-BB4A-9896ABD5372A}"/>
    <hyperlink ref="B703" r:id="rId1250" display="https://www.google.com/url?q=https://oj.uz/problem/view/COI15_cvenk&amp;sa=D&amp;ust=1605639832313000&amp;usg=AFQjCNEHQkdAAWJbgjwDZqPSQ5DrQL5ocA" xr:uid="{F07F2458-9D7C-4B95-B4B5-BDEF00BC9D96}"/>
    <hyperlink ref="F703" r:id="rId1251" display="https://www.google.com/url?q=https://github.com/mostafa-saad/MyCompetitiveProgramming/blob/master/Olympiad/COI/COI-15-cvenk.txt&amp;sa=D&amp;ust=1605639832314000&amp;usg=AFQjCNGhWG4K2-sqxOHKfIWYJYEb3Lx3zw" xr:uid="{DE879889-A69F-4049-A2E8-AB5DA588783E}"/>
    <hyperlink ref="B704" r:id="rId1252" display="https://www.google.com/url?q=https://oj.uz/problem/view/COI15_dostava&amp;sa=D&amp;ust=1605639832314000&amp;usg=AFQjCNFpqLT3oj4JKejgWRY7RxurvJV7Vg" xr:uid="{B8B2C5F4-AF6D-4742-B619-7496102DACB6}"/>
    <hyperlink ref="F704" r:id="rId1253" display="https://www.google.com/url?q=https://github.com/mostafa-saad/MyCompetitiveProgramming/tree/master/Olympiad/COI/official/2015&amp;sa=D&amp;ust=1605639832314000&amp;usg=AFQjCNFcFPcl_xsFkwUJhFuPH57PNcG5vA" xr:uid="{C8D86588-C448-4C9D-90EC-3D78CB00FFC9}"/>
    <hyperlink ref="B705" r:id="rId1254" display="https://www.google.com/url?q=https://oj.uz/problem/view/COI15_kovanice&amp;sa=D&amp;ust=1605639832314000&amp;usg=AFQjCNGQyPJYiiS_8xrqiP4LG3vnjQkb2A" xr:uid="{4CF6D9E6-310C-4FD0-9749-D6FF64902FC9}"/>
    <hyperlink ref="F705" r:id="rId1255" display="https://www.google.com/url?q=https://github.com/tmwilliamlin168/CompetitiveProgramming/blob/master/COI/15-Koviance.cpp&amp;sa=D&amp;ust=1605639832314000&amp;usg=AFQjCNFub6H-B68JD9OKKDt9MST5f2jl9Q" xr:uid="{58E32AFF-9301-459F-B26A-180F4A67A2B2}"/>
    <hyperlink ref="B706" r:id="rId1256" display="https://www.google.com/url?q=https://oj.uz/problem/view/COI15_nafta&amp;sa=D&amp;ust=1605639832315000&amp;usg=AFQjCNFR2LWT4OZyk3pN_C52eBSaHtbuCw" xr:uid="{356F5485-B6F4-46D8-A292-8C3B054F1171}"/>
    <hyperlink ref="F706" r:id="rId1257" display="https://www.google.com/url?q=https://github.com/mostafa-saad/MyCompetitiveProgramming/blob/master/Olympiad/COI/COI-15-nafta.txt&amp;sa=D&amp;ust=1605639832315000&amp;usg=AFQjCNEnYYoMuheMmTvpWZp4EeFspk_aVA" xr:uid="{F5B1A6BF-D5BB-4273-AE3E-6D4139CCEDB6}"/>
    <hyperlink ref="B707" r:id="rId1258" display="https://www.google.com/url?q=https://oj.uz/problem/view/COI15_ogledala&amp;sa=D&amp;ust=1605639832315000&amp;usg=AFQjCNH3FFE1ONls_h72jjYhu1uBwlKxpw" xr:uid="{AF3AA170-F2AE-4110-920E-0A094AAE8574}"/>
    <hyperlink ref="F707" r:id="rId1259" display="https://www.google.com/url?q=https://github.com/mostafa-saad/MyCompetitiveProgramming/tree/master/Olympiad/COI/official/2015&amp;sa=D&amp;ust=1605639832315000&amp;usg=AFQjCNHXqKTN3OT7RMeRwFntaUPR21QQMQ" xr:uid="{65C40849-BC2D-4832-9D44-4CC4BD4173C1}"/>
    <hyperlink ref="B708" r:id="rId1260" display="https://www.google.com/url?q=https://oj.uz/problem/view/COI15_ruka&amp;sa=D&amp;ust=1605639832315000&amp;usg=AFQjCNF5FSp4LLcg3kLxzJOIwxOCIqnK9A" xr:uid="{2AEF6D2C-CEB5-46E8-92D6-7D7F90E00B60}"/>
    <hyperlink ref="F708" r:id="rId1261" display="https://www.google.com/url?q=https://github.com/mostafa-saad/MyCompetitiveProgramming/blob/master/Olympiad/COI/COI-15-ruka.txt&amp;sa=D&amp;ust=1605639832315000&amp;usg=AFQjCNEf2AkRkCEynp6vBuU77IfDTai4HQ" xr:uid="{A06EBF5F-C5EC-4308-833A-DB16A082183A}"/>
    <hyperlink ref="B709" r:id="rId1262" display="https://www.google.com/url?q=https://oj.uz/problem/view/COI15_sir&amp;sa=D&amp;ust=1605639832316000&amp;usg=AFQjCNG-Mx3tyqDPFiuhWkwIOUB6gT6b3Q" xr:uid="{5DCD9E67-0505-46FC-8DB9-207DECE1AA15}"/>
    <hyperlink ref="F709" r:id="rId1263" display="https://www.google.com/url?q=https://github.com/mostafa-saad/MyCompetitiveProgramming/tree/master/Olympiad/COI/official/2015&amp;sa=D&amp;ust=1605639832316000&amp;usg=AFQjCNEuWF0U_JrT2cvnAfa1SkPmEmyJpg" xr:uid="{25E3B78E-6121-44BF-AFD9-6D3800E52DBD}"/>
    <hyperlink ref="B710" r:id="rId1264" display="https://www.google.com/url?q=https://oj.uz/problem/view/COI15_zarulje&amp;sa=D&amp;ust=1605639832316000&amp;usg=AFQjCNH0-UwTLUlOyruhvuWU_7TzRZ_I-Q" xr:uid="{9D8D0F44-33CF-4BF7-9DBA-7F6E4B714EAF}"/>
    <hyperlink ref="F710" r:id="rId1265" display="https://www.google.com/url?q=https://github.com/mostafa-saad/MyCompetitiveProgramming/blob/master/Olympiad/COI/COI-15-zarulje.txt&amp;sa=D&amp;ust=1605639832316000&amp;usg=AFQjCNHgn3SQGIjRt2te6tIGUJQC0OdOMw" xr:uid="{559EBF88-B514-4990-BA2C-2BBA3811EFE8}"/>
    <hyperlink ref="B711" r:id="rId1266" display="https://www.google.com/url?q=https://oj.uz/problem/view/COI16_dijament&amp;sa=D&amp;ust=1605639832316000&amp;usg=AFQjCNGA1tfZ5b_kR-o4ZK2vhCRTcusWkw" xr:uid="{FD7EE2E9-10A4-4347-86B2-DE97E2113D3D}"/>
    <hyperlink ref="F711" r:id="rId1267" display="https://www.google.com/url?q=https://github.com/mostafa-saad/MyCompetitiveProgramming/tree/master/Olympiad/COI/official/2016&amp;sa=D&amp;ust=1605639832317000&amp;usg=AFQjCNE7boGuVctUy91HujaK7S0Fcogw1w" xr:uid="{6BC796F3-5F97-4D07-91B9-32E783C5073C}"/>
    <hyperlink ref="B712" r:id="rId1268" display="https://www.google.com/url?q=https://oj.uz/problem/view/COI16_palinilap&amp;sa=D&amp;ust=1605639832317000&amp;usg=AFQjCNG2i6lhp59vGYj2gyquiuVkTrp31A" xr:uid="{CC2380FB-0840-439E-A3D4-8D397CC3DF0E}"/>
    <hyperlink ref="F712" r:id="rId1269" display="https://www.google.com/url?q=https://github.com/mostafa-saad/MyCompetitiveProgramming/blob/master/Olympiad/COI/COI-16-palinilap.txt&amp;sa=D&amp;ust=1605639832317000&amp;usg=AFQjCNHfjcgY61BODF5E6h2xIPwNK8bcBg" xr:uid="{561F4A71-6F72-40B3-9B27-CF45FA100A02}"/>
    <hyperlink ref="B713" r:id="rId1270" display="https://www.google.com/url?q=https://oj.uz/problem/view/COI16_relay&amp;sa=D&amp;ust=1605639832317000&amp;usg=AFQjCNHpzzzHIC_BpWTVGYh0jszeaEIUyA" xr:uid="{C8F7D28A-9C94-4EF5-B4CC-316BB9CD9AC8}"/>
    <hyperlink ref="F713" r:id="rId1271" display="https://www.google.com/url?q=https://github.com/mostafa-saad/MyCompetitiveProgramming/blob/master/Olympiad/COI/COI-16-relay.txt&amp;sa=D&amp;ust=1605639832317000&amp;usg=AFQjCNHYRx4DXdaO2wEj3D3-LLpHXNSRDw" xr:uid="{79A5911F-3831-433E-B037-C7224CC9D756}"/>
    <hyperlink ref="B714" r:id="rId1272" display="https://www.google.com/url?q=https://oj.uz/problem/view/COI16_torrent&amp;sa=D&amp;ust=1605639832318000&amp;usg=AFQjCNHvEd6nkMxZwxXs2gR93XQZzSHwWg" xr:uid="{70E8B30C-8CD6-4AF0-BF2E-E0B486256C98}"/>
    <hyperlink ref="F714" r:id="rId1273" display="https://www.google.com/url?q=https://github.com/mostafa-saad/MyCompetitiveProgramming/blob/master/Olympiad/COI/COI-16-torrent.txt&amp;sa=D&amp;ust=1605639832318000&amp;usg=AFQjCNFpHaCZiD7TpGXPew_d4eFx4itm3g" xr:uid="{367F4C6B-4D05-4807-A65D-18E88A983874}"/>
    <hyperlink ref="B715" r:id="rId1274" display="https://www.google.com/url?q=https://oj.uz/problem/view/COI17_ili&amp;sa=D&amp;ust=1605639832318000&amp;usg=AFQjCNFft3knmUJN68vFuJohGDKE7VSSFQ" xr:uid="{DF1580C0-5950-4747-9853-20F0EDC19946}"/>
    <hyperlink ref="F715" r:id="rId1275" display="https://www.google.com/url?q=https://github.com/mostafa-saad/MyCompetitiveProgramming/blob/master/Olympiad/COI/COI+17-ili.txt&amp;sa=D&amp;ust=1605639832318000&amp;usg=AFQjCNFVrHhhKpfTsW1Esr3jSSjKloP4pw" xr:uid="{645E96AE-EF3A-4C78-A442-D97ADE73A697}"/>
    <hyperlink ref="B716" r:id="rId1276" display="https://www.google.com/url?q=https://oj.uz/problem/view/COI17_raspad&amp;sa=D&amp;ust=1605639832318000&amp;usg=AFQjCNHAs1G0rzemOJEVmr6OIsDKGcs8SQ" xr:uid="{D860E56E-8013-4880-BA24-61451916236F}"/>
    <hyperlink ref="B717" r:id="rId1277" display="https://www.google.com/url?q=https://oj.uz/problem/view/COI17_trapezi&amp;sa=D&amp;ust=1605639832319000&amp;usg=AFQjCNEwk7sGw9R0EYMSd56SfPzQAaOIkw" xr:uid="{F21ED92F-070B-4DAE-A161-7FA7EAF9D669}"/>
    <hyperlink ref="F717" r:id="rId1278" display="https://www.google.com/url?q=https://codeforces.com/blog/entry/51198&amp;sa=D&amp;ust=1605639832319000&amp;usg=AFQjCNHdKHzrIuEqB4x6rtTP9BDOrExdbg" xr:uid="{F0AAA2F0-005C-4AF9-AE3B-51A667489953}"/>
    <hyperlink ref="B718" r:id="rId1279" display="https://www.google.com/url?q=https://oj.uz/problem/view/COI17_zagrade&amp;sa=D&amp;ust=1605639832320000&amp;usg=AFQjCNFkDDTyXvo5FBL-wRG1jd8unzeb9A" xr:uid="{180B9D39-F49B-436D-A87D-08C66A89DDC9}"/>
    <hyperlink ref="F718" r:id="rId1280" display="https://www.google.com/url?q=https://github.com/mostafa-saad/MyCompetitiveProgramming/blob/master/Olympiad/COI/COI-17-zagrade.txt&amp;sa=D&amp;ust=1605639832320000&amp;usg=AFQjCNFbSs1x7nwcQNSnpGmindHONnRrxQ" xr:uid="{70BE2FC8-0403-4BE1-BDA0-5E2512038F42}"/>
    <hyperlink ref="B719" r:id="rId1281" display="https://www.google.com/url?q=https://oj.uz/problem/view/COI18_paprike&amp;sa=D&amp;ust=1605639832320000&amp;usg=AFQjCNEH_E27eCpnHAuoFFcfsqora2d5xg" xr:uid="{D2E93C77-8314-4930-9CAD-29761B09BE56}"/>
    <hyperlink ref="B720" r:id="rId1282" display="https://www.google.com/url?q=https://oj.uz/problem/view/COI18_pick&amp;sa=D&amp;ust=1605639832321000&amp;usg=AFQjCNGZpwgiCiqW6kiX2AiIlX7XFrIZMQ" xr:uid="{C52DDA5F-EFAB-4856-93D6-8D69160D2DA0}"/>
    <hyperlink ref="B721" r:id="rId1283" display="https://www.google.com/url?q=https://oj.uz/problem/view/COI18_svjetlost&amp;sa=D&amp;ust=1605639832321000&amp;usg=AFQjCNG7ozHrc_13lzFMvU0GmIGZye3PMg" xr:uid="{38F1FE69-4235-4319-B219-2CE937745D4E}"/>
    <hyperlink ref="B722" r:id="rId1284" display="https://www.google.com/url?q=https://oj.uz/problem/view/COI18_zagonetka&amp;sa=D&amp;ust=1605639832321000&amp;usg=AFQjCNHZgogBgDO5TWjSTEpx-8dU3RvRFg" xr:uid="{F5822E11-FDBA-4592-AAA2-178A39DA48F2}"/>
    <hyperlink ref="B723" r:id="rId1285" display="https://www.google.com/url?q=https://oj.uz/problem/view/COI19_izlet&amp;sa=D&amp;ust=1605639832321000&amp;usg=AFQjCNHlAVlBMtnTc9JOSa8h7seDScXGKQ" xr:uid="{E2152E05-A060-4187-9216-79F94EE610AF}"/>
    <hyperlink ref="F723" r:id="rId1286" display="https://www.google.com/url?q=https://codeforces.com/blog/entry/66506&amp;sa=D&amp;ust=1605639832322000&amp;usg=AFQjCNHqfGGfI_ktmjwSXgnfutW6QdWU-Q" xr:uid="{5E014031-E60C-4151-BC06-085A5D64A381}"/>
    <hyperlink ref="F724" r:id="rId1287" display="https://www.google.com/url?q=https://github.com/win11905/submission/blob/master/COI/19/ljepotica.cpp&amp;sa=D&amp;ust=1605639832322000&amp;usg=AFQjCNGpyM7nvvGVjHGC6oeKn5ARImvXUg" xr:uid="{843CF98E-7D1A-41ED-A5EF-C0878BC12B85}"/>
    <hyperlink ref="B725" r:id="rId1288" display="https://www.google.com/url?q=https://oj.uz/problem/view/COI19_ljetopica&amp;sa=D&amp;ust=1605639832322000&amp;usg=AFQjCNEzDgThb9clhasCyxoJuUfPXYbqzw" xr:uid="{308B58EB-81DC-439D-BC08-A71AC151CA41}"/>
    <hyperlink ref="F725" r:id="rId1289" display="https://www.google.com/url?q=https://github.com/mostafa-saad/MyCompetitiveProgramming/blob/master/Olympiad/COI/COI-19-ljetopica.txt&amp;sa=D&amp;ust=1605639832322000&amp;usg=AFQjCNFgyX-J_zGoXWKdz7SvZxzzJu6rQA" xr:uid="{F7C40C55-1E23-4EFF-994D-73839DDFE516}"/>
    <hyperlink ref="B726" r:id="rId1290" display="https://www.google.com/url?q=https://oj.uz/problem/view/COI19_segway&amp;sa=D&amp;ust=1605639832323000&amp;usg=AFQjCNEViSXvdtR5r_zn_VCKzzOOsdfFAg" xr:uid="{E57C282C-22ED-4A21-BB55-0EAED8CC91A3}"/>
    <hyperlink ref="F726" r:id="rId1291" display="https://www.google.com/url?q=https://github.com/mostafa-saad/MyCompetitiveProgramming/blob/master/Olympiad/COI/COI-19-segway.txt&amp;sa=D&amp;ust=1605639832323000&amp;usg=AFQjCNEaEr4T3n5uw9svngtxjwOunBxegg" xr:uid="{5575E273-A881-44E5-B35C-49799E0D6170}"/>
    <hyperlink ref="B727" r:id="rId1292" display="https://www.google.com/url?q=https://oj.uz/problem/view/COI19_tenis&amp;sa=D&amp;ust=1605639832323000&amp;usg=AFQjCNHXTHjswQIqJBM4UXqP9LecHabKDA" xr:uid="{26EAA308-2D86-4D73-BD92-42867FE3D24D}"/>
    <hyperlink ref="F727" r:id="rId1293" display="https://www.google.com/url?q=https://github.com/mostafa-saad/MyCompetitiveProgramming/blob/master/Olympiad/COI/COI-19-tenis.txt&amp;sa=D&amp;ust=1605639832323000&amp;usg=AFQjCNFrx2DZtn__dWqafCSm_Y5eXKM-CQ" xr:uid="{A4E59F2C-8269-49B9-BD61-736BDB42CBA9}"/>
    <hyperlink ref="B728" r:id="rId1294" display="https://www.google.com/url?q=https://csacademy.com/contest/archive/task/circuits/&amp;sa=D&amp;ust=1605639832323000&amp;usg=AFQjCNF2OLQpOsnX07hlMZKdBCK05xSyjA" xr:uid="{A8BE8507-469C-4ABD-AA09-7653B74FF17B}"/>
    <hyperlink ref="F728" r:id="rId1295" display="https://www.google.com/url?q=https://gist.github.com/luciocf/a551e013ef15b77288ff4786276d2dee&amp;sa=D&amp;ust=1605639832324000&amp;usg=AFQjCNHi89ZFdDayg9RGjLFebzWhUVR_VA" xr:uid="{6B39D004-9EDC-41E5-AAF6-1AC627C58FFD}"/>
    <hyperlink ref="B729" r:id="rId1296" display="https://www.google.com/url?q=https://cses.fi/problemset/task/1112/&amp;sa=D&amp;ust=1605639832324000&amp;usg=AFQjCNEfDm5G2lOuH_kRsj58OyMHkBClOA" xr:uid="{07CBC1ED-C313-44EF-ACAB-34F8C7DD88AB}"/>
    <hyperlink ref="F729" r:id="rId1297" display="https://www.google.com/url?q=https://github.com/nya-nya-meow/CompetitiveProgramming/blob/master/CSES/CSES%25201112%2520-%2520Substrings.cpp&amp;sa=D&amp;ust=1605639832324000&amp;usg=AFQjCNHeZHxx4mkqr7kz-QIr1n_ElqEKfw" xr:uid="{FE1F3F7B-8C65-4B5C-980C-68F5AC5CD243}"/>
    <hyperlink ref="B730" r:id="rId1298" display="https://www.google.com/url?q=https://cses.fi/problemset/task/1654&amp;sa=D&amp;ust=1605639832324000&amp;usg=AFQjCNHt8cTp3Efze8iGp7oXBouOIbVQzw" xr:uid="{2E7C113B-967C-488F-A60E-72E0D56FADBE}"/>
    <hyperlink ref="F730" r:id="rId1299" display="https://www.google.com/url?q=https://github.com/nikolapesic2802/Programming-Practice/blob/master/Bit%2520problem/main.cpp&amp;sa=D&amp;ust=1605639832324000&amp;usg=AFQjCNEcDT4aEkSQAiDYHycuGQ5esTrFwA" xr:uid="{27136090-33BC-434B-AD52-B3F15AA505F1}"/>
    <hyperlink ref="B731" r:id="rId1300" display="https://www.google.com/url?q=https://cses.fi/231/task/B&amp;sa=D&amp;ust=1605639832324000&amp;usg=AFQjCNGXIFSHltyWItK32sE0i3VVAgtItQ" xr:uid="{DAFAF6B5-83AF-48EE-8765-4286474CC122}"/>
    <hyperlink ref="B732" r:id="rId1301" display="https://www.google.com/url?q=https://cses.fi/231/task/C&amp;sa=D&amp;ust=1605639832325000&amp;usg=AFQjCNHmzK_Isc0vZ9x7-OgDQmryrmV4FA" xr:uid="{503C74CA-9EEA-4343-B66E-9C8E26B858C8}"/>
    <hyperlink ref="B733" r:id="rId1302" display="https://www.google.com/url?q=https://cses.fi/231/task/D&amp;sa=D&amp;ust=1605639832325000&amp;usg=AFQjCNErQeXqBOcLDPSiBdK6cmDbGq4mhw" xr:uid="{E14394A3-B7FE-4BAD-9407-EEE82C521452}"/>
    <hyperlink ref="B734" r:id="rId1303" display="https://www.google.com/url?q=https://cses.fi/231/task/A&amp;sa=D&amp;ust=1605639832325000&amp;usg=AFQjCNEjPcj2Q_ieuFjJJehcn86AwXdQ2g" xr:uid="{AE4B00D3-F371-4D18-9190-C75878F4E66A}"/>
    <hyperlink ref="B735" r:id="rId1304" display="https://www.google.com/url?q=https://dmoj.ca/problem/ccoprep4p3&amp;sa=D&amp;ust=1605639832326000&amp;usg=AFQjCNEcqCMDhxKuaCLyVrtF_IKQCOJRUg" xr:uid="{C7971BA9-36F3-4C20-BAF1-E33BD7997B9E}"/>
    <hyperlink ref="F735" r:id="rId1305" display="https://www.google.com/url?q=https://github.com/tsouza0/CompetitiveProgramming/blob/master/Olympiads/Canada/cco/ccoprep4/p3.cpp&amp;sa=D&amp;ust=1605639832326000&amp;usg=AFQjCNHj8cnUf0n7hEzzlEg_d7o77R4ehQ" xr:uid="{DE7923DD-93AB-4ED0-B8A1-DC9690B0B03C}"/>
    <hyperlink ref="B736" r:id="rId1306" display="https://www.google.com/url?q=https://dmoj.ca/problem/ccoprep16q1&amp;sa=D&amp;ust=1605639832326000&amp;usg=AFQjCNFZZl-UEHBfTaP4LsaIVT6-C3jzvw" xr:uid="{29938D48-2B5A-4C0D-A7E7-0FBA68F999A4}"/>
    <hyperlink ref="B737" r:id="rId1307" display="https://www.google.com/url?q=https://dmoj.ca/problem/stnbd4&amp;sa=D&amp;ust=1605639832326000&amp;usg=AFQjCNEiGZqglCYRlZ01wB5RYaPkqjdHew" xr:uid="{3896312C-0710-4063-AD01-C49C51682498}"/>
    <hyperlink ref="F737" r:id="rId1308" display="https://www.google.com/url?q=https://github.com/win11905/submission/blob/master/Dmoj/EllisFahrengart.cpp&amp;sa=D&amp;ust=1605639832327000&amp;usg=AFQjCNEvdqQxEsrW4-K19vMQSzG7oHtl2Q" xr:uid="{F4619471-876F-472C-85F6-6923D8683AA7}"/>
    <hyperlink ref="B738" r:id="rId1309" display="https://www.google.com/url?q=https://dmoj.ca/problem/fibonacci2&amp;sa=D&amp;ust=1605639832327000&amp;usg=AFQjCNEgFwJVv4z3di90xrxb1PRauIKk-A" xr:uid="{86C91CD2-0720-4C84-9620-38DBFF30E6A5}"/>
    <hyperlink ref="B739" r:id="rId1310" display="https://www.google.com/url?q=https://dmoj.ca/problem/ccoprep16c2q3&amp;sa=D&amp;ust=1605639832328000&amp;usg=AFQjCNHUsk86ElLVunmZqi8SMmw1uB5ZaQ" xr:uid="{3663D26F-17FF-4665-B30F-CAD0196AB98A}"/>
    <hyperlink ref="B740" r:id="rId1311" display="https://www.google.com/url?q=https://dmoj.ca/problem/mmcc15p1&amp;sa=D&amp;ust=1605639832328000&amp;usg=AFQjCNFHXGWAT8cGV51wRTpV8y-aneJ6UA" xr:uid="{8D8F6DF8-86DA-4088-9BEB-7916D18FC4AE}"/>
    <hyperlink ref="B741" r:id="rId1312" display="https://www.google.com/url?q=https://dmoj.ca/problem/gfssoc2s4&amp;sa=D&amp;ust=1605639832328000&amp;usg=AFQjCNHQ7GgWGmdZXXyeOF93vtscoRa_lQ" xr:uid="{54F1E1B4-5905-4402-AD42-35D159AE7899}"/>
    <hyperlink ref="B742" r:id="rId1313" display="https://www.google.com/url?q=https://dmoj.ca/problem/bf3&amp;sa=D&amp;ust=1605639832328000&amp;usg=AFQjCNHiaqDRISkHCptS5zvgqO6SC1rIAQ" xr:uid="{F00C7EE7-1825-4A7A-9DE1-EF15945137F2}"/>
    <hyperlink ref="B743" r:id="rId1314" display="https://www.google.com/url?q=https://dmoj.ca/problem/bf3hard&amp;sa=D&amp;ust=1605639832329000&amp;usg=AFQjCNHUuC8QPgh_XwfUhWqaYq4jOBZh7Q" xr:uid="{1E4104FF-96A4-4C8D-BF77-2BCCDA5595B5}"/>
    <hyperlink ref="B744" r:id="rId1315" display="https://www.google.com/url?q=https://dmoj.ca/problem/stnbd4&amp;sa=D&amp;ust=1605639832329000&amp;usg=AFQjCNFuooMFTS2rEdlKEggnVPKTB1EFcw" xr:uid="{3C93FAD5-BDC4-46B9-9EEB-DFD63D0E63F6}"/>
    <hyperlink ref="F744" r:id="rId1316" display="https://www.google.com/url?q=https://github.com/tsouza0/CompetitiveProgramming/blob/master/DMOJ/stnbd4.cpp&amp;sa=D&amp;ust=1605639832329000&amp;usg=AFQjCNHPm2FfvNLk0Mn3EipbafbF4c-TRg" xr:uid="{6CA6F521-CCE7-48F2-9A08-5DD0983654ED}"/>
    <hyperlink ref="B745" r:id="rId1317" display="https://www.google.com/url?q=https://dmoj.ca/problem/phantom3&amp;sa=D&amp;ust=1605639832329000&amp;usg=AFQjCNG-TGuCCalziBclTspq5VeGcKQ2ng" xr:uid="{B8439B34-E35F-4ACA-A6F6-CBF13D8CE4DB}"/>
    <hyperlink ref="B746" r:id="rId1318" display="https://www.google.com/url?q=https://dmoj.ca/problem/dmopc14ce1p4&amp;sa=D&amp;ust=1605639832330000&amp;usg=AFQjCNEaP3qNtSceGb9JpIgL5DW5SWfycA" xr:uid="{861D0EA0-DB06-4425-A3F9-A86D53E4BD47}"/>
    <hyperlink ref="B747" r:id="rId1319" display="https://www.google.com/url?q=https://dmoj.ca/problem/dmopc14c4p6&amp;sa=D&amp;ust=1605639832330000&amp;usg=AFQjCNHUjDXdL0R1LJgM9SETIY15bbc6jg" xr:uid="{F4F753AE-32D5-484F-BCE5-88251B7F9A5E}"/>
    <hyperlink ref="B748" r:id="rId1320" display="https://www.google.com/url?q=https://dmoj.ca/problem/dmopc15c1p6&amp;sa=D&amp;ust=1605639832330000&amp;usg=AFQjCNHjV-A6H0JZmxRFTx5aqGbjzUuvJg" xr:uid="{4198A5D2-7C72-4D3F-A266-56A8556EC8FC}"/>
    <hyperlink ref="B749" r:id="rId1321" display="https://www.google.com/url?q=https://dmoj.ca/problem/dmopc16c4p4&amp;sa=D&amp;ust=1605639832331000&amp;usg=AFQjCNGlbJubIvtrf39Bc8EdPpKbxPRZ7Q" xr:uid="{5794FF98-22E5-4E02-9222-D2C5B061C1A9}"/>
    <hyperlink ref="B750" r:id="rId1322" display="https://www.google.com/url?q=https://dmoj.ca/problem/dmopc17c5p4&amp;sa=D&amp;ust=1605639832331000&amp;usg=AFQjCNHFxIQ0LQ1q4xINIvhCQhyGJGUY4w" xr:uid="{92F42657-56C2-42D6-99BE-0C81DF36A684}"/>
    <hyperlink ref="B751" r:id="rId1323" display="https://www.google.com/url?q=https://dmoj.ca/problem/dmopc17c1p5&amp;sa=D&amp;ust=1605639832331000&amp;usg=AFQjCNHa7Ptg7onXxWfxk3O9v0NDLCuxwQ" xr:uid="{2A2C338E-7DD3-4281-8C69-1360CE431B27}"/>
    <hyperlink ref="B752" r:id="rId1324" display="https://www.google.com/url?q=https://dmoj.ca/problem/dmopc18c3p4&amp;sa=D&amp;ust=1605639832331000&amp;usg=AFQjCNFJmiOIFcquhYIs8xPssZB3aJan4A" xr:uid="{E18DE95D-F258-4942-A86B-94DD15480983}"/>
    <hyperlink ref="F752" r:id="rId1325" display="https://www.google.com/url?q=https://github.com/mostafa-saad/MyCompetitiveProgramming/blob/master/Olympiad/Misc/DMOPC-18-BobEnglishClass.txt&amp;sa=D&amp;ust=1605639832332000&amp;usg=AFQjCNFLa3M6gPwE1AN1z34yw9bLTgpdvQ" xr:uid="{BAC0CF29-FA4D-46E9-B770-7603AC106746}"/>
    <hyperlink ref="B753" r:id="rId1326" display="https://www.google.com/url?q=https://dmoj.ca/problem/dmopc18c4p4&amp;sa=D&amp;ust=1605639832332000&amp;usg=AFQjCNE0NmRcHksY0E73RcYsJiZd9X6owQ" xr:uid="{C4791592-A338-4076-9E49-D68F57988620}"/>
    <hyperlink ref="B754" r:id="rId1327" display="https://www.google.com/url?q=https://dmoj.ca/problem/dmopc18c2p6&amp;sa=D&amp;ust=1605639832332000&amp;usg=AFQjCNGNTh5Guy3NvKU6vaWQDnF8LM0Urg" xr:uid="{9058566B-CDC1-4AA3-9C50-5EE5DA507370}"/>
    <hyperlink ref="B755" r:id="rId1328" display="https://www.google.com/url?q=https://dmoj.ca/problem/dmpg15s6&amp;sa=D&amp;ust=1605639832332000&amp;usg=AFQjCNH452VZaHw_UDBrrT8z2Uu7ygNrXQ" xr:uid="{7D8A6063-34F2-4E4C-B9D3-D39520A5035D}"/>
    <hyperlink ref="B756" r:id="rId1329" display="https://www.google.com/url?q=https://dmoj.ca/problem/dmpg15s5&amp;sa=D&amp;ust=1605639832333000&amp;usg=AFQjCNGz8O-CuY43YF6GaGRKcC8-camwKw" xr:uid="{E497225F-1D8C-4A6F-89E4-FBFEAF649ECB}"/>
    <hyperlink ref="B757" r:id="rId1330" display="https://www.google.com/url?q=https://dmoj.ca/problem/dmpg16s4&amp;sa=D&amp;ust=1605639832333000&amp;usg=AFQjCNGmxmoK5hv8rfJsIJ10QN8g-l49vA" xr:uid="{8BF90976-2683-4002-A8F2-1A060B1F5824}"/>
    <hyperlink ref="B758" r:id="rId1331" display="https://www.google.com/url?q=https://dmoj.ca/problem/dmpg18s5&amp;sa=D&amp;ust=1605639832333000&amp;usg=AFQjCNHKihDvqUzVuN4vZZxn1OTAH_v5FA" xr:uid="{F7193579-C945-4E1E-A212-91A8EE245FE0}"/>
    <hyperlink ref="B759" r:id="rId1332" display="https://www.google.com/url?q=https://dmoj.ca/problem/dwite11c5p5&amp;sa=D&amp;ust=1605639832333000&amp;usg=AFQjCNG2laFkg30ysZGYKaJaWD0DEOa7WQ" xr:uid="{1A25B9AB-3177-49D6-BF24-9C8DCEF46627}"/>
    <hyperlink ref="B760" r:id="rId1333" display="https://www.google.com/url?q=https://csacademy.com/contest/ejoi-2017-day-2/task/camel/&amp;sa=D&amp;ust=1605639832335000&amp;usg=AFQjCNGN8fjfibam4VXNvQkG5HjZEDqCIA" xr:uid="{1D451C14-F3D7-422A-AB59-A73C3FEEDCE9}"/>
    <hyperlink ref="B761" r:id="rId1334" display="https://www.google.com/url?q=https://csacademy.com/contest/ejoi-2017-day-2/task/experience/&amp;sa=D&amp;ust=1605639832335000&amp;usg=AFQjCNE6wloKTCdw3jbdihDG57naNt1bxg" xr:uid="{51DB4298-3C8D-46B0-8059-3C9AA736565D}"/>
    <hyperlink ref="B762" r:id="rId1335" display="https://www.google.com/url?q=https://csacademy.com/contest/ejoi-2017-day-2/task/game/&amp;sa=D&amp;ust=1605639832335000&amp;usg=AFQjCNE9dCYZe-VdMTE-M1TPRzrrVKI1cA" xr:uid="{8E0604DB-C749-4BB2-BF89-BD221386E531}"/>
    <hyperlink ref="F762" r:id="rId1336" display="https://www.google.com/url?q=https://github.com/Rockbet/Problems/blob/master/EJOI/2017/Day%25202/Game.cpp&amp;sa=D&amp;ust=1605639832335000&amp;usg=AFQjCNF0p_0hg9dqMnVc3Hy0fk8qdQuJJA" xr:uid="{46D5F6B7-1E71-4D9C-8BB5-7AE15FEB0C1E}"/>
    <hyperlink ref="B763" r:id="rId1337" display="https://www.google.com/url?q=https://csacademy.com/contest/ejoi-2017-day-1/task/magic/&amp;sa=D&amp;ust=1605639832336000&amp;usg=AFQjCNHXTSNuyrsr8fK8aMjskT36IfZLdg" xr:uid="{99B27687-453F-4724-B9F9-BE91BC428972}"/>
    <hyperlink ref="F763" r:id="rId1338" display="https://www.google.com/url?q=https://github.com/Rockbet/Problems/blob/master/EJOI/2017/Day%25201/Magic.cpp&amp;sa=D&amp;ust=1605639832336000&amp;usg=AFQjCNGtxRy2NF0QNjt6f_Nzq4OCaI5W8Q" xr:uid="{9B178263-3D05-41E5-A865-6AD13D7833CE}"/>
    <hyperlink ref="B764" r:id="rId1339" display="https://www.google.com/url?q=https://csacademy.com/contest/ejoi-2017-day-1/task/particles/&amp;sa=D&amp;ust=1605639832336000&amp;usg=AFQjCNFhWDDW6FFfUsgrm-cKHV9xn5AzTw" xr:uid="{E7120787-C01A-4377-8E17-539EE6BB2F2F}"/>
    <hyperlink ref="B765" r:id="rId1340" display="https://www.google.com/url?q=https://csacademy.com/contest/ejoi-2017-day-1/task/six/&amp;sa=D&amp;ust=1605639832337000&amp;usg=AFQjCNFiR-G6oZpPF3uDZVYyJHv-1NaMeg" xr:uid="{BE811BD5-9A12-4E8F-AD5D-E6636DD0B94A}"/>
    <hyperlink ref="B766" r:id="rId1341" display="https://www.google.com/url?q=https://codeforces.com/group/swEqtABRxe/contest/243429/problem/A&amp;sa=D&amp;ust=1605639832337000&amp;usg=AFQjCNHItO0Qqs8odbQ5H0P5hmCI3cAdVQ" xr:uid="{C9CCC2E0-EBEB-4C09-828D-585B65D1A887}"/>
    <hyperlink ref="B767" r:id="rId1342" display="https://www.google.com/url?q=https://codeforces.com/group/swEqtABRxe/contest/243429/problem/B&amp;sa=D&amp;ust=1605639832337000&amp;usg=AFQjCNGoR8z6n1_Ys9EwaBEJk-FOK8DAEg" xr:uid="{6CAE8FCB-897D-40AF-BAB5-46C5E0CAFFC5}"/>
    <hyperlink ref="B768" r:id="rId1343" display="https://www.google.com/url?q=https://codeforces.com/group/swEqtABRxe/contest/243430/problem/A&amp;sa=D&amp;ust=1605639832338000&amp;usg=AFQjCNHY61ai4JMAhTpDH7fGb4W06iSQHw" xr:uid="{69D2A021-4A4D-4939-A951-5829B3CC596A}"/>
    <hyperlink ref="B769" r:id="rId1344" display="https://www.google.com/url?q=https://codeforces.com/group/swEqtABRxe/contest/243430/problem/A&amp;sa=D&amp;ust=1605639832338000&amp;usg=AFQjCNHY61ai4JMAhTpDH7fGb4W06iSQHw" xr:uid="{60E66C5D-10D7-40D5-8CC2-8724CD041463}"/>
    <hyperlink ref="B770" r:id="rId1345" display="https://www.google.com/url?q=https://codeforces.com/group/swEqtABRxe/contest/243430/problem/B&amp;sa=D&amp;ust=1605639832338000&amp;usg=AFQjCNHxPKVJ54_eHEnyN-ouBModHaJpyg" xr:uid="{181768DD-EEA6-4DB5-99D3-D6C81BA5E08B}"/>
    <hyperlink ref="B771" r:id="rId1346" display="https://www.google.com/url?q=https://codeforces.com/group/swEqtABRxe/contest/227531/problem/C&amp;sa=D&amp;ust=1605639832338000&amp;usg=AFQjCNF3vO-tX0gU0_Ix7hHFVfjMyQ3_zg" xr:uid="{2B959A8D-5050-46D6-9371-515CD0DAA568}"/>
    <hyperlink ref="F771" r:id="rId1347" display="https://www.google.com/url?q=https://ideone.com/iw7JBC&amp;sa=D&amp;ust=1605639832339000&amp;usg=AFQjCNGiyGw_mSYzr1tid2B_3WvIkAPabw" xr:uid="{7D30CB3A-FE34-4E14-A632-B3B6E3B06483}"/>
    <hyperlink ref="B772" r:id="rId1348" display="https://www.google.com/url?q=https://codeforces.com/group/swEqtABRxe/contest/227524/problem/A&amp;sa=D&amp;ust=1605639832339000&amp;usg=AFQjCNGEk80s1PSb4yeBwNeqy_utL1e05w" xr:uid="{9BD6DDF6-403C-4459-AAAC-2CFBC6413FEA}"/>
    <hyperlink ref="B773" r:id="rId1349" display="https://www.google.com/url?q=https://codeforces.com/group/swEqtABRxe/contest/227524/problem/B&amp;sa=D&amp;ust=1605639832339000&amp;usg=AFQjCNFMjYbTWwkfDUxnzjzc0xYyYW87Tg" xr:uid="{6BCFE707-6AE7-4F47-828E-842103B7FF64}"/>
    <hyperlink ref="B774" r:id="rId1350" display="https://www.google.com/url?q=https://codeforces.com/group/swEqtABRxe/contest/227524/problem/C&amp;sa=D&amp;ust=1605639832339000&amp;usg=AFQjCNGBnGGhGgOC7vln4WkLiV4MrKQLyw" xr:uid="{D392DB11-373B-4131-A9E6-32DDFB9F1F97}"/>
    <hyperlink ref="B775" r:id="rId1351" display="https://www.google.com/url?q=https://codeforces.com/group/swEqtABRxe/contest/243427/problem/A&amp;sa=D&amp;ust=1605639832340000&amp;usg=AFQjCNH5G-lkECo4XiZvczpBYck3Tl6M7Q" xr:uid="{B5B5640F-7EE8-436B-9660-86429B081B10}"/>
    <hyperlink ref="B776" r:id="rId1352" display="https://www.google.com/url?q=https://codeforces.com/group/swEqtABRxe/contest/243427/problem/B&amp;sa=D&amp;ust=1605639832340000&amp;usg=AFQjCNGhe249RYl0_yeHVP6T_wRMwablhQ" xr:uid="{3D3D0F4A-F294-4B16-BC21-E6A99022C8A9}"/>
    <hyperlink ref="B777" r:id="rId1353" display="https://www.google.com/url?q=https://codeforces.com/group/swEqtABRxe/contest/243427/problem/C&amp;sa=D&amp;ust=1605639832340000&amp;usg=AFQjCNG3CqOX5Y6puo32GNFUO504lAnzwQ" xr:uid="{D82DEA52-BCB9-46EE-AA3F-E312F8559D4A}"/>
    <hyperlink ref="B778" r:id="rId1354" display="https://www.google.com/url?q=https://dunjudge.me/analysis/problems/1243/&amp;sa=D&amp;ust=1605639832341000&amp;usg=AFQjCNHHCFvZgwIQuLQkmWo3eKziVcvCZg" xr:uid="{6845DE6C-CDCB-41D7-B25F-61C4A51B8869}"/>
    <hyperlink ref="B779" r:id="rId1355" display="https://www.google.com/url?q=https://oj.uz/problem/view/info1cup17_binary&amp;sa=D&amp;ust=1605639832341000&amp;usg=AFQjCNHvEazYrX8ohzKpshKhCoDRoHQEaw" xr:uid="{51F0DD23-1896-4593-868F-0C57D6E907E6}"/>
    <hyperlink ref="B780" r:id="rId1356" display="https://www.google.com/url?q=https://oj.uz/problem/view/info1cup17_eastereggs&amp;sa=D&amp;ust=1605639832341000&amp;usg=AFQjCNFKmS6-ZKfE84rzNyc2BD9uhgj9_A" xr:uid="{14749770-ED9E-4CFB-BD3A-E2AE07A5AE9A}"/>
    <hyperlink ref="B781" r:id="rId1357" display="https://www.google.com/url?q=https://oj.uz/problem/view/info1cup17_permutation&amp;sa=D&amp;ust=1605639832342000&amp;usg=AFQjCNHKgBeSjFcGLxtYdek1Arlfge81fg" xr:uid="{8EE0DEE8-AF0B-4975-B243-FD8DA2311750}"/>
    <hyperlink ref="B782" r:id="rId1358" display="https://www.google.com/url?q=https://oj.uz/problem/view/info1cup17_xorsum&amp;sa=D&amp;ust=1605639832342000&amp;usg=AFQjCNEBJoLwfCa3f29ZvJ4Nl4XgcV88Gw" xr:uid="{CE4A897B-0CF1-4A49-919F-29AB3042F804}"/>
    <hyperlink ref="B783" r:id="rId1359" display="https://www.google.com/url?q=https://oj.uz/problem/view/info1cup18_balancedtree&amp;sa=D&amp;ust=1605639832343000&amp;usg=AFQjCNGoAa-EyC3ZGs1LVZYz8Q6BN7tgMw" xr:uid="{FB871219-FD7B-48E0-B525-7A18368F4BE8}"/>
    <hyperlink ref="B784" r:id="rId1360" display="https://www.google.com/url?q=https://oj.uz/problem/view/info1cup18_cambridge&amp;sa=D&amp;ust=1605639832343000&amp;usg=AFQjCNHFXyCl3GOZcGxJWPWpY3hX6Ei_XQ" xr:uid="{9D18793F-FA31-402D-9D4F-F1000C57CF95}"/>
    <hyperlink ref="B785" r:id="rId1361" display="https://www.google.com/url?q=https://oj.uz/problem/view/info1cup18_del13&amp;sa=D&amp;ust=1605639832343000&amp;usg=AFQjCNFUnMsz2uO-ByLhz9ZyoWfEy4DjUw" xr:uid="{C8B4DA95-66BA-4694-AB2A-F0D38DB96E61}"/>
    <hyperlink ref="B786" r:id="rId1362" display="https://www.google.com/url?q=https://oj.uz/problem/view/info1cup18_hidden&amp;sa=D&amp;ust=1605639832344000&amp;usg=AFQjCNGrewUOTTCY5j8boZrdkSIiLSYyTg" xr:uid="{F19FB638-1BD5-41B2-B7F4-55C094798801}"/>
    <hyperlink ref="F786" r:id="rId1363" display="https://www.google.com/url?q=https://github.com/mostafa-saad/MyCompetitiveProgramming/blob/master/Olympiad/Info1Cup/Info1Cup_18-Hidden.txt&amp;sa=D&amp;ust=1605639832344000&amp;usg=AFQjCNGZniw-K6TG8Ee3vAD3TmTS3uVX5A" xr:uid="{968DEB49-C5B6-434F-B0A6-946AF8C55E4C}"/>
    <hyperlink ref="B787" r:id="rId1364" display="https://www.google.com/url?q=https://oj.uz/problem/view/info1cup18_maxcomp&amp;sa=D&amp;ust=1605639832344000&amp;usg=AFQjCNF85eTPg04-bIrVxd_FUyI4I57TOw" xr:uid="{CF14D315-6FBD-4BB7-BD9E-25244C646A53}"/>
    <hyperlink ref="B788" r:id="rId1365" display="https://www.google.com/url?q=https://oj.uz/problem/view/info1cup18_norela&amp;sa=D&amp;ust=1605639832344000&amp;usg=AFQjCNGW7jpXstZBypDgbXTcdxh1uRuKDw" xr:uid="{FA67C7A1-49E5-4C82-B2BC-810EF8FF298D}"/>
    <hyperlink ref="B789" r:id="rId1366" display="https://www.google.com/url?q=https://oj.uz/problem/view/info1cup18_palindromes&amp;sa=D&amp;ust=1605639832345000&amp;usg=AFQjCNGB4hVRGqJK2XWY6MJsX5hjNQ1feg" xr:uid="{FFDAD984-7C09-4B5E-8C01-A1DCE8A33436}"/>
    <hyperlink ref="B790" r:id="rId1367" display="https://www.google.com/url?q=https://oj.uz/problem/view/info1cup18_shell&amp;sa=D&amp;ust=1605639832345000&amp;usg=AFQjCNHroCNjjwKIA3w0Y-aVi3xzRQZicA" xr:uid="{FD3684B5-E1CD-4496-ADD7-2239BDDC4BD9}"/>
    <hyperlink ref="B791" r:id="rId1368" display="https://www.google.com/url?q=https://oj.uz/problem/view/info1cup18_thegrade&amp;sa=D&amp;ust=1605639832345000&amp;usg=AFQjCNEwfwlXfbEjnp3dmvPvq0AJrtNUHw" xr:uid="{252F597E-F4C5-4562-BFD5-4CF1619846F5}"/>
    <hyperlink ref="B792" r:id="rId1369" display="https://www.google.com/url?q=https://github.com/stefdasca/CompetitiveProgramming/blob/master/Info1Cup/National%2520Round/Mean%2520(RO).pdf&amp;sa=D&amp;ust=1605639832345000&amp;usg=AFQjCNEKfogft9DKPTxduZG0mW7K6kquew" xr:uid="{BFA4C7A4-CD65-4DC2-8C5C-C7F3B25583E5}"/>
    <hyperlink ref="F792" r:id="rId1370" display="https://www.google.com/url?q=https://github.com/stefdasca/CompetitiveProgramming/blob/master/Info1Cup/National%2520Round/mean.cpp&amp;sa=D&amp;ust=1605639832345000&amp;usg=AFQjCNENUuiYf0IlPOBF0zuQg2cAh8eUqQ" xr:uid="{3681556E-91EF-40FA-BCA7-2F25B9F0D99A}"/>
    <hyperlink ref="B793" r:id="rId1371" display="https://www.google.com/url?q=https://github.com/stefdasca/CompetitiveProgramming/blob/master/Info1Cup/National%2520Round/Simple%2520(Ro)%2520(1).pdf&amp;sa=D&amp;ust=1605639832346000&amp;usg=AFQjCNEynCSFPhrpIlpUgI-KZdQyQnS9VA" xr:uid="{66A6AF30-51A2-4423-8057-A4D18FE1D2F9}"/>
    <hyperlink ref="F793" r:id="rId1372" display="https://www.google.com/url?q=https://github.com/stefdasca/CompetitiveProgramming/blob/master/Info1Cup/National%2520Round/simple.cpp&amp;sa=D&amp;ust=1605639832346000&amp;usg=AFQjCNE2xsljj6jGaAidfqmmwZyq33dq6A" xr:uid="{651BF9FD-DACF-421D-B620-6373520440F1}"/>
    <hyperlink ref="B794" r:id="rId1373" display="https://www.google.com/url?q=https://github.com/stefdasca/CompetitiveProgramming/blob/master/Info1Cup/National%2520Round/Subway%2520(Ro).pdf&amp;sa=D&amp;ust=1605639832346000&amp;usg=AFQjCNGVXUFvwftCdjglKXBAht9umzORcQ" xr:uid="{75D580B1-428F-4728-87A8-728E5413449E}"/>
    <hyperlink ref="F794" r:id="rId1374" display="https://www.google.com/url?q=https://github.com/stefdasca/CompetitiveProgramming/blob/master/Info1Cup/National%2520Round/subway.cpp&amp;sa=D&amp;ust=1605639832346000&amp;usg=AFQjCNFfUwC05nyyVoOTjSK59CAB6HLSIA" xr:uid="{42F87E2D-2A37-47BC-9F30-21B1B2593EE3}"/>
    <hyperlink ref="B795" r:id="rId1375" display="https://www.google.com/url?q=https://github.com/stefdasca/CompetitiveProgramming/blob/master/Info1Cup/National%2520Round/Treasure%2520(RO).pdf&amp;sa=D&amp;ust=1605639832346000&amp;usg=AFQjCNEn00xF6O0qdXlJ_5QmrH-DkdJDqQ" xr:uid="{26A3C559-B4AE-4A45-897D-DC14F9985672}"/>
    <hyperlink ref="F795" r:id="rId1376" display="https://www.google.com/url?q=https://github.com/stefdasca/CompetitiveProgramming/blob/master/Info1Cup/National%2520Round/treasure.cpp&amp;sa=D&amp;ust=1605639832347000&amp;usg=AFQjCNHb0gblVWpYa1otKW8l7qLwNkBK1g" xr:uid="{03B36948-0B3B-4447-9F5C-279EB3A112EB}"/>
    <hyperlink ref="B796" r:id="rId1377" display="https://www.google.com/url?q=https://infoarena.ro/problema/abx&amp;sa=D&amp;ust=1605639832347000&amp;usg=AFQjCNFobKf4DjVgxWkPKxw4iIuRUQso3A" xr:uid="{12B9917B-37C5-42FA-871C-D55419684614}"/>
    <hyperlink ref="F796" r:id="rId1378" display="https://www.google.com/url?q=https://github.com/stefdasca/CompetitiveProgramming/blob/master/Infoarena/abx.cpp&amp;sa=D&amp;ust=1605639832347000&amp;usg=AFQjCNFiZFfVTqKbskRsYMOZdiiO84cYUg" xr:uid="{06B1FF76-8900-45C9-88B9-078DAA93E50C}"/>
    <hyperlink ref="B797" r:id="rId1379" display="https://www.google.com/url?q=https://www.infoarena.ro/problema/aiacubiti&amp;sa=D&amp;ust=1605639832347000&amp;usg=AFQjCNFT_SXd2HXAyBF48kNhV0T7QVLBMw" xr:uid="{25DC0E24-B30E-4529-B06D-843D2D214729}"/>
    <hyperlink ref="F797" r:id="rId1380" display="https://www.google.com/url?q=https://github.com/mostafa-saad/MyCompetitiveProgramming/blob/master/Olympiad/infoarena/infoarena-aiacubiti.txt&amp;sa=D&amp;ust=1605639832347000&amp;usg=AFQjCNE_q5-ZqMVSenOzvEDEGzUqQ0d8dA" xr:uid="{28FCABA9-3DAD-4CA9-97BF-DD5F1A4ECC8C}"/>
    <hyperlink ref="B798" r:id="rId1381" display="https://www.google.com/url?q=https://www.infoarena.ro/problema/aiacupalindroame&amp;sa=D&amp;ust=1605639832348000&amp;usg=AFQjCNE1R74Dx_7qAKJcPb3ymRaDDO2PDQ" xr:uid="{E74C7CB3-9160-4281-8A92-7ADDE9CDA8BB}"/>
    <hyperlink ref="F798" r:id="rId1382" display="https://www.google.com/url?q=https://github.com/stefdasca/CompetitiveProgramming/blob/master/Infoarena/aiacupalindroame.cpp&amp;sa=D&amp;ust=1605639832348000&amp;usg=AFQjCNFW8AEhtqA64C5sSkR_zAouy1rdew" xr:uid="{085E0D67-843B-4C8D-8061-BA4201925C7F}"/>
    <hyperlink ref="B799" r:id="rId1383" display="https://www.google.com/url?q=https://infoarena.ro/problema/album2&amp;sa=D&amp;ust=1605639832348000&amp;usg=AFQjCNEceDuGiEVNboPrMa3hSlHe2onqXQ" xr:uid="{0A3992B7-A3F0-4B47-A2F7-E1BB0BE64105}"/>
    <hyperlink ref="F799" r:id="rId1384" display="https://www.google.com/url?q=https://github.com/stefdasca/CompetitiveProgramming/blob/master/Infoarena/album2.cpp&amp;sa=D&amp;ust=1605639832348000&amp;usg=AFQjCNElhE5RqENeh1Rpmj2vjHtYYUfSyg" xr:uid="{A3C232EE-B3FB-4A65-9A47-0F19773F4345}"/>
    <hyperlink ref="B800" r:id="rId1385" display="https://www.google.com/url?q=https://www.infoarena.ro/problema/amenzi&amp;sa=D&amp;ust=1605639832348000&amp;usg=AFQjCNFwbsDaZLiikjETqnDq7Ju2lfsUGg" xr:uid="{20A515CA-F4FB-45BD-9668-38258E5791F5}"/>
    <hyperlink ref="F800" r:id="rId1386" display="https://www.google.com/url?q=https://github.com/stefdasca/CompetitiveProgramming/blob/master/Infoarena/amenzi.cpp&amp;sa=D&amp;ust=1605639832348000&amp;usg=AFQjCNGTP9MGG0F949sv2YOdo3Gc2wIWqA" xr:uid="{22AFFF54-FB50-42B2-9D91-1EB82D6E3425}"/>
    <hyperlink ref="B801" r:id="rId1387" display="https://www.google.com/url?q=https://github.com/mostafa-saad/MyCompetitiveProgramming/blob/master/Olympiad/infoarena/amici2-statement.txt&amp;sa=D&amp;ust=1605639832349000&amp;usg=AFQjCNHXLBe2CSqqtVsLYMPweRICKypS_Q" xr:uid="{A7E4A0B8-8F16-4C9D-8501-FAEDDE347C7D}"/>
    <hyperlink ref="F801" r:id="rId1388" display="https://www.google.com/url?q=https://github.com/mostafa-saad/MyCompetitiveProgramming/blob/master/Olympiad/infoarena/infoarena_amici2.txt&amp;sa=D&amp;ust=1605639832350000&amp;usg=AFQjCNFTPta_E1Slql3_RrDwA99kp9XgiQ" xr:uid="{5CF8F0DF-C271-4962-9AFB-715485EEA7A3}"/>
    <hyperlink ref="B802" r:id="rId1389" display="https://www.google.com/url?q=https://www.infoarena.ro/problema/anagrame&amp;sa=D&amp;ust=1605639832350000&amp;usg=AFQjCNGjoUYsr72ExsgEaky_mNUKm5t36w" xr:uid="{8CD34DB0-336B-4C18-82A4-FB2DFE9272BD}"/>
    <hyperlink ref="F802" r:id="rId1390" display="https://www.google.com/url?q=https://github.com/stefdasca/CompetitiveProgramming/blob/master/Infoarena/anagrame.cpp&amp;sa=D&amp;ust=1605639832350000&amp;usg=AFQjCNHCqWBrZdjTAXvSMQZe10LAAiu6dA" xr:uid="{EBC8C473-F8EB-4139-BD16-F5042C217693}"/>
    <hyperlink ref="B803" r:id="rId1391" display="https://www.google.com/url?q=https://www.infoarena.ro/problema/aranjare&amp;sa=D&amp;ust=1605639832350000&amp;usg=AFQjCNFLTv1aONeJIKE_OXTSRn2NceP5XQ" xr:uid="{78E912F4-4AC2-4CC1-AFFD-2871A597748D}"/>
    <hyperlink ref="F803" r:id="rId1392" display="https://www.google.com/url?q=https://github.com/stefdasca/CompetitiveProgramming/blob/master/Infoarena/aranjare.cpp&amp;sa=D&amp;ust=1605639832350000&amp;usg=AFQjCNEfM_iVR2OxZTA6UT0bkSV8tZkL0w" xr:uid="{2E9B6D45-DFC6-4330-8B37-F7D9F0526323}"/>
    <hyperlink ref="B804" r:id="rId1393" display="https://www.google.com/url?q=https://www.infoarena.ro/problema/arb&amp;sa=D&amp;ust=1605639832350000&amp;usg=AFQjCNEaW60cHJrtv4KOGvV4kwiFkB26uw" xr:uid="{9D11AEEC-4E3D-4160-ACCC-1C3BFC96B1FE}"/>
    <hyperlink ref="B805" r:id="rId1394" display="https://www.google.com/url?q=https://www.infoarena.ro/problema/arb2&amp;sa=D&amp;ust=1605639832351000&amp;usg=AFQjCNGTKFPKnFlUiq-SNfYfdWK2LC-_Cg" xr:uid="{673309B7-B749-4CD6-A1A9-558DDD2239E4}"/>
    <hyperlink ref="F805" r:id="rId1395" display="https://www.google.com/url?q=https://github.com/stefdasca/CompetitiveProgramming/blob/master/Infoarena/arb2.cpp&amp;sa=D&amp;ust=1605639832351000&amp;usg=AFQjCNGD0UTk7clByQQO8e9nURZC5lzVFQ" xr:uid="{4C0FCBDF-7142-43FB-9EF9-85B6680BA96D}"/>
    <hyperlink ref="B806" r:id="rId1396" display="https://www.google.com/url?q=https://infoarena.ro/problema/arb3&amp;sa=D&amp;ust=1605639832351000&amp;usg=AFQjCNEqRFiedJo7ujCPYyCskTMwU0qL9g" xr:uid="{AA43AD08-C319-49AA-AD40-B0F7DCA0F065}"/>
    <hyperlink ref="F806" r:id="rId1397" display="https://www.google.com/url?q=https://github.com/mostafa-saad/MyCompetitiveProgramming/blob/master/Olympiad/infoarena/infoarena-arb3.txt&amp;sa=D&amp;ust=1605639832351000&amp;usg=AFQjCNEsxcpqE4VEbghyZ8wGg2L-ccXPcg" xr:uid="{9A3C4FD5-5F60-43A2-888F-5C5FD9B00171}"/>
    <hyperlink ref="B807" r:id="rId1398" display="https://www.google.com/url?q=https://www.infoarena.ro/problema/arbore&amp;sa=D&amp;ust=1605639832352000&amp;usg=AFQjCNHLisZw2eeiPZHGnr8W2aSSjT4cTA" xr:uid="{91C85080-B3E0-4233-8AC0-9003F31BBF43}"/>
    <hyperlink ref="F807" r:id="rId1399" display="https://www.google.com/url?q=https://github.com/mostafa-saad/MyCompetitiveProgramming/blob/master/Olympiad/infoarena/infoarena_arbore.txt&amp;sa=D&amp;ust=1605639832352000&amp;usg=AFQjCNGfQhrByakIGwlb_fNyLwCc-TS-yA" xr:uid="{CCCD8151-2ABF-4363-B530-649C7C6BD6BE}"/>
    <hyperlink ref="B808" r:id="rId1400" display="https://www.google.com/url?q=https://www.infoarena.ro/problema/arbore7&amp;sa=D&amp;ust=1605639832352000&amp;usg=AFQjCNFJ6uwL4_Bppd0Meqg9VDeMCOMEPA" xr:uid="{4004F69B-C423-4BC1-B217-B10A7D5CDB32}"/>
    <hyperlink ref="F808" r:id="rId1401" display="https://www.google.com/url?q=https://github.com/mostafa-saad/MyCompetitiveProgramming/blob/master/Olympiad/infoarena/infoarena-arbore7.txt&amp;sa=D&amp;ust=1605639832352000&amp;usg=AFQjCNEghP9wv5M1V4xR-dVHFYJ5VypIiw" xr:uid="{B32036FA-ED10-475D-B560-EBF39CA11AD8}"/>
    <hyperlink ref="B809" r:id="rId1402" display="https://www.google.com/url?q=https://www.infoarena.ro/problema/asmin&amp;sa=D&amp;ust=1605639832352000&amp;usg=AFQjCNF7crJBPIhLrK9naooTHy11NEfMoA" xr:uid="{91AC008A-9E1D-4E96-8E6D-0FC7D021FFAA}"/>
    <hyperlink ref="F809" r:id="rId1403" display="https://www.google.com/url?q=https://github.com/stefdasca/CompetitiveProgramming/blob/master/Infoarena/asmin.cpp&amp;sa=D&amp;ust=1605639832353000&amp;usg=AFQjCNEtWHEl34wNW6NtPMUSgjqb_K_jcA" xr:uid="{4B7097B0-D9DD-4565-9954-140523370A9C}"/>
    <hyperlink ref="B810" r:id="rId1404" display="https://www.google.com/url?q=https://www.infoarena.ro/problema/bile6&amp;sa=D&amp;ust=1605639832353000&amp;usg=AFQjCNEnA-p4lrB9qtg5t6vYkL76zDNJTQ" xr:uid="{65051952-C603-43F5-B00F-9206DD2A175B}"/>
    <hyperlink ref="F810" r:id="rId1405" display="https://www.google.com/url?q=https://github.com/stefdasca/CompetitiveProgramming/blob/master/Infoarena/bile6.cpp&amp;sa=D&amp;ust=1605639832353000&amp;usg=AFQjCNFFbTi-1OMQpfj7j3jTVPvNCYfjjw" xr:uid="{0B86E5C4-6841-4AC6-96BF-8801D718B2F3}"/>
    <hyperlink ref="B811" r:id="rId1406" display="https://www.google.com/url?q=https://www.infoarena.ro/problema/bitcost&amp;sa=D&amp;ust=1605639832353000&amp;usg=AFQjCNFak2XLNU4pHhXWBgzDYzcaB5FjYQ" xr:uid="{46F34AD3-EAF4-433E-9F5A-4109700A5E33}"/>
    <hyperlink ref="F811" r:id="rId1407" display="https://www.google.com/url?q=https://github.com/stefdasca/CompetitiveProgramming/blob/master/Infoarena/bitcost.cpp&amp;sa=D&amp;ust=1605639832353000&amp;usg=AFQjCNHBUdLRRQbyhBdgCSOdLEB8uTx3tQ" xr:uid="{E963463B-E749-4CB5-9D91-63DD5293BB41}"/>
    <hyperlink ref="B812" r:id="rId1408" display="https://www.google.com/url?q=https://www.infoarena.ro/problema/borcane&amp;sa=D&amp;ust=1605639832354000&amp;usg=AFQjCNFUCE5U5FQKmA0YRsiaeFiAXWxhtw" xr:uid="{1E100ACE-A619-4A0D-AC52-A68B416A49AE}"/>
    <hyperlink ref="F812" r:id="rId1409" display="https://www.google.com/url?q=https://github.com/stefdasca/CompetitiveProgramming/blob/master/Infoarena/borcane.cpp&amp;sa=D&amp;ust=1605639832354000&amp;usg=AFQjCNH1M1gOZl2U2E5-EAqpvyyeHDqtCg" xr:uid="{416EE356-E4DB-4F81-8404-A356BBA2A750}"/>
    <hyperlink ref="B813" r:id="rId1410" display="https://www.google.com/url?q=https://www.infoarena.ro/problema/bvarcolaci&amp;sa=D&amp;ust=1605639832354000&amp;usg=AFQjCNHWdURpOSglALybz7p2CtUtRn1ETg" xr:uid="{B6A310D6-68AD-4E8F-8CBE-823CE85E3DF6}"/>
    <hyperlink ref="F813" r:id="rId1411" display="https://www.google.com/url?q=https://github.com/stefdasca/CompetitiveProgramming/blob/master/Infoarena/bvarcolaci.cpp&amp;sa=D&amp;ust=1605639832354000&amp;usg=AFQjCNECeEBElX7qYClzLWXKu2ZhxiKPuw" xr:uid="{E63AB22E-A6B4-413B-90FE-CD8291C47408}"/>
    <hyperlink ref="B814" r:id="rId1412" display="https://www.google.com/url?q=https://infoarena.ro/problema/calancea&amp;sa=D&amp;ust=1605639832354000&amp;usg=AFQjCNEFoqJ1rPU9qbIcpU1xfZxDq3BDOQ" xr:uid="{600519A6-D5D6-4EB5-9EFA-F1549DA8F00B}"/>
    <hyperlink ref="B815" r:id="rId1413" display="https://www.google.com/url?q=https://www.infoarena.ro/problema/calorifer&amp;sa=D&amp;ust=1605639832355000&amp;usg=AFQjCNHTCkmMOM1DubCJlfcAKJaZkpXWSA" xr:uid="{E6D23E05-C046-4BAC-B1F8-F588F36AD25F}"/>
    <hyperlink ref="F815" r:id="rId1414" display="https://www.google.com/url?q=https://github.com/stefdasca/CompetitiveProgramming/blob/master/Infoarena/calorifer.cpp&amp;sa=D&amp;ust=1605639832355000&amp;usg=AFQjCNFop5PRXR_8U5QXcDih21fH8ayuSw" xr:uid="{9FEC8FC6-FC62-4050-9B06-CE324F29C408}"/>
    <hyperlink ref="B816" r:id="rId1415" display="https://www.google.com/url?q=https://www.infoarena.ro/problema/cartite&amp;sa=D&amp;ust=1605639832355000&amp;usg=AFQjCNHZWcgS6xFFmoeU8x4tfwHPXWmA2w" xr:uid="{C6240CC0-6B55-486C-A3E2-08FB539E18AB}"/>
    <hyperlink ref="F816" r:id="rId1416" display="https://www.google.com/url?q=https://github.com/stefdasca/CompetitiveProgramming/blob/master/Infoarena/cartite.cpp&amp;sa=D&amp;ust=1605639832355000&amp;usg=AFQjCNFNQqoYiH5AwBOnbc6NW7kZeVcKkA" xr:uid="{0D7B877E-7E5C-400A-995B-660802CAA041}"/>
    <hyperlink ref="B817" r:id="rId1417" display="https://www.google.com/url?q=https://www.infoarena.ro/problema/casute&amp;sa=D&amp;ust=1605639832355000&amp;usg=AFQjCNHuSCh4BVq6qiJhQIiZ5UGfYAApXQ" xr:uid="{238BB35C-6C9C-4D9E-9C29-2ED49CF5F01C}"/>
    <hyperlink ref="F817" r:id="rId1418" display="https://www.google.com/url?q=https://github.com/mostafa-saad/MyCompetitiveProgramming/blob/master/Olympiad/infoarena/infoarena_casute.txt&amp;sa=D&amp;ust=1605639832355000&amp;usg=AFQjCNEHD-s9bJoc5pR__0fkvxtCJEBWQg" xr:uid="{5A66A32D-8BED-41EA-ADE4-7C7654BC29F0}"/>
    <hyperlink ref="B818" r:id="rId1419" display="https://www.google.com/url?q=https://infoarena.ro/problema/cate3cifre&amp;sa=D&amp;ust=1605639832356000&amp;usg=AFQjCNFaaLxnmJRNc9Nh6NlGnW6OzSFVvw" xr:uid="{35DF7ABE-3791-4FEF-B027-BA3DA67F0BAD}"/>
    <hyperlink ref="F818" r:id="rId1420" display="https://www.google.com/url?q=https://github.com/stefdasca/CompetitiveProgramming/blob/master/Infoarena/cate3cifre.cpp&amp;sa=D&amp;ust=1605639832356000&amp;usg=AFQjCNEdNcu80La4m8ab1HIjxkQGNHGZ4g" xr:uid="{D18443CC-D5A8-4B8E-B603-6E1AAF39BD71}"/>
    <hyperlink ref="B819" r:id="rId1421" display="https://www.google.com/url?q=https://www.infoarena.ro/problema/cerc3&amp;sa=D&amp;ust=1605639832357000&amp;usg=AFQjCNF9DpwlhiQWKKoCsb_DfE8c987QLw" xr:uid="{6CD109C6-BFDA-4E55-B8BE-4A574625D4FE}"/>
    <hyperlink ref="F819" r:id="rId1422" display="https://www.google.com/url?q=https://github.com/stefdasca/CompetitiveProgramming/blob/master/Infoarena/cerc3.cpp&amp;sa=D&amp;ust=1605639832357000&amp;usg=AFQjCNEbIrCtzBCwYAGCnm4Pdl0zNw_ToA" xr:uid="{680A4A03-DEFD-431D-8EF5-EA14E71B711C}"/>
    <hyperlink ref="B820" r:id="rId1423" display="https://www.google.com/url?q=https://www.infoarena.ro/problema/cifra4&amp;sa=D&amp;ust=1605639832357000&amp;usg=AFQjCNFiFwO29INuPthUfKT5RfPw2IHHnQ" xr:uid="{A810F41E-C14C-49B8-A8D5-5D8A6A328529}"/>
    <hyperlink ref="F820" r:id="rId1424" display="https://www.google.com/url?q=https://github.com/stefdasca/CompetitiveProgramming/blob/master/Infoarena/cifra4.cpp&amp;sa=D&amp;ust=1605639832357000&amp;usg=AFQjCNFnt_m4j3pJW0OW6Y509UK8rFR9dg" xr:uid="{F06BFD46-ACA6-46E2-B2D0-D72B07AF0832}"/>
    <hyperlink ref="B821" r:id="rId1425" display="https://www.google.com/url?q=https://www.infoarena.ro/problema/cifru&amp;sa=D&amp;ust=1605639832358000&amp;usg=AFQjCNG5yNYyedXTMSXoqScmcH6279OgEQ" xr:uid="{366CD746-43C7-4972-B8DB-2B019DB7698A}"/>
    <hyperlink ref="F821" r:id="rId1426" display="https://www.google.com/url?q=https://github.com/stefdasca/CompetitiveProgramming/blob/master/Infoarena/cifru.cpp&amp;sa=D&amp;ust=1605639832358000&amp;usg=AFQjCNHi0OmTbGVhnW5Wg5OaERLExaPNAg" xr:uid="{F7F04E2D-EF7C-4CD1-9CC5-E1654ADF92B5}"/>
    <hyperlink ref="B822" r:id="rId1427" display="https://www.google.com/url?q=https://www.infoarena.ro/problema/cladiri&amp;sa=D&amp;ust=1605639832358000&amp;usg=AFQjCNGw2qWYLUgmUhWM3DXGzRceVBKHBQ" xr:uid="{B3B59580-0740-44D6-8AB9-820946107D50}"/>
    <hyperlink ref="F822" r:id="rId1428" display="https://www.google.com/url?q=https://github.com/stefdasca/CompetitiveProgramming/blob/master/Infoarena/cladiri.cpp&amp;sa=D&amp;ust=1605639832358000&amp;usg=AFQjCNGDrxvSH2zwYqPycy2ogYvZf4itVA" xr:uid="{BA97314B-4F11-488C-85E7-5444FD51F274}"/>
    <hyperlink ref="B823" r:id="rId1429" display="https://www.google.com/url?q=https://www.infoarena.ro/problema/cmmp&amp;sa=D&amp;ust=1605639832358000&amp;usg=AFQjCNGy4LXybsb907p-IOzV4srU5nYVzA" xr:uid="{8F55B15A-E0A5-4714-92E7-67C8F7FE0D86}"/>
    <hyperlink ref="F823" r:id="rId1430" display="https://www.google.com/url?q=https://github.com/stefdasca/CompetitiveProgramming/blob/master/Infoarena/cmmp.cpp&amp;sa=D&amp;ust=1605639832358000&amp;usg=AFQjCNHr5WwHozAMTYfloh0IRA4Y9Ql4YQ" xr:uid="{592361D7-A249-422A-9F80-8E333421C75D}"/>
    <hyperlink ref="B824" r:id="rId1431" display="https://www.google.com/url?q=https://www.infoarena.ro/problema/color&amp;sa=D&amp;ust=1605639832359000&amp;usg=AFQjCNE0E_RhpKjlMvaZvulEPE6DB40wMQ" xr:uid="{F410772F-F1AE-4582-9FBF-8E9CF9480449}"/>
    <hyperlink ref="F824" r:id="rId1432" display="https://www.google.com/url?q=https://github.com/stefdasca/CompetitiveProgramming/blob/master/Infoarena/color.cpp&amp;sa=D&amp;ust=1605639832359000&amp;usg=AFQjCNH-k9yrtTCE-11FjDUx3d1Vqc_glg" xr:uid="{D4A0E995-880B-4D55-B55A-55F6941D31D7}"/>
    <hyperlink ref="B825" r:id="rId1433" display="https://www.google.com/url?q=https://www.infoarena.ro/problema/color5&amp;sa=D&amp;ust=1605639832359000&amp;usg=AFQjCNGX1FchLeTgUfZWGZzb578Ag6XeOA" xr:uid="{4BA93873-8289-4691-8CB7-B9E69863E27D}"/>
    <hyperlink ref="B826" r:id="rId1434" display="https://www.google.com/url?q=http://www.infoarena.ro/problema/copaci&amp;sa=D&amp;ust=1605639832359000&amp;usg=AFQjCNH5mE5GQEgESvosfUHTBoPmPrAY5g" xr:uid="{C4A24FA7-9C39-45B5-990B-EC46B97127C9}"/>
    <hyperlink ref="F826" r:id="rId1435" display="https://www.google.com/url?q=https://ideone.com/iT1ggW&amp;sa=D&amp;ust=1605639832360000&amp;usg=AFQjCNGF_jx1VRQLcv31nrJ_1613hEiaZg" xr:uid="{7E0C06F0-30D1-45C8-9605-86614EA7E831}"/>
    <hyperlink ref="B827" r:id="rId1436" display="https://www.google.com/url?q=https://www.infoarena.ro/problema/copii2&amp;sa=D&amp;ust=1605639832360000&amp;usg=AFQjCNEyhcEfwNRNqFr9sckPkl9FXwVENg" xr:uid="{28ECE7D2-2F5C-4EE1-B4BD-E62802B02D3D}"/>
    <hyperlink ref="F827" r:id="rId1437" display="https://www.google.com/url?q=https://github.com/stefdasca/CompetitiveProgramming/blob/master/Infoarena/copii2.cpp&amp;sa=D&amp;ust=1605639832360000&amp;usg=AFQjCNEmfRiB6gV4_ssbcIFw_85-rCz3bQ" xr:uid="{CFB73109-76E5-43EB-BA95-F0F02464F702}"/>
    <hyperlink ref="B828" r:id="rId1438" display="https://www.google.com/url?q=https://www.infoarena.ro/problema/countfefete&amp;sa=D&amp;ust=1605639832360000&amp;usg=AFQjCNGu0fqdjrqit49pyRXf-ERs21yzvA" xr:uid="{A753D580-5444-4D01-805A-1945354F6AE1}"/>
    <hyperlink ref="F828" r:id="rId1439" display="https://www.google.com/url?q=https://github.com/mostafa-saad/MyCompetitiveProgramming/blob/master/Olympiad/infoarena/infoarena_countfefete.txt&amp;sa=D&amp;ust=1605639832360000&amp;usg=AFQjCNH_nW0fY5xLBIZ-wkLXOuGGs9yzQA" xr:uid="{3DE030CA-7F58-4FD6-9F1B-E87075FA69F1}"/>
    <hyperlink ref="B829" r:id="rId1440" display="https://www.google.com/url?q=https://www.infoarena.ro/problema/cover&amp;sa=D&amp;ust=1605639832361000&amp;usg=AFQjCNE5aq8C42WCbVI7SBxpLCVCIIGJsA" xr:uid="{69967E00-0589-4D2C-8900-9121D9843F22}"/>
    <hyperlink ref="F829" r:id="rId1441" display="https://www.google.com/url?q=https://github.com/stefdasca/CompetitiveProgramming/blob/master/Infoarena/cover.cpp&amp;sa=D&amp;ust=1605639832361000&amp;usg=AFQjCNE5rDwfUWuGiWCxK9x2QTT9hJdU3g" xr:uid="{1849C986-762D-48DD-9CEE-18132C2E9BFF}"/>
    <hyperlink ref="B830" r:id="rId1442" display="https://www.google.com/url?q=https://www.infoarena.ro/problema/covor&amp;sa=D&amp;ust=1605639832361000&amp;usg=AFQjCNFyKQYDaLad2U8IxlcXwgiUtguM9A" xr:uid="{1A3290D9-A701-4C3F-A1BE-3E5E64D88F11}"/>
    <hyperlink ref="F830" r:id="rId1443" display="https://www.google.com/url?q=https://github.com/stefdasca/CompetitiveProgramming/blob/master/Infoarena/covor&amp;sa=D&amp;ust=1605639832361000&amp;usg=AFQjCNFjzFNarpjeThimaHQqZimokFj33A" xr:uid="{AFEC0563-3CA0-459C-ADD4-D825D5866747}"/>
    <hyperlink ref="B831" r:id="rId1444" display="https://www.google.com/url?q=https://www.infoarena.ro/problema/euclid1&amp;sa=D&amp;ust=1605639832361000&amp;usg=AFQjCNHxcSuYDB_UZ29QKs9WJWrfCgIFNQ" xr:uid="{058D0BA6-CA91-41F0-BA16-1659E7534EBC}"/>
    <hyperlink ref="F831" r:id="rId1445" display="https://www.google.com/url?q=https://github.com/stefdasca/CompetitiveProgramming/blob/master/Infoarena/cuiburi.cpp&amp;sa=D&amp;ust=1605639832361000&amp;usg=AFQjCNE4__Cil_iCVIYdJFCefZZIb-f9OA" xr:uid="{3B5171DB-57AC-4E49-BE22-DA3B5B653D8A}"/>
    <hyperlink ref="B832" r:id="rId1446" display="https://www.google.com/url?q=https://www.infoarena.ro/problema/culmi&amp;sa=D&amp;ust=1605639832362000&amp;usg=AFQjCNGDy0D3NBkGVzgV1J_7hUPOl6yHZg" xr:uid="{EBFF9E12-E681-4574-9329-487444E4DE3F}"/>
    <hyperlink ref="F832" r:id="rId1447" display="https://www.google.com/url?q=https://github.com/stefdasca/CompetitiveProgramming/blob/master/Infoarena/culmi.cpp&amp;sa=D&amp;ust=1605639832362000&amp;usg=AFQjCNFz17YWQRR31Ffr7U_lpp6FcyGCDQ" xr:uid="{25378078-0DE5-49D8-9332-36140F8E17ED}"/>
    <hyperlink ref="B833" r:id="rId1448" display="https://www.google.com/url?q=https://www.infoarena.ro/problema/cuplaje&amp;sa=D&amp;ust=1605639832362000&amp;usg=AFQjCNEHCfehi9IY5ysZ9b6QjlCHh-ntjg" xr:uid="{DCF4AC43-245B-4C50-B552-74153D997B6A}"/>
    <hyperlink ref="B834" r:id="rId1449" display="https://www.google.com/url?q=https://www.infoarena.ro/problema/curent&amp;sa=D&amp;ust=1605639832362000&amp;usg=AFQjCNHkC0kjw0vfXT2bb60U8OHjqrNSUg" xr:uid="{42AB56BE-2BEC-45EC-A5B6-0DE7A8A3D9DB}"/>
    <hyperlink ref="F834" r:id="rId1450" display="https://www.google.com/url?q=https://github.com/stefdasca/CompetitiveProgramming/blob/master/Infoarena/curent.cpp&amp;sa=D&amp;ust=1605639832363000&amp;usg=AFQjCNFxmSXi-I-xT0KQieijn7XKo9M0MA" xr:uid="{B30A7446-0CB3-48BB-997E-66630E28728C}"/>
    <hyperlink ref="B835" r:id="rId1451" display="https://www.google.com/url?q=https://www.infoarena.ro/problema/asmin&amp;sa=D&amp;ust=1605639832363000&amp;usg=AFQjCNFNCeBkDqsJk06DyYOMUpR0ifBnTw" xr:uid="{7F81FF18-567C-48A9-ABA7-F7416475EC2C}"/>
    <hyperlink ref="F835" r:id="rId1452" display="https://www.google.com/url?q=https://github.com/stefdasca/CompetitiveProgramming/blob/master/Infoarena/danger.cpp&amp;sa=D&amp;ust=1605639832363000&amp;usg=AFQjCNFeAhQg54VtaScfoiWt8421fZwbtw" xr:uid="{7DD5702E-53AB-4F57-ACF8-071B60D8D0BA}"/>
    <hyperlink ref="B836" r:id="rId1453" display="https://www.google.com/url?q=https://infoarena.ro/problema/deletegcd&amp;sa=D&amp;ust=1605639832363000&amp;usg=AFQjCNEMds1vJOYQK39hunBUQWvAsAavYg" xr:uid="{CC5BE10B-F283-4ACF-8EE7-75F537A757F2}"/>
    <hyperlink ref="F836" r:id="rId1454" display="https://www.google.com/url?q=https://github.com/mostafa-saad/MyCompetitiveProgramming/blob/master/Olympiad/infoarena/infoarena_deletegcd.txt&amp;sa=D&amp;ust=1605639832364000&amp;usg=AFQjCNEhv11MKIqijStiuNDRFbpzLxJ0Dw" xr:uid="{727C2E80-B307-4CEE-92EE-1D1BC18B4F85}"/>
    <hyperlink ref="B837" r:id="rId1455" display="https://www.google.com/url?q=https://www.infoarena.ro/problema/desc&amp;sa=D&amp;ust=1605639832365000&amp;usg=AFQjCNFgO1Ggc-veV1vgP_z4VeZSAK38wg" xr:uid="{AFC5AA0A-60BF-44D6-AA28-EA0CB2972744}"/>
    <hyperlink ref="F837" r:id="rId1456" display="https://www.google.com/url?q=https://github.com/mostafa-saad/MyCompetitiveProgramming/blob/master/Olympiad/infoarena/Infoarena_Desc.txt&amp;sa=D&amp;ust=1605639832365000&amp;usg=AFQjCNGnwakBPAY4pS4Zb-Hh4knngVjreQ" xr:uid="{38E36685-8F80-4125-9A48-C8CEB587CF05}"/>
    <hyperlink ref="B838" r:id="rId1457" display="https://www.google.com/url?q=https://www.infoarena.ro/problema/disconnect&amp;sa=D&amp;ust=1605639832366000&amp;usg=AFQjCNGNpYSzQ3uVKnxqaTDTkNK6I-LyLw" xr:uid="{E38DC1A6-0A87-444F-9A74-C66F9492467C}"/>
    <hyperlink ref="F838" r:id="rId1458" display="https://www.google.com/url?q=https://github.com/mostafa-saad/MyCompetitiveProgramming/blob/master/Olympiad/infoarena/infoarena-disconnect.txt&amp;sa=D&amp;ust=1605639832366000&amp;usg=AFQjCNE5eQ3HIDy4_trWLCLlZ_KF0m0scQ" xr:uid="{381DCDDB-CAD6-4488-808E-31531CDF0F18}"/>
    <hyperlink ref="B839" r:id="rId1459" display="https://www.google.com/url?q=https://www.infoarena.ro/problema/drept2&amp;sa=D&amp;ust=1605639832366000&amp;usg=AFQjCNHeManH2nU_m210jU11PwD3z1tjeQ" xr:uid="{7D25066C-2F90-4F67-A5DA-9A81E203B082}"/>
    <hyperlink ref="B840" r:id="rId1460" display="https://www.google.com/url?q=https://github.com/mostafa-saad/MyCompetitiveProgramming/blob/master/Olympiad/infoarena/drumuri5-statement.txt&amp;sa=D&amp;ust=1605639832367000&amp;usg=AFQjCNG5EDZJdU_uqJLuufJM5KtISTqvhw" xr:uid="{FB65C81D-A34B-4251-AFB9-C434E1283C13}"/>
    <hyperlink ref="F840" r:id="rId1461" display="https://www.google.com/url?q=https://github.com/stefdasca/CompetitiveProgramming/blob/master/Infoarena/drumuri5.cpp&amp;sa=D&amp;ust=1605639832367000&amp;usg=AFQjCNEJ2Z726WcufuJMt4Jq-t8QSYTK5Q" xr:uid="{81AB5188-10CA-4226-8AE3-DFC1364CDDC3}"/>
    <hyperlink ref="B841" r:id="rId1462" display="https://www.google.com/url?q=http://infoarena.ro/problema/engineer&amp;sa=D&amp;ust=1605639832367000&amp;usg=AFQjCNHrWx9w-1FOLmJs4sZDbFJRa97mgQ" xr:uid="{1A939549-B267-47C5-A812-6FD001B71251}"/>
    <hyperlink ref="F841" r:id="rId1463" display="https://www.google.com/url?q=https://github.com/stefdasca/CompetitiveProgramming/blob/master/Infoarena/engineer.cpp&amp;sa=D&amp;ust=1605639832367000&amp;usg=AFQjCNFrrUQoUo7smg3WVASqDYg3h4s3zg" xr:uid="{5B4D09E2-49F4-44EC-8026-AB912E4E524A}"/>
    <hyperlink ref="B842" r:id="rId1464" display="https://www.google.com/url?q=https://infoarena.ro/problema/eq&amp;sa=D&amp;ust=1605639832368000&amp;usg=AFQjCNGpdlz1irk8AttsCu9TOUhHApAoQQ" xr:uid="{2A1852AE-E980-4C18-A883-E810DD45C00E}"/>
    <hyperlink ref="F842" r:id="rId1465" display="https://www.google.com/url?q=https://github.com/mostafa-saad/MyCompetitiveProgramming/blob/master/Olympiad/infoarena/infoarena-eq.txt&amp;sa=D&amp;ust=1605639832369000&amp;usg=AFQjCNFX7ylWEiDHSCeDj7SYHq2CZkeaVA" xr:uid="{692D82C0-1B81-4144-AC75-CD854BF45F84}"/>
    <hyperlink ref="B843" r:id="rId1466" display="https://www.google.com/url?q=https://www.infoarena.ro/problema/fft2d&amp;sa=D&amp;ust=1605639832369000&amp;usg=AFQjCNHAP9Cw56KIfvgHw_uS7-VvH697TQ" xr:uid="{56C44043-BC8F-46B8-AC75-5FACEF50CC38}"/>
    <hyperlink ref="F843" r:id="rId1467" display="https://www.google.com/url?q=https://github.com/mostafa-saad/MyCompetitiveProgramming/blob/master/Olympiad/infoarena/infoarena_fft2d.txt&amp;sa=D&amp;ust=1605639832369000&amp;usg=AFQjCNEw1El1jeVQ8wUZgcNwMbGELcVC8w" xr:uid="{BBBA9CE8-16A0-4457-B2D7-423B4FD9ED41}"/>
    <hyperlink ref="B844" r:id="rId1468" display="https://www.google.com/url?q=https://www.infoarena.ro/problema/fibo4&amp;sa=D&amp;ust=1605639832370000&amp;usg=AFQjCNGwO1K3Cjp-OrWzmneKeLysVwcUUw" xr:uid="{35C46CCE-DE09-42B8-BE58-139B0E2E66FC}"/>
    <hyperlink ref="F844" r:id="rId1469" display="https://www.google.com/url?q=https://github.com/mostafa-saad/MyCompetitiveProgramming/blob/master/Olympiad/infoarena/infoarena_fibo4.txt&amp;sa=D&amp;ust=1605639832370000&amp;usg=AFQjCNHNA6K5-yLekQFwMQ0x0Ng1mD5ZUg" xr:uid="{B6C67368-EA92-403C-9CE8-01297A0DCDC0}"/>
    <hyperlink ref="B845" r:id="rId1470" display="https://www.google.com/url?q=https://www.infoarena.ro/problema/grea&amp;sa=D&amp;ust=1605639832370000&amp;usg=AFQjCNEx4l5uJxihUT-SaFH0erJhIvXsSg" xr:uid="{E9D963E5-4A2A-4520-B690-4323373300EF}"/>
    <hyperlink ref="F845" r:id="rId1471" display="https://www.google.com/url?q=https://github.com/stefdasca/CompetitiveProgramming/blob/master/Infoarena/grea.cpp&amp;sa=D&amp;ust=1605639832370000&amp;usg=AFQjCNEIqlBJgvALxJH8b8EfHlDheR9FMw" xr:uid="{19AC8D7E-8345-487D-B943-A79F758F5F94}"/>
    <hyperlink ref="B846" r:id="rId1472" display="https://www.google.com/url?q=https://www.infoarena.ro/problema/greutati&amp;sa=D&amp;ust=1605639832371000&amp;usg=AFQjCNGCaujwbfTOSLEi1ret4df0UWarVg" xr:uid="{58784084-165D-4B37-9CE6-79ECDD205381}"/>
    <hyperlink ref="F846" r:id="rId1473" display="https://www.google.com/url?q=https://github.com/stefdasca/CompetitiveProgramming/blob/master/Infoarena/greutati.cpp&amp;sa=D&amp;ust=1605639832371000&amp;usg=AFQjCNGD_pcMUz5U9IDVtoBpYNh2vvprJg" xr:uid="{BD4528FB-B81F-4D44-B4F0-2C9BD6E1F700}"/>
    <hyperlink ref="B847" r:id="rId1474" display="https://www.google.com/url?q=https://infoarena.ro/problema/hacker2&amp;sa=D&amp;ust=1605639832371000&amp;usg=AFQjCNGvKAjFaGfOC9xu4mVf8_Nk7wcAyw" xr:uid="{A4B2C19A-E2E0-4CC1-BDA2-E7AF205ED3B2}"/>
    <hyperlink ref="F847" r:id="rId1475" display="https://www.google.com/url?q=https://github.com/stefdasca/CompetitiveProgramming/blob/master/Infoarena/hacker2.cpp&amp;sa=D&amp;ust=1605639832372000&amp;usg=AFQjCNEKrv7PX52aBXJ2IQdNiNTXpV4Czg" xr:uid="{0C4BBD88-EAFA-4A6F-AE39-E4732D1157E6}"/>
    <hyperlink ref="B848" r:id="rId1476" display="https://www.google.com/url?q=https://www.infoarena.ro/problema/heavymetal&amp;sa=D&amp;ust=1605639832372000&amp;usg=AFQjCNFuTbRS-stPnds454rWAjiGSjRXuw" xr:uid="{F269DC53-C784-490C-A179-93356B9138BE}"/>
    <hyperlink ref="F848" r:id="rId1477" display="https://www.google.com/url?q=https://github.com/stefdasca/CompetitiveProgramming/blob/master/Infoarena/heavymetal.cpp&amp;sa=D&amp;ust=1605639832372000&amp;usg=AFQjCNE4FS8SVUIBCI1DQ9UEdeef0HLrRA" xr:uid="{84BFAD3B-F6E3-4CF3-8C0F-470C502B1465}"/>
    <hyperlink ref="B849" r:id="rId1478" display="https://www.google.com/url?q=https://www.infoarena.ro/problema/identice&amp;sa=D&amp;ust=1605639832373000&amp;usg=AFQjCNFuZItftArN4Zk6YphNTocyQoSfNg" xr:uid="{A17746DB-17D1-47BD-89E7-E8C5B470BCE4}"/>
    <hyperlink ref="F849" r:id="rId1479" display="https://www.google.com/url?q=https://github.com/stefdasca/CompetitiveProgramming/blob/master/Infoarena/identice&amp;sa=D&amp;ust=1605639832373000&amp;usg=AFQjCNFgy2tH1l-ihv4HP2dENOe7t3paIA" xr:uid="{7E429B5A-BFE4-445D-98F5-21091FB46F17}"/>
    <hyperlink ref="B850" r:id="rId1480" display="https://www.google.com/url?q=https://www.infoarena.ro/problema/incurcatura&amp;sa=D&amp;ust=1605639832373000&amp;usg=AFQjCNHS5DjTAyBytA3nS10Gkchqp0lBLA" xr:uid="{C1A72DF6-87AC-4D25-9280-3FB8FE2411A9}"/>
    <hyperlink ref="F850" r:id="rId1481" display="https://www.google.com/url?q=https://github.com/stefdasca/CompetitiveProgramming/blob/master/Infoarena/incurcatura.cpp&amp;sa=D&amp;ust=1605639832373000&amp;usg=AFQjCNFtLh0O4cOrljfI8do1RYNnBypyuA" xr:uid="{CB3F7A69-F000-424C-8152-FBAD6335FA52}"/>
    <hyperlink ref="B851" r:id="rId1482" display="https://www.google.com/url?q=https://www.infoarena.ro/problema/interact&amp;sa=D&amp;ust=1605639832374000&amp;usg=AFQjCNFNJifEjoePFxKv7jnTW3YJz81mqw" xr:uid="{AEBD4714-9247-4D6B-9A7D-9D5ACFE84393}"/>
    <hyperlink ref="F851" r:id="rId1483" display="https://www.google.com/url?q=https://github.com/mostafa-saad/MyCompetitiveProgramming/blob/master/Olympiad/infoarena/infoarena-interact.txt&amp;sa=D&amp;ust=1605639832374000&amp;usg=AFQjCNFYVQ-0cBMoc8zl7ny6CaWGrxvSLw" xr:uid="{26BA3ED8-57C9-424B-A08E-E1E658335F47}"/>
    <hyperlink ref="B852" r:id="rId1484" display="https://www.google.com/url?q=https://www.infoarena.ro/problema/jap2&amp;sa=D&amp;ust=1605639832374000&amp;usg=AFQjCNEaDLtqjWouS98IDKUReV1l0TSROw" xr:uid="{42D572B5-3740-4179-8F82-EFE9959EC550}"/>
    <hyperlink ref="F852" r:id="rId1485" display="https://www.google.com/url?q=https://github.com/mostafa-saad/MyCompetitiveProgramming/blob/master/Olympiad/infoarena/infoarena-jap2.txt&amp;sa=D&amp;ust=1605639832374000&amp;usg=AFQjCNHG_apn6myoY3mUdA0-ie9eKvEYFw" xr:uid="{F0931C70-1E08-40EF-986D-77C7D61F743E}"/>
    <hyperlink ref="B853" r:id="rId1486" display="https://www.google.com/url?q=https://www.infoarena.ro/problema/jsched&amp;sa=D&amp;ust=1605639832375000&amp;usg=AFQjCNGBhzFWqT2r2uMdrehTLER6cGb6Bg" xr:uid="{EAD52A9C-7268-4680-9090-7BC3C85A8F18}"/>
    <hyperlink ref="F853" r:id="rId1487" display="https://www.google.com/url?q=https://github.com/stefdasca/CompetitiveProgramming/blob/master/Infoarena/jsched.cpp&amp;sa=D&amp;ust=1605639832375000&amp;usg=AFQjCNFyGpESlsqNt6n0-cyrd1chcvJq9w" xr:uid="{EC20E317-6FC9-471B-88F5-432D69D53743}"/>
    <hyperlink ref="B854" r:id="rId1488" display="https://www.google.com/url?q=https://www.infoarena.ro/problema/karb&amp;sa=D&amp;ust=1605639832376000&amp;usg=AFQjCNHhTPG7WMvc_BW_jaSc2mfOCvNBSg" xr:uid="{FC22F07E-45EF-4417-8744-FF2E301A4BB6}"/>
    <hyperlink ref="F854" r:id="rId1489" display="https://www.google.com/url?q=https://github.com/mostafa-saad/MyCompetitiveProgramming/blob/master/Olympiad/infoarena/infoarena-karb.txt&amp;sa=D&amp;ust=1605639832377000&amp;usg=AFQjCNH27K5YDevaXTXlRmfvTTuX0QhO9Q" xr:uid="{C9373893-6741-4BEF-BAA5-6FBBE47C169C}"/>
    <hyperlink ref="B855" r:id="rId1490" display="https://www.google.com/url?q=https://www.infoarena.ro/problema/kcover&amp;sa=D&amp;ust=1605639832377000&amp;usg=AFQjCNGeIAzLqL1Kl4w81jO7rKiJkxjxzw" xr:uid="{A0A1711E-6BCB-4867-9761-1BBA0292B756}"/>
    <hyperlink ref="F855" r:id="rId1491" display="https://www.google.com/url?q=https://github.com/stefdasca/CompetitiveProgramming/blob/master/Infoarena/kcover.cpp&amp;sa=D&amp;ust=1605639832377000&amp;usg=AFQjCNFSAJrqOadVje6EIpU0_Ugn_3DCUg" xr:uid="{4958DA77-61E5-41EA-A366-14578C74F989}"/>
    <hyperlink ref="B856" r:id="rId1492" display="https://www.google.com/url?q=https://infoarena.ro/problema/kdtree&amp;sa=D&amp;ust=1605639832378000&amp;usg=AFQjCNEV34R-mvOyI9rPwe09sOOZCgfdEw" xr:uid="{B1EAE1B5-FEBC-4DE5-BD20-505539F9FA39}"/>
    <hyperlink ref="F856" r:id="rId1493" display="https://www.google.com/url?q=https://github.com/stefdasca/CompetitiveProgramming/blob/master/Infoarena/kdtree.cpp&amp;sa=D&amp;ust=1605639832378000&amp;usg=AFQjCNHYV4Jqz5KL2Zo0XRJYss5TX9rchg" xr:uid="{38BF765D-7E07-4B98-A7BD-225CB7FD3766}"/>
    <hyperlink ref="B857" r:id="rId1494" display="https://www.google.com/url?q=https://www.infoarena.ro/problema/kinder&amp;sa=D&amp;ust=1605639832378000&amp;usg=AFQjCNFzPwFaG5oW1nCAUEhEppmsnMNpww" xr:uid="{EAB3FB16-B1D3-4301-B6EC-D8D107FC851D}"/>
    <hyperlink ref="F857" r:id="rId1495" display="https://www.google.com/url?q=https://github.com/stefdasca/CompetitiveProgramming/blob/master/Infoarena/kinder.cpp&amp;sa=D&amp;ust=1605639832378000&amp;usg=AFQjCNGQakvbZfQ5s2t9EMOTP4A4zrtTLw" xr:uid="{D6990220-2409-4391-9251-2DF66753C80B}"/>
    <hyperlink ref="B858" r:id="rId1496" display="https://www.google.com/url?q=https://www.infoarena.ro/problema/ksecv&amp;sa=D&amp;ust=1605639832379000&amp;usg=AFQjCNGROSoQ1NIhKJbnib885VcU2e-fsA" xr:uid="{C0902500-2354-4455-9E5E-FD6E4CEEA903}"/>
    <hyperlink ref="F858" r:id="rId1497" display="https://www.google.com/url?q=https://github.com/stefdasca/CompetitiveProgramming/blob/master/Infoarena/ksecv.cpp&amp;sa=D&amp;ust=1605639832379000&amp;usg=AFQjCNEO6YKoAvNv279xuOHfTwXnZMv-OQ" xr:uid="{B0425E13-78D2-450D-93D7-B59E9155161D}"/>
    <hyperlink ref="B859" r:id="rId1498" display="https://www.google.com/url?q=https://www.infoarena.ro/problema/lautari&amp;sa=D&amp;ust=1605639832379000&amp;usg=AFQjCNFqIPpJwsK1cYSeDP6dL44C74Ompg" xr:uid="{EBFA8D0C-C49D-4C30-84E6-5960C06E9E54}"/>
    <hyperlink ref="F859" r:id="rId1499" display="https://www.google.com/url?q=https://github.com/stefdasca/CompetitiveProgramming/blob/master/Infoarena/lautari.cpp&amp;sa=D&amp;ust=1605639832380000&amp;usg=AFQjCNHbhEzRrkxRmL1uak0SmCOo7WAIUw" xr:uid="{CF4A6C85-5196-484A-9EBD-7A79A5005A43}"/>
    <hyperlink ref="B860" r:id="rId1500" display="https://www.google.com/url?q=https://www.infoarena.ro/problema/lcdr&amp;sa=D&amp;ust=1605639832380000&amp;usg=AFQjCNFw41ckW_NGD0YqtTkxON2L_TqiJQ" xr:uid="{C1058987-4EE6-49F1-89EB-CBA99A05EE74}"/>
    <hyperlink ref="F860" r:id="rId1501" display="https://www.google.com/url?q=https://github.com/mostafa-saad/MyCompetitiveProgramming/blob/master/Olympiad/infoarena/infoarena_lcdr.txt&amp;sa=D&amp;ust=1605639832380000&amp;usg=AFQjCNHIqvmhmQVxK_0Z4de7nT6iQKTRJA" xr:uid="{F53A60C1-AD99-42E1-9024-DC81394C2212}"/>
    <hyperlink ref="B861" r:id="rId1502" display="https://www.google.com/url?q=https://www.infoarena.ro/problema/marceland&amp;sa=D&amp;ust=1605639832381000&amp;usg=AFQjCNFc2TYktTJgjW1OxdUkDxKxV9IxNw" xr:uid="{E61B090A-620E-4A12-A4BF-8061066A026A}"/>
    <hyperlink ref="F861" r:id="rId1503" display="https://www.google.com/url?q=https://github.com/stefdasca/CompetitiveProgramming/blob/master/Infoarena/marceland.cpp&amp;sa=D&amp;ust=1605639832381000&amp;usg=AFQjCNHIonX0LuqG9OEpvGFgmrtvwTCsOQ" xr:uid="{1FA445E4-9A4B-4B95-87BA-10825F785B57}"/>
    <hyperlink ref="B862" r:id="rId1504" display="https://www.google.com/url?q=https://www.infoarena.ro/problema/matcnt&amp;sa=D&amp;ust=1605639832381000&amp;usg=AFQjCNFGz9gkFjd5ogszsn2i57kZ1zK-5A" xr:uid="{1E13EDFA-4B7E-4F92-AA3A-D18DC684E888}"/>
    <hyperlink ref="F862" r:id="rId1505" display="https://www.google.com/url?q=https://github.com/mostafa-saad/MyCompetitiveProgramming/blob/master/Olympiad/infoarena/infoarena_matcnt.txt&amp;sa=D&amp;ust=1605639832382000&amp;usg=AFQjCNFtEn-_pT6G3hhZTc9ac55yNjDEVg" xr:uid="{41361391-8A37-4586-9A38-1B3F4684240E}"/>
    <hyperlink ref="B863" r:id="rId1506" display="https://www.google.com/url?q=https://www.infoarena.ro/problema/matrice&amp;sa=D&amp;ust=1605639832382000&amp;usg=AFQjCNGWnlTJ4LBAxRWRGS80HDLbVlSpeA" xr:uid="{401BC36A-CDBD-44D6-A57C-FDEF03F480F1}"/>
    <hyperlink ref="F863" r:id="rId1507" display="https://www.google.com/url?q=https://github.com/stefdasca/CompetitiveProgramming/blob/master/Infoarena/matrice.cpp&amp;sa=D&amp;ust=1605639832382000&amp;usg=AFQjCNHV6Clb_9y6XqjosdFuq_MCGD2hoQ" xr:uid="{C5FADBD7-8B9F-4DC3-BE61-391EEFEB21C9}"/>
    <hyperlink ref="B864" r:id="rId1508" display="https://www.google.com/url?q=https://www.infoarena.ro/problema/matrice2&amp;sa=D&amp;ust=1605639832382000&amp;usg=AFQjCNGdQpAANASwukhAv9XdCmCXIaY3EA" xr:uid="{CBC5B5B1-398E-4467-85F5-EC037226F891}"/>
    <hyperlink ref="F864" r:id="rId1509" display="https://www.google.com/url?q=https://github.com/mostafa-saad/MyCompetitiveProgramming/blob/master/Olympiad/infoarena/infoarena_matrice2.txt&amp;sa=D&amp;ust=1605639832383000&amp;usg=AFQjCNET0-jNQm86mH-75UOGo9pIFYMKQQ" xr:uid="{37F92873-F77C-4E8A-9CB2-B172F23520CA}"/>
    <hyperlink ref="B865" r:id="rId1510" display="https://www.google.com/url?q=https://infoarena.ro/problema/maxdist&amp;sa=D&amp;ust=1605639832383000&amp;usg=AFQjCNFVeCgpmIkUpF7hCF4glVDlfkHjlQ" xr:uid="{D3612275-62BA-4C34-98E9-9FBB6FF88FF8}"/>
    <hyperlink ref="F865" r:id="rId1511" display="https://www.google.com/url?q=https://github.com/mostafa-saad/MyCompetitiveProgramming/blob/master/Olympiad/infoarena/infoarena_maxdist.txt&amp;sa=D&amp;ust=1605639832383000&amp;usg=AFQjCNEMgsaumlcwdr9RYSIl4QyBHdhRNQ" xr:uid="{5C94B24C-76FA-4D16-AEEE-CFC61E6063AE}"/>
    <hyperlink ref="B866" r:id="rId1512" display="https://www.google.com/url?q=https://www.infoarena.ro/problema/meneaito&amp;sa=D&amp;ust=1605639832384000&amp;usg=AFQjCNEiS7B06_DwEfahKssB8Bs9LjsQLw" xr:uid="{A545038C-ACD7-40A4-AE87-552208A4A393}"/>
    <hyperlink ref="F866" r:id="rId1513" display="https://www.google.com/url?q=https://github.com/stefdasca/CompetitiveProgramming/blob/master/Infoarena/meneaito.cpp&amp;sa=D&amp;ust=1605639832384000&amp;usg=AFQjCNHlRlwR9rBMh1UaPTxwPEH6vrtrNQ" xr:uid="{8DE2F960-3F13-408B-8094-DF1F54A46042}"/>
    <hyperlink ref="B867" r:id="rId1514" display="https://www.google.com/url?q=https://infoarena.ro/problema/metrouri&amp;sa=D&amp;ust=1605639832384000&amp;usg=AFQjCNEx5L6TbOqBcYrftDob51zr-XJrRg" xr:uid="{4A019A29-6305-4DC7-935B-6546A3AA76ED}"/>
    <hyperlink ref="F867" r:id="rId1515" display="https://www.google.com/url?q=https://github.com/stefdasca/CompetitiveProgramming/blob/master/Infoarena/metrouri.cpp&amp;sa=D&amp;ust=1605639832385000&amp;usg=AFQjCNGadix7eq82wLF8VUUTyehnBbgoWw" xr:uid="{C67CA3A6-4AD2-4E32-90DC-5AC3D3AE3820}"/>
    <hyperlink ref="B868" r:id="rId1516" display="https://www.google.com/url?q=https://www.infoarena.ro/problema/mexc&amp;sa=D&amp;ust=1605639832385000&amp;usg=AFQjCNG1DB7UFIajHpqcCcYm5x6y_WFOWw" xr:uid="{295686B2-AD3C-4A8C-8F9A-944D35C11134}"/>
    <hyperlink ref="F868" r:id="rId1517" display="https://www.google.com/url?q=https://github.com/mostafa-saad/MyCompetitiveProgramming/blob/master/Olympiad/infoarena/infoarena_mexc.txt&amp;sa=D&amp;ust=1605639832385000&amp;usg=AFQjCNGIH0GndSP1QAhIYrgFLvuBL_DR0Q" xr:uid="{B8CF613E-5739-49C3-BD89-1A4CC92AE08D}"/>
    <hyperlink ref="B869" r:id="rId1518" display="https://www.google.com/url?q=https://infoarena.ro/problema/mindist&amp;sa=D&amp;ust=1605639832386000&amp;usg=AFQjCNEH070g2jspo4D80TF3n5n7xlfafQ" xr:uid="{1008F494-DC32-4572-BFCB-1D81D4D1CD09}"/>
    <hyperlink ref="F869" r:id="rId1519" display="https://www.google.com/url?q=https://github.com/mostafa-saad/MyCompetitiveProgramming/blob/master/Olympiad/infoarena/infoarena-mindist.txt&amp;sa=D&amp;ust=1605639832386000&amp;usg=AFQjCNEXo2wMDZOduCDSeFrPXjoemoBqvQ" xr:uid="{8838DBDC-2FF3-4BF5-A779-481B151A7E26}"/>
    <hyperlink ref="B870" r:id="rId1520" display="https://www.google.com/url?q=https://www.infoarena.ro/problema/minim2&amp;sa=D&amp;ust=1605639832386000&amp;usg=AFQjCNGZ_nHlo6Rz6QILzUGMrdRBOVmACA" xr:uid="{D0B1955A-F498-4453-9884-F250767F6CF1}"/>
    <hyperlink ref="F870" r:id="rId1521" display="https://www.google.com/url?q=https://github.com/stefdasca/CompetitiveProgramming/blob/master/Infoarena/minim2.cpp&amp;sa=D&amp;ust=1605639832386000&amp;usg=AFQjCNHgftMUV6jwqR-Q8xIS_NmAc2dolA" xr:uid="{AB9C803B-55FE-42C8-9786-1F214C336430}"/>
    <hyperlink ref="B871" r:id="rId1522" display="https://www.google.com/url?q=https://www.infoarena.ro/problema/minuni&amp;sa=D&amp;ust=1605639832388000&amp;usg=AFQjCNE1bK8OsRP77JW2Mwj3asKvAzvlvA" xr:uid="{A605DE44-661A-4277-BE8B-8252133DD641}"/>
    <hyperlink ref="F871" r:id="rId1523" display="https://www.google.com/url?q=https://github.com/stefdasca/CompetitiveProgramming/blob/master/Infoarena/minuni.cpp&amp;sa=D&amp;ust=1605639832388000&amp;usg=AFQjCNFcB545hjT188bjbCnMpBH2DlmLIw" xr:uid="{923C6D57-4518-4C0D-AF7F-D6ED1A959A3A}"/>
    <hyperlink ref="B872" r:id="rId1524" display="https://www.google.com/url?q=https://www.infoarena.ro/problema/munte4&amp;sa=D&amp;ust=1605639832389000&amp;usg=AFQjCNFFy4mTtST5FB6eTsxGW1PI_Pe1fQ" xr:uid="{5FF9CED6-01E4-45F5-8B13-2A618611243F}"/>
    <hyperlink ref="F872" r:id="rId1525" display="https://www.google.com/url?q=https://github.com/stefdasca/CompetitiveProgramming/blob/master/Infoarena/munte4.cpp&amp;sa=D&amp;ust=1605639832389000&amp;usg=AFQjCNHhI6NCmQYu0CFxCYyGzsWnbaQUYw" xr:uid="{C90C20AD-1F6B-4B50-9851-A34820DD1A4E}"/>
    <hyperlink ref="B873" r:id="rId1526" display="https://www.google.com/url?q=https://www.infoarena.ro/problema/nkbiti&amp;sa=D&amp;ust=1605639832389000&amp;usg=AFQjCNHfjRtVxZ72j9Id90YInkfyekZzfg" xr:uid="{87D50336-51AF-4462-A3C2-75E40B48DD39}"/>
    <hyperlink ref="F873" r:id="rId1527" display="https://www.google.com/url?q=https://github.com/stefdasca/CompetitiveProgramming/blob/master/Infoarena/nkbiti.cpp&amp;sa=D&amp;ust=1605639832390000&amp;usg=AFQjCNGFGbX3M0nydVoy5BFM4S7evIHFew" xr:uid="{6BCB9378-836C-4A10-8741-BE0504D05150}"/>
    <hyperlink ref="B874" r:id="rId1528" display="https://www.google.com/url?q=https://www.infoarena.ro/problema/nrsec&amp;sa=D&amp;ust=1605639832390000&amp;usg=AFQjCNF6yyOQFLrOyIc9QNhZq-TDg3CDqw" xr:uid="{6B16E1F3-93C6-4CB8-95EE-7633FD63524F}"/>
    <hyperlink ref="F874" r:id="rId1529" display="https://www.google.com/url?q=https://github.com/stefdasca/CompetitiveProgramming/blob/master/Infoarena/nrsec.cpp&amp;sa=D&amp;ust=1605639832390000&amp;usg=AFQjCNH6XpVLFZyOkpPRknOjo_BV3nfHGw" xr:uid="{A30ED035-6D1A-4C7E-BA5D-C565C6EC7D9B}"/>
    <hyperlink ref="B875" r:id="rId1530" display="https://www.google.com/url?q=https://www.infoarena.ro/problema/nrsubsecv&amp;sa=D&amp;ust=1605639832391000&amp;usg=AFQjCNET-wf-3411Y0EXXudbqorFMYOb5g" xr:uid="{5700C82D-A88F-4C41-83DD-2B239880DEA1}"/>
    <hyperlink ref="F875" r:id="rId1531" display="https://www.google.com/url?q=https://github.com/stefdasca/CompetitiveProgramming/blob/master/Infoarena/nrsubsecv.cpp&amp;sa=D&amp;ust=1605639832391000&amp;usg=AFQjCNHKOt8RQs4ayMwAq_0WSNu3oqOlGw" xr:uid="{43405182-F8CA-4B0C-91B5-5B01D85D47D2}"/>
    <hyperlink ref="B876" r:id="rId1532" display="https://www.google.com/url?q=https://infoarena.ro/problema/nuke&amp;sa=D&amp;ust=1605639832391000&amp;usg=AFQjCNGq44JkeiDXkO2t-Ma3jtnprHXfUw" xr:uid="{53BB91E4-C50F-4CAB-974E-846078B17308}"/>
    <hyperlink ref="F876" r:id="rId1533" display="https://www.google.com/url?q=https://github.com/stefdasca/CompetitiveProgramming/blob/master/Infoarena/nuke.cpp&amp;sa=D&amp;ust=1605639832391000&amp;usg=AFQjCNG7VrUPV2wcU4Thj51PPL1qbJ6w_g" xr:uid="{489156CF-F696-4B1B-9B74-7E7F7FB163FA}"/>
    <hyperlink ref="B877" r:id="rId1534" display="https://www.google.com/url?q=https://www.infoarena.ro/problema/omizi&amp;sa=D&amp;ust=1605639832392000&amp;usg=AFQjCNE1TVamYOhMFPM86YfYWBebfPYAeA" xr:uid="{AE118C55-DE85-49AF-9170-36F2A1F1F362}"/>
    <hyperlink ref="F877" r:id="rId1535" display="https://www.google.com/url?q=https://github.com/stefdasca/CompetitiveProgramming/blob/master/Infoarena/omizi.cpp&amp;sa=D&amp;ust=1605639832392000&amp;usg=AFQjCNEpZUQri3PZpaIO_22hfWjecHNRFA" xr:uid="{461FBFAF-9FE7-40C1-8CE5-F476E4C4CF99}"/>
    <hyperlink ref="B878" r:id="rId1536" display="https://www.google.com/url?q=https://infoarena.ro/problema/overpower&amp;sa=D&amp;ust=1605639832392000&amp;usg=AFQjCNFisG1rkweW9e4gAqJPb6XPOGjapw" xr:uid="{5FED5701-8FBA-4CDE-BE4E-1C5AFB9B153E}"/>
    <hyperlink ref="F878" r:id="rId1537" display="https://www.google.com/url?q=https://github.com/stefdasca/CompetitiveProgramming/blob/master/Infoarena/overpower.cpp&amp;sa=D&amp;ust=1605639832392000&amp;usg=AFQjCNH3NFUZO7xAIwdGSZpRYAr2j_TZOA" xr:uid="{07CBAC73-5036-44F0-87EC-5E714FE9533C}"/>
    <hyperlink ref="B879" r:id="rId1538" display="https://www.google.com/url?q=https://www.infoarena.ro/problema/padurari&amp;sa=D&amp;ust=1605639832393000&amp;usg=AFQjCNGkePa-FzXLssutKVts6D0hTxOgJQ" xr:uid="{27271AEA-0866-4BE2-869D-F89D84B4C06B}"/>
    <hyperlink ref="F879" r:id="rId1539" display="https://www.google.com/url?q=https://github.com/stefdasca/CompetitiveProgramming/blob/master/Infoarena/padurari.cpp&amp;sa=D&amp;ust=1605639832393000&amp;usg=AFQjCNFWnmGxvRHftzF_eeR3URPhfr4CjQ" xr:uid="{6AF79690-8E86-44A6-BCF8-32194398F30F}"/>
    <hyperlink ref="B880" r:id="rId1540" display="https://www.google.com/url?q=https://infoarena.ro/problema/paintball&amp;sa=D&amp;ust=1605639832393000&amp;usg=AFQjCNG5iqs-qW0e8fsWuepzyw9HTBpDpA" xr:uid="{A6B90191-7017-4504-9761-6AD87FEC6584}"/>
    <hyperlink ref="F880" r:id="rId1541" display="https://www.google.com/url?q=https://github.com/mostafa-saad/MyCompetitiveProgramming/blob/master/Olympiad/infoarena/infoarena-paintball.txt&amp;sa=D&amp;ust=1605639832394000&amp;usg=AFQjCNEH7D6mblizFliTQyMxdAno578sXg" xr:uid="{32A87EDA-E860-46EC-8691-28460BA2D0B3}"/>
    <hyperlink ref="B881" r:id="rId1542" display="https://www.google.com/url?q=https://www.infoarena.ro/problema/panza&amp;sa=D&amp;ust=1605639832394000&amp;usg=AFQjCNHHmANPtd27ypGIcpUZLKvj-TnOww" xr:uid="{AB35D026-1043-4395-998B-522A0FA29687}"/>
    <hyperlink ref="F881" r:id="rId1543" display="https://www.google.com/url?q=https://github.com/stefdasca/CompetitiveProgramming/blob/master/Infoarena/panza.cpp&amp;sa=D&amp;ust=1605639832394000&amp;usg=AFQjCNEq4E6Wp43w-E_NuxlPqMAIPRdYnA" xr:uid="{C71DF5C9-3BD9-4A45-85CD-CC7EEBEC2B16}"/>
    <hyperlink ref="B882" r:id="rId1544" display="https://www.google.com/url?q=https://www.infoarena.ro/problema/password2&amp;sa=D&amp;ust=1605639832395000&amp;usg=AFQjCNFpRbJLHMir0angx8I5oB1kNpQ8_Q" xr:uid="{45854409-3FCD-429C-8D64-A4753BB77B8A}"/>
    <hyperlink ref="F882" r:id="rId1545" display="https://www.google.com/url?q=https://github.com/mostafa-saad/MyCompetitiveProgramming/blob/master/Olympiad/infoarena/infoarena-password2.txt&amp;sa=D&amp;ust=1605639832395000&amp;usg=AFQjCNE0EfD5G5QVSgbF375XXpJ8C112cw" xr:uid="{34F9A8FE-C614-4E72-93CE-188EA1F7C52F}"/>
    <hyperlink ref="B883" r:id="rId1546" display="https://www.google.com/url?q=https://www.infoarena.ro/problema/penal&amp;sa=D&amp;ust=1605639832395000&amp;usg=AFQjCNGqOEKLpGNVP8-zczakgbV6wQKXig" xr:uid="{39A62E4C-3F83-4097-B3E9-2F63627FE13A}"/>
    <hyperlink ref="F883" r:id="rId1547" display="https://www.google.com/url?q=https://github.com/stefdasca/CompetitiveProgramming/blob/master/Infoarena/penal.cpp&amp;sa=D&amp;ust=1605639832395000&amp;usg=AFQjCNGfV_Der30MgW9uCEGuN2tFE1FYLA" xr:uid="{2487BF91-F5EA-4BD0-AED7-6B38AA1BEB2E}"/>
    <hyperlink ref="B884" r:id="rId1548" display="https://www.google.com/url?q=https://www.infoarena.ro/problema/peri&amp;sa=D&amp;ust=1605639832396000&amp;usg=AFQjCNFQu4ekFcyoh2od2T7oVoAcD7lU0A" xr:uid="{34E01445-A807-4555-AD92-2CF41DD3DB60}"/>
    <hyperlink ref="F884" r:id="rId1549" display="https://www.google.com/url?q=https://github.com/stefdasca/CompetitiveProgramming/blob/master/Infoarena/peri.cpp&amp;sa=D&amp;ust=1605639832396000&amp;usg=AFQjCNGv-srnMhRT6U7pq5Gvb3FG2Knv3g" xr:uid="{024279E7-7455-42AF-B5F4-C4D6A5EBFE2B}"/>
    <hyperlink ref="B885" r:id="rId1550" display="https://www.google.com/url?q=https://www.infoarena.ro/problema/perioada&amp;sa=D&amp;ust=1605639832396000&amp;usg=AFQjCNFdPeer5tjfd_HqWKnHY6oJA7qN9A" xr:uid="{7D89D422-B73F-4BDD-AC59-0240B1C5EF9F}"/>
    <hyperlink ref="F885" r:id="rId1551" display="https://www.google.com/url?q=https://github.com/mostafa-saad/MyCompetitiveProgramming/blob/master/Olympiad/infoarena/infoarena_perioada.txt&amp;sa=D&amp;ust=1605639832397000&amp;usg=AFQjCNGf4-HuCXGFZYWRRm6Z92QHqzzkxQ" xr:uid="{FE169F54-4C5F-425E-8447-6EC8EFA3B6D3}"/>
    <hyperlink ref="B886" r:id="rId1552" display="https://www.google.com/url?q=https://www.infoarena.ro/problema/permsort&amp;sa=D&amp;ust=1605639832397000&amp;usg=AFQjCNE7gAHYw3sB_8l8oDmytpXeMqHFZw" xr:uid="{5085B38D-FE99-44FF-95A6-B47EB8CBD33D}"/>
    <hyperlink ref="F886" r:id="rId1553" display="https://www.google.com/url?q=https://github.com/mostafa-saad/MyCompetitiveProgramming/blob/master/Olympiad/infoarena/infoarena-permsort.txt&amp;sa=D&amp;ust=1605639832397000&amp;usg=AFQjCNFb8GhIXP9_GXwOHwdmu4FaMUs_Jg" xr:uid="{2A1266E7-F621-4FFC-8CB3-3C1F6D4169D5}"/>
    <hyperlink ref="B887" r:id="rId1554" display="https://www.google.com/url?q=https://www.infoarena.ro/problema/permsort2&amp;sa=D&amp;ust=1605639832398000&amp;usg=AFQjCNGIVv85YZumbJ7jft2P4EPw01ARUA" xr:uid="{6C25A78B-44A8-4495-958A-82D754A6858B}"/>
    <hyperlink ref="F887" r:id="rId1555" display="https://www.google.com/url?q=https://github.com/mostafa-saad/MyCompetitiveProgramming/blob/master/Olympiad/infoarena/infoarena_permsort2.txt&amp;sa=D&amp;ust=1605639832398000&amp;usg=AFQjCNGYcCLwKHvwSe8m2s66XbLsoC1A6g" xr:uid="{CFA19E33-41C3-43B1-ACCB-8555061A3CAB}"/>
    <hyperlink ref="B888" r:id="rId1556" display="https://www.google.com/url?q=https://www.infoarena.ro/problema/pesaptecarari&amp;sa=D&amp;ust=1605639832399000&amp;usg=AFQjCNFORJt4l_DTf828QwgJsXAAyk3_kg" xr:uid="{722EBECD-7E4F-49C9-B8E3-6D76D5474057}"/>
    <hyperlink ref="F888" r:id="rId1557" display="https://www.google.com/url?q=https://github.com/stefdasca/CompetitiveProgramming/blob/master/Infoarena/pesaptecarari.cpp&amp;sa=D&amp;ust=1605639832400000&amp;usg=AFQjCNGpTPnTrvpRNADrgCyBszlbh5-DZA" xr:uid="{533D8C81-C763-493D-9894-2B80F51FE6B9}"/>
    <hyperlink ref="B889" r:id="rId1558" display="https://www.google.com/url?q=https://www.infoarena.ro/problema/pitici&amp;sa=D&amp;ust=1605639832400000&amp;usg=AFQjCNGQvLUe6CopTqpM8GnUq-0DZ7gdvA" xr:uid="{AB1EACF2-D417-4EBC-8677-CE54533CF323}"/>
    <hyperlink ref="B890" r:id="rId1559" display="https://www.google.com/url?q=https://www.infoarena.ro/problema/pitici3&amp;sa=D&amp;ust=1605639832400000&amp;usg=AFQjCNGYelIi8Y1U3D69VoTEVivFNnQL4g" xr:uid="{B82E9EE9-3C64-48D0-9D1F-408F78811234}"/>
    <hyperlink ref="F890" r:id="rId1560" display="https://www.google.com/url?q=https://github.com/mostafa-saad/MyCompetitiveProgramming/blob/master/Olympiad/infoarena/infoarena-pitici3.txt&amp;sa=D&amp;ust=1605639832401000&amp;usg=AFQjCNFakyNpJ-GKV6u-MF_mIP6VRL7bdw" xr:uid="{4575675E-3AAF-4FD1-82E4-8527A2325CCC}"/>
    <hyperlink ref="B891" r:id="rId1561" display="https://www.google.com/url?q=https://infoarena.ro/problema/plimbare3&amp;sa=D&amp;ust=1605639832401000&amp;usg=AFQjCNGJK6zPSgcUjkiUKbZI6OkLeov9Mg" xr:uid="{8DAF8392-9DB7-4984-AB48-2C8C6C8A948C}"/>
    <hyperlink ref="F891" r:id="rId1562" display="https://www.google.com/url?q=https://github.com/mostafa-saad/MyCompetitiveProgramming/blob/master/Olympiad/infoarena/infoarena-plimbare3.txt&amp;sa=D&amp;ust=1605639832401000&amp;usg=AFQjCNG1ukBX4BHqAobwK3iojzYTXVE6iw" xr:uid="{7F03E81C-F3A1-4D5C-AC08-0298AEA1C30C}"/>
    <hyperlink ref="B892" r:id="rId1563" display="https://www.google.com/url?q=https://www.infoarena.ro/problema/pm2&amp;sa=D&amp;ust=1605639832402000&amp;usg=AFQjCNFEjxPaV-LIJxWc24t3_DEXqJGktA" xr:uid="{E1ACE01B-8A35-4D11-BAEA-EC37DBE00CD6}"/>
    <hyperlink ref="F892" r:id="rId1564" display="https://www.google.com/url?q=https://github.com/stefdasca/CompetitiveProgramming/blob/master/Infoarena/pm2.cpp&amp;sa=D&amp;ust=1605639832402000&amp;usg=AFQjCNEuagnwXxpViX2EioNyYzjZSuO1DA" xr:uid="{E51437CD-C8CA-44A2-9D41-9835FBD6CBF9}"/>
    <hyperlink ref="B893" r:id="rId1565" display="https://www.google.com/url?q=https://infoarena.ro/problema/poarta2&amp;sa=D&amp;ust=1605639832402000&amp;usg=AFQjCNGY8wpAigOEZoGQgGp87RbP_a_X5Q" xr:uid="{FC24CCB9-58DE-4E87-9BC7-DADAAFE659F0}"/>
    <hyperlink ref="F893" r:id="rId1566" display="https://www.google.com/url?q=https://github.com/stefdasca/CompetitiveProgramming/blob/master/Infoarena/poarta2.cpp&amp;sa=D&amp;ust=1605639832402000&amp;usg=AFQjCNFIHoz7rpyisdI3cL0Aiql8fI9YnA" xr:uid="{990C7C64-9935-4BE0-AC0C-7CF110F554CD}"/>
    <hyperlink ref="B894" r:id="rId1567" display="https://www.google.com/url?q=https://www.infoarena.ro/problema/porcjoc&amp;sa=D&amp;ust=1605639832403000&amp;usg=AFQjCNFIxY0C2k17faRBUIevz80KLOF4Rg" xr:uid="{E6CD8A1F-8C32-4F8C-9206-FB104CB0CDE2}"/>
    <hyperlink ref="F894" r:id="rId1568" display="https://www.google.com/url?q=https://github.com/stefdasca/CompetitiveProgramming/blob/master/Infoarena/porcjoc.cpp&amp;sa=D&amp;ust=1605639832403000&amp;usg=AFQjCNEATSpc5MVhIJOBAvnPSHOEZKeQ1w" xr:uid="{B1B0CF83-8EF3-4EBE-95DD-1BF8DFBCE810}"/>
    <hyperlink ref="B895" r:id="rId1569" display="https://www.google.com/url?q=https://infoarena.ro/problema/posta2&amp;sa=D&amp;ust=1605639832403000&amp;usg=AFQjCNFYIgiJLVyk-LB0rc6OHBAO_CXHoQ" xr:uid="{73102D2B-83C2-40F8-B6CE-9FD20B8D3EA1}"/>
    <hyperlink ref="F895" r:id="rId1570" display="https://www.google.com/url?q=https://github.com/stefdasca/CompetitiveProgramming/blob/master/Infoarena/posta2.cpp&amp;sa=D&amp;ust=1605639832404000&amp;usg=AFQjCNEywsPe3ch2UQa1mHTjTtwGvALrfw" xr:uid="{7D0B3343-5EE8-40BE-8092-3134C215288A}"/>
    <hyperlink ref="B896" r:id="rId1571" display="https://www.google.com/url?q=https://www.infoarena.ro/problema/profit&amp;sa=D&amp;ust=1605639832404000&amp;usg=AFQjCNFQY8Y7zf3Lb-oxnbzeqMH4pHVBfg" xr:uid="{DB65DBC5-0A71-4242-BE83-56C41B93CED8}"/>
    <hyperlink ref="F896" r:id="rId1572" display="https://www.google.com/url?q=https://github.com/stefdasca/CompetitiveProgramming/blob/master/Infoarena/profit.cpp&amp;sa=D&amp;ust=1605639832404000&amp;usg=AFQjCNEj4FYDTD0BjflLeZnyJ-wpMs4n-w" xr:uid="{86B9BE32-D204-460F-ADAC-AE4992BF3FF8}"/>
    <hyperlink ref="B897" r:id="rId1573" display="https://www.google.com/url?q=https://www.infoarena.ro/problema/puncte&amp;sa=D&amp;ust=1605639832405000&amp;usg=AFQjCNHU5YZmqsX_TSdA87j8qmnQ8ocu5A" xr:uid="{4742EEF3-C908-42BD-B285-A232F8036FDC}"/>
    <hyperlink ref="F897" r:id="rId1574" display="https://www.google.com/url?q=https://github.com/mostafa-saad/MyCompetitiveProgramming/blob/master/Olympiad/infoarena/infoarena_puncte.txt&amp;sa=D&amp;ust=1605639832405000&amp;usg=AFQjCNGIs4BSXT4BQE_hrEP4RoVQP9MHFg" xr:uid="{56DAA9C5-D416-43C0-AC37-40C243177343}"/>
    <hyperlink ref="B898" r:id="rId1575" display="https://www.google.com/url?q=https://infoarena.ro/problema/radare&amp;sa=D&amp;ust=1605639832405000&amp;usg=AFQjCNFRStoorQFtI2ceHvjXeLm8SyNuTg" xr:uid="{A00B1387-BA19-4019-9F5C-A3991C84CDA1}"/>
    <hyperlink ref="F898" r:id="rId1576" display="https://www.google.com/url?q=https://github.com/mostafa-saad/MyCompetitiveProgramming/blob/master/Olympiad/infoarena/infoarena-radare.txt&amp;sa=D&amp;ust=1605639832405000&amp;usg=AFQjCNFadxE5bprWlsTH-QH_r6129N62Pg" xr:uid="{194AE781-6592-489D-AEDA-BA997414B522}"/>
    <hyperlink ref="B899" r:id="rId1577" display="https://www.google.com/url?q=https://infoarena.ro/problema/ratway&amp;sa=D&amp;ust=1605639832406000&amp;usg=AFQjCNG0gxvJ06ndXV9lGXu3vpt3CjKhEw" xr:uid="{D8B673C6-DC42-4DFD-8949-588489C8BAAA}"/>
    <hyperlink ref="F899" r:id="rId1578" display="https://www.google.com/url?q=https://github.com/mostafa-saad/MyCompetitiveProgramming/blob/master/Olympiad/infoarena/infoarena_ratway.txt&amp;sa=D&amp;ust=1605639832406000&amp;usg=AFQjCNFWI0SzdhAb3aMc8Eav-vAgQpm7Uw" xr:uid="{7B3DE623-354C-4B41-A4C5-452ACED7EE08}"/>
    <hyperlink ref="B900" r:id="rId1579" display="https://www.google.com/url?q=https://www.infoarena.ro/problema/regat&amp;sa=D&amp;ust=1605639832406000&amp;usg=AFQjCNFO9Q8B84Px38WfqShKhmz76E3rgw" xr:uid="{A62A18B4-F224-47DE-970C-D296301B9BBD}"/>
    <hyperlink ref="F900" r:id="rId1580" display="https://www.google.com/url?q=https://github.com/mostafa-saad/MyCompetitiveProgramming/blob/master/Olympiad/infoarena/infoarena_regat.txt&amp;sa=D&amp;ust=1605639832407000&amp;usg=AFQjCNE3EfBS3_ETLMyNr6e-MrUQsOexPA" xr:uid="{9866A918-FA18-4C3D-BF83-A869A5195700}"/>
    <hyperlink ref="B901" r:id="rId1581" display="https://www.google.com/url?q=https://www.infoarena.ro/problema/retea3&amp;sa=D&amp;ust=1605639832407000&amp;usg=AFQjCNG182UtcsE9U_c2tt13OKn2RcOHAg" xr:uid="{65D3DE6D-B6DF-4DB8-BDC7-1F1E67E563D4}"/>
    <hyperlink ref="F901" r:id="rId1582" display="https://www.google.com/url?q=https://github.com/mostafa-saad/MyCompetitiveProgramming/blob/master/Olympiad/infoarena/infoarena-retea3.txt&amp;sa=D&amp;ust=1605639832407000&amp;usg=AFQjCNHuejQ1ze1F9DrNMurqw4ENYVM05g" xr:uid="{ED36DBA4-B6A4-4911-AC8D-91FFCA81250B}"/>
    <hyperlink ref="B902" r:id="rId1583" display="https://www.google.com/url?q=https://www.infoarena.ro/problema/rfinv&amp;sa=D&amp;ust=1605639832407000&amp;usg=AFQjCNGVKG5U_WZj96Q8XkZCunx8i5D8EA" xr:uid="{2DF23129-B17D-4FE9-B602-D69AE7CD9753}"/>
    <hyperlink ref="F902" r:id="rId1584" display="https://www.google.com/url?q=https://github.com/stefdasca/CompetitiveProgramming/blob/master/Infoarena/rfinv.cpp&amp;sa=D&amp;ust=1605639832408000&amp;usg=AFQjCNEyE4T5klxnpNcUqBlQlXYpcK8wDg" xr:uid="{D79B3DE9-F095-4031-B7E6-B4F378365242}"/>
    <hyperlink ref="B903" r:id="rId1585" display="https://www.google.com/url?q=https://www.infoarena.ro/problema/sabin&amp;sa=D&amp;ust=1605639832408000&amp;usg=AFQjCNESRLC701zyBC7xmYspMwUezz3zyg" xr:uid="{88EB5273-7099-4D49-92FE-AA37F7DF8175}"/>
    <hyperlink ref="F903" r:id="rId1586" display="https://www.google.com/url?q=https://github.com/mostafa-saad/MyCompetitiveProgramming/blob/master/Olympiad/infoarena/infoarena_sabin.txt&amp;sa=D&amp;ust=1605639832408000&amp;usg=AFQjCNH9LP5KhzqRryzhqCGEUGgjoCUQyA" xr:uid="{16739548-4147-4361-8229-29677846F599}"/>
    <hyperlink ref="B904" r:id="rId1587" display="https://www.google.com/url?q=https://www.infoarena.ro/problema/scara2&amp;sa=D&amp;ust=1605639832409000&amp;usg=AFQjCNEOt5_DECcKARW1ALQqG3H3oAp1nw" xr:uid="{9B560623-0820-4408-BA58-02491095DC7E}"/>
    <hyperlink ref="F904" r:id="rId1588" display="https://www.google.com/url?q=https://github.com/stefdasca/CompetitiveProgramming/blob/master/Infoarena/scara2.cpp&amp;sa=D&amp;ust=1605639832409000&amp;usg=AFQjCNHQ2pP4aQH1wO8h3hVHKCRVNDYEwQ" xr:uid="{1900D3F2-F4F2-44F8-99A7-66628B853E66}"/>
    <hyperlink ref="B905" r:id="rId1589" display="https://www.google.com/url?q=https://www.infoarena.ro/problema/secvbest&amp;sa=D&amp;ust=1605639832409000&amp;usg=AFQjCNGwwhnfTewdmqTfNPOag7UtVgIy7Q" xr:uid="{52C5B4FF-47D2-49E8-B900-6B658BC43022}"/>
    <hyperlink ref="F905" r:id="rId1590" display="https://www.google.com/url?q=https://github.com/stefdasca/CompetitiveProgramming/blob/master/Infoarena/secvbest.cpp&amp;sa=D&amp;ust=1605639832411000&amp;usg=AFQjCNF7vUpGBrdi8Wffbtq3FXXn0TtiKA" xr:uid="{BF01BE6F-83C7-4DB1-8EA3-EF9266219233}"/>
    <hyperlink ref="B906" r:id="rId1591" display="https://www.google.com/url?q=https://www.infoarena.ro/problema/secvmax&amp;sa=D&amp;ust=1605639832411000&amp;usg=AFQjCNEjf6l-nRxC36PJhNFK22tnyLX6Tw" xr:uid="{04CDA7AB-352A-4004-835C-8D2EB0AD8F2A}"/>
    <hyperlink ref="F906" r:id="rId1592" display="https://www.google.com/url?q=https://github.com/stefdasca/CompetitiveProgramming/blob/master/Infoarena/secvmax.cpp&amp;sa=D&amp;ust=1605639832411000&amp;usg=AFQjCNEKcOkTSkeSJYkxJ4JjljN9ovVBaA" xr:uid="{8C8F328B-47BC-4E91-A4CD-711D880EBAEF}"/>
    <hyperlink ref="B907" r:id="rId1593" display="https://www.google.com/url?q=https://www.infoarena.ro/problema/shgraf&amp;sa=D&amp;ust=1605639832411000&amp;usg=AFQjCNF-WnoomHlJr0_-XQonFJLsBgn7sg" xr:uid="{A33EEA83-1F3F-4900-B6BE-86A6D4DD12E0}"/>
    <hyperlink ref="F907" r:id="rId1594" display="https://www.google.com/url?q=https://github.com/mostafa-saad/MyCompetitiveProgramming/blob/master/Olympiad/infoarena/infoarena_shgraf.txt&amp;sa=D&amp;ust=1605639832412000&amp;usg=AFQjCNHZO8aTMB34mDocghKrcLpycivoeA" xr:uid="{AC6082CB-4FF6-4960-8355-EB1FBA252F40}"/>
    <hyperlink ref="B908" r:id="rId1595" display="https://www.google.com/url?q=https://www.infoarena.ro/problema/sir3&amp;sa=D&amp;ust=1605639832412000&amp;usg=AFQjCNGFv1l8Fh4XS6ub3aGRtKbJrFTNIg" xr:uid="{53028AF5-E51E-4CC8-8FE6-57777C87E6EC}"/>
    <hyperlink ref="F908" r:id="rId1596" display="https://www.google.com/url?q=https://github.com/stefdasca/CompetitiveProgramming/blob/master/Infoarena/sir3.cpp&amp;sa=D&amp;ust=1605639832412000&amp;usg=AFQjCNHuGGDottDKYg1NdyZ1px9NybPn8Q" xr:uid="{EA4B20EF-053A-44C7-B4AA-47CAAF3FC472}"/>
    <hyperlink ref="B909" r:id="rId1597" display="https://www.google.com/url?q=https://www.infoarena.ro/problema/sir42&amp;sa=D&amp;ust=1605639832412000&amp;usg=AFQjCNGxxr-kuI4rUR9nMlhTdluUjUeTOw" xr:uid="{1C0882C0-0413-4E11-B27E-2C2B2F3D9B5A}"/>
    <hyperlink ref="F909" r:id="rId1598" display="https://www.google.com/url?q=https://github.com/stefdasca/CompetitiveProgramming/blob/master/Infoarena/sir42.cpp&amp;sa=D&amp;ust=1605639832413000&amp;usg=AFQjCNGhHw2soXNDdlkdRBl77Z3HT4nHUw" xr:uid="{0615A73C-D690-4A2B-B2A4-54536FB5C798}"/>
    <hyperlink ref="B910" r:id="rId1599" display="https://www.google.com/url?q=https://infoarena.ro/problema/sms&amp;sa=D&amp;ust=1605639832413000&amp;usg=AFQjCNFp2TWUdscarCADTF9F6bT35xbYcg" xr:uid="{0F70F308-AE96-475B-ADFD-40E309EBA762}"/>
    <hyperlink ref="F910" r:id="rId1600" display="https://www.google.com/url?q=https://github.com/stefdasca/CompetitiveProgramming/blob/master/Infoarena/sms.cpp&amp;sa=D&amp;ust=1605639832413000&amp;usg=AFQjCNEqL1HwuwWKM2Ar50AQBnpJRjU_7A" xr:uid="{9C7BA6AC-C840-4ECB-B738-5E140E5257B3}"/>
    <hyperlink ref="B911" r:id="rId1601" display="https://www.google.com/url?q=https://www.infoarena.ro/problema/sormin&amp;sa=D&amp;ust=1605639832413000&amp;usg=AFQjCNE7tyW_maRY7qy7nly_1EXEk2tp2A" xr:uid="{EADDACAA-7BDE-4CB1-851D-DD51DC6FD486}"/>
    <hyperlink ref="F911" r:id="rId1602" display="https://www.google.com/url?q=https://github.com/mostafa-saad/MyCompetitiveProgramming/blob/master/Olympiad/infoarena/infoarena_sormin.txt&amp;sa=D&amp;ust=1605639832414000&amp;usg=AFQjCNEOjHF1C-h0chYix9EqCx791W2a9Q" xr:uid="{77D7785D-BC4A-4293-89A5-9E33046B98CF}"/>
    <hyperlink ref="B912" r:id="rId1603" display="https://www.google.com/url?q=https://www.infoarena.ro/problema/ssdj&amp;sa=D&amp;ust=1605639832414000&amp;usg=AFQjCNE3n6MCFxbgmXO8wFANC1A-6z0R0g" xr:uid="{D1108D07-EB28-4859-B959-0D710997A8D8}"/>
    <hyperlink ref="F912" r:id="rId1604" display="https://www.google.com/url?q=https://github.com/mostafa-saad/MyCompetitiveProgramming/blob/master/Olympiad/infoarena/infoarena-ssdj.txt&amp;sa=D&amp;ust=1605639832414000&amp;usg=AFQjCNEBKL3lpzt4VeHdQRTt8MeNF6DglQ" xr:uid="{5210D14A-6CB4-4D30-B229-58CCA03F73C6}"/>
    <hyperlink ref="B913" r:id="rId1605" display="https://www.google.com/url?q=https://www.infoarena.ro/problema/struti&amp;sa=D&amp;ust=1605639832415000&amp;usg=AFQjCNGpKclnr5LmiJEn-kv9LcftHx_SCQ" xr:uid="{E02017B3-E3FF-4BE6-8CB0-AFB51D955C33}"/>
    <hyperlink ref="F913" r:id="rId1606" display="https://www.google.com/url?q=https://github.com/stefdasca/CompetitiveProgramming/blob/master/Infoarena/struti.cpp&amp;sa=D&amp;ust=1605639832415000&amp;usg=AFQjCNFwAr2reahiBn49Av2Ym02CrHVZcA" xr:uid="{1791274B-4665-486C-AC28-5FADA9B55555}"/>
    <hyperlink ref="B914" r:id="rId1607" display="https://www.google.com/url?q=https://www.infoarena.ro/problema/tablou&amp;sa=D&amp;ust=1605639832415000&amp;usg=AFQjCNG6iXZJ5pzBWJUZpmIM8Y4a-Tl_ig" xr:uid="{1A37B0DB-105F-4F05-B1CC-7A573FCFC057}"/>
    <hyperlink ref="F914" r:id="rId1608" display="https://www.google.com/url?q=https://github.com/stefdasca/CompetitiveProgramming/blob/master/Infoarena/tablou.cpp&amp;sa=D&amp;ust=1605639832415000&amp;usg=AFQjCNFcf8r_y0caqXZ17GNDeudO2YPtbA" xr:uid="{43B96CDA-A1DD-478A-A5D7-C98AFCD93D74}"/>
    <hyperlink ref="B915" r:id="rId1609" display="https://www.google.com/url?q=https://www.infoarena.ro/problema/treesearch&amp;sa=D&amp;ust=1605639832416000&amp;usg=AFQjCNGJK2L7uyrprMcWiOsnertiZD9yEg" xr:uid="{DC2A1695-1088-49A4-A58D-151BD1480AEF}"/>
    <hyperlink ref="F915" r:id="rId1610" display="https://www.google.com/url?q=https://github.com/stefdasca/CompetitiveProgramming/blob/master/Infoarena/treesearch.cpp&amp;sa=D&amp;ust=1605639832416000&amp;usg=AFQjCNHPBZ823JVQbLEIQkj5JjU8PfTvHg" xr:uid="{6C238E06-E517-4CCA-B830-18C5BB79E62D}"/>
    <hyperlink ref="B916" r:id="rId1611" display="https://www.google.com/url?q=https://www.infoarena.ro/problema/tricolor&amp;sa=D&amp;ust=1605639832416000&amp;usg=AFQjCNHCNCXTCIBMZcW27U4iJb6A9H6lFg" xr:uid="{DBAF7295-FC93-46B9-9F6C-C8ACC6D536EE}"/>
    <hyperlink ref="F916" r:id="rId1612" display="https://www.google.com/url?q=https://github.com/mostafa-saad/MyCompetitiveProgramming/blob/master/Olympiad/infoarena/Infoarena_tricolor.txt&amp;sa=D&amp;ust=1605639832417000&amp;usg=AFQjCNG2bar3uAtJRomPE_8U5TAs67xMxQ" xr:uid="{DB26D0F5-B432-499A-8148-B822417E4E07}"/>
    <hyperlink ref="B917" r:id="rId1613" display="https://www.google.com/url?q=https://www.infoarena.ro/problema/troll&amp;sa=D&amp;ust=1605639832417000&amp;usg=AFQjCNE9Po5Q2-N5V77-CmJlQnnzNnQE3Q" xr:uid="{0E0133C9-0741-4E32-AD1E-85A223EDB902}"/>
    <hyperlink ref="F917" r:id="rId1614" display="https://www.google.com/url?q=https://github.com/stefdasca/CompetitiveProgramming/blob/master/Infoarena/troll.cpp&amp;sa=D&amp;ust=1605639832417000&amp;usg=AFQjCNH_Xygb0QLiHFof-Q3jbJ6s2ypvrw" xr:uid="{73C1CBA6-15B8-44DB-821C-4E0521F8BDF1}"/>
    <hyperlink ref="B918" r:id="rId1615" display="https://www.google.com/url?q=https://www.infoarena.ro/problema/turnuri&amp;sa=D&amp;ust=1605639832417000&amp;usg=AFQjCNGNToq3XXhO_2bbPOJwWIYCMLXprw" xr:uid="{128EA348-91FB-4801-A6B4-1EB2B51BE0B4}"/>
    <hyperlink ref="F918" r:id="rId1616" display="https://www.google.com/url?q=https://github.com/mostafa-saad/MyCompetitiveProgramming/blob/master/Olympiad/infoarena/infoarena_turnuri.txt&amp;sa=D&amp;ust=1605639832418000&amp;usg=AFQjCNFvwvHXP92LcLfOtnMaJQxYwZn-7Q" xr:uid="{58A08FF5-2B57-4F3A-A95C-22351F04B63A}"/>
    <hyperlink ref="B919" r:id="rId1617" display="https://www.google.com/url?q=https://www.infoarena.ro/problema/unique&amp;sa=D&amp;ust=1605639832418000&amp;usg=AFQjCNEvd5M__Yn2DS4FFt_AXaUMhUjUDw" xr:uid="{2B666D6F-891C-4D06-9C74-F04AD195C081}"/>
    <hyperlink ref="F919" r:id="rId1618" display="https://www.google.com/url?q=https://github.com/mostafa-saad/MyCompetitiveProgramming/blob/master/Olympiad/infoarena/infoarena_unique.txt&amp;sa=D&amp;ust=1605639832418000&amp;usg=AFQjCNFGu0s4NOZc05jCI8Dh8DuetjjFtQ" xr:uid="{B0B9C743-E391-451B-B02D-38431342BC65}"/>
    <hyperlink ref="B920" r:id="rId1619" display="https://www.google.com/url?q=https://www.infoarena.ro/problema/v2d&amp;sa=D&amp;ust=1605639832419000&amp;usg=AFQjCNGbSwWZguM80EvGh1ngdB0w0EIeiQ" xr:uid="{D5C267C5-A790-4F7E-9727-1C2790D7D88F}"/>
    <hyperlink ref="F920" r:id="rId1620" display="https://www.google.com/url?q=https://github.com/stefdasca/CompetitiveProgramming/blob/master/Infoarena/v2d.cpp&amp;sa=D&amp;ust=1605639832419000&amp;usg=AFQjCNF6LkUEJxEWc0dKWlpjJeMukRACNA" xr:uid="{04048BFE-8C2D-4AE5-A5B8-D01F7B3A92C4}"/>
    <hyperlink ref="B921" r:id="rId1621" display="https://www.google.com/url?q=https://www.infoarena.ro/problema/vmin&amp;sa=D&amp;ust=1605639832419000&amp;usg=AFQjCNFSvLa30ZkUXy-us2WJ3hW1C4eK8A" xr:uid="{06050B78-ADAD-46F5-9F7C-90D83F2A2BB4}"/>
    <hyperlink ref="F921" r:id="rId1622" display="https://www.google.com/url?q=https://github.com/mostafa-saad/MyCompetitiveProgramming/blob/master/Olympiad/infoarena/Infoarena_vmin.txt&amp;sa=D&amp;ust=1605639832419000&amp;usg=AFQjCNHX7eOJf-faeNEHMugpM2GVy6zXfg" xr:uid="{3031F59B-80BF-4329-9C1F-84AEE99E2C1F}"/>
    <hyperlink ref="B922" r:id="rId1623" display="https://www.google.com/url?q=https://infoarena.ro/problema/xortransform&amp;sa=D&amp;ust=1605639832420000&amp;usg=AFQjCNGyKuBDH4-gDzzOhv-wn1xbJCuXyA" xr:uid="{CD8319EC-1E8B-4EA5-980C-DCDFD7C0BFE3}"/>
    <hyperlink ref="F922" r:id="rId1624" display="https://www.google.com/url?q=https://github.com/mostafa-saad/MyCompetitiveProgramming/blob/master/Olympiad/infoarena/infoarena_xortransform.txt&amp;sa=D&amp;ust=1605639832421000&amp;usg=AFQjCNGAbS2iX_ax3XdXp1MwYjEYO1IetA" xr:uid="{4B775E8E-6442-4D23-B725-CB1970408651}"/>
    <hyperlink ref="B923" r:id="rId1625" display="https://www.google.com/url?q=https://infoarena.ro/problema/xreverse&amp;sa=D&amp;ust=1605639832421000&amp;usg=AFQjCNHwdP2aIzvwsCC-RVNC8gcrBwjq8Q" xr:uid="{62751A13-6F3E-41CD-B7B2-A4942BDF1734}"/>
    <hyperlink ref="F923" r:id="rId1626" display="https://www.google.com/url?q=https://github.com/mostafa-saad/MyCompetitiveProgramming/blob/master/Olympiad/infoarena/infoarena_xreverse.txt&amp;sa=D&amp;ust=1605639832421000&amp;usg=AFQjCNHRgtpxWXCJR85R7rX9oXYmNGGEgQ" xr:uid="{E38C5C63-6D71-4C70-88A8-010774F3E5EB}"/>
    <hyperlink ref="B924" r:id="rId1627" display="https://www.google.com/url?q=https://www.infoarena.ro/problema/zip&amp;sa=D&amp;ust=1605639832422000&amp;usg=AFQjCNF-D0VoP3UFqllqre3Njv61pq1YWg" xr:uid="{1BDB1D72-D7CE-45BF-A55F-B84D187F890E}"/>
    <hyperlink ref="F924" r:id="rId1628" display="https://www.google.com/url?q=https://github.com/stefdasca/CompetitiveProgramming/blob/master/Infoarena/zip.cpp&amp;sa=D&amp;ust=1605639832422000&amp;usg=AFQjCNGwy10cDdzMpq_YuZfP6VBQ9TrYBQ" xr:uid="{6570699E-CA62-4E1D-83FC-9602E1143A19}"/>
    <hyperlink ref="B925" r:id="rId1629" display="https://www.google.com/url?q=https://www.infoarena.ro/problema/zmeu&amp;sa=D&amp;ust=1605639832422000&amp;usg=AFQjCNH_qg8a0z2otGH54BdyQxSnHHpfHg" xr:uid="{5F0F02F1-8E3E-4255-9EB9-D717E683CD53}"/>
    <hyperlink ref="F925" r:id="rId1630" display="https://www.google.com/url?q=https://github.com/stefdasca/CompetitiveProgramming/blob/master/Infoarena/zmeu.cpp&amp;sa=D&amp;ust=1605639832423000&amp;usg=AFQjCNFAA78NNJp8VgtpWV4SQoH3I-aQkQ" xr:uid="{BD49E544-456A-4226-8355-8F566B1585B7}"/>
    <hyperlink ref="B926" r:id="rId1631" display="https://www.google.com/url?q=https://www.infoarena.ro/problema/zuma&amp;sa=D&amp;ust=1605639832423000&amp;usg=AFQjCNHPS3sVvJuIhB-3xKzZuc_uH0-G6A" xr:uid="{0F0E2159-CE54-4B26-B9DA-447A78DBE60F}"/>
    <hyperlink ref="F926" r:id="rId1632" display="https://www.google.com/url?q=https://github.com/stefdasca/CompetitiveProgramming/blob/master/Infoarena/zuma.cpp&amp;sa=D&amp;ust=1605639832423000&amp;usg=AFQjCNGmq-tVIMXT4NKR6Muv2kLdy0pYIg" xr:uid="{3CC75BD2-B2E5-4A16-A30A-7E2E5A2BC384}"/>
    <hyperlink ref="B927" r:id="rId1633" display="https://www.google.com/url?q=https://oj.uz/problem/view/innopolis2018_final_A&amp;sa=D&amp;ust=1605639832423000&amp;usg=AFQjCNHHmEtK6fJvXmkAaD6Hg_MxF2V6fg" xr:uid="{8A621DBD-3A7B-41F4-A349-11A37CB7873E}"/>
    <hyperlink ref="B928" r:id="rId1634" display="https://www.google.com/url?q=https://oj.uz/problem/view/innopolis2018_final_B&amp;sa=D&amp;ust=1605639832424000&amp;usg=AFQjCNHsMbfY1H8A1bzQhmq_Ai_jfHpM_g" xr:uid="{975F9AC7-9F95-41C3-9BCD-FF5D586A1A31}"/>
    <hyperlink ref="B929" r:id="rId1635" display="https://www.google.com/url?q=https://oj.uz/problem/view/innopolis2018_final_C&amp;sa=D&amp;ust=1605639832424000&amp;usg=AFQjCNGbbREwZBTxBOar-EygiHWpN46o1A" xr:uid="{B9E1885D-7DB4-40AA-B784-7720B6E74299}"/>
    <hyperlink ref="B930" r:id="rId1636" display="https://www.google.com/url?q=https://oj.uz/problem/view/innopolis2018_final_D&amp;sa=D&amp;ust=1605639832424000&amp;usg=AFQjCNE5ruXXQ7lRlUOTAoB_Ekuivk8HeQ" xr:uid="{7E59C2AB-E11D-4DDC-9899-6BD2574A276C}"/>
    <hyperlink ref="B931" r:id="rId1637" display="https://www.google.com/url?q=https://oj.uz/problem/view/innopolis2018_final_E&amp;sa=D&amp;ust=1605639832425000&amp;usg=AFQjCNHfdYl5umHEheP8kz6Jsuvy1c1hQQ" xr:uid="{EBACA3ED-8EE6-47ED-946D-ADE27F0B87D6}"/>
    <hyperlink ref="B932" r:id="rId1638" display="https://www.google.com/url?q=https://codeforces.com/gym/102032/problem/D&amp;sa=D&amp;ust=1605639832425000&amp;usg=AFQjCNEi6oCF04SctZX-m9blQdezxvHl7A" xr:uid="{48EB2E0D-5DBA-4C9D-AC4A-D14440615F28}"/>
    <hyperlink ref="B933" r:id="rId1639" display="https://www.google.com/url?q=https://codeforces.com/gym/102436?locale%3Den&amp;sa=D&amp;ust=1605639832426000&amp;usg=AFQjCNEIZMgCQCzMb6SAPZl-ePFeyWQxaQ" xr:uid="{C8C03796-0300-4A54-802A-3BB69B9CDB25}"/>
    <hyperlink ref="B934" r:id="rId1640" display="https://www.google.com/url?q=https://dunjudge.me/analysis/problems/1233/&amp;sa=D&amp;ust=1605639832426000&amp;usg=AFQjCNEpbZX8gqXYPDf9dpDYBZ88ZQariA" xr:uid="{5D358563-3871-491B-9AE7-65F3EBF6655A}"/>
    <hyperlink ref="B935" r:id="rId1641" display="https://www.google.com/url?q=https://wcipeg.com/problem/ioi0023&amp;sa=D&amp;ust=1605639832426000&amp;usg=AFQjCNHhMAGcHheTPibHNMlsU9oDpeJ9Mw" xr:uid="{E44D6D55-36FE-4C19-BB50-49E267D6B7C8}"/>
    <hyperlink ref="F935" r:id="rId1642" display="https://www.google.com/url?q=https://github.com/mostafa-saad/MyCompetitiveProgramming/blob/master/Olympiad/IOI/IOI-00-Blocks.txt&amp;sa=D&amp;ust=1605639832426000&amp;usg=AFQjCNFGgpKRUNonVn7OZkyu_dz1YGZZMg" xr:uid="{1ED36D21-F876-4245-9506-15E771255DEE}"/>
    <hyperlink ref="B936" r:id="rId1643" display="https://www.google.com/url?q=https://dunjudge.me/analysis/problems/727/&amp;sa=D&amp;ust=1605639832427000&amp;usg=AFQjCNFVYPNBp5363XzMV4nAhvSO25khqg" xr:uid="{916BBE97-FC85-4319-BFF8-EADD52CD7046}"/>
    <hyperlink ref="F936" r:id="rId1644" display="https://www.google.com/url?q=https://github.com/mostafa-saad/MyCompetitiveProgramming/blob/master/Olympiad/IOI/official/2000&amp;sa=D&amp;ust=1605639832427000&amp;usg=AFQjCNFjCh568eFnwhYGeQjm39m4Yj_yZQ" xr:uid="{C1534ADE-3B72-4101-B7FB-E0FD72AB8936}"/>
    <hyperlink ref="B937" r:id="rId1645" display="https://www.google.com/url?q=https://dunjudge.me/analysis/problems/728/&amp;sa=D&amp;ust=1605639832427000&amp;usg=AFQjCNF430K7N3nzw4NhMFMVl6BDXakbIw" xr:uid="{70ED95A9-DD70-4A5A-B417-978932268375}"/>
    <hyperlink ref="F937" r:id="rId1646" display="https://www.google.com/url?q=https://github.com/mostafa-saad/MyCompetitiveProgramming/blob/master/Olympiad/IOI/IOI-00-median.txt&amp;sa=D&amp;ust=1605639832427000&amp;usg=AFQjCNF8BFbTDE68Wcr9911YCGOnaklysg" xr:uid="{EA3CEDF3-CFC0-479C-8E65-51372B7D65D6}"/>
    <hyperlink ref="B938" r:id="rId1647" display="https://www.google.com/url?q=http://poj.org/problem?id%3D1159&amp;sa=D&amp;ust=1605639832428000&amp;usg=AFQjCNGax37ewrB8qnq3oIgTAz3upDTkDg" xr:uid="{247E0E8A-05E5-4047-B0D6-625C63656241}"/>
    <hyperlink ref="F938" r:id="rId1648" display="https://www.google.com/url?q=https://github.com/mostafa-saad/MyCompetitiveProgramming/blob/master/Olympiad/IOI/official/2000&amp;sa=D&amp;ust=1605639832428000&amp;usg=AFQjCNGZoukRAHU0EZAKZikdS6df_ZV0YA" xr:uid="{268936BE-5D5A-4287-9B58-750103A0D8EA}"/>
    <hyperlink ref="B939" r:id="rId1649" display="https://www.google.com/url?q=http://poj.org/problem?id%3D1160&amp;sa=D&amp;ust=1605639832428000&amp;usg=AFQjCNFyfc-eSK7epZMp55dw5PRlMoGVAw" xr:uid="{E2414216-A1DE-4EFF-9F9B-DF4C503FF595}"/>
    <hyperlink ref="F939" r:id="rId1650" display="https://www.google.com/url?q=https://github.com/mostafa-saad/MyCompetitiveProgramming/blob/master/Olympiad/IOI/official/2000&amp;sa=D&amp;ust=1605639832428000&amp;usg=AFQjCNGZoukRAHU0EZAKZikdS6df_ZV0YA" xr:uid="{2232E6F1-21EE-4374-91F3-60DE6A49F625}"/>
    <hyperlink ref="B940" r:id="rId1651" display="https://www.google.com/url?q=http://poj.org/problem?id%3D1161&amp;sa=D&amp;ust=1605639832429000&amp;usg=AFQjCNG_0ndV9cZ0UAurky2FXhTd5UuGUg" xr:uid="{536C6F18-781A-4096-A51A-0572A48CED78}"/>
    <hyperlink ref="F940" r:id="rId1652" display="https://www.google.com/url?q=https://github.com/mostafa-saad/MyCompetitiveProgramming/blob/master/Olympiad/IOI/IOI-00-walls.txt&amp;sa=D&amp;ust=1605639832429000&amp;usg=AFQjCNHFL30bttqpnHvnXTNucenxFH9JJw" xr:uid="{BFCA8EAC-50D3-4B51-AECB-62E3D1A1C6B3}"/>
    <hyperlink ref="B941" r:id="rId1653" display="https://www.google.com/url?q=http://poj.org/problem?id%3D1147&amp;sa=D&amp;ust=1605639832429000&amp;usg=AFQjCNE2AKSeZqoLkX3muJVao2uTL9Fb2g" xr:uid="{0C6FE2DC-7C06-4F98-A39A-AD30855E65EB}"/>
    <hyperlink ref="F941" r:id="rId1654" display="https://www.google.com/url?q=https://github.com/mostafa-saad/MyCompetitiveProgramming/blob/master/Olympiad/IOI/official/2001&amp;sa=D&amp;ust=1605639832429000&amp;usg=AFQjCNFr1SurkvKCN7ZqrUaGw8rAsHyPhA" xr:uid="{2792B3DB-141A-4091-9FD6-F50149773BA4}"/>
    <hyperlink ref="B942" r:id="rId1655" display="https://www.google.com/url?q=https://dunjudge.me/analysis/problems/734/&amp;sa=D&amp;ust=1605639832431000&amp;usg=AFQjCNGN03TYOjnOIELwoZ6RHigftaiCiw" xr:uid="{DC6882AE-FC83-444B-BCC5-BCA4A8504E2A}"/>
    <hyperlink ref="F942" r:id="rId1656" display="https://www.google.com/url?q=https://github.com/mostafa-saad/MyCompetitiveProgramming/blob/master/Olympiad/IOI/IOI-01-depot.txt&amp;sa=D&amp;ust=1605639832431000&amp;usg=AFQjCNGhAjt53L_R6vQHhx1a5pYoMzbHmw" xr:uid="{780494FF-F539-41EC-A9DA-808EA0F215BA}"/>
    <hyperlink ref="B943" r:id="rId1657" display="https://www.google.com/url?q=https://dunjudge.me/analysis/problems/753/&amp;sa=D&amp;ust=1605639832431000&amp;usg=AFQjCNErjdY2z8v2IIr6TEOb9bgPNqmy4w" xr:uid="{50E46556-561F-4725-B8D7-256586073736}"/>
    <hyperlink ref="F943" r:id="rId1658" display="https://www.google.com/url?q=https://github.com/mostafa-saad/MyCompetitiveProgramming/blob/master/Olympiad/IOI/official/2001&amp;sa=D&amp;ust=1605639832431000&amp;usg=AFQjCNFnkEd9ChEf4OA52EH1rknh-FoWAQ" xr:uid="{7144E484-A052-4923-9B71-76AB80A69796}"/>
    <hyperlink ref="B944" r:id="rId1659" display="https://www.google.com/url?q=https://dmoj.ca/problem/ioi01p1&amp;sa=D&amp;ust=1605639832432000&amp;usg=AFQjCNF2bAMcs1OQpHQcEUg2xNbH0qPCtg" xr:uid="{F475A3D4-C5F1-42E8-88BF-09FA18B066A0}"/>
    <hyperlink ref="F944" r:id="rId1660" display="https://www.google.com/url?q=https://github.com/mostafa-saad/MyCompetitiveProgramming/blob/master/Olympiad/IOI/official/2001&amp;sa=D&amp;ust=1605639832432000&amp;usg=AFQjCNGCvzwzl-mOCA2_cqBuwNrZl3MpFg" xr:uid="{1BD5D61F-518D-4F24-B048-26472D37D21F}"/>
    <hyperlink ref="B945" r:id="rId1661" display="https://www.google.com/url?q=http://poj.org/problem?id%3D1196&amp;sa=D&amp;ust=1605639832432000&amp;usg=AFQjCNE8XSiBrqlagwb68D7KivcZI3yLnw" xr:uid="{1B288303-A19D-44DA-AED1-4FE3D8899026}"/>
    <hyperlink ref="F945" r:id="rId1662" display="https://www.google.com/url?q=https://github.com/mostafa-saad/MyCompetitiveProgramming/blob/master/Olympiad/IOI/official/2001&amp;sa=D&amp;ust=1605639832432000&amp;usg=AFQjCNGCvzwzl-mOCA2_cqBuwNrZl3MpFg" xr:uid="{1C48FE3B-8399-41AA-823F-467657EC46F6}"/>
    <hyperlink ref="B946" r:id="rId1663" display="https://www.google.com/url?q=https://dmoj.ca/problem/ioi02p4&amp;sa=D&amp;ust=1605639832433000&amp;usg=AFQjCNG9ADd4fFzySiETuaE5bCijcsNxew" xr:uid="{BB390601-BFA8-46C1-8E86-5599594A24AA}"/>
    <hyperlink ref="F946" r:id="rId1664" display="https://www.google.com/url?q=https://github.com/mostafa-saad/MyCompetitiveProgramming/blob/master/Olympiad/IOI/IOI-02-Batch.txt&amp;sa=D&amp;ust=1605639832433000&amp;usg=AFQjCNE5dxhS2x_8e8-YUsVz-iNeWsEDaQ" xr:uid="{F9D75C9E-7334-4FA4-B460-D77BE022D8AA}"/>
    <hyperlink ref="B947" r:id="rId1665" display="https://www.google.com/url?q=https://www.acmicpc.net/problem/2209&amp;sa=D&amp;ust=1605639832433000&amp;usg=AFQjCNFdbnmmz8c7GkttwsIkPTLuSioucQ" xr:uid="{710943D2-4A04-40E4-8D46-CC6B2CEAAEF1}"/>
    <hyperlink ref="F947" r:id="rId1666" display="https://www.google.com/url?q=https://github.com/mostafa-saad/MyCompetitiveProgramming/blob/master/Olympiad/IOI/IOI-02-Bus.txt&amp;sa=D&amp;ust=1605639832434000&amp;usg=AFQjCNFUuUQF1nNbdosPreGt3-3aTSNnag" xr:uid="{041BF17A-D763-4BBA-9C63-F52DF635C5DB}"/>
    <hyperlink ref="B948" r:id="rId1667" display="https://www.google.com/url?q=https://www.acmicpc.net/problem/1752&amp;sa=D&amp;ust=1605639832434000&amp;usg=AFQjCNFKTWcvSIwccyCRmpObtWmGSGYX5g" xr:uid="{B3D986C5-6E9F-410A-9A36-51F4BCE599AC}"/>
    <hyperlink ref="F948" r:id="rId1668" display="https://www.google.com/url?q=https://github.com/mostafa-saad/MyCompetitiveProgramming/blob/master/Olympiad/IOI/IOI-02-Frog.txt&amp;sa=D&amp;ust=1605639832434000&amp;usg=AFQjCNGQt20MLkdljA3ajzA8eGPYVj25aA" xr:uid="{5DEAC210-4A75-4875-9C92-31E13E69D72F}"/>
    <hyperlink ref="B949" r:id="rId1669" display="https://www.google.com/url?q=http://poj.org/problem?id%3D1148&amp;sa=D&amp;ust=1605639832434000&amp;usg=AFQjCNGxFdjbbmDT6LQtUguEcXhDTi4rKg" xr:uid="{37A72F01-262F-43FB-A24F-8891FA3D460C}"/>
    <hyperlink ref="F949" r:id="rId1670" display="https://www.google.com/url?q=https://github.com/mostafa-saad/MyCompetitiveProgramming/blob/master/Olympiad/IOI/IOI-02-Utopia.txt&amp;sa=D&amp;ust=1605639832435000&amp;usg=AFQjCNGuCOWm5d3rRYI-z_w6r3cMbPC4eA" xr:uid="{15742DE3-2EE9-42D9-B8D4-EFB8C27FB0DB}"/>
    <hyperlink ref="B950" r:id="rId1671" display="https://www.google.com/url?q=https://dunjudge.me/analysis/problems/738/&amp;sa=D&amp;ust=1605639832435000&amp;usg=AFQjCNHXpMHM3mpGDh469cxGB8wWCdvKHw" xr:uid="{E93C1AF9-B93E-4542-85FF-E1B0592E7D21}"/>
    <hyperlink ref="F950" r:id="rId1672" display="https://www.google.com/url?q=https://github.com/mostafa-saad/MyCompetitiveProgramming/blob/master/Olympiad/IOI/official/2002&amp;sa=D&amp;ust=1605639832435000&amp;usg=AFQjCNGs4kkud9Qcsi7WIUIKcWKGWU7Heg" xr:uid="{1487AA2F-F617-4D56-92F7-C6EC8D7BF30E}"/>
    <hyperlink ref="B951" r:id="rId1673" display="https://www.google.com/url?q=https://contest.yandex.ru/ioi/contest/558/enter/&amp;sa=D&amp;ust=1605639832435000&amp;usg=AFQjCNGDaW2qyGptT73P_jqd8ONHuSJigg" xr:uid="{6E26D43F-661A-4CC6-943C-069D9B8E1C56}"/>
    <hyperlink ref="F951" r:id="rId1674" display="https://www.google.com/url?q=https://github.com/mostafa-saad/MyCompetitiveProgramming/blob/master/Olympiad/IOI/official/2003&amp;sa=D&amp;ust=1605639832436000&amp;usg=AFQjCNHuZHe3UHSIPKeg3KuovELKrTUEzA" xr:uid="{FEFEB3B4-2A07-477D-9B58-F3BE4B4FAEC0}"/>
    <hyperlink ref="B952" r:id="rId1675" display="https://www.google.com/url?q=https://contest.yandex.ru/ioi/contest/558/problems/B/&amp;sa=D&amp;ust=1605639832436000&amp;usg=AFQjCNFDBTjy1Q_hbglIYOEO87ZV4_zmLA" xr:uid="{35928FEF-95B7-4A4F-8C7A-6664FFEF6FB2}"/>
    <hyperlink ref="F952" r:id="rId1676" display="https://www.google.com/url?q=https://github.com/mostafa-saad/MyCompetitiveProgramming/blob/master/Olympiad/IOI/IOI-03-code.txt&amp;sa=D&amp;ust=1605639832436000&amp;usg=AFQjCNH0FPTEHZ5Pmr-P0ZaXbpaicVay_A" xr:uid="{867772F2-FCDE-486B-8933-A3C8EADDE674}"/>
    <hyperlink ref="B953" r:id="rId1677" display="https://www.google.com/url?q=https://contest.yandex.ru/ioi/contest/558/enter/&amp;sa=D&amp;ust=1605639832437000&amp;usg=AFQjCNFW5_-vT1_6tFJKthlMtVPI73YQ7g" xr:uid="{3B9B0762-F9CD-49A5-BF40-65FFAC9FFC08}"/>
    <hyperlink ref="F953" r:id="rId1678" display="https://www.google.com/url?q=https://github.com/mostafa-saad/MyCompetitiveProgramming/blob/master/Olympiad/IOI/IOI-03-guess.txt&amp;sa=D&amp;ust=1605639832437000&amp;usg=AFQjCNGZCBxNJ_N0IxGNlHno0S0YkQ38YA" xr:uid="{A9C9B692-A173-407C-A4EC-A1B4B2D0FE85}"/>
    <hyperlink ref="B954" r:id="rId1679" display="https://www.google.com/url?q=https://contest.yandex.ru/ioi/contest/558/enter/&amp;sa=D&amp;ust=1605639832437000&amp;usg=AFQjCNFW5_-vT1_6tFJKthlMtVPI73YQ7g" xr:uid="{36055A1F-AB0D-4C85-A35D-1CCEADB8BAD1}"/>
    <hyperlink ref="F954" r:id="rId1680" display="https://www.google.com/url?q=https://github.com/zoooma13/Competitive-Programming/blob/master/trail_maintenance.cpp&amp;sa=D&amp;ust=1605639832437000&amp;usg=AFQjCNF5X-JBKxhjiDiTSvOt-1X4JlbVaA" xr:uid="{5272C202-FA7B-40AF-9160-4392BE382D88}"/>
    <hyperlink ref="B955" r:id="rId1681" display="https://www.google.com/url?q=https://contest.yandex.ru/ioi/contest/558/enter/&amp;sa=D&amp;ust=1605639832438000&amp;usg=AFQjCNGJY2eVsYhMkoaViAYjmXaF1mDxIA" xr:uid="{9C537844-479C-4EB9-AC16-C17850EC3EE8}"/>
    <hyperlink ref="F955" r:id="rId1682" display="https://www.google.com/url?q=https://github.com/mostafa-saad/MyCompetitiveProgramming/blob/master/Olympiad/IOI/official/2003&amp;sa=D&amp;ust=1605639832438000&amp;usg=AFQjCNGIJdr0Y1E6Jpx4xFmu8RNksfB0ZQ" xr:uid="{04EEA596-161A-49AA-87CD-3AF6196060DC}"/>
    <hyperlink ref="B956" r:id="rId1683" display="https://www.google.com/url?q=https://contest.yandex.ru/ioi/contest/558/enter/&amp;sa=D&amp;ust=1605639832438000&amp;usg=AFQjCNGJY2eVsYhMkoaViAYjmXaF1mDxIA" xr:uid="{780119EB-605A-4739-BF1F-AA8D9CEEE276}"/>
    <hyperlink ref="F956" r:id="rId1684" display="https://www.google.com/url?q=https://github.com/mostafa-saad/MyCompetitiveProgramming/blob/master/Olympiad/IOI/IOI-03-robots.txt&amp;sa=D&amp;ust=1605639832438000&amp;usg=AFQjCNF4s18RLSs808TmSRuLGEEhdS840g" xr:uid="{A09B239D-8873-44FB-9B92-581537EE51DC}"/>
    <hyperlink ref="B957" r:id="rId1685" display="https://www.google.com/url?q=https://contest.yandex.ru/ioi/contest/560/enter/&amp;sa=D&amp;ust=1605639832439000&amp;usg=AFQjCNF-JSYGs_uHcpvFiwuerG2IF5QzSQ" xr:uid="{F7F34C45-9A9E-4EF5-844B-5D09109D0929}"/>
    <hyperlink ref="F957" r:id="rId1686" display="https://www.google.com/url?q=https://github.com/mostafa-saad/MyCompetitiveProgramming/blob/master/Olympiad/IOI/IOI-04-artemis.txt&amp;sa=D&amp;ust=1605639832439000&amp;usg=AFQjCNGgyLQVSc83dgBLArHn0pVk-T0bDQ" xr:uid="{A059CC30-6B2C-4198-9A83-8672744E268F}"/>
    <hyperlink ref="B958" r:id="rId1687" display="https://www.google.com/url?q=https://contest.yandex.ru/ioi/contest/560/enter/&amp;sa=D&amp;ust=1605639832439000&amp;usg=AFQjCNF-JSYGs_uHcpvFiwuerG2IF5QzSQ" xr:uid="{9FC11A13-DD21-4B72-8CD6-B28CD5D4BD69}"/>
    <hyperlink ref="F958" r:id="rId1688" display="https://www.google.com/url?q=https://github.com/mostafa-saad/MyCompetitiveProgramming/blob/master/Olympiad/IOI/IOI-04-empodia.txt&amp;sa=D&amp;ust=1605639832440000&amp;usg=AFQjCNEf7iC5Hcsmgug_LDItiXscHFjswQ" xr:uid="{62B6A6E8-3E65-4ABD-B588-EB51922A9107}"/>
    <hyperlink ref="B959" r:id="rId1689" display="https://www.google.com/url?q=https://contest.yandex.ru/ioi/contest/560/enter/&amp;sa=D&amp;ust=1605639832440000&amp;usg=AFQjCNG6t-wJb-tQkxPkbi4R2imAnkTFMw" xr:uid="{28654B9A-C9F9-4F80-830C-213C8A217681}"/>
    <hyperlink ref="F959" r:id="rId1690" display="https://www.google.com/url?q=https://github.com/mostafa-saad/MyCompetitiveProgramming/blob/master/Olympiad/IOI/IOI-04-farmer.txt&amp;sa=D&amp;ust=1605639832441000&amp;usg=AFQjCNHj_gUtqNsCAW97kCbhsjRCGOg-pA" xr:uid="{12B23AC1-7A2E-4A5E-9CB3-5FEE27B30F9B}"/>
    <hyperlink ref="B960" r:id="rId1691" display="https://www.google.com/url?q=https://contest.yandex.ru/ioi/contest/560/enter/&amp;sa=D&amp;ust=1605639832441000&amp;usg=AFQjCNF1CPJcL9nVVq2vlEH9PTt3xWbF2g" xr:uid="{C1F40944-0C99-4435-B548-50F1FAA35B08}"/>
    <hyperlink ref="F960" r:id="rId1692" display="https://www.google.com/url?q=https://github.com/mostafa-saad/MyCompetitiveProgramming/blob/master/Olympiad/IOI/official/2004&amp;sa=D&amp;ust=1605639832441000&amp;usg=AFQjCNE8hHYpze6Nzq1UTze3XKcTAm8ORg" xr:uid="{707307C5-109F-4090-888D-C1F1B6EC03D6}"/>
    <hyperlink ref="B961" r:id="rId1693" display="https://www.google.com/url?q=https://contest.yandex.ru/ioi/contest/560/enter/&amp;sa=D&amp;ust=1605639832441000&amp;usg=AFQjCNF1CPJcL9nVVq2vlEH9PTt3xWbF2g" xr:uid="{795B4157-45B6-4B73-9FE9-9240AE5DB471}"/>
    <hyperlink ref="F961" r:id="rId1694" display="https://www.google.com/url?q=https://github.com/mostafa-saad/MyCompetitiveProgramming/blob/master/Olympiad/IOI/official/2004&amp;sa=D&amp;ust=1605639832441000&amp;usg=AFQjCNE8hHYpze6Nzq1UTze3XKcTAm8ORg" xr:uid="{4A4F4823-853F-4E36-91B3-4360ECD9BD89}"/>
    <hyperlink ref="B962" r:id="rId1695" display="https://www.google.com/url?q=https://contest.yandex.ru/ioi/contest/560/enter/&amp;sa=D&amp;ust=1605639832442000&amp;usg=AFQjCNFgwIQOKKDp3AT_f0_hEVyqKuzZvQ" xr:uid="{0B298558-B62B-486D-90A2-7C995E6318C9}"/>
    <hyperlink ref="F962" r:id="rId1696" display="https://www.google.com/url?q=https://github.com/mostafa-saad/MyCompetitiveProgramming/blob/master/Olympiad/IOI/IOI-04-polygon.txt&amp;sa=D&amp;ust=1605639832442000&amp;usg=AFQjCNHjl7yjBw_RWMrbCP5WWOutfI91Jw" xr:uid="{3C46CE1F-3355-41FC-A2A2-B9763DE8C610}"/>
    <hyperlink ref="B963" r:id="rId1697" display="https://www.google.com/url?q=https://contest.yandex.ru/ioi/contest/566/enter/&amp;sa=D&amp;ust=1605639832442000&amp;usg=AFQjCNFUHcUj7gPLiNKQ7tuVAZ4svUHRYw" xr:uid="{CF199C17-8E8C-4434-AD46-F194195917ED}"/>
    <hyperlink ref="F963" r:id="rId1698" display="https://www.google.com/url?q=https://github.com/mostafa-saad/MyCompetitiveProgramming/blob/master/Olympiad/IOI/IOI-05-birthday.txt&amp;sa=D&amp;ust=1605639832442000&amp;usg=AFQjCNHI8F8MOB0cUflSvvizs7vGbaK0HA" xr:uid="{85D65F51-9CC7-4DBF-80B3-EB4031BD5D4F}"/>
    <hyperlink ref="B964" r:id="rId1699" display="https://www.google.com/url?q=https://contest.yandex.ru/ioi/contest/566/enter/&amp;sa=D&amp;ust=1605639832442000&amp;usg=AFQjCNFUHcUj7gPLiNKQ7tuVAZ4svUHRYw" xr:uid="{8C72E5D3-7789-43FE-B80F-9E46DECEE30F}"/>
    <hyperlink ref="F964" r:id="rId1700" display="https://www.google.com/url?q=https://github.com/mostafa-saad/MyCompetitiveProgramming/blob/master/Olympiad/IOI/IOI-05-game.txt&amp;sa=D&amp;ust=1605639832443000&amp;usg=AFQjCNGUEbTFsGgKD1PdlFP_Rdk759TLEQ" xr:uid="{3277D53D-BD4A-4C2F-BB5C-75A432D6077F}"/>
    <hyperlink ref="B965" r:id="rId1701" display="https://www.google.com/url?q=https://contest.yandex.ru/ioi/contest/566/enter/&amp;sa=D&amp;ust=1605639832443000&amp;usg=AFQjCNFa_7h7sUAR1mFQW1pHnVMOw7dHyg" xr:uid="{9137AA32-090B-47BA-B3B0-72BEC1DB3B7C}"/>
    <hyperlink ref="F965" r:id="rId1702" display="https://www.google.com/url?q=https://www.oi.edu.pl/old/ioi/downloads/ioi2005-tasks-and-solutions-a5.pdf&amp;sa=D&amp;ust=1605639832443000&amp;usg=AFQjCNEzTqcZ-61VZ_QhvbTLgSo1jAKs_g" xr:uid="{ED257192-6837-4ACD-98A7-E9D8DF30C211}"/>
    <hyperlink ref="B966" r:id="rId1703" display="https://www.google.com/url?q=https://contest.yandex.ru/ioi/contest/566/enter/&amp;sa=D&amp;ust=1605639832443000&amp;usg=AFQjCNFa_7h7sUAR1mFQW1pHnVMOw7dHyg" xr:uid="{73C06407-D52C-4534-BB04-F01532528236}"/>
    <hyperlink ref="F966" r:id="rId1704" display="https://www.google.com/url?q=https://www.oi.edu.pl/old/ioi/downloads/ioi2005-tasks-and-solutions-a5.pdf&amp;sa=D&amp;ust=1605639832444000&amp;usg=AFQjCNEbCKkb5YoAnSt_HTNX1x814qKoHQ" xr:uid="{4733D1BD-4D32-43A3-86FB-A587734B6CFA}"/>
    <hyperlink ref="B967" r:id="rId1705" display="https://www.google.com/url?q=https://contest.yandex.ru/ioi/contest/566/enter/&amp;sa=D&amp;ust=1605639832444000&amp;usg=AFQjCNE4P5Hc5rSI5Fc6o0Qsi-1T8Ii6Rg" xr:uid="{0B45EB6A-989A-4062-95A0-D2B2F4A444B8}"/>
    <hyperlink ref="F967" r:id="rId1706" display="https://www.google.com/url?q=https://github.com/mostafa-saad/MyCompetitiveProgramming/blob/master/Olympiad/IOI/IOI-05-mountains.txt&amp;sa=D&amp;ust=1605639832444000&amp;usg=AFQjCNEx6cMBr-CooUotfywTuGNTWKr_uA" xr:uid="{27EB1704-B1AF-4A25-883E-68668B416AB3}"/>
    <hyperlink ref="B968" r:id="rId1707" display="https://www.google.com/url?q=https://contest.yandex.ru/ioi/contest/566/enter/&amp;sa=D&amp;ust=1605639832444000&amp;usg=AFQjCNE4P5Hc5rSI5Fc6o0Qsi-1T8Ii6Rg" xr:uid="{DEAE8E53-BA99-4DBE-B80D-750A6DF29457}"/>
    <hyperlink ref="F968" r:id="rId1708" display="https://www.google.com/url?q=https://github.com/mostafa-saad/MyCompetitiveProgramming/blob/master/Olympiad/IOI/IOI-05-rivers.txt&amp;sa=D&amp;ust=1605639832445000&amp;usg=AFQjCNH8qxzk6icn0A9ETtamLRUsWSYPfw" xr:uid="{615F90EA-EED0-4CC5-89D4-6E2B80D63F96}"/>
    <hyperlink ref="B969" r:id="rId1709" display="https://www.google.com/url?q=https://contest.yandex.ru/ioi/contest/562/problems/F/&amp;sa=D&amp;ust=1605639832445000&amp;usg=AFQjCNH11qc3fiW3sg30bKJt_gjVlPNaqQ" xr:uid="{DC2ABA19-E71B-44C1-B2E5-B2F56E2AF9D6}"/>
    <hyperlink ref="F969" r:id="rId1710" display="https://www.google.com/url?q=https://github.com/mostafa-saad/MyCompetitiveProgramming/blob/master/Olympiad/IOI/official/2006/ioi06_blackbox_sol.pdf&amp;sa=D&amp;ust=1605639832445000&amp;usg=AFQjCNENJpZsq4PnMmvXUxerFoIp18k6Dg" xr:uid="{B4610E91-E668-4364-A765-13E86A9B1D57}"/>
    <hyperlink ref="B970" r:id="rId1711" display="https://www.google.com/url?q=https://contest.yandex.ru/ioi/contest/562/problems/C/&amp;sa=D&amp;ust=1605639832445000&amp;usg=AFQjCNE32l76zzOVA88JhgeORd5VlxJyTw" xr:uid="{3A9775AD-88F3-4A02-8CDB-FC4BE1FA28E7}"/>
    <hyperlink ref="F970" r:id="rId1712" display="https://www.google.com/url?q=https://github.com/mostafa-saad/MyCompetitiveProgramming/blob/master/Olympiad/IOI/official/2006/ioi06_forbidden_sol.pdf&amp;sa=D&amp;ust=1605639832446000&amp;usg=AFQjCNH6RcmW2G4cQm06y9esQZA4jm5kuw" xr:uid="{F5B0B9F7-5DB9-4387-866F-E5AA9D05B9BB}"/>
    <hyperlink ref="B971" r:id="rId1713" display="https://www.google.com/url?q=https://contest.yandex.ru/ioi/contest/562/problems/D/&amp;sa=D&amp;ust=1605639832446000&amp;usg=AFQjCNEqBqr49qgsYjOCff_rMV_F9_pdhw" xr:uid="{D20D405B-7F6C-40DF-84E8-C98738D67E9D}"/>
    <hyperlink ref="F971" r:id="rId1714" display="https://www.google.com/url?q=https://github.com/mostafa-saad/MyCompetitiveProgramming/blob/master/Olympiad/IOI/official/2006/ioi06_mexico_sol.pdf&amp;sa=D&amp;ust=1605639832446000&amp;usg=AFQjCNERppNTsK9dlWMbk5ji5ZI3d39G6w" xr:uid="{3D42549D-A226-4A64-A02D-EC24D4AE701C}"/>
    <hyperlink ref="B972" r:id="rId1715" display="https://www.google.com/url?q=https://contest.yandex.ru/ioi/contest/562/problems/E/&amp;sa=D&amp;ust=1605639832447000&amp;usg=AFQjCNGUzWI5SUWmwxmscjwqnzilvBauiQ" xr:uid="{A6DE2698-98E6-4596-AF97-D901DA207D8D}"/>
    <hyperlink ref="F972" r:id="rId1716" display="https://www.google.com/url?q=https://github.com/mostafa-saad/MyCompetitiveProgramming/blob/master/Olympiad/IOI/IOI-06-points.txt&amp;sa=D&amp;ust=1605639832447000&amp;usg=AFQjCNGry0FNkdljh3P61GtrHFgLhwoEjQ" xr:uid="{8210E08B-E908-4926-A106-C429DF829307}"/>
    <hyperlink ref="B973" r:id="rId1717" display="https://www.google.com/url?q=https://contest.yandex.ru/ioi/contest/562/problems/B/&amp;sa=D&amp;ust=1605639832447000&amp;usg=AFQjCNGGCWGQZQHv7iDbRKSffhJWm4h9uw" xr:uid="{D5B8C788-973C-496E-A208-0D1C62EB6B2E}"/>
    <hyperlink ref="F973" r:id="rId1718" display="https://www.google.com/url?q=https://github.com/mostafa-saad/MyCompetitiveProgramming/blob/master/Olympiad/IOI/IOI-06-pyramid.txt&amp;sa=D&amp;ust=1605639832447000&amp;usg=AFQjCNHqzrHX60_CEaa2SoZhWBFkN-9qfQ" xr:uid="{41BF9CE2-9568-4FE2-A2A8-6527CD8E920F}"/>
    <hyperlink ref="B974" r:id="rId1719" display="https://www.google.com/url?q=https://contest.yandex.ru/ioi/contest/562/problems/A/&amp;sa=D&amp;ust=1605639832448000&amp;usg=AFQjCNFOoj-A2m3tOouVsh0feHL6GvzOlw" xr:uid="{B632BF9E-5E55-4135-A79C-0C527FE8BEB7}"/>
    <hyperlink ref="F974" r:id="rId1720" display="https://www.google.com/url?q=https://github.com/mostafa-saad/MyCompetitiveProgramming/blob/master/Olympiad/IOI/official/2006/ioi06_writing_sol.pdf&amp;sa=D&amp;ust=1605639832448000&amp;usg=AFQjCNEegoXdxinZkPDUx_o00NV9E5MisA" xr:uid="{9C4061C1-AA6B-4F46-99F7-4297CE293342}"/>
    <hyperlink ref="B975" r:id="rId1721" display="https://www.google.com/url?q=https://oj.uz/problem/view/IOI07_aliens&amp;sa=D&amp;ust=1605639832449000&amp;usg=AFQjCNEIgkks0gitSOPsy7PA0SsQvn1Bww" xr:uid="{845C73CE-46C5-47E5-BCAA-E20FC32CB624}"/>
    <hyperlink ref="F975" r:id="rId1722" display="https://www.google.com/url?q=https://github.com/mostafa-saad/MyCompetitiveProgramming/blob/master/Olympiad/IOI/official/2007&amp;sa=D&amp;ust=1605639832449000&amp;usg=AFQjCNFIHnR0hFkAXWBSl3UwfdfnEoYajQ" xr:uid="{28BCA367-B0F8-48B4-853D-042E8B84AEED}"/>
    <hyperlink ref="B976" r:id="rId1723" display="https://www.google.com/url?q=https://oj.uz/problem/view/IOI07_flood&amp;sa=D&amp;ust=1605639832450000&amp;usg=AFQjCNE67feRq9Yp8jAI1QwwZItVaj4ucQ" xr:uid="{9AF6205B-AC03-49D7-9D0D-FE5379938289}"/>
    <hyperlink ref="F976" r:id="rId1724" display="https://www.google.com/url?q=https://github.com/mostafa-saad/MyCompetitiveProgramming/blob/master/Olympiad/IOI/IOI-07-flood.txt&amp;sa=D&amp;ust=1605639832450000&amp;usg=AFQjCNHGnBHz2yPLt_JJ18a5ilAhiu9VEQ" xr:uid="{0EAF1DE7-7C5F-4193-8AC7-0813E35820DA}"/>
    <hyperlink ref="B977" r:id="rId1725" display="https://www.google.com/url?q=https://oj.uz/problem/view/IOI07_miners&amp;sa=D&amp;ust=1605639832450000&amp;usg=AFQjCNFBuArRnrUkA4thW_4I7prqZea8pg" xr:uid="{C2DD9164-DDDE-4F57-A383-C1FD5568B8EB}"/>
    <hyperlink ref="F977" r:id="rId1726" display="https://www.google.com/url?q=https://github.com/mostafa-saad/MyCompetitiveProgramming/blob/master/Olympiad/IOI/official/2007&amp;sa=D&amp;ust=1605639832450000&amp;usg=AFQjCNG0itsp0r8tBGfGVKj2vxtQHEBeKg" xr:uid="{5EA3C6EA-BDFA-4CDE-972E-DD50525917D2}"/>
    <hyperlink ref="B978" r:id="rId1727" display="https://www.google.com/url?q=https://oj.uz/problem/view/IOI07_pairs&amp;sa=D&amp;ust=1605639832451000&amp;usg=AFQjCNEhZlKZTHDzTUuEmvWLA5duR4limg" xr:uid="{A7B3ACB4-E821-455D-9E49-9CEA59139D4B}"/>
    <hyperlink ref="F978" r:id="rId1728" display="https://www.google.com/url?q=https://github.com/mostafa-saad/MyCompetitiveProgramming/blob/master/Olympiad/IOI/official/2007&amp;sa=D&amp;ust=1605639832451000&amp;usg=AFQjCNEwa3MkF3BDHG_hdnz9TpuVCfjUrA" xr:uid="{AE72702E-42B2-4258-B3D9-54B8ED8B4C4E}"/>
    <hyperlink ref="B979" r:id="rId1729" display="https://www.google.com/url?q=https://oj.uz/problem/view/IOI07_sails&amp;sa=D&amp;ust=1605639832451000&amp;usg=AFQjCNGEbyF7FxRdbjwUirsVeAqIisb9BQ" xr:uid="{44365681-7865-4338-80A7-ACEECF7A63DF}"/>
    <hyperlink ref="F979" r:id="rId1730" display="https://www.google.com/url?q=https://github.com/mostafa-saad/MyCompetitiveProgramming/blob/master/Olympiad/IOI/IOI-07-sails.txt&amp;sa=D&amp;ust=1605639832452000&amp;usg=AFQjCNGioIv4vVOqmS2o6Dm7PuarvHLQpg" xr:uid="{E0AF815D-B1E1-447E-8513-AEDB28347E47}"/>
    <hyperlink ref="B980" r:id="rId1731" display="https://www.google.com/url?q=https://oj.uz/problem/view/IOI07_training&amp;sa=D&amp;ust=1605639832452000&amp;usg=AFQjCNG92Zu-43_7A8gHQIe8oGyaUyLmKw" xr:uid="{CE57E074-8F94-4766-9DC3-96758B4E1FED}"/>
    <hyperlink ref="F980" r:id="rId1732" display="https://www.google.com/url?q=https://github.com/mostafa-saad/MyCompetitiveProgramming/blob/master/Olympiad/IOI/IOI-07-training.txt&amp;sa=D&amp;ust=1605639832452000&amp;usg=AFQjCNEvMtp8sNLkPLcl_GJCLUmsTzgIpg" xr:uid="{E6524B89-FC52-4ABD-9A22-4622F0335635}"/>
    <hyperlink ref="B981" r:id="rId1733" display="https://www.google.com/url?q=https://oj.uz/problem/view/IOI08_fish&amp;sa=D&amp;ust=1605639832453000&amp;usg=AFQjCNGttHgEzJln41tlqdIDf8tJ_-LFKg" xr:uid="{E3BF54D1-8D11-49D1-8AFE-95AE17AF370F}"/>
    <hyperlink ref="F981" r:id="rId1734" display="https://www.google.com/url?q=https://github.com/mostafa-saad/MyCompetitiveProgramming/blob/master/Olympiad/IOI/official/2008&amp;sa=D&amp;ust=1605639832453000&amp;usg=AFQjCNHBREZeDFT65ikOLNT9h3iPszaKrQ" xr:uid="{58A8A0BA-5B53-4E7B-8583-D167F531812A}"/>
    <hyperlink ref="B982" r:id="rId1735" display="https://www.google.com/url?q=https://oj.uz/problem/view/IOI08_islands&amp;sa=D&amp;ust=1605639832453000&amp;usg=AFQjCNH6A1b7VJcsJ3JRYI7dr-6QbUC3Ng" xr:uid="{D13292EC-CBDC-4B85-8542-F0B5D5B7468C}"/>
    <hyperlink ref="F982" r:id="rId1736" display="https://www.google.com/url?q=https://github.com/mostafa-saad/MyCompetitiveProgramming/blob/master/Olympiad/IOI/official/2008&amp;sa=D&amp;ust=1605639832453000&amp;usg=AFQjCNHBREZeDFT65ikOLNT9h3iPszaKrQ" xr:uid="{8501DB7C-78B5-4AED-8526-77ED8DB39051}"/>
    <hyperlink ref="B983" r:id="rId1737" display="https://www.google.com/url?q=https://oj.uz/problem/view/IOI08_linear_garden&amp;sa=D&amp;ust=1605639832454000&amp;usg=AFQjCNHqPHVZwJcH3SbI3qVpB-QnKa-AJw" xr:uid="{34C4D6AE-A42B-4865-AD76-0E5BFD635E1D}"/>
    <hyperlink ref="F983" r:id="rId1738" display="https://www.google.com/url?q=https://github.com/mostafa-saad/MyCompetitiveProgramming/blob/master/Olympiad/IOI/IOI-08-linear.txt&amp;sa=D&amp;ust=1605639832454000&amp;usg=AFQjCNEG_6S9aIFzvCBfkd1s_fJabsH_4A" xr:uid="{01DE46E0-7541-4B73-965C-6AE7C29C689E}"/>
    <hyperlink ref="B984" r:id="rId1739" display="https://www.google.com/url?q=https://oj.uz/problem/view/IOI08_printer&amp;sa=D&amp;ust=1605639832454000&amp;usg=AFQjCNGtet3WuwAFVI5j5Ece9o-q9cxWmg" xr:uid="{4497C917-6E22-4CC9-BAEB-18812AE887A9}"/>
    <hyperlink ref="F984" r:id="rId1740" display="https://www.google.com/url?q=https://github.com/updown2/OI-Practice/blob/master/IOI/IOI%25202008/Type%2520Printer.cpp&amp;sa=D&amp;ust=1605639832455000&amp;usg=AFQjCNGIY-LvqAUnSjpTRlup8tY0GN2VsQ" xr:uid="{F0123BED-507A-46D2-801E-030BDBA16241}"/>
    <hyperlink ref="B985" r:id="rId1741" display="https://www.google.com/url?q=https://oj.uz/problem/view/IOI08_pyramid_base&amp;sa=D&amp;ust=1605639832455000&amp;usg=AFQjCNGcCMcZewP1J_9HX31azuqfqpqxZg" xr:uid="{72A4962A-C5A0-46CB-B5F9-10398D80C20D}"/>
    <hyperlink ref="F985" r:id="rId1742" display="https://www.google.com/url?q=https://github.com/mostafa-saad/MyCompetitiveProgramming/blob/master/Olympiad/IOI/IOI-08-pyramid_base.txt&amp;sa=D&amp;ust=1605639832455000&amp;usg=AFQjCNGHCUI-kZ5X14xZjqQeniCu8Kd6jw" xr:uid="{A4A89B59-3466-41DF-92C6-65299CBDB05F}"/>
    <hyperlink ref="B986" r:id="rId1743" display="https://www.google.com/url?q=https://oj.uz/problem/view/IOI08_teleporters&amp;sa=D&amp;ust=1605639832455000&amp;usg=AFQjCNEtKhKz2yRvRea0h42JVsgNRBbpyQ" xr:uid="{097AA21D-BDA8-453B-AEF5-990FE82EF7E1}"/>
    <hyperlink ref="F986" r:id="rId1744" display="https://www.google.com/url?q=https://github.com/mostafa-saad/MyCompetitiveProgramming/blob/master/Olympiad/IOI/official/2008&amp;sa=D&amp;ust=1605639832456000&amp;usg=AFQjCNFhkIiXX4nrPANGNKIgI1EcFE4F2w" xr:uid="{D9892BF7-114F-409B-91D4-F33CBA761476}"/>
    <hyperlink ref="B987" r:id="rId1745" display="https://www.google.com/url?q=https://contest.yandex.ru/ioi/contest/568/enter/&amp;sa=D&amp;ust=1605639832456000&amp;usg=AFQjCNGUuKJP98-7mNUk-x5bPzEWI38jPQ" xr:uid="{55A2685F-CB43-4C0B-9CA5-E78ABC69C78D}"/>
    <hyperlink ref="F987" r:id="rId1746" display="https://www.google.com/url?q=https://github.com/mostafa-saad/MyCompetitiveProgramming/blob/master/Olympiad/IOI/official/2009&amp;sa=D&amp;ust=1605639832456000&amp;usg=AFQjCNEczkh4QO5aiF8MBtHuy3tr2gi5cQ" xr:uid="{443FD8D9-BDC1-4675-8C3D-AA731171F12C}"/>
    <hyperlink ref="B988" r:id="rId1747" display="https://www.google.com/url?q=https://oj.uz/problem/view/IOI09_garage&amp;sa=D&amp;ust=1605639832457000&amp;usg=AFQjCNHduYPkfp8Vi2fRybdZlj1lT4tqvQ" xr:uid="{2A709468-8C35-488F-923F-90A051EC4EC5}"/>
    <hyperlink ref="F988" r:id="rId1748" display="https://www.google.com/url?q=https://github.com/mostafa-saad/MyCompetitiveProgramming/blob/master/Olympiad/IOI/official/2009&amp;sa=D&amp;ust=1605639832457000&amp;usg=AFQjCNG2QDApUFooe3nRQ7E-HB1A7Pwogw" xr:uid="{CB1D8592-E82C-42EB-BD92-2DD7D50F0D72}"/>
    <hyperlink ref="B989" r:id="rId1749" display="https://www.google.com/url?q=https://contest.yandex.ru/ioi/contest/568/enter/&amp;sa=D&amp;ust=1605639832457000&amp;usg=AFQjCNGDw41cqltf9Abb9FRHPDSqelWGGQ" xr:uid="{D97B0A95-C4B2-4E66-AD35-6301A2E48292}"/>
    <hyperlink ref="F989" r:id="rId1750" display="https://www.google.com/url?q=https://github.com/mostafa-saad/MyCompetitiveProgramming/blob/master/Olympiad/IOI/official/2009&amp;sa=D&amp;ust=1605639832457000&amp;usg=AFQjCNG2QDApUFooe3nRQ7E-HB1A7Pwogw" xr:uid="{501CDDE7-E922-4499-A748-E407EE95DD10}"/>
    <hyperlink ref="B990" r:id="rId1751" display="https://www.google.com/url?q=https://oj.uz/problem/view/IOI09_mecho&amp;sa=D&amp;ust=1605639832458000&amp;usg=AFQjCNGSL89w2em47UguLZZCpRnsp_-Vdw" xr:uid="{B4EAEB4B-7D20-4F41-B39E-609D4B2ED294}"/>
    <hyperlink ref="F990" r:id="rId1752" display="https://www.google.com/url?q=https://github.com/tmwilliamlin168/CompetitiveProgramming/blob/master/IOI/09-Mecho.cpp&amp;sa=D&amp;ust=1605639832458000&amp;usg=AFQjCNFBPe78G3NVqXQVGMlby48jy9zZIw" xr:uid="{160EAD5E-E52C-4912-937E-E99DD427AC8F}"/>
    <hyperlink ref="B991" r:id="rId1753" display="https://www.google.com/url?q=https://contest.yandex.ru/ioi/contest/568/enter/&amp;sa=D&amp;ust=1605639832458000&amp;usg=AFQjCNF5i8iAf20kOeeKAjv2J4qxid9Sug" xr:uid="{CBAE91CD-208A-41EE-8CA2-06C2121884C3}"/>
    <hyperlink ref="F991" r:id="rId1754" display="https://www.google.com/url?q=https://github.com/updown2/OI-Practice/blob/master/JOI/2018/Stove.cpp&amp;sa=D&amp;ust=1605639832459000&amp;usg=AFQjCNHsdAilbZN2eP__hPMXGt-cNzHvnQ" xr:uid="{BCCED3EC-2DC1-47C3-9B54-D76B7BA6CD16}"/>
    <hyperlink ref="B992" r:id="rId1755" display="https://www.google.com/url?q=https://contest.yandex.ru/ioi/contest/568/enter/&amp;sa=D&amp;ust=1605639832459000&amp;usg=AFQjCNET_2ETTPzVwPW4-lRLTFtUxdyyRw" xr:uid="{D59FFBB7-6A5F-4D2D-B6F5-A8B336AE4AB0}"/>
    <hyperlink ref="F992" r:id="rId1756" display="https://www.google.com/url?q=https://github.com/mostafa-saad/MyCompetitiveProgramming/blob/master/Olympiad/IOI/official/2009&amp;sa=D&amp;ust=1605639832460000&amp;usg=AFQjCNGXzqpz8xoDMfAk3Qx60-iZolE6Tg" xr:uid="{B2EB23D6-599C-4A97-8BAD-DF04BB246E8B}"/>
    <hyperlink ref="B993" r:id="rId1757" display="https://www.google.com/url?q=https://oj.uz/problem/view/IOI09_regions&amp;sa=D&amp;ust=1605639832460000&amp;usg=AFQjCNFojyCiZyjgKuT7A8Bezmq01I27kw" xr:uid="{5EE80FD9-C581-4D43-88C6-19E2EEDC847A}"/>
    <hyperlink ref="F993" r:id="rId1758" display="https://www.google.com/url?q=https://github.com/mostafa-saad/MyCompetitiveProgramming/blob/master/Olympiad/IOI/IOI-09-regions.txt&amp;sa=D&amp;ust=1605639832460000&amp;usg=AFQjCNHgfPrGSVYVOdMf_PY84IqxADsbWA" xr:uid="{C3271BA0-3188-4547-BC6E-0DD7D8F301FE}"/>
    <hyperlink ref="B994" r:id="rId1759" display="https://www.google.com/url?q=https://oj.uz/problem/view/IOI09_salesman&amp;sa=D&amp;ust=1605639832460000&amp;usg=AFQjCNHgN4JyBbIXpu-qFYWc3YuiBT_c5g" xr:uid="{FD8163B4-3F30-4510-B18A-CA3B4CE968FB}"/>
    <hyperlink ref="F994" r:id="rId1760" display="https://www.google.com/url?q=https://github.com/mostafa-saad/MyCompetitiveProgramming/blob/master/Olympiad/IOI/IOI-09-salesman.txt&amp;sa=D&amp;ust=1605639832460000&amp;usg=AFQjCNFzFTavh0a_wEQKJnf81lHGAT5rJA" xr:uid="{CD490C48-26AC-473C-8DDF-953B51104EF0}"/>
    <hyperlink ref="B995" r:id="rId1761" display="https://www.google.com/url?q=https://contest.yandex.ru/ioi/contest/570/enter/&amp;sa=D&amp;ust=1605639832461000&amp;usg=AFQjCNHTdON0S92pzpGa9Nk6O2EDJrGyDQ" xr:uid="{AAF60C2E-AFA3-4191-80AD-D7E1B2ADD78D}"/>
    <hyperlink ref="F995" r:id="rId1762" display="https://www.google.com/url?q=https://github.com/mostafa-saad/MyCompetitiveProgramming/blob/master/Olympiad/IOI/official/2010&amp;sa=D&amp;ust=1605639832461000&amp;usg=AFQjCNGqnpoZXmGf-gfxvtcE31g7OOaspg" xr:uid="{8E57C9DE-F885-4271-8F11-093E47819533}"/>
    <hyperlink ref="B996" r:id="rId1763" display="https://www.google.com/url?q=https://oj.uz/problem/view/IOI10_hottercolder&amp;sa=D&amp;ust=1605639832461000&amp;usg=AFQjCNEY-fSPLQHlpoMWSB1TouETxuComw" xr:uid="{7E768502-E8B8-4160-9EC5-5EEE74C661AF}"/>
    <hyperlink ref="F996" r:id="rId1764" display="https://www.google.com/url?q=https://github.com/mostafa-saad/MyCompetitiveProgramming/blob/master/Olympiad/IOI/official/2010&amp;sa=D&amp;ust=1605639832461000&amp;usg=AFQjCNGqnpoZXmGf-gfxvtcE31g7OOaspg" xr:uid="{D8587D4B-1183-45A6-B618-A420077A8DD1}"/>
    <hyperlink ref="B997" r:id="rId1765" display="https://www.google.com/url?q=https://oj.uz/problem/view/IOI10_languages&amp;sa=D&amp;ust=1605639832462000&amp;usg=AFQjCNHAbtQ_qqcaiZ6FEqCyoMVAsIJjfw" xr:uid="{E5A84298-CD3F-43EE-A3E3-8BE1EB36DFEC}"/>
    <hyperlink ref="F997" r:id="rId1766" display="https://www.google.com/url?q=https://github.com/mostafa-saad/MyCompetitiveProgramming/blob/master/Olympiad/IOI/official/2010&amp;sa=D&amp;ust=1605639832462000&amp;usg=AFQjCNFe-hL6djhZiwyEfkXbfTLFI3wg2Q" xr:uid="{28873B7D-B76A-4B88-AFF8-081447DE06AB}"/>
    <hyperlink ref="B998" r:id="rId1767" display="https://www.google.com/url?q=https://oj.uz/problem/view/IOI10_maze&amp;sa=D&amp;ust=1605639832462000&amp;usg=AFQjCNGVGiu4sEbDi4GVdMI_vckquo6bwA" xr:uid="{8E76E5AD-9D47-4430-A5FC-A1453CDCADFE}"/>
    <hyperlink ref="F998" r:id="rId1768" display="https://www.google.com/url?q=https://github.com/mostafa-saad/MyCompetitiveProgramming/blob/master/Olympiad/IOI/official/2010&amp;sa=D&amp;ust=1605639832462000&amp;usg=AFQjCNFe-hL6djhZiwyEfkXbfTLFI3wg2Q" xr:uid="{8060958C-034B-423A-AB14-F4907B3FE472}"/>
    <hyperlink ref="B999" r:id="rId1769" display="https://www.google.com/url?q=https://contest.yandex.ru/ioi/contest/570/enter/&amp;sa=D&amp;ust=1605639832462000&amp;usg=AFQjCNGIqBk6bBI69hY2TMX62BnyNa4ZuQ" xr:uid="{5540A98E-E45F-40CB-8141-51FBA11FDB9D}"/>
    <hyperlink ref="F999" r:id="rId1770" display="https://www.google.com/url?q=https://github.com/mostafa-saad/MyCompetitiveProgramming/blob/master/Olympiad/IOI/official/2010&amp;sa=D&amp;ust=1605639832463000&amp;usg=AFQjCNF2VtM8wZYA2SI0ow1Bp7TEMr81ig" xr:uid="{90A5FB3F-2ADF-4EB3-9CAE-D06F9FCF7A2E}"/>
    <hyperlink ref="B1000" r:id="rId1771" display="https://www.google.com/url?q=https://contest.yandex.ru/ioi/contest/570/problems/C/&amp;sa=D&amp;ust=1605639832463000&amp;usg=AFQjCNHGxrRp12l1aSc_OuCBs80jeqUxPw" xr:uid="{4EE8FB30-4ADD-475D-888E-240544AE0E66}"/>
    <hyperlink ref="F1000" r:id="rId1772" display="https://www.google.com/url?q=https://github.com/mostafa-saad/MyCompetitiveProgramming/blob/master/Olympiad/IOI/IOI-10-quality.txt&amp;sa=D&amp;ust=1605639832463000&amp;usg=AFQjCNG0yv1A_CyJmilLYAYvf4kwXQ-yXw" xr:uid="{E35035DB-A262-4B93-BCC9-D8099E9C2192}"/>
    <hyperlink ref="B1001" r:id="rId1773" display="https://www.google.com/url?q=https://ioi2010.contest.atcoder.jp/tasks/ioi2010_2_4&amp;sa=D&amp;ust=1605639832463000&amp;usg=AFQjCNHvMe-3xKH1kTgfDAAtaAg1FpFJoA" xr:uid="{4E28FB06-B188-4DFE-83DB-45762F5B5CB3}"/>
    <hyperlink ref="F1001" r:id="rId1774" display="https://www.google.com/url?q=https://github.com/mostafa-saad/MyCompetitiveProgramming/blob/master/Olympiad/IOI/IOI-10-saveit.txt&amp;sa=D&amp;ust=1605639832463000&amp;usg=AFQjCNFM-MlynCqbxQlU2vvhw-q2TUM3Yw" xr:uid="{5C3E44AA-CB31-43D7-8E7C-05B4F38B1B47}"/>
    <hyperlink ref="B1002" r:id="rId1775" display="https://www.google.com/url?q=https://contest.yandex.ru/ioi/contest/570/enter/&amp;sa=D&amp;ust=1605639832464000&amp;usg=AFQjCNGVZcXO8eAHsP9m2vvOvqa-gr0bGQ" xr:uid="{C3976B39-6A8C-48D4-B3F2-ECEADC2104E9}"/>
    <hyperlink ref="F1002" r:id="rId1776" display="https://www.google.com/url?q=https://github.com/mostafa-saad/MyCompetitiveProgramming/blob/master/Olympiad/IOI/IOI-10-traffic.txt&amp;sa=D&amp;ust=1605639832464000&amp;usg=AFQjCNEyF4nYGxR_WX743dfbX-UodKznoQ" xr:uid="{8C177687-2517-40B2-B850-4EE7AE3BA460}"/>
    <hyperlink ref="B1003" r:id="rId1777" display="https://www.google.com/url?q=https://oj.uz/problem/view/IOI11_crocodile&amp;sa=D&amp;ust=1605639832464000&amp;usg=AFQjCNGPdJcsxoTZU88lZ6Z2Gj_0s3JnAg" xr:uid="{4AE7D1F7-E1C6-47BF-8FCB-1A52FEE8E260}"/>
    <hyperlink ref="F1003" r:id="rId1778" display="https://www.google.com/url?q=http://www.ioi2011.or.th/hsc/tasks/solutions/crocodile.pdf&amp;sa=D&amp;ust=1605639832464000&amp;usg=AFQjCNEdMTTU6HgIRed2z1LH2-CHcUHjgA" xr:uid="{880AE045-9E88-414E-A500-39E3B479FE94}"/>
    <hyperlink ref="B1004" r:id="rId1779" display="https://www.google.com/url?q=https://oj.uz/problem/view/IOI11_elephants&amp;sa=D&amp;ust=1605639832465000&amp;usg=AFQjCNFQcAJjtLALqGEhdGjU1m1GkZ-_Gw" xr:uid="{7992864B-8F2E-421A-8AA1-EA6E41A903E8}"/>
    <hyperlink ref="F1004" r:id="rId1780" display="https://www.google.com/url?q=https://github.com/mostafa-saad/MyCompetitiveProgramming/blob/master/Olympiad/IOI/IOI-11-elephants.txt&amp;sa=D&amp;ust=1605639832465000&amp;usg=AFQjCNFDZNr95-UEZDBv_iz7YIPKpyRVvw" xr:uid="{912153C1-8442-4D10-9DCA-E3FBB8AE1E45}"/>
    <hyperlink ref="B1005" r:id="rId1781" display="https://www.google.com/url?q=https://oj.uz/problem/view/IOI11_garden&amp;sa=D&amp;ust=1605639832465000&amp;usg=AFQjCNGG4q9ZyNMhIG5HzZA83vOU-nMv4A" xr:uid="{C0902D1E-CC98-45C3-A2A0-682749D95C4E}"/>
    <hyperlink ref="F1005" r:id="rId1782" display="https://www.google.com/url?q=https://github.com/mostafa-saad/MyCompetitiveProgramming/blob/master/Olympiad/IOI/IOI-11-garden.txt&amp;sa=D&amp;ust=1605639832466000&amp;usg=AFQjCNH0vAnRub5acfLVhmO9xolWa42Tlg" xr:uid="{9F1E16D6-28F0-43AD-BAED-88FEB0E122E7}"/>
    <hyperlink ref="B1006" r:id="rId1783" display="https://www.google.com/url?q=https://oj.uz/problem/view/IOI11_parrots&amp;sa=D&amp;ust=1605639832466000&amp;usg=AFQjCNFIAz05zmiX51yVg4zF5AIvNc15WQ" xr:uid="{A4D49390-24FB-4E97-9655-E12A1933A523}"/>
    <hyperlink ref="F1006" r:id="rId1784" display="https://www.google.com/url?q=http://www.ioi2011.or.th/hsc/tasks/EN/parrots.pdf&amp;sa=D&amp;ust=1605639832466000&amp;usg=AFQjCNEm-bfjhz5OG3ttCIHz6jk8rYrjWw" xr:uid="{BC29E15B-BCDD-489F-AE3C-86BAAF33F67A}"/>
    <hyperlink ref="B1007" r:id="rId1785" display="https://www.google.com/url?q=https://oj.uz/problem/view/IOI11_race&amp;sa=D&amp;ust=1605639832467000&amp;usg=AFQjCNFS7ugH_GbSpB-AUFjAAc-5J2nAYQ" xr:uid="{597B0ED0-CBD2-4E78-98F8-48400068D85B}"/>
    <hyperlink ref="F1007" r:id="rId1786" display="https://www.google.com/url?q=https://github.com/aviroop123/CompetitiveProgramming/blob/master/Olympiad/IOI/IOI%252011-race.cpp&amp;sa=D&amp;ust=1605639832467000&amp;usg=AFQjCNHHJNDmTeHKbILvtT6Z32yC0k95DQ" xr:uid="{102BC5C8-B721-4049-B4F0-E8274F23E94D}"/>
    <hyperlink ref="B1008" r:id="rId1787" display="https://www.google.com/url?q=https://oj.uz/problem/view/IOI11_ricehub&amp;sa=D&amp;ust=1605639832472000&amp;usg=AFQjCNFvAb4ErYqAxpJ7px_alBlA85ijDA" xr:uid="{362229EA-55A1-4C00-AADB-4FC5A2FD6DD8}"/>
    <hyperlink ref="F1008" r:id="rId1788" display="https://www.google.com/url?q=https://github.com/mostafa-saad/MyCompetitiveProgramming/blob/master/Olympiad/IOI/official/2011&amp;sa=D&amp;ust=1605639832472000&amp;usg=AFQjCNH5lHFA90mF_oztZjN0PVYViOcK0w" xr:uid="{18AACE60-71A0-4435-95D9-B00142E0DADB}"/>
    <hyperlink ref="B1009" r:id="rId1789" display="https://www.google.com/url?q=https://oj.uz/problem/view/IOI12_city&amp;sa=D&amp;ust=1605639832472000&amp;usg=AFQjCNGf2jXP72GGsDWdWCFD9mz7pQP2Zg" xr:uid="{C831E520-2BDC-4A5C-8073-1DAF9577A998}"/>
    <hyperlink ref="F1009" r:id="rId1790" display="https://www.google.com/url?q=https://github.com/mostafa-saad/MyCompetitiveProgramming/blob/master/Olympiad/IOI/IOI-12-city.txt&amp;sa=D&amp;ust=1605639832472000&amp;usg=AFQjCNG9CRoTRIniNObAev7c_581IVmi1Q" xr:uid="{2A211BD2-3EF8-4D2E-B099-5EC8C1E5ABBC}"/>
    <hyperlink ref="B1010" r:id="rId1791" display="https://www.google.com/url?q=https://contest.yandex.ru/ioi/contest/572/enter/&amp;sa=D&amp;ust=1605639832473000&amp;usg=AFQjCNGi57U_DOFHQjSrddakmjdpRmdCWg" xr:uid="{DBCACF55-5806-4D1A-8362-3999ED040550}"/>
    <hyperlink ref="F1010" r:id="rId1792" display="https://www.google.com/url?q=https://github.com/mostafa-saad/MyCompetitiveProgramming/blob/master/Olympiad/IOI/IOI-12-editorials.txt&amp;sa=D&amp;ust=1605639832473000&amp;usg=AFQjCNFe7RkbSetnWXVu0zZCfh2AMbOqgA" xr:uid="{570E8B49-5A82-4FE1-950A-7FC3A374BF0E}"/>
    <hyperlink ref="B1011" r:id="rId1793" display="https://www.google.com/url?q=https://oj.uz/problem/view/IOI12_rings&amp;sa=D&amp;ust=1605639832473000&amp;usg=AFQjCNEhgdB6ICoAo1gRJz7KdZMYSOMVOg" xr:uid="{0588BEBC-920B-439E-8171-EA9C0CC27B0A}"/>
    <hyperlink ref="F1011" r:id="rId1794" display="https://www.google.com/url?q=https://github.com/tmwilliamlin168/CompetitiveProgramming/blob/master/IOI/12-Rings.cpp&amp;sa=D&amp;ust=1605639832474000&amp;usg=AFQjCNGavkqLNGtv6BTLBuYiZqYuo1w9pw" xr:uid="{7D0888FA-F354-49A0-8AFA-884CC4601C68}"/>
    <hyperlink ref="B1012" r:id="rId1795" display="https://www.google.com/url?q=https://oj.uz/problem/view/IOI12_scrivener&amp;sa=D&amp;ust=1605639832474000&amp;usg=AFQjCNFaGiOyGGzdXWrG7Jww0c_uAjETQA" xr:uid="{276445F3-5957-4BB3-A3FC-E2C1D562DE9F}"/>
    <hyperlink ref="F1012" r:id="rId1796" display="https://www.google.com/url?q=https://github.com/mostafa-saad/MyCompetitiveProgramming/blob/master/Olympiad/IOI/IOI-12-scrivener.txt&amp;sa=D&amp;ust=1605639832474000&amp;usg=AFQjCNEGv-7lSdh-MqtJXx6rZxAHvFR9FA" xr:uid="{248D7D82-FABD-4FFE-8D31-09F896887BA1}"/>
    <hyperlink ref="B1013" r:id="rId1797" display="https://www.google.com/url?q=https://oj.uz/problem/view/IOI12_supper&amp;sa=D&amp;ust=1605639832474000&amp;usg=AFQjCNGEaD_V-5R1CC9eajYMH36w8BKxRQ" xr:uid="{99BA3F49-A95F-422D-BD25-CE13D86E5836}"/>
    <hyperlink ref="F1013" r:id="rId1798" display="https://www.google.com/url?q=https://github.com/mostafa-saad/MyCompetitiveProgramming/blob/master/Olympiad/IOI/IOI-12-editorials.txt&amp;sa=D&amp;ust=1605639832475000&amp;usg=AFQjCNFFzx-3d_qnxsWrIccjLh1G4CLxlA" xr:uid="{F38CE523-D191-49B5-A2EB-FE86789294BA}"/>
    <hyperlink ref="B1014" r:id="rId1799" display="https://www.google.com/url?q=https://oj.uz/problem/view/IOI12_tournament&amp;sa=D&amp;ust=1605639832475000&amp;usg=AFQjCNGdIDNwcgINbJyixhyuEqXGKL9EBQ" xr:uid="{5872DA74-2CE8-4558-9795-D411C13E8F7D}"/>
    <hyperlink ref="F1014" r:id="rId1800" display="https://www.google.com/url?q=https://github.com/mostafa-saad/MyCompetitiveProgramming/blob/master/Olympiad/IOI/IOI-12-tournament.txt&amp;sa=D&amp;ust=1605639832475000&amp;usg=AFQjCNEKtaXW9E98FTH2Mk9ed5tWnLkNig" xr:uid="{71ABEAEB-1BA0-4F39-8C38-0D86F862ADB7}"/>
    <hyperlink ref="B1015" r:id="rId1801" display="https://www.google.com/url?q=https://oj.uz/problem/view/IOI13_cave&amp;sa=D&amp;ust=1605639832476000&amp;usg=AFQjCNEblTNvKuA8ow1gy4LVBT9huWyNeg" xr:uid="{361E27B6-68FC-4A40-AE0F-D263FB595700}"/>
    <hyperlink ref="F1015" r:id="rId1802" display="https://www.google.com/url?q=https://github.com/mostafa-saad/MyCompetitiveProgramming/blob/master/Olympiad/IOI/IOI-13-cave.txt&amp;sa=D&amp;ust=1605639832476000&amp;usg=AFQjCNFEBnuzmE-9UOs-elgeWOMQuhbBMA" xr:uid="{81AB03B7-981E-4A0B-9011-BDEB746F3ABF}"/>
    <hyperlink ref="B1016" r:id="rId1803" display="https://www.google.com/url?q=https://oj.uz/problem/view/IOI13_dreaming&amp;sa=D&amp;ust=1605639832476000&amp;usg=AFQjCNG_VyJ_qH7xw2-MFVlQKjkjzTamvA" xr:uid="{BCB69712-F813-41B9-8BA3-E46A6A39B98E}"/>
    <hyperlink ref="F1016" r:id="rId1804" display="https://www.google.com/url?q=https://github.com/MohamedAhmed04/Competitive-programming/blob/master/IOI/IOI%25202013-Dreaming.cpp&amp;sa=D&amp;ust=1605639832476000&amp;usg=AFQjCNFXaBghulB8vcI_OPsdmIApV0C2UA" xr:uid="{B6792261-7F99-4EA8-A906-D815C53A1168}"/>
    <hyperlink ref="B1017" r:id="rId1805" display="https://www.google.com/url?q=https://oj.uz/problem/view/IOI13_game&amp;sa=D&amp;ust=1605639832477000&amp;usg=AFQjCNFKM2sgWFE3Vksd6_Di5a6PZeaKJg" xr:uid="{8FC5CBFB-CAE1-40DB-B7E0-830D66A13E8F}"/>
    <hyperlink ref="F1017" r:id="rId1806" display="https://www.google.com/url?q=http://blog.brucemerry.org.za/2013/07/&amp;sa=D&amp;ust=1605639832477000&amp;usg=AFQjCNEkoFkeKquk0pWGdCcm0pkbmRkh-g" xr:uid="{FCA40DD0-36A2-4C4A-849D-FD23DBB598C5}"/>
    <hyperlink ref="B1018" r:id="rId1807" display="https://www.google.com/url?q=https://oj.uz/problem/view/IOI13_robots&amp;sa=D&amp;ust=1605639832477000&amp;usg=AFQjCNFm6kF_0GAr-ZDO_rq6aKF2tnAv9g" xr:uid="{052CFE38-8F8F-4D23-B1F6-057E2C5E2588}"/>
    <hyperlink ref="F1018" r:id="rId1808" display="https://www.google.com/url?q=https://github.com/mostafa-saad/MyCompetitiveProgramming/blob/master/Olympiad/IOI/IOI-13-robots.txt&amp;sa=D&amp;ust=1605639832477000&amp;usg=AFQjCNFMqWnGpogwBu8jkPG4cqzYcojTWQ" xr:uid="{4A4A787E-E26F-43A8-9ECC-D84C9EE97326}"/>
    <hyperlink ref="B1019" r:id="rId1809" display="https://www.google.com/url?q=https://oj.uz/problem/view/IOI13_wombats&amp;sa=D&amp;ust=1605639832478000&amp;usg=AFQjCNFPHjGtxBLa49iOCyO2SRP-IPf1AA" xr:uid="{31C8C6DA-E830-4E92-A142-A910E113F4CB}"/>
    <hyperlink ref="F1019" r:id="rId1810" display="https://www.google.com/url?q=https://github.com/mostafa-saad/MyCompetitiveProgramming/blob/master/Olympiad/IOI/IOI-13-wombats.txt&amp;sa=D&amp;ust=1605639832478000&amp;usg=AFQjCNGJtXZ8NwWwXTt3cCexk6a0ck4k7Q" xr:uid="{B7B5FFE1-795F-4D34-A8CA-028180454D43}"/>
    <hyperlink ref="B1020" r:id="rId1811" display="https://www.google.com/url?q=https://oj.uz/problem/view/IOI14_friend&amp;sa=D&amp;ust=1605639832478000&amp;usg=AFQjCNGQyrw0ICS7o4m1uVT47UyvK9Hhzg" xr:uid="{6959DE26-CC8D-496B-A9EE-772591F9F9C5}"/>
    <hyperlink ref="F1020" r:id="rId1812" display="https://www.google.com/url?q=https://github.com/mostafa-saad/MyCompetitiveProgramming/blob/master/Olympiad/IOI/IOI-14-friend.txt&amp;sa=D&amp;ust=1605639832479000&amp;usg=AFQjCNFKdUu0BQM3b0E49N7-vKjWlsOJJQ" xr:uid="{13C65FD6-75E6-4F10-99A8-4069071CCE00}"/>
    <hyperlink ref="B1021" r:id="rId1813" display="https://www.google.com/url?q=https://oj.uz/problem/view/IOI14_game&amp;sa=D&amp;ust=1605639832479000&amp;usg=AFQjCNHNB1zDBPBrBCj0lpGw9SoqtivenA" xr:uid="{17F25C18-DBBE-409F-B961-F6415D29D0A2}"/>
    <hyperlink ref="F1021" r:id="rId1814" display="https://www.google.com/url?q=https://github.com/mostafa-saad/MyCompetitiveProgramming/blob/master/Olympiad/IOI/IOI-14-game.txt&amp;sa=D&amp;ust=1605639832479000&amp;usg=AFQjCNH2JeDoKRXLW4jBO15bCdDrWafNSw" xr:uid="{E57C3DAB-9D0D-4DF1-8F4E-596B73F0B523}"/>
    <hyperlink ref="B1022" r:id="rId1815" display="https://www.google.com/url?q=https://oj.uz/problem/view/IOI14_gondola&amp;sa=D&amp;ust=1605639832479000&amp;usg=AFQjCNHClMhvlZkHpF6hqU2iOeilqjIkUQ" xr:uid="{7AF77B95-745D-4156-854E-396F1EECB326}"/>
    <hyperlink ref="F1022" r:id="rId1816" display="https://www.google.com/url?q=http://blog.brucemerry.org.za/2014/07/&amp;sa=D&amp;ust=1605639832480000&amp;usg=AFQjCNGUXISSt6wNFB_LaPYMhc4iGo7qDA" xr:uid="{75A47DAE-412A-4654-8B3C-7CAE8844BBA4}"/>
    <hyperlink ref="B1023" r:id="rId1817" display="https://www.google.com/url?q=https://oj.uz/problem/view/IOI14_holiday&amp;sa=D&amp;ust=1605639832480000&amp;usg=AFQjCNFitlbaTObMBuc_OYUel3U9EbrRCQ" xr:uid="{DBDEBD76-AE40-4776-91C3-ACF895AD648A}"/>
    <hyperlink ref="F1023" r:id="rId1818" display="https://www.google.com/url?q=https://github.com/mostafa-saad/MyCompetitiveProgramming/blob/master/Olympiad/IOI/IOI-14-holiday.txt&amp;sa=D&amp;ust=1605639832480000&amp;usg=AFQjCNFzSIc64EKiSLgYCJwbDCu_qAfieQ" xr:uid="{A003CEC8-D55A-4283-936C-7D5C624627A9}"/>
    <hyperlink ref="B1024" r:id="rId1819" display="https://www.google.com/url?q=https://oj.uz/problem/view/IOI14_rail&amp;sa=D&amp;ust=1605639832481000&amp;usg=AFQjCNGzK0x9TtuRfQTkYoW5hFr3DDSROQ" xr:uid="{EBF90558-D24D-42C3-9CD2-E9890625D1F1}"/>
    <hyperlink ref="F1024" r:id="rId1820" display="https://www.google.com/url?q=https://github.com/mostafa-saad/MyCompetitiveProgramming/blob/master/Olympiad/IOI/IOI-14-rail.txt&amp;sa=D&amp;ust=1605639832481000&amp;usg=AFQjCNE-xWW7AnAJDfaunanh4jUHfVZvWw" xr:uid="{D8F2B6D4-34BD-48D8-8B8A-39EF79A3BB02}"/>
    <hyperlink ref="B1025" r:id="rId1821" display="https://www.google.com/url?q=https://oj.uz/problem/view/IOI14_wall&amp;sa=D&amp;ust=1605639832482000&amp;usg=AFQjCNEf72N5x4txWxOpeyfd36w3qdFLRw" xr:uid="{744965DF-F229-4584-8771-4BC118D95D02}"/>
    <hyperlink ref="F1025" r:id="rId1822" display="https://www.google.com/url?q=http://blog.brucemerry.org.za/2014/07/&amp;sa=D&amp;ust=1605639832483000&amp;usg=AFQjCNEFVzNAKLJJDcdGvhS06MUQ24vwYw" xr:uid="{1AE3FF9B-6D5C-465B-A2A2-6429ADA35F67}"/>
    <hyperlink ref="B1026" r:id="rId1823" display="https://www.google.com/url?q=https://oj.uz/problem/view/IOI15_boxes&amp;sa=D&amp;ust=1605639832483000&amp;usg=AFQjCNEC6-X5HqBO1-75FH5go-i_DLn-6Q" xr:uid="{4CFC366B-29E2-4D1E-A591-1ECBB2C58422}"/>
    <hyperlink ref="F1026" r:id="rId1824" display="https://www.google.com/url?q=https://github.com/mostafa-saad/MyCompetitiveProgramming/blob/master/Olympiad/IOI/IOI-15-boxes.txt&amp;sa=D&amp;ust=1605639832483000&amp;usg=AFQjCNHbSMmGUGW_6wXA-VO8eMwc8jtL0Q" xr:uid="{C0DD68EE-5C16-4ADF-A2C0-D80A87BF7CA9}"/>
    <hyperlink ref="B1027" r:id="rId1825" display="https://www.google.com/url?q=https://oj.uz/problem/view/IOI15_horses&amp;sa=D&amp;ust=1605639832483000&amp;usg=AFQjCNFY3bPHmLomVibWIwWpR4bDkedbBg" xr:uid="{D8C7B9D8-5884-4489-9470-5221F1B54F52}"/>
    <hyperlink ref="F1027" r:id="rId1826" display="https://www.google.com/url?q=https://github.com/mostafa-saad/MyCompetitiveProgramming/blob/master/Olympiad/IOI/official/2015&amp;sa=D&amp;ust=1605639832484000&amp;usg=AFQjCNHFewgqkEDosaEXpiczL2pQxBTUTw" xr:uid="{761AA984-9E3D-4573-9D00-79E1DECA20D1}"/>
    <hyperlink ref="B1028" r:id="rId1827" display="https://www.google.com/url?q=https://oj.uz/problem/view/IOI15_scales&amp;sa=D&amp;ust=1605639832484000&amp;usg=AFQjCNGqjvA7TBlXlW9tVw4TDw7CM92vMg" xr:uid="{A1E52817-E060-4C85-8BF8-6E1DECB17622}"/>
    <hyperlink ref="F1028" r:id="rId1828" display="https://www.google.com/url?q=https://github.com/mostafa-saad/MyCompetitiveProgramming/blob/master/Olympiad/IOI/official/2015&amp;sa=D&amp;ust=1605639832485000&amp;usg=AFQjCNFJv1h10HH4knlQ0WFfk-t2mez3eA" xr:uid="{0580265C-AC51-4647-A9C5-2D0715117818}"/>
    <hyperlink ref="B1029" r:id="rId1829" display="https://www.google.com/url?q=https://oj.uz/problem/view/IOI15_sorting&amp;sa=D&amp;ust=1605639832486000&amp;usg=AFQjCNE6sSrKBWaojWv04_pmfU1bIAdfLw" xr:uid="{1EBBACCF-0FB4-4B5E-8713-BE07A1533560}"/>
    <hyperlink ref="F1029" r:id="rId1830" display="https://www.google.com/url?q=https://github.com/mostafa-saad/MyCompetitiveProgramming/blob/master/Olympiad/IOI/IOI-15-sorting.txt&amp;sa=D&amp;ust=1605639832486000&amp;usg=AFQjCNEGVx-ZMoTeZrsgoXijXpevEdgxJg" xr:uid="{A09DD9F6-F600-4D50-BED7-4EA640096CCC}"/>
    <hyperlink ref="B1030" r:id="rId1831" display="https://www.google.com/url?q=https://oj.uz/problem/view/IOI15_teams&amp;sa=D&amp;ust=1605639832486000&amp;usg=AFQjCNGFYcxc_fw_xq8TIlaJhTVWZZoZCg" xr:uid="{100A4C55-5874-4FFF-AFB6-B8454CBE7909}"/>
    <hyperlink ref="F1030" r:id="rId1832" display="https://www.google.com/url?q=https://github.com/mostafa-saad/MyCompetitiveProgramming/blob/master/Olympiad/IOI/official/2015&amp;sa=D&amp;ust=1605639832487000&amp;usg=AFQjCNGzp-ic6mCrHIIr9X4vx33AJTzU-Q" xr:uid="{1E60702D-E548-49BE-A49F-E85D8500DAA1}"/>
    <hyperlink ref="B1031" r:id="rId1833" display="https://www.google.com/url?q=https://oj.uz/problem/view/IOI15_towns&amp;sa=D&amp;ust=1605639832487000&amp;usg=AFQjCNE7RXD7C-6R7y6CvjWyJTM6IhLfow" xr:uid="{CF5465DD-48F9-40AE-A1B0-E7AFCC9D4ED5}"/>
    <hyperlink ref="F1031" r:id="rId1834" display="https://www.google.com/url?q=https://github.com/mostafa-saad/MyCompetitiveProgramming/blob/master/Olympiad/IOI/IOI-15-towns.txt&amp;sa=D&amp;ust=1605639832487000&amp;usg=AFQjCNHXoEFSVvGy4xjHWiC_CZi3GN8-iQ" xr:uid="{D1362B57-6AAA-402C-B02B-F4CF0A47FF48}"/>
    <hyperlink ref="B1032" r:id="rId1835" display="https://www.google.com/url?q=https://oj.uz/problem/view/IOI16_aliens&amp;sa=D&amp;ust=1605639832488000&amp;usg=AFQjCNHGRt2hPK7nfr9vuM-pdeD2JATwlg" xr:uid="{8A60D95A-927D-4D6E-BAD5-3B6E589A7A62}"/>
    <hyperlink ref="F1032" r:id="rId1836" display="https://www.google.com/url?q=https://github.com/mostafa-saad/MyCompetitiveProgramming/blob/master/Olympiad/IOI/IOI-16-aliens.txt&amp;sa=D&amp;ust=1605639832488000&amp;usg=AFQjCNG8SRfub3LDG7h87SsuobQTtH8cfg" xr:uid="{387E417C-B5DA-4351-B12D-AC2634D8C120}"/>
    <hyperlink ref="B1033" r:id="rId1837" display="https://www.google.com/url?q=https://oj.uz/problem/view/IOI16_dna&amp;sa=D&amp;ust=1605639832488000&amp;usg=AFQjCNGSHrLdDcvdI3paz-kOHmzFBok7Gw" xr:uid="{AFE6AE0A-5794-4ECA-95B3-6F903E09E0CE}"/>
    <hyperlink ref="F1033" r:id="rId1838" display="https://www.google.com/url?q=https://codeforces.com/blog/entry/46525?%23comment-310021&amp;sa=D&amp;ust=1605639832488000&amp;usg=AFQjCNHYcyezpXJq2prmU767Gm7wZBQBRA" xr:uid="{449A20C4-43CE-41B9-A49A-87F4C80E8ED5}"/>
    <hyperlink ref="B1034" r:id="rId1839" display="https://www.google.com/url?q=https://oj.uz/problem/view/IOI16_laugh&amp;sa=D&amp;ust=1605639832489000&amp;usg=AFQjCNGBh5DiUBUhNgyQH2kRkOomdKUetw" xr:uid="{79486AC9-3ABF-46E7-9AB3-4B98D7255F45}"/>
    <hyperlink ref="F1034" r:id="rId1840" display="https://www.google.com/url?q=https://github.com/mostafa-saad/MyCompetitiveProgramming/blob/master/Olympiad/IOI/official/2016&amp;sa=D&amp;ust=1605639832489000&amp;usg=AFQjCNF5nw9_0ebG1KgFFLrYznS72woFiw" xr:uid="{9F630E5F-BC63-4727-91B6-F4C5936D28D2}"/>
    <hyperlink ref="B1035" r:id="rId1841" display="https://www.google.com/url?q=https://oj.uz/problem/view/IOI16_messy&amp;sa=D&amp;ust=1605639832489000&amp;usg=AFQjCNFDah_nms7QYlwe-l1f5kcoV5toTA" xr:uid="{D931D1D8-26A3-40AB-8AEE-E22A34F2730E}"/>
    <hyperlink ref="F1035" r:id="rId1842" display="https://www.google.com/url?q=https://github.com/mostafa-saad/MyCompetitiveProgramming/blob/master/Olympiad/IOI/IOI-16-messy.txt&amp;sa=D&amp;ust=1605639832489000&amp;usg=AFQjCNHIlf5XTCOoIGoEzp3Rwb1-rZ0CRw" xr:uid="{D0072C29-4399-4606-B459-3BDAE7E002A3}"/>
    <hyperlink ref="B1036" r:id="rId1843" display="https://www.google.com/url?q=https://oj.uz/problem/view/IOI16_molecules&amp;sa=D&amp;ust=1605639832490000&amp;usg=AFQjCNGB3LkCLI8JPWTnTqLqnf8q1EfKqw" xr:uid="{EE55BC1E-0D18-4069-BA47-2ED3E6241126}"/>
    <hyperlink ref="F1036" r:id="rId1844" display="https://www.google.com/url?q=https://github.com/mostafa-saad/MyCompetitiveProgramming/blob/master/Olympiad/IOI/official/2016&amp;sa=D&amp;ust=1605639832490000&amp;usg=AFQjCNEf8fDqTIsiYtVxpoTWs5IVqcXdKw" xr:uid="{D272047C-E75F-4AA1-A0FA-51C23258715B}"/>
    <hyperlink ref="B1037" r:id="rId1845" display="https://www.google.com/url?q=https://oj.uz/problem/view/IOI16_paint&amp;sa=D&amp;ust=1605639832490000&amp;usg=AFQjCNHS5EnvbZGqCCokfp7LFNQtmSfaVw" xr:uid="{7B0F5704-F3F3-4D23-906A-7FA7F0D8184E}"/>
    <hyperlink ref="F1037" r:id="rId1846" display="https://www.google.com/url?q=https://github.com/mostafa-saad/MyCompetitiveProgramming/blob/master/Olympiad/IOI/IOI-16-paint.txt&amp;sa=D&amp;ust=1605639832490000&amp;usg=AFQjCNFsrl5Dm9EQghKuflJ_kNMtTssTKA" xr:uid="{F143A5A5-332F-45D0-A9A2-5E3596DA797C}"/>
    <hyperlink ref="B1038" r:id="rId1847" display="https://www.google.com/url?q=https://oj.uz/problem/view/IOI16_railroad&amp;sa=D&amp;ust=1605639832491000&amp;usg=AFQjCNE5jvWGXLxrplyhKx6oNVpifuYFOg" xr:uid="{B6346A31-BFB8-4D9C-934D-7F13785A46F9}"/>
    <hyperlink ref="F1038" r:id="rId1848" display="https://www.google.com/url?q=https://github.com/mostafa-saad/MyCompetitiveProgramming/blob/master/Olympiad/IOI/official/2016&amp;sa=D&amp;ust=1605639832491000&amp;usg=AFQjCNGtcodmGHG_z32If3MPY1hXrPbBeQ" xr:uid="{49197897-CBF8-42AF-8AB3-0E745B7F04B5}"/>
    <hyperlink ref="B1039" r:id="rId1849" display="https://www.google.com/url?q=https://oj.uz/problem/view/IOI16_reverse&amp;sa=D&amp;ust=1605639832491000&amp;usg=AFQjCNGJ-XlfR1bERQjHmWP7lGMJGk6QcA" xr:uid="{514525C4-B29B-47E9-83DE-03743FA654C6}"/>
    <hyperlink ref="B1040" r:id="rId1850" display="https://www.google.com/url?q=https://oj.uz/problem/view/IOI16_shortcut&amp;sa=D&amp;ust=1605639832491000&amp;usg=AFQjCNGgSgkPKUa5ySLUrj466f-bHfyS-Q" xr:uid="{6FB4C81C-002C-4353-8A51-207861854025}"/>
    <hyperlink ref="F1040" r:id="rId1851" display="https://www.google.com/url?q=https://github.com/mostafa-saad/MyCompetitiveProgramming/blob/master/Olympiad/IOI/official/2016&amp;sa=D&amp;ust=1605639832492000&amp;usg=AFQjCNHJ4sVFoUW1cEQgjLwVKBIeTCztlQ" xr:uid="{37497371-E9B4-45E0-ABFE-631E2A42B2E7}"/>
    <hyperlink ref="B1041" r:id="rId1852" display="https://www.google.com/url?q=https://oj.uz/problem/view/IOI16_tetris&amp;sa=D&amp;ust=1605639832492000&amp;usg=AFQjCNH6opj9dHZgTK7e0LAWH3qofDNbBA" xr:uid="{CA0285B4-F4D1-498E-AAC4-D1EDD91CCD45}"/>
    <hyperlink ref="F1041" r:id="rId1853" display="https://www.google.com/url?q=https://github.com/mostafa-saad/MyCompetitiveProgramming/blob/master/Olympiad/IOI/IOI-16-tetris.txt&amp;sa=D&amp;ust=1605639832492000&amp;usg=AFQjCNEl_ixtDVwJYXZX-KM502ToPGRq-w" xr:uid="{8FBDDBDC-0439-490A-8EC4-321494E0DE9D}"/>
    <hyperlink ref="B1042" r:id="rId1854" display="https://www.google.com/url?q=https://oj.uz/problem/view/IOI17_books&amp;sa=D&amp;ust=1605639832494000&amp;usg=AFQjCNFVkwYTGBzOT_ti1QHSyxncgYGlsA" xr:uid="{4372D6B9-93A1-40F7-B37E-7AEAA2BB68B4}"/>
    <hyperlink ref="F1042" r:id="rId1855" display="https://www.google.com/url?q=https://github.com/mostafa-saad/MyCompetitiveProgramming/blob/master/Olympiad/IOI/official/2017&amp;sa=D&amp;ust=1605639832494000&amp;usg=AFQjCNHra2L8Tqfu_fM235rUHHDc7zcMIA" xr:uid="{90ED2B33-D33C-474E-A8D2-9702C8B4F4DD}"/>
    <hyperlink ref="B1043" r:id="rId1856" display="https://www.google.com/url?q=https://oj.uz/problem/view/IOI17_coins&amp;sa=D&amp;ust=1605639832495000&amp;usg=AFQjCNF8FbO9Gr-lwKnE4W17RxJY6I7gww" xr:uid="{C0E7AC25-F08F-4563-97DA-0757E2335238}"/>
    <hyperlink ref="B1044" r:id="rId1857" display="https://www.google.com/url?q=https://oj.uz/problem/view/IOI17_cup&amp;sa=D&amp;ust=1605639832495000&amp;usg=AFQjCNH2Uvh6bx5yInipqEAuU9nxfh3urQ" xr:uid="{E8488A5E-EDAF-4217-9E6B-FB9E03FE1157}"/>
    <hyperlink ref="B1045" r:id="rId1858" display="https://www.google.com/url?q=https://oj.uz/problem/view/IOI17_mountains&amp;sa=D&amp;ust=1605639832496000&amp;usg=AFQjCNFn4ikN7Wzl_IfceYdw-muNzyXONA" xr:uid="{BE19F76D-D892-4CEE-AC71-F03283C33CAB}"/>
    <hyperlink ref="F1045" r:id="rId1859" display="https://www.google.com/url?q=https://github.com/ZeyadKhattab/Competitive-Programming/blob/master/Problems/IOI%252017-mountains.cpp&amp;sa=D&amp;ust=1605639832496000&amp;usg=AFQjCNGbxGEHRQSAOFctIRpJfOt4tVUFyA" xr:uid="{D237645B-96DB-4283-AC45-6EA2A2FD1CE9}"/>
    <hyperlink ref="B1046" r:id="rId1860" display="https://www.google.com/url?q=https://oj.uz/problem/view/IOI17_prize&amp;sa=D&amp;ust=1605639832496000&amp;usg=AFQjCNHwQW8p8cKdpmVAqhcPEaSWuv86OQ" xr:uid="{BBE6942E-48F5-48F9-9FBE-1BF7D3D1AF74}"/>
    <hyperlink ref="F1046" r:id="rId1861" display="https://www.google.com/url?q=https://github.com/timpostuvan/CompetitiveProgramming/blob/master/Olympiad/IOI/Prize2017.cpp&amp;sa=D&amp;ust=1605639832496000&amp;usg=AFQjCNH4Ed3C3JZ1fohb8ESDsY5_VArG_A" xr:uid="{A543F9FF-4897-4095-B3D5-8B2308E12F54}"/>
    <hyperlink ref="B1047" r:id="rId1862" display="https://www.google.com/url?q=https://oj.uz/problem/view/IOI17_simurgh&amp;sa=D&amp;ust=1605639832497000&amp;usg=AFQjCNEABJ2LpFOLgxcunCBf-QQxxd1Xqg" xr:uid="{FA02BE7D-D2E5-486D-BDAC-8FCDED2551B7}"/>
    <hyperlink ref="F1047" r:id="rId1863" display="https://www.google.com/url?q=https://github.com/mostafa-saad/MyCompetitiveProgramming/blob/master/Olympiad/IOI/IOI-17-simurgh.txt&amp;sa=D&amp;ust=1605639832497000&amp;usg=AFQjCNEgpb7hU6LJAOztv7-xm5dS1c26uA" xr:uid="{59DBCDFC-AE58-4251-9186-2930BB0D4912}"/>
    <hyperlink ref="B1048" r:id="rId1864" display="https://www.google.com/url?q=https://oj.uz/problem/view/IOI17_train&amp;sa=D&amp;ust=1605639832497000&amp;usg=AFQjCNFu0Gp2qVxfan7Q_zqII7IwpZxDRA" xr:uid="{F0E96A7C-C821-4F83-B924-4D85C92AB0CC}"/>
    <hyperlink ref="F1048" r:id="rId1865" display="https://www.google.com/url?q=https://github.com/mostafa-saad/MyCompetitiveProgramming/blob/master/Olympiad/IOI/IOI-17-toytrain.txt&amp;sa=D&amp;ust=1605639832497000&amp;usg=AFQjCNGciS2RlS2-7CHvnqZQAFbEJ11Rkw" xr:uid="{FEFFF3B7-78C1-45C3-A6B0-77BF8B83A5BD}"/>
    <hyperlink ref="B1049" r:id="rId1866" display="https://www.google.com/url?q=https://oj.uz/problem/view/IOI17_wiring&amp;sa=D&amp;ust=1605639832498000&amp;usg=AFQjCNHiWVsLqlCgWOYELVPkZ5GlyB-EtA" xr:uid="{CEEDB1CE-FD7D-44C8-9DA6-A98890F11636}"/>
    <hyperlink ref="F1049" r:id="rId1867" display="https://www.google.com/url?q=https://github.com/mostafa-saad/MyCompetitiveProgramming/blob/master/Olympiad/IOI/IOI-17-wiring.txt&amp;sa=D&amp;ust=1605639832498000&amp;usg=AFQjCNElpVm-fbB9mBAY22gpFCyWUkt1JA" xr:uid="{03247298-FE4F-46F7-A362-A156C88732A8}"/>
    <hyperlink ref="B1050" r:id="rId1868" display="https://www.google.com/url?q=https://oj.uz/problem/view/IOI18_combo&amp;sa=D&amp;ust=1605639832498000&amp;usg=AFQjCNEbvKigUfT4RjIhUA2hJ2EjNtDNrg" xr:uid="{89ADA93F-E072-417C-9583-E92E5F83BCF2}"/>
    <hyperlink ref="F1050" r:id="rId1869" display="https://www.google.com/url?q=https://github.com/mostafa-saad/MyCompetitiveProgramming/blob/master/Olympiad/IOI/IOI-18-Combo.txt&amp;sa=D&amp;ust=1605639832498000&amp;usg=AFQjCNGRTWSi5aLOLE2KffkMqRbPtk3ZFA" xr:uid="{F3256BA4-ED7A-4048-B20A-6B3689E1CCDA}"/>
    <hyperlink ref="B1051" r:id="rId1870" display="https://www.google.com/url?q=https://oj.uz/problem/view/IOI18_doll&amp;sa=D&amp;ust=1605639832499000&amp;usg=AFQjCNFt_G7zoXow1HRje68MtS0YuFdKpw" xr:uid="{EFC4424D-FCDE-41B4-B95F-4A536686F5A8}"/>
    <hyperlink ref="F1051" r:id="rId1871" display="https://www.google.com/url?q=https://github.com/mostafa-saad/MyCompetitiveProgramming/blob/master/Olympiad/IOI/IOI-18-Doll.txt&amp;sa=D&amp;ust=1605639832499000&amp;usg=AFQjCNGLGLj4yqvkyRBvL0lJDkQDLYvXaA" xr:uid="{E5960D54-13DA-46C3-8C43-8C10AACC745A}"/>
    <hyperlink ref="B1052" r:id="rId1872" display="https://www.google.com/url?q=https://oj.uz/problem/view/IOI18_highway&amp;sa=D&amp;ust=1605639832499000&amp;usg=AFQjCNHp2s02nYn0yij7TWXsJyqrRIpG2w" xr:uid="{BA38FE60-FDE2-4214-9120-775B7E10E01E}"/>
    <hyperlink ref="F1052" r:id="rId1873" display="https://www.google.com/url?q=https://github.com/mostafa-saad/MyCompetitiveProgramming/blob/master/Olympiad/IOI/official/2018&amp;sa=D&amp;ust=1605639832499000&amp;usg=AFQjCNFLsAZBgXNuPayuvxBEOfNRpUg9rA" xr:uid="{F84E578F-B018-4897-9DB4-90D9AF5A11BB}"/>
    <hyperlink ref="B1053" r:id="rId1874" display="https://www.google.com/url?q=https://oj.uz/problem/view/IOI18_meetings&amp;sa=D&amp;ust=1605639832500000&amp;usg=AFQjCNFeu9obPxferPyq4o39YPtUOIiR_A" xr:uid="{9AE040B0-9938-4685-BFFC-27BCB0847E57}"/>
    <hyperlink ref="F1053" r:id="rId1875" display="https://www.google.com/url?q=https://github.com/mostafa-saad/MyCompetitiveProgramming/blob/master/Olympiad/IOI/IOI-18-meetings.txt&amp;sa=D&amp;ust=1605639832500000&amp;usg=AFQjCNHVyQUE3bmhcukpwiVIjUFVsh8eiw" xr:uid="{AFC0B268-3226-4D39-ADAB-A1E6EA038A73}"/>
    <hyperlink ref="B1054" r:id="rId1876" display="https://www.google.com/url?q=https://oj.uz/problem/view/IOI18_seats&amp;sa=D&amp;ust=1605639832500000&amp;usg=AFQjCNEjujpzttA5tIGgWg0eoiyHGG9JxQ" xr:uid="{AB3F94A9-0A37-41CD-97EE-515DAB4FD108}"/>
    <hyperlink ref="F1054" r:id="rId1877" display="https://www.google.com/url?q=https://github.com/nikolapesic2802/Programming-Practice/blob/master/Seats/IOI%25202018%2520Seats.txt&amp;sa=D&amp;ust=1605639832501000&amp;usg=AFQjCNGf70cX5htrzPmQnQ5HOw3ZIgwN6w" xr:uid="{853F8C57-1E1A-4D99-9CB4-380C373FD6C9}"/>
    <hyperlink ref="B1055" r:id="rId1878" display="https://www.google.com/url?q=https://oj.uz/problem/view/IOI18_werewolf&amp;sa=D&amp;ust=1605639832501000&amp;usg=AFQjCNEJQCVKgpsNR20Yz_xNnVLcvxjRGw" xr:uid="{3FE3A54A-1A62-441C-8E13-0A1F398ACFC6}"/>
    <hyperlink ref="F1055" r:id="rId1879" display="https://www.google.com/url?q=https://github.com/mostafa-saad/MyCompetitiveProgramming/blob/master/Olympiad/IOI/IOI-18-Werewolf.txt&amp;sa=D&amp;ust=1605639832501000&amp;usg=AFQjCNEpqL_zTLvwGwez2CNgsvVUtzp_Uw" xr:uid="{D1736628-5AEC-4246-AD9B-DE529F0DFC59}"/>
    <hyperlink ref="B1056" r:id="rId1880" display="https://www.google.com/url?q=https://oj.uz/problem/view/IOI19_line&amp;sa=D&amp;ust=1605639832501000&amp;usg=AFQjCNGXjncA97nVL8UNPdJs1Clbr3orCg" xr:uid="{E98F4289-0EFA-44E0-BACD-23178867C8B9}"/>
    <hyperlink ref="F1056" r:id="rId1881" display="https://www.google.com/url?q=https://github.com/mostafa-saad/MyCompetitiveProgramming/blob/master/Olympiad/IOI/IOI-19-line.txt&amp;sa=D&amp;ust=1605639832502000&amp;usg=AFQjCNFHJ8zyp7Br5Rurco5oPT8Gi4i1ag" xr:uid="{E84367A2-257E-45C9-BCC4-781C5A3EF5E8}"/>
    <hyperlink ref="B1057" r:id="rId1882" display="https://www.google.com/url?q=https://oj.uz/problem/view/IOI19_rect&amp;sa=D&amp;ust=1605639832502000&amp;usg=AFQjCNG2tJRQuCf1VTBHbhiz5k77fykyHQ" xr:uid="{6E173C6D-8F3C-4C41-9B49-B355F903473B}"/>
    <hyperlink ref="F1057" r:id="rId1883" display="https://www.google.com/url?q=https://github.com/mostafa-saad/MyCompetitiveProgramming/blob/master/Olympiad/IOI/IOI-19-rect.txt&amp;sa=D&amp;ust=1605639832502000&amp;usg=AFQjCNFOrRFPGtEMsR2xmam8HwHqN9kZlA" xr:uid="{09DAFE79-52A8-469F-A75E-A6D2CDBB5255}"/>
    <hyperlink ref="B1058" r:id="rId1884" display="https://www.google.com/url?q=https://oj.uz/problem/view/IOI19_shoes&amp;sa=D&amp;ust=1605639832503000&amp;usg=AFQjCNGHiyHePhHr8vYeyLkUacuQ860dYA" xr:uid="{BFBD39B1-3593-4BCA-B15A-B8BA320AD568}"/>
    <hyperlink ref="F1058" r:id="rId1885" display="https://www.google.com/url?q=https://github.com/mostafa-saad/MyCompetitiveProgramming/tree/master/Olympiad/IOI/official/2019&amp;sa=D&amp;ust=1605639832503000&amp;usg=AFQjCNH6TUr0yK2vQy3b-_h0iibBSSvyIg" xr:uid="{F62C8506-BB3A-441C-8E9C-FACD28A57C95}"/>
    <hyperlink ref="B1059" r:id="rId1886" display="https://www.google.com/url?q=https://oj.uz/problem/view/IOI19_split&amp;sa=D&amp;ust=1605639832504000&amp;usg=AFQjCNG1XSMP7g2BDe6T7xjQE0su9EmpXw" xr:uid="{A0958490-7AA6-4424-9373-896B05DA32A6}"/>
    <hyperlink ref="F1059" r:id="rId1887" display="https://www.google.com/url?q=https://github.com/mostafa-saad/MyCompetitiveProgramming/tree/master/Olympiad/IOI/official/2019&amp;sa=D&amp;ust=1605639832505000&amp;usg=AFQjCNFY3jC3_HTJBfh7IWWGIULSTs3sTw" xr:uid="{4FB36960-A0C2-4F81-B978-5FCF0189C1B6}"/>
    <hyperlink ref="B1060" r:id="rId1888" display="https://www.google.com/url?q=https://oj.uz/problem/view/IOI19_vision&amp;sa=D&amp;ust=1605639832505000&amp;usg=AFQjCNFRg_0TA0vP-eV_6suEUW8wYpLHXw" xr:uid="{1DE0B5FB-9D85-4589-A04D-0CF85B7C4AB5}"/>
    <hyperlink ref="F1060" r:id="rId1889" display="https://www.google.com/url?q=https://github.com/mostafa-saad/MyCompetitiveProgramming/blob/master/Olympiad/IOI/IOI-19-vision.txt&amp;sa=D&amp;ust=1605639832505000&amp;usg=AFQjCNE_4U--RMfvDM1L74EVQU2fsHu3jg" xr:uid="{9A524F4D-4F9B-4CF3-891A-6A50E44A911C}"/>
    <hyperlink ref="B1061" r:id="rId1890" display="https://www.google.com/url?q=https://oj.uz/problem/view/IOI19_walk&amp;sa=D&amp;ust=1605639832506000&amp;usg=AFQjCNGCvN6IqPdWpLJAYO47-TRlS3PrhA" xr:uid="{72667DBC-E8E1-49A8-AC87-B5752F10D670}"/>
    <hyperlink ref="F1061" r:id="rId1891" display="https://www.google.com/url?q=https://github.com/mostafa-saad/MyCompetitiveProgramming/tree/master/Olympiad/IOI/official/2019&amp;sa=D&amp;ust=1605639832506000&amp;usg=AFQjCNEEwqrqgBm89WMQvBMFphB5e0affw" xr:uid="{43EFEA5D-83EE-436D-A708-E2A3E0BA51C0}"/>
    <hyperlink ref="B1062" r:id="rId1892" display="https://www.google.com/url?q=https://dmoj.ca/problem/ioi97p1&amp;sa=D&amp;ust=1605639832506000&amp;usg=AFQjCNErrfXcfc-a1S3nFwFeOU7aZ-z53Q" xr:uid="{E558E7B3-A63C-4E1E-8C5B-D13E6C4D1B77}"/>
    <hyperlink ref="F1062" r:id="rId1893" display="https://www.google.com/url?q=http://olympiads.win.tue.nl/ioi/ioi97/contest/index.html&amp;sa=D&amp;ust=1605639832506000&amp;usg=AFQjCNFfItHJzTRzKXcdU6gMPXSxL9GV2Q" xr:uid="{A471B078-5A0F-4057-BCBF-7A1416B88A7E}"/>
    <hyperlink ref="B1063" r:id="rId1894" display="https://www.google.com/url?q=https://www.hackerrank.com/contests/ioi-2014-practice-contest-1/challenges&amp;sa=D&amp;ust=1605639832507000&amp;usg=AFQjCNE2Xq9gy6hD7oUaT7lvCSVKbyUPSw" xr:uid="{2CDDEA93-493C-4FF7-ABE6-54BBBA416E0A}"/>
    <hyperlink ref="F1063" r:id="rId1895" display="https://www.google.com/url?q=https://github.com/tmwilliamlin168/CompetitiveProgramming/blob/master/HackerRank/bounce-bounce-bounce-ioi14.cpp&amp;sa=D&amp;ust=1605639832507000&amp;usg=AFQjCNFkcgbof25Fo8ZnMUUoeirqNna1sA" xr:uid="{B78F87F3-C6ED-4D20-8964-C5FF8B926DC9}"/>
    <hyperlink ref="B1064" r:id="rId1896" display="https://www.google.com/url?q=https://www.hackerrank.com/contests/ioi-2014-practice-contest-1/challenges&amp;sa=D&amp;ust=1605639832507000&amp;usg=AFQjCNE2Xq9gy6hD7oUaT7lvCSVKbyUPSw" xr:uid="{8978A32C-4A49-40C9-9E12-1E5C168DFAAA}"/>
    <hyperlink ref="F1064" r:id="rId1897" display="https://www.google.com/url?q=https://github.com/Yehezkiel01/CompetitiveProgramming/blob/master/IOIPractice/IOIPractice-14-christopher-candy-ioi14.cpp&amp;sa=D&amp;ust=1605639832507000&amp;usg=AFQjCNGapWSpyur4FG5cBinFHzz3mLVh4g" xr:uid="{0B915350-528D-424D-B11F-7E2832270C4C}"/>
    <hyperlink ref="B1065" r:id="rId1898" display="https://www.google.com/url?q=https://www.hackerrank.com/contests/ioi-2014-practice-contest-1/challenges&amp;sa=D&amp;ust=1605639832508000&amp;usg=AFQjCNEo_ovPL00N6LB7k_IeRnLtxxtzSA" xr:uid="{16F71127-6C4A-4E19-936A-A3E7FF79B4F3}"/>
    <hyperlink ref="F1065" r:id="rId1899" display="https://www.google.com/url?q=https://github.com/mostafa-saad/MyCompetitiveProgramming/blob/master/Olympiad/IOI/IOIPractice-14-color-grid-ioi14.txt&amp;sa=D&amp;ust=1605639832508000&amp;usg=AFQjCNGsT1NMmUqByO-2-6dsPPawxWNq4Q" xr:uid="{BE5F40DC-E2AE-4EA2-A8EB-5CDF3649FD74}"/>
    <hyperlink ref="B1066" r:id="rId1900" display="https://www.google.com/url?q=https://www.hackerrank.com/contests/ioi-2014-practice-contest-1/challenges&amp;sa=D&amp;ust=1605639832508000&amp;usg=AFQjCNEo_ovPL00N6LB7k_IeRnLtxxtzSA" xr:uid="{D329BB0D-0A42-4A27-978E-4F13E75E59EE}"/>
    <hyperlink ref="B1067" r:id="rId1901" display="https://www.google.com/url?q=https://www.hackerrank.com/contests/ioi-2014-practice-contest-2/challenges&amp;sa=D&amp;ust=1605639832509000&amp;usg=AFQjCNEBuA6Gox_rfmcTN_6AtX7Nea03rA" xr:uid="{833FFD4E-1A7F-4122-8D61-112D7B6854EB}"/>
    <hyperlink ref="F1067" r:id="rId1902" display="https://www.google.com/url?q=https://github.com/tmwilliamlin168/CompetitiveProgramming/blob/master/HackerRank/family-ioi14.cpp&amp;sa=D&amp;ust=1605639832509000&amp;usg=AFQjCNGn1fQGxXp5Z93OMXdwNeGXzvWFhg" xr:uid="{551F193D-87B0-45DE-8DDC-B6E82CC2DD5B}"/>
    <hyperlink ref="B1068" r:id="rId1903" display="https://www.google.com/url?q=https://www.hackerrank.com/contests/ioi-2014-practice-contest-2/challenges&amp;sa=D&amp;ust=1605639832509000&amp;usg=AFQjCNEBuA6Gox_rfmcTN_6AtX7Nea03rA" xr:uid="{A9652CB7-40A8-41DC-8336-EDC4A5918E2A}"/>
    <hyperlink ref="B1069" r:id="rId1904" display="https://www.google.com/url?q=https://www.hackerrank.com/contests/ioi-2014-practice-contest-2/challenges&amp;sa=D&amp;ust=1605639832510000&amp;usg=AFQjCNHUdz-BfNc56PJJhGNJeExiUsQ9YQ" xr:uid="{7F00317F-5923-4329-8B2D-CE96A3939576}"/>
    <hyperlink ref="F1069" r:id="rId1905" display="https://www.google.com/url?q=https://github.com/mostafa-saad/MyCompetitiveProgramming/blob/master/Olympiad/IOI/IOIPractice-14-guardians-lunatics-ioi14.txt&amp;sa=D&amp;ust=1605639832510000&amp;usg=AFQjCNFpnr-lyz_gHREbpQYm6e_m_y4cAQ" xr:uid="{8F1953F1-FBEB-4A03-A92B-DF1C78D2621C}"/>
    <hyperlink ref="B1070" r:id="rId1906" display="https://www.google.com/url?q=https://www.hackerrank.com/contests/ioi-2014-practice-contest-2/challenges&amp;sa=D&amp;ust=1605639832510000&amp;usg=AFQjCNHUdz-BfNc56PJJhGNJeExiUsQ9YQ" xr:uid="{2F2C0800-8FFE-4FCF-A6D7-6C0C3F3F0B11}"/>
    <hyperlink ref="F1070" r:id="rId1907" display="https://www.google.com/url?q=https://github.com/Yehezkiel01/CompetitiveProgramming/blob/master/IOIPractice/IOIPractice-14-questions-i-ask-myself-ioi14.cpp&amp;sa=D&amp;ust=1605639832510000&amp;usg=AFQjCNG4UOUTq_KT9UlJKZcckoUOlHCwaQ" xr:uid="{2CC382B6-DE42-40DD-BA1A-DBCD5EA97A09}"/>
    <hyperlink ref="B1071" r:id="rId1908" display="https://www.google.com/url?q=https://www.hackerrank.com/contests/ioi-2014-practice-contest-1/challenges&amp;sa=D&amp;ust=1605639832511000&amp;usg=AFQjCNGLXcKGWRW5VrDmdpH4tWcZzvJ42A" xr:uid="{2F4E7333-DC76-403D-A786-6BCB84AC5D8E}"/>
    <hyperlink ref="F1071" r:id="rId1909" display="https://www.google.com/url?q=https://github.com/mostafa-saad/MyCompetitiveProgramming/blob/master/Olympiad/IOI/IOIPractice-14-skwishinese-ioi14.txt&amp;sa=D&amp;ust=1605639832511000&amp;usg=AFQjCNEHuPDZ6Ktup4imQHWyVK7QUb4cbQ" xr:uid="{13AB6C44-B050-4021-90DC-46ED190525ED}"/>
    <hyperlink ref="B1072" r:id="rId1910" display="https://www.google.com/url?q=https://wcipeg.com/problem/ioi1401&amp;sa=D&amp;ust=1605639832511000&amp;usg=AFQjCNHP00a4EuAV0T9H0oapTxXNNRsxXg" xr:uid="{8FA8BED6-A4C6-492D-8442-A6B801625004}"/>
    <hyperlink ref="B1073" r:id="rId1911" display="https://www.google.com/url?q=https://wcipeg.com/problem/ioi1402&amp;sa=D&amp;ust=1605639832511000&amp;usg=AFQjCNFUy7TYiMmzTUb_82QYAlsKkVocKw" xr:uid="{79B4BF0C-25BD-4458-AFB8-E2B05881787B}"/>
    <hyperlink ref="B1074" r:id="rId1912" display="https://www.google.com/url?q=https://wcipeg.com/problem/ioi1403&amp;sa=D&amp;ust=1605639832511000&amp;usg=AFQjCNGBOqDzptccY1tlZP9bEflMpyS37g" xr:uid="{3E6B3822-69F2-4A74-A992-D9F6A0B4AE39}"/>
    <hyperlink ref="B1075" r:id="rId1913" display="https://www.google.com/url?q=https://dunjudge.me/analysis/problems/592/&amp;sa=D&amp;ust=1605639832512000&amp;usg=AFQjCNG2ft6NGronNtSuNkOe_1OVXHKzGw" xr:uid="{AB717C8E-324E-46AB-867A-46AD5F9575A6}"/>
    <hyperlink ref="B1076" r:id="rId1914" display="https://www.google.com/url?q=https://www.hackerrank.com/contests/ioi-2014-practice-contest-2/challenges/world-peace-ioi14&amp;sa=D&amp;ust=1605639832512000&amp;usg=AFQjCNHQoei6kGJz7t7d7kvMyord0Inzeg" xr:uid="{42562D4C-BA6E-4217-A71D-21EB0D9CB222}"/>
    <hyperlink ref="F1076" r:id="rId1915" display="https://www.google.com/url?q=https://github.com/updown2/OI-Practice/blob/master/IOI/IOI%25202014/World%2520Peace%2520%255BPractice%255D.cpp&amp;sa=D&amp;ust=1605639832512000&amp;usg=AFQjCNGPOP3lh034uWuV0foxc3-BPXei6w" xr:uid="{776F28FB-5733-42A6-AF10-1829FDC4071D}"/>
    <hyperlink ref="B1077" r:id="rId1916" display="https://www.google.com/url?q=https://csacademy.com/contest/ioi-2016-training-round-5/task/balanced-string/&amp;sa=D&amp;ust=1605639832513000&amp;usg=AFQjCNHWZrl_9bb3EK20-rOblNH4VfnSzQ" xr:uid="{EA0F0F22-B0B5-4387-92F4-6755FAD0BD58}"/>
    <hyperlink ref="F1077" r:id="rId1917" display="https://www.google.com/url?q=https://github.com/arvindr9/CompetitiveProgramming/blob/master/CSAcademy/IOI%2520Training%2520Rounds/IOIPractice%252016-balanced-string.cpp&amp;sa=D&amp;ust=1605639832513000&amp;usg=AFQjCNFCK4Ur_VjRM0oG8TQQsWFybndFEw" xr:uid="{1D2C95A7-5F07-42AC-8029-943636945089}"/>
    <hyperlink ref="B1078" r:id="rId1918" display="https://www.google.com/url?q=https://csacademy.com/contest/ioi-2016-training-round-2/task/cograph_clique/&amp;sa=D&amp;ust=1605639832514000&amp;usg=AFQjCNH0SRYE1pJe9PSvl65gqB1iinU9QQ" xr:uid="{19263289-74E1-4B94-8488-4DFD7FD1C72D}"/>
    <hyperlink ref="B1079" r:id="rId1919" display="https://www.google.com/url?q=https://csacademy.com/contest/ioi-2016-training-round-5/task/empty-triangles/&amp;sa=D&amp;ust=1605639832514000&amp;usg=AFQjCNFZABEtJzwM7I5v3F1ryS9fYqYYtQ" xr:uid="{0C42D581-F44B-4E45-9870-29EDCABEE96B}"/>
    <hyperlink ref="B1080" r:id="rId1920" display="https://www.google.com/url?q=https://csacademy.com/contest/ioi-2016-training-round-1/task/farey_sequence&amp;sa=D&amp;ust=1605639832515000&amp;usg=AFQjCNFXik0wGhXiaBV3weOU014S_pT5fw" xr:uid="{BC60A1EE-8CF0-430D-91A4-910B98ABAE3B}"/>
    <hyperlink ref="B1081" r:id="rId1921" display="https://www.google.com/url?q=https://csacademy.com/contest/ioi-2016-training-round-1/task/hallway&amp;sa=D&amp;ust=1605639832515000&amp;usg=AFQjCNERSxRB1RI7Uy2dfH1qh8_2AwSy5g" xr:uid="{B6753912-0145-40D1-AFF8-0BF5959C5485}"/>
    <hyperlink ref="B1082" r:id="rId1922" display="https://www.google.com/url?q=https://csacademy.com/contest/ioi-2016-training-round-2/task/increasing_subarrays/&amp;sa=D&amp;ust=1605639832516000&amp;usg=AFQjCNHaaj2lcDzra4-l18I1iLYcAN3pUQ" xr:uid="{279A667C-B3C7-4366-A44F-A5C468622E1C}"/>
    <hyperlink ref="F1082" r:id="rId1923" display="https://www.google.com/url?q=https://github.com/mostafa-saad/MyCompetitiveProgramming/blob/master/Olympiad/IOI/IOIPractice-16-increasing_subarrays.txt&amp;sa=D&amp;ust=1605639832516000&amp;usg=AFQjCNEvLix8kCvDy6_24oGGXzvYREYcOw" xr:uid="{037C6A11-A56E-40D0-A8AD-4D7189B8340E}"/>
    <hyperlink ref="B1083" r:id="rId1924" display="https://www.google.com/url?q=https://csacademy.com/contest/ioi-2016-training-round-4/task/k-consecutive/&amp;sa=D&amp;ust=1605639832516000&amp;usg=AFQjCNEPKDlzXcZpAJLFKYmclnd0IEv6QA" xr:uid="{45E6ED86-51AE-43A5-818E-22A7455004A0}"/>
    <hyperlink ref="F1083" r:id="rId1925" display="https://www.google.com/url?q=https://github.com/mostafa-saad/MyCompetitiveProgramming/blob/master/Olympiad/IOI/IOIPractice-16-k-consecutive.txt&amp;sa=D&amp;ust=1605639832516000&amp;usg=AFQjCNHqMUpYMZLptLYjBKppJN0I_I_gKg" xr:uid="{730E4516-5D37-4384-9119-38BECCA317C3}"/>
    <hyperlink ref="B1084" r:id="rId1926" display="https://www.google.com/url?q=https://csacademy.com/contest/ioi-2016-training-round-5/task/lights-out/&amp;sa=D&amp;ust=1605639832516000&amp;usg=AFQjCNGFXnd9bn05ZeBvhFYKkG1_elfL4g" xr:uid="{346B6E97-FD91-41A5-BC27-403B7486A8D8}"/>
    <hyperlink ref="B1085" r:id="rId1927" display="https://www.google.com/url?q=https://csacademy.com/contest/ioi-2016-training-round-3/task/network-rumour/&amp;sa=D&amp;ust=1605639832517000&amp;usg=AFQjCNFO0yEx_aOc9grsRuR-7dKI0fmesA" xr:uid="{C6B8A774-32BE-4EC7-AF83-FAF4A6526FA3}"/>
    <hyperlink ref="B1086" r:id="rId1928" display="https://www.google.com/url?q=https://csacademy.com/contest/ioi-2016-training-round-1/task/polygon_partition&amp;sa=D&amp;ust=1605639832517000&amp;usg=AFQjCNH5f5-M0pHLZeeJYJXZZ24lEAfDUw" xr:uid="{A5D28138-E142-4ED1-9B07-0CAAAA9A6204}"/>
    <hyperlink ref="F1086" r:id="rId1929" display="https://www.google.com/url?q=https://github.com/thecodingwizard/competitive-programming/blob/master/IOI/IOIPractice%252016-polygon.cpp&amp;sa=D&amp;ust=1605639832517000&amp;usg=AFQjCNH13DbZChlJdsJXM3XcNtXL5IiVNQ" xr:uid="{AA606418-D7F6-4A4A-B17F-1C633A4487AD}"/>
    <hyperlink ref="B1087" r:id="rId1930" display="https://www.google.com/url?q=https://csacademy.com/contest/ioi-2016-training-round-3/task/telegraph/&amp;sa=D&amp;ust=1605639832517000&amp;usg=AFQjCNF-tvkmx075uYJlryH-85CkIozcBQ" xr:uid="{25641FD6-D22B-4229-AFA3-31935E52F092}"/>
    <hyperlink ref="B1088" r:id="rId1931" display="https://www.google.com/url?q=https://csacademy.com/contest/ioi-2016-training-round-3/task/tree-nodes-destruction/&amp;sa=D&amp;ust=1605639832518000&amp;usg=AFQjCNFJRqd5BydCmFcuIbiWfmRRAQtabw" xr:uid="{60BA8A5B-9C1D-409C-BE09-5C44F3C7A532}"/>
    <hyperlink ref="B1089" r:id="rId1932" display="https://www.google.com/url?q=https://csacademy.com/contest/ioi-2016-training-round-5/task/tree-square/&amp;sa=D&amp;ust=1605639832518000&amp;usg=AFQjCNFi2_H1a13mbSJRf02h59Sn_-jHcQ" xr:uid="{ACF08AE1-2BAF-4115-9FD0-B144B08B0799}"/>
    <hyperlink ref="B1090" r:id="rId1933" display="https://www.google.com/url?q=https://dunjudge.me/analysis/problems/1663/&amp;sa=D&amp;ust=1605639832518000&amp;usg=AFQjCNFQElIYMYnjTZb5M-zYkC4MXMPmwg" xr:uid="{5722B087-9780-46A1-9081-6F5B7B198988}"/>
    <hyperlink ref="F1090" r:id="rId1934" display="https://www.google.com/url?q=https://github.com/mostafa-saad/MyCompetitiveProgramming/blob/master/Olympiad/IOI/IOIPractice-17-coins.txt&amp;sa=D&amp;ust=1605639832518000&amp;usg=AFQjCNG2aP0BTig2vJSDQL_oNcraWoYq2A" xr:uid="{C149BA26-0DEB-4C17-90BA-C659B28568F9}"/>
    <hyperlink ref="B1091" r:id="rId1935" display="https://www.google.com/url?q=https://dunjudge.me/analysis/problems/1659/&amp;sa=D&amp;ust=1605639832519000&amp;usg=AFQjCNHZsvE7A3pF1bULS6k8tJ1dNO84dw" xr:uid="{F595CA39-2F2F-4E7F-A8D4-B841BED745F3}"/>
    <hyperlink ref="B1092" r:id="rId1936" display="https://www.google.com/url?q=https://dunjudge.me/analysis/problems/1660/&amp;sa=D&amp;ust=1605639832519000&amp;usg=AFQjCNEjV520BaAAXdj9nDx3kcUH7GOhjA" xr:uid="{B2E73DF3-3360-45B1-9C59-A4DF8D9E5527}"/>
    <hyperlink ref="B1093" r:id="rId1937" display="https://www.google.com/url?q=http://ioi2017.org/contest/practice/&amp;sa=D&amp;ust=1605639832519000&amp;usg=AFQjCNFD6CGjsrvRjVuYvyqaBMlvOagmPQ" xr:uid="{4883904A-1C60-43D2-AA52-15E3EBED81D8}"/>
    <hyperlink ref="B1094" r:id="rId1938" display="https://www.google.com/url?q=https://dunjudge.me/analysis/problems/1661/&amp;sa=D&amp;ust=1605639832519000&amp;usg=AFQjCNFlicShabLipDknuFm6TOfQ0GGNKA" xr:uid="{23DFD089-848A-44FC-94A4-0BACF389E971}"/>
    <hyperlink ref="B1095" r:id="rId1939" display="https://www.google.com/url?q=https://oj.uz/problem/view/IOI19_cycle&amp;sa=D&amp;ust=1605639832520000&amp;usg=AFQjCNHphNU2OQ3FMGQYI6QFcIjomAM6zQ" xr:uid="{93190559-F4B3-4948-8B77-FC91DCB34B19}"/>
    <hyperlink ref="F1095" r:id="rId1940" display="https://www.google.com/url?q=https://github.com/nikolapesic2802/Programming-Practice/blob/master/Cycle/main.cpp&amp;sa=D&amp;ust=1605639832520000&amp;usg=AFQjCNEBkK2yoxlVM4J1n84GS-8Qv22jUw" xr:uid="{BC14F683-4D4F-4409-BE09-76A1CE18E6F3}"/>
    <hyperlink ref="B1096" r:id="rId1941" display="https://www.google.com/url?q=https://oj.uz/problem/view/IOI19_job&amp;sa=D&amp;ust=1605639832520000&amp;usg=AFQjCNGP6eJndkGqXZaB07CjHf_UpWMb8w" xr:uid="{8FD43C8D-AFFB-44CB-B959-23B13DE62CD2}"/>
    <hyperlink ref="F1096" r:id="rId1942" display="https://www.google.com/url?q=https://github.com/mostafa-saad/MyCompetitiveProgramming/blob/master/Olympiad/IOI/IOIPractice-19-Job.txt&amp;sa=D&amp;ust=1605639832521000&amp;usg=AFQjCNHerrfbN7fntlY7PtI1qaW5aojJ8A" xr:uid="{7F4B4577-9315-4820-92B5-1B717FA41BA7}"/>
    <hyperlink ref="B1097" r:id="rId1943" display="https://www.google.com/url?q=https://oj.uz/problem/view/IOI19_packing&amp;sa=D&amp;ust=1605639832521000&amp;usg=AFQjCNFv6B6J9J905pNYlSFIjay6a5D67w" xr:uid="{1CA961E1-7A12-4255-A6C7-D1FA3B17C404}"/>
    <hyperlink ref="F1097" r:id="rId1944" display="https://www.google.com/url?q=https://github.com/tmwilliamlin168/CompetitiveProgramming/blob/master/IOI/19P-Packing.cpp&amp;sa=D&amp;ust=1605639832522000&amp;usg=AFQjCNGx_qzzTNdkBiT9zxKsztyAeBVoGg" xr:uid="{00741A72-4BB4-473D-B217-D5BDA8BDC15C}"/>
    <hyperlink ref="B1098" r:id="rId1945" display="https://www.google.com/url?q=https://oj.uz/problem/view/IOI19_transfer&amp;sa=D&amp;ust=1605639832522000&amp;usg=AFQjCNG3EcVTqRMziJSlqRU38TKT17ZzwA" xr:uid="{23C07E37-9F73-4201-8947-0995491783D9}"/>
    <hyperlink ref="F1098" r:id="rId1946" display="https://www.google.com/url?q=https://github.com/tmwilliamlin168/CompetitiveProgramming/blob/master/IOI/19P-Transfer.cpp&amp;sa=D&amp;ust=1605639832522000&amp;usg=AFQjCNGR0b4f9z_575x3mPV4-mBmpkV2Ww" xr:uid="{688B2CC9-0326-49CE-975B-0691DE11C006}"/>
    <hyperlink ref="B1099" r:id="rId1947" display="https://www.google.com/url?q=https://codeforces.com/group/swEqtABRxe/contest/227531/problem/C&amp;sa=D&amp;ust=1605639832522000&amp;usg=AFQjCNF9kSGBxIrV7_GD_aaBzikgXRWZoA" xr:uid="{E0A1E843-5303-4217-B725-479C5F04124F}"/>
    <hyperlink ref="F1099" r:id="rId1948" display="https://www.google.com/url?q=https://ideone.com/iyHw7X&amp;sa=D&amp;ust=1605639832522000&amp;usg=AFQjCNGY2MdtZJ8eXqIpezuyO_dAQqvToQ" xr:uid="{868EAD9C-01C5-459B-AD95-752995FC9177}"/>
    <hyperlink ref="B1100" r:id="rId1949" display="https://www.google.com/url?q=https://codeforces.com/group/swEqtABRxe/contest/227527/problem/A&amp;sa=D&amp;ust=1605639832523000&amp;usg=AFQjCNHy9PBpj2sfRBzRuLt2rShErzr6xA" xr:uid="{034EC673-95A1-4948-81E7-51EA8F45DD47}"/>
    <hyperlink ref="F1100" r:id="rId1950" display="https://www.google.com/url?q=https://ideone.com/gbGHt9&amp;sa=D&amp;ust=1605639832523000&amp;usg=AFQjCNGvgrmtJGIq6RtIwnfGdFVO6lufqQ" xr:uid="{55BC2734-3A95-46CE-A391-1394C4957358}"/>
    <hyperlink ref="B1101" r:id="rId1951" display="https://www.google.com/url?q=https://codeforces.com/group/swEqtABRxe/contest/227527/problem/B&amp;sa=D&amp;ust=1605639832523000&amp;usg=AFQjCNFgYKhJ7R7cdFGOaTAL6gcUiU5MLQ" xr:uid="{F399A6B3-3512-4118-93BD-C39C4C3BA938}"/>
    <hyperlink ref="B1102" r:id="rId1952" display="https://www.google.com/url?q=https://codeforces.com/group/swEqtABRxe/contest/227530/problem/B&amp;sa=D&amp;ust=1605639832523000&amp;usg=AFQjCNFkKiiFpXRwabgGffix6jmGOs1ajQ" xr:uid="{76EE4E7F-FDBF-436B-ADC1-9E52FD8E3519}"/>
    <hyperlink ref="F1102" r:id="rId1953" display="https://www.google.com/url?q=https://github.com/ahmedibrahim404/CompetitiveProgramming/blob/master/EOI/IOI_Quals%2718/18-R2-B/src/main.cpp&amp;sa=D&amp;ust=1605639832523000&amp;usg=AFQjCNHQlgntfq1f2o6SM4CnE3VGnSmdAg" xr:uid="{25A5D27C-57BC-4AC6-A25B-DCE7EB9500D8}"/>
    <hyperlink ref="B1103" r:id="rId1954" display="https://www.google.com/url?q=https://codeforces.com/group/swEqtABRxe/contest/243437/problem/A&amp;sa=D&amp;ust=1605639832524000&amp;usg=AFQjCNFs-nOWgciZJbJgDm6PEolmDYZaAA" xr:uid="{D315DC55-FE60-4501-89D9-E21C97BF3630}"/>
    <hyperlink ref="B1104" r:id="rId1955" display="https://www.google.com/url?q=https://codeforces.com/group/swEqtABRxe/contest/243438/problem/A&amp;sa=D&amp;ust=1605639832524000&amp;usg=AFQjCNEB9tofgZ0RxEy47o9HF8o95P4YKg" xr:uid="{F4E2C7E8-D9F0-453F-83A3-BE2BF12A3AB3}"/>
    <hyperlink ref="F1104" r:id="rId1956" display="https://www.google.com/url?q=https://github.com/ahmedibrahim404/CompetitiveProgramming/blob/master/EOI/IOI_Quals%2719/D2_A/main.cpp&amp;sa=D&amp;ust=1605639832524000&amp;usg=AFQjCNFJFbgZHH-uNEoQTiJEOdVJJ9kJ8g" xr:uid="{7E924BA6-C7B5-425D-A8C2-22328FDAF29B}"/>
    <hyperlink ref="B1105" r:id="rId1957" display="https://www.google.com/url?q=https://codeforces.com/group/swEqtABRxe/contest/243438/problem/C&amp;sa=D&amp;ust=1605639832524000&amp;usg=AFQjCNFBjCUIoE__A-T9z3tC8CR4eeIP8Q" xr:uid="{C98E39FB-499C-4509-970B-C58F26E25B5F}"/>
    <hyperlink ref="B1106" r:id="rId1958" display="https://www.google.com/url?q=https://codeforces.com/group/swEqtABRxe/contest/243438/problem/D&amp;sa=D&amp;ust=1605639832525000&amp;usg=AFQjCNH1ASu1Wi_FFO5QK47yFNEEis6QNQ" xr:uid="{65FC4DF6-4C2C-4482-85E9-AB320AFD8EEF}"/>
    <hyperlink ref="B1107" r:id="rId1959" display="https://www.google.com/url?q=https://codeforces.com/group/swEqtABRxe/contest/243431/problem/A&amp;sa=D&amp;ust=1605639832525000&amp;usg=AFQjCNHMchSyxDU2bdF1SmOti3yX7G55Xg" xr:uid="{624551FE-F5A9-4F7D-833D-A4BA7C8DA68F}"/>
    <hyperlink ref="B1108" r:id="rId1960" display="https://www.google.com/url?q=https://codeforces.com/group/swEqtABRxe/contest/243431/problem/B&amp;sa=D&amp;ust=1605639832525000&amp;usg=AFQjCNGQzDo17r3m4Y3Z9CahUHZ3pl96nA" xr:uid="{68113F89-AE9D-46D9-8127-B1B0FB2E99A5}"/>
    <hyperlink ref="B1109" r:id="rId1961" display="https://www.google.com/url?q=https://codeforces.com/group/swEqtABRxe/contest/243435/problem/A&amp;sa=D&amp;ust=1605639832525000&amp;usg=AFQjCNHjHRvOY-nEdrXVorwAUWbmCxgmlg" xr:uid="{32E1A150-BABF-433A-9D7C-F8B3748A4EE1}"/>
    <hyperlink ref="B1110" r:id="rId1962" display="https://www.google.com/url?q=https://codeforces.com/group/swEqtABRxe/contest/243435/problem/B&amp;sa=D&amp;ust=1605639832526000&amp;usg=AFQjCNFxRVdakdRT1xm6Lsd4KCj_sF3oeQ" xr:uid="{C3C5AE4F-F021-46FF-B977-323DDA3A0F92}"/>
    <hyperlink ref="B1111" r:id="rId1963" display="https://www.google.com/url?q=https://codeforces.com/group/swEqtABRxe/contest/243435/problem/C&amp;sa=D&amp;ust=1605639832526000&amp;usg=AFQjCNHFXBjXb_ifv_SsenSKtjO9vhJB8w" xr:uid="{7CA909CC-92D9-48AA-9FAF-1B5C87CDCEC0}"/>
    <hyperlink ref="B1112" r:id="rId1964" display="https://www.google.com/url?q=https://ipsc.ksp.sk/2018/real/problems/h.html&amp;sa=D&amp;ust=1605639832527000&amp;usg=AFQjCNGHeCoNeLzzaB-L9ddToCesAQi75Q" xr:uid="{59AE1D61-6A21-4D7B-AC47-04B52D724115}"/>
    <hyperlink ref="B1113" r:id="rId1965" display="https://www.google.com/url?q=https://ipsc.ksp.sk/2018/real/problems/j.html&amp;sa=D&amp;ust=1605639832527000&amp;usg=AFQjCNEnt22IICgMkW_u9uWO278IrU7QYw" xr:uid="{64D6929B-923B-439C-962E-E9CD8FBA8534}"/>
    <hyperlink ref="B1114" r:id="rId1966" display="https://www.google.com/url?q=https://oj.uz/problem/view/IZhO11_triangle&amp;sa=D&amp;ust=1605639832528000&amp;usg=AFQjCNGGFu8zfwZBP4b_wwi7wKrOm-hP2Q" xr:uid="{E2DEFF02-2F00-43F6-85BA-CC21B3EE3A3A}"/>
    <hyperlink ref="B1115" r:id="rId1967" display="https://www.google.com/url?q=https://oj.uz/problem/view/IZhO12_apple&amp;sa=D&amp;ust=1605639832528000&amp;usg=AFQjCNFPG4CultTb_JJf1gAaIQ7ieohopA" xr:uid="{223CB318-1B70-48C2-9321-379499859ADA}"/>
    <hyperlink ref="B1116" r:id="rId1968" display="https://www.google.com/url?q=https://oj.uz/problem/view/IZhO12_beauty&amp;sa=D&amp;ust=1605639832528000&amp;usg=AFQjCNEEsyWp2baE5Oml5_Y3aEOyNK_5NQ" xr:uid="{EF51C4EE-2417-40F1-B7CB-DFAD795139B6}"/>
    <hyperlink ref="F1116" r:id="rId1969" display="https://www.google.com/url?q=https://github.com/ShabdanBatyrkulov/codee/blob/master/IZhO%252012-beauty.cpp&amp;sa=D&amp;ust=1605639832528000&amp;usg=AFQjCNEYNQEOPxvqVMwYybR5PaYEucZ-Dg" xr:uid="{32C3C3F8-471E-4247-8A82-3203706BED23}"/>
    <hyperlink ref="B1117" r:id="rId1970" display="https://www.google.com/url?q=https://oj.uz/problem/view/IZhO12_biochips&amp;sa=D&amp;ust=1605639832530000&amp;usg=AFQjCNGdc5Ve5J4FYAt6Z3pwzUVzKAOj8w" xr:uid="{7646F05A-74F1-4CFC-BC89-8975F3FCDBEA}"/>
    <hyperlink ref="F1117" r:id="rId1971" display="https://www.google.com/url?q=https://github.com/mostafa-saad/MyCompetitiveProgramming/blob/master/Olympiad/IZhO/IZhO-12-biochips.txt&amp;sa=D&amp;ust=1605639832530000&amp;usg=AFQjCNHcfIgyoS4iNZp6NhBqV1RihYpShQ" xr:uid="{EA1C1D29-22A6-4073-894B-5196BBBA6DA5}"/>
    <hyperlink ref="B1118" r:id="rId1972" display="https://www.google.com/url?q=https://oj.uz/problem/view/IZhO12_xor&amp;sa=D&amp;ust=1605639832530000&amp;usg=AFQjCNHRqKkvFSZ6r7nZGNI4lVQ04cOvTg" xr:uid="{282554EB-B3C9-44DD-8E08-F2EB37B6306C}"/>
    <hyperlink ref="B1119" r:id="rId1973" display="https://www.google.com/url?q=http://www.spoj.com/problems/MINSUB/&amp;sa=D&amp;ust=1605639832530000&amp;usg=AFQjCNHDgvxp7ehUk6hgwE9jvy_K0BOb1A" xr:uid="{CA977417-3936-4C42-ABB2-667758124344}"/>
    <hyperlink ref="F1119" r:id="rId1974" display="https://www.google.com/url?q=https://github.com/tmwilliamlin168/CompetitiveProgramming/blob/master/IZHO/13-Burrow.cpp&amp;sa=D&amp;ust=1605639832531000&amp;usg=AFQjCNF_uPQjMnOF_6Yo6odp2sjVNS2Ulg" xr:uid="{D9C37A15-06F9-4DC3-9689-F8E6CFDAB244}"/>
    <hyperlink ref="B1120" r:id="rId1975" display="https://www.google.com/url?q=https://oj.uz/problem/view/IZhO13_school&amp;sa=D&amp;ust=1605639832531000&amp;usg=AFQjCNF3gE8lOLPMZmGB3IdmY1ml8FodvA" xr:uid="{E4DCBF0A-C36B-40C0-B18C-8F34275C475E}"/>
    <hyperlink ref="F1120" r:id="rId1976" display="https://www.google.com/url?q=https://github.com/mostafa-saad/MyCompetitiveProgramming/blob/master/Olympiad/IZhO/IZhO-13-school.txt&amp;sa=D&amp;ust=1605639832531000&amp;usg=AFQjCNHPRi1KQmk0Br21BgH94pfYa1whZw" xr:uid="{BE663E1C-80BD-4585-9F5E-57613631E674}"/>
    <hyperlink ref="B1121" r:id="rId1977" display="https://www.google.com/url?q=https://www.e-olymp.com/en/problems/7482&amp;sa=D&amp;ust=1605639832531000&amp;usg=AFQjCNF1k7ZyOYLBjKD49rBc0UR9FO1i-A" xr:uid="{71185B5B-0709-4032-92FA-BD70F8D30B6A}"/>
    <hyperlink ref="F1121" r:id="rId1978" display="https://www.google.com/url?q=https://github.com/tmwilliamlin168/CompetitiveProgramming/blob/master/IZHO/13-Trading.cpp&amp;sa=D&amp;ust=1605639832532000&amp;usg=AFQjCNExBlh-bEZu_T3FSYcbBi8CXo3rSw" xr:uid="{F05E1168-0219-401B-87D2-22494D22C815}"/>
    <hyperlink ref="B1122" r:id="rId1979" display="https://www.google.com/url?q=https://oj.uz/problem/view/IZhO14_bank&amp;sa=D&amp;ust=1605639832532000&amp;usg=AFQjCNGoqnJPhG_RRRYTS6Eoi1yoA3RUiA" xr:uid="{10D9CED5-1CC3-4597-9AA6-4038D0FF5B06}"/>
    <hyperlink ref="B1123" r:id="rId1980" display="https://www.google.com/url?q=https://oj.uz/problem/view/IZhO14_blocks&amp;sa=D&amp;ust=1605639832532000&amp;usg=AFQjCNHpDvFCaU9LMIyK8_WmdimyK7k62Q" xr:uid="{CF227F53-7492-4F0D-B761-A65E0C1D55A6}"/>
    <hyperlink ref="F1123" r:id="rId1981" display="https://www.google.com/url?q=https://github.com/mostafa-saad/MyCompetitiveProgramming/blob/master/Olympiad/IZhO/IZhO-14-blocks.txt&amp;sa=D&amp;ust=1605639832533000&amp;usg=AFQjCNEdyDNPEFE4PLRmXuj4P_bRAcTWTQ" xr:uid="{626C3989-7388-4A18-AA2E-F7BBBC4B56C6}"/>
    <hyperlink ref="B1124" r:id="rId1982" display="https://www.google.com/url?q=https://oj.uz/problem/view/IZhO14_divide&amp;sa=D&amp;ust=1605639832533000&amp;usg=AFQjCNFa67Na4x9ebfzTaue1qFTiu5IdSA" xr:uid="{CC4938DC-D95B-4585-BA0A-336642D59187}"/>
    <hyperlink ref="F1124" r:id="rId1983" display="https://www.google.com/url?q=https://github.com/Coder-Boy1/Others/blob/master/IZHO%252014-divide&amp;sa=D&amp;ust=1605639832533000&amp;usg=AFQjCNGREJ9vdYzatfEWS501l9tZFDnJRA" xr:uid="{E30F89EF-81C9-4EB1-AB95-5C7AA95CE7A2}"/>
    <hyperlink ref="B1125" r:id="rId1984" display="https://www.google.com/url?q=https://oj.uz/problem/view/IZhO14_marriage&amp;sa=D&amp;ust=1605639832534000&amp;usg=AFQjCNHiHZ28v99Z0BP8ybBuc-fhDf9Sqg" xr:uid="{078E4AA7-96C9-4432-9F36-5F62DA2F859C}"/>
    <hyperlink ref="F1125" r:id="rId1985" display="https://www.google.com/url?q=https://github.com/LeTrongDat/CompetitiveProgramming/blob/master/IZhO/IZhO14-marriage.cpp&amp;sa=D&amp;ust=1605639832534000&amp;usg=AFQjCNGyF-jXv2Fskl9F1dzUev8JeSn0_Q" xr:uid="{EC3D1E85-8291-4EF2-BDC8-CCF64BA760C9}"/>
    <hyperlink ref="B1126" r:id="rId1986" display="https://www.google.com/url?q=https://oj.uz/problem/view/IZhO14_shymbulak&amp;sa=D&amp;ust=1605639832534000&amp;usg=AFQjCNGtd3IHGE4nEhMiKqLKHfoE1DpIeQ" xr:uid="{88D1CACD-3ED4-47BC-91EC-72003258DA61}"/>
    <hyperlink ref="F1126" r:id="rId1987" display="https://www.google.com/url?q=https://github.com/tmwilliamlin168/CompetitiveProgramming/blob/master/IZhO/14-Shymbulak.cpp&amp;sa=D&amp;ust=1605639832535000&amp;usg=AFQjCNF1TCSWvevVAPTAJtyUdipv7--oiA" xr:uid="{5A7F65BD-2BD8-4DD6-BCBB-F81F1503DB33}"/>
    <hyperlink ref="B1127" r:id="rId1988" display="https://www.google.com/url?q=https://oj.uz/problem/view/IZhO14_ufo&amp;sa=D&amp;ust=1605639832535000&amp;usg=AFQjCNEyZtJ4PWYKlCqCc8xe7oLvn5JsVw" xr:uid="{4F31B9BF-DADB-4D58-B2B0-09838524C625}"/>
    <hyperlink ref="B1128" r:id="rId1989" display="https://www.google.com/url?q=https://oj.uz/problem/view/IZhO17_bomb&amp;sa=D&amp;ust=1605639832535000&amp;usg=AFQjCNHIbqsm5NRzKeKIYHhupGgGqg2yTg" xr:uid="{09BD2EA9-9D2F-4280-AD22-0E5F492173A2}"/>
    <hyperlink ref="F1128" r:id="rId1990" display="https://www.google.com/url?q=https://github.com/ihdignite/CompetitiveProgramming/blob/master/IZHO/17-Bomb.cpp&amp;sa=D&amp;ust=1605639832535000&amp;usg=AFQjCNEPOPKMfIhX2s29BXJGEFHtNIB2ow" xr:uid="{7D1DFDBC-FD72-4CF1-8FEE-02243B6E6CD9}"/>
    <hyperlink ref="B1129" r:id="rId1991" display="https://www.google.com/url?q=https://oj.uz/problem/view/IZhO17_bootfall&amp;sa=D&amp;ust=1605639832536000&amp;usg=AFQjCNEbCSFgL5KDTCNl5VM-B4XHX7HThA" xr:uid="{5C8A243E-0EF4-48D1-9A29-0CB01CCDF443}"/>
    <hyperlink ref="F1129" r:id="rId1992" display="https://www.google.com/url?q=https://github.com/stefdasca/CompetitiveProgramming/blob/master/IZhO/IZhO%252017-bootfall.cpp&amp;sa=D&amp;ust=1605639832536000&amp;usg=AFQjCNHZFazC-XWefr3ZrzTUk0eiYYuT7g" xr:uid="{F08C117B-A19C-4252-92E6-DF4FD100E565}"/>
    <hyperlink ref="B1130" r:id="rId1993" display="https://www.google.com/url?q=https://oj.uz/problem/view/IZhO17_game&amp;sa=D&amp;ust=1605639832536000&amp;usg=AFQjCNFn0GoxEFarTllyZn44DmH32vEo0g" xr:uid="{E551DB3E-E5DC-487E-AE9D-19E3901842F9}"/>
    <hyperlink ref="B1131" r:id="rId1994" display="https://www.google.com/url?q=https://oj.uz/problem/view/IZhO17_money&amp;sa=D&amp;ust=1605639832537000&amp;usg=AFQjCNGWMuyAI5vMdOBz54OpJhtndpbbZw" xr:uid="{B5F86434-9058-4C4A-8E71-62EAE0AE1ABF}"/>
    <hyperlink ref="F1131" r:id="rId1995" display="https://www.google.com/url?q=https://github.com/stefdasca/CompetitiveProgramming/blob/master/IZhO/IZhO%252017-money.cpp&amp;sa=D&amp;ust=1605639832537000&amp;usg=AFQjCNGBCpP5rXGfXi5eNF5rF4g78C98rg" xr:uid="{C23FE51B-3991-4385-B152-7798A4947B32}"/>
    <hyperlink ref="B1132" r:id="rId1996" display="https://www.google.com/url?q=https://oj.uz/problem/view/IZhO17_road&amp;sa=D&amp;ust=1605639832537000&amp;usg=AFQjCNEKvOhmUUMzbxx8RYw1NNa9t8Z7dw" xr:uid="{52BA86E8-0307-43D3-A1FE-CCAA897D03E1}"/>
    <hyperlink ref="F1132" r:id="rId1997" display="https://www.google.com/url?q=https://github.com/LeTrongDat/CompetitiveProgramming/blob/master/IZhO/IZhO17-road.cpp&amp;sa=D&amp;ust=1605639832537000&amp;usg=AFQjCNGs8pXgtifaw34sA6ypM9ewkEecEA" xr:uid="{BD73B006-1FAE-45C6-ACD2-0B0F6C96D355}"/>
    <hyperlink ref="B1133" r:id="rId1998" display="https://www.google.com/url?q=https://oj.uz/problem/view/IZhO17_subsequence&amp;sa=D&amp;ust=1605639832538000&amp;usg=AFQjCNFaO5PgMgsjljhT21ZksRKeIH1O-A" xr:uid="{5C8644A2-7083-49F3-9495-869872BDD73B}"/>
    <hyperlink ref="F1133" r:id="rId1999" display="https://www.google.com/url?q=https://github.com/mostafa-saad/MyCompetitiveProgramming/blob/master/Olympiad/IZhO/IZhO-17-subsequence.txt&amp;sa=D&amp;ust=1605639832538000&amp;usg=AFQjCNEFqNXKSh4kPGlNUzvj9g_kZcUxJw" xr:uid="{75790111-D775-43B4-84D8-5C27F1DA1964}"/>
    <hyperlink ref="B1134" r:id="rId2000" display="https://www.google.com/url?q=https://oj.uz/problem/view/IZhO18_chessboard&amp;sa=D&amp;ust=1605639832538000&amp;usg=AFQjCNF1BC-5n9D9_79U_awkrlkEY-lBXg" xr:uid="{6C758293-8D72-4C06-A99D-41501B91288C}"/>
    <hyperlink ref="B1135" r:id="rId2001" display="https://www.google.com/url?q=https://oj.uz/problem/view/IZhO18_nicegift&amp;sa=D&amp;ust=1605639832540000&amp;usg=AFQjCNEfIR6PbifEMwpx0_fIJmmqQZp01Q" xr:uid="{97E423AF-590B-4064-9ADC-CCA19C0C53A3}"/>
    <hyperlink ref="B1136" r:id="rId2002" display="https://www.google.com/url?q=https://oj.uz/problem/view/IZhO18_plan&amp;sa=D&amp;ust=1605639832541000&amp;usg=AFQjCNELx_v-3G5b3AaAc5SASY_6wRqb1Q" xr:uid="{42D2B6F3-259A-49C8-8D7C-FC7779C0DE94}"/>
    <hyperlink ref="B1137" r:id="rId2003" display="https://www.google.com/url?q=https://oj.uz/problem/view/IZhO18_segments&amp;sa=D&amp;ust=1605639832541000&amp;usg=AFQjCNH0V8rDsBxPjK7_tr7ywiBwW1WA9w" xr:uid="{E245E7F0-E26E-4747-AE42-DCA9FB7BDF12}"/>
    <hyperlink ref="F1137" r:id="rId2004" display="https://www.google.com/url?q=https://github.com/mostafa-saad/MyCompetitiveProgramming/blob/master/Olympiad/IZhO/IZhO-18-segments.txt&amp;sa=D&amp;ust=1605639832541000&amp;usg=AFQjCNGo1xteu6kmChhcvNQ3oKvkQDX6iQ" xr:uid="{264591F2-E218-4593-9270-9111C47FA7F8}"/>
    <hyperlink ref="B1138" r:id="rId2005" display="https://www.google.com/url?q=https://oj.uz/problem/view/IZhO18_sequence&amp;sa=D&amp;ust=1605639832541000&amp;usg=AFQjCNEfiTNqIXatIXKua5fUaIrKIDAwRQ" xr:uid="{FBA9072F-F4F9-4F63-843A-352ADAFB3857}"/>
    <hyperlink ref="B1139" r:id="rId2006" display="https://www.google.com/url?q=https://oj.uz/problem/view/IZhO18_treearray&amp;sa=D&amp;ust=1605639832542000&amp;usg=AFQjCNHheib3s3yBnSLUjmuk7qKaJf-r1g" xr:uid="{3080928A-AE81-4F03-B68C-5A6FD0BE7E2F}"/>
    <hyperlink ref="F1139" r:id="rId2007" display="https://www.google.com/url?q=https://github.com/mostafa-saad/MyCompetitiveProgramming/blob/master/Olympiad/IZhO/IZhO-18-treearray.txt&amp;sa=D&amp;ust=1605639832542000&amp;usg=AFQjCNF50ASDrmZCxsFWo5m24P1GhJWGpw" xr:uid="{72906783-2FD8-466C-AD1D-983C181EA054}"/>
    <hyperlink ref="B1140" r:id="rId2008" display="https://www.google.com/url?q=https://oj.uz/problem/view/IZhO19_lyuboyn&amp;sa=D&amp;ust=1605639832542000&amp;usg=AFQjCNF28twLgyX6cKrqDR_xnuRchJlZZA" xr:uid="{6A6076E8-B54F-458E-9CB0-91DEEA2C7F98}"/>
    <hyperlink ref="B1141" r:id="rId2009" display="https://www.google.com/url?q=https://oj.uz/problem/view/IZhO19_segments&amp;sa=D&amp;ust=1605639832542000&amp;usg=AFQjCNFhd9LQYLOoP2Ic7ym5Ex8JmE3j1A" xr:uid="{E78B5B31-E16A-409B-B094-3145ECCC76A6}"/>
    <hyperlink ref="F1141" r:id="rId2010" display="https://www.google.com/url?q=https://github.com/stefdasca/CompetitiveProgramming/blob/master/IZhO/IZhO%252019-segments.cpp&amp;sa=D&amp;ust=1605639832542000&amp;usg=AFQjCNEsmJOCIcXEnq3VhZ6yEy7i7EeipQ" xr:uid="{5E8EFD2E-6E4F-484A-8187-C8186A437436}"/>
    <hyperlink ref="B1142" r:id="rId2011" display="https://www.google.com/url?q=https://oj.uz/problem/view/IZhO19_sortbooks&amp;sa=D&amp;ust=1605639832542000&amp;usg=AFQjCNHNm0LAFDaHBtLF9CsNR4N3HZDExA" xr:uid="{F6DE7775-ABB8-4838-8A99-C1BEBABFBBC5}"/>
    <hyperlink ref="B1143" r:id="rId2012" display="https://www.google.com/url?q=https://oj.uz/problem/view/IZhO19_stones&amp;sa=D&amp;ust=1605639832543000&amp;usg=AFQjCNGuaM6bzDZNA2HiYkpJHyzcrzSO3w" xr:uid="{6F808098-E806-46DC-8059-C2CCFA076DA4}"/>
    <hyperlink ref="B1144" r:id="rId2013" display="https://www.google.com/url?q=https://oj.uz/problem/view/IZhO19_xoractive&amp;sa=D&amp;ust=1605639832543000&amp;usg=AFQjCNEp4ZVwbmTsMsjW_V0BEygR8gw0DA" xr:uid="{D5C1C3AE-29F9-44C1-B830-48D5D3FC9652}"/>
    <hyperlink ref="F1144" r:id="rId2014" display="https://www.google.com/url?q=https://github.com/stefdasca/CompetitiveProgramming/blob/master/IZhO/IZhO%252019-xoractive.cpp&amp;sa=D&amp;ust=1605639832543000&amp;usg=AFQjCNFeyoI2ZibKamUalWD6RATWa99ruA" xr:uid="{0F55FFD4-A195-401E-94D7-EC2AEF3AEDAE}"/>
    <hyperlink ref="B1145" r:id="rId2015" display="https://www.google.com/url?q=https://oj.uz/problem/view/IZhO19_xorsum&amp;sa=D&amp;ust=1605639832543000&amp;usg=AFQjCNFYTuPa94UbbRLmDJaiuD5FPKwOAA" xr:uid="{FBCEC75D-BF6A-466A-BB14-A99DBFCDFCC3}"/>
    <hyperlink ref="B1146" r:id="rId2016" display="https://www.google.com/url?q=https://joi2013ho.contest.atcoder.jp/tasks/joi2013ho5&amp;sa=D&amp;ust=1605639832544000&amp;usg=AFQjCNERl4NYHK0lPk7e_o510gJqJwgSAQ" xr:uid="{C088CC89-41D5-4A09-86E6-67EC76138B96}"/>
    <hyperlink ref="F1146" r:id="rId2017" display="https://www.google.com/url?q=https://github.com/mostafa-saad/MyCompetitiveProgramming/blob/master/Olympiad/JOI/JOI-13-BubbleSort.txt&amp;sa=D&amp;ust=1605639832544000&amp;usg=AFQjCNG38umGk68Qnm9FizSJJqCZcx_HoA" xr:uid="{CF81F9BE-3525-4CD8-BFA6-109B2A5C6B44}"/>
    <hyperlink ref="B1147" r:id="rId2018" display="https://www.google.com/url?q=https://joi2013ho.contest.atcoder.jp/tasks/joi2013ho1&amp;sa=D&amp;ust=1605639832544000&amp;usg=AFQjCNHr4mObPQCGAFDgZ5cZqiFu732RgQ" xr:uid="{AF6ABAC3-B9DC-481F-B9A3-C30D10792784}"/>
    <hyperlink ref="B1148" r:id="rId2019" display="https://www.google.com/url?q=https://joi2013ho.contest.atcoder.jp/tasks/joi2013ho3&amp;sa=D&amp;ust=1605639832544000&amp;usg=AFQjCNER152MPI0ehCMtXBfSCcJ0FX6UCA" xr:uid="{99ACEF3A-E1E5-40BB-A44F-929C9BE005B7}"/>
    <hyperlink ref="B1149" r:id="rId2020" display="https://www.google.com/url?q=https://joi2013ho.contest.atcoder.jp/tasks/joi2013ho2&amp;sa=D&amp;ust=1605639832544000&amp;usg=AFQjCNGu0i0ROcysdankbYfqLHx_BnaLqA" xr:uid="{F62E3E8C-6856-4916-AE7F-F85864041982}"/>
    <hyperlink ref="B1150" r:id="rId2021" display="https://www.google.com/url?q=https://joi2013ho.contest.atcoder.jp/tasks/joi2013ho4&amp;sa=D&amp;ust=1605639832545000&amp;usg=AFQjCNEOh7rD1KEycWlhlRqTA9zxk5yvOg" xr:uid="{4CB3B9EE-4792-4C37-9C7B-3138D8BFD5F9}"/>
    <hyperlink ref="B1151" r:id="rId2022" display="https://www.google.com/url?q=https://joi2014ho.contest.atcoder.jp/tasks/joi2014ho3&amp;sa=D&amp;ust=1605639832545000&amp;usg=AFQjCNG3cPGBYET736fQvBomxiYJTlcULA" xr:uid="{D823E529-59A3-4727-A061-CA832B57682C}"/>
    <hyperlink ref="B1152" r:id="rId2023" display="https://www.google.com/url?q=https://joi2014ho.contest.atcoder.jp/tasks/joi2014ho5&amp;sa=D&amp;ust=1605639832545000&amp;usg=AFQjCNFCd58SAcSfvE8dyaejHselSjSIng" xr:uid="{8BE055A9-8345-42C5-9DD7-4B87BF134C86}"/>
    <hyperlink ref="B1153" r:id="rId2024" display="https://www.google.com/url?q=https://joi2014ho.contest.atcoder.jp/tasks/joi2014ho2&amp;sa=D&amp;ust=1605639832546000&amp;usg=AFQjCNEEzS1ESxKewKYL2r01_lXJlTPI_A" xr:uid="{526FA508-EC0D-43D6-B27B-6287F32954BF}"/>
    <hyperlink ref="B1154" r:id="rId2025" display="https://www.google.com/url?q=https://joi2014ho.contest.atcoder.jp/tasks/joi2014ho1&amp;sa=D&amp;ust=1605639832546000&amp;usg=AFQjCNEziMO-9xBvervAbtWfibmEQhYVtA" xr:uid="{A525B92F-B0B8-4C65-97B0-6249787C4919}"/>
    <hyperlink ref="B1155" r:id="rId2026" display="https://www.google.com/url?q=https://joi2014ho.contest.atcoder.jp/tasks/joi2014ho4&amp;sa=D&amp;ust=1605639832546000&amp;usg=AFQjCNHi_UklYNfM6HLjEeLB38aJh6pBmA" xr:uid="{54F58671-74AB-44F2-B7B0-1AFB6AD5AFD5}"/>
    <hyperlink ref="B1156" r:id="rId2027" display="https://www.google.com/url?q=https://joi2015ho.contest.atcoder.jp/tasks/joi2015ho_d&amp;sa=D&amp;ust=1605639832547000&amp;usg=AFQjCNEO5Kg1s5sy2l0MOmEcexF6A2oCBg" xr:uid="{3C575CE3-49BC-4684-B017-23465CCC9D9E}"/>
    <hyperlink ref="B1157" r:id="rId2028" display="https://www.google.com/url?q=https://joi2015ho.contest.atcoder.jp/tasks/joi2015ho_b&amp;sa=D&amp;ust=1605639832547000&amp;usg=AFQjCNH3d47LzqNHCyYJ7KdX-JcCMUYL4g" xr:uid="{6DBAB920-2D1B-4CE7-80EF-B2F87641E3C4}"/>
    <hyperlink ref="F1157" r:id="rId2029" display="https://www.google.com/url?q=https://github.com/nikolapesic2802/Programming-Practice/blob/master/Cake%2520Division2/main.cpp&amp;sa=D&amp;ust=1605639832548000&amp;usg=AFQjCNEGzzWUFn-rcRDlbY_nf-7yuDhw5w" xr:uid="{9B54C7D0-423F-4836-92B3-253D9ADB5783}"/>
    <hyperlink ref="B1158" r:id="rId2030" display="https://www.google.com/url?q=https://joi2015ho.contest.atcoder.jp/tasks/joi2015ho_c&amp;sa=D&amp;ust=1605639832548000&amp;usg=AFQjCNFifFFp-MFkcb3FgnNMm2YjIwsB8A" xr:uid="{BB254891-EDFC-43E6-9EFC-645D97A3EADA}"/>
    <hyperlink ref="B1159" r:id="rId2031" display="https://www.google.com/url?q=https://joi2015ho.contest.atcoder.jp/tasks/joi2015ho_a&amp;sa=D&amp;ust=1605639832548000&amp;usg=AFQjCNE39wgKezqeIX_RIlNY1m3LaK9D0w" xr:uid="{89B0C9FA-F8B5-487F-B181-942F97EC2743}"/>
    <hyperlink ref="F1159" r:id="rId2032" display="https://www.google.com/url?q=https://github.com/nikolapesic2802/Programming-Practice/blob/master/Railroad%2520Trip/main.cpp&amp;sa=D&amp;ust=1605639832549000&amp;usg=AFQjCNFtFeHKkjuUzXwSh36jbUNLSl_y-w" xr:uid="{4F5AA157-BA40-4D4A-BE5D-81FD69D90C7F}"/>
    <hyperlink ref="B1160" r:id="rId2033" display="https://www.google.com/url?q=https://joi2015ho.contest.atcoder.jp/tasks/joi2015ho_e&amp;sa=D&amp;ust=1605639832549000&amp;usg=AFQjCNHSWP68ue_WpgpAaCnhQf-10p8l_Q" xr:uid="{DCC3DC1A-1C41-45B7-B7FE-C5A2EBCB98F9}"/>
    <hyperlink ref="B1161" r:id="rId2034" display="https://www.google.com/url?q=https://joi2016ho.contest.atcoder.jp/tasks/joi2016ho_b&amp;sa=D&amp;ust=1605639832549000&amp;usg=AFQjCNH_03FDjKOVzC4GUpyau2EI1K02JQ" xr:uid="{14CC9C02-86FB-4D8B-A1A0-7157796E6053}"/>
    <hyperlink ref="F1161" r:id="rId2035" display="https://www.google.com/url?q=https://github.com/nikolapesic2802/Programming-Practice/blob/master/Collecting%2520stamps/main.cpp&amp;sa=D&amp;ust=1605639832550000&amp;usg=AFQjCNHt8IvM9EoO_nngRoQb6CnjPX9SbQ" xr:uid="{124F2300-E067-48E5-A61C-00BE2C144E9C}"/>
    <hyperlink ref="B1162" r:id="rId2036" display="https://www.google.com/url?q=https://joi2016ho.contest.atcoder.jp/tasks/joi2016ho_e&amp;sa=D&amp;ust=1605639832550000&amp;usg=AFQjCNF4ScFH9btgXy5mcsIbFC-u2vXm9A" xr:uid="{6A0457C4-73CB-4F97-AAC0-A8ED17D03CD1}"/>
    <hyperlink ref="B1163" r:id="rId2037" display="https://www.google.com/url?q=https://joi2016ho.contest.atcoder.jp/tasks/joi2016ho_a&amp;sa=D&amp;ust=1605639832550000&amp;usg=AFQjCNFl0y218asf1vOmEG9Hk9GOn8VikA" xr:uid="{2996AF83-B3DC-415D-8D0B-5B264703282D}"/>
    <hyperlink ref="F1163" r:id="rId2038" display="https://www.google.com/url?q=https://github.com/nikolapesic2802/Programming-Practice/blob/master/Oranges/main.cpp&amp;sa=D&amp;ust=1605639832550000&amp;usg=AFQjCNExdm7tllLXae4KoodDn5q-LA1hfw" xr:uid="{6017276F-C191-4A86-ADFB-0C1444C917E1}"/>
    <hyperlink ref="B1164" r:id="rId2039" display="https://www.google.com/url?q=https://joi2016ho.contest.atcoder.jp/tasks/joi2016ho_d&amp;sa=D&amp;ust=1605639832550000&amp;usg=AFQjCNE9YoBujke7-_7Ax_hxuOynA70HsA" xr:uid="{0D6AEE16-7E65-4435-8612-55983CDDA207}"/>
    <hyperlink ref="B1165" r:id="rId2040" display="https://www.google.com/url?q=https://joi2016ho.contest.atcoder.jp/tasks/joi2016ho_c&amp;sa=D&amp;ust=1605639832551000&amp;usg=AFQjCNFXEcs8K1oWEPMR-l219V68LLp2Fg" xr:uid="{44112F1C-C39E-4BA3-8427-4D1052E71193}"/>
    <hyperlink ref="B1166" r:id="rId2041" display="https://www.google.com/url?q=https://oj.uz/problem/view/JOI17_foehn_phenomena&amp;sa=D&amp;ust=1605639832551000&amp;usg=AFQjCNEeIds2e3r9W9BKMwVC5bZ_t8Eegw" xr:uid="{2E3AAE62-85A5-48BC-A717-EDA3854DE93A}"/>
    <hyperlink ref="F1166" r:id="rId2042" display="https://www.google.com/url?q=https://github.com/nikolapesic2802/Programming-Practice/blob/master/Foehn%2520Phenomena/main.cpp&amp;sa=D&amp;ust=1605639832551000&amp;usg=AFQjCNFo7flYL3QA9cdiWtRHdAZawJ-ETA" xr:uid="{7A01F245-FB57-44A4-A1EA-359878E07686}"/>
    <hyperlink ref="B1167" r:id="rId2043" display="https://www.google.com/url?q=https://oj.uz/problem/view/JOI17_joioi&amp;sa=D&amp;ust=1605639832552000&amp;usg=AFQjCNHHbY2n-7krx5nHwX_pRz1HcZOM3g" xr:uid="{65DB94E4-A54D-4CA8-98DB-E934648ABEB1}"/>
    <hyperlink ref="F1167" r:id="rId2044" display="https://www.google.com/url?q=https://github.com/stefdasca/CompetitiveProgramming/blob/master/JOI/JOI%252017-joioi.cpp&amp;sa=D&amp;ust=1605639832552000&amp;usg=AFQjCNEu5zRW0Si-i1NdsGAgHkgEqAFmsg" xr:uid="{CF73681C-7BEF-41E0-94A1-975D56B52195}"/>
    <hyperlink ref="B1168" r:id="rId2045" display="https://www.google.com/url?q=https://oj.uz/problem/view/JOI17_rope&amp;sa=D&amp;ust=1605639832552000&amp;usg=AFQjCNGPVu9Un1nKgn1SkTPiIlQAOOIU3w" xr:uid="{4AB88B08-9266-44B5-9A3D-78A377033F07}"/>
    <hyperlink ref="B1169" r:id="rId2046" display="https://www.google.com/url?q=https://oj.uz/problem/view/JOI17_semiexpress&amp;sa=D&amp;ust=1605639832553000&amp;usg=AFQjCNEZLjRmpFqGdJ2MzW1CT9RcSSOSZQ" xr:uid="{09779C02-ADBA-4E86-9E9F-2ADA08D8E73A}"/>
    <hyperlink ref="B1170" r:id="rId2047" display="https://www.google.com/url?q=https://oj.uz/problem/view/JOI17_soccer&amp;sa=D&amp;ust=1605639832553000&amp;usg=AFQjCNE0hgi8wCa990EDxlbaEINXozvR0Q" xr:uid="{5075E73F-A217-4E1A-8613-A6005BEC2BBB}"/>
    <hyperlink ref="F1170" r:id="rId2048" display="https://www.google.com/url?q=https://github.com/mostafa-saad/MyCompetitiveProgramming/tree/master/Olympiad/JOI/official/JOI/JOI-17-soccer.txt&amp;sa=D&amp;ust=1605639832553000&amp;usg=AFQjCNGZ-CRM2H-EfZzcDKg_W1dOq8Xqhg" xr:uid="{5A5D7D22-79F9-4FE5-ADBC-51E6603FE6D0}"/>
    <hyperlink ref="B1171" r:id="rId2049" display="https://www.google.com/url?q=https://oj.uz/problems/source/307&amp;sa=D&amp;ust=1605639832554000&amp;usg=AFQjCNF-PoGbsh7aKcugF6hROj09lzz8wA" xr:uid="{97746650-D064-4926-9DFD-F91431ADE0A5}"/>
    <hyperlink ref="F1171" r:id="rId2050" display="https://www.google.com/url?q=https://github.com/updown2/OI-Practice/blob/master/JOI/2018/Art.cpp&amp;sa=D&amp;ust=1605639832554000&amp;usg=AFQjCNEOaAk1QJUXBMP8lCv29R5PUXwpEA" xr:uid="{9BC4585E-2FD1-4CBC-B157-7CFB19BA4662}"/>
    <hyperlink ref="B1172" r:id="rId2051" display="https://www.google.com/url?q=https://oj.uz/problems/source/307&amp;sa=D&amp;ust=1605639832554000&amp;usg=AFQjCNF-PoGbsh7aKcugF6hROj09lzz8wA" xr:uid="{97E33D83-3AFD-4A3B-BD00-00FCDA760055}"/>
    <hyperlink ref="F1172" r:id="rId2052" display="https://www.google.com/url?q=https://github.com/mostafa-saad/MyCompetitiveProgramming/blob/master/Olympiad/JOI/JOI-18-commuterpass.txt&amp;sa=D&amp;ust=1605639832554000&amp;usg=AFQjCNFrIA70L9e4F_wqGNOaHSxj5xythQ" xr:uid="{4CF77811-0AD9-4EA9-9DD0-A99C9D2EC6EC}"/>
    <hyperlink ref="B1173" r:id="rId2053" display="https://www.google.com/url?q=https://oj.uz/problems/source/307&amp;sa=D&amp;ust=1605639832555000&amp;usg=AFQjCNFjVKWV_HCyKF4MAw2K59RBEtSj8g" xr:uid="{B103E4DD-CDDF-477C-8A94-E6FC4D65C23D}"/>
    <hyperlink ref="F1173" r:id="rId2054" display="https://www.google.com/url?q=https://github.com/mostafa-saad/MyCompetitiveProgramming/blob/master/Olympiad/JOI/JOI-18-Dangomaker.txt&amp;sa=D&amp;ust=1605639832555000&amp;usg=AFQjCNFbSDVTPOXzk1GKJM4ST2iiS8OqhA" xr:uid="{E75F781D-6DD3-4F59-8E0A-7BAF94F6B60A}"/>
    <hyperlink ref="B1174" r:id="rId2055" display="https://www.google.com/url?q=https://oj.uz/problem/view/JOI18_snake_escaping&amp;sa=D&amp;ust=1605639832556000&amp;usg=AFQjCNFdcpzrUTtrk2iVwAgRb7VtCTOqJg" xr:uid="{17301175-D5E1-4EB9-9754-CE517080B1E1}"/>
    <hyperlink ref="F1174" r:id="rId2056" display="https://www.google.com/url?q=https://github.com/mostafa-saad/MyCompetitiveProgramming/blob/master/Olympiad/JOI/JOI-18-snakeescaping.txt&amp;sa=D&amp;ust=1605639832557000&amp;usg=AFQjCNE5OFWOAh7fBhZYR7M2bqZKy_A6BA" xr:uid="{FF0E626C-B351-4DA8-A97B-B53073C4976A}"/>
    <hyperlink ref="B1175" r:id="rId2057" display="https://www.google.com/url?q=https://oj.uz/problems/source/307&amp;sa=D&amp;ust=1605639832557000&amp;usg=AFQjCNE2QHiLjS6ukwdRionbewTazYqYjw" xr:uid="{289038D0-0435-4425-AEDF-291E56D38136}"/>
    <hyperlink ref="F1175" r:id="rId2058" display="https://www.google.com/url?q=https://github.com/tmwilliamlin168/CompetitiveProgramming/tree/master/JOI&amp;sa=D&amp;ust=1605639832557000&amp;usg=AFQjCNE2eSHxGQBWc3pI4Y9UqoA3Ovtyew" xr:uid="{81CC320A-5B77-43C5-86F3-4B11541115F8}"/>
    <hyperlink ref="B1176" r:id="rId2059" display="https://www.google.com/url?q=https://oj.uz/problem/view/JOI19_ho_t1&amp;sa=D&amp;ust=1605639832557000&amp;usg=AFQjCNFwIaCXfvbVLoZiSDguB5WEfmz8xA" xr:uid="{3D4036AC-6FA8-45C5-A625-F6EEF823117D}"/>
    <hyperlink ref="B1177" r:id="rId2060" display="https://www.google.com/url?q=https://oj.uz/problem/view/JOI19_ho_t4&amp;sa=D&amp;ust=1605639832558000&amp;usg=AFQjCNEmnAO6QUOQcH296_IvOECC2K02hQ" xr:uid="{5D63DE27-3FDB-4349-AC26-4C3D6C92FE8D}"/>
    <hyperlink ref="F1177" r:id="rId2061" display="https://www.google.com/url?q=https://github.com/mostafa-saad/MyCompetitiveProgramming/blob/master/Olympiad/JOI/JOI-19-Coin.txt&amp;sa=D&amp;ust=1605639832558000&amp;usg=AFQjCNGik8t3bcZU_CE7w1T6AZ1_zpPuJQ" xr:uid="{334FCF9D-7E51-4449-8E23-1DF2E3024A4B}"/>
    <hyperlink ref="B1178" r:id="rId2062" display="https://www.google.com/url?q=https://oj.uz/problem/view/JOI19_ho_t2&amp;sa=D&amp;ust=1605639832558000&amp;usg=AFQjCNFlFRWU5EVBBM1DAQaEX9FS75tCSg" xr:uid="{6DC17F6E-3FB9-4DA0-9720-01C56C5A73C8}"/>
    <hyperlink ref="B1179" r:id="rId2063" display="https://www.google.com/url?q=https://oj.uz/problem/view/JOI19_ho_t3&amp;sa=D&amp;ust=1605639832559000&amp;usg=AFQjCNGMUa5YmSpJ2lcpqhGWovW4c2BlAw" xr:uid="{494CC502-5024-4214-8333-C944748B9F17}"/>
    <hyperlink ref="F1179" r:id="rId2064" display="https://www.google.com/url?q=https://github.com/mostafa-saad/MyCompetitiveProgramming/blob/master/Olympiad/JOI/JOI-19-GrowingVegetable.txt&amp;sa=D&amp;ust=1605639832559000&amp;usg=AFQjCNEIc0YejZgZCy8GyH9fnf4t2zj_nQ" xr:uid="{A47A9BAC-E59F-40B7-9E98-A15DD2D4E249}"/>
    <hyperlink ref="B1180" r:id="rId2065" display="https://www.google.com/url?q=https://oj.uz/problem/view/JOI19_ho_t5&amp;sa=D&amp;ust=1605639832559000&amp;usg=AFQjCNGZJqTyMhDJo5T5kHStSZxOQopUIg" xr:uid="{6ACD551F-FF6F-4990-B683-BBC01E883318}"/>
    <hyperlink ref="B1181" r:id="rId2066" display="https://www.google.com/url?q=https://oj.uz/problem/view/JOI20_ho_t3&amp;sa=D&amp;ust=1605639832559000&amp;usg=AFQjCNGBQ2vzP7spNHDRCNYPK-FFVTkMOA" xr:uid="{32BB83CD-B6AB-460A-8CBA-683F2FF5350B}"/>
    <hyperlink ref="F1181" r:id="rId2067" display="https://www.google.com/url?q=https://github.com/mostafa-saad/MyCompetitiveProgramming/blob/master/Olympiad/JOI/JOI-20-CollectingStamps3.txt&amp;sa=D&amp;ust=1605639832559000&amp;usg=AFQjCNFDhY0ETlYAcs2dMjqt3F2QCq7Ptw" xr:uid="{375EEEB3-BA0D-4578-952A-D91BA8C35994}"/>
    <hyperlink ref="B1182" r:id="rId2068" display="https://www.google.com/url?q=https://oj.uz/problem/view/JOI20_ho_t5&amp;sa=D&amp;ust=1605639832560000&amp;usg=AFQjCNEyb-8cMVg0_DoldJNFuWIOnz6jqQ" xr:uid="{5B4B10BB-AAD4-4A50-9484-6FE0224F7E8A}"/>
    <hyperlink ref="F1182" r:id="rId2069" display="https://www.google.com/url?q=https://github.com/mostafa-saad/MyCompetitiveProgramming/tree/master/Olympiad/JOI/official/JOI/2020&amp;sa=D&amp;ust=1605639832560000&amp;usg=AFQjCNHt_EJHLtlIHP1LHe6ZoLSVDTW5zw" xr:uid="{8A26EFE3-D8FD-4BE8-84CC-3F56603384F5}"/>
    <hyperlink ref="B1183" r:id="rId2070" display="https://www.google.com/url?q=https://oj.uz/problem/view/JOI20_ho_t2&amp;sa=D&amp;ust=1605639832560000&amp;usg=AFQjCNG23-slh7ZLdLLTvia0n0BslDfGoA" xr:uid="{5007D2B1-C6AC-4F18-8CED-EA98F56168D6}"/>
    <hyperlink ref="F1183" r:id="rId2071" display="https://www.google.com/url?q=https://github.com/dolphingarlic/CompetitiveProgramming/blob/master/JOI/JOI%252020-jjooii.cpp&amp;sa=D&amp;ust=1605639832560000&amp;usg=AFQjCNHl6-1KLrE7Ih92vt5PVQaDp1JiTg" xr:uid="{AD795C1C-D089-4CA4-9914-0BE5EEACD0E0}"/>
    <hyperlink ref="B1184" r:id="rId2072" display="https://www.google.com/url?q=https://oj.uz/problem/view/JOI20_ho_t1&amp;sa=D&amp;ust=1605639832560000&amp;usg=AFQjCNHm3OsIPOBtQyX5dbeIggNRDhxP-A" xr:uid="{51AD8739-B2A7-4881-94B8-0716425ABE3F}"/>
    <hyperlink ref="F1184" r:id="rId2073" display="https://www.google.com/url?q=https://github.com/dolphingarlic/CompetitiveProgramming/blob/master/JOI/JOI%252020-neckties.cpp&amp;sa=D&amp;ust=1605639832560000&amp;usg=AFQjCNEJs0rGYCvDXufCDC6RoXTRFnkyKA" xr:uid="{4D44E8F7-8261-4925-B350-C5451CC57C64}"/>
    <hyperlink ref="B1185" r:id="rId2074" display="https://www.google.com/url?q=https://oj.uz/problem/view/JOI20_ho_t4&amp;sa=D&amp;ust=1605639832561000&amp;usg=AFQjCNFmv5Ke3QDL3gcZmSTMXCC5J212wg" xr:uid="{DADC0D66-5374-4D4F-9757-542D8C96130D}"/>
    <hyperlink ref="F1185" r:id="rId2075" display="https://www.google.com/url?q=https://github.com/mostafa-saad/MyCompetitiveProgramming/tree/master/Olympiad/JOI/official/JOI/2020&amp;sa=D&amp;ust=1605639832561000&amp;usg=AFQjCNEwJLJNr8RMGGU-fTnrl8w4ttHfpg" xr:uid="{39E4C132-0382-49EA-999D-AA321831AD6C}"/>
    <hyperlink ref="B1186" r:id="rId2076" display="https://www.google.com/url?q=https://oj.uz/problems/source/6&amp;sa=D&amp;ust=1605639832561000&amp;usg=AFQjCNGAc7VTu_qmOC2c0_F7dVsYRWH02A" xr:uid="{EE87123B-8223-48B2-82BC-3BB70229777A}"/>
    <hyperlink ref="B1187" r:id="rId2077" display="https://www.google.com/url?q=https://oj.uz/problems/source/6&amp;sa=D&amp;ust=1605639832561000&amp;usg=AFQjCNGAc7VTu_qmOC2c0_F7dVsYRWH02A" xr:uid="{E663D96E-C441-4DDF-999C-6B7A75D2A6A4}"/>
    <hyperlink ref="F1187" r:id="rId2078" display="https://www.google.com/url?q=https://github.com/mostafa-saad/MyCompetitiveProgramming/blob/master/Olympiad/JOI/JOIOC-13-synchronization.txt&amp;sa=D&amp;ust=1605639832561000&amp;usg=AFQjCNFnQM3GFMla1FwOitr04SQ1XJc7eA" xr:uid="{93638A83-317B-4278-A197-6B0B0C0052EC}"/>
    <hyperlink ref="B1188" r:id="rId2079" display="https://www.google.com/url?q=https://oj.uz/problems/source/6&amp;sa=D&amp;ust=1605639832562000&amp;usg=AFQjCNE4Psmux-hVvWHiURP7bpy7_yPXgw" xr:uid="{063917F8-4075-440A-BD01-EC4826BBF91F}"/>
    <hyperlink ref="F1188" r:id="rId2080" display="https://www.google.com/url?q=https://github.com/mostafa-saad/MyCompetitiveProgramming/blob/master/Olympiad/JOI/JOIOC-13-Watching.txt&amp;sa=D&amp;ust=1605639832562000&amp;usg=AFQjCNGDuQ_QZCEHJu4BwhGlwWzICELfjA" xr:uid="{CD18DB4A-3A80-4C40-BCF4-881C6CE09E22}"/>
    <hyperlink ref="B1189" r:id="rId2081" display="https://www.google.com/url?q=https://oj.uz/problem/view/JOI14_factories&amp;sa=D&amp;ust=1605639832562000&amp;usg=AFQjCNF1MXObE_zu1hbv3AwL6XOZ_N0TrQ" xr:uid="{FB1B66F0-A41F-48C2-9F11-EC5E08EE126C}"/>
    <hyperlink ref="F1189" r:id="rId2082" display="https://www.google.com/url?q=https://github.com/Yehezkiel01/CompetitiveProgramming/blob/master/JOIOC/JOIOC-14-factories.cpp&amp;sa=D&amp;ust=1605639832562000&amp;usg=AFQjCNE7gUnoHZnHv4qV2sAiYkQdcHfadA" xr:uid="{0D7A6F72-5B0D-42DA-9A0D-454E4D3C0430}"/>
    <hyperlink ref="B1190" r:id="rId2083" display="https://www.google.com/url?q=https://oj.uz/problems/source/55&amp;sa=D&amp;ust=1605639832562000&amp;usg=AFQjCNFrFaaz9F8UfXBGR_hwE3yuEH98-Q" xr:uid="{01C688D2-F7AF-41BA-8476-0949854048EC}"/>
    <hyperlink ref="B1191" r:id="rId2084" display="https://www.google.com/url?q=https://oj.uz/problems/source/56&amp;sa=D&amp;ust=1605639832562000&amp;usg=AFQjCNF8TwXq89QLYxU7QcPFZMMY_b9hgg" xr:uid="{097A61FC-D92D-4313-8D8B-9185FDA2413A}"/>
    <hyperlink ref="B1192" r:id="rId2085" display="https://www.google.com/url?q=https://oj.uz/problems/source/56&amp;sa=D&amp;ust=1605639832563000&amp;usg=AFQjCNFyjqJisrIDTjXQ-ANQrgnmj48XmQ" xr:uid="{6C2CF581-2B70-46B6-B547-E2805A9D89AA}"/>
    <hyperlink ref="F1192" r:id="rId2086" display="https://www.google.com/url?q=https://github.com/SpeedOfMagic/CompetitiveProgramming/blob/master/JOIOC/14-pinball.cpp&amp;sa=D&amp;ust=1605639832564000&amp;usg=AFQjCNG4hF1ccze7D3Ltw4e60RedMfdesg" xr:uid="{354DE49B-48BB-4FA7-937F-ECC8BCD2661C}"/>
    <hyperlink ref="B1193" r:id="rId2087" display="https://www.google.com/url?q=https://oj.uz/problems/source/56&amp;sa=D&amp;ust=1605639832564000&amp;usg=AFQjCNE2UfrrkoK_3FdoGaKesuGhK_0auQ" xr:uid="{1A6110FD-E4B3-415F-8EFD-8D2F709BEA3A}"/>
    <hyperlink ref="F1193" r:id="rId2088" display="https://www.google.com/url?q=https://github.com/Yehezkiel01/CompetitiveProgramming/blob/master/JOIOC/JOIOC-14-secret.cpp&amp;sa=D&amp;ust=1605639832564000&amp;usg=AFQjCNEPNhb9bwTiju7o83YksuRwjh4JSg" xr:uid="{8C0263E6-D3AF-4203-B6E1-E0B929F3CC2F}"/>
    <hyperlink ref="B1194" r:id="rId2089" display="https://www.google.com/url?q=https://oj.uz/problem/view/JOI14_space_pirate&amp;sa=D&amp;ust=1605639832564000&amp;usg=AFQjCNEz78efSZA3GGixA84buE8_QjnEXg" xr:uid="{41EB2835-0289-4B72-8AFA-EE56BF5A73CB}"/>
    <hyperlink ref="B1195" r:id="rId2090" display="https://www.google.com/url?q=https://oj.uz/problems/source/214&amp;sa=D&amp;ust=1605639832565000&amp;usg=AFQjCNHEDLpt47Wl5XOOnQyOgnCHvNeRoA" xr:uid="{D6934A17-020A-43EC-9E15-C10482613354}"/>
    <hyperlink ref="B1196" r:id="rId2091" display="https://www.google.com/url?q=https://oj.uz/problem/view/JOI15_election_campaign&amp;sa=D&amp;ust=1605639832565000&amp;usg=AFQjCNFl3sdoPer2l0b5vl5LSGHWqCJDAw" xr:uid="{3A70931E-DC13-4365-806F-71490CE2DFBE}"/>
    <hyperlink ref="B1197" r:id="rId2092" display="https://www.google.com/url?q=https://oj.uz/problem/view/JOI15_sterilizing&amp;sa=D&amp;ust=1605639832566000&amp;usg=AFQjCNFBWwF1F0TtRK3rDk4GGtPr-PptLA" xr:uid="{01064B53-8C5F-467F-B24A-18D92B0DA922}"/>
    <hyperlink ref="F1197" r:id="rId2093" display="https://www.google.com/url?q=https://github.com/SpeedOfMagic/CompetitiveProgramming/blob/master/JOIOC/15-sterilizing.cpp&amp;sa=D&amp;ust=1605639832566000&amp;usg=AFQjCNH5YdZT74vHOL72I_yo2zJqQ8fQPA" xr:uid="{18806A46-ADE6-4BE0-BC13-BBD22C2ECDA0}"/>
    <hyperlink ref="B1198" r:id="rId2094" display="https://www.google.com/url?q=https://oj.uz/problem/view/JOI16_joiris&amp;sa=D&amp;ust=1605639832566000&amp;usg=AFQjCNEHpvejLyM8MajNjp72P3Jy8l56VQ" xr:uid="{11D8B3CE-E9EF-48B7-A687-BCBF6F118579}"/>
    <hyperlink ref="F1198" r:id="rId2095" display="https://www.google.com/url?q=https://github.com/mostafa-saad/MyCompetitiveProgramming/blob/master/Olympiad/JOI/JOIOC-16-joiris.txt&amp;sa=D&amp;ust=1605639832567000&amp;usg=AFQjCNFuzcJz0GI1N51yu_NdGhTf2tMclA" xr:uid="{FDE4D64C-570F-499D-BA13-F6C99CDAFBF8}"/>
    <hyperlink ref="B1199" r:id="rId2096" display="https://www.google.com/url?q=https://oj.uz/problems/source/213&amp;sa=D&amp;ust=1605639832567000&amp;usg=AFQjCNHp3J7PitlM7YsbyxH_k8SJ9Sbvsw" xr:uid="{27AEECBC-F3C0-4C29-9DB1-A54F0A3E2CB7}"/>
    <hyperlink ref="F1199" r:id="rId2097" display="https://www.google.com/url?q=https://github.com/mostafa-saad/MyCompetitiveProgramming/blob/master/Olympiad/JOI/JOIOC-16-selling_rna.txt&amp;sa=D&amp;ust=1605639832567000&amp;usg=AFQjCNGSIRvfO20-FrVFRqSfep0b6h-qcQ" xr:uid="{0D9845A0-338F-424B-830E-F5AD9CC9AA2A}"/>
    <hyperlink ref="B1200" r:id="rId2098" display="https://www.google.com/url?q=https://oj.uz/problems/source/213&amp;sa=D&amp;ust=1605639832567000&amp;usg=AFQjCNHp3J7PitlM7YsbyxH_k8SJ9Sbvsw" xr:uid="{6CAB280D-86C2-428D-9359-284E893AAECC}"/>
    <hyperlink ref="F1200" r:id="rId2099" display="https://www.google.com/url?q=http://codeforces.com/blog/entry/47764&amp;sa=D&amp;ust=1605639832568000&amp;usg=AFQjCNGaF5uvWU0PVHa9iT0tyZAWfjN9hg" xr:uid="{AC56980D-7E47-4E75-8D82-D717831B18CC}"/>
    <hyperlink ref="B1201" r:id="rId2100" display="https://www.google.com/url?q=https://oj.uz/problem/view/JOI17_amusement_park&amp;sa=D&amp;ust=1605639832568000&amp;usg=AFQjCNGGO7LUsSXHYJGnTBpSQrl3RUqsBA" xr:uid="{22084B11-02E6-4FB5-95CE-3556443AF63D}"/>
    <hyperlink ref="F1201" r:id="rId2101" display="https://www.google.com/url?q=https://github.com/mostafa-saad/MyCompetitiveProgramming/blob/master/Olympiad/JOI/JOIOC-17-amusementPark.txt&amp;sa=D&amp;ust=1605639832568000&amp;usg=AFQjCNEGVQpg3zduABVh6LzADbCb1kU3VQ" xr:uid="{06D4F65C-6819-4796-8010-D0FD340CE494}"/>
    <hyperlink ref="B1202" r:id="rId2102" display="https://www.google.com/url?q=https://oj.uz/problems/source/270&amp;sa=D&amp;ust=1605639832569000&amp;usg=AFQjCNHTT1SmjfRhcoxClLysPL6osa9_vA" xr:uid="{5EFA7186-07D9-4786-9999-CA476AB55A36}"/>
    <hyperlink ref="F1202" r:id="rId2103" display="https://www.google.com/url?q=https://github.com/mostafa-saad/MyCompetitiveProgramming/blob/master/Olympiad/JOI/JOIOC-17-bulldozer.txt&amp;sa=D&amp;ust=1605639832569000&amp;usg=AFQjCNHmjBRR4RH8ALfvCiGplS2ZUA8kwg" xr:uid="{27597EB2-3537-449B-96AA-7F6360031530}"/>
    <hyperlink ref="B1203" r:id="rId2104" display="https://www.google.com/url?q=https://oj.uz/problems/source/270&amp;sa=D&amp;ust=1605639832569000&amp;usg=AFQjCNHTT1SmjfRhcoxClLysPL6osa9_vA" xr:uid="{CC2BCB63-A94B-4A99-9A7A-B9431593B013}"/>
    <hyperlink ref="B1204" r:id="rId2105" display="https://www.google.com/url?q=https://oj.uz/problem/view/JOI18_bubblesort2&amp;sa=D&amp;ust=1605639832570000&amp;usg=AFQjCNHPg7J07-z9ag31AQzUZBNaMnYL2g" xr:uid="{79C4A82A-9665-4E80-AC2B-63293DC90C3F}"/>
    <hyperlink ref="F1204" r:id="rId2106" display="https://www.google.com/url?q=https://github.com/mostafa-saad/MyCompetitiveProgramming/blob/master/Olympiad/JOI/JOIOC-18-bubblesort2.txt&amp;sa=D&amp;ust=1605639832570000&amp;usg=AFQjCNFLuZ2szpiMCSROqPpxrf21wqiYyQ" xr:uid="{139ADC25-BAE5-4AF1-9DDD-8461B8E8964A}"/>
    <hyperlink ref="B1205" r:id="rId2107" display="https://www.google.com/url?q=https://oj.uz/problems/source/351&amp;sa=D&amp;ust=1605639832570000&amp;usg=AFQjCNF8d6n6BLA73QzbAVt46gAw5aNOEQ" xr:uid="{372873F9-00AA-42DC-B024-582B52FCD6E6}"/>
    <hyperlink ref="F1205" r:id="rId2108" display="https://www.google.com/url?q=https://github.com/mostafa-saad/MyCompetitiveProgramming/tree/master/Olympiad/JOI/official/JOIOC/2018&amp;sa=D&amp;ust=1605639832571000&amp;usg=AFQjCNHEEECrSxJgWWfd86jxnsVSfEnOSA" xr:uid="{918A9AED-3028-4997-9B23-181247CE518F}"/>
    <hyperlink ref="B1206" r:id="rId2109" display="https://www.google.com/url?q=https://oj.uz/problems/source/351&amp;sa=D&amp;ust=1605639832571000&amp;usg=AFQjCNFSuXSNw7thEkb42MiTbcc1DtK7Mw" xr:uid="{006ADAB8-BA6D-4E9C-80EA-85E577AD8DE3}"/>
    <hyperlink ref="F1206" r:id="rId2110" display="https://www.google.com/url?q=https://github.com/mostafa-saad/MyCompetitiveProgramming/tree/master/Olympiad/JOI/official/JOIOC/2018&amp;sa=D&amp;ust=1605639832571000&amp;usg=AFQjCNHEEECrSxJgWWfd86jxnsVSfEnOSA" xr:uid="{48D59FA8-F909-446D-80B3-864E77537351}"/>
    <hyperlink ref="B1207" r:id="rId2111" display="https://www.google.com/url?q=https://oj.uz/problems/source/351&amp;sa=D&amp;ust=1605639832572000&amp;usg=AFQjCNFiychgQVVYhqpXZdHy9Z1gpBy_pw" xr:uid="{99CB9D31-547C-451F-B6B9-D2E09BE66F6D}"/>
    <hyperlink ref="F1207" r:id="rId2112" display="https://www.google.com/url?q=https://github.com/mostafa-saad/MyCompetitiveProgramming/blob/master/Olympiad/JOI/JOIOC-18-Xylophone.txt&amp;sa=D&amp;ust=1605639832572000&amp;usg=AFQjCNFaTkHBKk5YYiK0gDNcOGwtI5NlbA" xr:uid="{5C74AC29-187C-4F03-A7FB-FD281026DCC8}"/>
    <hyperlink ref="B1208" r:id="rId2113" display="https://www.google.com/url?q=https://oj.uz/problem/view/JOI19_jumps&amp;sa=D&amp;ust=1605639832572000&amp;usg=AFQjCNGZJt3snfMDqsHk5WWH0GSztqKF7Q" xr:uid="{25B276F2-55F3-43FC-B72E-2C5A88403CA7}"/>
    <hyperlink ref="F1208" r:id="rId2114" display="https://www.google.com/url?q=https://github.com/tmwilliamlin168/CompetitiveProgramming/blob/master/JOI/19O-Jumps.cpp&amp;sa=D&amp;ust=1605639832572000&amp;usg=AFQjCNE6goOFLkgyjYE6DKDFKM6M19UdAA" xr:uid="{5F65DF54-309A-4850-B9D7-74CC71803AE7}"/>
    <hyperlink ref="B1209" r:id="rId2115" display="https://www.google.com/url?q=https://oj.uz/problem/view/JOI19_remittance&amp;sa=D&amp;ust=1605639832573000&amp;usg=AFQjCNH8Ae59XpS22WLCTKv_jy2nJGj7IQ" xr:uid="{AAA2C8F9-FB01-425F-AE39-F58DA0A57699}"/>
    <hyperlink ref="F1209" r:id="rId2116" display="https://www.google.com/url?q=https://github.com/mostafa-saad/MyCompetitiveProgramming/blob/master/Olympiad/JOI/JOIOC-19-Remittance.txt&amp;sa=D&amp;ust=1605639832573000&amp;usg=AFQjCNEItHoVqst0fkJtwTCgngtHPaS9uA" xr:uid="{67683915-A274-4BB5-9A02-DFAEA7BCFD0E}"/>
    <hyperlink ref="B1210" r:id="rId2117" display="https://www.google.com/url?q=https://oj.uz/problem/view/JOI19_virus&amp;sa=D&amp;ust=1605639832573000&amp;usg=AFQjCNH01keW-oxyXPqFFFKJe8Ij3GO4eQ" xr:uid="{5C166EFB-5E6E-4753-8686-AAB1116F9F62}"/>
    <hyperlink ref="F1210" r:id="rId2118" display="https://www.google.com/url?q=https://github.com/tmwilliamlin168/CompetitiveProgramming/blob/master/JOI/19O-Virus.cpp&amp;sa=D&amp;ust=1605639832575000&amp;usg=AFQjCNF6xWUj5l52612gjpdwW1yeijaEQg" xr:uid="{9EF67289-46B9-4F10-9C65-409B50875B46}"/>
    <hyperlink ref="B1211" r:id="rId2119" display="https://www.google.com/url?q=https://joisc2013-day1.contest.atcoder.jp/tasks/joisc2013_bustour&amp;sa=D&amp;ust=1605639832576000&amp;usg=AFQjCNHTyBBdJYI6vNqUx4DPYmMF8tLnCw" xr:uid="{612561B0-361C-4EB5-AF7C-2799156C0D0B}"/>
    <hyperlink ref="B1212" r:id="rId2120" display="https://www.google.com/url?q=https://joisc2013-day3.contest.atcoder.jp/tasks/joisc2013_cake&amp;sa=D&amp;ust=1605639832576000&amp;usg=AFQjCNFmStR1jcsvxKYsbVRzGgPMymio1A" xr:uid="{025AD1C7-9F61-42DA-AF90-590FB99CEF6D}"/>
    <hyperlink ref="B1213" r:id="rId2121" display="https://www.google.com/url?q=https://joisc2013-day1.contest.atcoder.jp/tasks/joisc2013_collecting&amp;sa=D&amp;ust=1605639832577000&amp;usg=AFQjCNGlhXxIS4p5sUZVCwqjZwoVOuPL7g" xr:uid="{12FCD3CF-2BB6-48EE-B359-4833FBE543DB}"/>
    <hyperlink ref="B1214" r:id="rId2122" display="https://www.google.com/url?q=https://joisc2013-day2.contest.atcoder.jp/tasks/joisc2013_construction&amp;sa=D&amp;ust=1605639832577000&amp;usg=AFQjCNEbZJ43RN1upw78TNnt6vDqzOTiRw" xr:uid="{20BD02D0-979B-4936-8476-6C260D886C7E}"/>
    <hyperlink ref="B1215" r:id="rId2123" display="https://www.google.com/url?q=https://joisc2013-day1.contest.atcoder.jp/tasks/joisc2013_communication&amp;sa=D&amp;ust=1605639832578000&amp;usg=AFQjCNE-RKVufMFyNebjw7RrV5VrsVIfhw" xr:uid="{79A5CD19-D168-4C10-99A7-2E96F6F29042}"/>
    <hyperlink ref="B1216" r:id="rId2124" display="https://www.google.com/url?q=https://joisc2013-day2.contest.atcoder.jp/tasks/joisc2013_mascots&amp;sa=D&amp;ust=1605639832578000&amp;usg=AFQjCNFGEyHpDmgWQufi0r-GVQ9PXa6IfA" xr:uid="{DB87812B-1540-44F9-B36F-23AE20DFB229}"/>
    <hyperlink ref="B1217" r:id="rId2125" display="https://www.google.com/url?q=https://joisc2013-day4.contest.atcoder.jp/tasks/joisc2013_messenger&amp;sa=D&amp;ust=1605639832579000&amp;usg=AFQjCNHnmWnFFGL-ASt0ck5A4JR9dPNHBg" xr:uid="{D8A419FF-B682-4A94-9FB8-E4B189324B6E}"/>
    <hyperlink ref="B1218" r:id="rId2126" display="https://www.google.com/url?q=https://joisc2013-day3.contest.atcoder.jp/tasks/joisc2013_mountain&amp;sa=D&amp;ust=1605639832579000&amp;usg=AFQjCNFYY-teEVpi6hyrxPYCp3eZiYhBLw" xr:uid="{643747A1-0E43-4704-BD13-1C428502673A}"/>
    <hyperlink ref="B1219" r:id="rId2127" display="https://www.google.com/url?q=https://joisc2013-day1.contest.atcoder.jp/tasks/joisc2013_joi_poster&amp;sa=D&amp;ust=1605639832580000&amp;usg=AFQjCNE-dZ-SVJGURfhlBWATIxtSfgAjYg" xr:uid="{0506E0DE-1917-4872-97D8-629E190FD32B}"/>
    <hyperlink ref="B1220" r:id="rId2128" display="https://www.google.com/url?q=https://joisc2013-day4.contest.atcoder.jp/tasks/joisc2013_presents&amp;sa=D&amp;ust=1605639832580000&amp;usg=AFQjCNH5H5qJo6fKn5hqGjOINRej4TbG9w" xr:uid="{1CA063ED-089E-42E4-AECA-AD25FBCA7CF8}"/>
    <hyperlink ref="B1221" r:id="rId2129" display="https://www.google.com/url?q=https://joisc2013-day4.contest.atcoder.jp/tasks/joisc2013_spaceships&amp;sa=D&amp;ust=1605639832581000&amp;usg=AFQjCNFGTEI2GC-iZY1_uz1uoEtq4Mn9hg" xr:uid="{176CE8D5-7F49-46E5-BD64-A31CBB871BB7}"/>
    <hyperlink ref="B1222" r:id="rId2130" display="https://www.google.com/url?q=https://joisc2013-day2.contest.atcoder.jp/tasks/joisc2013_spy&amp;sa=D&amp;ust=1605639832581000&amp;usg=AFQjCNH2hHoF_rJhXhXQdeC8ajS_b_o7qw" xr:uid="{55763507-8D5C-460F-BDC9-38810F3574C5}"/>
    <hyperlink ref="B1223" r:id="rId2131" display="https://www.google.com/url?q=https://joisc2014.contest.atcoder.jp/tasks/joisc2014_e&amp;sa=D&amp;ust=1605639832582000&amp;usg=AFQjCNGn6cVAnqafKORWIFhU-HezI0HyUA" xr:uid="{F88A4111-2128-4EB2-B55B-CB3697505F66}"/>
    <hyperlink ref="B1224" r:id="rId2132" display="https://www.google.com/url?q=https://joisc2014.contest.atcoder.jp/tasks/joisc2014_a&amp;sa=D&amp;ust=1605639832582000&amp;usg=AFQjCNHOqo2h9zWxIh2MItbkZ6JF3rxQiQ" xr:uid="{6F053491-5CEC-44BD-8EA7-E39CFFF7B8BF}"/>
    <hyperlink ref="B1225" r:id="rId2133" display="https://www.google.com/url?q=https://joisc2014.contest.atcoder.jp/tasks/joisc2014_k&amp;sa=D&amp;ust=1605639832583000&amp;usg=AFQjCNE2_RPUTPWOleyelxSdfRrWmAB0xA" xr:uid="{9C48F6E2-7CDF-4802-9243-382512ACE212}"/>
    <hyperlink ref="B1226" r:id="rId2134" display="https://www.google.com/url?q=https://joisc2014.contest.atcoder.jp/tasks/joisc2014_f&amp;sa=D&amp;ust=1605639832583000&amp;usg=AFQjCNHPkwvHMAttdt1tOjmEDRgjoOj3KA" xr:uid="{C28796E4-7BA5-461F-AC43-9CF7CBE03D97}"/>
    <hyperlink ref="B1227" r:id="rId2135" display="https://www.google.com/url?q=https://joisc2014.contest.atcoder.jp/tasks/joisc2014_h&amp;sa=D&amp;ust=1605639832584000&amp;usg=AFQjCNEu4oGJvOYQf-xrvgkvX2Qra_EHvQ" xr:uid="{9772E3A0-2A13-46FD-8ABA-A4B68A0C5126}"/>
    <hyperlink ref="B1228" r:id="rId2136" display="https://www.google.com/url?q=https://joisc2014.contest.atcoder.jp/tasks/joisc2014_l&amp;sa=D&amp;ust=1605639832584000&amp;usg=AFQjCNH6YwBb09pBGbjZ8rV2H7HpJa5UbQ" xr:uid="{EA75AB79-425E-432A-80F3-9F118934F59D}"/>
    <hyperlink ref="B1229" r:id="rId2137" display="https://www.google.com/url?q=https://joisc2014.contest.atcoder.jp/tasks/joisc2014_d&amp;sa=D&amp;ust=1605639832585000&amp;usg=AFQjCNFoayYN7H6-DxRsXuNuurQV9tUF-w" xr:uid="{7D692DF4-B455-422C-B763-89FAF9197FB6}"/>
    <hyperlink ref="B1230" r:id="rId2138" display="https://www.google.com/url?q=https://joisc2014.contest.atcoder.jp/tasks/joisc2014_i&amp;sa=D&amp;ust=1605639832585000&amp;usg=AFQjCNFGWxGZ7LjjZVa7r2mvnp9d81A3Mg" xr:uid="{17A3DB2F-A657-4D07-9F47-4DD6082AE07D}"/>
    <hyperlink ref="B1231" r:id="rId2139" display="https://www.google.com/url?q=https://joisc2014.contest.atcoder.jp/tasks/joisc2014_g&amp;sa=D&amp;ust=1605639832586000&amp;usg=AFQjCNGlSiBF58abR3ug3JAaGblybk_fkg" xr:uid="{43CC24A3-B4B6-4C9F-AFAE-ED54D14DD5EB}"/>
    <hyperlink ref="B1232" r:id="rId2140" display="https://www.google.com/url?q=https://joisc2014.contest.atcoder.jp/tasks/joisc2014_m&amp;sa=D&amp;ust=1605639832589000&amp;usg=AFQjCNFGyJqxJs7Utvt95gKN5dp2zCmKrg" xr:uid="{4053A7BA-7A9B-4219-8F6A-42E73CAAE7CD}"/>
    <hyperlink ref="B1233" r:id="rId2141" display="https://www.google.com/url?q=https://joisc2014.contest.atcoder.jp/tasks/joisc2014_b&amp;sa=D&amp;ust=1605639832589000&amp;usg=AFQjCNHvm2SEuFBr6S33mdJhRci7W74qjg" xr:uid="{FAFD46C3-03F1-4D81-B70A-5CDE0080D3E2}"/>
    <hyperlink ref="B1234" r:id="rId2142" display="https://www.google.com/url?q=https://joisc2014.contest.atcoder.jp/tasks/joisc2014_j&amp;sa=D&amp;ust=1605639832590000&amp;usg=AFQjCNFGdGA9hOf6r_tuROlRAeiuVM_Zog" xr:uid="{709E2C9A-A1E7-4EB6-85E5-263FB549B75B}"/>
    <hyperlink ref="B1235" r:id="rId2143" display="https://www.google.com/url?q=https://dunjudge.me/analysis/problems/771/&amp;sa=D&amp;ust=1605639832590000&amp;usg=AFQjCNHr7s1y88Qt9s4XR1lWxy8C7nthBQ" xr:uid="{5C340DE9-26DB-4B81-9684-453E7AA16A83}"/>
    <hyperlink ref="B1236" r:id="rId2144" display="https://www.google.com/url?q=https://joisc2015.contest.atcoder.jp/tasks/joisc2015_e&amp;sa=D&amp;ust=1605639832590000&amp;usg=AFQjCNHehBiJs6d_MrgaluMpUAWmT1bBPQ" xr:uid="{1C84B54C-BB9B-4742-9FB2-CD261CD04A84}"/>
    <hyperlink ref="B1237" r:id="rId2145" display="https://www.google.com/url?q=https://joisc2015.contest.atcoder.jp/tasks/joisc2015_i&amp;sa=D&amp;ust=1605639832591000&amp;usg=AFQjCNEG72IA5bHr7j59klJSIHYKSDa1QA" xr:uid="{72F56060-4C73-47D2-AFA6-B0ACD3BC6B89}"/>
    <hyperlink ref="B1238" r:id="rId2146" display="https://www.google.com/url?q=https://joisc2015.contest.atcoder.jp/tasks/joisc2015_a&amp;sa=D&amp;ust=1605639832592000&amp;usg=AFQjCNEOI4V68kSVIwxAfx4ZG26EbttFIg" xr:uid="{580A78C7-EFCA-42F4-994F-75A671F0860B}"/>
    <hyperlink ref="B1239" r:id="rId2147" display="https://www.google.com/url?q=https://dunjudge.me/analysis/problems/732/&amp;sa=D&amp;ust=1605639832592000&amp;usg=AFQjCNGCUYLbXgS8dEcksqko0PYMG3493A" xr:uid="{FC32A656-6DBD-43F9-ACF9-89B4D675286C}"/>
    <hyperlink ref="F1239" r:id="rId2148" display="https://www.google.com/url?q=https://github.com/mostafa-saad/MyCompetitiveProgramming/blob/master/Olympiad/JOI/JOISC-15-inheritance.txt&amp;sa=D&amp;ust=1605639832592000&amp;usg=AFQjCNFuvwCzyCeSQDs-zkrjTVJpo5hC3Q" xr:uid="{3C9009F1-5FE8-4385-849E-C62DCBF7036D}"/>
    <hyperlink ref="B1240" r:id="rId2149" display="https://www.google.com/url?q=https://dunjudge.me/analysis/problems/742/&amp;sa=D&amp;ust=1605639832593000&amp;usg=AFQjCNF7OiQf1ciw_bWb7DSgtRqRE6duYQ" xr:uid="{AC2D44D9-D694-40DF-8555-4ACE5F75F209}"/>
    <hyperlink ref="B1241" r:id="rId2150" display="https://www.google.com/url?q=https://dunjudge.me/analysis/problems/751/&amp;sa=D&amp;ust=1605639832593000&amp;usg=AFQjCNG8UfuMlERyH66hsrmHvME0gdslig" xr:uid="{64E062B1-6D2B-4167-857F-33F5CEE7C4DF}"/>
    <hyperlink ref="B1242" r:id="rId2151" display="https://www.google.com/url?q=https://joisc2015.contest.atcoder.jp/tasks/joisc2015_b&amp;sa=D&amp;ust=1605639832594000&amp;usg=AFQjCNErQk_4JMNiCqJWcRKMqdYkvBxU0Q" xr:uid="{4E92F3BD-0F38-4275-AA12-41726B9B74A9}"/>
    <hyperlink ref="B1243" r:id="rId2152" display="https://www.google.com/url?q=https://dunjudge.me/analysis/problems/801/&amp;sa=D&amp;ust=1605639832594000&amp;usg=AFQjCNFN2FXtiZB9n_zOCY5p-xXQsC-qQw" xr:uid="{6BAB76A9-6087-4E6A-B656-1438B9782A30}"/>
    <hyperlink ref="B1244" r:id="rId2153" display="https://www.google.com/url?q=https://dunjudge.me/analysis/problems/762/&amp;sa=D&amp;ust=1605639832594000&amp;usg=AFQjCNFj90QyTpxxPs_qcbn7ZizUJLSHWQ" xr:uid="{07CD9FCC-4737-4042-B72B-424DAEA0B6D6}"/>
    <hyperlink ref="F1244" r:id="rId2154" display="https://www.google.com/url?q=https://ivaniscoding.wordpress.com/2018/08/25/communication-2-navigation/&amp;sa=D&amp;ust=1605639832595000&amp;usg=AFQjCNFg7nr-NnKkJM8Jc_V18H6dQYsdag" xr:uid="{508FE27A-7391-4B92-967B-E4E9145096BB}"/>
    <hyperlink ref="B1245" r:id="rId2155" display="https://www.google.com/url?q=https://joisc2015.contest.atcoder.jp/tasks/joisc2015_g&amp;sa=D&amp;ust=1605639832595000&amp;usg=AFQjCNFWbmQot8OesJiweFftGkES58gbvA" xr:uid="{79D16178-F875-47A2-B32E-6BE5896E623D}"/>
    <hyperlink ref="B1246" r:id="rId2156" display="https://www.google.com/url?q=https://joisc2015.contest.atcoder.jp/tasks/joisc2015_c&amp;sa=D&amp;ust=1605639832596000&amp;usg=AFQjCNFyRF4k3sKej-M9t5zNEnhsc_lbPw" xr:uid="{84AEDEF8-8B1E-4835-9807-704118D43C8F}"/>
    <hyperlink ref="B1247" r:id="rId2157" display="https://www.google.com/url?q=https://joisc2015.contest.atcoder.jp/tasks/joisc2015_m&amp;sa=D&amp;ust=1605639832596000&amp;usg=AFQjCNEXARcCFJeW7bMykAI5esjNH2-1hA" xr:uid="{7C4E61B9-E89E-435B-964E-AEB58AD14831}"/>
    <hyperlink ref="B1248" r:id="rId2158" display="https://www.google.com/url?q=https://joisc2016.contest.atcoder.jp/tasks/joisc2016_g&amp;sa=D&amp;ust=1605639832596000&amp;usg=AFQjCNFcgGue68FCprb_6M3LBlnbIDVMwA" xr:uid="{56A4CAEA-72AE-4BCE-AE54-D8F4B6A28821}"/>
    <hyperlink ref="B1249" r:id="rId2159" display="https://www.google.com/url?q=https://joisc2016.contest.atcoder.jp/tasks/joisc2016_d&amp;sa=D&amp;ust=1605639832597000&amp;usg=AFQjCNG9FGYt8cIhNweuEkrcRtA84FqD9w" xr:uid="{1706380B-AE52-4747-84E4-9A483F1BA828}"/>
    <hyperlink ref="B1250" r:id="rId2160" display="https://www.google.com/url?q=https://joisc2016.contest.atcoder.jp/tasks/joisc2016_a&amp;sa=D&amp;ust=1605639832597000&amp;usg=AFQjCNEJZDiZ2refF9X4HyLNOdQMuzaZKQ" xr:uid="{E34F1D81-862B-4A64-93AD-911A31C6CCC2}"/>
    <hyperlink ref="B1251" r:id="rId2161" display="https://www.google.com/url?q=https://joisc2016.contest.atcoder.jp/tasks/joisc2016_b&amp;sa=D&amp;ust=1605639832598000&amp;usg=AFQjCNHH78abjbMa4-oQPcXP8JQ7Zp_YFw" xr:uid="{60034169-B1F3-4127-90AE-172FCB638D3C}"/>
    <hyperlink ref="B1252" r:id="rId2162" display="https://www.google.com/url?q=https://joisc2016.contest.atcoder.jp/tasks/joisc2016_l&amp;sa=D&amp;ust=1605639832598000&amp;usg=AFQjCNFgYz2hJP1jNPN5pkSxxJd2NlPKqw" xr:uid="{09A39FC0-E599-411D-B435-4270D4BAAD53}"/>
    <hyperlink ref="B1253" r:id="rId2163" display="https://www.google.com/url?q=https://joisc2016.contest.atcoder.jp/tasks/joisc2016_e&amp;sa=D&amp;ust=1605639832599000&amp;usg=AFQjCNGp6eEFaoLTXpROWMxsBC6bzz5CpA" xr:uid="{95103CF9-B883-4C75-A801-1ACA218C0E29}"/>
    <hyperlink ref="B1254" r:id="rId2164" display="https://www.google.com/url?q=https://joisc2016.contest.atcoder.jp/tasks/joisc2016_j&amp;sa=D&amp;ust=1605639832600000&amp;usg=AFQjCNEAH9VxxTgWg2qlQH19tVxJimTbDQ" xr:uid="{BAF9BFC3-6A1C-46C2-BEAF-DFDF11EB8DCB}"/>
    <hyperlink ref="B1255" r:id="rId2165" display="https://www.google.com/url?q=https://joisc2016.contest.atcoder.jp/tasks/joisc2016_k&amp;sa=D&amp;ust=1605639832601000&amp;usg=AFQjCNH839stVes8g8lAnNv81pv7itFu2w" xr:uid="{CB82F8E6-E38A-4CD6-972D-387951F877B7}"/>
    <hyperlink ref="B1256" r:id="rId2166" display="https://www.google.com/url?q=https://joisc2016.contest.atcoder.jp/tasks/joisc2016_c&amp;sa=D&amp;ust=1605639832601000&amp;usg=AFQjCNFgN3F1iqcEdjzzWA88RKm6ztjprw" xr:uid="{003B5AD0-D468-44A8-B815-B0A74E01170A}"/>
    <hyperlink ref="B1257" r:id="rId2167" display="https://www.google.com/url?q=https://joisc2016.contest.atcoder.jp/tasks/joisc2016_h&amp;sa=D&amp;ust=1605639832602000&amp;usg=AFQjCNHuXOfxue3YsMLfDn7bi7A-gn5KtQ" xr:uid="{85EDE27D-9F88-48B5-8396-B79FD834A113}"/>
    <hyperlink ref="B1258" r:id="rId2168" display="https://www.google.com/url?q=https://joisc2016.contest.atcoder.jp/tasks/joisc2016_i&amp;sa=D&amp;ust=1605639832602000&amp;usg=AFQjCNGo717qD56ZGWFnzNSLx3SPSpYFFQ" xr:uid="{2761FC54-5E09-4214-B67C-D23C302A516D}"/>
    <hyperlink ref="B1259" r:id="rId2169" display="https://www.google.com/url?q=https://joisc2016.contest.atcoder.jp/tasks/joisc2016_f&amp;sa=D&amp;ust=1605639832603000&amp;usg=AFQjCNGUG5hhNbIAxUdqTOimCsDEWYwiIw" xr:uid="{39E8F36B-9E96-459D-8961-BCAEB4088F57}"/>
    <hyperlink ref="B1260" r:id="rId2170" display="https://www.google.com/url?q=https://oj.uz/problem/view/JOI17_abduction2&amp;sa=D&amp;ust=1605639832603000&amp;usg=AFQjCNFay8838WRUDG1mdX4fNZ99KF4-KQ" xr:uid="{7AC5DA6E-2298-4D30-9E40-013F3F0A7528}"/>
    <hyperlink ref="F1260" r:id="rId2171" display="https://www.google.com/url?q=https://github.com/mostafa-saad/MyCompetitiveProgramming/blob/master/Olympiad/JOI/JOISC-17-abduction2.txt&amp;sa=D&amp;ust=1605639832603000&amp;usg=AFQjCNFCNSSkcLa2nHOHZyqH91ryDj1vtQ" xr:uid="{88DB7538-E5A3-4F89-8D86-F31B1767E80C}"/>
    <hyperlink ref="B1261" r:id="rId2172" display="https://www.google.com/url?q=https://oj.uz/problem/view/JOI17_arranging_tickets&amp;sa=D&amp;ust=1605639832604000&amp;usg=AFQjCNGnAXXhQTZjZdR2ClmxbP_EnAvAmg" xr:uid="{24270FF5-65BD-4B47-9FFB-C18CCB1A0B08}"/>
    <hyperlink ref="F1261" r:id="rId2173" display="https://www.google.com/url?q=https://github.com/mostafa-saad/MyCompetitiveProgramming/blob/master/Olympiad/JOI/JOISC-17-arranging_tickets.txt&amp;sa=D&amp;ust=1605639832604000&amp;usg=AFQjCNH1cIRyei8e7aHscjduXzy1-HnJTw" xr:uid="{848ECC96-0031-4C9E-9AF1-7ACA94A07EAA}"/>
    <hyperlink ref="B1262" r:id="rId2174" display="https://www.google.com/url?q=https://oj.uz/problem/view/JOI17_broken_device&amp;sa=D&amp;ust=1605639832604000&amp;usg=AFQjCNG8fsETSRUE6LEJsNs5e1z-2pt9fA" xr:uid="{B32C3B03-4111-4BDB-A410-7533F2434A31}"/>
    <hyperlink ref="F1262" r:id="rId2175" display="https://www.google.com/url?q=https://ivaniscoding.wordpress.com/2018/08/25/communication-3-broken-device/&amp;sa=D&amp;ust=1605639832604000&amp;usg=AFQjCNFdJJxAuhx6H6NfUGRfqYcMJfDKkw" xr:uid="{44F2DDA0-84A4-41D8-AF44-2AB5C305CD00}"/>
    <hyperlink ref="B1263" r:id="rId2176" display="https://www.google.com/url?q=https://oj.uz/problem/view/JOI17_city&amp;sa=D&amp;ust=1605639832605000&amp;usg=AFQjCNHC28X5GEwbB98aIRTc60jil_k7Zw" xr:uid="{E59102FF-1579-4078-96F2-B6F25F0C982A}"/>
    <hyperlink ref="F1263" r:id="rId2177" display="https://www.google.com/url?q=https://github.com/mostafa-saad/MyCompetitiveProgramming/blob/master/Olympiad/JOI/JOISC-17-city.txt&amp;sa=D&amp;ust=1605639832605000&amp;usg=AFQjCNE__kqL9Xst3W9Asx3C0uJKCft1aQ" xr:uid="{5AEC7BEF-3A47-4E21-9711-723836BAA948}"/>
    <hyperlink ref="B1264" r:id="rId2178" display="https://www.google.com/url?q=https://oj.uz/problem/view/JOI17_coach&amp;sa=D&amp;ust=1605639832605000&amp;usg=AFQjCNHCB_9rAujDqJ05ShH8jYzN1Uso2A" xr:uid="{63825EC2-6067-48EF-9E33-715941F4BA28}"/>
    <hyperlink ref="F1264" r:id="rId2179" display="https://www.google.com/url?q=https://github.com/tmwilliamlin168/CompetitiveProgramming/blob/master/JOI/17SC-Coach.cpp&amp;sa=D&amp;ust=1605639832606000&amp;usg=AFQjCNHlTskZ49KJRIlVnlWHVKEPmTNKTg" xr:uid="{045F2314-52E9-4C6F-8D10-9BC064A3932A}"/>
    <hyperlink ref="B1265" r:id="rId2180" display="https://www.google.com/url?q=https://oj.uz/problem/view/JOI17_cultivation&amp;sa=D&amp;ust=1605639832606000&amp;usg=AFQjCNFFzn8ZI3NRKGUNCNcE1bMwSYTKxQ" xr:uid="{CAD39E3C-A3C0-4C96-8FDF-C7536EA90120}"/>
    <hyperlink ref="F1265" r:id="rId2181" display="https://www.google.com/url?q=https://github.com/mostafa-saad/MyCompetitiveProgramming/blob/master/Olympiad/JOI/official/JOISC/2017/2017.txt&amp;sa=D&amp;ust=1605639832606000&amp;usg=AFQjCNHPfJce74FwOlEu6bwsvfcNs3VuGA" xr:uid="{9C66CA07-6F99-4C18-AB47-843F8544E55A}"/>
    <hyperlink ref="B1266" r:id="rId2182" display="https://www.google.com/url?q=https://oj.uz/problem/view/JOI17_dragon2&amp;sa=D&amp;ust=1605639832606000&amp;usg=AFQjCNFLgIkbnrlA-fT1kAWZt7fzeYZcRg" xr:uid="{F31F3AB0-1AFA-4913-8E9C-FCB8401D6C66}"/>
    <hyperlink ref="F1266" r:id="rId2183" display="https://www.google.com/url?q=https://github.com/mostafa-saad/MyCompetitiveProgramming/blob/master/Olympiad/POI/JOI/JOISC-17-dragon2.txt&amp;sa=D&amp;ust=1605639832607000&amp;usg=AFQjCNHeFuluJVy6l-DylAED_dgsWuzdSQ" xr:uid="{2D021978-7401-4847-AA87-EDEF8ED777E6}"/>
    <hyperlink ref="B1267" r:id="rId2184" display="https://www.google.com/url?q=https://oj.uz/problem/view/JOI17_long_mansion&amp;sa=D&amp;ust=1605639832607000&amp;usg=AFQjCNGZXAiO7u2SKUQdepFmyxz4Qc3-Kg" xr:uid="{576EEE70-ABE2-45C5-8C3D-D82F963D947E}"/>
    <hyperlink ref="F1267" r:id="rId2185" display="https://www.google.com/url?q=https://github.com/nikolapesic2802/Programming-Practice/blob/master/Long%2520Mansion/main.cpp&amp;sa=D&amp;ust=1605639832607000&amp;usg=AFQjCNFmXB27buBMvL_MArFDc_-MoTB0lg" xr:uid="{F75622C4-E48C-4579-BEF3-80EB038CF285}"/>
    <hyperlink ref="B1268" r:id="rId2186" display="https://www.google.com/url?q=https://oj.uz/problem/view/JOI17_park&amp;sa=D&amp;ust=1605639832608000&amp;usg=AFQjCNHnZqRjfsxi5ManIIZ--AyrPlYxtA" xr:uid="{06B92B51-B01A-45B4-B44D-B18888DEFB04}"/>
    <hyperlink ref="F1268" r:id="rId2187" display="https://www.google.com/url?q=https://github.com/mostafa-saad/MyCompetitiveProgramming/blob/master/Olympiad/JOI/JOISC-17-park.txt&amp;sa=D&amp;ust=1605639832608000&amp;usg=AFQjCNFZfCW2iXYOLYFkbbkazwPHSEKANw" xr:uid="{00A6488D-ED52-4171-B031-42478758AC0C}"/>
    <hyperlink ref="B1269" r:id="rId2188" display="https://www.google.com/url?q=https://oj.uz/problem/view/JOI17_port_facility&amp;sa=D&amp;ust=1605639832608000&amp;usg=AFQjCNFUriHlyLdfI99zKm7M99p86tdhCQ" xr:uid="{BB2B5245-F54F-4910-872C-A1B9DFD55092}"/>
    <hyperlink ref="F1269" r:id="rId2189" display="https://www.google.com/url?q=https://github.com/mostafa-saad/MyCompetitiveProgramming/blob/master/Olympiad/JOI/JOISC-17-PortFacility.txt&amp;sa=D&amp;ust=1605639832608000&amp;usg=AFQjCNE2VeNwVCwTWeykCTKSB9J4o1wP_A" xr:uid="{AFF4C002-19FF-4625-B584-A9236B3B3605}"/>
    <hyperlink ref="B1270" r:id="rId2190" display="https://www.google.com/url?q=https://oj.uz/problem/view/JOI17_railway_trip&amp;sa=D&amp;ust=1605639832609000&amp;usg=AFQjCNGe94Dthpq2C4jlerIZa1BU_toCiA" xr:uid="{E2145CCC-60F6-44FF-84AC-D16CC31EF1E0}"/>
    <hyperlink ref="F1270" r:id="rId2191" display="https://www.google.com/url?q=https://github.com/mostafa-saad/MyCompetitiveProgramming/blob/master/Olympiad/JOI/JOISC-17-railway_trip.txt&amp;sa=D&amp;ust=1605639832609000&amp;usg=AFQjCNF9_pIUX3mzIJ5O1dCx36csrzZ1DA" xr:uid="{A8533502-5B71-442D-B69A-03516C07F287}"/>
    <hyperlink ref="B1271" r:id="rId2192" display="https://www.google.com/url?q=https://oj.uz/problem/view/JOI17_sparklers&amp;sa=D&amp;ust=1605639832609000&amp;usg=AFQjCNE97SPyf9FjV2HK1IQHoT7WdBCfQg" xr:uid="{B861480F-FDEE-4946-8EF1-D66D35DA9575}"/>
    <hyperlink ref="F1271" r:id="rId2193" display="https://www.google.com/url?q=https://github.com/nikolapesic2802/Programming-Practice/blob/master/Sparklersd/main.cpp&amp;sa=D&amp;ust=1605639832611000&amp;usg=AFQjCNHyrkEcZA5_xvmGune5H6sr6ldhZA" xr:uid="{9FD0EC1C-224F-4EF4-8180-94CCC02A2620}"/>
    <hyperlink ref="B1272" r:id="rId2194" display="https://www.google.com/url?q=https://oj.uz/problems/source/315&amp;sa=D&amp;ust=1605639832611000&amp;usg=AFQjCNF5-mXE9YQZoRoO40gkzfT5SjK6DA" xr:uid="{7989B3A7-A1AC-4E2A-88DF-6CEA3261B616}"/>
    <hyperlink ref="F1272" r:id="rId2195" display="https://www.google.com/url?q=https://github.com/mostafa-saad/MyCompetitiveProgramming/blob/master/Olympiad/JOI/JOISC-18-airline.txt&amp;sa=D&amp;ust=1605639832611000&amp;usg=AFQjCNFN0EykU62xNZ9hszlBPw4GbuSkuQ" xr:uid="{411BCEC8-EEB2-48A5-B44C-E4791751931C}"/>
    <hyperlink ref="B1273" r:id="rId2196" display="https://www.google.com/url?q=https://oj.uz/problems/source/314&amp;sa=D&amp;ust=1605639832612000&amp;usg=AFQjCNEI5rvwBjAxp2t0DCIDJzZXSwk_3g" xr:uid="{BA763F74-DE85-48A7-B87D-BDE80CAF5392}"/>
    <hyperlink ref="F1273" r:id="rId2197" display="https://www.google.com/url?q=https://github.com/tmwilliamlin168/CompetitiveProgramming/blob/master/JOI/18SC-Asceticism.cpp&amp;sa=D&amp;ust=1605639832612000&amp;usg=AFQjCNEqg1XKBw3asuO-QLK14_TApOzcfQ" xr:uid="{4748C2C7-E89B-4BAA-98A1-315276000FB2}"/>
    <hyperlink ref="B1274" r:id="rId2198" display="https://www.google.com/url?q=https://oj.uz/problems/source/315&amp;sa=D&amp;ust=1605639832612000&amp;usg=AFQjCNFx6MPl7it5s9kFbUPf2fNw4rIVCg" xr:uid="{81AE593B-759C-4D4D-A24F-59556AC640B5}"/>
    <hyperlink ref="F1274" r:id="rId2199" display="https://www.google.com/url?q=https://github.com/mostafa-saad/MyCompetitiveProgramming/blob/master/Olympiad/JOI/JOISC-18-bitaro.txt&amp;sa=D&amp;ust=1605639832612000&amp;usg=AFQjCNEAHFG-HxL1RKxjsXc_4GbQQaLFBA" xr:uid="{9A4B3E1B-5072-4331-96DE-E465381502DB}"/>
    <hyperlink ref="B1275" r:id="rId2200" display="https://www.google.com/url?q=https://oj.uz/problems/source/313&amp;sa=D&amp;ust=1605639832613000&amp;usg=AFQjCNHV_dzAj7pX6E5GWqETsMfhCjZXAg" xr:uid="{B35B86C3-FFC3-498F-BC30-5041984BAC51}"/>
    <hyperlink ref="F1275" r:id="rId2201" display="https://www.google.com/url?q=https://github.com/mostafa-saad/MyCompetitiveProgramming/blob/master/Olympiad/JOI/JOISC-18-construction.txt&amp;sa=D&amp;ust=1605639832613000&amp;usg=AFQjCNG_7en-taU6SC8ivxKtRA3dX6TEaA" xr:uid="{63DBE494-DD37-41DA-979A-87FA713B6932}"/>
    <hyperlink ref="B1276" r:id="rId2202" display="https://www.google.com/url?q=https://oj.uz/problem/view/JOI18_fences&amp;sa=D&amp;ust=1605639832613000&amp;usg=AFQjCNHr1ggDICB0Xn6lPjRuMTE1TfZs7w" xr:uid="{20543DD2-B1DE-4984-9416-1D1F31D12B32}"/>
    <hyperlink ref="F1276" r:id="rId2203" display="https://www.google.com/url?q=https://github.com/tmwilliamlin168/CompetitiveProgramming/blob/master/JOI/18SC-Fences.cpp&amp;sa=D&amp;ust=1605639832613000&amp;usg=AFQjCNGdbZe6JQcCE7BO4dRGmmrOjIGIWA" xr:uid="{E282BD23-E028-4A7A-8326-DE8AE5AFF527}"/>
    <hyperlink ref="B1277" r:id="rId2204" display="https://www.google.com/url?q=https://www.ioi-jp.org/camp/2018/2018-sp-tasks/index.html&amp;sa=D&amp;ust=1605639832614000&amp;usg=AFQjCNHZkjTQ8UsuPhnAiSkvXMz08_VNvA" xr:uid="{13E6D197-F11C-46B8-A373-80F8AF1378B0}"/>
    <hyperlink ref="F1277" r:id="rId2205" display="https://www.google.com/url?q=https://github.com/mostafa-saad/MyCompetitiveProgramming/blob/master/Olympiad/JOI/JOISC-18-library.txt&amp;sa=D&amp;ust=1605639832614000&amp;usg=AFQjCNEXfj0NdPZ90Y3nDsn_9edCULDopw" xr:uid="{72957A27-1A8C-4A26-9C46-A080961BDC78}"/>
    <hyperlink ref="B1278" r:id="rId2206" display="https://www.google.com/url?q=https://oj.uz/problems/source/314&amp;sa=D&amp;ust=1605639832614000&amp;usg=AFQjCNFJL97-XAi9_6mkFFUOC1ofDHLHjA" xr:uid="{83B04C77-E701-48EF-8825-DB9EF2A827C1}"/>
    <hyperlink ref="F1278" r:id="rId2207" display="https://www.google.com/url?q=https://codeforces.com/blog/entry/58433&amp;sa=D&amp;ust=1605639832615000&amp;usg=AFQjCNFpRVTqXiDGv6PJsvFz5Wt4_vTvUA" xr:uid="{0FE1D5AD-EA59-4765-BBAF-B22C9E2AF0FD}"/>
    <hyperlink ref="B1279" r:id="rId2208" display="https://www.google.com/url?q=https://oj.uz/problem/view/JOI18_security_gate&amp;sa=D&amp;ust=1605639832615000&amp;usg=AFQjCNHvszlWVHPwyZ-4D7SxA7vnccm79Q" xr:uid="{4ECFAEFA-B729-46F5-8296-7009B87B3518}"/>
    <hyperlink ref="B1280" r:id="rId2209" display="https://www.google.com/url?q=https://oj.uz/problems/source/313&amp;sa=D&amp;ust=1605639832615000&amp;usg=AFQjCNG704OrBYpYuDqTO_85nRzWKHMY-g" xr:uid="{0A1628F2-D723-49A0-9E2A-2FA72051C405}"/>
    <hyperlink ref="F1280" r:id="rId2210" display="https://www.google.com/url?q=https://codeforces.com/blog/entry/58433&amp;sa=D&amp;ust=1605639832616000&amp;usg=AFQjCNEpHIxGiPWiGxOI9JmEyoXHI6iqyw" xr:uid="{469CDB77-1C3A-4568-85DF-3CBB658E02B3}"/>
    <hyperlink ref="B1281" r:id="rId2211" display="https://www.google.com/url?q=https://oj.uz/problems/source/316&amp;sa=D&amp;ust=1605639832616000&amp;usg=AFQjCNFWvAZ3Vcb0XhKvv5j4_QjWEXgiuw" xr:uid="{EF0CD580-C2CB-4BED-9EE7-F395C54D99E9}"/>
    <hyperlink ref="F1281" r:id="rId2212" display="https://www.google.com/url?q=https://github.com/mostafa-saad/MyCompetitiveProgramming/blob/master/Olympiad/JOI/JOISC-18-wildboar.txt&amp;sa=D&amp;ust=1605639832616000&amp;usg=AFQjCNGD6pRqx83JzVmdCw4TYrR_SQoSMQ" xr:uid="{931D7CC4-B41E-4BEA-B956-C82FAC590064}"/>
    <hyperlink ref="B1282" r:id="rId2213" display="https://www.google.com/url?q=https://oj.uz/problems/source/314&amp;sa=D&amp;ust=1605639832617000&amp;usg=AFQjCNHmK6l3SkRcWM16N_YfDt2gPgPnPA" xr:uid="{79B04CD7-D279-497B-B74D-B9ABDE322A93}"/>
    <hyperlink ref="F1282" r:id="rId2214" display="https://www.google.com/url?q=https://codeforces.com/blog/entry/58433&amp;sa=D&amp;ust=1605639832617000&amp;usg=AFQjCNE76CMr4pnvPTquvA7tH-R-KYfHkQ" xr:uid="{66C0708D-A57A-42DD-B17B-84D507867917}"/>
    <hyperlink ref="B1283" r:id="rId2215" display="https://www.google.com/url?q=https://oj.uz/problem/view/JOI19_antennas&amp;sa=D&amp;ust=1605639832617000&amp;usg=AFQjCNFp72cZdyUYOhtruQciSj6lvH23CA" xr:uid="{F5CFABEA-AB7C-489C-B595-9EC659788C68}"/>
    <hyperlink ref="F1283" r:id="rId2216" display="https://www.google.com/url?q=https://github.com/nikolapesic2802/Programming-Practice/blob/master/Two%2520Antennas/main.cpp&amp;sa=D&amp;ust=1605639832617000&amp;usg=AFQjCNHz3CihwZZxXkeDaH4vz9qvSl7-xQ" xr:uid="{7EFF4C72-7CEB-4BBD-A950-2B1946754EEB}"/>
    <hyperlink ref="B1284" r:id="rId2217" display="https://www.google.com/url?q=https://oj.uz/problem/view/JOI19_cake3&amp;sa=D&amp;ust=1605639832618000&amp;usg=AFQjCNFgPjl4YleouNWIXX40U2MnjZbEJA" xr:uid="{A3F3281D-9381-4999-AFBA-7D36D5B52FB9}"/>
    <hyperlink ref="B1285" r:id="rId2218" display="https://www.google.com/url?q=https://oj.uz/problem/view/JOI19_designated_cities&amp;sa=D&amp;ust=1605639832618000&amp;usg=AFQjCNGDQApfPSzl1GDpmURxXYjS9k_HBw" xr:uid="{B963B5D9-8FD8-4F42-8AE1-E7C06EC1470B}"/>
    <hyperlink ref="B1286" r:id="rId2219" display="https://www.google.com/url?q=https://oj.uz/problem/view/JOI19_dishes&amp;sa=D&amp;ust=1605639832619000&amp;usg=AFQjCNHMlYCmoe1MO272-7gS8WP4jWb_LQ" xr:uid="{0A4E0C2B-0E0B-43D8-BE92-75E97053C655}"/>
    <hyperlink ref="B1287" r:id="rId2220" display="https://www.google.com/url?q=https://oj.uz/problem/view/JOI19_examination&amp;sa=D&amp;ust=1605639832619000&amp;usg=AFQjCNEpoeF0Einsyt2J2bcwtrhx83c7pg" xr:uid="{B563EAB8-96FC-48A2-93D9-10A727A081F7}"/>
    <hyperlink ref="F1287" r:id="rId2221" display="https://www.google.com/url?q=https://github.com/Szawinis/CompetitiveProgramming/blob/master/Olympiad/JOI/JOISC19-examination.cpp&amp;sa=D&amp;ust=1605639832619000&amp;usg=AFQjCNGk49C54PfOfCGoR_CATMvyz7nr2w" xr:uid="{467BBCF3-068B-4723-A754-38B7212EFA77}"/>
    <hyperlink ref="B1288" r:id="rId2222" display="https://www.google.com/url?q=https://oj.uz/problem/view/JOI19_lamps&amp;sa=D&amp;ust=1605639832620000&amp;usg=AFQjCNHXn_Y0xvsLm5dxFwcHHXDan5KHhA" xr:uid="{CF802039-A24D-4F65-B999-D2B19FDF7E9A}"/>
    <hyperlink ref="B1289" r:id="rId2223" display="https://www.google.com/url?q=https://oj.uz/problem/view/JOI19_meetings&amp;sa=D&amp;ust=1605639832620000&amp;usg=AFQjCNHEAgLqrwh_Tf13kqyJrO9W8J0gXw" xr:uid="{1B74BAB0-22D4-4098-94E2-F45879A481A3}"/>
    <hyperlink ref="B1290" r:id="rId2224" display="https://www.google.com/url?q=https://oj.uz/problem/view/JOI19_mergers&amp;sa=D&amp;ust=1605639832622000&amp;usg=AFQjCNENw-6ugNeZ0HOraNvpBIJFoyUREA" xr:uid="{C9111EAD-EE4B-4237-9385-2665367E9636}"/>
    <hyperlink ref="F1290" r:id="rId2225" display="https://www.google.com/url?q=https://github.com/mostafa-saad/MyCompetitiveProgramming/blob/master/Olympiad/JOI/JOISC-19-Mergers.txt&amp;sa=D&amp;ust=1605639832622000&amp;usg=AFQjCNExvrugmLecZlaxlEix4bxOcloWcw" xr:uid="{18AE1B16-CA87-4D47-92E7-495079606B40}"/>
    <hyperlink ref="B1291" r:id="rId2226" display="https://www.google.com/url?q=https://oj.uz/problem/view/JOI19_minerals&amp;sa=D&amp;ust=1605639832622000&amp;usg=AFQjCNEGDvWe5B1G6iWsEqfqlgXHrV6s2Q" xr:uid="{2939C532-E2F1-4AAF-9544-8DEE5DFB89C3}"/>
    <hyperlink ref="B1292" r:id="rId2227" display="https://www.google.com/url?q=https://oj.uz/problem/view/JOI19_naan&amp;sa=D&amp;ust=1605639832623000&amp;usg=AFQjCNGns8XcJuMfyb56N6WB3aWyyZYsiQ" xr:uid="{A407A26F-EB6A-4841-A333-2D2B7264DA42}"/>
    <hyperlink ref="F1292" r:id="rId2228" display="https://www.google.com/url?q=https://github.com/mostafa-saad/MyCompetitiveProgramming/blob/master/Olympiad/JOI/JOISC-19-Naan.txt&amp;sa=D&amp;ust=1605639832623000&amp;usg=AFQjCNESAfDhcMNZ-wBl4B8Isu-dKALt-A" xr:uid="{446F22C1-D17F-4DD2-80B0-CC408AC263D6}"/>
    <hyperlink ref="B1293" r:id="rId2229" display="https://www.google.com/url?q=https://oj.uz/problem/view/JOI19_timeleap&amp;sa=D&amp;ust=1605639832623000&amp;usg=AFQjCNFJKu5GaBtg_BcmvD-oTkBCb18Q7g" xr:uid="{9AEA34A6-D2A0-4406-B5BA-BBB1FA22BCCF}"/>
    <hyperlink ref="B1294" r:id="rId2230" display="https://www.google.com/url?q=https://oj.uz/problem/view/JOI19_transportations&amp;sa=D&amp;ust=1605639832624000&amp;usg=AFQjCNG70xbEo5UlXQH0B6oZpRTVhBP8Qg" xr:uid="{E90C8F78-6702-4117-97C7-C973B9BDFC66}"/>
    <hyperlink ref="B1295" r:id="rId2231" display="https://www.google.com/url?q=http://oj.uz/problem/view/LMIO19_bulves&amp;sa=D&amp;ust=1605639832624000&amp;usg=AFQjCNEvEePYRtnFAg-q1zKxosnQozWwyQ" xr:uid="{9E94BCE8-FEE4-4F6B-AB4F-E56B298E429E}"/>
    <hyperlink ref="F1295" r:id="rId2232" display="https://www.google.com/url?q=https://github.com/dolphingarlic/CompetitiveProgramming/blob/master/LMIO/LMIO%252019-bulves.cpp&amp;sa=D&amp;ust=1605639832624000&amp;usg=AFQjCNHrAv33Ty0I-WS_RjQZiSGQavKahw" xr:uid="{4A4166C6-1BEC-49DF-A124-E91B61D6465F}"/>
    <hyperlink ref="B1296" r:id="rId2233" display="https://www.google.com/url?q=https://dunjudge.me/analysis/problems/551/&amp;sa=D&amp;ust=1605639832625000&amp;usg=AFQjCNHRLGL6LpAsyUpj1R2PbZoJ4bwUgA" xr:uid="{CA31A388-174E-4B8C-A17D-189C0E5AC859}"/>
    <hyperlink ref="F1296" r:id="rId2234" display="https://www.google.com/url?q=https://github.com/mostafa-saad/MyCompetitiveProgramming/tree/master/Olympiad/MCO/official/2014&amp;sa=D&amp;ust=1605639832625000&amp;usg=AFQjCNFWKdjnKIe48f5srCnIhCj1J1PE1w" xr:uid="{86AD0BEB-CBDA-4434-87A1-FF1F0558D3C2}"/>
    <hyperlink ref="B1297" r:id="rId2235" display="https://www.google.com/url?q=https://dunjudge.me/analysis/problems/552/&amp;sa=D&amp;ust=1605639832625000&amp;usg=AFQjCNGPPo29sWvdoQa9FbxoPF0zz312DA" xr:uid="{A82B20F2-5865-4217-B152-4062DC19ED72}"/>
    <hyperlink ref="F1297" r:id="rId2236" display="https://www.google.com/url?q=https://github.com/mostafa-saad/MyCompetitiveProgramming/tree/master/Olympiad/MCO/official/2014&amp;sa=D&amp;ust=1605639832625000&amp;usg=AFQjCNFWKdjnKIe48f5srCnIhCj1J1PE1w" xr:uid="{0F8A2CF2-B461-46CA-909D-F963DA31BCB1}"/>
    <hyperlink ref="B1298" r:id="rId2237" display="https://www.google.com/url?q=https://dunjudge.me/analysis/problems/553/&amp;sa=D&amp;ust=1605639832626000&amp;usg=AFQjCNGuWIhwU6uhHU1yAm8YWb1wRCmyKw" xr:uid="{1048CC86-AE8C-42C9-91AF-E55BD19A19C6}"/>
    <hyperlink ref="F1298" r:id="rId2238" display="https://www.google.com/url?q=https://github.com/mostafa-saad/MyCompetitiveProgramming/tree/master/Olympiad/MCO/official/2014&amp;sa=D&amp;ust=1605639832626000&amp;usg=AFQjCNEk9t-4ovhcWMhrmIWQ_QixCMd1zQ" xr:uid="{49A1BB87-6B63-4B6E-8159-E04865C5481C}"/>
    <hyperlink ref="B1299" r:id="rId2239" display="https://www.google.com/url?q=https://dunjudge.me/analysis/problems/721/&amp;sa=D&amp;ust=1605639832626000&amp;usg=AFQjCNGsh1WKe6QVV79LQjDudqx5-AVjgQ" xr:uid="{3E459F88-EC90-4D02-A52F-0DB6DA1627D3}"/>
    <hyperlink ref="F1299" r:id="rId2240" display="https://www.google.com/url?q=https://github.com/mostafa-saad/MyCompetitiveProgramming/tree/master/Olympiad/MCO/official/2015&amp;sa=D&amp;ust=1605639832627000&amp;usg=AFQjCNGiaBO61Lz125P14DzoIbHYcj9Ipw" xr:uid="{E7953413-B848-45B7-83F4-6552680CEEB3}"/>
    <hyperlink ref="B1300" r:id="rId2241" display="https://www.google.com/url?q=https://dunjudge.me/analysis/problems/723/&amp;sa=D&amp;ust=1605639832627000&amp;usg=AFQjCNFjiJ81WTQwLIgQe_a_RmxYZlT31w" xr:uid="{7CE67EA9-E2D4-4826-9F02-5094426A4D06}"/>
    <hyperlink ref="F1300" r:id="rId2242" display="https://www.google.com/url?q=https://github.com/mostafa-saad/MyCompetitiveProgramming/tree/master/Olympiad/MCO/official/2015&amp;sa=D&amp;ust=1605639832627000&amp;usg=AFQjCNGiaBO61Lz125P14DzoIbHYcj9Ipw" xr:uid="{D1430BDC-FFC3-437E-AD22-3C58539775FA}"/>
    <hyperlink ref="B1301" r:id="rId2243" display="https://www.google.com/url?q=https://dunjudge.me/analysis/problems/722/&amp;sa=D&amp;ust=1605639832627000&amp;usg=AFQjCNEByayBYQbQ1Gw1krZydfTt1FLI7w" xr:uid="{F9943ACF-205D-434C-9872-B0D146423D16}"/>
    <hyperlink ref="F1301" r:id="rId2244" display="https://www.google.com/url?q=https://github.com/mostafa-saad/MyCompetitiveProgramming/tree/master/Olympiad/MCO/official/2015&amp;sa=D&amp;ust=1605639832628000&amp;usg=AFQjCNF_kHV1TB3Wsyz-b6rgAWFxdO4aIw" xr:uid="{B3483DB0-2B6E-4B3E-AC58-A35D8431EE75}"/>
    <hyperlink ref="B1302" r:id="rId2245" display="https://www.google.com/url?q=https://dunjudge.me/analysis/problems/725/&amp;sa=D&amp;ust=1605639832628000&amp;usg=AFQjCNESnmb37titalJOyJaAvnBLrCkyNg" xr:uid="{4641323A-751F-4617-AA80-8FE230197BF9}"/>
    <hyperlink ref="F1302" r:id="rId2246" display="https://www.google.com/url?q=https://github.com/mostafa-saad/MyCompetitiveProgramming/tree/master/Olympiad/MCO/official/2015&amp;sa=D&amp;ust=1605639832628000&amp;usg=AFQjCNF_kHV1TB3Wsyz-b6rgAWFxdO4aIw" xr:uid="{80443B5B-24BA-40BC-BBC8-E4EF5A318F16}"/>
    <hyperlink ref="B1303" r:id="rId2247" display="https://www.google.com/url?q=https://dunjudge.me/analysis/problems/724/&amp;sa=D&amp;ust=1605639832629000&amp;usg=AFQjCNGp-W62FjvB-yO4ETjgkSlp7FOAwA" xr:uid="{4BA1992D-D867-4EB0-87DF-CFFA52B0F10B}"/>
    <hyperlink ref="F1303" r:id="rId2248" display="https://www.google.com/url?q=https://github.com/mostafa-saad/MyCompetitiveProgramming/tree/master/Olympiad/MCO/official/2015&amp;sa=D&amp;ust=1605639832629000&amp;usg=AFQjCNHBHJtxPlSE8m0pMkU5uxCMUQhM-A" xr:uid="{AFDE12CA-F40A-4138-A666-517AB2D63883}"/>
    <hyperlink ref="B1304" r:id="rId2249" display="https://www.google.com/url?q=https://dunjudge.me/analysis/problems/964/&amp;sa=D&amp;ust=1605639832629000&amp;usg=AFQjCNFvBDQFxsLjr1wYIvnnGMCHuQkqIA" xr:uid="{1B78FC76-6730-42D6-9745-0C5936392B72}"/>
    <hyperlink ref="F1304" r:id="rId2250" display="https://www.google.com/url?q=https://github.com/mostafa-saad/MyCompetitiveProgramming/blob/master/Olympiad/MCO/MCO-16-acorn.txt&amp;sa=D&amp;ust=1605639832629000&amp;usg=AFQjCNFfrfWeKmDYnsgYoyyqiCcOrJhw5g" xr:uid="{374383AB-5E9B-4C00-96D0-D4451C83362A}"/>
    <hyperlink ref="B1305" r:id="rId2251" display="https://www.google.com/url?q=https://dunjudge.me/analysis/problems/959/&amp;sa=D&amp;ust=1605639832630000&amp;usg=AFQjCNFVegafNwoP48gF4TLTDgrQna8b0A" xr:uid="{C53AE9E2-1717-47E3-B6C3-2BF9C8D36B2B}"/>
    <hyperlink ref="F1305" r:id="rId2252" display="https://www.google.com/url?q=https://github.com/mostafa-saad/MyCompetitiveProgramming/tree/master/Olympiad/MCO/official&amp;sa=D&amp;ust=1605639832630000&amp;usg=AFQjCNHT9HcZiZtiEJCAwmzXnwLAqW6EsQ" xr:uid="{397557A9-6498-42FF-B679-2D4A20E3864D}"/>
    <hyperlink ref="B1306" r:id="rId2253" display="https://www.google.com/url?q=https://dunjudge.me/analysis/problems/976/&amp;sa=D&amp;ust=1605639832630000&amp;usg=AFQjCNHsPE-gtQRoy_V38pa8YJhhXoHZrw" xr:uid="{6D283CD1-1209-49CA-9711-9D67D0DE6335}"/>
    <hyperlink ref="B1307" r:id="rId2254" display="https://www.google.com/url?q=https://dunjudge.me/analysis/problems/963/&amp;sa=D&amp;ust=1605639832631000&amp;usg=AFQjCNGVlp0z6SsNiX-F2-IILh_zTnPrsQ" xr:uid="{AABED9D7-F61D-49F3-8553-866684816377}"/>
    <hyperlink ref="F1307" r:id="rId2255" display="https://www.google.com/url?q=https://github.com/mostafa-saad/MyCompetitiveProgramming/tree/master/Olympiad/MCO/official&amp;sa=D&amp;ust=1605639832631000&amp;usg=AFQjCNGe83lflPsg3lI_JSVPEQ_AfiQUHw" xr:uid="{A21EF9B9-2B1E-4E34-813E-5C19BB494AF9}"/>
    <hyperlink ref="B1308" r:id="rId2256" display="https://www.google.com/url?q=https://dunjudge.me/analysis/problems/960/&amp;sa=D&amp;ust=1605639832633000&amp;usg=AFQjCNGpjQIBCRMiM9jlL2kEquyQiBW4VQ" xr:uid="{792D6AE7-CD94-4DDC-8DFD-22D5745B41BC}"/>
    <hyperlink ref="F1308" r:id="rId2257" display="https://www.google.com/url?q=https://github.com/mostafa-saad/MyCompetitiveProgramming/tree/master/Olympiad/MCO/official&amp;sa=D&amp;ust=1605639832633000&amp;usg=AFQjCNGIcwImBxT4QCtdhtRsJ9l8l7jyyQ" xr:uid="{F4D91B34-D1A4-4729-9BDC-1E75D598C030}"/>
    <hyperlink ref="B1309" r:id="rId2258" display="https://www.google.com/url?q=https://dunjudge.me/analysis/problems/962/&amp;sa=D&amp;ust=1605639832633000&amp;usg=AFQjCNEKt3GItjYeB2uUkjLBsycExOTkaw" xr:uid="{F6D8E2D8-04B8-437D-9818-68BB86D8F2D5}"/>
    <hyperlink ref="F1309" r:id="rId2259" display="https://www.google.com/url?q=https://github.com/mostafa-saad/MyCompetitiveProgramming/tree/master/Olympiad/MCO/official&amp;sa=D&amp;ust=1605639832633000&amp;usg=AFQjCNGIcwImBxT4QCtdhtRsJ9l8l7jyyQ" xr:uid="{433EAF0B-293C-443B-87A7-4A66C6EFD964}"/>
    <hyperlink ref="B1310" r:id="rId2260" display="https://www.google.com/url?q=https://dunjudge.me/analysis/problems/961/&amp;sa=D&amp;ust=1605639832634000&amp;usg=AFQjCNFc57WVQPVdJB89ccvPWmZrmLrgTg" xr:uid="{C1C929EB-BEBA-432D-958C-E0C06BC7D1A7}"/>
    <hyperlink ref="F1310" r:id="rId2261" display="https://www.google.com/url?q=https://github.com/mostafa-saad/MyCompetitiveProgramming/blob/master/Olympiad/MCO/MCO-16-town_planning.txt&amp;sa=D&amp;ust=1605639832634000&amp;usg=AFQjCNHiQWqgbIreUWvmD83oPkuHz1eUNQ" xr:uid="{92B3B761-D434-447F-96A7-9E90AE4CE66D}"/>
    <hyperlink ref="B1311" r:id="rId2262" display="https://www.google.com/url?q=https://codeforces.com/group/R2SERIff4f/contest/213171&amp;sa=D&amp;ust=1605639832634000&amp;usg=AFQjCNGhEYqGaNumeXwy46V5bFRh8AHuOg" xr:uid="{B8EE76CF-A6B7-439B-93E4-AEF5336A8227}"/>
    <hyperlink ref="F1311" r:id="rId2263" display="https://www.google.com/url?q=https://github.com/mostafa-saad/MyCompetitiveProgramming/tree/master/Olympiad/MCO/official&amp;sa=D&amp;ust=1605639832635000&amp;usg=AFQjCNF2DT8IFwwWigSluFOt2ZnKmmoPvA" xr:uid="{0072BBAC-1759-4FDE-8032-13BCB810ACEE}"/>
    <hyperlink ref="B1312" r:id="rId2264" display="https://www.google.com/url?q=https://codeforces.com/group/R2SERIff4f/contest/213171&amp;sa=D&amp;ust=1605639832635000&amp;usg=AFQjCNENONGMbXziHQwL7pa4CWM4sq7ZQw" xr:uid="{5FE9AA5E-56AE-494B-99DF-3C71BA36232B}"/>
    <hyperlink ref="F1312" r:id="rId2265" display="https://www.google.com/url?q=https://github.com/mostafa-saad/MyCompetitiveProgramming/tree/master/Olympiad/MCO/official&amp;sa=D&amp;ust=1605639832635000&amp;usg=AFQjCNF2DT8IFwwWigSluFOt2ZnKmmoPvA" xr:uid="{DC6B1A90-70EC-4915-88C5-110FCB40516C}"/>
    <hyperlink ref="B1313" r:id="rId2266" display="https://www.google.com/url?q=https://codeforces.com/group/R2SERIff4f/contest/213171/problem/R&amp;sa=D&amp;ust=1605639832635000&amp;usg=AFQjCNG6WOdJNKn_1AGKYEDhd4seU-9Oow" xr:uid="{C473F519-26BE-48C9-B8D1-651CFF064363}"/>
    <hyperlink ref="F1313" r:id="rId2267" display="https://www.google.com/url?q=https://github.com/mostafa-saad/MyCompetitiveProgramming/tree/master/Olympiad/MCO/official&amp;sa=D&amp;ust=1605639832636000&amp;usg=AFQjCNHsjSGTEqSiEr_0F84U_vfMmNPIqQ" xr:uid="{018F307F-80C7-4CE2-9E87-23D22B1A6B37}"/>
    <hyperlink ref="B1314" r:id="rId2268" display="https://www.google.com/url?q=https://codeforces.com/group/R2SERIff4f/contest/213171&amp;sa=D&amp;ust=1605639832636000&amp;usg=AFQjCNFvKB5ohzpIajDKLYJG5ZMXsQOcBw" xr:uid="{AADC0570-DAE6-41FB-A0A2-F099E91AD065}"/>
    <hyperlink ref="F1314" r:id="rId2269" display="https://www.google.com/url?q=https://github.com/mostafa-saad/MyCompetitiveProgramming/blob/master/Olympiad/MCO/MCO-17-NewbieHacker.txt&amp;sa=D&amp;ust=1605639832636000&amp;usg=AFQjCNH-Athh7dXS6VYu9uRWBwVAm_YNew" xr:uid="{77AF88C8-0B69-4D86-9404-7FA92E5B0B26}"/>
    <hyperlink ref="B1315" r:id="rId2270" display="https://www.google.com/url?q=https://codeforces.com/group/R2SERIff4f/contest/213171&amp;sa=D&amp;ust=1605639832637000&amp;usg=AFQjCNHb3q7WDQlTs4C9Vc2vimCGBh822w" xr:uid="{01E287BF-4E6B-4782-B3FF-6CBC98A89291}"/>
    <hyperlink ref="F1315" r:id="rId2271" display="https://www.google.com/url?q=https://github.com/mostafa-saad/MyCompetitiveProgramming/tree/master/Olympiad/MCO/official&amp;sa=D&amp;ust=1605639832637000&amp;usg=AFQjCNGNiL787G-dFiolNjjgB2qql4EjjA" xr:uid="{961E4295-2CE7-4839-87D2-7092DCBDBE5E}"/>
    <hyperlink ref="B1316" r:id="rId2272" display="https://www.google.com/url?q=https://codeforces.com/group/R2SERIff4f/contest/213171&amp;sa=D&amp;ust=1605639832637000&amp;usg=AFQjCNHb3q7WDQlTs4C9Vc2vimCGBh822w" xr:uid="{7164F18E-30C0-4D2F-B1FF-A09CFEE1453C}"/>
    <hyperlink ref="F1316" r:id="rId2273" display="https://www.google.com/url?q=https://github.com/mostafa-saad/MyCompetitiveProgramming/tree/master/Olympiad/MCO/official&amp;sa=D&amp;ust=1605639832637000&amp;usg=AFQjCNGNiL787G-dFiolNjjgB2qql4EjjA" xr:uid="{72A97A33-4211-4933-9921-E73AF156DE12}"/>
    <hyperlink ref="B1317" r:id="rId2274" display="https://www.google.com/url?q=https://dunjudge.me/analysis/problems/973/&amp;sa=D&amp;ust=1605639832638000&amp;usg=AFQjCNHmyVasbUTS5qTUXHFMqA8ovc7Hpg" xr:uid="{8F565B8F-36E9-4478-A76A-5423873348AF}"/>
    <hyperlink ref="F1317" r:id="rId2275" display="https://www.google.com/url?q=https://github.com/fyquah95/ioi-malaysia-2016-training-camp&amp;sa=D&amp;ust=1605639832638000&amp;usg=AFQjCNFpIYwLhmQCgWBKxENbVHd2tbAYpA" xr:uid="{4CBF23BC-C479-47A4-9AF8-485AE3CFBBFE}"/>
    <hyperlink ref="B1318" r:id="rId2276" display="https://www.google.com/url?q=https://dunjudge.me/analysis/problems/974/&amp;sa=D&amp;ust=1605639832638000&amp;usg=AFQjCNHROtB0a7x6avv0SdYvYEEPJzYJJQ" xr:uid="{26ACB39F-E469-460B-8E0C-E5552AC0F235}"/>
    <hyperlink ref="F1318" r:id="rId2277" display="https://www.google.com/url?q=https://github.com/fyquah95/ioi-malaysia-2016-training-camp&amp;sa=D&amp;ust=1605639832638000&amp;usg=AFQjCNFpIYwLhmQCgWBKxENbVHd2tbAYpA" xr:uid="{8B6077E2-FF82-4A2D-8B68-85F79AEFC164}"/>
    <hyperlink ref="B1319" r:id="rId2278" display="https://www.google.com/url?q=https://dunjudge.me/analysis/problems/975/&amp;sa=D&amp;ust=1605639832639000&amp;usg=AFQjCNFidJ_d3wtLeKXCAvK81s787dpVrQ" xr:uid="{26356141-1F7C-4327-871C-A9429D0126B0}"/>
    <hyperlink ref="F1319" r:id="rId2279" display="https://www.google.com/url?q=https://github.com/fyquah95/ioi-malaysia-2016-training-camp&amp;sa=D&amp;ust=1605639832639000&amp;usg=AFQjCNESLDXlC9CtOE7vR4uc3QXdMPD8gw" xr:uid="{6CD8BC33-7D59-426D-9C3A-00293F99E5DB}"/>
    <hyperlink ref="B1320" r:id="rId2280" display="https://www.google.com/url?q=https://dmoj.ca/problem/mwc15c2p2&amp;sa=D&amp;ust=1605639832639000&amp;usg=AFQjCNH2YUK9nvDZeSpVQQyGZtHNBkq3wg" xr:uid="{DB8B34F7-E21D-4533-A5A6-2C9B0EC7CF6E}"/>
    <hyperlink ref="B1321" r:id="rId2281" display="https://www.google.com/url?q=https://dunjudge.me/analysis/problems/1496/&amp;sa=D&amp;ust=1605639832640000&amp;usg=AFQjCNE7Uv1sVKxyU6Xeio-KiXkAEBNZEA" xr:uid="{4EF34656-23CE-407F-9176-666269E4F0A8}"/>
    <hyperlink ref="B1322" r:id="rId2282" display="https://www.google.com/url?q=https://dunjudge.me/analysis/problems/1497/&amp;sa=D&amp;ust=1605639832640000&amp;usg=AFQjCNHbq69yukZmkqsnWnXUNZQdHrIbNg" xr:uid="{F643C0A0-2674-48A6-A27E-42D0DA5AB4A7}"/>
    <hyperlink ref="B1323" r:id="rId2283" display="https://www.google.com/url?q=https://dunjudge.me/analysis/problems/1495/&amp;sa=D&amp;ust=1605639832640000&amp;usg=AFQjCNGPO-CNAGA64w7TYY4EG9FrKbViaA" xr:uid="{966AE53B-B42F-4329-8064-41F5792C8D9F}"/>
    <hyperlink ref="B1324" r:id="rId2284" display="https://www.google.com/url?q=https://dunjudge.me/analysis/problems/1499/&amp;sa=D&amp;ust=1605639832641000&amp;usg=AFQjCNGTy5tSIWLChLDZCe7do-hEXEGTDg" xr:uid="{E5A7187A-EC80-4917-A742-E0A001E9902C}"/>
    <hyperlink ref="B1325" r:id="rId2285" display="https://www.google.com/url?q=https://dunjudge.me/analysis/problems/1498/&amp;sa=D&amp;ust=1605639832641000&amp;usg=AFQjCNGXl5my74ReSuU7wGZpSrYoNjsaeQ" xr:uid="{7A759F56-366E-47B8-A080-01045373692F}"/>
    <hyperlink ref="B1326" r:id="rId2286" display="https://www.google.com/url?q=https://dunjudge.me/analysis/problems/1500/&amp;sa=D&amp;ust=1605639832641000&amp;usg=AFQjCNGupY0A_p8kNCbZ9xyAI6JtEONR2A" xr:uid="{91E5C627-1E5D-4430-8C5B-4DAADA0D419F}"/>
    <hyperlink ref="B1327" r:id="rId2287" display="https://www.google.com/url?q=https://dunjudge.me/analysis/problems/238/&amp;sa=D&amp;ust=1605639832643000&amp;usg=AFQjCNEQY4rblNepQ-IJNLuSNEK2q6o5tQ" xr:uid="{3359BE68-F665-4997-8B17-0AFF8120B4EE}"/>
    <hyperlink ref="F1327" r:id="rId2288" display="https://www.google.com/url?q=https://github.com/mostafa-saad/MyCompetitiveProgramming/blob/master/Olympiad/NOI/official/2011.pptx&amp;sa=D&amp;ust=1605639832643000&amp;usg=AFQjCNGlqHkNsiuZIqeLwx8vy8QbVF7vGw" xr:uid="{64AE407A-ABD2-4CF0-B1DE-EDC8A2B4C148}"/>
    <hyperlink ref="B1328" r:id="rId2289" display="https://www.google.com/url?q=https://dunjudge.me/analysis/problems/146/&amp;sa=D&amp;ust=1605639832643000&amp;usg=AFQjCNHhcIu3rYSOXV9cUCtKCyMqXEq_5g" xr:uid="{C07798B7-C2BA-4FB9-AF85-002097E49652}"/>
    <hyperlink ref="F1328" r:id="rId2290" display="https://www.google.com/url?q=https://github.com/mostafa-saad/MyCompetitiveProgramming/blob/master/Olympiad/NOI/NOI-07-hole.txt&amp;sa=D&amp;ust=1605639832643000&amp;usg=AFQjCNE0OEwoAjM4tIUXoUqWNoro1-W72g" xr:uid="{A81BBABA-EC70-4369-9E4F-4233F62F1E7B}"/>
    <hyperlink ref="B1329" r:id="rId2291" display="https://www.google.com/url?q=https://dunjudge.me/analysis/problems/144/&amp;sa=D&amp;ust=1605639832644000&amp;usg=AFQjCNHEgNLIlEJKsL8kOwKI8UMwiCzVUQ" xr:uid="{195E18F6-40DB-4EE5-AF65-EF6912CFC845}"/>
    <hyperlink ref="F1329" r:id="rId2292" display="https://www.google.com/url?q=https://github.com/mostafa-saad/MyCompetitiveProgramming/blob/master/Olympiad/NOI/official&amp;sa=D&amp;ust=1605639832644000&amp;usg=AFQjCNEuDIwlEgQ7STvpfb7XNxAwDEec_Q" xr:uid="{37FDB6C6-FD46-47A0-95D6-1B1CD2A0B7CF}"/>
    <hyperlink ref="B1330" r:id="rId2293" display="https://www.google.com/url?q=https://dunjudge.me/analysis/problems/134/&amp;sa=D&amp;ust=1605639832644000&amp;usg=AFQjCNHjnkD8Zt9POfzwjb2kRySmpxIn1w" xr:uid="{E38DCC0C-463B-4143-B8CE-3941873F4D6F}"/>
    <hyperlink ref="F1330" r:id="rId2294" display="https://www.google.com/url?q=https://github.com/mostafa-saad/MyCompetitiveProgramming/blob/master/Olympiad/NOI/official&amp;sa=D&amp;ust=1605639832645000&amp;usg=AFQjCNEGKqy04BvK55rfjfDVta_Q-jMx8Q" xr:uid="{BB59B8E6-3DE3-4E4E-86FE-42722A3761D5}"/>
    <hyperlink ref="B1331" r:id="rId2295" display="https://www.google.com/url?q=https://dunjudge.me/analysis/problems/108/&amp;sa=D&amp;ust=1605639832645000&amp;usg=AFQjCNEfE2Bri5zH9kffny8WSshpPPeFgQ" xr:uid="{136820B9-29D2-4356-81CC-DCDC4FB4722E}"/>
    <hyperlink ref="F1331" r:id="rId2296" display="https://www.google.com/url?q=https://github.com/mostafa-saad/MyCompetitiveProgramming/blob/master/Olympiad/NOI/official&amp;sa=D&amp;ust=1605639832645000&amp;usg=AFQjCNEGKqy04BvK55rfjfDVta_Q-jMx8Q" xr:uid="{BA8167AC-302B-4CCF-A302-ADE5C991A6C7}"/>
    <hyperlink ref="B1332" r:id="rId2297" display="https://www.google.com/url?q=https://dunjudge.me/analysis/problems/273/&amp;sa=D&amp;ust=1605639832646000&amp;usg=AFQjCNEW_vi19TECUtj49pPRl8vwtoPYfw" xr:uid="{B251256D-B50A-4D82-9FAE-A8AF30A2F8AE}"/>
    <hyperlink ref="F1332" r:id="rId2298" display="https://www.google.com/url?q=https://github.com/mostafa-saad/MyCompetitiveProgramming/blob/master/Olympiad/NOI/official&amp;sa=D&amp;ust=1605639832646000&amp;usg=AFQjCNEaNP5HLP8WCOKJi3prruU2OncYbQ" xr:uid="{5CF639F7-70D2-4B02-85CE-486BB24A6A95}"/>
    <hyperlink ref="B1333" r:id="rId2299" display="https://www.google.com/url?q=https://dunjudge.me/analysis/problems/67/&amp;sa=D&amp;ust=1605639832646000&amp;usg=AFQjCNEOZU5mi9TKQBtWc-NoegtA7lprog" xr:uid="{A14EFE46-19B4-4494-8F31-475BB2C24D7F}"/>
    <hyperlink ref="F1333" r:id="rId2300" display="https://www.google.com/url?q=https://github.com/mostafa-saad/MyCompetitiveProgramming/blob/master/Olympiad/NOI/official&amp;sa=D&amp;ust=1605639832646000&amp;usg=AFQjCNEaNP5HLP8WCOKJi3prruU2OncYbQ" xr:uid="{E6E74BC4-9710-4815-831C-D37D879D5A90}"/>
    <hyperlink ref="B1334" r:id="rId2301" display="https://www.google.com/url?q=https://dunjudge.me/analysis/problems/272/&amp;sa=D&amp;ust=1605639832647000&amp;usg=AFQjCNEWIeN_mfcBMGJzYnbfUEscyr2icQ" xr:uid="{65009B5B-A68C-4585-80A3-CF24666EE553}"/>
    <hyperlink ref="F1334" r:id="rId2302" display="https://www.google.com/url?q=https://github.com/mostafa-saad/MyCompetitiveProgramming/blob/master/Olympiad/NOI/official&amp;sa=D&amp;ust=1605639832647000&amp;usg=AFQjCNGEpgu53O1jnwa0L2xFWYM1DN0oAQ" xr:uid="{4901DB84-4A12-47E1-8125-13BDA078B135}"/>
    <hyperlink ref="B1335" r:id="rId2303" display="https://www.google.com/url?q=https://dunjudge.me/analysis/problems/271/&amp;sa=D&amp;ust=1605639832647000&amp;usg=AFQjCNGCDVzYhSlmS-su9EuoHxNv3wRICA" xr:uid="{FCC862B9-9876-4BE0-B6CC-47085713A362}"/>
    <hyperlink ref="F1335" r:id="rId2304" display="https://www.google.com/url?q=https://github.com/mostafa-saad/MyCompetitiveProgramming/blob/master/Olympiad/NOI/official&amp;sa=D&amp;ust=1605639832647000&amp;usg=AFQjCNGEpgu53O1jnwa0L2xFWYM1DN0oAQ" xr:uid="{F90D6CDD-8602-461E-B744-0EC7F1DB843D}"/>
    <hyperlink ref="B1336" r:id="rId2305" display="https://www.google.com/url?q=https://dunjudge.me/analysis/problems/274/&amp;sa=D&amp;ust=1605639832648000&amp;usg=AFQjCNHK8xJdB7ywRsJnTMaPZuYjR_OLKQ" xr:uid="{DB839E18-BE55-4325-9C08-061D37ED9BD7}"/>
    <hyperlink ref="F1336" r:id="rId2306" display="https://www.google.com/url?q=https://github.com/mostafa-saad/MyCompetitiveProgramming/blob/master/Olympiad/NOI/official&amp;sa=D&amp;ust=1605639832648000&amp;usg=AFQjCNHBivXXbG7FlY52J8yObjmCv43sKw" xr:uid="{70FD05B5-BFC2-4A8E-B8F6-F237878BB595}"/>
    <hyperlink ref="B1337" r:id="rId2307" display="https://www.google.com/url?q=https://dunjudge.me/analysis/problems/270/&amp;sa=D&amp;ust=1605639832648000&amp;usg=AFQjCNFMGKp-tSKmpqsApGqOo3bIpqA5rQ" xr:uid="{A11BD3B1-6EF6-4243-9C1A-4D7AF94AC36B}"/>
    <hyperlink ref="F1337" r:id="rId2308" display="https://www.google.com/url?q=https://github.com/mostafa-saad/MyCompetitiveProgramming/blob/master/Olympiad/NOI/official&amp;sa=D&amp;ust=1605639832648000&amp;usg=AFQjCNHBivXXbG7FlY52J8yObjmCv43sKw" xr:uid="{769265BD-BEDF-4F75-AC69-93B20377A06B}"/>
    <hyperlink ref="B1338" r:id="rId2309" display="https://www.google.com/url?q=https://dunjudge.me/analysis/problems/150/&amp;sa=D&amp;ust=1605639832649000&amp;usg=AFQjCNHCZDfEZXwo2Vjnk7cf1XLsJ7WlJw" xr:uid="{66CA589D-4C1A-4D2F-8C9D-2FEB45ECDC88}"/>
    <hyperlink ref="F1338" r:id="rId2310" display="https://www.google.com/url?q=https://github.com/mostafa-saad/MyCompetitiveProgramming/blob/master/Olympiad/NOI/official&amp;sa=D&amp;ust=1605639832649000&amp;usg=AFQjCNFLKzE6amzfKSlWg38WXqzjg5E0yA" xr:uid="{D9457C35-3264-4280-B24C-9675B833EBE7}"/>
    <hyperlink ref="B1339" r:id="rId2311" display="https://www.google.com/url?q=https://dunjudge.me/analysis/problems/237/&amp;sa=D&amp;ust=1605639832649000&amp;usg=AFQjCNHbJ9c6TqR_koEjJSJoqj8Yokxn4g" xr:uid="{1B26396C-6507-4A48-AC0E-C6C7C9B6EA0F}"/>
    <hyperlink ref="F1339" r:id="rId2312" display="https://www.google.com/url?q=https://github.com/mostafa-saad/MyCompetitiveProgramming/blob/master/Olympiad/NOI/official&amp;sa=D&amp;ust=1605639832649000&amp;usg=AFQjCNFLKzE6amzfKSlWg38WXqzjg5E0yA" xr:uid="{3AB698D8-B651-4060-A950-4779CDADADDF}"/>
    <hyperlink ref="B1340" r:id="rId2313" display="https://www.google.com/url?q=https://dunjudge.me/analysis/problems/115/&amp;sa=D&amp;ust=1605639832649000&amp;usg=AFQjCNGhAYWn7uXPrd_Qjckwn_bsBZ9T5w" xr:uid="{C7611102-812D-46B4-8AED-E64ECFB8B684}"/>
    <hyperlink ref="F1340" r:id="rId2314" display="https://www.google.com/url?q=https://github.com/mostafa-saad/MyCompetitiveProgramming/blob/master/Olympiad/NOI/official&amp;sa=D&amp;ust=1605639832649000&amp;usg=AFQjCNFLKzE6amzfKSlWg38WXqzjg5E0yA" xr:uid="{A84B7835-96C6-4BA2-A914-746E40459383}"/>
    <hyperlink ref="B1341" r:id="rId2315" display="https://www.google.com/url?q=https://dunjudge.me/analysis/problems/13/&amp;sa=D&amp;ust=1605639832650000&amp;usg=AFQjCNGPCwsfjG6uaXTUuir5Q1ouTwiYRA" xr:uid="{A845B1CC-4021-405B-A98D-0C8D76FAE075}"/>
    <hyperlink ref="B1342" r:id="rId2316" display="https://www.google.com/url?q=https://dunjudge.me/analysis/problems/73/&amp;sa=D&amp;ust=1605639832650000&amp;usg=AFQjCNHe-b_97dE7sZ7NRnBzli_wceykEQ" xr:uid="{84205639-3652-41FF-9666-5CAF5E8AD41C}"/>
    <hyperlink ref="F1342" r:id="rId2317" display="https://www.google.com/url?q=https://github.com/mostafa-saad/MyCompetitiveProgramming/blob/master/Olympiad/NOI/official&amp;sa=D&amp;ust=1605639832650000&amp;usg=AFQjCNHLK5p2GBCgpgFCX6NFVBFYL5vj2g" xr:uid="{57E8637F-015E-48AD-BE77-1E3DDCCDE5C8}"/>
    <hyperlink ref="B1343" r:id="rId2318" display="https://www.google.com/url?q=https://dunjudge.me/analysis/problems/265/&amp;sa=D&amp;ust=1605639832651000&amp;usg=AFQjCNE5GHL94zKWyHT7ycqZqiX6xadW7Q" xr:uid="{997430D5-C4B7-44FF-AB23-C74005B1D2BE}"/>
    <hyperlink ref="F1343" r:id="rId2319" display="https://www.google.com/url?q=https://github.com/mostafa-saad/MyCompetitiveProgramming/blob/master/Olympiad/NOI/official&amp;sa=D&amp;ust=1605639832651000&amp;usg=AFQjCNFLXLwVOkAQ0lx3N4j6eejIG1Pqew" xr:uid="{78961DCC-80B7-43CC-8841-86A3D00E0C5C}"/>
    <hyperlink ref="B1344" r:id="rId2320" display="https://www.google.com/url?q=https://dunjudge.me/analysis/problems/266/&amp;sa=D&amp;ust=1605639832652000&amp;usg=AFQjCNEIwu4eYIRR_0B-ILE1ZhrnySD2Ew" xr:uid="{34AAFC4A-1D48-42CC-BA2C-775A7312A67A}"/>
    <hyperlink ref="F1344" r:id="rId2321" display="https://www.google.com/url?q=https://github.com/mostafa-saad/MyCompetitiveProgramming/blob/master/Olympiad/NOI/official&amp;sa=D&amp;ust=1605639832652000&amp;usg=AFQjCNGk_4iX9_hE9xzCKpZhKGZkVLnEOQ" xr:uid="{1A6DCBA1-5A66-4BEB-8D5B-B3AA6252F8DA}"/>
    <hyperlink ref="B1345" r:id="rId2322" display="https://www.google.com/url?q=https://dunjudge.me/analysis/problems/18/&amp;sa=D&amp;ust=1605639832653000&amp;usg=AFQjCNE4qXt1tcT5RH_Jgp-3GW35VikVAw" xr:uid="{60E01AE9-1C58-4016-A792-427DAB8BB523}"/>
    <hyperlink ref="F1345" r:id="rId2323" display="https://www.google.com/url?q=https://github.com/mostafa-saad/MyCompetitiveProgramming/blob/master/Olympiad/NOI/official/2011.pptx&amp;sa=D&amp;ust=1605639832653000&amp;usg=AFQjCNFjJRZMEueG8KWon2lP2t3E6s9MZQ" xr:uid="{B6253D1E-CA2C-42BC-A1BC-DEAF36DA58A3}"/>
    <hyperlink ref="B1346" r:id="rId2324" display="https://www.google.com/url?q=https://dunjudge.me/analysis/problems/215/&amp;sa=D&amp;ust=1605639832653000&amp;usg=AFQjCNE48tneGQNrEOnZDSt7oLJfLwTqRA" xr:uid="{528DB494-D8B2-443A-A26A-5411BA9C1A48}"/>
    <hyperlink ref="F1346" r:id="rId2325" display="https://www.google.com/url?q=https://github.com/mostafa-saad/MyCompetitiveProgramming/blob/master/Olympiad/NOI/official/2011.pptx&amp;sa=D&amp;ust=1605639832653000&amp;usg=AFQjCNFjJRZMEueG8KWon2lP2t3E6s9MZQ" xr:uid="{E1AD0026-3EE3-498E-A590-9EC664AE4908}"/>
    <hyperlink ref="B1347" r:id="rId2326" display="https://www.google.com/url?q=https://dunjudge.me/analysis/problems/27/&amp;sa=D&amp;ust=1605639832653000&amp;usg=AFQjCNEvUs1_99WhpUadWlbEgYk2g5xCUA" xr:uid="{EFB3CEEA-4805-45FA-B870-11E972B9D909}"/>
    <hyperlink ref="F1347" r:id="rId2327" display="https://www.google.com/url?q=https://github.com/mostafa-saad/MyCompetitiveProgramming/blob/master/Olympiad/NOI/official/2011.pptx&amp;sa=D&amp;ust=1605639832653000&amp;usg=AFQjCNFjJRZMEueG8KWon2lP2t3E6s9MZQ" xr:uid="{887F0567-4C63-48D8-ACFD-760D0D549712}"/>
    <hyperlink ref="B1348" r:id="rId2328" display="https://www.google.com/url?q=https://dunjudge.me/analysis/problems/28/&amp;sa=D&amp;ust=1605639832654000&amp;usg=AFQjCNFxMI6IT-qG7akyXH5nq2395am1nw" xr:uid="{BF326F93-9AA6-4255-BC0F-305C0E663B16}"/>
    <hyperlink ref="F1348" r:id="rId2329" display="https://www.google.com/url?q=https://github.com/mostafa-saad/MyCompetitiveProgramming/blob/master/Olympiad/NOI/NOI-11-tour.txt&amp;sa=D&amp;ust=1605639832654000&amp;usg=AFQjCNEtGh5zJ8AfVYsScKwkF6d5CQZoqA" xr:uid="{EE82BF96-1263-44B3-B3A5-69B184D060B7}"/>
    <hyperlink ref="B1349" r:id="rId2330" display="https://www.google.com/url?q=https://dunjudge.me/analysis/problems/26/&amp;sa=D&amp;ust=1605639832654000&amp;usg=AFQjCNFrfB37amSTVJSabos3O5zIeX6LEQ" xr:uid="{5B05AD09-7E54-477A-924F-2CCB65FFEF85}"/>
    <hyperlink ref="F1349" r:id="rId2331" display="https://www.google.com/url?q=https://github.com/mostafa-saad/MyCompetitiveProgramming/blob/master/Olympiad/NOI/official/2011.pptx&amp;sa=D&amp;ust=1605639832654000&amp;usg=AFQjCNFmtkCn4DYPVnEZ1J68RwZbIXVj7Q" xr:uid="{82B76B8C-B95D-4E02-B4C0-01704DDD79FD}"/>
    <hyperlink ref="B1350" r:id="rId2332" display="https://www.google.com/url?q=https://oj.uz/problem/view/NOI12_forensic&amp;sa=D&amp;ust=1605639832654000&amp;usg=AFQjCNEbGlfyW2uP7IQNJyoyOt_atHWKGg" xr:uid="{2FC8181B-80DA-4D9B-8153-03B50ACA06A7}"/>
    <hyperlink ref="F1350" r:id="rId2333" display="https://www.google.com/url?q=https://github.com/mostafa-saad/MyCompetitiveProgramming/blob/master/Olympiad/NOI/official/2011.pptx&amp;sa=D&amp;ust=1605639832655000&amp;usg=AFQjCNFzuwOjFKR7AJwUGLrNpqPhRQNd_A" xr:uid="{0482A497-A3B7-49D8-BDF0-D4DB0BCFBC3B}"/>
    <hyperlink ref="B1351" r:id="rId2334" display="https://www.google.com/url?q=https://oj.uz/problem/view/NOI12_modsum&amp;sa=D&amp;ust=1605639832655000&amp;usg=AFQjCNHE4TZyo_Q_FSvnPojyF5wH_ToO5w" xr:uid="{99D11100-3739-4875-8977-35D6B7BDB283}"/>
    <hyperlink ref="F1351" r:id="rId2335" display="https://www.google.com/url?q=https://github.com/win11905/submission/blob/master/NOI/12/modsum.cpp&amp;sa=D&amp;ust=1605639832655000&amp;usg=AFQjCNFq_6JNbgFO0-A3uHG9FshJP9qrVQ" xr:uid="{ABCA5B8D-FAA4-4F49-9698-54F348804796}"/>
    <hyperlink ref="B1352" r:id="rId2336" display="https://www.google.com/url?q=https://oj.uz/problem/view/NOI12_pancake&amp;sa=D&amp;ust=1605639832655000&amp;usg=AFQjCNFsHiqE-g5HFSihAdBkx__GAwTp0g" xr:uid="{B8D31384-A349-4BA6-86BE-43EDDB8F0033}"/>
    <hyperlink ref="F1352" r:id="rId2337" display="https://www.google.com/url?q=https://www.comp.nus.edu.sg/~noi/2012/2012_soln.pdf&amp;sa=D&amp;ust=1605639832655000&amp;usg=AFQjCNHc2kN95eoA6RehqBaYR5P5cNc8dw" xr:uid="{89D8D540-B468-439D-A453-1B7FF41F5A35}"/>
    <hyperlink ref="B1353" r:id="rId2338" display="https://www.google.com/url?q=https://oj.uz/problem/view/NOI12_walking&amp;sa=D&amp;ust=1605639832656000&amp;usg=AFQjCNFRg980Bc3_64zCIwf0Zq9KuxF8mw" xr:uid="{16E0C884-43C5-445B-ADB6-0F6E05F1CCFA}"/>
    <hyperlink ref="F1353" r:id="rId2339" display="https://www.google.com/url?q=https://www.comp.nus.edu.sg/~noi/2012/2012_soln.pdf&amp;sa=D&amp;ust=1605639832656000&amp;usg=AFQjCNHP3ewc0RUVA1h0Y2o3gRkkuyfFSQ" xr:uid="{74A245FC-E33A-4630-A787-957A0C023C27}"/>
    <hyperlink ref="B1354" r:id="rId2340" display="https://www.google.com/url?q=https://dunjudge.me/analysis/problems/281/&amp;sa=D&amp;ust=1605639832656000&amp;usg=AFQjCNG6svmQe56JyoZGNVdhzisf4cdimQ" xr:uid="{ECBDE08F-E074-49BC-87F5-7BDA2BD62088}"/>
    <hyperlink ref="F1354" r:id="rId2341" display="https://www.google.com/url?q=https://github.com/mostafa-saad/MyCompetitiveProgramming/blob/master/Olympiad/NOI/official&amp;sa=D&amp;ust=1605639832656000&amp;usg=AFQjCNHi0uzrzTB7MjLzr_9-rx0HSYEr0Q" xr:uid="{2A67F678-AA09-4962-90DB-E3368BD8650C}"/>
    <hyperlink ref="B1355" r:id="rId2342" display="https://www.google.com/url?q=https://oj.uz/problem/view/NOI13_ferries&amp;sa=D&amp;ust=1605639832657000&amp;usg=AFQjCNGVI7wC7odZrIE9gtrhLKEfjejAlw" xr:uid="{71B1C178-0842-44F3-91C6-5BB1C44ECE6B}"/>
    <hyperlink ref="B1356" r:id="rId2343" display="https://www.google.com/url?q=https://oj.uz/problem/view/NOI13_gw&amp;sa=D&amp;ust=1605639832657000&amp;usg=AFQjCNGCVJJHkuY_ezUUlmVMTnbxfSB_XA" xr:uid="{D3122F4E-231E-44BD-9605-971A8A5B8558}"/>
    <hyperlink ref="F1356" r:id="rId2344" display="https://www.google.com/url?q=https://github.com/sjhuang26/competitive-programming/blob/master/noi/NOI%252013-gw.cpp&amp;sa=D&amp;ust=1605639832657000&amp;usg=AFQjCNFRJnE8TbjuDt99G2d0auA2VTkz5Q" xr:uid="{8935233E-97C0-47A4-A63E-26D35C815DB0}"/>
    <hyperlink ref="B1357" r:id="rId2345" display="https://www.google.com/url?q=https://oj.uz/problem/view/NOI14_cats&amp;sa=D&amp;ust=1605639832657000&amp;usg=AFQjCNECqgAH9t-o8Q8yFI2c3ulqe1YEYA" xr:uid="{FEDBD827-E7B8-455E-A22B-B8DA7D58D3FF}"/>
    <hyperlink ref="F1357" r:id="rId2346" display="https://www.google.com/url?q=https://github.com/mostafa-saad/MyCompetitiveProgramming/blob/master/Olympiad/NOI/NOI-14-cats.txt&amp;sa=D&amp;ust=1605639832658000&amp;usg=AFQjCNE3bBLk8GljG3qZjBp09l_NlzBjgQ" xr:uid="{B6628D2D-01E3-446D-8A63-2AB535AF5B7C}"/>
    <hyperlink ref="B1358" r:id="rId2347" display="https://www.google.com/url?q=https://oj.uz/problem/view/NOI14_obelisk&amp;sa=D&amp;ust=1605639832658000&amp;usg=AFQjCNHzih0IYYCpVaUUyrwC6VFNplejOA" xr:uid="{94169B8D-C88D-4A92-9B1D-8902350202AF}"/>
    <hyperlink ref="F1358" r:id="rId2348" display="https://www.google.com/url?q=https://github.com/mostafa-saad/MyCompetitiveProgramming/blob/master/Olympiad/NOI/NOI-14-obelisk.txt&amp;sa=D&amp;ust=1605639832658000&amp;usg=AFQjCNG5uoN66GiqDlst_iZF5O4EHXk1wA" xr:uid="{2BC75206-5D89-46F3-884A-507A9A751A9C}"/>
    <hyperlink ref="B1359" r:id="rId2349" display="https://www.google.com/url?q=https://oj.uz/problem/view/NOI14_orchard&amp;sa=D&amp;ust=1605639832658000&amp;usg=AFQjCNGfwncmHaYi_GfwqOEzj9zFCH3-ug" xr:uid="{E81F5AA1-BB4A-4465-BF52-8795714D1836}"/>
    <hyperlink ref="F1359" r:id="rId2350" display="https://www.google.com/url?q=https://github.com/mostafa-saad/MyCompetitiveProgramming/blob/master/Olympiad/NOI/official&amp;sa=D&amp;ust=1605639832659000&amp;usg=AFQjCNEXDXs3eOcQaVtkEvH_gA1Jd5t6RQ" xr:uid="{79BED70C-8745-44F9-B701-03D2A8394668}"/>
    <hyperlink ref="B1360" r:id="rId2351" display="https://www.google.com/url?q=https://oj.uz/problem/view/NOI14_sightseeing&amp;sa=D&amp;ust=1605639832659000&amp;usg=AFQjCNH3DmYe9W5inFUyB_rEib0QVaY8Kg" xr:uid="{B833BE10-28F0-4352-93BF-E73DEB7D69CD}"/>
    <hyperlink ref="F1360" r:id="rId2352" display="https://www.google.com/url?q=https://github.com/mostafa-saad/MyCompetitiveProgramming/blob/master/Olympiad/NOI/official&amp;sa=D&amp;ust=1605639832659000&amp;usg=AFQjCNEXDXs3eOcQaVtkEvH_gA1Jd5t6RQ" xr:uid="{8E441CAB-5AAA-4AE3-8B03-167A7D5C3E15}"/>
    <hyperlink ref="B1361" r:id="rId2353" display="https://www.google.com/url?q=https://dunjudge.me/analysis/problems/703/&amp;sa=D&amp;ust=1605639832660000&amp;usg=AFQjCNFWRv4C-gyOZYVGZ1HcNibUitOB_Q" xr:uid="{2F7A7C82-A956-4687-BA35-4A6564B1A669}"/>
    <hyperlink ref="F1361" r:id="rId2354" display="https://www.google.com/url?q=https://github.com/mostafa-saad/MyCompetitiveProgramming/blob/master/Olympiad/NOI/official&amp;sa=D&amp;ust=1605639832660000&amp;usg=AFQjCNFhKVbrpwcaTcs_9XLBI9NZlNg2ZA" xr:uid="{2668B269-3C69-485F-A691-E2EF2EF64E10}"/>
    <hyperlink ref="B1362" r:id="rId2355" display="https://www.google.com/url?q=https://dunjudge.me/analysis/problems/704/&amp;sa=D&amp;ust=1605639832660000&amp;usg=AFQjCNFiuC6ekd2pQcFLSslhW34GDKhKOQ" xr:uid="{144A47D7-0B16-45BC-BD3A-E36565D0C486}"/>
    <hyperlink ref="F1362" r:id="rId2356" display="https://www.google.com/url?q=https://github.com/mostafa-saad/MyCompetitiveProgramming/blob/master/Olympiad/NOI/official&amp;sa=D&amp;ust=1605639832660000&amp;usg=AFQjCNFhKVbrpwcaTcs_9XLBI9NZlNg2ZA" xr:uid="{A7250F91-AC14-4930-ACB1-84870CAA7941}"/>
    <hyperlink ref="B1363" r:id="rId2357" display="https://www.google.com/url?q=https://dunjudge.me/analysis/problems/705/&amp;sa=D&amp;ust=1605639832661000&amp;usg=AFQjCNGHNsW0nuUXixNVldBzCrCpPhyaJQ" xr:uid="{4BC489F4-B299-4CE3-AC5E-98875ABF1BDF}"/>
    <hyperlink ref="F1363" r:id="rId2358" display="https://www.google.com/url?q=https://github.com/mostafa-saad/MyCompetitiveProgramming/blob/master/Olympiad/NOI/official&amp;sa=D&amp;ust=1605639832661000&amp;usg=AFQjCNE8MucSuBHA59Vj6oGM0HI8ITFLRg" xr:uid="{09149954-7DA3-4C3F-BDF6-E6E7EC6A30D6}"/>
    <hyperlink ref="B1364" r:id="rId2359" display="https://www.google.com/url?q=https://dunjudge.me/analysis/problems/706/&amp;sa=D&amp;ust=1605639832661000&amp;usg=AFQjCNGUPmM84UT4yQyrT8TQKWCG9_8VFg" xr:uid="{51BBE843-E5AC-40EB-8260-1A15E347C373}"/>
    <hyperlink ref="F1364" r:id="rId2360" display="https://www.google.com/url?q=https://github.com/mostafa-saad/MyCompetitiveProgramming/blob/master/Olympiad/NOI/official&amp;sa=D&amp;ust=1605639832661000&amp;usg=AFQjCNE8MucSuBHA59Vj6oGM0HI8ITFLRg" xr:uid="{834031D9-1E57-4556-8BAB-EBF81DF32966}"/>
    <hyperlink ref="B1365" r:id="rId2361" display="https://www.google.com/url?q=https://dunjudge.me/analysis/problems/955/&amp;sa=D&amp;ust=1605639832661000&amp;usg=AFQjCNE1bZMOd0DgAi0FsORtd7MW3UCSfA" xr:uid="{9339E1BF-11CF-4DF1-BA28-BB7902DB9538}"/>
    <hyperlink ref="F1365" r:id="rId2362" display="https://www.google.com/url?q=https://github.com/mostafa-saad/MyCompetitiveProgramming/blob/master/Olympiad/NOI/official&amp;sa=D&amp;ust=1605639832661000&amp;usg=AFQjCNE8MucSuBHA59Vj6oGM0HI8ITFLRg" xr:uid="{DD3C7052-04D1-43C1-8AA3-597D770A0219}"/>
    <hyperlink ref="B1366" r:id="rId2363" display="https://www.google.com/url?q=https://dunjudge.me/analysis/problems/954/&amp;sa=D&amp;ust=1605639832662000&amp;usg=AFQjCNGtVCw36fsHN9gmsTk7viRh0EoCMQ" xr:uid="{A859EBE9-FF9A-4269-8656-105D21271A2D}"/>
    <hyperlink ref="F1366" r:id="rId2364" display="https://www.google.com/url?q=https://github.com/mostafa-saad/MyCompetitiveProgramming/blob/master/Olympiad/NOI/official&amp;sa=D&amp;ust=1605639832662000&amp;usg=AFQjCNH4lJBAqN5KtjEpsplcTOdEH6KOTw" xr:uid="{C5FB3885-D87F-4CF0-8447-922797F6DDD7}"/>
    <hyperlink ref="B1367" r:id="rId2365" display="https://www.google.com/url?q=https://dunjudge.me/analysis/problems/957/&amp;sa=D&amp;ust=1605639832662000&amp;usg=AFQjCNFOANlmtB8bG2US_91j5m82QaqZIQ" xr:uid="{DE12CE00-196C-4499-86D8-B984689BEA7A}"/>
    <hyperlink ref="F1367" r:id="rId2366" display="https://www.google.com/url?q=https://github.com/mostafa-saad/MyCompetitiveProgramming/blob/master/Olympiad/NOI/official&amp;sa=D&amp;ust=1605639832662000&amp;usg=AFQjCNH4lJBAqN5KtjEpsplcTOdEH6KOTw" xr:uid="{DD6C8E18-A955-4F8F-BA63-46537344D8CA}"/>
    <hyperlink ref="B1368" r:id="rId2367" display="https://www.google.com/url?q=https://dunjudge.me/analysis/problems/956/&amp;sa=D&amp;ust=1605639832662000&amp;usg=AFQjCNGz3EM2E4tmHSsq2f3pVIH4QHoCTA" xr:uid="{ECF35015-B236-4D7E-B5A8-8741A97EF70A}"/>
    <hyperlink ref="F1368" r:id="rId2368" display="https://www.google.com/url?q=https://github.com/mostafa-saad/MyCompetitiveProgramming/blob/master/Olympiad/NOI/official&amp;sa=D&amp;ust=1605639832662000&amp;usg=AFQjCNH4lJBAqN5KtjEpsplcTOdEH6KOTw" xr:uid="{AD04CAE6-F727-4BB7-8B9B-6B3604E18310}"/>
    <hyperlink ref="B1369" r:id="rId2369" display="https://www.google.com/url?q=https://dunjudge.me/analysis/problems/958/&amp;sa=D&amp;ust=1605639832663000&amp;usg=AFQjCNEZFE_hF6py88g95m_fniVw517Kgg" xr:uid="{D28E6DF3-CC10-4C22-BED6-5A212DED73AE}"/>
    <hyperlink ref="F1369" r:id="rId2370" display="https://www.google.com/url?q=https://github.com/mostafa-saad/MyCompetitiveProgramming/blob/master/Olympiad/NOI/official&amp;sa=D&amp;ust=1605639832663000&amp;usg=AFQjCNGJYxZPGzN7IFVtrj0k0RQ1RqHt9w" xr:uid="{57F222D5-68F6-4A28-8458-914C83EA0836}"/>
    <hyperlink ref="B1370" r:id="rId2371" display="https://www.google.com/url?q=https://dunjudge.me/analysis/problems/1226/&amp;sa=D&amp;ust=1605639832663000&amp;usg=AFQjCNHwehwCnx19vFievoVlLwbLk6FEfg" xr:uid="{93B64E0D-A478-418D-91AD-E0E49149B0CC}"/>
    <hyperlink ref="F1370" r:id="rId2372" display="https://www.google.com/url?q=https://github.com/mostafa-saad/MyCompetitiveProgramming/blob/master/Olympiad/NOI/official&amp;sa=D&amp;ust=1605639832663000&amp;usg=AFQjCNGJYxZPGzN7IFVtrj0k0RQ1RqHt9w" xr:uid="{3A44569B-4113-4914-9CA2-83C6DD5655E5}"/>
    <hyperlink ref="B1371" r:id="rId2373" display="https://www.google.com/url?q=https://dunjudge.me/analysis/problems/1228/&amp;sa=D&amp;ust=1605639832663000&amp;usg=AFQjCNFjvbMjYByFJf1BSSlPhjlDr1e_SQ" xr:uid="{9C752E67-061D-4EF4-9EF3-0DC9B56D70DA}"/>
    <hyperlink ref="F1371" r:id="rId2374" display="https://www.google.com/url?q=https://github.com/mostafa-saad/MyCompetitiveProgramming/blob/master/Olympiad/NOI/official&amp;sa=D&amp;ust=1605639832664000&amp;usg=AFQjCNG3ZQflVnr6EALIyt1qkeo5SX9MEg" xr:uid="{6A2EE15D-6B38-4583-9758-1DC259DF86C5}"/>
    <hyperlink ref="B1372" r:id="rId2375" display="https://www.google.com/url?q=https://dunjudge.me/analysis/problems/1229/&amp;sa=D&amp;ust=1605639832664000&amp;usg=AFQjCNHO2wr0sX3y1T-85_mCJvsaFynmoA" xr:uid="{41054CD0-1CA2-4B52-B862-6BDBF913CDE0}"/>
    <hyperlink ref="F1372" r:id="rId2376" display="https://www.google.com/url?q=https://github.com/mostafa-saad/MyCompetitiveProgramming/blob/master/Olympiad/NOI/NOI-17-rmq.txt&amp;sa=D&amp;ust=1605639832664000&amp;usg=AFQjCNFdCaARkt6Did8Uenr9GOp2fJ-6pA" xr:uid="{D58920AB-69B0-4884-805D-363269BCD7B0}"/>
    <hyperlink ref="B1373" r:id="rId2377" display="https://www.google.com/url?q=https://dunjudge.me/analysis/problems/1227/&amp;sa=D&amp;ust=1605639832665000&amp;usg=AFQjCNF1G6SpCzzv6QOeKWB0dNEnlUp8uQ" xr:uid="{3EA2DC9A-8202-49F4-8ACF-5E2E47B9DCED}"/>
    <hyperlink ref="F1373" r:id="rId2378" display="https://www.google.com/url?q=https://github.com/mostafa-saad/MyCompetitiveProgramming/blob/master/Olympiad/NOI/official&amp;sa=D&amp;ust=1605639832665000&amp;usg=AFQjCNGwoEQzZWOgWdwOBgu5YJPz5ToJLg" xr:uid="{3C4656D0-6B5C-43AF-997D-3E51B1800DA4}"/>
    <hyperlink ref="B1374" r:id="rId2379" display="https://www.google.com/url?q=https://dunjudge.me/analysis/problems/1230/&amp;sa=D&amp;ust=1605639832665000&amp;usg=AFQjCNFfJbwoK27gpkzgSUkEZvmwRDlxNQ" xr:uid="{CB7AC503-B02F-4DD2-940D-1770E50D8BAD}"/>
    <hyperlink ref="F1374" r:id="rId2380" display="https://www.google.com/url?q=https://github.com/mostafa-saad/MyCompetitiveProgramming/blob/master/Olympiad/NOI/NOI-17-very_best_pokemon.txt&amp;sa=D&amp;ust=1605639832665000&amp;usg=AFQjCNGV9FUOiMSqsX3UKY_EiPNa0SKcdA" xr:uid="{2017CFF8-FA48-4836-A883-F35EF4C03891}"/>
    <hyperlink ref="B1375" r:id="rId2381" display="https://www.google.com/url?q=https://oj.uz/problem/view/NOI18_citymapping&amp;sa=D&amp;ust=1605639832666000&amp;usg=AFQjCNHkqOL-FFy5tNpSz_Y-_qdM7UAbfg" xr:uid="{077769DB-23E0-4DE7-8AE1-487B6D15E2AB}"/>
    <hyperlink ref="F1375" r:id="rId2382" display="https://www.google.com/url?q=https://github.com/mostafa-saad/MyCompetitiveProgramming/blob/master/Olympiad/NOI/NOI-18-citymapping.txt&amp;sa=D&amp;ust=1605639832666000&amp;usg=AFQjCNGt3AJ5bTKeY3vOxH0F1bQd-CIEYA" xr:uid="{F05234B2-298F-46E7-902D-4D010FBE3FE5}"/>
    <hyperlink ref="B1376" r:id="rId2383" display="https://www.google.com/url?q=https://oj.uz/problem/view/NOI18_collectmushrooms&amp;sa=D&amp;ust=1605639832666000&amp;usg=AFQjCNEGO6aBNaYgRmss6AjmVKCHTw59Lw" xr:uid="{35250CE2-A903-4C56-B3BF-FEF62D483D41}"/>
    <hyperlink ref="F1376" r:id="rId2384" display="https://www.google.com/url?q=https://github.com/mostafa-saad/MyCompetitiveProgramming/blob/master/Olympiad/NOI/official&amp;sa=D&amp;ust=1605639832667000&amp;usg=AFQjCNHMbf5v1We1Ch7yQJl3FzR3guiV8A" xr:uid="{7ADD7177-A4EA-410C-87BB-CE1B387D30CE}"/>
    <hyperlink ref="B1377" r:id="rId2385" display="https://www.google.com/url?q=https://oj.uz/problem/view/NOI18_journey&amp;sa=D&amp;ust=1605639832667000&amp;usg=AFQjCNFZN55rxj_D7AMhbbF49pLHx75krg" xr:uid="{21311E27-DD26-4876-985F-09D3E13106A4}"/>
    <hyperlink ref="F1377" r:id="rId2386" display="https://www.google.com/url?q=https://github.com/mostafa-saad/MyCompetitiveProgramming/blob/master/Olympiad/NOI/official&amp;sa=D&amp;ust=1605639832667000&amp;usg=AFQjCNHMbf5v1We1Ch7yQJl3FzR3guiV8A" xr:uid="{682574D8-EC5C-4201-98B6-7B35094B6173}"/>
    <hyperlink ref="B1378" r:id="rId2387" display="https://www.google.com/url?q=https://oj.uz/problem/view/NOI18_lightningrod&amp;sa=D&amp;ust=1605639832669000&amp;usg=AFQjCNFrZZc5cNsDG2KQyubg9rw-qX8WjQ" xr:uid="{E8BD6EE5-1078-459C-B351-0BAC4D770CA6}"/>
    <hyperlink ref="F1378" r:id="rId2388" display="https://www.google.com/url?q=https://github.com/mostafa-saad/MyCompetitiveProgramming/blob/master/Olympiad/NOI/official&amp;sa=D&amp;ust=1605639832669000&amp;usg=AFQjCNHR6Nu0qk2c5vsmTHPvCZwUsz7B0w" xr:uid="{5A47FD3D-26CF-46EA-8DEF-89297BE6C175}"/>
    <hyperlink ref="B1379" r:id="rId2389" display="https://www.google.com/url?q=https://oj.uz/problem/view/NOI18_safety&amp;sa=D&amp;ust=1605639832670000&amp;usg=AFQjCNENlpq6lRew3eo3foUqhDqcWl1xqw" xr:uid="{46992DAA-6562-44E2-AB6E-7675C19410A1}"/>
    <hyperlink ref="F1379" r:id="rId2390" display="https://www.google.com/url?q=https://github.com/mostafa-saad/MyCompetitiveProgramming/blob/master/Olympiad/NOI/official&amp;sa=D&amp;ust=1605639832670000&amp;usg=AFQjCNE5C3lXE0hv8qczGLdUHn82TZiBRQ" xr:uid="{29953F2E-6F07-4307-A0D0-4AC13FD8A54C}"/>
    <hyperlink ref="B1380" r:id="rId2391" display="https://www.google.com/url?q=https://dunjudge.me/analysis/problems/1826/&amp;sa=D&amp;ust=1605639832670000&amp;usg=AFQjCNEPCE2NeyWkjHa019JA1-b0swnGQA" xr:uid="{3B4FA1D4-6A84-40D1-B62B-30DB0D894C31}"/>
    <hyperlink ref="F1380" r:id="rId2392" display="https://www.google.com/url?q=https://github.com/mostafa-saad/MyCompetitiveProgramming/blob/master/Olympiad/NOI/NOI-19-feast.txt&amp;sa=D&amp;ust=1605639832670000&amp;usg=AFQjCNHT8GLw5-Q3LBCE4I_YEH21shvDbg" xr:uid="{47902993-FA29-4D3E-981C-B82DFDDC0DB4}"/>
    <hyperlink ref="B1381" r:id="rId2393" display="https://www.google.com/url?q=https://dunjudge.me/analysis/problems/1825/&amp;sa=D&amp;ust=1605639832671000&amp;usg=AFQjCNF1B3D-YmwZCjvCd_9EvrwZ56PTCA" xr:uid="{67942F18-1BBB-4C3E-829C-01254848C4F8}"/>
    <hyperlink ref="B1382" r:id="rId2394" display="https://www.google.com/url?q=https://dunjudge.me/analysis/problems/1824/&amp;sa=D&amp;ust=1605639832671000&amp;usg=AFQjCNFczxDe4jT-xe1178MRoLa4RJ1CcA" xr:uid="{9668753F-5060-4F83-A7F0-D12A65BE3313}"/>
    <hyperlink ref="F1382" r:id="rId2395" display="https://www.google.com/url?q=https://github.com/MohamedAhmed04/Competitive-programming/blob/master/SingaporeNOI/2019-Pilot.cpp&amp;sa=D&amp;ust=1605639832671000&amp;usg=AFQjCNFqh_b1qWneVfvbBQ4i9KNSrbQYHw" xr:uid="{8FA50195-0DDD-4FFC-B882-41B81B89F3EA}"/>
    <hyperlink ref="B1383" r:id="rId2396" display="https://www.google.com/url?q=https://dunjudge.me/analysis/problems/1827/&amp;sa=D&amp;ust=1605639832672000&amp;usg=AFQjCNHp-yplvwsS_APhpCA-mqqd-uHurA" xr:uid="{39B57925-73E5-4081-A9BF-AF06283C27EA}"/>
    <hyperlink ref="F1383" r:id="rId2397" display="https://www.google.com/url?q=https://github.com/mostafa-saad/MyCompetitiveProgramming/blob/master/Olympiad/NOI/NOI-19-riggedroads.txt&amp;sa=D&amp;ust=1605639832672000&amp;usg=AFQjCNG2gskN7XknifAzgPYlgplOZL8h7A" xr:uid="{72F1601F-15FF-47FC-90AB-670489E17527}"/>
    <hyperlink ref="B1384" r:id="rId2398" display="https://www.google.com/url?q=https://dunjudge.me/analysis/problems/1828/&amp;sa=D&amp;ust=1605639832672000&amp;usg=AFQjCNGlLNhiNDm8fp-Qem00f5_sjlT0AA" xr:uid="{FD750EE3-086E-4EA1-9369-23326EE33EF2}"/>
    <hyperlink ref="B1385" r:id="rId2399" display="https://www.google.com/url?q=https://dunjudge.me/analysis/problems/700/&amp;sa=D&amp;ust=1605639832673000&amp;usg=AFQjCNFBuPPeU2xplbZssN1cqs9xZDtRxw" xr:uid="{E42C6059-D3BD-4618-BA55-0765F4A8812C}"/>
    <hyperlink ref="B1386" r:id="rId2400" display="https://www.google.com/url?q=https://dunjudge.me/analysis/problems/698/&amp;sa=D&amp;ust=1605639832673000&amp;usg=AFQjCNEq9fCKaNwMiIC1dYDbHUumF6yOog" xr:uid="{EEAEDB34-9AD2-4034-87A2-53BADDCD4E7F}"/>
    <hyperlink ref="B1387" r:id="rId2401" display="https://www.google.com/url?q=https://dunjudge.me/analysis/problems/701/&amp;sa=D&amp;ust=1605639832674000&amp;usg=AFQjCNHT0sIg2jS66DE-p--d2Vz9nKRA1A" xr:uid="{9F22136C-B49F-44F7-BA08-767C1B8379D4}"/>
    <hyperlink ref="B1388" r:id="rId2402" display="https://www.google.com/url?q=https://dunjudge.me/analysis/problems/694/&amp;sa=D&amp;ust=1605639832674000&amp;usg=AFQjCNHM6ysFZ6aoapya8xRRmH2ffyumrg" xr:uid="{82B9BCA7-F596-4B38-885D-808F28B5A26E}"/>
    <hyperlink ref="B1389" r:id="rId2403" display="https://www.google.com/url?q=https://dunjudge.me/analysis/problems/693/&amp;sa=D&amp;ust=1605639832675000&amp;usg=AFQjCNG1I9epd0xV_cwp0Pw-sBw60twaEQ" xr:uid="{4040940C-5361-4FBA-94DA-CFC39DBC3CAA}"/>
    <hyperlink ref="B1390" r:id="rId2404" display="https://www.google.com/url?q=https://dunjudge.me/analysis/problems/699/&amp;sa=D&amp;ust=1605639832675000&amp;usg=AFQjCNEMbDdJusE6ELIV_ePW4I7O29Z6PA" xr:uid="{3FA01E9D-7DD0-405D-8935-8544A4990CEC}"/>
    <hyperlink ref="B1391" r:id="rId2405" display="https://www.google.com/url?q=https://dunjudge.me/analysis/problems/695/&amp;sa=D&amp;ust=1605639832675000&amp;usg=AFQjCNGG4lSTGBLvSZA959jwyNn9LimyAg" xr:uid="{823314E2-F5F0-4C45-B1B7-E25AAD10DCE9}"/>
    <hyperlink ref="B1392" r:id="rId2406" display="https://www.google.com/url?q=https://dunjudge.me/analysis/problems/697/&amp;sa=D&amp;ust=1605639832676000&amp;usg=AFQjCNGZWVDzwEkljE3qnX4li8QyVXYXiw" xr:uid="{FA734115-2F88-472B-B07B-B94BFC89AAFE}"/>
    <hyperlink ref="B1393" r:id="rId2407" display="https://www.google.com/url?q=https://dunjudge.me/analysis/problems/1479/&amp;sa=D&amp;ust=1605639832676000&amp;usg=AFQjCNF3liG3T4c6CX6mGerT8JEFWpwvmQ" xr:uid="{B80C5C16-D702-4C2C-8AF7-F034BA907C20}"/>
    <hyperlink ref="B1394" r:id="rId2408" display="https://www.google.com/url?q=https://dunjudge.me/analysis/problems/1480/&amp;sa=D&amp;ust=1605639832677000&amp;usg=AFQjCNE8qBNmJv0keJzdZgpeldFg_R1ViQ" xr:uid="{F991A369-2A32-4192-AB47-9F05989389D4}"/>
    <hyperlink ref="B1395" r:id="rId2409" display="https://www.google.com/url?q=https://dunjudge.me/analysis/problems/1478/&amp;sa=D&amp;ust=1605639832677000&amp;usg=AFQjCNGB7rIy8QXTPNrcIuDkveyCBI8hCg" xr:uid="{5F42EE77-3E6C-4648-B6EC-C6BBA2B03B84}"/>
    <hyperlink ref="B1396" r:id="rId2410" display="https://www.google.com/url?q=https://dunjudge.me/analysis/problems/16/&amp;sa=D&amp;ust=1605639832677000&amp;usg=AFQjCNEzgSzD4-2tzHos6HvKcmBDwzrnrQ" xr:uid="{FF5A23ED-8163-47FA-8266-030B4199CF81}"/>
    <hyperlink ref="B1397" r:id="rId2411" display="https://www.google.com/url?q=https://dunjudge.me/analysis/problems/214/&amp;sa=D&amp;ust=1605639832678000&amp;usg=AFQjCNGvsf-_9McGF5ySXyAV0WtpP6nV8Q" xr:uid="{0680BE7F-5737-4F16-9564-D47E0EDA43E7}"/>
    <hyperlink ref="B1398" r:id="rId2412" display="https://www.google.com/url?q=https://dunjudge.me/analysis/problems/141/&amp;sa=D&amp;ust=1605639832678000&amp;usg=AFQjCNFNrUXXeve7epL1BPxDWuKDiCTolQ" xr:uid="{E3B282EB-6D73-4904-9E14-43705C5AB67D}"/>
    <hyperlink ref="B1399" r:id="rId2413" display="https://www.google.com/url?q=https://dunjudge.me/analysis/problems/15/&amp;sa=D&amp;ust=1605639832679000&amp;usg=AFQjCNGEjuWkggNJDxZDdjEK2wmRpI58eA" xr:uid="{9683A876-724F-4BA7-AF8D-EEC7B9A31152}"/>
    <hyperlink ref="B1400" r:id="rId2414" display="https://www.google.com/url?q=https://dunjudge.me/analysis/problems/39/&amp;sa=D&amp;ust=1605639832680000&amp;usg=AFQjCNGOFMnF1YrWoPda9TNhvtt99DMd1w" xr:uid="{E15DCFC4-02AE-4659-8FE3-089F2866EC3E}"/>
    <hyperlink ref="B1401" r:id="rId2415" display="https://www.google.com/url?q=https://dunjudge.me/analysis/problems/88/&amp;sa=D&amp;ust=1605639832681000&amp;usg=AFQjCNGy4s-jbCsUUvM9-_lwgQFDYi_VJw" xr:uid="{E87A8C1A-F56E-4AC0-8032-2A4D5B2175FB}"/>
    <hyperlink ref="B1402" r:id="rId2416" display="https://www.google.com/url?q=https://dunjudge.me/analysis/problems/45/&amp;sa=D&amp;ust=1605639832681000&amp;usg=AFQjCNFE2Lc5xguSFF8Vc5YCqSIrnMNe5g" xr:uid="{B7266AF2-9F8E-4A26-9854-323F274BE3A0}"/>
    <hyperlink ref="B1403" r:id="rId2417" display="https://www.google.com/url?q=https://dunjudge.me/analysis/problems/86/&amp;sa=D&amp;ust=1605639832681000&amp;usg=AFQjCNFyutsVlnerZ8QpII0g7NUmpFMC8Q" xr:uid="{FA192EFD-3EF5-42D4-B3E0-9D0AD69C05C9}"/>
    <hyperlink ref="B1404" r:id="rId2418" display="https://www.google.com/url?q=https://dunjudge.me/analysis/problems/42/&amp;sa=D&amp;ust=1605639832682000&amp;usg=AFQjCNGKGvzRv-dZgJ2lUdqnG4FpdD6HUg" xr:uid="{599591F9-FD8D-443B-A8AF-A22E7B48B825}"/>
    <hyperlink ref="B1405" r:id="rId2419" display="https://www.google.com/url?q=https://dunjudge.me/analysis/problems/43/&amp;sa=D&amp;ust=1605639832682000&amp;usg=AFQjCNFy-4EcgZ1n1K3HKCx47k-jEmTlKg" xr:uid="{B997E5AD-9B11-4366-BA00-3266D0023599}"/>
    <hyperlink ref="B1406" r:id="rId2420" display="https://www.google.com/url?q=https://dunjudge.me/analysis/problems/46/&amp;sa=D&amp;ust=1605639832682000&amp;usg=AFQjCNHypmiEacRys2fm-JXEYC87XE5eXg" xr:uid="{64899B7C-C571-4565-AE44-6CB7A6E7150D}"/>
    <hyperlink ref="B1407" r:id="rId2421" display="https://www.google.com/url?q=https://dunjudge.me/analysis/problems/87/&amp;sa=D&amp;ust=1605639832683000&amp;usg=AFQjCNFIdjERuQ8vN_7QctrvPbn1o5Tu3Q" xr:uid="{A21CFAAF-7ADD-45F9-9F45-FAAB0ECEEB67}"/>
    <hyperlink ref="B1408" r:id="rId2422" display="https://www.google.com/url?q=https://dunjudge.me/analysis/problems/187/&amp;sa=D&amp;ust=1605639832683000&amp;usg=AFQjCNFVPwAFRqHeiVeU2m_BNPOEbomJAA" xr:uid="{AD662ACE-7EFD-4629-BE5D-0DE4C0B41289}"/>
    <hyperlink ref="B1409" r:id="rId2423" display="https://www.google.com/url?q=https://dunjudge.me/analysis/problems/189/&amp;sa=D&amp;ust=1605639832684000&amp;usg=AFQjCNHOX2SvfV6dpReL-6VzFyf6z6pn1Q" xr:uid="{2032EC9A-3A28-446D-8106-52A4DDBD7E39}"/>
    <hyperlink ref="B1410" r:id="rId2424" display="https://www.google.com/url?q=https://dunjudge.me/analysis/problems/185/&amp;sa=D&amp;ust=1605639832684000&amp;usg=AFQjCNErxkpyyB8DE-xKT9X0goyoPgwXLg" xr:uid="{18AAC8ED-A1A5-4900-886A-4FDBFC2FD814}"/>
    <hyperlink ref="B1411" r:id="rId2425" display="https://www.google.com/url?q=https://dunjudge.me/analysis/problems/188/&amp;sa=D&amp;ust=1605639832684000&amp;usg=AFQjCNEVOJYb-Ci4ZmHjhbpokeMwNoX1QA" xr:uid="{B2526373-B1CE-4E03-BE73-AD1910E74343}"/>
    <hyperlink ref="B1412" r:id="rId2426" display="https://www.google.com/url?q=https://dunjudge.me/analysis/problems/186/&amp;sa=D&amp;ust=1605639832685000&amp;usg=AFQjCNEUh4lh7DxNjVqRNs9ttTtcanXwLA" xr:uid="{67395340-8D32-4A10-B521-87A05AB9EB94}"/>
    <hyperlink ref="B1413" r:id="rId2427" display="https://www.google.com/url?q=https://dunjudge.me/analysis/problems/421/&amp;sa=D&amp;ust=1605639832685000&amp;usg=AFQjCNEUpEelr7Q0SFSo6Gca6PbdagIASg" xr:uid="{A46ACD79-F798-4DF3-A71E-E4CB349E849A}"/>
    <hyperlink ref="B1414" r:id="rId2428" display="https://www.google.com/url?q=https://dunjudge.me/analysis/problems/420/&amp;sa=D&amp;ust=1605639832686000&amp;usg=AFQjCNHD_sutBIvPTdaWBvYapEtNoW0_MA" xr:uid="{EFD2F320-2221-4D9A-9B3A-D59362A4D1C5}"/>
    <hyperlink ref="B1415" r:id="rId2429" display="https://www.google.com/url?q=https://dunjudge.me/analysis/problems/418/&amp;sa=D&amp;ust=1605639832686000&amp;usg=AFQjCNGISYZTWojFZHL3fLUCW8ZrG1mb3A" xr:uid="{75E1042E-9430-4039-B734-04188DC65F1D}"/>
    <hyperlink ref="B1416" r:id="rId2430" display="https://www.google.com/url?q=https://dunjudge.me/analysis/problems/422/&amp;sa=D&amp;ust=1605639832687000&amp;usg=AFQjCNETJbL_rSUxE5gYEztLXWQhI3z78Q" xr:uid="{B6E698E4-17EF-41E1-8751-E1793E017F4A}"/>
    <hyperlink ref="B1417" r:id="rId2431" display="https://www.google.com/url?q=https://dunjudge.me/analysis/problems/419/&amp;sa=D&amp;ust=1605639832687000&amp;usg=AFQjCNHPJ32VML06XeJAJ130XhBpaUIqfA" xr:uid="{42484EE7-BF9E-48D3-BACA-46319FA17E72}"/>
    <hyperlink ref="B1418" r:id="rId2432" display="https://www.google.com/url?q=https://dunjudge.me/analysis/problems/414/&amp;sa=D&amp;ust=1605639832687000&amp;usg=AFQjCNGvl4KMtC6rVHs1VIQdDG3eQvG9ZA" xr:uid="{8B9200A3-659E-4B36-829F-90BAE755FC38}"/>
    <hyperlink ref="B1419" r:id="rId2433" display="https://www.google.com/url?q=https://dunjudge.me/analysis/problems/423/&amp;sa=D&amp;ust=1605639832688000&amp;usg=AFQjCNHJ--vUbvwSOffa3BE-mlE8uFRltQ" xr:uid="{EB83D182-1C4E-47B4-92FE-C3130D5BC6FF}"/>
    <hyperlink ref="B1420" r:id="rId2434" display="https://www.google.com/url?q=https://dunjudge.me/analysis/problems/680/&amp;sa=D&amp;ust=1605639832688000&amp;usg=AFQjCNG35XUHDqDUPn24ePl_kA8Q58TvPA" xr:uid="{0A7C651C-7660-4E19-A592-6B7C25AAB518}"/>
    <hyperlink ref="B1421" r:id="rId2435" display="https://www.google.com/url?q=https://dunjudge.me/analysis/problems/681/&amp;sa=D&amp;ust=1605639832689000&amp;usg=AFQjCNEj8JdMR7INiBWma-o6_mz26B5bQg" xr:uid="{79C9FFF0-8287-4C7A-AB9A-A7A72C92F00C}"/>
    <hyperlink ref="B1422" r:id="rId2436" display="https://www.google.com/url?q=https://dunjudge.me/analysis/problems/677/&amp;sa=D&amp;ust=1605639832689000&amp;usg=AFQjCNGAkmyij1EYvoJn35v_Ff9HFwmQKQ" xr:uid="{D85AD713-D98A-494B-A1E9-AEF9F9DB9C4D}"/>
    <hyperlink ref="B1423" r:id="rId2437" display="https://www.google.com/url?q=https://dunjudge.me/analysis/problems/678/&amp;sa=D&amp;ust=1605639832689000&amp;usg=AFQjCNGBqQVApfG8KMV64ZqbEtrSTv73Sw" xr:uid="{8C138BE7-FC0E-4111-9D51-6A27F2312B48}"/>
    <hyperlink ref="B1424" r:id="rId2438" display="https://www.google.com/url?q=https://dunjudge.me/analysis/problems/675/&amp;sa=D&amp;ust=1605639832691000&amp;usg=AFQjCNGe_-aCjYRm4YEycPK8V9G4mQD5VQ" xr:uid="{F28DB8C4-B0F2-452B-B58A-529AEE936441}"/>
    <hyperlink ref="B1425" r:id="rId2439" display="https://www.google.com/url?q=https://dunjudge.me/analysis/problems/679/&amp;sa=D&amp;ust=1605639832691000&amp;usg=AFQjCNGi152sazXEfljyNoZbajQgPQUIwA" xr:uid="{8859A5D7-538B-445F-8039-535898C879B7}"/>
    <hyperlink ref="B1426" r:id="rId2440" display="https://www.google.com/url?q=https://dunjudge.me/analysis/problems/682/&amp;sa=D&amp;ust=1605639832692000&amp;usg=AFQjCNE1RWs6TuhhG2WFTcYUnD7kb0I_Hw" xr:uid="{C7BF3DA6-2342-45C7-A8B9-B2F8AF99786D}"/>
    <hyperlink ref="B1427" r:id="rId2441" display="https://www.google.com/url?q=https://dunjudge.me/analysis/problems/676/&amp;sa=D&amp;ust=1605639832692000&amp;usg=AFQjCNHJCsF_fUd9nlKWYSSh9UN_8mMI0g" xr:uid="{056DF0F0-B114-4358-A0D3-88D83983D6F7}"/>
    <hyperlink ref="B1428" r:id="rId2442" display="https://www.google.com/url?q=https://dunjudge.me/analysis/problems/953/&amp;sa=D&amp;ust=1605639832693000&amp;usg=AFQjCNFiIom4bEh6ftYGZsyoQ1I2_ylsBg" xr:uid="{A5327427-D0CB-44ED-9C92-553B01588D95}"/>
    <hyperlink ref="B1429" r:id="rId2443" display="https://www.google.com/url?q=https://dunjudge.me/analysis/problems/931/&amp;sa=D&amp;ust=1605639832693000&amp;usg=AFQjCNGHybK2A0gL6qp3bWa5kHSMUEK8hA" xr:uid="{737DB257-CDBE-406C-ABFC-FD0D68B2B629}"/>
    <hyperlink ref="B1430" r:id="rId2444" display="https://www.google.com/url?q=https://dunjudge.me/analysis/problems/932/&amp;sa=D&amp;ust=1605639832693000&amp;usg=AFQjCNHJzu9o-D7_5t35S5lfG7E96yj3Uw" xr:uid="{3B875FAA-C149-442F-B9FC-C6FA963619D4}"/>
    <hyperlink ref="B1431" r:id="rId2445" display="https://www.google.com/url?q=https://dunjudge.me/analysis/problems/933/&amp;sa=D&amp;ust=1605639832694000&amp;usg=AFQjCNHks7iRvW4XthxzgQxNW4McRVns9w" xr:uid="{562CC664-7B8C-4BB8-8F3E-5F44533F5410}"/>
    <hyperlink ref="B1432" r:id="rId2446" display="https://www.google.com/url?q=https://dunjudge.me/analysis/problems/934/&amp;sa=D&amp;ust=1605639832694000&amp;usg=AFQjCNHq8VMTerk_U3QPKnNRqKQItbrfhg" xr:uid="{22A5DFCA-BCE2-4ABF-BC97-6F2ABE3D8764}"/>
    <hyperlink ref="B1433" r:id="rId2447" display="https://www.google.com/url?q=https://dunjudge.me/analysis/problems/935/&amp;sa=D&amp;ust=1605639832695000&amp;usg=AFQjCNFXI84_7Bj_jp2L3tSUJwBWeFSmCw" xr:uid="{D4D6F990-3025-4B49-8371-EAB0041E8D32}"/>
    <hyperlink ref="B1434" r:id="rId2448" display="https://www.google.com/url?q=https://dunjudge.me/analysis/problems/951/&amp;sa=D&amp;ust=1605639832695000&amp;usg=AFQjCNFP_zDiJVr480oBWsaEmQ97WYK_ZQ" xr:uid="{45328A7E-BB41-4798-8185-F23722516F1B}"/>
    <hyperlink ref="B1435" r:id="rId2449" display="https://www.google.com/url?q=https://dunjudge.me/analysis/problems/952/&amp;sa=D&amp;ust=1605639832695000&amp;usg=AFQjCNHfZQlCewplNIPiLcwb8HkZFqOz-w" xr:uid="{EF0B37F6-70AA-4D07-A931-C66E2C903BC4}"/>
    <hyperlink ref="B1436" r:id="rId2450" display="https://www.google.com/url?q=https://dunjudge.me/analysis/problems/1189/&amp;sa=D&amp;ust=1605639832696000&amp;usg=AFQjCNHaRMwwg4FvmSgAE_4lbVxodL92aA" xr:uid="{33250FB3-543C-483D-ABD4-5523ED7BEF4F}"/>
    <hyperlink ref="B1437" r:id="rId2451" display="https://www.google.com/url?q=https://dunjudge.me/analysis/problems/1171/&amp;sa=D&amp;ust=1605639832696000&amp;usg=AFQjCNECGU05GSzSMNW5bmK1BlvsIIuH2g" xr:uid="{14DBA7F5-11D3-4064-BF28-69681C4EB930}"/>
    <hyperlink ref="B1438" r:id="rId2452" display="https://www.google.com/url?q=https://dunjudge.me/analysis/problems/1174/&amp;sa=D&amp;ust=1605639832697000&amp;usg=AFQjCNGoy3LPH_33BRrQMmrEeaQC_EYRgA" xr:uid="{FD54DA48-FA26-4CCD-BC15-697252D9E11D}"/>
    <hyperlink ref="B1439" r:id="rId2453" display="https://www.google.com/url?q=https://dunjudge.me/analysis/problems/1170/&amp;sa=D&amp;ust=1605639832697000&amp;usg=AFQjCNH-FR1455AQB3Vbb8gMSsM-2Tq1RA" xr:uid="{E274AB83-4816-494F-984E-B5661FD060B8}"/>
    <hyperlink ref="B1440" r:id="rId2454" display="https://www.google.com/url?q=https://dunjudge.me/analysis/problems/1187/&amp;sa=D&amp;ust=1605639832697000&amp;usg=AFQjCNE7kp7RR6LcYiitTgPGLI-WrE8rlg" xr:uid="{ADE07AD4-0A5F-4C76-B732-C3C25C5BD20D}"/>
    <hyperlink ref="B1441" r:id="rId2455" display="https://www.google.com/url?q=https://dunjudge.me/analysis/problems/1175/&amp;sa=D&amp;ust=1605639832698000&amp;usg=AFQjCNHZUZIu4CHeT8D7DeSMP1o8wzHjnw" xr:uid="{17DAC267-AF0A-41A8-A5DB-DA4AF0717404}"/>
    <hyperlink ref="B1442" r:id="rId2456" display="https://www.google.com/url?q=https://dunjudge.me/analysis/problems/1188/&amp;sa=D&amp;ust=1605639832698000&amp;usg=AFQjCNGYCQRKpalMh28LLayFJwDhxqqwlw" xr:uid="{9197BF16-514A-4CB9-B002-2910D87F2CD7}"/>
    <hyperlink ref="B1443" r:id="rId2457" display="https://www.google.com/url?q=https://dunjudge.me/analysis/problems/1173/&amp;sa=D&amp;ust=1605639832698000&amp;usg=AFQjCNHpzTGMcNi1Jzg1KW8YXcGdbG0hqA" xr:uid="{558E880B-2409-40CC-9F33-B16FE94B9DBB}"/>
    <hyperlink ref="B1444" r:id="rId2458" display="https://www.google.com/url?q=https://dunjudge.me/analysis/problems/1186/&amp;sa=D&amp;ust=1605639832699000&amp;usg=AFQjCNFplqR7zB1XVKaPsZsv-i33tGvF4Q" xr:uid="{6971EFA2-A731-4E21-9468-71981BD8E551}"/>
    <hyperlink ref="B1445" r:id="rId2459" display="https://www.google.com/url?q=https://dunjudge.me/analysis/problems/1190/&amp;sa=D&amp;ust=1605639832699000&amp;usg=AFQjCNFCRRsLE21-ecU8EwzNU8WJ1NYsog" xr:uid="{B90D1B54-1C04-4A83-807A-F426C933A498}"/>
    <hyperlink ref="B1446" r:id="rId2460" display="https://www.google.com/url?q=https://dunjudge.me/analysis/problems/1470/&amp;sa=D&amp;ust=1605639832700000&amp;usg=AFQjCNGLRow5snJPx7XEoW28u7k9r4G6wA" xr:uid="{BF1FEEF8-CAA3-4B70-9F50-1F2609B8390E}"/>
    <hyperlink ref="B1447" r:id="rId2461" display="https://www.google.com/url?q=https://dunjudge.me/analysis/problems/1471/&amp;sa=D&amp;ust=1605639832700000&amp;usg=AFQjCNEW94LchoBSyF3tLyoC-O5SjUuS6A" xr:uid="{E75F7657-08E3-4253-8246-1C0D1837F60B}"/>
    <hyperlink ref="B1448" r:id="rId2462" display="https://www.google.com/url?q=https://dunjudge.me/analysis/problems/1461/&amp;sa=D&amp;ust=1605639832702000&amp;usg=AFQjCNHHgmagukJdqmk4eru64LVpoLfRNg" xr:uid="{46FED4D7-8063-40BC-8155-C574BC9A5477}"/>
    <hyperlink ref="B1449" r:id="rId2463" display="https://www.google.com/url?q=https://dunjudge.me/analysis/problems/1462/&amp;sa=D&amp;ust=1605639832702000&amp;usg=AFQjCNGaFoWs2m3zhJx1J_oBfeo0lBov0Q" xr:uid="{1CF4A122-9DDE-46BE-9C2A-E4550192A4C7}"/>
    <hyperlink ref="B1450" r:id="rId2464" display="https://www.google.com/url?q=https://dunjudge.me/analysis/problems/1477/&amp;sa=D&amp;ust=1605639832702000&amp;usg=AFQjCNF_RG5axu7jagNgRBuFoNdKLo7pvA" xr:uid="{BD3D8AB1-9693-4898-AE48-A12853FD6C8B}"/>
    <hyperlink ref="B1451" r:id="rId2465" display="https://www.google.com/url?q=https://dunjudge.me/analysis/problems/1475/&amp;sa=D&amp;ust=1605639832703000&amp;usg=AFQjCNFYcfHd3u4fP2S5E-3hRKuocyeRWQ" xr:uid="{AFBE4FEE-D64E-48E5-8A1C-7F11B2AF7FF4}"/>
    <hyperlink ref="B1452" r:id="rId2466" display="https://www.google.com/url?q=https://dunjudge.me/analysis/problems/1474/&amp;sa=D&amp;ust=1605639832703000&amp;usg=AFQjCNHK4IZROKQttYsTRmkgjBtrHYt_CQ" xr:uid="{542DEE52-EE47-4D65-AD19-54E0FB38D701}"/>
    <hyperlink ref="B1453" r:id="rId2467" display="https://www.google.com/url?q=https://dunjudge.me/analysis/problems/1476/&amp;sa=D&amp;ust=1605639832704000&amp;usg=AFQjCNGPFW87TcAreQ95xR0AB9HnAiZHXA" xr:uid="{D2ADD58F-3AA1-4C2F-9AD9-6FD0982731FE}"/>
    <hyperlink ref="B1454" r:id="rId2468" display="https://www.google.com/url?q=https://dunjudge.me/analysis/problems/1473/&amp;sa=D&amp;ust=1605639832704000&amp;usg=AFQjCNGu4DEtwd7xEyWeopy2z47aArV5JA" xr:uid="{351E0519-49EF-46C7-88AA-03781870855C}"/>
    <hyperlink ref="B1455" r:id="rId2469" display="https://www.google.com/url?q=https://training.olinfo.it/contests/oii2018/tasks/cena/description&amp;sa=D&amp;ust=1605639832704000&amp;usg=AFQjCNHn5tT8wlGopqoxSvaHUPWDcm73Zg" xr:uid="{1C9F5894-9572-46CD-91FF-D87A5D236567}"/>
    <hyperlink ref="F1455" r:id="rId2470" display="https://www.google.com/url?q=https://github.com/mostafa-saad/MyCompetitiveProgramming/blob/master/Olympiad/OII/OII-18-cena.txt&amp;sa=D&amp;ust=1605639832705000&amp;usg=AFQjCNFisyTKdUyZsB19QJXqA6ETOuolbQ" xr:uid="{C4086A9F-4006-4B6C-B8BB-9C86B45E174C}"/>
    <hyperlink ref="B1456" r:id="rId2471" display="https://www.google.com/url?q=https://training.ia-toki.org/problemsets/2/problems/6/&amp;sa=D&amp;ust=1605639832705000&amp;usg=AFQjCNHcDKgFLGPzap1NrGXDgoMDxLiXiw" xr:uid="{B6CF231B-EC11-4FDE-9521-F322A3C30181}"/>
    <hyperlink ref="F1456" r:id="rId2472" display="https://www.google.com/url?q=https://github.com/mostafa-saad/MyCompetitiveProgramming/blob/master/Olympiad/OSN/OSN_15-1C.txt&amp;sa=D&amp;ust=1605639832705000&amp;usg=AFQjCNELWJLDSo8y91bZA94Q74UGZk7Nmg" xr:uid="{FAE2FA95-5F90-47C2-A80C-C9264BBE37C0}"/>
    <hyperlink ref="B1457" r:id="rId2473" display="https://www.google.com/url?q=https://training.ia-toki.org/problemsets/3/problems/9/&amp;sa=D&amp;ust=1605639832706000&amp;usg=AFQjCNH5RrqAs3BCgaoh3B2cS65mWJwuHg" xr:uid="{17894965-5B28-4D35-AF69-791DCA206A02}"/>
    <hyperlink ref="F1457" r:id="rId2474" display="https://www.google.com/url?q=https://github.com/win11905/submission/blob/master/OCN/15/2C.cpp&amp;sa=D&amp;ust=1605639832706000&amp;usg=AFQjCNH6t8JZLFrbSKbgLIVa4faZ8Ae-fw" xr:uid="{BA432E0B-301B-4E6B-89D9-F415741DFE63}"/>
    <hyperlink ref="B1458" r:id="rId2475" display="https://www.google.com/url?q=https://training.ia-toki.org/problemsets/53/problems/255/&amp;sa=D&amp;ust=1605639832706000&amp;usg=AFQjCNFhZyKBA9aqMxU36_uGjFNUTiFGqQ" xr:uid="{97F47B18-E85F-4C2F-B3A7-FB7C6013CD5C}"/>
    <hyperlink ref="F1458" r:id="rId2476" display="https://www.google.com/url?q=https://github.com/mostafa-saad/MyCompetitiveProgramming/blob/master/Olympiad/OSN/OSN_16-1B.txt&amp;sa=D&amp;ust=1605639832706000&amp;usg=AFQjCNFHuxzcnTWEPNdiaUTCoyKNToSb_w" xr:uid="{ACEAB16C-14D6-4BF0-A44D-89B2879178AC}"/>
    <hyperlink ref="B1459" r:id="rId2477" display="https://www.google.com/url?q=https://po.kattis.com/problems/kattis/no&amp;sa=D&amp;ust=1605639832707000&amp;usg=AFQjCNHPijRpEn3uVmv9qOgZ91LUhgHLQg" xr:uid="{68A88B6F-B6E9-4BA9-AD1A-607101701EC1}"/>
    <hyperlink ref="F1459" r:id="rId2478" display="https://www.google.com/url?q=https://github.com/guskal01/CompetitiveProgramming/blob/master/Kattis/PO-Kattis.cpp&amp;sa=D&amp;ust=1605639832707000&amp;usg=AFQjCNH5TJ7BXQQV26YKT_X8hNyXeT4qSw" xr:uid="{5AC2B991-4ED2-4E58-BBDC-CF577A75656F}"/>
    <hyperlink ref="B1460" r:id="rId2479" display="https://www.google.com/url?q=https://szkopul.edu.pl/problemset/problem/1ACC1pIG2nDGZefi1v5BVSmw/site/?key%3Dstatement&amp;sa=D&amp;ust=1605639832707000&amp;usg=AFQjCNFfyRVP2qbRcUTg-XlmR_MRhU1_PA" xr:uid="{EA486ECC-CB06-423D-969A-364FDB4133A4}"/>
    <hyperlink ref="F1460" r:id="rId2480" display="https://www.google.com/url?q=https://github.com/HeartBlue/CompetitiveProgramming/blob/master/POI/POI%252000-SPO%2520Peaceful%2520Commission.cpp&amp;sa=D&amp;ust=1605639832707000&amp;usg=AFQjCNF7X56mrGKdXgJbV0eETsYu16rb8A" xr:uid="{785463F7-1B9E-43F5-8B88-CD2981D621F1}"/>
    <hyperlink ref="B1461" r:id="rId2481" display="https://www.google.com/url?q=https://szkopul.edu.pl/problemset/problem/cKsx92et8fGp6MOzI2HTNmQY/site/&amp;sa=D&amp;ust=1605639832708000&amp;usg=AFQjCNHCCPyjIU63CClWLYpM6Dsyv8YqIw" xr:uid="{5225CFB2-97D5-4889-AB57-8C406BA97E27}"/>
    <hyperlink ref="F1461" r:id="rId2482" display="https://www.google.com/url?q=https://github.com/mostafa-saad/MyCompetitiveProgramming/blob/master/Olympiad/POI/official/find_editorial_sols_guidelines.txt&amp;sa=D&amp;ust=1605639832708000&amp;usg=AFQjCNHtzMfTyasBlXP4WigFPAUwbmxJmA" xr:uid="{449EFAFF-D2F3-4D9F-B7F6-5D86AF7EF9B6}"/>
    <hyperlink ref="B1462" r:id="rId2483" display="https://www.google.com/url?q=https://szkopul.edu.pl/problemset/problem/5Z9PRRPP-R90WhmbSY_qHd-1/site/&amp;sa=D&amp;ust=1605639832708000&amp;usg=AFQjCNFfVrY9DD9twPHIdvppG0YgsqkSHQ" xr:uid="{9C8608E9-84D0-45EB-844D-BD53B001C1A8}"/>
    <hyperlink ref="F1462" r:id="rId2484" display="https://www.google.com/url?q=https://github.com/mostafa-saad/MyCompetitiveProgramming/blob/master/Olympiad/POI/POI-04-Cave.txt&amp;sa=D&amp;ust=1605639832708000&amp;usg=AFQjCNGVbQVU-nvD2HaVc9OxbepI0MDjyA" xr:uid="{E9439B51-58CC-4438-BEDF-0BE46FECA239}"/>
    <hyperlink ref="B1463" r:id="rId2485" display="https://www.google.com/url?q=https://szkopul.edu.pl/problemset/problem/Jnq0pGf9q3nVm-b1h6Bg23G9/site/&amp;sa=D&amp;ust=1605639832709000&amp;usg=AFQjCNHr-3myIzi1Tud9wW0dxLDjFiv6uQ" xr:uid="{A61406D4-D2F9-43E1-B588-1EA62150E338}"/>
    <hyperlink ref="F1463" r:id="rId2486" display="https://www.google.com/url?q=https://github.com/mostafa-saad/MyCompetitiveProgramming/blob/master/Olympiad/POI/official/find_editorial_sols_guidelines.txt&amp;sa=D&amp;ust=1605639832709000&amp;usg=AFQjCNHChlA2cR5ZWKh1_hsD8afBUjp-3A" xr:uid="{45B729E6-AFEF-4949-B405-B7F22FFE9757}"/>
    <hyperlink ref="B1464" r:id="rId2487" display="https://www.google.com/url?q=https://szkopul.edu.pl/problemset/problem/KiL8P3oSgImWGI5GT4QMCQpO/site/&amp;sa=D&amp;ust=1605639832709000&amp;usg=AFQjCNFL_bcSj8xjeeNey01TEZXMjhBAAg" xr:uid="{66CEF3D9-01F1-4973-A477-6DEE6095BE8C}"/>
    <hyperlink ref="F1464" r:id="rId2488" display="https://www.google.com/url?q=https://github.com/mostafa-saad/MyCompetitiveProgramming/blob/master/Olympiad/POI/POI-04-East_West.txt&amp;sa=D&amp;ust=1605639832710000&amp;usg=AFQjCNGoUcB1pcf6fKNV84FzTY80uYVBQA" xr:uid="{7A4348E1-0A5F-4CBA-B2EE-09A6B47A6009}"/>
    <hyperlink ref="B1465" r:id="rId2489" display="https://www.google.com/url?q=https://szkopul.edu.pl/problemset/problem/JIRgi7mvHIkqfldzgqILaMqr/site/&amp;sa=D&amp;ust=1605639832710000&amp;usg=AFQjCNEWIc3N457fYz2vGoJCAlcS6Fo2tA" xr:uid="{19C4B634-7582-489D-9AC1-E3C26C270DC5}"/>
    <hyperlink ref="F1465" r:id="rId2490" display="https://www.google.com/url?q=https://github.com/mostafa-saad/MyCompetitiveProgramming/blob/master/Olympiad/POI/POI-04-Game.txt&amp;sa=D&amp;ust=1605639832710000&amp;usg=AFQjCNHCP54qbECpuok8Nz6J9ck4z30Fhw" xr:uid="{F82F20A6-B3D7-4910-BB1B-A997494BEDAA}"/>
    <hyperlink ref="B1466" r:id="rId2491" display="https://www.google.com/url?q=https://szkopul.edu.pl/problemset/problem/L_1w_HVIsvm4fBksvCo7fYJT/site/&amp;sa=D&amp;ust=1605639832710000&amp;usg=AFQjCNENETa31fsvn1Pylgh9K_On_IcFxg" xr:uid="{F9DEF8B2-3471-4342-87C0-969B8B1D9F9F}"/>
    <hyperlink ref="F1466" r:id="rId2492" display="https://www.google.com/url?q=https://github.com/mostafa-saad/MyCompetitiveProgramming/blob/master/Olympiad/POI/POI-04-Gates.txt&amp;sa=D&amp;ust=1605639832712000&amp;usg=AFQjCNHXGhOlrwRVSHL2xyp55QBZI0kLfw" xr:uid="{DD809983-1CB3-4A68-A129-1B33E0D79975}"/>
    <hyperlink ref="B1467" r:id="rId2493" display="https://www.google.com/url?q=https://szkopul.edu.pl/problemset/problem/o09s2TblWuB1BP9isQT7VIkG/site/&amp;sa=D&amp;ust=1605639832712000&amp;usg=AFQjCNEyMDqx0MZ5BSR2UsQgI_aIS9V-gA" xr:uid="{C1F0CD51-B6E6-4352-A698-747A96C740EC}"/>
    <hyperlink ref="F1467" r:id="rId2494" display="https://www.google.com/url?q=https://github.com/mostafa-saad/MyCompetitiveProgramming/blob/master/Olympiad/POI/POI-04-Islands.txt&amp;sa=D&amp;ust=1605639832712000&amp;usg=AFQjCNEqDhUtYAWWnVoAxAg_nuXDWV6NtQ" xr:uid="{699B6DDA-73A3-4479-95CF-33F5E9BA1C77}"/>
    <hyperlink ref="B1468" r:id="rId2495" display="https://www.google.com/url?q=https://szkopul.edu.pl/problemset/problem/lGqKS9urITMjTXhpdaHqyoEL/site/&amp;sa=D&amp;ust=1605639832712000&amp;usg=AFQjCNFzkNINzHWq5elR6PFxNV2txBxFXQ" xr:uid="{79E7D4A6-AC89-45B9-8A22-F2FB5F72993C}"/>
    <hyperlink ref="F1468" r:id="rId2496" display="https://www.google.com/url?q=https://github.com/mostafa-saad/MyCompetitiveProgramming/blob/master/Olympiad/POI/POI-04-Maximal.txt&amp;sa=D&amp;ust=1605639832713000&amp;usg=AFQjCNGxJtHYSL5HJ82plz1_D8Wv9CYh7w" xr:uid="{8CE7B009-BCF1-43DB-8D7B-3CBC7403B8DD}"/>
    <hyperlink ref="B1469" r:id="rId2497" display="https://www.google.com/url?q=https://szkopul.edu.pl/problemset/problem/uE3dNVOWuXj4SSOrCrNoFSgF/site/&amp;sa=D&amp;ust=1605639832713000&amp;usg=AFQjCNFeTT2kYDsyzo5LDI9q5iKk3T9Isw" xr:uid="{51C7817F-B255-466A-9A00-D440F3F827B8}"/>
    <hyperlink ref="F1469" r:id="rId2498" display="https://www.google.com/url?q=https://github.com/mostafa-saad/MyCompetitiveProgramming/blob/master/Olympiad/POI/POI-04-Passage.txt&amp;sa=D&amp;ust=1605639832713000&amp;usg=AFQjCNGvVRRGeSrWnO6d2ZgKPAMcj78deg" xr:uid="{0223B0A0-1F54-4CA2-881E-FBE09106C323}"/>
    <hyperlink ref="B1470" r:id="rId2499" display="https://www.google.com/url?q=https://szkopul.edu.pl/problemset/problem/r6tMTfvQFPAEfQioYMCQndQe/site/&amp;sa=D&amp;ust=1605639832713000&amp;usg=AFQjCNF6BK76NlpzieDUU9iRZf9y7LETFA" xr:uid="{AEBD9B38-1752-469A-9AF3-F956D7E704B7}"/>
    <hyperlink ref="F1470" r:id="rId2500" display="https://www.google.com/url?q=https://github.com/mostafa-saad/MyCompetitiveProgramming/blob/master/Olympiad/POI/official/find_editorial_sols_guidelines.txt&amp;sa=D&amp;ust=1605639832714000&amp;usg=AFQjCNGSpgqzkTQ_dg8EHY7s6bMslJV04w" xr:uid="{09447B89-3600-4C9E-8371-D4A58C8C5FB0}"/>
    <hyperlink ref="B1471" r:id="rId2501" display="https://www.google.com/url?q=https://szkopul.edu.pl/problemset/problem/JyanwtKuk_ER10eZ7Yv0q72d/site/&amp;sa=D&amp;ust=1605639832714000&amp;usg=AFQjCNGdJmfuJfwlamA5gUxRZs7ILYPrFA" xr:uid="{3A5DDBFD-1202-4D70-8860-99E30021399A}"/>
    <hyperlink ref="F1471" r:id="rId2502" display="https://www.google.com/url?q=https://github.com/mostafa-saad/MyCompetitiveProgramming/blob/master/Olympiad/POI/official/find_editorial_sols_guidelines.txt&amp;sa=D&amp;ust=1605639832714000&amp;usg=AFQjCNGSpgqzkTQ_dg8EHY7s6bMslJV04w" xr:uid="{1B321710-0BD0-4CEB-80E8-C0D8FDE14E3E}"/>
    <hyperlink ref="B1472" r:id="rId2503" display="https://www.google.com/url?q=https://szkopul.edu.pl/problemset/problem/dq_rM2gOy4-8jYIsE7xgo-9l/site/&amp;sa=D&amp;ust=1605639832714000&amp;usg=AFQjCNE6nMumRZEMVAJ_8zcWqqURuX1FHw" xr:uid="{2BE8DC9B-5E99-448D-8ABC-D93D178D1295}"/>
    <hyperlink ref="F1472" r:id="rId2504" display="https://www.google.com/url?q=https://github.com/mostafa-saad/MyCompetitiveProgramming/blob/master/Olympiad/POI/POI-04-Tournament.txt&amp;sa=D&amp;ust=1605639832715000&amp;usg=AFQjCNEl_fcYv4OQlMpg0RkZXl-ihLnCIQ" xr:uid="{9817DCDD-CFD9-484C-8CAB-B10F98E25ED6}"/>
    <hyperlink ref="B1473" r:id="rId2505" display="https://www.google.com/url?q=https://szkopul.edu.pl/problemset/problem/klvaggzD-q4Acz_WLtkn0JXJ/site/&amp;sa=D&amp;ust=1605639832715000&amp;usg=AFQjCNHq7qwXOi3NU7eUgMxqiY5ftoYh9Q" xr:uid="{899EA978-9EA2-4082-80F6-111C9DA67414}"/>
    <hyperlink ref="F1473" r:id="rId2506" display="https://www.google.com/url?q=https://github.com/mostafa-saad/MyCompetitiveProgramming/blob/master/Olympiad/POI/POI-05-Banknote.txt&amp;sa=D&amp;ust=1605639832715000&amp;usg=AFQjCNF1pxSpMAb-S4rvQ4IzWDyPuWmXBg" xr:uid="{8BF9BF03-1C42-45D6-8017-9AC68B5A759F}"/>
    <hyperlink ref="B1474" r:id="rId2507" display="https://www.google.com/url?q=https://szkopul.edu.pl/problemset/problem/VENspsedQ1oO5IorYs8Ergdn/site/&amp;sa=D&amp;ust=1605639832715000&amp;usg=AFQjCNGQHEzMiJPUeph2bdTME-e4CU-N0A" xr:uid="{990B1F61-E8AF-4C02-B9B3-A0939EBC7ED4}"/>
    <hyperlink ref="F1474" r:id="rId2508" display="https://www.google.com/url?q=https://github.com/mostafa-saad/MyCompetitiveProgramming/blob/master/Olympiad/POI/official/find_editorial_sols_guidelines.txt&amp;sa=D&amp;ust=1605639832715000&amp;usg=AFQjCNGtsYDG1XqzS0YZxWXevMECH5FMjQ" xr:uid="{C0F1FB41-E81B-441D-A3A7-39C1BFC1BE88}"/>
    <hyperlink ref="B1475" r:id="rId2509" display="https://www.google.com/url?q=https://szkopul.edu.pl/problemset/problem/Syg2bcb2gzeOcCBXcL4ap80b/site/&amp;sa=D&amp;ust=1605639832716000&amp;usg=AFQjCNFGxL3K5OMt8u8hwzNEJyCVexzwSw" xr:uid="{C4D3B942-3E61-4109-84A8-C0D1DD342917}"/>
    <hyperlink ref="F1475" r:id="rId2510" display="https://www.google.com/url?q=https://github.com/mostafa-saad/MyCompetitiveProgramming/blob/master/Olympiad/POI/POI-05-Bus.txt&amp;sa=D&amp;ust=1605639832716000&amp;usg=AFQjCNGnUAEvbV_B8iJ4qmMQ0R4R30yI1g" xr:uid="{335303E4-EFE9-40EE-BA37-51956D1F8443}"/>
    <hyperlink ref="B1476" r:id="rId2511" display="https://www.google.com/url?q=https://szkopul.edu.pl/problemset/problem/kxK8IowlpnNmHqkDDoK-hIeZ/site/&amp;sa=D&amp;ust=1605639832716000&amp;usg=AFQjCNEtebWljCl5UGOWPzMzRZT4bRRiIQ" xr:uid="{01B41DA2-525A-4EF0-A18F-E69D66E4D2E0}"/>
    <hyperlink ref="F1476" r:id="rId2512" display="https://www.google.com/url?q=https://github.com/mostafa-saad/MyCompetitiveProgramming/blob/master/Olympiad/POI/official/find_editorial_sols_guidelines.txt&amp;sa=D&amp;ust=1605639832716000&amp;usg=AFQjCNF6nLq6s1Q9vCPJOSx_sMkmDgbvvg" xr:uid="{EEF9CAA7-4B95-4746-82A4-B3BC2CCA8AB8}"/>
    <hyperlink ref="B1477" r:id="rId2513" display="https://www.google.com/url?q=https://szkopul.edu.pl/problemset/problem/p5XIDH2wrPz6KrUOJCv2RjGq/site/&amp;sa=D&amp;ust=1605639832717000&amp;usg=AFQjCNHW0klHvKcRrI8Y5G2kiqVFfSVmJg" xr:uid="{D4DF3E26-7A27-42A3-98D1-615479C64788}"/>
    <hyperlink ref="F1477" r:id="rId2514" display="https://www.google.com/url?q=https://github.com/sofhiasouza/CompetitiveProgramming/blob/master/POI/cash.cpp&amp;sa=D&amp;ust=1605639832717000&amp;usg=AFQjCNFMjN9kGoqy475qYthEziiexywtWg" xr:uid="{DBEBB6FC-1BA1-48AB-B3C7-0C79835CAFE3}"/>
    <hyperlink ref="B1478" r:id="rId2515" display="https://www.google.com/url?q=https://szkopul.edu.pl/problemset/problem/cB5m-M5ddsFOWLds2CwcYKge/site/&amp;sa=D&amp;ust=1605639832717000&amp;usg=AFQjCNHY8PNs5xD2V7_W1z5osIbnuDLk-w" xr:uid="{AAB399C4-2810-431D-A642-6D7C20FEBC64}"/>
    <hyperlink ref="F1478" r:id="rId2516" display="https://www.google.com/url?q=https://github.com/mostafa-saad/MyCompetitiveProgramming/blob/master/Olympiad/POI/POI-05-Double_Row.txt&amp;sa=D&amp;ust=1605639832717000&amp;usg=AFQjCNFF9IsBHQTwU4WyevbWAzvmzBCgEQ" xr:uid="{560DAE59-BFA6-44A5-92A9-497D81EE9CC6}"/>
    <hyperlink ref="B1479" r:id="rId2517" display="https://www.google.com/url?q=https://szkopul.edu.pl/problemset/problem/98e_K-Vvcg5TnMG4-hXTNsFG/site/&amp;sa=D&amp;ust=1605639832718000&amp;usg=AFQjCNFNZEueeidfZStXu6BF3dFB7Okd7g" xr:uid="{79EBE4A7-9897-4915-A81B-978F6ACCF2AA}"/>
    <hyperlink ref="F1479" r:id="rId2518" display="https://www.google.com/url?q=https://github.com/mostafa-saad/MyCompetitiveProgramming/blob/master/Olympiad/POI/POI-05-Fibonacci.txt&amp;sa=D&amp;ust=1605639832718000&amp;usg=AFQjCNEuS5YYmeLq9L70MIgZbuPXPhDNwA" xr:uid="{48ADA8EE-6EC8-4653-8D9B-F9AF8015462F}"/>
    <hyperlink ref="B1480" r:id="rId2519" display="https://www.google.com/url?q=https://szkopul.edu.pl/problemset/problem/oTpPdueVv1-3g247_-ejjcR_/site/&amp;sa=D&amp;ust=1605639832718000&amp;usg=AFQjCNFo3BZJW8S2IlnVo2BTXwbG8EMMXA" xr:uid="{B886E2E4-78EC-4B49-889D-286E872C3D18}"/>
    <hyperlink ref="F1480" r:id="rId2520" display="https://www.google.com/url?q=https://github.com/mostafa-saad/MyCompetitiveProgramming/blob/master/Olympiad/POI/official/find_editorial_sols_guidelines.txt&amp;sa=D&amp;ust=1605639832718000&amp;usg=AFQjCNH7PlNMsD7AL-HYbIaubliUBG_vmg" xr:uid="{701B2ED3-D693-40E0-9F93-F1AC510FED72}"/>
    <hyperlink ref="B1481" r:id="rId2521" display="https://www.google.com/url?q=https://szkopul.edu.pl/problemset/problem/mjJWZowf-KgF_KX1Hi0bUDZN/site/&amp;sa=D&amp;ust=1605639832719000&amp;usg=AFQjCNHjXdtcqlX9GMAx5zf5Bcq0PAsgmA" xr:uid="{06FCBDEB-2181-47FD-A8B2-36E27B472A26}"/>
    <hyperlink ref="F1481" r:id="rId2522" display="https://www.google.com/url?q=https://github.com/mostafa-saad/MyCompetitiveProgramming/blob/master/Olympiad/POI/official/find_editorial_sols_guidelines.txt&amp;sa=D&amp;ust=1605639832719000&amp;usg=AFQjCNEeXbgpfJNKdGG58oEHPvMb_6wsjA" xr:uid="{92E74848-234A-489A-993B-193CF52C4C48}"/>
    <hyperlink ref="B1482" r:id="rId2523" display="https://www.google.com/url?q=https://szkopul.edu.pl/problemset/problem/DKfNUFPEex9M2RZxld6pPcxT/site/&amp;sa=D&amp;ust=1605639832719000&amp;usg=AFQjCNH0sRdQp0UxAxWznkWB6PaY8f-t_A" xr:uid="{0451B434-FC3A-4F62-997B-420CE3875A8C}"/>
    <hyperlink ref="F1482" r:id="rId2524" display="https://www.google.com/url?q=https://github.com/mostafa-saad/MyCompetitiveProgramming/blob/master/Olympiad/POI/official/find_editorial_sols_guidelines.txt&amp;sa=D&amp;ust=1605639832719000&amp;usg=AFQjCNEeXbgpfJNKdGG58oEHPvMb_6wsjA" xr:uid="{953A5A56-51FB-41A6-B703-3EF8028F1C2B}"/>
    <hyperlink ref="B1483" r:id="rId2525" display="https://www.google.com/url?q=https://szkopul.edu.pl/problemset/problem/eC-cABL-jWd4JdZDmfWufeeQ/site/&amp;sa=D&amp;ust=1605639832720000&amp;usg=AFQjCNHhRoVrdYg6bRE6ybC496l5Eg-pxg" xr:uid="{4C9BC807-5F56-4406-987A-841909CA7411}"/>
    <hyperlink ref="F1483" r:id="rId2526" display="https://www.google.com/url?q=https://github.com/mostafa-saad/MyCompetitiveProgramming/blob/master/Olympiad/POI/POI-05-Parties.txt&amp;sa=D&amp;ust=1605639832721000&amp;usg=AFQjCNGQUNW4DWoeej9EhjcNih9o6Rtc_w" xr:uid="{C79313B8-9B51-4F95-A413-602EE48DB5CE}"/>
    <hyperlink ref="B1484" r:id="rId2527" display="https://www.google.com/url?q=https://szkopul.edu.pl/problemset/problem/w_-1ZgA1RSQ0IpPqx_1BXb6M/site/&amp;sa=D&amp;ust=1605639832721000&amp;usg=AFQjCNEx-1L9DsDefbFz-AWAhQTRrzceUw" xr:uid="{10276768-83F9-4E2D-A3C3-DCF8B63531FB}"/>
    <hyperlink ref="F1484" r:id="rId2528" display="https://www.google.com/url?q=https://github.com/mostafa-saad/MyCompetitiveProgramming/blob/master/Olympiad/POI/POI-05-Points.txt&amp;sa=D&amp;ust=1605639832721000&amp;usg=AFQjCNGGNWLlbQ7yZUtVt3Hk1a2xPtF14Q" xr:uid="{A6B3B96A-721C-4BCC-81C5-CA3AA14F8143}"/>
    <hyperlink ref="B1485" r:id="rId2529" display="https://www.google.com/url?q=https://szkopul.edu.pl/problemset/problem/PT4yHRX9Mmz85ndhNPGCi_WB/site/&amp;sa=D&amp;ust=1605639832721000&amp;usg=AFQjCNHB_YHSVQK0-Bcf1zLbgsGwyjt6bA" xr:uid="{C20503DF-E25E-4602-83AD-BC8EBF2AD87E}"/>
    <hyperlink ref="F1485" r:id="rId2530" display="https://www.google.com/url?q=https://github.com/mostafa-saad/MyCompetitiveProgramming/blob/master/Olympiad/POI/POI-05-Template.txt&amp;sa=D&amp;ust=1605639832721000&amp;usg=AFQjCNGFDrIjzhJC2ZDSQX8hex75lbKdMw" xr:uid="{99CE5AE5-4DAF-41BA-AAE8-9BD26F0C4725}"/>
    <hyperlink ref="B1486" r:id="rId2531" display="https://www.google.com/url?q=https://szkopul.edu.pl/problemset/problem/TPo3Eb_q2NKymvHo6kNvd5yx/site/&amp;sa=D&amp;ust=1605639832721000&amp;usg=AFQjCNGkAwP3ICD4EM3DB3QNQ7iwNuA0Bw" xr:uid="{438F9B1D-4E3F-4A3A-A13C-D63804202237}"/>
    <hyperlink ref="F1486" r:id="rId2532" display="https://www.google.com/url?q=https://github.com/mostafa-saad/MyCompetitiveProgramming/blob/master/Olympiad/POI/official/find_editorial_sols_guidelines.txt&amp;sa=D&amp;ust=1605639832722000&amp;usg=AFQjCNGhwjdFl_5aYlMO1aNMSiGE97Lt_w" xr:uid="{D3FF2A13-CEFF-4F8F-957B-93617E203078}"/>
    <hyperlink ref="B1487" r:id="rId2533" display="https://www.google.com/url?q=https://szkopul.edu.pl/problemset/problem/RLQLNV4gL3Y22K9B2GgEMQIj/site/&amp;sa=D&amp;ust=1605639832722000&amp;usg=AFQjCNE3m1gIjY5J35McUXq1ibAETTAVAw" xr:uid="{D2EE6645-6FD6-4574-A43B-7DEC2C4459BB}"/>
    <hyperlink ref="F1487" r:id="rId2534" display="https://www.google.com/url?q=https://github.com/mostafa-saad/MyCompetitiveProgramming/blob/master/Olympiad/POI/POI-06-Aesthetics.txt&amp;sa=D&amp;ust=1605639832722000&amp;usg=AFQjCNG5SprsVSouJsNXddsE9cG8xKtf-g" xr:uid="{92202293-183E-4C35-8FAB-A9751F284132}"/>
    <hyperlink ref="B1488" r:id="rId2535" display="https://www.google.com/url?q=https://szkopul.edu.pl/problemset/problem/YbQn6MpKAzvIhTNUXtp_ypXQ/site/&amp;sa=D&amp;ust=1605639832722000&amp;usg=AFQjCNEiuFFDQLlOvuIGkrlI8apkz6nuSA" xr:uid="{3FAD422D-394A-4EF2-9B74-6AF2818EFF08}"/>
    <hyperlink ref="F1488" r:id="rId2536" display="https://www.google.com/url?q=https://github.com/mostafa-saad/MyCompetitiveProgramming/blob/master/Olympiad/POI/official/find_editorial_sols_guidelines.txt&amp;sa=D&amp;ust=1605639832723000&amp;usg=AFQjCNF2jpRsoKY5Hgbu5NRdQARbC5c_AQ" xr:uid="{80CC5337-53C6-4C0B-8794-C1A3EB376A48}"/>
    <hyperlink ref="B1489" r:id="rId2537" display="https://www.google.com/url?q=https://szkopul.edu.pl/problemset/problem/d5W4-JZbz1vSmQCLIJ91__9N/site/&amp;sa=D&amp;ust=1605639832723000&amp;usg=AFQjCNHtuGWZ3FbciBPuDKwG2mh73sV9vg" xr:uid="{42A396DB-21B5-46E8-BFF0-DCBE6DEB5192}"/>
    <hyperlink ref="F1489" r:id="rId2538" display="https://www.google.com/url?q=https://github.com/mostafa-saad/MyCompetitiveProgramming/blob/master/Olympiad/POI/official/find_editorial_sols_guidelines.txt&amp;sa=D&amp;ust=1605639832723000&amp;usg=AFQjCNF2jpRsoKY5Hgbu5NRdQARbC5c_AQ" xr:uid="{760FC30E-6327-40FB-A326-E57FCD0076ED}"/>
    <hyperlink ref="B1490" r:id="rId2539" display="https://www.google.com/url?q=https://szkopul.edu.pl/problemset/problem/HH7LQVRVHom1g8YRe9423d1P/site/&amp;sa=D&amp;ust=1605639832723000&amp;usg=AFQjCNGM-8k6SFMBOekI9WInJ00O1GSKOQ" xr:uid="{BBE4FEED-3B8A-485A-B86B-D1DE286ED467}"/>
    <hyperlink ref="F1490" r:id="rId2540" display="https://www.google.com/url?q=https://github.com/mostafa-saad/MyCompetitiveProgramming/blob/master/Olympiad/POI/POI-06-Frogs.txt&amp;sa=D&amp;ust=1605639832724000&amp;usg=AFQjCNFaInElEq1fWimUPXHbn5fEgh0VDw" xr:uid="{157E4FB9-7A65-4742-A0C9-48258551F185}"/>
    <hyperlink ref="B1491" r:id="rId2541" display="https://www.google.com/url?q=https://szkopul.edu.pl/problemset/problem/4yTtNIf4H61mJrquuAIhoSh_/site/&amp;sa=D&amp;ust=1605639832724000&amp;usg=AFQjCNF25MHJZa_M8EgR8CLgPFeJpbYFIw" xr:uid="{71B8D863-0F7E-4CA2-9B1E-FF96E85AD3F7}"/>
    <hyperlink ref="F1491" r:id="rId2542" display="https://www.google.com/url?q=https://github.com/mostafa-saad/MyCompetitiveProgramming/blob/master/Olympiad/POI/POI-06-Invasion.txt&amp;sa=D&amp;ust=1605639832724000&amp;usg=AFQjCNFsKNCClAtmaneuT-urZSjqJ_PrLg" xr:uid="{778F69BA-34E6-47FC-AB49-A799E94874EA}"/>
    <hyperlink ref="B1492" r:id="rId2543" display="https://www.google.com/url?q=https://szkopul.edu.pl/problemset/problem/k9UKIj11V6iPRc3LaiYQYHyi/site/&amp;sa=D&amp;ust=1605639832725000&amp;usg=AFQjCNGAcbJjQ1KW3Bp84eza0lTXcLomKA" xr:uid="{4393C103-D9B3-402E-9231-A87E9453E1B9}"/>
    <hyperlink ref="F1492" r:id="rId2544" display="https://www.google.com/url?q=https://github.com/mostafa-saad/MyCompetitiveProgramming/blob/master/Olympiad/POI/official/find_editorial_sols_guidelines.txt&amp;sa=D&amp;ust=1605639832725000&amp;usg=AFQjCNH66WYwZdS1XQJXS_mmj3bTwIX4nw" xr:uid="{657F8838-0EC9-45C5-9476-DE2C845786ED}"/>
    <hyperlink ref="B1493" r:id="rId2545" display="https://www.google.com/url?q=https://szkopul.edu.pl/problemset/problem/6YiP6JA5U15hY94pLwuHoYPg/site/&amp;sa=D&amp;ust=1605639832725000&amp;usg=AFQjCNGLvzs3ZpH9RA7Q7_9oQTFJTEjs9w" xr:uid="{EA9E089E-734B-4211-9FEA-8488AFE8A8A3}"/>
    <hyperlink ref="F1493" r:id="rId2546" display="https://www.google.com/url?q=https://github.com/mostafa-saad/MyCompetitiveProgramming/blob/master/Olympiad/POI/POI-06-Ploughing.txt&amp;sa=D&amp;ust=1605639832725000&amp;usg=AFQjCNFfg2vTsIVx9i6IndPSZm2SZ-bOeg" xr:uid="{38B09C1A-6297-4DF0-A84B-568106F357BC}"/>
    <hyperlink ref="B1494" r:id="rId2547" display="https://www.google.com/url?q=https://szkopul.edu.pl/problemset/problem/EijIYL4qkxxGJGHaVVnvdmgY/site/&amp;sa=D&amp;ust=1605639832726000&amp;usg=AFQjCNF4_5xtIUonl8nU1dVzeoIHJE1-KA" xr:uid="{9D5A82E6-C495-48C1-B7ED-F8DB2A14225A}"/>
    <hyperlink ref="F1494" r:id="rId2548" display="https://www.google.com/url?q=https://github.com/mostafa-saad/MyCompetitiveProgramming/blob/master/Olympiad/POI/official/find_editorial_sols_guidelines.txt&amp;sa=D&amp;ust=1605639832726000&amp;usg=AFQjCNGiFq7Nhy1UmNu9EPDg_aTs15IrVQ" xr:uid="{218C5597-E9BB-414B-B187-C617D491905B}"/>
    <hyperlink ref="B1495" r:id="rId2549" display="https://www.google.com/url?q=https://szkopul.edu.pl/problemset/problem/7Tut6VBMo0evZZ34EhdNuuOm/site/&amp;sa=D&amp;ust=1605639832726000&amp;usg=AFQjCNH4fLtZfgAhAy3SPZ8uTmdO89x7HA" xr:uid="{C525859C-0A2A-415E-9DD9-1F2AC0F80B2D}"/>
    <hyperlink ref="F1495" r:id="rId2550" display="https://www.google.com/url?q=https://github.com/mostafa-saad/MyCompetitiveProgramming/blob/master/Olympiad/POI/POI-06-Sophie.txt&amp;sa=D&amp;ust=1605639832726000&amp;usg=AFQjCNG48tYgOHENl9cCUeqf8M-5OcelMg" xr:uid="{827187AA-D254-402C-874D-9B5A8AE5E984}"/>
    <hyperlink ref="B1496" r:id="rId2551" display="https://www.google.com/url?q=https://szkopul.edu.pl/problemset/problem/xFjhysZvLsUxEXMI-nHXao74/site/&amp;sa=D&amp;ust=1605639832726000&amp;usg=AFQjCNHb6-xPHK7NhrLYy8Kd3HcU5WZUdA" xr:uid="{3DE0A29A-76A7-4F86-A23F-D6D5B3869FF4}"/>
    <hyperlink ref="F1496" r:id="rId2552" display="https://www.google.com/url?q=https://github.com/mostafa-saad/MyCompetitiveProgramming/blob/master/Olympiad/POI/POI-06-Teddies.txt&amp;sa=D&amp;ust=1605639832727000&amp;usg=AFQjCNE5KS4GGb4q03r97WDaN2KdAiHamg" xr:uid="{2D8FD131-1B58-48F6-A826-AC37D31CA5A6}"/>
    <hyperlink ref="B1497" r:id="rId2553" display="https://www.google.com/url?q=https://szkopul.edu.pl/problemset/problem/OQjANSOOD_-c38gh8p6g3Gxp/site/&amp;sa=D&amp;ust=1605639832727000&amp;usg=AFQjCNFEEgqFsUqGKr10tabyrm_cgPPvHQ" xr:uid="{F6029FB6-037E-4034-A3E8-C22091F20E8B}"/>
    <hyperlink ref="F1497" r:id="rId2554" display="https://www.google.com/url?q=https://github.com/mostafa-saad/MyCompetitiveProgramming/blob/master/Olympiad/POI/POI-06-Tetris_3D.txt&amp;sa=D&amp;ust=1605639832727000&amp;usg=AFQjCNGV0a-lSdepAtZFuCaVQqaY3s3Xnw" xr:uid="{F8EF492D-393D-4A0C-9A4E-D4368DE6443B}"/>
    <hyperlink ref="B1498" r:id="rId2555" display="https://www.google.com/url?q=https://szkopul.edu.pl/problemset/problem/VutzcR1iPvGuYRGZgvNksmV1/site/&amp;sa=D&amp;ust=1605639832727000&amp;usg=AFQjCNErIYEUVwKjyQxTDXvoSyqK5QsaHA" xr:uid="{682094C1-964B-4D71-B35D-A1CF1F6D0BBA}"/>
    <hyperlink ref="F1498" r:id="rId2556" display="https://www.google.com/url?q=https://github.com/mostafa-saad/MyCompetitiveProgramming/blob/master/Olympiad/POI/POI-07-Flood.txt&amp;sa=D&amp;ust=1605639832727000&amp;usg=AFQjCNEv0vODuJhh8AAgczVHiMIu5xji1A" xr:uid="{6F7A3389-0797-461F-969D-B7156BA97C1B}"/>
    <hyperlink ref="B1499" r:id="rId2557" display="https://www.google.com/url?q=https://szkopul.edu.pl/problemset/problem/big2NUEzhdCqgGj0wGBjbw14/site/&amp;sa=D&amp;ust=1605639832728000&amp;usg=AFQjCNHORZIKUeXkPKQwCdjGCOWk1bFXuA" xr:uid="{90DEB19D-BBCF-46AC-AD84-2074A762B092}"/>
    <hyperlink ref="F1499" r:id="rId2558" display="https://www.google.com/url?q=https://github.com/mostafa-saad/MyCompetitiveProgramming/blob/master/Olympiad/POI/POI-07-Megalopolis.txt&amp;sa=D&amp;ust=1605639832729000&amp;usg=AFQjCNFthdzbLZ_T3hOvKKhX9WVNzsW9ZA" xr:uid="{A85B7FEC-AA21-4EEE-BFB5-D6D59CBD44C0}"/>
    <hyperlink ref="B1500" r:id="rId2559" display="https://www.google.com/url?q=https://szkopul.edu.pl/problemset/problem/G-ZVHDa7y3xWk2PQM27uNq3n/site/&amp;sa=D&amp;ust=1605639832729000&amp;usg=AFQjCNHOzFLKmgJXTyo-k8AqYSQRZ81xOw" xr:uid="{9BC8432F-BBD1-4573-A6F0-375CB53BD756}"/>
    <hyperlink ref="F1500" r:id="rId2560" display="https://www.google.com/url?q=https://github.com/mostafa-saad/MyCompetitiveProgramming/blob/master/Olympiad/POI/official/find_editorial_sols_guidelines.txt&amp;sa=D&amp;ust=1605639832729000&amp;usg=AFQjCNEJQO2ypRx96YSiuA1QQlzUBeSDgA" xr:uid="{65316180-50C8-47F7-AB49-433E34510E05}"/>
    <hyperlink ref="B1501" r:id="rId2561" display="https://www.google.com/url?q=https://szkopul.edu.pl/problemset/problem/zWn2E-v-nn-bozeXQrykmCgD/site/&amp;sa=D&amp;ust=1605639832729000&amp;usg=AFQjCNGRKisZj-d4H__r55DKicloyb6ysQ" xr:uid="{0CD57328-02AA-48B6-8DF2-3324D2BD96D7}"/>
    <hyperlink ref="F1501" r:id="rId2562" display="https://www.google.com/url?q=https://github.com/mostafa-saad/MyCompetitiveProgramming/blob/master/Olympiad/POI/POI-07-Pipelines.txt&amp;sa=D&amp;ust=1605639832729000&amp;usg=AFQjCNHkykWrLhy016Jm2eMGXwB3r2H9og" xr:uid="{FAFAC9F8-7D7C-4136-88AB-F82E15B741CA}"/>
    <hyperlink ref="B1502" r:id="rId2563" display="https://www.google.com/url?q=https://szkopul.edu.pl/problemset/problem/5UgslCU-C5vsermqgJGm_C5A/site/&amp;sa=D&amp;ust=1605639832730000&amp;usg=AFQjCNFUO71SK3OsxdX9CKcbT3zcJK8aog" xr:uid="{1C50002C-A94E-4FBE-9D9F-FD9E584C1142}"/>
    <hyperlink ref="F1502" r:id="rId2564" display="https://www.google.com/url?q=https://github.com/mostafa-saad/MyCompetitiveProgramming/blob/master/Olympiad/POI/POI-07-Quaternary.txt&amp;sa=D&amp;ust=1605639832730000&amp;usg=AFQjCNEXntJdpu_LoX0pz_KZUOThWYp9Iw" xr:uid="{E653943B-CAE7-43E8-8373-B0AD655A7DDC}"/>
    <hyperlink ref="B1503" r:id="rId2565" display="https://www.google.com/url?q=https://szkopul.edu.pl/problemset/problem/MVjuhH4JZu17rusHweyEdyJx/site/&amp;sa=D&amp;ust=1605639832730000&amp;usg=AFQjCNHH0KQA0ckdO1vVTeKhKsoTLrLmpw" xr:uid="{CAA3FFCF-7967-4F57-ABD9-2AE735AF913D}"/>
    <hyperlink ref="F1503" r:id="rId2566" display="https://www.google.com/url?q=https://github.com/mostafa-saad/MyCompetitiveProgramming/blob/master/Olympiad/POI/official/find_editorial_sols_guidelines.txt&amp;sa=D&amp;ust=1605639832730000&amp;usg=AFQjCNEeoO4emLWLsWA2b5TW6ZPExKhKbQ" xr:uid="{14F18943-8792-458B-BB77-307857526FB7}"/>
    <hyperlink ref="B1504" r:id="rId2567" display="https://www.google.com/url?q=https://szkopul.edu.pl/problemset/problem/ETArorvqQVqRUJRa4kx02f8D/site/&amp;sa=D&amp;ust=1605639832730000&amp;usg=AFQjCNGli2XAAld8lThAlYNJznQoUkgDfg" xr:uid="{A96343DD-F4C0-46BE-A01E-A1DA52C551B6}"/>
    <hyperlink ref="F1504" r:id="rId2568" display="https://www.google.com/url?q=https://github.com/mostafa-saad/MyCompetitiveProgramming/blob/master/Olympiad/POI/official/find_editorial_sols_guidelines.txt&amp;sa=D&amp;ust=1605639832731000&amp;usg=AFQjCNGLW9bFzqP-NWrqcxCrSYcbLOdnFA" xr:uid="{138D1D7D-52D5-4C11-BFBA-D2C063238D84}"/>
    <hyperlink ref="B1505" r:id="rId2569" display="https://www.google.com/url?q=https://szkopul.edu.pl/problemset/problem/U6ajLqOdhbPOfK02zqN8MmZf/site/&amp;sa=D&amp;ust=1605639832731000&amp;usg=AFQjCNEfZ2V2gGUZNtLy8lrP5n75lvIfjw" xr:uid="{2D5030D1-257F-4680-ABAF-61E85D0323DA}"/>
    <hyperlink ref="F1505" r:id="rId2570" display="https://www.google.com/url?q=https://github.com/mostafa-saad/MyCompetitiveProgramming/blob/master/Olympiad/POI/POI-07-Tetris.txt&amp;sa=D&amp;ust=1605639832731000&amp;usg=AFQjCNEWUGOWyxciXeaNHgDNxJZ9R0n6gg" xr:uid="{FAD6514B-8CF9-4BA6-985E-CBCD95A9395D}"/>
    <hyperlink ref="B1506" r:id="rId2571" display="https://www.google.com/url?q=https://szkopul.edu.pl/problemset/problem/_L_YGzT5VYJO9zHTfVRwPjwh/site/&amp;sa=D&amp;ust=1605639832731000&amp;usg=AFQjCNEN_XL8rr3tcwWXHQ4z7gPAawEhDw" xr:uid="{5B23C583-CBB5-4781-A1F8-71AF491ABF8C}"/>
    <hyperlink ref="F1506" r:id="rId2572" display="https://www.google.com/url?q=https://github.com/mostafa-saad/MyCompetitiveProgramming/blob/master/Olympiad/POI/POI-07-Tourist.txt&amp;sa=D&amp;ust=1605639832732000&amp;usg=AFQjCNEhj5bq2n3OIaaQqhzC9eGijXscfA" xr:uid="{29D4AF68-CB41-4617-988B-0C8FB98DAD69}"/>
    <hyperlink ref="B1507" r:id="rId2573" display="https://www.google.com/url?q=https://szkopul.edu.pl/problemset/problem/y7tXjqVq0gPZjc8kPrscs2CJ/site/&amp;sa=D&amp;ust=1605639832732000&amp;usg=AFQjCNGPiiarfaFKJc5BHfys2xmSHezwow" xr:uid="{BF8182DF-46CC-4387-87F7-AB45F2B8EF4B}"/>
    <hyperlink ref="F1507" r:id="rId2574" display="https://www.google.com/url?q=https://github.com/peon-pasado/CompetitiveProgramming/blob/master/szkoput/POI_07-Weights.cpp&amp;sa=D&amp;ust=1605639832732000&amp;usg=AFQjCNHlYGdy12dg3G6J8dehwwODZG-EkQ" xr:uid="{DA40E2FE-EB3A-4B4B-8E11-FE964EB6B26A}"/>
    <hyperlink ref="B1508" r:id="rId2575" display="https://www.google.com/url?q=https://szkopul.edu.pl/problemset/problem/Fej8rGpqWzXEi_qjK2Cmfe4Y/site/&amp;sa=D&amp;ust=1605639832732000&amp;usg=AFQjCNEEIqUx2OdX-j-6Ewr5oHBZ9IdgoA" xr:uid="{287A5CAA-993C-4177-AC3F-320F5546176E}"/>
    <hyperlink ref="F1508" r:id="rId2576" display="https://www.google.com/url?q=https://github.com/mostafa-saad/MyCompetitiveProgramming/blob/master/Olympiad/POI/POI-08-BBB.txt&amp;sa=D&amp;ust=1605639832732000&amp;usg=AFQjCNHqUKbLTK6vGhtUavXf8G4-QWFX3Q" xr:uid="{5EB9217D-AD8B-4B19-AB79-A7556512D8A5}"/>
    <hyperlink ref="B1509" r:id="rId2577" display="https://www.google.com/url?q=https://szkopul.edu.pl/problemset/problem/KC7c6nYfAXCbCGszqhIeOGxP/site/&amp;sa=D&amp;ust=1605639832732000&amp;usg=AFQjCNHeOs76eqQlML-o7CG4VTC9Y3E27Q" xr:uid="{6CFBAA70-7AA8-47A8-91C3-6530B44D2059}"/>
    <hyperlink ref="F1509" r:id="rId2578" display="https://www.google.com/url?q=https://github.com/mostafa-saad/MyCompetitiveProgramming/blob/master/Olympiad/POI/official/find_editorial_sols_guidelines.txt&amp;sa=D&amp;ust=1605639832733000&amp;usg=AFQjCNG-3-jDXrCBsl_z8WgUA_CJ2oBMkQ" xr:uid="{2899D1C0-ECBE-4975-B0AB-15E6D059DC99}"/>
    <hyperlink ref="B1510" r:id="rId2579" display="https://www.google.com/url?q=https://szkopul.edu.pl/problemset/problem/XNaC6RSk8o9MIJkuaL6O4t0u/site/&amp;sa=D&amp;ust=1605639832733000&amp;usg=AFQjCNFZgf4DARrAbzq-Y5-7ErKYxUUeGg" xr:uid="{C79F226F-1BB4-479C-9990-A4C49C721476}"/>
    <hyperlink ref="F1510" r:id="rId2580" display="https://www.google.com/url?q=https://github.com/mostafa-saad/MyCompetitiveProgramming/blob/master/Olympiad/POI/POI-08-Escape.txt&amp;sa=D&amp;ust=1605639832733000&amp;usg=AFQjCNEHnqnbS5jSiUZ7aNxxtiw_OVAnHQ" xr:uid="{C18CEB97-182B-4C98-942E-22C1F1A89CC3}"/>
    <hyperlink ref="B1511" r:id="rId2581" display="https://www.google.com/url?q=https://szkopul.edu.pl/problemset/problem/0EGjXu64CRLc5S2-EQOZ0eR1/site/&amp;sa=D&amp;ust=1605639832733000&amp;usg=AFQjCNHHG9OJ1z91RhjW7tPkQwqcT7XSfQ" xr:uid="{079ECA78-D464-4D1E-A13E-BD271F665BF3}"/>
    <hyperlink ref="F1511" r:id="rId2582" display="https://www.google.com/url?q=https://github.com/mostafa-saad/MyCompetitiveProgramming/blob/master/Olympiad/POI/official/find_editorial_sols_guidelines.txt&amp;sa=D&amp;ust=1605639832734000&amp;usg=AFQjCNFAcDv_7amkngAUXozw_z22ZJ3Kew" xr:uid="{268C3C11-C227-4750-8D3B-2C4EDF326070}"/>
    <hyperlink ref="B1512" r:id="rId2583" display="https://www.google.com/url?q=https://szkopul.edu.pl/problemset/problem/w3YAoAT3ej27YeiaNWjK57_G/site/&amp;sa=D&amp;ust=1605639832734000&amp;usg=AFQjCNFKF0s38fsCiiOzMaI1xE6t5HybVw" xr:uid="{A43B2034-1E13-4E6F-98D5-2EC87B754485}"/>
    <hyperlink ref="F1512" r:id="rId2584" display="https://www.google.com/url?q=https://github.com/mostafa-saad/MyCompetitiveProgramming/blob/master/Olympiad/POI/POI-08-Mafia.txt&amp;sa=D&amp;ust=1605639832734000&amp;usg=AFQjCNFeu11jYe9pgA_dIkPIcz1Hyz7msQ" xr:uid="{71859A6E-B7CF-4E11-823D-3A8062F68FD1}"/>
    <hyperlink ref="B1513" r:id="rId2585" display="https://www.google.com/url?q=https://szkopul.edu.pl/problemset/problem/XcJ1RDGPzzspbYBm4xHCVpWM/site/&amp;sa=D&amp;ust=1605639832734000&amp;usg=AFQjCNGP9t8a-0TlUgGu0B_-3xZjS4f8Jw" xr:uid="{70EC182D-ACA9-4B2D-B835-B125D8F590C8}"/>
    <hyperlink ref="F1513" r:id="rId2586" display="https://www.google.com/url?q=https://github.com/mostafa-saad/MyCompetitiveProgramming/blob/master/Olympiad/POI/official/find_editorial_sols_guidelines.txt&amp;sa=D&amp;ust=1605639832734000&amp;usg=AFQjCNFAcDv_7amkngAUXozw_z22ZJ3Kew" xr:uid="{6F84E3FF-5518-4572-BF1A-83F9D5071D89}"/>
    <hyperlink ref="B1514" r:id="rId2587" display="https://www.google.com/url?q=https://szkopul.edu.pl/problemset/problem/etwe8b5zlM4uVn4dpxr32ua8/site/&amp;sa=D&amp;ust=1605639832735000&amp;usg=AFQjCNETPRCN4qIEs_47x-_EvXWilKGg8Q" xr:uid="{2AFD0DC7-C640-4F4A-B600-455197C8B814}"/>
    <hyperlink ref="F1514" r:id="rId2588" display="https://www.google.com/url?q=https://github.com/mostafa-saad/MyCompetitiveProgramming/blob/master/Olympiad/POI/POI-08-Permutation.txt&amp;sa=D&amp;ust=1605639832735000&amp;usg=AFQjCNGg0NodLY75WGAue4k5ycUCMvjOjg" xr:uid="{6433685C-6180-4D06-BB92-9705D4FBFD79}"/>
    <hyperlink ref="B1515" r:id="rId2589" display="https://www.google.com/url?q=https://szkopul.edu.pl/problemset/problem/hwbyoUkNFPXQLOPcw3x5huTR/site/&amp;sa=D&amp;ust=1605639832736000&amp;usg=AFQjCNFODehBkQFCvBKDVA6b8nD6Bs3DXw" xr:uid="{AB23CB41-D0EB-4826-B9DE-0619BB11882B}"/>
    <hyperlink ref="F1515" r:id="rId2590" display="https://www.google.com/url?q=https://github.com/mostafa-saad/MyCompetitiveProgramming/blob/master/Olympiad/POI/official/find_editorial_sols_guidelines.txt&amp;sa=D&amp;ust=1605639832736000&amp;usg=AFQjCNG_naUuTDvT_ZpKT3X-iUpGZ6X7xg" xr:uid="{5268657E-9412-49BE-B281-A1DA5053E800}"/>
    <hyperlink ref="B1516" r:id="rId2591" display="https://www.google.com/url?q=https://szkopul.edu.pl/problemset/problem/NZhJzNZct1iBas2bPCvlvls5/site/&amp;sa=D&amp;ust=1605639832736000&amp;usg=AFQjCNFZF64qs8PNl93Zz7TVvpBsA5oUEQ" xr:uid="{3E8E00DD-2E0C-4FB0-B04A-84278C62AAB4}"/>
    <hyperlink ref="F1516" r:id="rId2592" display="https://www.google.com/url?q=https://github.com/mostafa-saad/MyCompetitiveProgramming/blob/master/Olympiad/POI/official/find_editorial_sols_guidelines.txt&amp;sa=D&amp;ust=1605639832736000&amp;usg=AFQjCNG_naUuTDvT_ZpKT3X-iUpGZ6X7xg" xr:uid="{FC41BD5A-DA0D-4169-BC42-070F3A6C9D83}"/>
    <hyperlink ref="B1517" r:id="rId2593" display="https://www.google.com/url?q=https://szkopul.edu.pl/problemset/problem/oSpFEpvAxKNk0Il-nOe5L9El/site/&amp;sa=D&amp;ust=1605639832736000&amp;usg=AFQjCNEfK67-1aOYQiEPSqsQ90YkyreNbw" xr:uid="{3A075488-3431-4A03-9E7F-3AD12662B97F}"/>
    <hyperlink ref="F1517" r:id="rId2594" display="https://www.google.com/url?q=https://github.com/mostafa-saad/MyCompetitiveProgramming/blob/master/Olympiad/POI/POI-08-Robinson.txt&amp;sa=D&amp;ust=1605639832736000&amp;usg=AFQjCNF_kGnVFyvj70npGEKgxAptviREhw" xr:uid="{7722C4ED-984D-45C2-92F9-9F62A81217C9}"/>
    <hyperlink ref="B1518" r:id="rId2595" display="https://www.google.com/url?q=https://szkopul.edu.pl/problemset/problem/xDISetKx9cPPrOT_t2ZqgEyr/site/&amp;sa=D&amp;ust=1605639832737000&amp;usg=AFQjCNG0tEPD01bsyCA4aB3CfDxPcX1pxQ" xr:uid="{E09B210D-3CCB-47B6-A73F-624134B2782A}"/>
    <hyperlink ref="F1518" r:id="rId2596" display="https://www.google.com/url?q=https://github.com/mostafa-saad/MyCompetitiveProgramming/blob/master/Olympiad/POI/official/find_editorial_sols_guidelines.txt&amp;sa=D&amp;ust=1605639832737000&amp;usg=AFQjCNHbPRZ-ZUnwqmRY546b4OL3fnbroQ" xr:uid="{68574177-3213-4AC9-8754-9F09A118E34A}"/>
    <hyperlink ref="B1519" r:id="rId2597" display="https://www.google.com/url?q=https://szkopul.edu.pl/problemset/problem/zQvxlGgoPvqRrAK0TuLeWIRD/site/&amp;sa=D&amp;ust=1605639832737000&amp;usg=AFQjCNFk_Ff4X1LQJpCNaZkNJ3MjTeF6Ww" xr:uid="{261088AA-3956-446B-94A3-72DA92B987B0}"/>
    <hyperlink ref="F1519" r:id="rId2598" display="https://www.google.com/url?q=https://github.com/mostafa-saad/MyCompetitiveProgramming/blob/master/Olympiad/POI/official/find_editorial_sols_guidelines.txt&amp;sa=D&amp;ust=1605639832737000&amp;usg=AFQjCNHbPRZ-ZUnwqmRY546b4OL3fnbroQ" xr:uid="{6A1D5EE6-D712-4CE3-8BAE-7C0C61A69B6C}"/>
    <hyperlink ref="B1520" r:id="rId2599" display="https://www.google.com/url?q=https://szkopul.edu.pl/problemset/problem/ci05UTAWBFeYYWnidnK1zzQl/site/&amp;sa=D&amp;ust=1605639832737000&amp;usg=AFQjCNEpeOuxJNo-ONiLuTqV0uqemy0EDg" xr:uid="{7A0C02C8-C55C-4E27-94C9-C49221EA0D7C}"/>
    <hyperlink ref="F1520" r:id="rId2600" display="https://www.google.com/url?q=https://github.com/mostafa-saad/MyCompetitiveProgramming/blob/master/Olympiad/POI/POI-08-Triangles.txt&amp;sa=D&amp;ust=1605639832737000&amp;usg=AFQjCNEiIQYHwz9Ki8x5fmp9FC9JCY0PxA" xr:uid="{F73384D3-DC74-44F7-AC38-25D174793C19}"/>
    <hyperlink ref="B1521" r:id="rId2601" display="https://www.google.com/url?q=https://szkopul.edu.pl/problemset/problem/-MwFkVBU5fdldohfNl-xSjHa/site/&amp;sa=D&amp;ust=1605639832738000&amp;usg=AFQjCNG356uqpzaedsdvKkJPHGWarK-vJg" xr:uid="{4E9C26B2-A211-42BC-8F61-A5E21D4EFFCE}"/>
    <hyperlink ref="F1521" r:id="rId2602" display="https://www.google.com/url?q=https://github.com/mostafa-saad/MyCompetitiveProgramming/blob/master/Olympiad/POI/official/find_editorial_sols_guidelines.txt&amp;sa=D&amp;ust=1605639832738000&amp;usg=AFQjCNHYiKFtBeUG42yKDSY6asoT0h6FmQ" xr:uid="{A24FBD1F-3539-4241-B03D-8D55CA5F39E4}"/>
    <hyperlink ref="B1522" r:id="rId2603" display="https://www.google.com/url?q=https://szkopul.edu.pl/problemset/problem/NuGiXg5BO8iuLFU7vmhCmNWK/site/&amp;sa=D&amp;ust=1605639832738000&amp;usg=AFQjCNEVqMrAQ7g24k11D6amp373f1X7xA" xr:uid="{7DBABACA-7B55-40F4-ACEB-A9B8C311D012}"/>
    <hyperlink ref="F1522" r:id="rId2604" display="https://www.google.com/url?q=https://github.com/mostafa-saad/MyCompetitiveProgramming/blob/master/Olympiad/POI/official/find_editorial_sols_guidelines.txt&amp;sa=D&amp;ust=1605639832738000&amp;usg=AFQjCNHYiKFtBeUG42yKDSY6asoT0h6FmQ" xr:uid="{8064C2B7-0893-40E0-AC59-C519FD1696B8}"/>
    <hyperlink ref="B1523" r:id="rId2605" display="https://www.google.com/url?q=https://szkopul.edu.pl/problemset/problem/pBkLSmvYN2S1-4G9s8UqOB7s/site/&amp;sa=D&amp;ust=1605639832738000&amp;usg=AFQjCNGDCPfqDH5fi8XoaYkztRyO6LQUPQ" xr:uid="{F8E2F9BF-C7DB-43AD-9B39-1EC5885F5227}"/>
    <hyperlink ref="F1523" r:id="rId2606" display="https://www.google.com/url?q=https://github.com/mostafa-saad/MyCompetitiveProgramming/blob/master/Olympiad/POI/POI-09-Code.txt&amp;sa=D&amp;ust=1605639832738000&amp;usg=AFQjCNGSNtrb4qxlAafoxdM0VCD9x30rkA" xr:uid="{4BEE1D9A-9F58-4C1C-A193-FCF53F9885C0}"/>
    <hyperlink ref="B1524" r:id="rId2607" display="https://www.google.com/url?q=https://szkopul.edu.pl/problemset/problem/Z8dyWFvoZuAJMjzLhqu4IH2o/site/&amp;sa=D&amp;ust=1605639832739000&amp;usg=AFQjCNEXbl4K_FKIqvU7ymyVLmyUG_1xaA" xr:uid="{227EA62B-85F0-47BE-A096-4122D5195839}"/>
    <hyperlink ref="F1524" r:id="rId2608" display="https://www.google.com/url?q=https://github.com/mostafa-saad/MyCompetitiveProgramming/blob/master/Olympiad/POI/official/find_editorial_sols_guidelines.txt&amp;sa=D&amp;ust=1605639832739000&amp;usg=AFQjCNFKRoYdG9iXNQt7O_glsZ7PWG_ktg" xr:uid="{BF76E371-50E6-498D-9AE9-85803A0F938B}"/>
    <hyperlink ref="B1525" r:id="rId2609" display="https://www.google.com/url?q=https://szkopul.edu.pl/problemset/problem/kZ-a2gIkpjJEOzq6pJ5jUW7f/site/&amp;sa=D&amp;ust=1605639832739000&amp;usg=AFQjCNE5yOIIRDZDF_bepE6flfWrjBHMmQ" xr:uid="{D018C892-38C5-447A-924C-C41729B7F7F4}"/>
    <hyperlink ref="F1525" r:id="rId2610" display="https://www.google.com/url?q=https://github.com/mostafa-saad/MyCompetitiveProgramming/blob/master/Olympiad/POI/POI-09-Fire.txt&amp;sa=D&amp;ust=1605639832739000&amp;usg=AFQjCNGzCu2EdOTIA8CIXKvEwo8SDK7BNg" xr:uid="{333FB38A-BAFA-4503-9B04-97321DBFBBF9}"/>
    <hyperlink ref="B1526" r:id="rId2611" display="https://www.google.com/url?q=https://szkopul.edu.pl/problemset/problem/EwpbJWZPly_zZ5i4ytg_8fDE/site/&amp;sa=D&amp;ust=1605639832739000&amp;usg=AFQjCNF-SHs4ucFci80hpvV5djoaLJlTLw" xr:uid="{FB259792-8A89-4215-AE64-1328703D51E2}"/>
    <hyperlink ref="F1526" r:id="rId2612" display="https://www.google.com/url?q=https://github.com/mostafa-saad/MyCompetitiveProgramming/blob/master/Olympiad/POI/POI-09-Ice_Skates.txt&amp;sa=D&amp;ust=1605639832739000&amp;usg=AFQjCNHt9CFhYB5hMCvXHh93Xfr3EsEuGw" xr:uid="{E07A7774-CDE8-4D96-AFC2-79A98738A63C}"/>
    <hyperlink ref="B1527" r:id="rId2613" display="https://www.google.com/url?q=https://szkopul.edu.pl/problemset/problem/uABxo7lIMMVDn0-HB1wCE02w/site/&amp;sa=D&amp;ust=1605639832740000&amp;usg=AFQjCNGqxcKbRvPZrED3lbK_yUrityaYig" xr:uid="{A012C6AB-4537-4D3D-BED3-12C74F02B1F6}"/>
    <hyperlink ref="F1527" r:id="rId2614" display="https://www.google.com/url?q=https://github.com/mostafa-saad/MyCompetitiveProgramming/blob/master/Olympiad/POI/official/find_editorial_sols_guidelines.txt&amp;sa=D&amp;ust=1605639832740000&amp;usg=AFQjCNEYCkDWUkCj_WsMxb7J57ryftQsCQ" xr:uid="{E24AEA82-D860-47B7-B103-EB0061C080B4}"/>
    <hyperlink ref="B1528" r:id="rId2615" display="https://www.google.com/url?q=https://szkopul.edu.pl/problemset/problem/X_XFcxCm1xIAk2alKtQLN79O/site/&amp;sa=D&amp;ust=1605639832740000&amp;usg=AFQjCNGBsFu2J5vPUpNx5mOv7_6bKcZsTw" xr:uid="{A126DB1E-3188-450A-BA24-CD8DB2E9A047}"/>
    <hyperlink ref="F1528" r:id="rId2616" display="https://www.google.com/url?q=https://github.com/mostafa-saad/MyCompetitiveProgramming/blob/master/Olympiad/POI/POI-09-Island.txt&amp;sa=D&amp;ust=1605639832740000&amp;usg=AFQjCNH2EdH2HfhbjGuwOxN4z2Tfyyrf5A" xr:uid="{0CC98D29-33F6-4DE2-AEAF-E2B211BF0A0B}"/>
    <hyperlink ref="B1529" r:id="rId2617" display="https://www.google.com/url?q=https://szkopul.edu.pl/problemset/problem/E4CCHJSbYzxeGWXMnBZHkPnm/site/&amp;sa=D&amp;ust=1605639832740000&amp;usg=AFQjCNEb352tW_l6wlGw1Fhm8ia_acqjWw" xr:uid="{B67B9A6F-0B38-457A-B8B1-95DD2F2BA528}"/>
    <hyperlink ref="F1529" r:id="rId2618" display="https://www.google.com/url?q=https://github.com/mostafa-saad/MyCompetitiveProgramming/blob/master/Olympiad/POI/official/find_editorial_sols_guidelines.txt&amp;sa=D&amp;ust=1605639832740000&amp;usg=AFQjCNEYCkDWUkCj_WsMxb7J57ryftQsCQ" xr:uid="{8F497D7F-413F-4673-8AA6-B52CB9C6CB32}"/>
    <hyperlink ref="B1530" r:id="rId2619" display="https://www.google.com/url?q=https://szkopul.edu.pl/problemset/problem/F_PC7j8VzjiPwlNqg9Jr_tFg/site/&amp;sa=D&amp;ust=1605639832741000&amp;usg=AFQjCNEY6WnEsC7YzEezoBPdG2m4EXhsdg" xr:uid="{0A6E9BD7-0CF4-4250-9D65-9FC6999F1DBF}"/>
    <hyperlink ref="F1530" r:id="rId2620" display="https://www.google.com/url?q=https://github.com/mostafa-saad/MyCompetitiveProgramming/blob/master/Olympiad/POI/POI-09-Walk.txt&amp;sa=D&amp;ust=1605639832741000&amp;usg=AFQjCNEhSB2Ta55PQG0RnTLo0UEU37mnhw" xr:uid="{AA8A9B5E-FF24-4354-9654-45D9ADD8A049}"/>
    <hyperlink ref="B1531" r:id="rId2621" display="https://www.google.com/url?q=https://szkopul.edu.pl/problemset/problem/CP4mQc-h-Vkg--I1g49xovQj/site/&amp;sa=D&amp;ust=1605639832742000&amp;usg=AFQjCNHY2qMwCS3m4q06UqZRITKDQw1wsw" xr:uid="{EDD46055-1D51-4276-8FE7-3BC9C5567B99}"/>
    <hyperlink ref="F1531" r:id="rId2622" display="https://www.google.com/url?q=https://github.com/mostafa-saad/MyCompetitiveProgramming/blob/master/Olympiad/POI/POI-09-Words.txt&amp;sa=D&amp;ust=1605639832742000&amp;usg=AFQjCNHyBba57__HRINiX9JEot6K1BmXsQ" xr:uid="{EAD589DC-A5A9-4D63-8486-3CA1C6528053}"/>
    <hyperlink ref="B1532" r:id="rId2623" display="https://www.google.com/url?q=https://szkopul.edu.pl/problemset/problem/iiSZmNzhLW2p6YVBDu0gIf4G/site/&amp;sa=D&amp;ust=1605639832743000&amp;usg=AFQjCNG3Vzu4e0NHLno0qKIvq3XKghRvgw" xr:uid="{08A46B0C-E9DA-4C1E-92B7-A72230DA3840}"/>
    <hyperlink ref="F1532" r:id="rId2624" display="https://www.google.com/url?q=https://github.com/peon-pasado/CompetitiveProgramming/blob/master/szkoput/POI-10-Beads.cpp&amp;sa=D&amp;ust=1605639832743000&amp;usg=AFQjCNGXlNJTGZthSnG-XUZzL141gREeMQ" xr:uid="{573390D5-E9E9-40C0-A487-90A0B7D0AC44}"/>
    <hyperlink ref="B1533" r:id="rId2625" display="https://www.google.com/url?q=https://szkopul.edu.pl/problemset/problem/4BL9eUWjrvT7ecMUJcmSuJI3/site/&amp;sa=D&amp;ust=1605639832743000&amp;usg=AFQjCNHMWQ-FJk6puiBqCQ6Kpte899KVZA" xr:uid="{05DDE157-E0A7-411C-A436-3FE99F739404}"/>
    <hyperlink ref="F1533" r:id="rId2626" display="https://www.google.com/url?q=https://ideone.com/iOUxs7&amp;sa=D&amp;ust=1605639832743000&amp;usg=AFQjCNHD9_CiHx68Vki3BhnPAd7AKvuXMg" xr:uid="{5C9164DF-F16E-4AB8-AD70-077B13A06483}"/>
    <hyperlink ref="B1534" r:id="rId2627" display="https://www.google.com/url?q=https://szkopul.edu.pl/problemset/problem/gh2Yj6Ckrt4Lo_RojONuljuC/site/&amp;sa=D&amp;ust=1605639832743000&amp;usg=AFQjCNESrBLN7F1pSoML6eOP_U756WsfdQ" xr:uid="{81E37D75-7EB6-488C-90F9-2A04A7416010}"/>
    <hyperlink ref="F1534" r:id="rId2628" display="https://www.google.com/url?q=https://github.com/mostafa-saad/MyCompetitiveProgramming/blob/master/Olympiad/POI/POI-10-Bridges.txt&amp;sa=D&amp;ust=1605639832744000&amp;usg=AFQjCNHKrT2j_6vrl_cWcmdtqAnMLO2sog" xr:uid="{525A5A00-CB8E-42BA-915A-6EBEBF271E1B}"/>
    <hyperlink ref="B1535" r:id="rId2629" display="https://www.google.com/url?q=https://szkopul.edu.pl/problemset/problem/hOwg83Xw_OnTpfQ9SroS0OJA/site/&amp;sa=D&amp;ust=1605639832744000&amp;usg=AFQjCNH93rAexWYxErbwSutQMvYRtMvaGQ" xr:uid="{6A96463C-AD5C-435A-AD0E-8EDBB8FD8707}"/>
    <hyperlink ref="F1535" r:id="rId2630" display="https://www.google.com/url?q=https://github.com/mostafa-saad/MyCompetitiveProgramming/blob/master/Olympiad/POI/official/find_editorial_sols_guidelines.txt&amp;sa=D&amp;ust=1605639832744000&amp;usg=AFQjCNHb-F4DJQQ9Rik7cq8Cidk90sZEwg" xr:uid="{B438648E-EE85-45BA-B6A2-A802A0EBC28A}"/>
    <hyperlink ref="B1536" r:id="rId2631" display="https://www.google.com/url?q=https://szkopul.edu.pl/problemset/problem/qDH9CkBHZKHY4vbKRBlXPrA7/site/&amp;sa=D&amp;ust=1605639832744000&amp;usg=AFQjCNFLuGJlvF68IZ7Ez9zQ9-i9-_z8rQ" xr:uid="{854DDD66-3F08-4788-AAB9-DED12BD3290F}"/>
    <hyperlink ref="F1536" r:id="rId2632" display="https://www.google.com/url?q=https://github.com/mostafa-saad/MyCompetitiveProgramming/blob/master/Olympiad/POI/official/find_editorial_sols_guidelines.txt&amp;sa=D&amp;ust=1605639832745000&amp;usg=AFQjCNE0q1YlXCXLSM-XCwhPvgXWrvhRIQ" xr:uid="{ED59FE27-82CB-4747-A606-0A025FDDE4EE}"/>
    <hyperlink ref="B1537" r:id="rId2633" display="https://www.google.com/url?q=https://szkopul.edu.pl/problemset/problem/3buviDQZWLE83AxVhvJJurgU/site/&amp;sa=D&amp;ust=1605639832745000&amp;usg=AFQjCNHn6KFbiA5ztKSYNTpODZBQU_NBlg" xr:uid="{150D2832-E15D-4036-95CC-D94863FB2175}"/>
    <hyperlink ref="F1537" r:id="rId2634" display="https://www.google.com/url?q=https://github.com/mostafa-saad/MyCompetitiveProgramming/blob/master/Olympiad/POI/official/find_editorial_sols_guidelines.txt&amp;sa=D&amp;ust=1605639832745000&amp;usg=AFQjCNE0q1YlXCXLSM-XCwhPvgXWrvhRIQ" xr:uid="{742A5F23-60EF-4AAC-8578-F817E964DDD2}"/>
    <hyperlink ref="B1538" r:id="rId2635" display="https://www.google.com/url?q=https://szkopul.edu.pl/problemset/problem/oTsXNiT3SD45VgVS2zqQWj7F/site/&amp;sa=D&amp;ust=1605639832745000&amp;usg=AFQjCNEJmtUqq6seD7dP8JBtSm4lGutYlg" xr:uid="{ADCDAD2F-4728-49FA-86DD-187F63E59977}"/>
    <hyperlink ref="F1538" r:id="rId2636" display="https://www.google.com/url?q=https://github.com/mostafa-saad/MyCompetitiveProgramming/blob/master/Olympiad/POI/official/find_editorial_sols_guidelines.txt&amp;sa=D&amp;ust=1605639832745000&amp;usg=AFQjCNE0q1YlXCXLSM-XCwhPvgXWrvhRIQ" xr:uid="{14060ACD-6481-49C5-BA6F-12C600BC050E}"/>
    <hyperlink ref="B1539" r:id="rId2637" display="https://www.google.com/url?q=https://szkopul.edu.pl/problemset/problem/qQGtOc61vnHgCrs01ORC7iD1/site/&amp;sa=D&amp;ust=1605639832746000&amp;usg=AFQjCNHTcSxRY5sCgbCGh-D33mCRw4L-0A" xr:uid="{16E16BC5-7E68-4EEA-902C-AF030EA3105F}"/>
    <hyperlink ref="F1539" r:id="rId2638" display="https://www.google.com/url?q=https://github.com/mostafa-saad/MyCompetitiveProgramming/blob/master/Olympiad/POI/official/find_editorial_sols_guidelines.txt&amp;sa=D&amp;ust=1605639832746000&amp;usg=AFQjCNEi8V0NOFkJxBE_HAq8EcZ_0umfrQ" xr:uid="{6A2F802F-99DD-4107-B76E-50EAF956E112}"/>
    <hyperlink ref="B1540" r:id="rId2639" display="https://www.google.com/url?q=https://szkopul.edu.pl/problemset/problem/WXVRycanis3d1h5p63YZqYKs/site/&amp;sa=D&amp;ust=1605639832746000&amp;usg=AFQjCNEjN2ZGDxreXW9JfZKqCV37Y0-6cg" xr:uid="{85205916-904C-4D4B-B25B-CBE8BC182298}"/>
    <hyperlink ref="F1540" r:id="rId2640" display="https://www.google.com/url?q=https://github.com/mostafa-saad/MyCompetitiveProgramming/blob/master/Olympiad/POI/official/find_editorial_sols_guidelines.txt&amp;sa=D&amp;ust=1605639832746000&amp;usg=AFQjCNEi8V0NOFkJxBE_HAq8EcZ_0umfrQ" xr:uid="{C0F2DA0E-8FA1-41C3-B393-5E19CB43213D}"/>
    <hyperlink ref="B1541" r:id="rId2641" display="https://www.google.com/url?q=https://szkopul.edu.pl/problemset/problem/ttMOxHYN1BPMG8oXYiIzIXB9/site/&amp;sa=D&amp;ust=1605639832746000&amp;usg=AFQjCNHAaeoKx7YlJ7lNGim4wsvhkRmQ7A" xr:uid="{C8FD1CE7-0789-46FD-9A3B-ECF59A5B85E4}"/>
    <hyperlink ref="F1541" r:id="rId2642" display="https://www.google.com/url?q=https://github.com/mostafa-saad/MyCompetitiveProgramming/blob/master/Olympiad/POI/official/find_editorial_sols_guidelines.txt&amp;sa=D&amp;ust=1605639832746000&amp;usg=AFQjCNEi8V0NOFkJxBE_HAq8EcZ_0umfrQ" xr:uid="{48A2E3A0-C6BC-4872-97AB-2A8DADDADDFC}"/>
    <hyperlink ref="B1542" r:id="rId2643" display="https://www.google.com/url?q=https://szkopul.edu.pl/problemset/problem/lcU5m2RAICwNHsdzydb8JTQw/site/&amp;sa=D&amp;ust=1605639832747000&amp;usg=AFQjCNHlX3k1_qDR2ZScb5spzdgfQKh6Zw" xr:uid="{51F09A4D-5797-4924-A2C3-C2FF11EA6600}"/>
    <hyperlink ref="F1542" r:id="rId2644" display="https://www.google.com/url?q=https://github.com/mostafa-saad/MyCompetitiveProgramming/blob/master/Olympiad/POI/POI-10-Pilots.txt&amp;sa=D&amp;ust=1605639832747000&amp;usg=AFQjCNEmXcq5sKnqsXL1mifPL-xu1ipw4A" xr:uid="{D34156E1-496F-44A2-B2A0-9D3C41F2D28B}"/>
    <hyperlink ref="B1543" r:id="rId2645" display="https://www.google.com/url?q=https://szkopul.edu.pl/problemset/problem/TJVrS_hRC8W5Q6ZBW6mETAIm/site/&amp;sa=D&amp;ust=1605639832747000&amp;usg=AFQjCNHA_6ZtaaX_Gr8rlvNYCbXdym-oPg" xr:uid="{C75ADAB0-0A7B-45E8-B7EB-86058440D666}"/>
    <hyperlink ref="F1543" r:id="rId2646" display="https://www.google.com/url?q=https://github.com/mostafa-saad/MyCompetitiveProgramming/blob/master/Olympiad/POI/official/find_editorial_sols_guidelines.txt&amp;sa=D&amp;ust=1605639832747000&amp;usg=AFQjCNEcuYsVn_PP5DN84xC18LGJVGVT4w" xr:uid="{D46E2EE7-52C6-4136-A596-A2B4655244E7}"/>
    <hyperlink ref="B1544" r:id="rId2647" display="https://www.google.com/url?q=https://szkopul.edu.pl/problemset/problem/YjtAwdQrSiGcE_RLiEJpGiYE/site/&amp;sa=D&amp;ust=1605639832747000&amp;usg=AFQjCNEGEirwzW1JNAH8GIwTUCL4vKIJhA" xr:uid="{BB0AE520-6CE6-4F35-A9A4-D2512ECC5465}"/>
    <hyperlink ref="F1544" r:id="rId2648" display="https://www.google.com/url?q=https://github.com/mostafa-saad/MyCompetitiveProgramming/blob/master/Olympiad/POI/POI-10-Sheep.txt&amp;sa=D&amp;ust=1605639832747000&amp;usg=AFQjCNG54bNKjYDTm5ngchXug2lIR82pkw" xr:uid="{9E877AA1-A6C8-46D4-B6E6-53BB58B8F076}"/>
    <hyperlink ref="B1545" r:id="rId2649" display="https://www.google.com/url?q=https://szkopul.edu.pl/problemset/problem/fKO3YZL0f_UM1nHQNDvw7mku/site/&amp;sa=D&amp;ust=1605639832748000&amp;usg=AFQjCNH7j3ZG30d2_YvS99fousJ3Wcohfw" xr:uid="{3D684396-9F29-43FB-80D8-507B89A1FB8C}"/>
    <hyperlink ref="F1545" r:id="rId2650" display="https://www.google.com/url?q=https://github.com/mostafa-saad/MyCompetitiveProgramming/blob/master/Olympiad/POI/official/find_editorial_sols_guidelines.txt&amp;sa=D&amp;ust=1605639832748000&amp;usg=AFQjCNHTgkbcx-JnvxM6snYeJGuBr9BYHg" xr:uid="{1A336D9B-BF1C-49DB-AB0D-FA42DBD61A18}"/>
    <hyperlink ref="B1546" r:id="rId2651" display="https://www.google.com/url?q=https://szkopul.edu.pl/problemset/problem/Arkza0f7GKKb-m1YZJulnlMk/site/&amp;sa=D&amp;ust=1605639832748000&amp;usg=AFQjCNFFqaM3lnVLBLiIt-bPoJKTCS4OcA" xr:uid="{1FB5B453-4EE6-42D6-9FFB-5A668FB92B05}"/>
    <hyperlink ref="F1546" r:id="rId2652" display="https://www.google.com/url?q=https://github.com/mostafa-saad/MyCompetitiveProgramming/blob/master/Olympiad/POI/official/find_editorial_sols_guidelines.txt&amp;sa=D&amp;ust=1605639832748000&amp;usg=AFQjCNHTgkbcx-JnvxM6snYeJGuBr9BYHg" xr:uid="{5F6CD622-1BC6-4D0D-B831-38B283672AAC}"/>
    <hyperlink ref="B1547" r:id="rId2653" display="https://www.google.com/url?q=https://oj.uz/problem/view/POI11_pio&amp;sa=D&amp;ust=1605639832748000&amp;usg=AFQjCNG2eRLPJWQ9Id7zbyHwjq0XVKesvA" xr:uid="{2C1CAFCA-1029-4266-B52D-967CD1F8E271}"/>
    <hyperlink ref="F1547" r:id="rId2654" display="https://www.google.com/url?q=https://github.com/mostafa-saad/MyCompetitiveProgramming/blob/master/Olympiad/POI/POI-11-Conductor.txt&amp;sa=D&amp;ust=1605639832749000&amp;usg=AFQjCNEBfgjykh_FaQ72rH4FnWa4DXkfzA" xr:uid="{BD8E33AB-811D-4D47-8EA1-9FBC46AC7DFD}"/>
    <hyperlink ref="B1548" r:id="rId2655" display="https://www.google.com/url?q=https://oj.uz/problem/view/POI11_pro&amp;sa=D&amp;ust=1605639832749000&amp;usg=AFQjCNGpjCpLjW8TV_laBBhaZpHX69qa-Q" xr:uid="{30363D65-3DD9-4A2F-9E94-FB6D2A09544B}"/>
    <hyperlink ref="F1548" r:id="rId2656" display="https://www.google.com/url?q=https://github.com/mostafa-saad/MyCompetitiveProgramming/blob/master/Olympiad/POI/POI-11-Contest.txt&amp;sa=D&amp;ust=1605639832749000&amp;usg=AFQjCNHuq_rvNDIeF3hchSWj6Fp5ZLI79A" xr:uid="{10606CFB-8DA7-4340-B860-2C78E23F5414}"/>
    <hyperlink ref="B1549" r:id="rId2657" display="https://www.google.com/url?q=https://szkopul.edu.pl/problemset/problem/xmyBMI5AsEiW30_RyePNSXiG/site/&amp;sa=D&amp;ust=1605639832749000&amp;usg=AFQjCNGNBcqBLZlHAjX9BT5DzBHL_ovMHg" xr:uid="{FCC9A58D-6048-4DC5-8289-8C37B320B55E}"/>
    <hyperlink ref="F1549" r:id="rId2658" display="https://www.google.com/url?q=https://github.com/mostafa-saad/MyCompetitiveProgramming/blob/master/Olympiad/POI/official/find_editorial_sols_guidelines.txt&amp;sa=D&amp;ust=1605639832750000&amp;usg=AFQjCNEeuy0c7BojsU1n-np6UoghjeFa5Q" xr:uid="{67E223E8-2799-4BF8-BBDC-A4C3D9072B8B}"/>
    <hyperlink ref="B1550" r:id="rId2659" display="https://www.google.com/url?q=https://oj.uz/problem/view/POI11_dyn&amp;sa=D&amp;ust=1605639832750000&amp;usg=AFQjCNFi7KzDtQGfVcQXvdg4Ki_mujK23Q" xr:uid="{EED7D11C-1509-48B3-9870-48AEB9BF69B2}"/>
    <hyperlink ref="F1550" r:id="rId2660" display="https://www.google.com/url?q=https://github.com/mostafa-saad/MyCompetitiveProgramming/blob/master/Olympiad/POI/official/find_editorial_sols_guidelines.txt&amp;sa=D&amp;ust=1605639832750000&amp;usg=AFQjCNEeuy0c7BojsU1n-np6UoghjeFa5Q" xr:uid="{E01B7553-42BD-47D3-A566-1A0C0EAF23B1}"/>
    <hyperlink ref="B1551" r:id="rId2661" display="https://www.google.com/url?q=https://oj.uz/problem/view/POI11_smi&amp;sa=D&amp;ust=1605639832750000&amp;usg=AFQjCNG-jwmeBiCm60KB7Zu2wv0rxEAbKw" xr:uid="{E74C48B7-29CB-49F3-A06D-E37ECF0EE833}"/>
    <hyperlink ref="F1551" r:id="rId2662" display="https://www.google.com/url?q=https://github.com/nikolapesic2802/Programming-Practice/blob/master/Garbage/main.cpp&amp;sa=D&amp;ust=1605639832750000&amp;usg=AFQjCNEjlFEwIg_9n2ex5s-pBvsm84N_6Q" xr:uid="{D091B8D6-7245-433A-8DE0-607B1833FB30}"/>
    <hyperlink ref="B1552" r:id="rId2663" display="https://www.google.com/url?q=https://oj.uz/problem/view/POI11_imp&amp;sa=D&amp;ust=1605639832750000&amp;usg=AFQjCNGpC7TLHvlWlEA2Rb7yVmsy-nUDgQ" xr:uid="{ABA17A2A-8C1D-4821-8578-C538BAB17F69}"/>
    <hyperlink ref="F1552" r:id="rId2664" display="https://www.google.com/url?q=https://github.com/mostafa-saad/MyCompetitiveProgramming/blob/master/Olympiad/POI/official/find_editorial_sols_guidelines.txt&amp;sa=D&amp;ust=1605639832751000&amp;usg=AFQjCNFpH9m7x1NPpc46_XZV0aAvFjp-Fw" xr:uid="{E52AB9B8-B1CB-4816-BA73-AC7E99D89865}"/>
    <hyperlink ref="B1553" r:id="rId2665" display="https://www.google.com/url?q=https://oj.uz/problem/view/POI11_ins&amp;sa=D&amp;ust=1605639832751000&amp;usg=AFQjCNFN9diqz4ECmJ6L1_3xOpj5D_7orQ" xr:uid="{B4EC534A-EE10-4E4C-B65A-57365F63C29B}"/>
    <hyperlink ref="F1553" r:id="rId2666" display="https://www.google.com/url?q=https://github.com/mostafa-saad/MyCompetitiveProgramming/blob/master/Olympiad/POI/POI-11-ins.txt&amp;sa=D&amp;ust=1605639832751000&amp;usg=AFQjCNH_rgVYAPVUl9zYkXyS43SQMAPsvQ" xr:uid="{178D508B-2ED1-4858-9597-38A011C15E48}"/>
    <hyperlink ref="B1554" r:id="rId2667" display="https://www.google.com/url?q=https://szkopul.edu.pl/problemset/problem/YPme8cPuC1zbS3oA0euLxywx/site/&amp;sa=D&amp;ust=1605639832751000&amp;usg=AFQjCNHkfW_jP1Nx9FqR8hIGv2q6ouhnWQ" xr:uid="{5683AAD6-92EE-44A8-B2FD-ED8B02E839BD}"/>
    <hyperlink ref="F1554" r:id="rId2668" display="https://www.google.com/url?q=https://github.com/dolphingarlic/CompetitiveProgramming/blob/master/POI/POI-11-Lollipop.txt&amp;sa=D&amp;ust=1605639832751000&amp;usg=AFQjCNEO3YqkZNHGQbj1Tcvev6hECUdw9Q" xr:uid="{3ED84307-1C6C-41A7-A5F4-A4318EAF248D}"/>
    <hyperlink ref="B1555" r:id="rId2669" display="https://www.google.com/url?q=https://oj.uz/problem/view/POI11_okr&amp;sa=D&amp;ust=1605639832751000&amp;usg=AFQjCNEDItXuRSNaIDpwd4y1jr6oqFqyOg" xr:uid="{386E50E2-0509-454E-9BAD-A68266CFB9E0}"/>
    <hyperlink ref="F1555" r:id="rId2670" display="https://www.google.com/url?q=https://github.com/mostafa-saad/MyCompetitiveProgramming/blob/master/Olympiad/POI/POI-11-okr.txt&amp;sa=D&amp;ust=1605639832751000&amp;usg=AFQjCNGsNyYGqrr6H3JqpcI883lG40fpYg" xr:uid="{8BCAD535-9798-48F7-B7AC-881D16E3CC80}"/>
    <hyperlink ref="B1556" r:id="rId2671" display="https://www.google.com/url?q=https://oj.uz/problem/view/POI11_prz&amp;sa=D&amp;ust=1605639832752000&amp;usg=AFQjCNHwhQf_ESslu3ZZwrkj66qh4Je70A" xr:uid="{9F2AAC10-A909-484A-9664-54F7CD619F3D}"/>
    <hyperlink ref="F1556" r:id="rId2672" display="https://www.google.com/url?q=https://github.com/mostafa-saad/MyCompetitiveProgramming/blob/master/Olympiad/POI/official/find_editorial_sols_guidelines.txt&amp;sa=D&amp;ust=1605639832752000&amp;usg=AFQjCNGTA8S8HQmHaAURzp9cjhG7SE1SbQ" xr:uid="{0F44E0DC-BFF4-456A-8C81-F77A13105AB3}"/>
    <hyperlink ref="B1557" r:id="rId2673" display="https://www.google.com/url?q=https://szkopul.edu.pl/problemset/problem/b0BM0al2crQBt6zovEtJfOc6/site/?key%3Dstatement&amp;sa=D&amp;ust=1605639832752000&amp;usg=AFQjCNGdIh0vvpK-qEWs6o6L4S-n-aYczw" xr:uid="{FD2A1A3E-C26E-47A1-8882-0DE5BD606ABE}"/>
    <hyperlink ref="F1557" r:id="rId2674" display="https://www.google.com/url?q=https://github.com/Szawinis/CompetitiveProgramming/blob/master/Olympiad/POI/POI11-Rotation2.cpp&amp;sa=D&amp;ust=1605639832752000&amp;usg=AFQjCNHTPatvmrjK_41LnlgYWbiWwxUX9A" xr:uid="{9B7BF5A0-B732-46DA-8853-8E84B89A047B}"/>
    <hyperlink ref="B1558" r:id="rId2675" display="https://www.google.com/url?q=https://oj.uz/problem/view/POI11_rot&amp;sa=D&amp;ust=1605639832752000&amp;usg=AFQjCNFczOwbzr4_JMTI4F-a6rBHAmCg4g" xr:uid="{C2107468-D1C3-4A56-BE09-1BB3BF1FF6DC}"/>
    <hyperlink ref="F1558" r:id="rId2676" display="https://www.google.com/url?q=https://github.com/mostafa-saad/MyCompetitiveProgramming/blob/master/Olympiad/POI/official/find_editorial_sols_guidelines.txt&amp;sa=D&amp;ust=1605639832752000&amp;usg=AFQjCNGTA8S8HQmHaAURzp9cjhG7SE1SbQ" xr:uid="{1922B6A1-CEDD-497E-9120-9C42FE8A837D}"/>
    <hyperlink ref="B1559" r:id="rId2677" display="https://www.google.com/url?q=https://oj.uz/problem/view/POI11_sej&amp;sa=D&amp;ust=1605639832753000&amp;usg=AFQjCNG5YTsRNF5HKiGBd0dlEB23JQ27SQ" xr:uid="{F9DE9410-5488-489C-A888-12E6E843C808}"/>
    <hyperlink ref="F1559" r:id="rId2678" display="https://www.google.com/url?q=https://github.com/mostafa-saad/MyCompetitiveProgramming/blob/master/Olympiad/POI/POI-11-sej.txt&amp;sa=D&amp;ust=1605639832753000&amp;usg=AFQjCNHKqctUHwccL3i3UFb3Lcdfbh2p1g" xr:uid="{163AB794-8B7B-4573-A718-79114437716D}"/>
    <hyperlink ref="B1560" r:id="rId2679" display="https://www.google.com/url?q=https://oj.uz/problem/view/POI11_pat&amp;sa=D&amp;ust=1605639832753000&amp;usg=AFQjCNE7lVGALGuaNcYoczQdRwi9lC214w" xr:uid="{302573C5-6066-41AB-9DDE-5F31DBE6C838}"/>
    <hyperlink ref="F1560" r:id="rId2680" display="https://www.google.com/url?q=https://github.com/mostafa-saad/MyCompetitiveProgramming/blob/master/Olympiad/POI/POI-11-Sticks.txt&amp;sa=D&amp;ust=1605639832753000&amp;usg=AFQjCNFu8uRR6FGcNhn8srnKEnpHgsQ2gg" xr:uid="{18F67111-8D9D-41A0-B3A3-BDD73D1FDFA2}"/>
    <hyperlink ref="B1561" r:id="rId2681" display="https://www.google.com/url?q=https://oj.uz/problem/view/POI11_tem&amp;sa=D&amp;ust=1605639832753000&amp;usg=AFQjCNEDbGGR3uR6k4efz_1rBTVCj0ZkWg" xr:uid="{E31FDD54-DE19-412F-B0A4-87D5D6EBB27C}"/>
    <hyperlink ref="F1561" r:id="rId2682" display="https://www.google.com/url?q=https://github.com/nikolapesic2802/Programming-Practice/blob/master/Temperature/main.cpp&amp;sa=D&amp;ust=1605639832753000&amp;usg=AFQjCNGyOyFUqWramOTWnz6TgHMEkdt9Lg" xr:uid="{FAF3C3E6-A96A-457A-8607-9188DED780DD}"/>
    <hyperlink ref="B1562" r:id="rId2683" display="https://www.google.com/url?q=https://oj.uz/problem/view/POI11_wyk&amp;sa=D&amp;ust=1605639832754000&amp;usg=AFQjCNFjbAokY_FGtLI75_DGkpmEgt4oMQ" xr:uid="{F5BB5850-AD01-4F00-8FA0-D1749D444A94}"/>
    <hyperlink ref="F1562" r:id="rId2684" display="https://www.google.com/url?q=https://github.com/mostafa-saad/MyCompetitiveProgramming/blob/master/Olympiad/POI/official/find_editorial_sols_guidelines.txt&amp;sa=D&amp;ust=1605639832754000&amp;usg=AFQjCNE1eRPu5aSNf41ivv7QHMjClfcwTQ" xr:uid="{AB657CA3-F0D8-46B7-AE87-7ACE8B184D10}"/>
    <hyperlink ref="B1563" r:id="rId2685" display="https://www.google.com/url?q=https://szkopul.edu.pl/problemset/problem/Phel_x2Ny30OUh7z1RhCtzEG/site/&amp;sa=D&amp;ust=1605639832754000&amp;usg=AFQjCNFA0PyDK5_90PYD3JNTijGYy6oVCQ" xr:uid="{9580292D-BCBE-4C81-800E-F6D1F32751B2}"/>
    <hyperlink ref="F1563" r:id="rId2686" display="https://www.google.com/url?q=https://github.com/mostafa-saad/MyCompetitiveProgramming/blob/master/Olympiad/POI/official/find_editorial_sols_guidelines.txt&amp;sa=D&amp;ust=1605639832754000&amp;usg=AFQjCNE1eRPu5aSNf41ivv7QHMjClfcwTQ" xr:uid="{BB5E7A67-E672-4462-ADC3-C07EDE129456}"/>
    <hyperlink ref="B1564" r:id="rId2687" display="https://www.google.com/url?q=https://szkopul.edu.pl/problemset/problem/p9uJo01RR9ouMLLAYroFuQ-7/site/&amp;sa=D&amp;ust=1605639832755000&amp;usg=AFQjCNEcLm0VX1u6TXGyABELXmLSduPrhg" xr:uid="{4FE6B4F0-E663-442C-88E0-C83C574E3DC3}"/>
    <hyperlink ref="F1564" r:id="rId2688" display="https://www.google.com/url?q=https://github.com/mostafa-saad/MyCompetitiveProgramming/blob/master/Olympiad/POI/official/find_editorial_sols_guidelines.txt&amp;sa=D&amp;ust=1605639832755000&amp;usg=AFQjCNHksHzoawqhobzpp7XjOKppOw_8rQ" xr:uid="{940B33F8-B2FF-4B9E-90D0-145CE83691A3}"/>
    <hyperlink ref="B1565" r:id="rId2689" display="https://www.google.com/url?q=https://szkopul.edu.pl/problemset/problem/7u_14yXL3mR3mO0seZLusF5U/site/&amp;sa=D&amp;ust=1605639832755000&amp;usg=AFQjCNF9ZQDSLTs_7sYnZf7TJgMS3Vf8tA" xr:uid="{255B2D5C-3792-4236-8546-16F1707F801F}"/>
    <hyperlink ref="F1565" r:id="rId2690" display="https://www.google.com/url?q=https://github.com/mostafa-saad/MyCompetitiveProgramming/blob/master/Olympiad/POI/official/find_editorial_sols_guidelines.txt&amp;sa=D&amp;ust=1605639832755000&amp;usg=AFQjCNHksHzoawqhobzpp7XjOKppOw_8rQ" xr:uid="{43CBF6AB-3622-4CC7-BF43-D9966A1D6CBC}"/>
    <hyperlink ref="B1566" r:id="rId2691" display="https://www.google.com/url?q=https://szkopul.edu.pl/problemset/problem/W54iZIwStF1TYWRxa1bdVPQo/site/&amp;sa=D&amp;ust=1605639832756000&amp;usg=AFQjCNECuNzSlmzJC4m8Y9a8xsFJQUmhxw" xr:uid="{95FF485A-AC68-4812-82BB-51C059AFA6AF}"/>
    <hyperlink ref="F1566" r:id="rId2692" display="https://www.google.com/url?q=https://github.com/mostafa-saad/MyCompetitiveProgramming/blob/master/Olympiad/POI/official/find_editorial_sols_guidelines.txt&amp;sa=D&amp;ust=1605639832756000&amp;usg=AFQjCNHOK9EBeZNDHU8dIVvvUAnORxMs2Q" xr:uid="{BFF9DC59-8C27-4301-B747-DBB9C75C88CA}"/>
    <hyperlink ref="B1567" r:id="rId2693" display="https://www.google.com/url?q=https://szkopul.edu.pl/problemset/problem/DkPj-ES6glaEwxppbuaxbOO6/site/&amp;sa=D&amp;ust=1605639832756000&amp;usg=AFQjCNEoJRI2RlokPgTcnxrcoKlC3G16cg" xr:uid="{2B59D9C6-2906-4E35-BF1E-1448E1D8841D}"/>
    <hyperlink ref="F1567" r:id="rId2694" display="https://www.google.com/url?q=https://github.com/mostafa-saad/MyCompetitiveProgramming/blob/master/Olympiad/POI/POI-12-Prefixuffix.txt&amp;sa=D&amp;ust=1605639832756000&amp;usg=AFQjCNGWM99mj8EbqcRKZsPT55dGk9yLpA" xr:uid="{6B689A8F-49BA-4982-83FE-94872164D00D}"/>
    <hyperlink ref="B1568" r:id="rId2695" display="https://www.google.com/url?q=https://szkopul.edu.pl/problemset/problem/MZTXfOVnJmac175TTH5Lr9Q3/site/&amp;sa=D&amp;ust=1605639832756000&amp;usg=AFQjCNEeTE4YNow_a29ANcsj92JPQdiONw" xr:uid="{507750F0-2A59-4CD8-A0D7-6538F48B08E6}"/>
    <hyperlink ref="F1568" r:id="rId2696" display="https://www.google.com/url?q=https://github.com/mostafa-saad/MyCompetitiveProgramming/blob/master/Olympiad/POI/official/find_editorial_sols_guidelines.txt&amp;sa=D&amp;ust=1605639832757000&amp;usg=AFQjCNGECw3ddc7HEnofOaFdYrnmNF4n7A" xr:uid="{C7632502-387F-4025-B548-D8994C037026}"/>
    <hyperlink ref="B1569" r:id="rId2697" display="https://www.google.com/url?q=https://szkopul.edu.pl/problemset/problem/_qn633f6DVAHRkv0OX3LQaph/site/&amp;sa=D&amp;ust=1605639832757000&amp;usg=AFQjCNGrytMf8hNNI6haR8fK1ZiIKw2BfQ" xr:uid="{4FFAEA37-88E5-43CE-A9C1-7BBD9C2CC6D5}"/>
    <hyperlink ref="F1569" r:id="rId2698" display="https://www.google.com/url?q=https://github.com/mostafa-saad/MyCompetitiveProgramming/blob/master/Olympiad/POI/POI-12-Salaries.txt&amp;sa=D&amp;ust=1605639832757000&amp;usg=AFQjCNH2M1_gr7H-t9yKajFvvPn9mgwAQg" xr:uid="{C6C6F780-CCF8-4253-AEB8-BCF9A1FE29B9}"/>
    <hyperlink ref="B1570" r:id="rId2699" display="https://www.google.com/url?q=https://szkopul.edu.pl/problemset/problem/lo_jOsVfQ4ajCSHxFGZS27W-/site/?key%3Dstatement&amp;sa=D&amp;ust=1605639832757000&amp;usg=AFQjCNHehtbG2VTKZ2Tmta4Q_AaBeNfIMg" xr:uid="{949F10EC-EAF0-4E2F-8868-79FA92F4B2B7}"/>
    <hyperlink ref="F1570" r:id="rId2700" display="https://www.google.com/url?q=https://github.com/mostafa-saad/MyCompetitiveProgramming/blob/master/Olympiad/POI/POI-12-Squarks.txt&amp;sa=D&amp;ust=1605639832757000&amp;usg=AFQjCNE2HJ7oCDlXPlMn-CtFMjFFZBmFfw" xr:uid="{BB99A238-E551-4FDE-A65D-FD4C47379AD6}"/>
    <hyperlink ref="B1571" r:id="rId2701" display="https://www.google.com/url?q=https://szkopul.edu.pl/problemset/problem/xfTByTABS18uZ1lmg4wQkVf2/site/&amp;sa=D&amp;ust=1605639832757000&amp;usg=AFQjCNGS97D6n8ydlTw_1F95CcxBCBBcGg" xr:uid="{994BD86A-CFD0-4DA2-BAC6-32DDDA578305}"/>
    <hyperlink ref="F1571" r:id="rId2702" display="https://www.google.com/url?q=https://github.com/mostafa-saad/MyCompetitiveProgramming/blob/master/Olympiad/POI/official/find_editorial_sols_guidelines.txt&amp;sa=D&amp;ust=1605639832758000&amp;usg=AFQjCNH47kGECJGv3ybGv0Eq0T662LrXRA" xr:uid="{AF0B726A-0128-44CA-B26F-3E53ADCD0EB5}"/>
    <hyperlink ref="B1572" r:id="rId2703" display="https://www.google.com/url?q=https://szkopul.edu.pl/problemset/problem/70gcrAV-ccXlJa6gMBpOqV1u/site/&amp;sa=D&amp;ust=1605639832758000&amp;usg=AFQjCNETpOFjBplb7-OskSzGtzSvQfq6Aw" xr:uid="{4B597864-8D87-4095-9B07-C874B1F0955A}"/>
    <hyperlink ref="F1572" r:id="rId2704" display="https://www.google.com/url?q=https://github.com/mostafa-saad/MyCompetitiveProgramming/blob/master/Olympiad/POI/POI-12-WarehouseStore.txt&amp;sa=D&amp;ust=1605639832758000&amp;usg=AFQjCNHTnMd7bBadJw7yzDqYZufbUsNKIg" xr:uid="{CDD35189-15FD-4DC4-9EB3-14D32688695D}"/>
    <hyperlink ref="B1573" r:id="rId2705" display="https://www.google.com/url?q=https://szkopul.edu.pl/problemset/problem/S-cyTRH8ScRh-XfLPAsXCQ0e/site/&amp;sa=D&amp;ust=1605639832758000&amp;usg=AFQjCNEVQReVE3nHWPbdf1ahPGGEChfH3g" xr:uid="{464B626B-B172-4A91-9B7B-0A6678DCAFC2}"/>
    <hyperlink ref="F1573" r:id="rId2706" display="https://www.google.com/url?q=https://github.com/mostafa-saad/MyCompetitiveProgramming/blob/master/Olympiad/POI/official/find_editorial_sols_guidelines.txt&amp;sa=D&amp;ust=1605639832758000&amp;usg=AFQjCNH47kGECJGv3ybGv0Eq0T662LrXRA" xr:uid="{3D484B92-EEE2-47B0-8CC7-634A1E718361}"/>
    <hyperlink ref="B1574" r:id="rId2707" display="https://www.google.com/url?q=https://szkopul.edu.pl/problemset/problem/i3cF1qQtiXwmwOc_5qRB0ufC/site/&amp;sa=D&amp;ust=1605639832759000&amp;usg=AFQjCNFU1I5rzFxyWePFmgEFeue_5D4Y9w" xr:uid="{CEFBCDAD-E3FC-47FC-BA4F-953526D1B5F4}"/>
    <hyperlink ref="F1574" r:id="rId2708" display="https://www.google.com/url?q=https://www.dropbox.com/s/smryqdsty3vu5br/Bytecomputer.cpp?dl%3D0&amp;sa=D&amp;ust=1605639832759000&amp;usg=AFQjCNGfIv1L-xAbo4HZO0O4KDMzNz4BTw" xr:uid="{8A301CA3-CE83-4A43-B7D9-F2F556A10A59}"/>
    <hyperlink ref="B1575" r:id="rId2709" display="https://www.google.com/url?q=https://szkopul.edu.pl/problemset/problem/SXtZ8jxPUjMD5cLWqCI1EZLT/site/&amp;sa=D&amp;ust=1605639832759000&amp;usg=AFQjCNGooGaghHzFKOC5P61SICVh8oixGg" xr:uid="{D05EC1EE-6E17-4D58-8800-BDA6D810EDFB}"/>
    <hyperlink ref="F1575" r:id="rId2710" display="https://www.google.com/url?q=https://github.com/mostafa-saad/MyCompetitiveProgramming/blob/master/Olympiad/POI/official/find_editorial_sols_guidelines.txt&amp;sa=D&amp;ust=1605639832759000&amp;usg=AFQjCNHIMJzGUfikQplL92bk6hFLEYeMWA" xr:uid="{F540865F-1C34-4DBC-8B53-0659B288F406}"/>
    <hyperlink ref="B1576" r:id="rId2711" display="https://www.google.com/url?q=https://oj.uz/problem/view/POI13_gob&amp;sa=D&amp;ust=1605639832759000&amp;usg=AFQjCNEkgyEWqURRMAwAnzz5rZAdKobsSQ" xr:uid="{4499F308-6158-4D92-808E-8DDB3F57EA54}"/>
    <hyperlink ref="F1576" r:id="rId2712" display="https://www.google.com/url?q=https://github.com/mostafa-saad/MyCompetitiveProgramming/blob/master/Olympiad/POI/official/find_editorial_sols_guidelines.txt&amp;sa=D&amp;ust=1605639832759000&amp;usg=AFQjCNHIMJzGUfikQplL92bk6hFLEYeMWA" xr:uid="{F62DF42B-1BC3-4F9E-B448-777D04655201}"/>
    <hyperlink ref="B1577" r:id="rId2713" display="https://www.google.com/url?q=https://oj.uz/problem/view/POI13_ins&amp;sa=D&amp;ust=1605639832760000&amp;usg=AFQjCNEV9bFhWQ-pnSfIFUd82TsG_8WPww" xr:uid="{A9EA562D-E337-436E-A42B-EF0EF6B8AEB0}"/>
    <hyperlink ref="F1577" r:id="rId2714" display="https://www.google.com/url?q=https://github.com/mostafa-saad/MyCompetitiveProgramming/blob/master/Olympiad/POI/official/find_editorial_sols_guidelines.txt&amp;sa=D&amp;ust=1605639832760000&amp;usg=AFQjCNFwC06ffwe2MBpn8E7nbs3S5wXrUg" xr:uid="{68C2BA68-07CF-4985-8711-3403EBE4D4B3}"/>
    <hyperlink ref="B1578" r:id="rId2715" display="https://www.google.com/url?q=https://oj.uz/problem/view/POI13_kon&amp;sa=D&amp;ust=1605639832760000&amp;usg=AFQjCNHoi_2cdF6g-U4X_rB0ggQR0zPlzA" xr:uid="{D0D3C595-8175-4988-8A09-DA9DBEB4A76B}"/>
    <hyperlink ref="F1578" r:id="rId2716" display="https://www.google.com/url?q=https://github.com/mostafa-saad/MyCompetitiveProgramming/blob/master/Olympiad/POI/POI-13-kon.txt&amp;sa=D&amp;ust=1605639832760000&amp;usg=AFQjCNEMIKLxM4GuQfwiqMJAscDzRuDyag" xr:uid="{D259D47F-49BA-4FCE-B92E-48214EA3EFE1}"/>
    <hyperlink ref="B1579" r:id="rId2717" display="https://www.google.com/url?q=https://oj.uz/problem/view/POI13_luk&amp;sa=D&amp;ust=1605639832760000&amp;usg=AFQjCNHNo_LkSPllldiQTPbid9Ju5tUMSA" xr:uid="{04233FA6-724E-42A3-AAA6-D386C513487C}"/>
    <hyperlink ref="F1579" r:id="rId2718" display="https://www.google.com/url?q=https://github.com/mostafa-saad/MyCompetitiveProgramming/blob/master/Olympiad/POI/official/find_editorial_sols_guidelines.txt&amp;sa=D&amp;ust=1605639832760000&amp;usg=AFQjCNFwC06ffwe2MBpn8E7nbs3S5wXrUg" xr:uid="{A8FAFD62-5970-4616-B4AB-E14FC96C45BA}"/>
    <hyperlink ref="B1580" r:id="rId2719" display="https://www.google.com/url?q=https://szkopul.edu.pl/problemset/problem/TE77UNYEUxsFcrRxYRPc99na/site/&amp;sa=D&amp;ust=1605639832761000&amp;usg=AFQjCNE0asKoboKwRfcX7JDqc5Xc7lrt_Q" xr:uid="{7D06FF24-745C-4D41-8AB2-318FA0E4FAB4}"/>
    <hyperlink ref="F1580" r:id="rId2720" display="https://www.google.com/url?q=https://github.com/mostafa-saad/MyCompetitiveProgramming/blob/master/Olympiad/POI/official/find_editorial_sols_guidelines.txt&amp;sa=D&amp;ust=1605639832761000&amp;usg=AFQjCNHxUuve8YlI3lyl_A8W0MP_v6uVTA" xr:uid="{CED642D2-F364-4323-8EFA-74CCC76F42D5}"/>
    <hyperlink ref="B1581" r:id="rId2721" display="https://www.google.com/url?q=https://oj.uz/problem/view/POI13_mor&amp;sa=D&amp;ust=1605639832761000&amp;usg=AFQjCNF9p1LC4Gsh9W2Zk62_9rLxgGYp-g" xr:uid="{DD235A5D-1727-42C1-AD63-D17CCBB9E92D}"/>
    <hyperlink ref="F1581" r:id="rId2722" display="https://www.google.com/url?q=https://github.com/mostafa-saad/MyCompetitiveProgramming/blob/master/Olympiad/POI/official/find_editorial_sols_guidelines.txt&amp;sa=D&amp;ust=1605639832762000&amp;usg=AFQjCNF41WY9-gAXc4oEmeHoXMVncoMo7w" xr:uid="{08D99A7D-EB3B-4A73-BE97-37B02F064612}"/>
    <hyperlink ref="B1582" r:id="rId2723" display="https://www.google.com/url?q=https://oj.uz/problem/view/POI13_mul&amp;sa=D&amp;ust=1605639832762000&amp;usg=AFQjCNG7tObzp3FYpd1W2XRIYzyFfD4LqQ" xr:uid="{F217E3ED-07C9-401B-AB62-C3258790197F}"/>
    <hyperlink ref="B1583" r:id="rId2724" display="https://www.google.com/url?q=https://szkopul.edu.pl/problemset/problem/3bBT-3VuSu78UsxTQSwaJzVo/site/&amp;sa=D&amp;ust=1605639832762000&amp;usg=AFQjCNGkl9YrpWdG0LZ9tzbndPmxDEKLQA" xr:uid="{97098AB2-2F8D-4420-9A08-CC947AAD28A3}"/>
    <hyperlink ref="F1583" r:id="rId2725" display="https://www.google.com/url?q=https://github.com/mostafa-saad/MyCompetitiveProgramming/blob/master/Olympiad/POI/POI-13-Polarization.txt&amp;sa=D&amp;ust=1605639832762000&amp;usg=AFQjCNGBDgc3hyPjALozVFlPyGXPH2cTfw" xr:uid="{A613DACB-1431-4108-82DE-3E6330ABC3B9}"/>
    <hyperlink ref="B1584" r:id="rId2726" display="https://www.google.com/url?q=https://szkopul.edu.pl/problemset/problem/FHsx0TDoMNHN-XrWzXtUzzpi/site/&amp;sa=D&amp;ust=1605639832762000&amp;usg=AFQjCNHN07dl98qXLpIu2owvQOd65XBdXQ" xr:uid="{2B3C695A-1FC2-45EE-B89C-2E725334787D}"/>
    <hyperlink ref="F1584" r:id="rId2727" display="https://www.google.com/url?q=https://github.com/mostafa-saad/MyCompetitiveProgramming/blob/master/Olympiad/POI/POI-13-Price.txt&amp;sa=D&amp;ust=1605639832763000&amp;usg=AFQjCNHkwXqlL7IJOpovbodDUTFVzqkGMQ" xr:uid="{DF5ED182-17C1-447F-8ABD-E459308D110C}"/>
    <hyperlink ref="B1585" r:id="rId2728" display="https://www.google.com/url?q=https://oj.uz/problem/view/POI13_spa&amp;sa=D&amp;ust=1605639832763000&amp;usg=AFQjCNHrt0ksrWEn95yF9ebFGzofGewIuw" xr:uid="{977F5F50-80D3-41D1-89F2-C6A6C49F958C}"/>
    <hyperlink ref="F1585" r:id="rId2729" display="https://www.google.com/url?q=https://github.com/mostafa-saad/MyCompetitiveProgramming/blob/master/Olympiad/POI/official/find_editorial_sols_guidelines.txt&amp;sa=D&amp;ust=1605639832763000&amp;usg=AFQjCNGwysCoGktU_qJWobivX-2deqctTw" xr:uid="{9B9CE086-23F1-4C6D-A58C-16A83CF4AAF3}"/>
    <hyperlink ref="B1586" r:id="rId2730" display="https://www.google.com/url?q=https://oj.uz/problem/view/POI13_usu&amp;sa=D&amp;ust=1605639832763000&amp;usg=AFQjCNHj74SGdgcA7AjLPm0ggUGP885Xdw" xr:uid="{5008CED7-86CC-49CE-BBFF-5AAECF607F59}"/>
    <hyperlink ref="F1586" r:id="rId2731" display="https://www.google.com/url?q=https://github.com/mostafa-saad/MyCompetitiveProgramming/blob/master/Olympiad/POI/POI-13-Takeout.txt&amp;sa=D&amp;ust=1605639832763000&amp;usg=AFQjCNGdvpSkRKemO0FC9i0s9w93RBbQ7Q" xr:uid="{247F62AD-D3B2-4E68-A531-C4D008406B7F}"/>
    <hyperlink ref="B1587" r:id="rId2732" display="https://www.google.com/url?q=https://oj.uz/problem/view/POI13_tak&amp;sa=D&amp;ust=1605639832763000&amp;usg=AFQjCNGBnh8MiUNAjboD19qJplBXvFjKGg" xr:uid="{3F1CE311-E72D-4BA0-A15B-429E440775DA}"/>
    <hyperlink ref="B1588" r:id="rId2733" display="https://www.google.com/url?q=https://szkopul.edu.pl/problemset/problem/YXgT8J1eHCc3h8z5RW69thmy/site/?key%3Dstatement&amp;sa=D&amp;ust=1605639832764000&amp;usg=AFQjCNE6qsRmj2ZdkMbAFzX8SKDTscQbLg" xr:uid="{32B62A17-3977-4076-81B0-65CFBB3A7D6E}"/>
    <hyperlink ref="F1588" r:id="rId2734" display="https://www.google.com/url?q=https://github.com/mostafa-saad/MyCompetitiveProgramming/blob/master/Olympiad/POI/official/find_editorial_sols_guidelines.txt&amp;sa=D&amp;ust=1605639832764000&amp;usg=AFQjCNF9eHUYDgPSlRn6-aNQysvYKk7g0g" xr:uid="{219E4F03-F20E-4D45-AAF0-1C9A14AD7C0A}"/>
    <hyperlink ref="B1589" r:id="rId2735" display="https://www.google.com/url?q=https://szkopul.edu.pl/problemset/problem/J5f8YHtUsaMdtOdfx0QoHKe0/site/?key%3Dstatement&amp;sa=D&amp;ust=1605639832764000&amp;usg=AFQjCNFn3unYg6y7DiYnRbqb-9i1qz64eg" xr:uid="{3C5D02A3-77B8-482A-9BB1-6D4ACF04F8C5}"/>
    <hyperlink ref="B1590" r:id="rId2736" display="https://www.google.com/url?q=https://szkopul.edu.pl/problemset/problem/ghEjb6qGVGsGk_KgYqdXZNna/site/&amp;sa=D&amp;ust=1605639832765000&amp;usg=AFQjCNFEpLHz1XOD9rJ8VwUgrbOrYIlXfg" xr:uid="{BCB125F8-6811-46D9-A70B-6CA1811F41E8}"/>
    <hyperlink ref="B1591" r:id="rId2737" display="https://www.google.com/url?q=https://szkopul.edu.pl/problemset/problem/hepq5oWcHLsMo3oOy-dp3OZC/site/&amp;sa=D&amp;ust=1605639832765000&amp;usg=AFQjCNFfetGFHMyPuBkGmgZakebv1qOngg" xr:uid="{CECDDB9F-5480-4BC8-838E-C432E3884FA4}"/>
    <hyperlink ref="F1591" r:id="rId2738" display="https://www.google.com/url?q=https://github.com/peon-pasado/CompetitiveProgramming/blob/master/szkoput/POI-14-Bricks.cpp&amp;sa=D&amp;ust=1605639832765000&amp;usg=AFQjCNHlUazWCHQEDt6LydpsCULyVRQdDA" xr:uid="{AAA993BD-9295-4AA7-B7C6-791328E4FC22}"/>
    <hyperlink ref="B1592" r:id="rId2739" display="https://www.google.com/url?q=https://szkopul.edu.pl/problemset/problem/Cs38m8lWFnOfDskXf43HR3lN/site/&amp;sa=D&amp;ust=1605639832766000&amp;usg=AFQjCNHfl8gZiH3zxrKAiptSMsufN2o3tw" xr:uid="{DD97421C-4534-4F3C-B715-584848597EFA}"/>
    <hyperlink ref="F1592" r:id="rId2740" display="https://www.google.com/url?q=https://github.com/mostafa-saad/MyCompetitiveProgramming/blob/master/Olympiad/POI/POI-14-Couriers.txt&amp;sa=D&amp;ust=1605639832766000&amp;usg=AFQjCNFZZN8MTZuYPXcTWc6t-ihEw3HKNQ" xr:uid="{44A533AE-2773-4B5A-A802-AB9FCC7D4F9D}"/>
    <hyperlink ref="B1593" r:id="rId2741" display="https://www.google.com/url?q=https://szkopul.edu.pl/problemset/problem/APWi6y6XTt5ujve8ynI_FNJ1/site/&amp;sa=D&amp;ust=1605639832766000&amp;usg=AFQjCNFUgvQ7XmRvr2up_cyPbj0xxf9hzg" xr:uid="{4DE79A0E-6116-4144-8D8F-D5A57D7537A6}"/>
    <hyperlink ref="F1593" r:id="rId2742" display="https://www.google.com/url?q=https://github.com/mostafa-saad/MyCompetitiveProgramming/blob/master/Olympiad/POI/POI-14-Criminals.txt&amp;sa=D&amp;ust=1605639832766000&amp;usg=AFQjCNFcOtUbzYxi6c4I3J0P2lwOjuunFQ" xr:uid="{4FA15610-B615-4E88-89C0-0F446DA9F86F}"/>
    <hyperlink ref="B1594" r:id="rId2743" display="https://www.google.com/url?q=https://szkopul.edu.pl/portal/problemset_eng/oi/21&amp;sa=D&amp;ust=1605639832767000&amp;usg=AFQjCNFgmFrSXHqRUjZBsGhn8T0QDDxcRg" xr:uid="{825C1909-E7B7-4146-B7DD-7D96066EECE4}"/>
    <hyperlink ref="F1594" r:id="rId2744" display="https://www.google.com/url?q=https://github.com/mostafa-saad/MyCompetitiveProgramming/blob/master/Olympiad/POI/POI-14-FarmCraft.txt&amp;sa=D&amp;ust=1605639832767000&amp;usg=AFQjCNFWs-ftYjSgk82jURczxaYe8Pyf3Q" xr:uid="{6DBC6BA3-019D-49AF-8D9F-FD277237C295}"/>
    <hyperlink ref="B1595" r:id="rId2745" display="https://www.google.com/url?q=https://szkopul.edu.pl/problemset/problem/i5L29vV7ud8D_VU-PXyaA_2L/site/&amp;sa=D&amp;ust=1605639832767000&amp;usg=AFQjCNH6SLGTxSG0nEzEoUzFn8zc_vmE0w" xr:uid="{5057112F-3556-4100-B9AD-E39FBF2D0E7B}"/>
    <hyperlink ref="B1596" r:id="rId2746" display="https://www.google.com/url?q=https://szkopul.edu.pl/problemset/problem/gDw3iFkeVm7ZA3j_16-XR7jI/site/&amp;sa=D&amp;ust=1605639832768000&amp;usg=AFQjCNEYo5AUJJlSh-d83lR7WUbihiH2-w" xr:uid="{44F4A812-74EC-41C3-9479-D4B668720D41}"/>
    <hyperlink ref="F1596" r:id="rId2747" display="https://www.google.com/url?q=https://github.com/mostafa-saad/MyCompetitiveProgramming/blob/master/Olympiad/POI/official/find_editorial_sols_guidelines.txt&amp;sa=D&amp;ust=1605639832768000&amp;usg=AFQjCNGH39XAeMNXPJpqekURds_P8PgYEA" xr:uid="{047F9504-22D9-4B62-A708-937D18352793}"/>
    <hyperlink ref="B1597" r:id="rId2748" display="https://www.google.com/url?q=https://szkopul.edu.pl/problemset/problem/2yK6zUTXvAjhxSDfbjE4Zx7k/site/&amp;sa=D&amp;ust=1605639832768000&amp;usg=AFQjCNH0vnpOIFur1Lkzb9_GWzKMKxN-RA" xr:uid="{3FBF5B4B-F612-4E32-A500-76E45BC9AC2E}"/>
    <hyperlink ref="B1598" r:id="rId2749" display="https://www.google.com/url?q=https://szkopul.edu.pl/problemset/problem/xfpVU8vFP2RzZ0hrqWq9kTZM/site/&amp;sa=D&amp;ust=1605639832769000&amp;usg=AFQjCNGJ91DZ9O2xYkSkb8sEGWOdsu8tfw" xr:uid="{927FCF42-AC75-45AC-ABE0-02E2C755FB02}"/>
    <hyperlink ref="F1598" r:id="rId2750" display="https://www.google.com/url?q=https://github.com/mostafa-saad/MyCompetitiveProgramming/blob/master/Olympiad/POI/POI-14-Little_Bird.txt&amp;sa=D&amp;ust=1605639832769000&amp;usg=AFQjCNHbb7RsGO1JgPZa50crsPVH-o4aow" xr:uid="{31FB29BD-E237-4B46-A8B4-8C27B4D1AF0D}"/>
    <hyperlink ref="B1599" r:id="rId2751" display="https://www.google.com/url?q=https://szkopul.edu.pl/problemset/problem/rfG3gSJfUHoOk3t6379xduHr/site/&amp;sa=D&amp;ust=1605639832771000&amp;usg=AFQjCNFseDYKI6b_sDy0Q8GpfyykPpTgmQ" xr:uid="{7CF81C8C-BCF1-431E-B31D-4814ECA17B54}"/>
    <hyperlink ref="F1599" r:id="rId2752" display="https://www.google.com/url?q=https://github.com/mostafa-saad/MyCompetitiveProgramming/blob/master/Olympiad/POI/POI-14-Panels.txt&amp;sa=D&amp;ust=1605639832771000&amp;usg=AFQjCNGXgSRO4r8VyRmEj509Exq8VYDSww" xr:uid="{BF7EA075-F2C0-4739-9C3B-DBB1A03D7759}"/>
    <hyperlink ref="B1600" r:id="rId2753" display="https://www.google.com/url?q=https://szkopul.edu.pl/problemset/problem/BnzEADCfeJFjjev1Y9iHQANg/site/&amp;sa=D&amp;ust=1605639832771000&amp;usg=AFQjCNEXNGFbOOi6ZOSU8M9IDU5XFwyEDQ" xr:uid="{C12DAD13-F5BA-432C-8E31-97F7F1488941}"/>
    <hyperlink ref="B1601" r:id="rId2754" display="https://www.google.com/url?q=https://szkopul.edu.pl/problemset/problem/d30xri2XGeuQ45CDrB7DWijK/site/&amp;sa=D&amp;ust=1605639832772000&amp;usg=AFQjCNEOkptl-pfTEP8kdvlkLQYzqQVubw" xr:uid="{611D0412-D80B-4839-B800-5145156E3851}"/>
    <hyperlink ref="F1601" r:id="rId2755" display="https://www.google.com/url?q=https://github.com/mostafa-saad/MyCompetitiveProgramming/blob/master/Olympiad/POI/official/find_editorial_sols_guidelines.txt&amp;sa=D&amp;ust=1605639832772000&amp;usg=AFQjCNFtOGYGgccoqz4o48XMnLjqt9707w" xr:uid="{FFE4484F-58FD-4A4E-95B3-BAB59360F16D}"/>
    <hyperlink ref="B1602" r:id="rId2756" display="https://www.google.com/url?q=https://szkopul.edu.pl/problemset/problem/3zwfwt3ZGc2f6NndNgzS3Dfu/site/&amp;sa=D&amp;ust=1605639832772000&amp;usg=AFQjCNFdtBI30qugDBvU3IB7hnEjclYfvQ" xr:uid="{8086010D-EBC2-4B3B-8F23-D85D33904EA1}"/>
    <hyperlink ref="B1603" r:id="rId2757" display="https://www.google.com/url?q=https://szkopul.edu.pl/problemset/problem/e9ycK_efBDBt4aPs-QeqYpwR/site/&amp;sa=D&amp;ust=1605639832773000&amp;usg=AFQjCNFboNZWZPiJSn5TxCK1p1fODcUmgg" xr:uid="{3505B327-60BA-4FF7-AAB6-8188EF9BB9F1}"/>
    <hyperlink ref="F1603" r:id="rId2758" display="https://www.google.com/url?q=https://github.com/mostafa-saad/MyCompetitiveProgramming/blob/master/Olympiad/POI/POI-14-Supercomputer.txt&amp;sa=D&amp;ust=1605639832773000&amp;usg=AFQjCNHqsvyZiZyJwyY07y30xGxBhPMlgA" xr:uid="{E66D4CEF-A6D7-4148-9D3C-C4958E68A713}"/>
    <hyperlink ref="B1604" r:id="rId2759" display="https://www.google.com/url?q=https://szkopul.edu.pl/problemset/problem/kYVp05sX8lzHWNwn93xjcYwH/site/&amp;sa=D&amp;ust=1605639832773000&amp;usg=AFQjCNECyZigCDxgNzal913swVeynUtyMQ" xr:uid="{22FCA7CB-2123-4B31-9ACF-E155FF896827}"/>
    <hyperlink ref="F1604" r:id="rId2760" display="https://www.google.com/url?q=https://github.com/mostafa-saad/MyCompetitiveProgramming/blob/master/Olympiad/POI/official/find_editorial_sols_guidelines.txt&amp;sa=D&amp;ust=1605639832773000&amp;usg=AFQjCNF_WM6wbomvj5dOAU_QxPSRkoZVFA" xr:uid="{5B52843F-FA90-4969-8627-3BB432F3FC00}"/>
    <hyperlink ref="B1605" r:id="rId2761" display="https://www.google.com/url?q=https://szkopul.edu.pl/problemset/problem/_PLjXEFyR0XMBQ-kZ1k_GgHE/site/&amp;sa=D&amp;ust=1605639832774000&amp;usg=AFQjCNEQCHT13vw9XYsfmi2uR53jxfiEvg" xr:uid="{F7581872-AC15-405D-95D1-C219F9E09318}"/>
    <hyperlink ref="F1605" r:id="rId2762" display="https://www.google.com/url?q=https://github.com/mostafa-saad/MyCompetitiveProgramming/blob/master/Olympiad/POI/official/find_editorial_sols_guidelines.txt&amp;sa=D&amp;ust=1605639832774000&amp;usg=AFQjCNFwVZ2kMdpb7dLDFLIz1syJ9rVFNQ" xr:uid="{EC3E8592-AFBC-4FF9-BA3D-A8390CCCA9DC}"/>
    <hyperlink ref="B1606" r:id="rId2763" display="https://www.google.com/url?q=https://szkopul.edu.pl/problemset/problem/4roJ2TqCXhLN6ftK2jiWKlO9/site/&amp;sa=D&amp;ust=1605639832774000&amp;usg=AFQjCNH9JBVNgzGJNB7eARtyTSW5TLKkYQ" xr:uid="{DB89CB24-5BBC-4C06-8752-A64311A43277}"/>
    <hyperlink ref="F1606" r:id="rId2764" display="https://www.google.com/url?q=https://github.com/mostafa-saad/MyCompetitiveProgramming/blob/master/Olympiad/POI/official/find_editorial_sols_guidelines.txt&amp;sa=D&amp;ust=1605639832774000&amp;usg=AFQjCNFwVZ2kMdpb7dLDFLIz1syJ9rVFNQ" xr:uid="{F513EDFC-D267-43C8-A5A3-6B745A716273}"/>
    <hyperlink ref="B1607" r:id="rId2765" display="https://www.google.com/url?q=https://szkopul.edu.pl/problemset/problem/Hj7Ko64-xPs_FrzJ4WucMde9/site/&amp;sa=D&amp;ust=1605639832775000&amp;usg=AFQjCNFEU0IF5GYnzvUE4SJiNnQ7oi9dNg" xr:uid="{CB134EBB-3F97-4293-8348-AF095565DAF2}"/>
    <hyperlink ref="F1607" r:id="rId2766" display="https://www.google.com/url?q=https://github.com/mostafa-saad/MyCompetitiveProgramming/blob/master/Olympiad/POI/POI-15-Gluttons.txt&amp;sa=D&amp;ust=1605639832775000&amp;usg=AFQjCNHuwWpx2PU9H0IIT82ighJ1Bul33g" xr:uid="{4EA85C91-4AA3-4B91-91B6-EBA0FB0644C6}"/>
    <hyperlink ref="B1608" r:id="rId2767" display="https://www.google.com/url?q=https://szkopul.edu.pl/problemset/problem/z0rincXf7fi157ycO_Sl0bCb/site/&amp;sa=D&amp;ust=1605639832775000&amp;usg=AFQjCNEgcaS4THGByU_etA2w4hh6MDceWA" xr:uid="{E18D12CD-5836-4E90-9376-E79DAF412F4D}"/>
    <hyperlink ref="F1608" r:id="rId2768" display="https://www.google.com/url?q=https://github.com/mostafa-saad/MyCompetitiveProgramming/blob/master/Olympiad/POI/official/find_editorial_sols_guidelines.txt&amp;sa=D&amp;ust=1605639832776000&amp;usg=AFQjCNEZa3FOBDp-2eD1hiAd8Ctao1jg2g" xr:uid="{DCCC3161-62F3-4E87-A6CD-400BF36321D4}"/>
    <hyperlink ref="B1609" r:id="rId2769" display="https://www.google.com/url?q=https://szkopul.edu.pl/problemset/problem/k-RYEjhwNTo_XdaCidXQUGMU/site/&amp;sa=D&amp;ust=1605639832776000&amp;usg=AFQjCNHHjAdWHXLA__ibY26eChXCB8qy_A" xr:uid="{9DB94FB4-884B-4F91-81B8-0047AACE166E}"/>
    <hyperlink ref="F1609" r:id="rId2770" display="https://www.google.com/url?q=https://github.com/mostafa-saad/MyCompetitiveProgramming/blob/master/Olympiad/POI/official/find_editorial_sols_guidelines.txt&amp;sa=D&amp;ust=1605639832776000&amp;usg=AFQjCNEZa3FOBDp-2eD1hiAd8Ctao1jg2g" xr:uid="{218DCAE4-B55F-41CC-B12E-E9D7D2BB7D08}"/>
    <hyperlink ref="B1610" r:id="rId2771" display="https://www.google.com/url?q=https://szkopul.edu.pl/problemset/problem/SbvfueoDtZe2DQFHrywTIakc/site/&amp;sa=D&amp;ust=1605639832776000&amp;usg=AFQjCNHlvHuoZVL6TDwTXPa33XjSAKIY5A" xr:uid="{423AA221-1AD9-4C99-8E7C-13B890C60790}"/>
    <hyperlink ref="F1610" r:id="rId2772" display="https://www.google.com/url?q=https://github.com/mostafa-saad/MyCompetitiveProgramming/blob/master/Olympiad/POI/official/find_editorial_sols_guidelines.txt&amp;sa=D&amp;ust=1605639832777000&amp;usg=AFQjCNEDF12qsRt9CtfXgWrrh17YUaq_Og" xr:uid="{3E94E187-4712-4356-B02A-17E8573A42CA}"/>
    <hyperlink ref="B1611" r:id="rId2773" display="https://www.google.com/url?q=https://github.com/mostafa-saad/MyCompetitiveProgramming/blob/master/Olympiad/POI/POI-15-Seals-desc.txt&amp;sa=D&amp;ust=1605639832777000&amp;usg=AFQjCNEr5SD6-BMFJZwYchCblIOKK4xbtQ" xr:uid="{D23A3B93-5B99-4F63-90D9-C560B5940D8F}"/>
    <hyperlink ref="F1611" r:id="rId2774" display="https://www.google.com/url?q=https://github.com/mostafa-saad/MyCompetitiveProgramming/blob/master/Olympiad/POI/POI-15-Seals.txt&amp;sa=D&amp;ust=1605639832777000&amp;usg=AFQjCNGBPJvBiyGcPOOH0mWGvDO3RhKaWA" xr:uid="{7C5A8D88-0775-4AB4-9A38-E281B7F696DD}"/>
    <hyperlink ref="B1612" r:id="rId2775" display="https://www.google.com/url?q=https://szkopul.edu.pl/problemset/problem/fuTBSUcQ2U9sVPYJUDI4JwIe/site/&amp;sa=D&amp;ust=1605639832777000&amp;usg=AFQjCNFFxng1Zg6DDuErrhxmzjgeYXh6iw" xr:uid="{2A56F415-B6C7-4DF0-BF31-8CC00BD347EC}"/>
    <hyperlink ref="F1612" r:id="rId2776" display="https://www.google.com/url?q=https://github.com/mostafa-saad/MyCompetitiveProgramming/blob/master/Olympiad/POI/official/find_editorial_sols_guidelines.txt&amp;sa=D&amp;ust=1605639832778000&amp;usg=AFQjCNHW0b3iPD5YPYr3WVxkDrnW8SMBLQ" xr:uid="{61A086C7-55EB-482C-81D2-5E89800058DC}"/>
    <hyperlink ref="B1613" r:id="rId2777" display="https://www.google.com/url?q=https://szkopul.edu.pl/problemset/problem/vX48bEW0i5IRszoCOP_f78Dc/site/&amp;sa=D&amp;ust=1605639832778000&amp;usg=AFQjCNEnqVJ1IDJNu-g2soQS-w9kmegzyA" xr:uid="{A17E79A0-4A61-42FE-997E-52AE0392CDA3}"/>
    <hyperlink ref="F1613" r:id="rId2778" display="https://www.google.com/url?q=https://github.com/mostafa-saad/MyCompetitiveProgramming/blob/master/Olympiad/POI/official/find_editorial_sols_guidelines.txt&amp;sa=D&amp;ust=1605639832778000&amp;usg=AFQjCNHW0b3iPD5YPYr3WVxkDrnW8SMBLQ" xr:uid="{251DDB89-95EA-497F-9217-C8AC8A3BCAEC}"/>
    <hyperlink ref="B1614" r:id="rId2779" display="https://www.google.com/url?q=https://szkopul.edu.pl/problemset/problem/VeQ6A1Xb8DUSlbUb8eQncsFX/site/&amp;sa=D&amp;ust=1605639832778000&amp;usg=AFQjCNFrM9GruIj0965qnOEEtE5xb6Ua6w" xr:uid="{40E2A938-DF69-4E12-8A63-9C39628840BA}"/>
    <hyperlink ref="F1614" r:id="rId2780" display="https://www.google.com/url?q=https://github.com/mostafa-saad/MyCompetitiveProgramming/blob/master/Olympiad/POI/POI-15-Squares.txt&amp;sa=D&amp;ust=1605639832779000&amp;usg=AFQjCNHw0NPCWqS3Spl9SToqF0FGccckbw" xr:uid="{513AD377-8B8E-4FB2-98AC-E820C170C531}"/>
    <hyperlink ref="B1615" r:id="rId2781" display="https://www.google.com/url?q=https://szkopul.edu.pl/problemset/problem/Grfouq9u3g_TYktFXO2sNjCU/site/&amp;sa=D&amp;ust=1605639832779000&amp;usg=AFQjCNF0_u_BqqEPwNEqE7AUpS8x1fP5CA" xr:uid="{3B97D63C-15DB-43C5-8AB6-0DFC000C1F79}"/>
    <hyperlink ref="F1615" r:id="rId2782" display="https://www.google.com/url?q=https://github.com/mostafa-saad/MyCompetitiveProgramming/blob/master/Olympiad/POI/POI-15-Three.txt&amp;sa=D&amp;ust=1605639832781000&amp;usg=AFQjCNGf8I4yX80R01cU97eeGSEu5f_EHg" xr:uid="{0B9BF7C2-F0FF-4A69-A761-4602B04E5D4B}"/>
    <hyperlink ref="B1616" r:id="rId2783" display="https://www.google.com/url?q=https://szkopul.edu.pl/problemset/problem/zKf5Ua8okcS0jngsrTgKVM9L/site/&amp;sa=D&amp;ust=1605639832781000&amp;usg=AFQjCNGG2FUcq8kZrNmBr1FJ_jdH_MZ9Bg" xr:uid="{E6C6491D-A2B1-42F2-B7E7-E1B780547437}"/>
    <hyperlink ref="F1616" r:id="rId2784" display="https://www.google.com/url?q=https://github.com/mostafa-saad/MyCompetitiveProgramming/blob/master/Olympiad/POI/POI-15-Trips.txt&amp;sa=D&amp;ust=1605639832782000&amp;usg=AFQjCNEshAkI2K3TOAFmoh2mTtjHIV77ow" xr:uid="{17338122-CF70-42F2-976E-71DEBC825581}"/>
    <hyperlink ref="B1617" r:id="rId2785" display="https://www.google.com/url?q=https://szkopul.edu.pl/problemset/problem/07Q0fFk7fU2TmGr6wpPeDCZj/site/&amp;sa=D&amp;ust=1605639832782000&amp;usg=AFQjCNGd8byfsztSx4_4XXayCrFXmBpk2g" xr:uid="{8E50E03B-B00A-491E-B175-41FCF443AC43}"/>
    <hyperlink ref="F1617" r:id="rId2786" display="https://www.google.com/url?q=https://github.com/mostafa-saad/MyCompetitiveProgramming/blob/master/Olympiad/POI/POI-15-Trous.txt&amp;sa=D&amp;ust=1605639832782000&amp;usg=AFQjCNEIxlftVoUhF4qtyTf713Zh0h6wGA" xr:uid="{FEC14558-ABAF-49C9-B4CA-90DBDF7C558D}"/>
    <hyperlink ref="B1618" r:id="rId2787" display="https://www.google.com/url?q=https://szkopul.edu.pl/problemset/problem/O730xgZEVynTWBmscBinhMbD/site/&amp;sa=D&amp;ust=1605639832782000&amp;usg=AFQjCNGUwaloYN7BviTp8Ar3tmJ2FnY0HA" xr:uid="{06BD949C-320A-4F92-B87E-077B60CD5174}"/>
    <hyperlink ref="F1618" r:id="rId2788" display="https://www.google.com/url?q=https://github.com/mostafa-saad/MyCompetitiveProgramming/blob/master/Olympiad/POI/POI-16-Arkanoid.txt&amp;sa=D&amp;ust=1605639832783000&amp;usg=AFQjCNH4-eTOysg7iBZCffqNtWXsMcxZRw" xr:uid="{E6C47355-5A6F-4446-AADC-216A8128FDB8}"/>
    <hyperlink ref="B1619" r:id="rId2789" display="https://www.google.com/url?q=https://szkopul.edu.pl/problemset/problem/cSa80AKpjHR8FlWE4BCpLGT3/site/?key%3Dstatement&amp;sa=D&amp;ust=1605639832783000&amp;usg=AFQjCNEp_eFAZzIppo-p__gM4fIcYdKLuw" xr:uid="{CE18D598-4943-41CD-AA11-808EF35F6DBF}"/>
    <hyperlink ref="F1619" r:id="rId2790" display="https://www.google.com/url?q=https://github.com/mostafa-saad/MyCompetitiveProgramming/blob/master/Olympiad/POI/POI-16-Christmas.txt&amp;sa=D&amp;ust=1605639832783000&amp;usg=AFQjCNGaA6xa9Er7nV3RBtDvtvsNC8qsdg" xr:uid="{8F97BED3-845B-40E9-84AA-0D40F540E3B8}"/>
    <hyperlink ref="B1620" r:id="rId2791" display="https://www.google.com/url?q=https://szkopul.edu.pl/problemset/problem/3Kqkgeapr-W-MBprNjUDGICL/site/&amp;sa=D&amp;ust=1605639832783000&amp;usg=AFQjCNHIm2hKBhIL_RLzD6mdyBT2pPl-hg" xr:uid="{2CFFA108-4371-4A71-AD47-1C9C65932757}"/>
    <hyperlink ref="F1620" r:id="rId2792" display="https://www.google.com/url?q=https://github.com/mostafa-saad/MyCompetitiveProgramming/blob/master/Olympiad/POI/official/find_editorial_sols_guidelines.txt&amp;sa=D&amp;ust=1605639832784000&amp;usg=AFQjCNGpq5DShz3KPpw7gzx3_BUajCIpnw" xr:uid="{160535BA-A7F8-4025-B360-207990D42DB0}"/>
    <hyperlink ref="B1621" r:id="rId2793" display="https://www.google.com/url?q=https://szkopul.edu.pl/problemset/problem/dABzva_j1-BvzKMsyxkuRoue/site/&amp;sa=D&amp;ust=1605639832784000&amp;usg=AFQjCNFAsOkvuxHtV354OrYkF_CJBJKhpA" xr:uid="{1CC14B8B-0FC9-4B2F-BF2F-23EC5A801703}"/>
    <hyperlink ref="F1621" r:id="rId2794" display="https://www.google.com/url?q=https://github.com/mostafa-saad/MyCompetitiveProgramming/blob/master/Olympiad/POI/POI-16-Hedge.txt&amp;sa=D&amp;ust=1605639832784000&amp;usg=AFQjCNFuL4HwOo_44VA3POjWa9uE9pxU5A" xr:uid="{4B309A61-3167-4CB6-A2FE-2599ECD88F3C}"/>
    <hyperlink ref="B1622" r:id="rId2795" display="https://www.google.com/url?q=https://szkopul.edu.pl/problemset/problem/y9HM1ctDU8V8xLMRUYACDIRs/site/&amp;sa=D&amp;ust=1605639832785000&amp;usg=AFQjCNEou9h1Svjtl3_y3A-ENeC1SbREIw" xr:uid="{62AE3C6C-46BF-4489-8439-A4F1F917D0D0}"/>
    <hyperlink ref="F1622" r:id="rId2796" display="https://www.google.com/url?q=https://github.com/mostafa-saad/MyCompetitiveProgramming/blob/master/Olympiad/POI/POI-16-Hydro.txt&amp;sa=D&amp;ust=1605639832785000&amp;usg=AFQjCNEzwGxlHahANMVOOs49rmu2podW7g" xr:uid="{5AE3EA10-85DA-4080-9547-9156203D204C}"/>
    <hyperlink ref="B1623" r:id="rId2797" display="https://www.google.com/url?q=https://szkopul.edu.pl/problemset/problem/_cVmDXXn2TjF0dF1rW6eazA0/site/&amp;sa=D&amp;ust=1605639832785000&amp;usg=AFQjCNGsUSl8RIlb8drHQsoXhKUXJXpayA" xr:uid="{1667DF6D-5C6C-4DBE-AE82-8D3FBEDB8D4E}"/>
    <hyperlink ref="F1623" r:id="rId2798" display="https://www.google.com/url?q=https://github.com/mostafa-saad/MyCompetitiveProgramming/blob/master/Olympiad/POI/POI-05-Banknote.txt&amp;sa=D&amp;ust=1605639832786000&amp;usg=AFQjCNF2XhBsl3Cb7uZynfdo0BJoNmNqgw" xr:uid="{849A9BB4-76E9-44D3-9F95-5B91D18E2038}"/>
    <hyperlink ref="B1624" r:id="rId2799" display="https://www.google.com/url?q=https://szkopul.edu.pl/problemset/problem/YY6-3ua-C1rt7q-97laWc0UP/site/&amp;sa=D&amp;ust=1605639832786000&amp;usg=AFQjCNEJYbVjQt6LrwqVvj7pLms4pO1_bw" xr:uid="{902373D8-4766-4296-94A7-0A9829882E38}"/>
    <hyperlink ref="F1624" r:id="rId2800" display="https://www.google.com/url?q=https://github.com/mostafa-saad/MyCompetitiveProgramming/blob/master/Olympiad/POI/POI-16-Journey.txt&amp;sa=D&amp;ust=1605639832786000&amp;usg=AFQjCNEWkch9FXsA4sOOuLRyLGhcGMgPAw" xr:uid="{821333F7-0515-455E-9A08-B68F6FE20AD9}"/>
    <hyperlink ref="B1625" r:id="rId2801" display="https://www.google.com/url?q=https://szkopul.edu.pl/problemset/problem/Mk-9GNDtSal6h_8T4n9Ezq9M/site/&amp;sa=D&amp;ust=1605639832786000&amp;usg=AFQjCNE0pdEX_KEPobE-ttbsWNSvDkWEoQ" xr:uid="{2F0FDE8F-27DF-454B-93A9-ADADF189D0D5}"/>
    <hyperlink ref="F1625" r:id="rId2802" display="https://www.google.com/url?q=https://github.com/mostafa-saad/MyCompetitiveProgramming/blob/master/Olympiad/POI/POI-16-Messenger.txt&amp;sa=D&amp;ust=1605639832787000&amp;usg=AFQjCNG1qu5IPJxKnBvTFQ7lkNGvLBzkbw" xr:uid="{3A71CCBC-86AB-484B-AD2A-57C1AC1680F4}"/>
    <hyperlink ref="B1626" r:id="rId2803" display="https://www.google.com/url?q=https://szkopul.edu.pl/problemset/problem/z8Vva6nazo2Cy3CF67kT6IWe/site/&amp;sa=D&amp;ust=1605639832787000&amp;usg=AFQjCNH_D50iKefR7bKEQfc7mptR3QWMkw" xr:uid="{C4124BD2-4C56-4405-BF83-A9B44687E2E4}"/>
    <hyperlink ref="F1626" r:id="rId2804" display="https://www.google.com/url?q=https://github.com/mostafa-saad/MyCompetitiveProgramming/blob/master/Olympiad/POI/POI-16-Necklace.txt&amp;sa=D&amp;ust=1605639832787000&amp;usg=AFQjCNHmJxp4NI6prGO8FtX7hF3KsrkoNg" xr:uid="{4E1F8B8D-868A-4B1B-8C2B-79508AF1E602}"/>
    <hyperlink ref="B1627" r:id="rId2805" display="https://www.google.com/url?q=https://szkopul.edu.pl/problemset/problem/X6IwPa2H9FSd3Ly6bYp5t8Vu/site/&amp;sa=D&amp;ust=1605639832788000&amp;usg=AFQjCNFIQz8r7Fw4LNL3QlaUqWH_l35-4w" xr:uid="{5C2B507F-D36D-4F33-BE0D-A996252A2C0C}"/>
    <hyperlink ref="F1627" r:id="rId2806" display="https://www.google.com/url?q=https://github.com/mostafa-saad/MyCompetitiveProgramming/blob/master/Olympiad/POI/POI-16-Nim.txt&amp;sa=D&amp;ust=1605639832788000&amp;usg=AFQjCNGcJmd6-3U0R6nCz_w22Zzc-K-irQ" xr:uid="{14C23281-A1B8-4D8E-A767-1F9EB2598A67}"/>
    <hyperlink ref="B1628" r:id="rId2807" display="https://www.google.com/url?q=https://szkopul.edu.pl/problemset/problem/M5CruI5eCu8elnNFHuiXBrvV/site/&amp;sa=D&amp;ust=1605639832788000&amp;usg=AFQjCNF6rG2pHuxgjbWAWSG68T_QmYYDZg" xr:uid="{B76FE96E-3C78-4E68-8C56-F5BE4CD58AB6}"/>
    <hyperlink ref="F1628" r:id="rId2808" display="https://www.google.com/url?q=https://github.com/mostafa-saad/MyCompetitiveProgramming/blob/master/Olympiad/POI/POI-16-Not_Nim.txt&amp;sa=D&amp;ust=1605639832788000&amp;usg=AFQjCNFV0SvjaqiZReiydylBinTYKOZ-ow" xr:uid="{857A0EF4-B845-4A36-8BAC-BAD75F410FC7}"/>
    <hyperlink ref="B1629" r:id="rId2809" display="https://www.google.com/url?q=https://szkopul.edu.pl/problemset/problem/1QaUWE_ePAmitZjgAszOVD1U/site/&amp;sa=D&amp;ust=1605639832789000&amp;usg=AFQjCNGdR6heD1Xyn79zSQqlhjDBIlk1QQ" xr:uid="{45EAFF5B-EC33-47A5-9265-A8E861FC0A5A}"/>
    <hyperlink ref="F1629" r:id="rId2810" display="https://www.google.com/url?q=https://github.com/win11905/submission/blob/master/POI/parade.cpp&amp;sa=D&amp;ust=1605639832789000&amp;usg=AFQjCNGSVd_q83tRj5tdV80x9jhYA6cqlw" xr:uid="{B22358C4-1CE5-4136-A9F9-A9B5D07B543C}"/>
    <hyperlink ref="B1630" r:id="rId2811" display="https://www.google.com/url?q=https://szkopul.edu.pl/problemset/problem/9TaxfuNdAv2FPpQ6PeB-vlti/site/&amp;sa=D&amp;ust=1605639832789000&amp;usg=AFQjCNFlbMTywCh4tOzeWL0vA4MUTIm6hg" xr:uid="{8FF6EE46-EC3A-4002-BD7C-F7D2D3FAFDCB}"/>
    <hyperlink ref="F1630" r:id="rId2812" display="https://www.google.com/url?q=https://github.com/mostafa-saad/MyCompetitiveProgramming/blob/master/Olympiad/POI/POI-16-Streets.txt&amp;sa=D&amp;ust=1605639832790000&amp;usg=AFQjCNFYmu4XINdutTGN_vE2Zq8TSjamxg" xr:uid="{C9A79AB6-63BD-4991-BE8D-1FC867B90FBB}"/>
    <hyperlink ref="B1631" r:id="rId2813" display="https://www.google.com/url?q=https://szkopul.edu.pl/problemset/problem/Orc2Z7ti1xLaUUQDT1a6RGR5/site/&amp;sa=D&amp;ust=1605639832790000&amp;usg=AFQjCNEU8AW9aEt04fYu8IqcY7ZejWTYQw" xr:uid="{131A4D7F-9E81-4C1B-BF50-CED3289D4E1C}"/>
    <hyperlink ref="F1631" r:id="rId2814" display="https://www.google.com/url?q=https://github.com/mostafa-saad/MyCompetitiveProgramming/blob/master/Olympiad/POI/POI-16-Stutter.txt&amp;sa=D&amp;ust=1605639832791000&amp;usg=AFQjCNEz-Mp12jV9VRE3zlyshxFh_nj-2w" xr:uid="{FC52BF45-EA1E-4218-BC3B-B69F51C83D12}"/>
    <hyperlink ref="B1632" r:id="rId2815" display="https://www.google.com/url?q=https://szkopul.edu.pl/problemset/problem/sKmyIHBMNi9EV3WO6GQ4xoFt/site/&amp;sa=D&amp;ust=1605639832792000&amp;usg=AFQjCNEc4yUXr0lnQgm0jKrplSsOr2fC8w" xr:uid="{B04B26D0-BC25-45D5-BAB5-153B4E3E2318}"/>
    <hyperlink ref="F1632" r:id="rId2816" display="https://www.google.com/url?q=https://github.com/mostafa-saad/MyCompetitiveProgramming/blob/master/Olympiad/POI/official/find_editorial_sols_guidelines.txt&amp;sa=D&amp;ust=1605639832792000&amp;usg=AFQjCNFJiEzwQOJ20R51vVd5jV-u61d60g" xr:uid="{54858C99-0C4A-434C-B3AA-9E7CA3C38136}"/>
    <hyperlink ref="B1633" r:id="rId2817" display="https://www.google.com/url?q=https://szkopul.edu.pl/problemset/problem/70I-ks8dXjgq3xwzRzLV1w4p/site/&amp;sa=D&amp;ust=1605639832792000&amp;usg=AFQjCNGhnuoB5hza41ChDAbxIlpNj1NISA" xr:uid="{E236AB69-0BA3-44BD-A756-B371C653ABFF}"/>
    <hyperlink ref="F1633" r:id="rId2818" display="https://www.google.com/url?q=https://github.com/mostafa-saad/MyCompetitiveProgramming/blob/master/Olympiad/POI/official/find_editorial_sols_guidelines.txt&amp;sa=D&amp;ust=1605639832792000&amp;usg=AFQjCNFJiEzwQOJ20R51vVd5jV-u61d60g" xr:uid="{830BB541-96D3-4A54-B3B0-9E6EDBF9FF8E}"/>
    <hyperlink ref="B1634" r:id="rId2819" display="https://www.google.com/url?q=https://szkopul.edu.pl/problemset/problem/oNnWY6ZuzzhvG-jCmijiXkIk/site/&amp;sa=D&amp;ust=1605639832793000&amp;usg=AFQjCNGHv9JHhF7ALRtVyzdzdXyHbfoqag" xr:uid="{EB3917FA-8777-40A7-8BFF-CEC2D2EF003A}"/>
    <hyperlink ref="B1635" r:id="rId2820" display="https://www.google.com/url?q=https://szkopul.edu.pl/problemset/problem/9NFtPM59qGWa7wdn570ifuP0/site/&amp;sa=D&amp;ust=1605639832793000&amp;usg=AFQjCNHZmH1n575bBaw2d7niJ6EUnrtUyQ" xr:uid="{498FD863-F5C3-4139-B6E3-2881B12ACC40}"/>
    <hyperlink ref="B1636" r:id="rId2821" display="https://www.google.com/url?q=https://szkopul.edu.pl/problemset/problem/-7cqC3RrH4e-Ar7DWy4GKzLv/site/&amp;sa=D&amp;ust=1605639832793000&amp;usg=AFQjCNH5pPBQJx0dVemFrLwAdIaeV6KZqw" xr:uid="{23B53AF8-7BA0-4169-A85B-BA701472A81F}"/>
    <hyperlink ref="B1637" r:id="rId2822" display="https://www.google.com/url?q=https://szkopul.edu.pl/problemset/problem/WLKPphrG7df9acKBOlEMEKY3/site/&amp;sa=D&amp;ust=1605639832794000&amp;usg=AFQjCNGBoXjC0zHq2LkpszV3BgYjwIwBSw" xr:uid="{86D694BA-CD11-4846-BDF5-53B635079547}"/>
    <hyperlink ref="B1638" r:id="rId2823" display="https://www.google.com/url?q=https://szkopul.edu.pl/problemset/problem/cSnlafnvkbirhnQrS9CQ9MEw/site/&amp;sa=D&amp;ust=1605639832794000&amp;usg=AFQjCNGt_u8LY1gVxT6ntTP_Di5GjKVcGQ" xr:uid="{D278FC33-F9A9-42B8-AB30-01EB8327D642}"/>
    <hyperlink ref="B1639" r:id="rId2824" display="https://www.google.com/url?q=https://szkopul.edu.pl/problemset/problem/eLy9p2a1VStZ4y9y-LdeB-8f/site/&amp;sa=D&amp;ust=1605639832795000&amp;usg=AFQjCNH9jf6Dz2rfbcj3VPA8xVQiFkDX5A" xr:uid="{BC5692C0-17CB-4E37-B0F7-FB01B96483F5}"/>
    <hyperlink ref="B1640" r:id="rId2825" display="https://www.google.com/url?q=https://szkopul.edu.pl/problemset/problem/0KG8REkSLNnY5sVkm7Aei_R7/site/&amp;sa=D&amp;ust=1605639832795000&amp;usg=AFQjCNHONA1KEkkMfoGy50Gq3cIhcn_FJA" xr:uid="{E45CCEA0-1C07-4F77-BBE4-FE1080DE4373}"/>
    <hyperlink ref="B1641" r:id="rId2826" display="https://www.google.com/url?q=https://szkopul.edu.pl/problemset/problem/wrTmzO9-dzEbLtsRUCdMV2_W/site/&amp;sa=D&amp;ust=1605639832795000&amp;usg=AFQjCNFWQcC6xnvB8Id8aRXphFD1HbFynQ" xr:uid="{47592ECD-5D89-432D-9C8A-395E57E7C587}"/>
    <hyperlink ref="B1642" r:id="rId2827" display="https://www.google.com/url?q=https://szkopul.edu.pl/problemset/problem/w-dbshXVyRol4LIT9jeP-bNn/site/&amp;sa=D&amp;ust=1605639832796000&amp;usg=AFQjCNHTKNv1Ht7oaHyXgjeIvo-fohCH5A" xr:uid="{8173EC2A-B1C9-4894-A82B-C1A0DEB35167}"/>
    <hyperlink ref="B1643" r:id="rId2828" display="https://www.google.com/url?q=https://szkopul.edu.pl/problemset/problem/CUjJDGGSEZmO7HvdZU4FKrL6/site/&amp;sa=D&amp;ust=1605639832796000&amp;usg=AFQjCNHpQOs77nPhmjsAgETCGATXUSRQJw" xr:uid="{F5797B6D-9C07-434D-B049-B7280AEE5D4A}"/>
    <hyperlink ref="B1644" r:id="rId2829" display="https://www.google.com/url?q=https://szkopul.edu.pl/problemset/problem/kqBM3UKWL-qlFiXIOxPXL35m/site/&amp;sa=D&amp;ust=1605639832796000&amp;usg=AFQjCNFTDMl1otfbFdsp1sFXUu3QkIJ5UA" xr:uid="{473A5372-9B87-4A7F-84B3-F65F265F6BFB}"/>
    <hyperlink ref="F1644" r:id="rId2830" display="https://www.google.com/url?q=https://github.com/Shash-Wat/competitive-programming/blob/master/POI/poi_sport.cpp&amp;sa=D&amp;ust=1605639832797000&amp;usg=AFQjCNE9u7tbxzDHQdlyk3wPoT6DzrBESQ" xr:uid="{987A6BD5-7DAB-42CB-93F0-8EF168956E5A}"/>
    <hyperlink ref="B1645" r:id="rId2831" display="https://www.google.com/url?q=https://szkopul.edu.pl/problemset/problem/lR_LabSUC2n7EMmDHpw-wk_b/site/&amp;sa=D&amp;ust=1605639832797000&amp;usg=AFQjCNFsGLulm5fL5D3cW0TzBy75s4lPDg" xr:uid="{5828C83A-0F45-4221-8653-D1123F035BEF}"/>
    <hyperlink ref="F1645" r:id="rId2832" display="https://www.google.com/url?q=https://github.com/Shash-Wat/competitive-programming/blob/master/POI/poi_strike.cpp&amp;sa=D&amp;ust=1605639832797000&amp;usg=AFQjCNHRSGaKZl7rIDa-PQ47ABCScBzdmg" xr:uid="{EB950196-A5C8-4980-92F1-0868A300B6F5}"/>
    <hyperlink ref="B1646" r:id="rId2833" display="https://www.google.com/url?q=https://szkopul.edu.pl/problemset/problem/Ng815bt4Fko9lj2-l7eVl3Aw/site/&amp;sa=D&amp;ust=1605639832797000&amp;usg=AFQjCNEeRjdD-DQvrxKHtbxZe5Xt1cvyNQ" xr:uid="{511BC2C2-7119-4C6D-8282-92D70C40F796}"/>
    <hyperlink ref="B1647" r:id="rId2834" display="https://www.google.com/url?q=https://szkopul.edu.pl/problemset/problem/kqBM3UKWL-qlFiXIOxPXL35m/site/&amp;sa=D&amp;ust=1605639832798000&amp;usg=AFQjCNFZ11JDhQeZc44hTh5EDFFHEXsKbQ" xr:uid="{6017746F-3D5F-497A-9BFA-DF3DA8225C50}"/>
    <hyperlink ref="B1648" r:id="rId2835" display="https://www.google.com/url?q=https://szkopul.edu.pl/problemset/problem/aKKSmtjWTtDOEHDqnmQ3-eAA/site/&amp;sa=D&amp;ust=1605639832798000&amp;usg=AFQjCNGZq9YNGyX1ny7cYk7dO9sZT1NohA" xr:uid="{227938F4-69B8-45BE-A3E5-ACD1963C4CB4}"/>
    <hyperlink ref="B1649" r:id="rId2836" display="https://www.google.com/url?q=https://szkopul.edu.pl/problemset/problem/Kmofhbw9cTx06gSZg-C5MiBU/site/&amp;sa=D&amp;ust=1605639832799000&amp;usg=AFQjCNFbPz8IqSwgdFrzFDc3n-OQH72MSw" xr:uid="{FD503E7F-F77D-42A5-B1F1-1F97E2A5F627}"/>
    <hyperlink ref="B1650" r:id="rId2837" display="https://www.google.com/url?q=https://szkopul.edu.pl/problemset/problem/lbADmW7d353d0F0iw4kXTjsl/site/&amp;sa=D&amp;ust=1605639832799000&amp;usg=AFQjCNGwbl3KA8m7PTNfk1CX5L-8VgcLqg" xr:uid="{3D5832D7-AF32-4923-9570-45FB5C0C95C3}"/>
    <hyperlink ref="B1651" r:id="rId2838" display="https://www.google.com/url?q=https://szkopul.edu.pl/problemset/problem/eHGwrk9xShVF-z_2f7K4Yyb_/site/&amp;sa=D&amp;ust=1605639832799000&amp;usg=AFQjCNFiNGp9tGNJCy1pEzn4zS8mPW9BoQ" xr:uid="{9E4C0FBD-B66C-4E74-A567-37360C1A9861}"/>
    <hyperlink ref="B1652" r:id="rId2839" display="https://www.google.com/url?q=https://szkopul.edu.pl/problemset/problem/guoc36QCEe4q47qruYB7HBV-/site/&amp;sa=D&amp;ust=1605639832800000&amp;usg=AFQjCNHHY6lFPCQmt9kQCnhvkST5g0Ypsw" xr:uid="{5BB2BF24-7894-4AB9-8692-34CC1FB92D33}"/>
    <hyperlink ref="B1653" r:id="rId2840" display="https://www.google.com/url?q=https://szkopul.edu.pl/problemset/problem/xCiDtZ0ZX70fyac1Sav8d37J/site/&amp;sa=D&amp;ust=1605639832801000&amp;usg=AFQjCNFHcgTlJ1jiPbRCwpQD_QTg2ePLpQ" xr:uid="{B7021A16-0916-4F48-80FB-186D84747BA0}"/>
    <hyperlink ref="B1654" r:id="rId2841" display="https://www.google.com/url?q=https://szkopul.edu.pl/problemset/problem/KkN5UonnNGIG3AuMqoI6xr62/site/&amp;sa=D&amp;ust=1605639832801000&amp;usg=AFQjCNF9UwnPxK-ZAChO3_RbBDy5xNYDLQ" xr:uid="{84E959D1-C5A7-409E-8933-080EF5522469}"/>
    <hyperlink ref="B1655" r:id="rId2842" display="https://www.google.com/url?q=https://szkopul.edu.pl/problemset/problem/GfNdWdsmfgHxoByl0ETuZW9c/site/&amp;sa=D&amp;ust=1605639832802000&amp;usg=AFQjCNE4fWVsAhkO36p-n1OrbxjtbHJNbA" xr:uid="{D90A789B-8947-430C-B11C-05D9223F1F24}"/>
    <hyperlink ref="B1656" r:id="rId2843" display="https://www.google.com/url?q=https://szkopul.edu.pl/problemset/problem/vvd6w7n7EXFVEg3nkqGxEirV/site/?key%3Dstatement&amp;sa=D&amp;ust=1605639832802000&amp;usg=AFQjCNF4DkhYhWgLOb4CGPhhnnm9WuZjNQ" xr:uid="{3DE35916-223A-4B63-B39C-C2E7D724A62F}"/>
    <hyperlink ref="F1656" r:id="rId2844" display="https://www.google.com/url?q=https://github.com/mostafa-saad/MyCompetitiveProgramming/blob/master/Olympiad/POI/POI-18-Plan_Metra.txt&amp;sa=D&amp;ust=1605639832802000&amp;usg=AFQjCNExrwDGSvvn29qaZb2HRWjMU3OMYQ" xr:uid="{28D29FD0-8FC7-4EBD-BB6F-1C333B635FF5}"/>
    <hyperlink ref="B1657" r:id="rId2845" display="https://www.google.com/url?q=https://szkopul.edu.pl/problemset/problem/Hhip15j-8Ro2dOb_4oB98C-G/site/&amp;sa=D&amp;ust=1605639832802000&amp;usg=AFQjCNEKWbfDLkUfhsMjO5CyfBWD1pTV4g" xr:uid="{2C8D11B3-E89F-40B1-A558-8C01FFF4484F}"/>
    <hyperlink ref="B1658" r:id="rId2846" display="https://www.google.com/url?q=https://szkopul.edu.pl/problemset/problem/9JvSAnyf5d1FlPAEXEdUAtCz/site/&amp;sa=D&amp;ust=1605639832803000&amp;usg=AFQjCNGhiUNB9rVNQidn0Tp3TRs0bdfKYg" xr:uid="{BB9C58CB-72F1-470B-ACC0-56916B29442E}"/>
    <hyperlink ref="F1658" r:id="rId2847" display="https://www.google.com/url?q=https://github.com/tmwilliamlin168/CompetitiveProgramming/blob/master/POI/25-Polynomial.cpp&amp;sa=D&amp;ust=1605639832803000&amp;usg=AFQjCNFCSzN6WTgk3g-R_3DsvlshQOomZg" xr:uid="{C726C3F6-D550-42F3-B9EC-15AC5F606177}"/>
    <hyperlink ref="B1659" r:id="rId2848" display="https://www.google.com/url?q=https://szkopul.edu.pl/problemset/problem/NZSCUwz2ACePsBKuVCIVzrRt/site/&amp;sa=D&amp;ust=1605639832803000&amp;usg=AFQjCNF3io3sIjJy_elnG7cOY4Yz7VqoBA" xr:uid="{6CD102DB-0B01-4494-92F9-1B61D8426E62}"/>
    <hyperlink ref="B1660" r:id="rId2849" display="https://www.google.com/url?q=https://szkopul.edu.pl/problemset/problem/vvd6w7n7EXFVEg3nkqGxEirV/site/&amp;sa=D&amp;ust=1605639832803000&amp;usg=AFQjCNEzXl2kkCL_HKG3jzdBMuZ7c5xOaA" xr:uid="{D48C65BA-B997-42AC-88DE-A9E269192C82}"/>
    <hyperlink ref="B1661" r:id="rId2850" display="https://www.google.com/url?q=https://szkopul.edu.pl/problemset/problem/pxbqUTPy3IuPDul9FdT2_Sth/site/&amp;sa=D&amp;ust=1605639832804000&amp;usg=AFQjCNHoSErYNrWQ9xprPMYbEJsG58K7dg" xr:uid="{4E299776-1F58-4690-9357-AC23A1FD207D}"/>
    <hyperlink ref="B1662" r:id="rId2851" display="https://www.google.com/url?q=https://szkopul.edu.pl/problemset/problem/GmAagCBetbskP0qiKlgVd-6A/site/&amp;sa=D&amp;ust=1605639832804000&amp;usg=AFQjCNGod1EbRJaI9o9IretUWX1wTyXUAw" xr:uid="{428376F6-5107-482D-9B73-6DCF47422CAB}"/>
    <hyperlink ref="B1663" r:id="rId2852" display="https://www.google.com/url?q=https://szkopul.edu.pl/problemset/problem/URPMk7vthz60i1J3MT3XbIIO/site/&amp;sa=D&amp;ust=1605639832804000&amp;usg=AFQjCNHHStubA4nyhfgn-6jSHYthgaL9BQ" xr:uid="{6B291F30-7070-4ACE-8ACB-821E268E9E0D}"/>
    <hyperlink ref="B1664" r:id="rId2853" display="https://www.google.com/url?q=https://szkopul.edu.pl/problemset/problem/GqRTa-xd7d9cGS5RL5Os-qTV/site/?key%3Dstatement&amp;sa=D&amp;ust=1605639832805000&amp;usg=AFQjCNF2MehM8I-SLGR9iv-3kXALlBNy1w" xr:uid="{F3CE996B-AF0E-4EBB-9C8C-A382FAADC0C3}"/>
    <hyperlink ref="F1664" r:id="rId2854" display="https://www.google.com/url?q=https://github.com/SpeedOfMagic/CompetitiveProgramming/blob/master/POI/96-kod.cpp&amp;sa=D&amp;ust=1605639832805000&amp;usg=AFQjCNGB0ccUIk380XAsNECjYA5zxBZsCQ" xr:uid="{E7861FCB-8DCB-4E0B-8AEC-0D40928E7DC4}"/>
    <hyperlink ref="B1665" r:id="rId2855" display="https://www.google.com/url?q=https://szkopul.edu.pl/problemset/problem/dIejmvqlAbsoU1hkjNbd4KtF/site/?key%3Dstatement&amp;sa=D&amp;ust=1605639832805000&amp;usg=AFQjCNFlhjAvon3MFzFjaCzb0nPYV6G_Yg" xr:uid="{F9E91398-ADE7-44EE-8D8F-0166796414F1}"/>
    <hyperlink ref="F1665" r:id="rId2856" display="https://www.google.com/url?q=https://github.com/mostafa-saad/MyCompetitiveProgramming/blob/master/Olympiad/POI/POI-96-wie.txt&amp;sa=D&amp;ust=1605639832805000&amp;usg=AFQjCNGzVBoDxvO_atX2yfdCFa-SSoeTCQ" xr:uid="{C3C9BD9A-4078-4113-B876-25F8D3EE8213}"/>
    <hyperlink ref="B1666" r:id="rId2857" display="https://www.google.com/url?q=https://szkopul.edu.pl/problemset/problem/4CirgBfxbj9tIAS2C7DWCCd7/site/?key%3Dstatement&amp;sa=D&amp;ust=1605639832806000&amp;usg=AFQjCNHul1O6u3zwaUzltsb1NJq79CdhxA" xr:uid="{7EA2C58A-F3E7-4B40-BD82-7C1BBE96DCD3}"/>
    <hyperlink ref="F1666" r:id="rId2858" display="https://www.google.com/url?q=https://github.com/mostafa-saad/MyCompetitiveProgramming/blob/master/Olympiad/POI/POI-03-sums.txt&amp;sa=D&amp;ust=1605639832806000&amp;usg=AFQjCNG1M69ggwQpkMsR2Oa4hCiKzMWivA" xr:uid="{C29486CD-379F-4AA1-AEDC-CDA8C8F09250}"/>
    <hyperlink ref="B1667" r:id="rId2859" display="https://www.google.com/url?q=https://csacademy.com/contest/rmi-2017-day-1/task/hangman2/&amp;sa=D&amp;ust=1605639832806000&amp;usg=AFQjCNG0MrPhUyS1RiF2z0ivcEuznKNgfQ" xr:uid="{A0E0F5EB-C4EA-4ADC-B0D5-F030CCAAA493}"/>
    <hyperlink ref="F1667" r:id="rId2860" display="https://www.google.com/url?q=https://github.com/mostafa-saad/MyCompetitiveProgramming/blob/master/Olympiad/RMI/RMI-17-D1-Hangman-2.txt&amp;sa=D&amp;ust=1605639832806000&amp;usg=AFQjCNEHdehEzj3-5PwIqCmPCC6SNfDQFQ" xr:uid="{0CD63179-3283-4301-8731-FF1B80A24C8C}"/>
    <hyperlink ref="B1668" r:id="rId2861" display="https://www.google.com/url?q=https://csacademy.com/contest/archive/task/borland&amp;sa=D&amp;ust=1605639832807000&amp;usg=AFQjCNFtYlP0plIWyP80kdo1UroCsIXFAA" xr:uid="{627D8961-9A12-4B5E-A4BC-8F060FA1635F}"/>
    <hyperlink ref="F1668" r:id="rId2862" display="https://www.google.com/url?q=https://github.com/MetalBall887/Competitive-Programming/blob/master/CSAcademy/ROJS%252017-borland.cpp&amp;sa=D&amp;ust=1605639832807000&amp;usg=AFQjCNHJwZkL8iPdyXLpRxfsLBV1ia93ig" xr:uid="{29C3484F-8389-451C-8759-D527DEEEE818}"/>
    <hyperlink ref="B1669" r:id="rId2863" display="https://www.google.com/url?q=https://csacademy.com/contest/junior-challenge-2017-day-1/task/chromatic-number/&amp;sa=D&amp;ust=1605639832807000&amp;usg=AFQjCNHMNqtGZJOAGw0YaWIg4qFLV-u4ag" xr:uid="{8A7C411F-0D1B-4208-96CD-DD5F79B54E29}"/>
    <hyperlink ref="B1670" r:id="rId2864" display="https://www.google.com/url?q=https://csacademy.com/contest/junior-challenge-2017-day-2/task/cntgigelmat&amp;sa=D&amp;ust=1605639832807000&amp;usg=AFQjCNGDl-77jKN6xXZbBmrRh4OFojEjzA" xr:uid="{A9ADBA1C-8BD1-41D9-B376-0070635DB647}"/>
    <hyperlink ref="F1670" r:id="rId2865" display="https://www.google.com/url?q=https://github.com/MetalBall887/Competitive-Programming/blob/master/CSAcademy/ROJS%252017-cntgigelmat.cpp&amp;sa=D&amp;ust=1605639832807000&amp;usg=AFQjCNGUIGlT1H75gL4vJ6BC7xXfYL3RYg" xr:uid="{948B774C-60AB-4A51-82AF-9102008D7AB3}"/>
    <hyperlink ref="B1671" r:id="rId2866" display="https://www.google.com/url?q=https://csacademy.com/contest/junior-challenge-2017-day-2/task/combinatorix&amp;sa=D&amp;ust=1605639832808000&amp;usg=AFQjCNHYBrmSCUsnM2fdpShdo4RCnJAQEA" xr:uid="{CEC22F49-F252-4538-AD33-244AE517E49F}"/>
    <hyperlink ref="B1672" r:id="rId2867" display="https://www.google.com/url?q=https://csacademy.com/contest/junior-challenge-2017-day-1/task/palindromic-tree/&amp;sa=D&amp;ust=1605639832809000&amp;usg=AFQjCNEfswifSVvfMOKsR0UVAnTGg_nMkw" xr:uid="{793FD657-481B-4F5B-8FFD-1BD60FF33979}"/>
    <hyperlink ref="B1673" r:id="rId2868" display="https://www.google.com/url?q=https://csacademy.com/contest/junior-challenge-2017-day-1/task/remove-update&amp;sa=D&amp;ust=1605639832810000&amp;usg=AFQjCNFlXnCgDE_Rdu5C3XxGOKDo3cgq4A" xr:uid="{64FBFB35-4157-480F-9BB4-DBF5D0F5D774}"/>
    <hyperlink ref="F1673" r:id="rId2869" display="https://www.google.com/url?q=https://github.com/nikolapesic2802/Programming-Practice/blob/master/Remove%2520Update/main.cpp&amp;sa=D&amp;ust=1605639832810000&amp;usg=AFQjCNHO48LophxS7Uys_AXooZ0e775pjQ" xr:uid="{AFABBDF3-5C46-4AEA-9B6D-B64FB5F7EE7E}"/>
    <hyperlink ref="B1674" r:id="rId2870" display="https://www.google.com/url?q=https://csacademy.com/contest/junior-challenge-2017-day-2/task/set-subtraction&amp;sa=D&amp;ust=1605639832810000&amp;usg=AFQjCNEG9WQhvy8z1fcnyhzqaJQr6VP1pg" xr:uid="{2B8420C8-4B41-44FF-8313-9B3445358B6D}"/>
    <hyperlink ref="B1675" r:id="rId2871" display="https://www.google.com/url?q=https://csacademy.com/contest/junior-challenge-2017-day-2/task/ultimateorbs&amp;sa=D&amp;ust=1605639832811000&amp;usg=AFQjCNGT0IQ0IiRszLT96AAHgQ5Rs7Zx-Q" xr:uid="{7BFEC672-87C7-43D8-9C2D-8A0A19AC083A}"/>
    <hyperlink ref="F1675" r:id="rId2872" display="https://www.google.com/url?q=https://github.com/mostafa-saad/MyCompetitiveProgramming/blob/master/Olympiad/ROS/ROJS-17-ultimateorbs.txt&amp;sa=D&amp;ust=1605639832811000&amp;usg=AFQjCNEHbsotpj5j9sizWAxIDyzYK3gG2w" xr:uid="{8B0C51BA-70F1-4BF1-A17B-666B0EAA3F13}"/>
    <hyperlink ref="B1676" r:id="rId2873" display="https://www.google.com/url?q=https://csacademy.com/contest/romanian-ioi-2017-selection-1/task/rooms/&amp;sa=D&amp;ust=1605639832811000&amp;usg=AFQjCNEMoErPG5xjVCINwDUyyFcc30Z9aw" xr:uid="{CCC66E0C-747C-4DE0-AF2F-4B2AFC8FB16C}"/>
    <hyperlink ref="F1676" r:id="rId2874" display="https://www.google.com/url?q=https://github.com/dolphingarlic/CompetitiveProgramming/blob/master/infoarena/ROUSelection%252017-rooms.cpp&amp;sa=D&amp;ust=1605639832811000&amp;usg=AFQjCNHdjEQc1QIxCRy6qMsUQ1TQLnzQ6g" xr:uid="{819F927A-A589-4AED-B34E-7CE947CE4A32}"/>
    <hyperlink ref="B1677" r:id="rId2875" display="https://www.google.com/url?q=https://csacademy.com/contest/round-80/task/anagram-sort&amp;sa=D&amp;ust=1605639832811000&amp;usg=AFQjCNFwk74sAZqKvx4geNb3TFFcvaWlYg" xr:uid="{18E49A13-6D24-4C68-A803-1C2533351FA1}"/>
    <hyperlink ref="B1678" r:id="rId2876" display="https://www.google.com/url?q=https://csacademy.com/contest/round-78/task/count-bst/&amp;sa=D&amp;ust=1605639832812000&amp;usg=AFQjCNGd6VelO4ulMVMI43Epb3vXXq9_Hw" xr:uid="{C78579F1-2C00-468D-8D30-93180B728F17}"/>
    <hyperlink ref="B1679" r:id="rId2877" display="https://www.google.com/url?q=https://csacademy.com/contest/round-78/task/generating-set/&amp;sa=D&amp;ust=1605639832812000&amp;usg=AFQjCNHjhWu828XbUsNc1HUHCGj_8jnjRQ" xr:uid="{A56669AA-BC38-446C-862E-6F0C4184034D}"/>
    <hyperlink ref="B1680" r:id="rId2878" display="https://www.google.com/url?q=https://csacademy.com/contest/round-80/task/shampoo-exchange/&amp;sa=D&amp;ust=1605639832813000&amp;usg=AFQjCNFsNBhYsPEVheMNgr2L0HFnBOybGQ" xr:uid="{14E0E19E-5E36-46D7-9855-8DFAF29EFE7F}"/>
    <hyperlink ref="B1681" r:id="rId2879" display="https://www.google.com/url?q=https://csacademy.com/contest/round-80/task/sortall/&amp;sa=D&amp;ust=1605639832813000&amp;usg=AFQjCNHBDuCHmd3Lp62IMtnkuSinn0vpPQ" xr:uid="{6801FCF8-1D38-4E8A-88DD-84DAEBF4AFB9}"/>
    <hyperlink ref="B1682" r:id="rId2880" display="https://www.google.com/url?q=https://csacademy.com/contest/round-80/task/tournament/&amp;sa=D&amp;ust=1605639832813000&amp;usg=AFQjCNEWnCd4NDs7UqcZQsHmGNop7rLXIA" xr:uid="{D5DD447F-3FF7-45B7-93E0-5842EF056C69}"/>
    <hyperlink ref="B1683" r:id="rId2881" display="https://www.google.com/url?q=https://csacademy.com/contest/round-80/task/towns/&amp;sa=D&amp;ust=1605639832814000&amp;usg=AFQjCNG2dV3ubE7gRgS76PhtY59LV8v2hA" xr:uid="{D341FAED-7CA1-4556-A63E-07607F88A3C9}"/>
    <hyperlink ref="B1684" r:id="rId2882" display="https://www.google.com/url?q=https://csacademy.com/contest/round-78/task/xor-transform/&amp;sa=D&amp;ust=1605639832814000&amp;usg=AFQjCNHcLfBW3FC7luwP92j3yujEWxQ7Yw" xr:uid="{B93A6BE9-8E19-4892-8F8C-C9B3BD8EE1F5}"/>
    <hyperlink ref="B1685" r:id="rId2883" display="https://www.google.com/url?q=https://contest.yandex.ru/roiarchive/contest/3926/problems/8/&amp;sa=D&amp;ust=1605639832814000&amp;usg=AFQjCNEwBbqIWe2ftLYoVDTtodA_7TufFA" xr:uid="{731CE1ED-22CA-495F-8440-BC09094D372E}"/>
    <hyperlink ref="F1685" r:id="rId2884" display="https://www.google.com/url?q=https://github.com/SpeedOfMagic/CompetitiveProgramming/blob/master/RusOI-reg/13-capitals.cpp&amp;sa=D&amp;ust=1605639832815000&amp;usg=AFQjCNGgqZKW7F5Jv0_Pjl9-JAshTwfFHQ" xr:uid="{F4D4B211-3E21-4077-ABD2-FFA80877148B}"/>
    <hyperlink ref="B1686" r:id="rId2885" display="https://www.google.com/url?q=https://contest.yandex.com/roiarchive/contest/2012/problems/D&amp;sa=D&amp;ust=1605639832815000&amp;usg=AFQjCNEX6ybIRz_6g8D6wa1ypGFW0Pltdg" xr:uid="{DCA17DA4-13B5-4EF1-AA00-6C247D16B040}"/>
    <hyperlink ref="B1687" r:id="rId2886" display="https://www.google.com/url?q=https://contest.yandex.ru/roiarchive/contest/2170/problems/8&amp;sa=D&amp;ust=1605639832815000&amp;usg=AFQjCNFoesK9jSng1MPiKR1c1lGqEb28iQ" xr:uid="{E7C9DA30-0221-44BC-AEB3-B7B26E9FF3AA}"/>
    <hyperlink ref="B1688" r:id="rId2887" display="https://www.google.com/url?q=https://contest.yandex.ru/contest/8699/problems/A&amp;sa=D&amp;ust=1605639832816000&amp;usg=AFQjCNFThB7YVUTLZJJfXBTMF5FLS7WoKQ" xr:uid="{A6CD948E-8B36-46F5-A67C-5F0233EB50F6}"/>
    <hyperlink ref="F1688" r:id="rId2888" display="https://www.google.com/url?q=https://github.com/SpeedOfMagic/CompetitiveProgramming/blob/master/SNSS/18-R1-A.cpp&amp;sa=D&amp;ust=1605639832816000&amp;usg=AFQjCNFhRP0RlP_W27mQyGZ3-QKNIYbS0A" xr:uid="{8264FF3A-09AE-4D67-AAF7-6A8D376A3A56}"/>
    <hyperlink ref="B1689" r:id="rId2889" display="https://www.google.com/url?q=https://contest.yandex.ru/snss2018/contest/8760/problems/B&amp;sa=D&amp;ust=1605639832816000&amp;usg=AFQjCNH_YUweBAKyKUBCd5YrIrkFPsJLKQ" xr:uid="{807395C8-4CD5-4B17-84A0-83D923578B19}"/>
    <hyperlink ref="B1690" r:id="rId2890" display="https://www.google.com/url?q=https://contest.yandex.ru/snss2018/contest/8703/problems/A&amp;sa=D&amp;ust=1605639832817000&amp;usg=AFQjCNFGAIeCz5neYbAN-tIwahS6cMg3rA" xr:uid="{46EEE40F-61AE-4AAA-AD59-E1EBCA0C8BB4}"/>
    <hyperlink ref="F1690" r:id="rId2891" display="https://www.google.com/url?q=https://github.com/SpeedOfMagic/CompetitiveProgramming/blob/master/SNSS/18-R5-A.cpp&amp;sa=D&amp;ust=1605639832817000&amp;usg=AFQjCNGexorQvAjB23PUKFowvnuZg34IVg" xr:uid="{E96AA0C8-F289-4369-9EDD-4D82DFA742C7}"/>
    <hyperlink ref="B1691" r:id="rId2892" display="https://www.google.com/url?q=https://training.ia-toki.org/problemsets/87/problems/445/&amp;sa=D&amp;ust=1605639832817000&amp;usg=AFQjCNFAFkMgomk9wQdf5v8tVakANno2Jg" xr:uid="{B1B0C4D2-2E83-462E-AF32-839DDBBE97BA}"/>
    <hyperlink ref="F1691" r:id="rId2893" display="https://www.google.com/url?q=https://github.com/win11905/submission/blob/master/TOKI/17/beauty/beauty.cpp&amp;sa=D&amp;ust=1605639832817000&amp;usg=AFQjCNEEhkjAcA6QdiIBK81gUaxp6ORm6g" xr:uid="{1182E857-C683-4BEC-A939-D63DD01C1E72}"/>
    <hyperlink ref="B1692" r:id="rId2894" display="https://www.google.com/url?q=https://training.ia-toki.org/problemsets/87/problems/447/&amp;sa=D&amp;ust=1605639832818000&amp;usg=AFQjCNGkckQ236epGVaPjGaz_Piu654MEg" xr:uid="{002767C5-0E56-494E-8CB8-C2951ECB8FFB}"/>
    <hyperlink ref="F1692" r:id="rId2895" display="https://www.google.com/url?q=https://github.com/win11905/submission/tree/master/TOKI/17/magic&amp;sa=D&amp;ust=1605639832819000&amp;usg=AFQjCNErE_b4xqwSn6MTIPfwiRk-lIeXMw" xr:uid="{F27F1E9B-17DD-4BBE-A124-1CE64E9E6240}"/>
    <hyperlink ref="B1693" r:id="rId2896" display="https://www.google.com/url?q=https://training.ia-toki.org/problemsets/87/problems/445/&amp;sa=D&amp;ust=1605639832819000&amp;usg=AFQjCNEQPVW_fTFtlCN1bEl3l5qb_wgMJQ" xr:uid="{D4A9F9DB-EEB0-4208-B3C0-A26924F70A9E}"/>
    <hyperlink ref="F1693" r:id="rId2897" display="https://www.google.com/url?q=https://github.com/win11905/submission/blob/master/TOKI/17/radius/radius.cpp&amp;sa=D&amp;ust=1605639832819000&amp;usg=AFQjCNEZp74ckBF6p0WPCl3Op_778qb17g" xr:uid="{62174D0A-CCE3-45E6-915D-ABFAE5327221}"/>
    <hyperlink ref="B1694" r:id="rId2898" display="https://www.google.com/url?q=https://training.ia-toki.org/problemsets/113/problems/632/&amp;sa=D&amp;ust=1605639832819000&amp;usg=AFQjCNHSs4fKB_QLiH2nxc9MHCYoXpxqzQ" xr:uid="{01A84DBD-D9B3-4B5D-9A1A-CE7870D1B3EA}"/>
    <hyperlink ref="F1694" r:id="rId2899" display="https://www.google.com/url?q=https://github.com/timpostuvan/CompetitiveProgramming/blob/master/Olympiad/TOKI/CellsTour2018.cpp&amp;sa=D&amp;ust=1605639832820000&amp;usg=AFQjCNEb7qmg01z6324_XRXjqhhCUvKClw" xr:uid="{190F6A00-47A6-4500-A26D-105B14C1D7E9}"/>
    <hyperlink ref="B1695" r:id="rId2900" display="https://www.google.com/url?q=https://training.ia-toki.org/problemsets/113/problems/629/&amp;sa=D&amp;ust=1605639832820000&amp;usg=AFQjCNH4Kut_a_mn2-WPRjAL7-73Q7vBSw" xr:uid="{FA1D6ADD-7658-4B95-A91B-C8E67722D5A1}"/>
    <hyperlink ref="F1695" r:id="rId2901" display="https://www.google.com/url?q=https://github.com/mostafa-saad/MyCompetitiveProgramming/blob/master/Olympiad/TOKI/TOKIOpen-18-GroupChat.txt&amp;sa=D&amp;ust=1605639832820000&amp;usg=AFQjCNF7T1rpsufjtme3Kc1pj9VgmQ7Uxg" xr:uid="{02AED46C-7775-4C7A-923E-23550F0BA3E5}"/>
    <hyperlink ref="B1696" r:id="rId2902" display="https://www.google.com/url?q=https://training.ia-toki.org/problemsets/113/problems&amp;sa=D&amp;ust=1605639832820000&amp;usg=AFQjCNGT5qfHvjkbj9fG_Osy3blrKM4JTw" xr:uid="{91CEB7E3-A45B-44F5-A41A-208372F20C11}"/>
    <hyperlink ref="F1696" r:id="rId2903" display="https://www.google.com/url?q=https://github.com/mostafa-saad/MyCompetitiveProgramming/blob/master/Olympiad/TOKI/TOKIOpen-18-TileCovering.txt&amp;sa=D&amp;ust=1605639832820000&amp;usg=AFQjCNHtGXbC2ri7x3s_0Pibkxre2wWSNA" xr:uid="{1A2D6561-F54F-4FDD-AD10-17E4088F7F54}"/>
    <hyperlink ref="B1697" r:id="rId2904" display="https://www.google.com/url?q=http://usaco.org/index.php?page%3Dviewproblem2%26cpid%3D102&amp;sa=D&amp;ust=1605639832821000&amp;usg=AFQjCNFK0Qeu2AXWPVIZQ8_EwWE4fj3sYQ" xr:uid="{4F8B0B00-8960-4E87-9C80-29CF048EAE55}"/>
    <hyperlink ref="B1698" r:id="rId2905" display="https://www.google.com/url?q=http://usaco.org/index.php?page%3Dviewproblem2%26cpid%3D100&amp;sa=D&amp;ust=1605639832821000&amp;usg=AFQjCNGV9zD1x5t6zPB391k4pNwE2o6kvw" xr:uid="{D269E02E-4FF1-4182-94F5-041B667C2D68}"/>
    <hyperlink ref="B1699" r:id="rId2906" display="https://www.google.com/url?q=http://usaco.org/index.php?page%3Dviewproblem2%26cpid%3D101&amp;sa=D&amp;ust=1605639832821000&amp;usg=AFQjCNE6hAbOpDkMPfh8UO5hlBE3tXX1QQ" xr:uid="{ABDC6B27-1D2E-43A5-A2DA-F25703D6E5F5}"/>
    <hyperlink ref="B1700" r:id="rId2907" display="https://www.google.com/url?q=http://usaco.org/index.php?page%3Dviewproblem2%26cpid%3D92&amp;sa=D&amp;ust=1605639832822000&amp;usg=AFQjCNFnxJADFgchM3eYZkCKf3ThNiK2Hg" xr:uid="{F2424559-5442-49FA-BB5F-C79D67D81EC6}"/>
    <hyperlink ref="B1701" r:id="rId2908" display="https://www.google.com/url?q=http://usaco.org/index.php?page%3Dviewproblem2%26cpid%3D91&amp;sa=D&amp;ust=1605639832822000&amp;usg=AFQjCNE2jCvLj54VB6WxoCU4iLj9Rdxr7A" xr:uid="{C948AD4E-0306-486E-A578-CDCC7452A8F8}"/>
    <hyperlink ref="B1702" r:id="rId2909" display="https://www.google.com/url?q=http://usaco.org/index.php?page%3Dviewproblem2%26cpid%3D93&amp;sa=D&amp;ust=1605639832822000&amp;usg=AFQjCNGDMekNBqQaSyZhQoBh3Wh8bHo9MA" xr:uid="{77B0482D-5B1D-4B6D-B11A-D6A0FC0DD27C}"/>
    <hyperlink ref="B1703" r:id="rId2910" display="https://www.google.com/url?q=http://usaco.org/index.php?page%3Dviewproblem2%26cpid%3D211&amp;sa=D&amp;ust=1605639832823000&amp;usg=AFQjCNG3_qGmcweeq8vxtKThK2M_2rGeIg" xr:uid="{349C4CFA-1783-4799-9196-E551CEBB783C}"/>
    <hyperlink ref="F1703" r:id="rId2911" display="https://www.google.com/url?q=https://github.com/updown2/OI-Practice/blob/master/USACO/2012-2013/December/Gold/Gangs.cpp&amp;sa=D&amp;ust=1605639832823000&amp;usg=AFQjCNHqIaTT9aeNrDOXRFy9UzhN34eQ9w" xr:uid="{CC139601-4E90-4CF0-BEA3-D42D55D23CD7}"/>
    <hyperlink ref="B1704" r:id="rId2912" display="https://www.google.com/url?q=http://usaco.org/index.php?page%3Dviewproblem2%26cpid%3D213&amp;sa=D&amp;ust=1605639832823000&amp;usg=AFQjCNHeGW60nF0rLfDV5zXVMWHkNk7H3Q" xr:uid="{595BED51-5917-41D7-8D49-FED91B47F862}"/>
    <hyperlink ref="F1704" r:id="rId2913" display="https://www.google.com/url?q=https://github.com/mostafa-saad/MyCompetitiveProgramming/blob/master/Olympiad/USACO/USACO-12dec-runaway.txt&amp;sa=D&amp;ust=1605639832823000&amp;usg=AFQjCNEbncK_8m1RRkIarmz4sn6Bom_Xbw" xr:uid="{13A9955C-433E-42E7-80C6-A8602C5478ED}"/>
    <hyperlink ref="B1705" r:id="rId2914" display="https://www.google.com/url?q=http://usaco.org/index.php?page%3Dviewproblem2%26cpid%3D193&amp;sa=D&amp;ust=1605639832823000&amp;usg=AFQjCNGS16mvXlrBNs1Uk9Y_VYnslpry9w" xr:uid="{C059CAB9-DB0C-40E8-BD91-203E491A5F3C}"/>
    <hyperlink ref="B1706" r:id="rId2915" display="https://www.google.com/url?q=http://usaco.org/index.php?page%3Dviewproblem2%26cpid%3D195&amp;sa=D&amp;ust=1605639832824000&amp;usg=AFQjCNG8YtszMQ9fzlkPQTMMZ_Nd7sJjbw" xr:uid="{90AC4A73-548C-4F30-AFE3-F324ECCF3631}"/>
    <hyperlink ref="B1707" r:id="rId2916" display="https://www.google.com/url?q=http://usaco.org/index.php?page%3Dviewproblem2%26cpid%3D194&amp;sa=D&amp;ust=1605639832824000&amp;usg=AFQjCNHjUUP0ztA7CvVc1_kJ42EuQFX5-g" xr:uid="{C53DBFFE-3FE6-4BDF-9387-461B05220CF9}"/>
    <hyperlink ref="B1708" r:id="rId2917" display="https://www.google.com/url?q=http://usaco.org/index.php?page%3Dviewproblem2%26cpid%3D230&amp;sa=D&amp;ust=1605639832825000&amp;usg=AFQjCNHB7T9xQ2o3jmjKKskY3n0mdFs-uw" xr:uid="{55087BA0-157F-4833-A607-BC0FB00274D2}"/>
    <hyperlink ref="B1709" r:id="rId2918" display="https://www.google.com/url?q=http://usaco.org/index.php?page%3Dviewproblem2%26cpid%3D229&amp;sa=D&amp;ust=1605639832825000&amp;usg=AFQjCNFgZ5SBHg2HjRe1DcETswrFkPe3Gg" xr:uid="{A5DF2471-8150-4581-9B55-04C58251A796}"/>
    <hyperlink ref="F1709" r:id="rId2919" display="https://www.google.com/url?q=https://github.com/mostafa-saad/MyCompetitiveProgramming/blob/master/Olympiad/USACO/USACO-13jan-lineup.txt&amp;sa=D&amp;ust=1605639832825000&amp;usg=AFQjCNFn3LERilUvx50GGotSWnWEbVJM0A" xr:uid="{3BD41B1F-C65B-4B79-AFB4-BDE77BD90E81}"/>
    <hyperlink ref="B1710" r:id="rId2920" display="https://www.google.com/url?q=http://usaco.org/index.php?page%3Dviewproblem2%26cpid%3D285&amp;sa=D&amp;ust=1605639832825000&amp;usg=AFQjCNHJdh7J9KbxJBiygM_dtNRg36o7UA" xr:uid="{BC4AD438-B3E3-46FC-99E9-7D99A4DC8445}"/>
    <hyperlink ref="B1711" r:id="rId2921" display="https://www.google.com/url?q=http://usaco.org/index.php?page%3Dviewproblem2%26cpid%3D496&amp;sa=D&amp;ust=1605639832826000&amp;usg=AFQjCNHlIHqWx2zzNueEIBwoZ6qR9Nq_pw" xr:uid="{E881D18B-AB1A-4CCA-863D-042077EF3B16}"/>
    <hyperlink ref="B1712" r:id="rId2922" display="https://www.google.com/url?q=http://usaco.org/index.php?page%3Dviewproblem2%26cpid%3D494&amp;sa=D&amp;ust=1605639832827000&amp;usg=AFQjCNE710opyq1B7E62uJMYSiz3rM2M_A" xr:uid="{21F23F71-55C4-41A9-92D3-E2F8C5F4DC3E}"/>
    <hyperlink ref="F1712" r:id="rId2923" display="https://www.google.com/url?q=https://github.com/goar5670/CompetitiveProgramming/blob/master/USACO%252014dec-guard.cpp&amp;sa=D&amp;ust=1605639832827000&amp;usg=AFQjCNHqxZU2wqhXh7jXFF08OrPTcv13FQ" xr:uid="{36352B8C-4575-4DE5-BF4D-A70ADA1FE9A4}"/>
    <hyperlink ref="B1713" r:id="rId2924" display="https://www.google.com/url?q=http://usaco.org/index.php?page%3Dviewproblem2%26cpid%3D495&amp;sa=D&amp;ust=1605639832827000&amp;usg=AFQjCNHhXuK96yWAu1uVcwPwdZdZoNAteQ" xr:uid="{264EC46E-E954-4F1C-91EF-82217EFBB93B}"/>
    <hyperlink ref="F1713" r:id="rId2925" display="https://www.google.com/url?q=https://github.com/SpeedOfMagic/CompetitiveProgramming/blob/master/USACO/USACO%252014dec-marathon.cpp&amp;sa=D&amp;ust=1605639832827000&amp;usg=AFQjCNGiu1kKh7zK5v9zZczXcVVxEr_Jmw" xr:uid="{4D5F5696-65E2-4641-8204-4E55B401CC8C}"/>
    <hyperlink ref="B1714" r:id="rId2926" display="https://www.google.com/url?q=http://usaco.org/index.php?page%3Dviewproblem2%26cpid%3D577&amp;sa=D&amp;ust=1605639832828000&amp;usg=AFQjCNFFwxJIZLwgbJzeIQ7uJ5EFYWJQUg" xr:uid="{D2F7DC7E-6DE4-4281-BDD6-C737159F5136}"/>
    <hyperlink ref="B1715" r:id="rId2927" display="https://www.google.com/url?q=http://usaco.org/index.php?page%3Dviewproblem2%26cpid%3D578&amp;sa=D&amp;ust=1605639832828000&amp;usg=AFQjCNG4oSk51lse32YYDhnQCsXI6-D_kQ" xr:uid="{4B1A6E2A-25E1-4DA4-BCE7-B8BDB14A54DC}"/>
    <hyperlink ref="B1716" r:id="rId2928" display="https://www.google.com/url?q=http://usaco.org/index.php?page%3Dviewproblem2%26cpid%3D576&amp;sa=D&amp;ust=1605639832829000&amp;usg=AFQjCNFofmP6vNa1Ngw7CHyrj8JuET6w8g" xr:uid="{72DA7117-5DD4-4969-BCED-C476CFED62BF}"/>
    <hyperlink ref="B1717" r:id="rId2929" display="https://www.google.com/url?q=http://usaco.org/index.php?page%3Dviewproblem2%26cpid%3D533&amp;sa=D&amp;ust=1605639832829000&amp;usg=AFQjCNEtu7vRwSl7v8vupfiacfbj32cG3w" xr:uid="{C9D02C8C-818F-4A6D-9D03-320064A76EFB}"/>
    <hyperlink ref="F1717" r:id="rId2930" display="https://www.google.com/url?q=https://github.com/updown2/OI-Practice/blob/master/USACO/2014-2015/February/Gold/Censoring.cpp&amp;sa=D&amp;ust=1605639832829000&amp;usg=AFQjCNHgLK273qU0wVh4PBbuPeemt85bPw" xr:uid="{532FAFB2-D6B7-403C-977D-EC97F76E8F93}"/>
    <hyperlink ref="B1718" r:id="rId2931" display="https://www.google.com/url?q=http://usaco.org/index.php?page%3Dviewproblem2%26cpid%3D533&amp;sa=D&amp;ust=1605639832829000&amp;usg=AFQjCNEtu7vRwSl7v8vupfiacfbj32cG3w" xr:uid="{84ED7F03-7C1B-4CAD-A6E2-851BE276C455}"/>
    <hyperlink ref="B1719" r:id="rId2932" display="https://www.google.com/url?q=http://usaco.org/index.php?page%3Dviewproblem2%26cpid%3D532&amp;sa=D&amp;ust=1605639832830000&amp;usg=AFQjCNGH_Z1c0f5CT-2iu3w8siUmWgqHhg" xr:uid="{8F82AAAE-643B-47CB-935A-05681E7A2D53}"/>
    <hyperlink ref="B1720" r:id="rId2933" display="https://www.google.com/url?q=http://usaco.org/index.php?page%3Dviewproblem2%26cpid%3D514&amp;sa=D&amp;ust=1605639832830000&amp;usg=AFQjCNHj5EO_crK6iEHKM5t4_iWq5dGa9w" xr:uid="{C0E53F88-2EC1-4936-8E13-D3F3CB78336F}"/>
    <hyperlink ref="B1721" r:id="rId2934" display="https://www.google.com/url?q=http://usaco.org/index.php?page%3Dviewproblem2%26cpid%3D515&amp;sa=D&amp;ust=1605639832830000&amp;usg=AFQjCNHVRVt8iDALiYt8VlWgdv9tfgTFVQ" xr:uid="{DDE0DBB8-C0E1-48A8-B897-C474E1BAC7FD}"/>
    <hyperlink ref="B1722" r:id="rId2935" display="https://www.google.com/url?q=http://usaco.org/index.php?page%3Dviewproblem2%26cpid%3D516&amp;sa=D&amp;ust=1605639832831000&amp;usg=AFQjCNHbelHgvh8SFwLqoZ5b-6J6Rkb8Sg" xr:uid="{72C40A29-F083-464B-894C-49C99BEA8D6B}"/>
    <hyperlink ref="F1722" r:id="rId2936" display="https://www.google.com/url?q=https://github.com/updown2/OI-Practice/blob/master/USACO/2014-2015/January/Problem%25203%2520grass.cpp&amp;sa=D&amp;ust=1605639832831000&amp;usg=AFQjCNE_izXYgjzkoX5d6rZA8On-mkuCHA" xr:uid="{CE1FDF48-BF57-4207-AB3E-15DD738997A9}"/>
    <hyperlink ref="B1723" r:id="rId2937" display="https://www.google.com/url?q=http://www.usaco.org/index.php?page%3Dviewproblem2%26cpid%3D645&amp;sa=D&amp;ust=1605639832831000&amp;usg=AFQjCNHdGfAJTCyv30oiQjG8PVIc-DNOvg" xr:uid="{40AED2EC-EA9E-4098-ACD5-CD18900A0323}"/>
    <hyperlink ref="B1724" r:id="rId2938" display="https://www.google.com/url?q=http://usaco.org/index.php?page%3Dviewproblem2%26cpid%3D674&amp;sa=D&amp;ust=1605639832831000&amp;usg=AFQjCNHFwCaCyfogIRCSMc9u7iuZHFd0IA" xr:uid="{0F4E3684-A468-4055-AFA1-62005702EB1C}"/>
    <hyperlink ref="B1725" r:id="rId2939" display="https://www.google.com/url?q=http://usaco.org/index.php?page%3Dviewproblem2%26cpid%3D673&amp;sa=D&amp;ust=1605639832832000&amp;usg=AFQjCNHlPYITLFCAPbB_zFeBgCZQo9VAIQ" xr:uid="{EB3086EB-3140-48F7-B623-BFB9592F8274}"/>
    <hyperlink ref="B1726" r:id="rId2940" display="https://www.google.com/url?q=http://usaco.org/index.php?page%3Dviewproblem2%26cpid%3D672&amp;sa=D&amp;ust=1605639832832000&amp;usg=AFQjCNHpGwP1zu7zf1wlHX8my7mvM-ne9Q" xr:uid="{DFA12F16-9136-4141-9812-BAB69D1C0A79}"/>
    <hyperlink ref="B1727" r:id="rId2941" display="https://www.google.com/url?q=http://usaco.org/index.php?page%3Dviewproblem2%26cpid%3D624&amp;sa=D&amp;ust=1605639832832000&amp;usg=AFQjCNER1QOxJY_O_GXUzrPEYc8ylJtzTA" xr:uid="{8C81571F-61CD-445C-A1EE-D42CA6EDC827}"/>
    <hyperlink ref="B1728" r:id="rId2942" display="https://www.google.com/url?q=http://usaco.org/index.php?page%3Dviewproblem2%26cpid%3D626&amp;sa=D&amp;ust=1605639832833000&amp;usg=AFQjCNGMqftzT-uhXwTZhgGR7X8p4Gxf8g" xr:uid="{671176B4-EE85-4BCB-8208-9567B4709329}"/>
    <hyperlink ref="F1728" r:id="rId2943" display="https://www.google.com/url?q=https://github.com/thecodingwizard/competitive-programming/blob/master/USACO/2016feb/plat/cbarn.cpp&amp;sa=D&amp;ust=1605639832833000&amp;usg=AFQjCNH22uY24COmrhwJseGsfAuoKpaDCQ" xr:uid="{7399BBFF-CEC3-49DD-8108-90D18A634920}"/>
    <hyperlink ref="B1729" r:id="rId2944" display="https://www.google.com/url?q=http://usaco.org/index.php?page%3Dviewproblem2%26cpid%3D625&amp;sa=D&amp;ust=1605639832833000&amp;usg=AFQjCNFXxAHjt15YFC9Z-1MovHSZzrgUuQ" xr:uid="{288D2F86-1505-4384-B313-F8C55AF1305E}"/>
    <hyperlink ref="B1730" r:id="rId2945" display="https://www.google.com/url?q=http://usaco.org/index.php?page%3Dviewproblem2%26cpid%3D648&amp;sa=D&amp;ust=1605639832834000&amp;usg=AFQjCNHmXNzFSgDN7ftSCJ18DzIm0HwePw" xr:uid="{0740F9B6-5AF2-45F0-BE69-4C62952F9701}"/>
    <hyperlink ref="B1731" r:id="rId2946" display="https://www.google.com/url?q=http://usaco.org/index.php?page%3Dviewproblem2%26cpid%3D770&amp;sa=D&amp;ust=1605639832834000&amp;usg=AFQjCNF7Ya746SpQlh5fbrvdgzVXEV95hQ" xr:uid="{2EBAA234-342D-4630-AF69-A255A42131A4}"/>
    <hyperlink ref="B1732" r:id="rId2947" display="https://www.google.com/url?q=http://usaco.org/index.php?page%3Dviewproblem2%26cpid%3D769&amp;sa=D&amp;ust=1605639832835000&amp;usg=AFQjCNEyCf3Co36w1CQUfTNh1XFnafVCeQ" xr:uid="{F923AAF0-3581-4F71-A190-FACA75DACA1D}"/>
    <hyperlink ref="B1733" r:id="rId2948" display="https://www.google.com/url?q=http://usaco.org/index.php?page%3Dviewproblem2%26cpid%3D768&amp;sa=D&amp;ust=1605639832836000&amp;usg=AFQjCNE2Ecz3AA0Yfnji-T1MSU1MLKzkWQ" xr:uid="{04C8E973-F54C-47DF-AEDD-93941086C4AD}"/>
    <hyperlink ref="B1734" r:id="rId2949" display="https://www.google.com/url?q=http://usaco.org/index.php?page%3Dviewproblem2%26cpid%3D722&amp;sa=D&amp;ust=1605639832836000&amp;usg=AFQjCNEdKP32-0lo3O7rgHiZRHJcD4xzSw" xr:uid="{74C7F39B-51C9-479A-9FDC-E0851E5210E6}"/>
    <hyperlink ref="B1735" r:id="rId2950" display="https://www.google.com/url?q=http://usaco.org/index.php?page%3Dviewproblem2%26cpid%3D722&amp;sa=D&amp;ust=1605639832837000&amp;usg=AFQjCNEHJkr2ZfCycYRGToutsehXh1PTew" xr:uid="{18E1E84B-3F05-4AEC-B538-99060DE474BA}"/>
    <hyperlink ref="F1735" r:id="rId2951" display="https://www.google.com/url?q=https://github.com/MohamedAhmed04/Competitive-programming/blob/master/USACO/17-February-Platinum-WhyDidTheCowCrossTheRoadIII.cpp&amp;sa=D&amp;ust=1605639832837000&amp;usg=AFQjCNGRSAptv8nHQMxmSu1o_hD1gRrD3g" xr:uid="{2022CB6D-E587-457E-BAD6-0C2DFFF86548}"/>
    <hyperlink ref="B1736" r:id="rId2952" display="https://www.google.com/url?q=http://usaco.org/index.php?page%3Dviewproblem2%26cpid%3D720&amp;sa=D&amp;ust=1605639832837000&amp;usg=AFQjCNFGA9xKgU7Y-VyHA8oZYAUkekr6XA" xr:uid="{AA94CD35-248D-4743-B43A-0FF149132041}"/>
    <hyperlink ref="B1737" r:id="rId2953" display="https://www.google.com/url?q=http://usaco.org/index.php?page%3Dviewproblem2%26cpid%3D721&amp;sa=D&amp;ust=1605639832838000&amp;usg=AFQjCNGfSScBpUCIJREIV9LtzdqUeg_kxA" xr:uid="{48255F24-62E9-4BB0-935D-C271229F563D}"/>
    <hyperlink ref="B1738" r:id="rId2954" display="https://www.google.com/url?q=http://usaco.org/index.php?page%3Dviewproblem2%26cpid%3D696&amp;sa=D&amp;ust=1605639832838000&amp;usg=AFQjCNFQdQ_Ds29iiQCAGp3wkS5_3ZpXfQ" xr:uid="{3C25DE78-D443-4290-A051-7F02BEAEB71D}"/>
    <hyperlink ref="B1739" r:id="rId2955" display="https://www.google.com/url?q=http://usaco.org/index.php?page%3Dviewproblem2%26cpid%3D698&amp;sa=D&amp;ust=1605639832839000&amp;usg=AFQjCNHQb9mMMD0hm2qrP9hzuvVIJM9j_Q" xr:uid="{BC2AC833-F207-4CE9-B13A-936AF015F6C9}"/>
    <hyperlink ref="B1740" r:id="rId2956" display="https://www.google.com/url?q=http://usaco.org/index.php?page%3Dviewproblem2%26cpid%3D697&amp;sa=D&amp;ust=1605639832839000&amp;usg=AFQjCNFv4vQGPggiRmJnff_eqrZ0Eji2CA" xr:uid="{76EAB0D8-D6BF-4F55-8D8C-9BE172CA5B27}"/>
    <hyperlink ref="F1740" r:id="rId2957" display="https://www.google.com/url?q=https://github.com/zoooma13/Competitive-Programming/blob/master/tallbarn.cpp&amp;sa=D&amp;ust=1605639832839000&amp;usg=AFQjCNHXFffwLfFOdAPVsm0uX2tnP33w_A" xr:uid="{94B2C61B-31FA-4EC9-A2D4-3CB4370944B9}"/>
    <hyperlink ref="B1741" r:id="rId2958" display="https://www.google.com/url?q=http://usaco.org/index.php?page%3Dviewproblem2%26cpid%3D744&amp;sa=D&amp;ust=1605639832840000&amp;usg=AFQjCNFjjUUA5kJrUrzN8-9AYixP0m1BRQ" xr:uid="{76EE9CC2-59F3-405F-892D-A0ABD28A5102}"/>
    <hyperlink ref="B1742" r:id="rId2959" display="https://www.google.com/url?q=http://usaco.org/index.php?page%3Dviewproblem2%26cpid%3D745&amp;sa=D&amp;ust=1605639832840000&amp;usg=AFQjCNEO49LSDVCUaoIDNiH2Y-bo6V7xqg" xr:uid="{79475A6A-8E60-411D-B53E-283D367692AB}"/>
    <hyperlink ref="F1742" r:id="rId2960" display="https://www.google.com/url?q=https://github.com/tmwilliamlin168/CompetitiveProgramming/blob/master/USACO/Contests/1617_4P/grass.cpp&amp;sa=D&amp;ust=1605639832841000&amp;usg=AFQjCNF1vesKoKtgw415n6U0NgE0aGezow" xr:uid="{8F972677-55AC-49CC-973C-6C88ABC677A7}"/>
    <hyperlink ref="B1743" r:id="rId2961" display="https://www.google.com/url?q=http://usaco.org/index.php?page%3Dviewproblem2%26cpid%3D864&amp;sa=D&amp;ust=1605639832841000&amp;usg=AFQjCNFqbE7jLXsbzPlNdg7GPfSbdO9IIw" xr:uid="{2BA8FD96-FE4E-4A05-851C-79DC293D93CF}"/>
    <hyperlink ref="F1743" r:id="rId2962" display="https://www.google.com/url?q=https://github.com/updown2/OI-Practice/blob/master/USACO/2018-2019/1.%2520December%2520%255BDONE%255D/Balance%2520Beam.cpp&amp;sa=D&amp;ust=1605639832841000&amp;usg=AFQjCNGC7Iff_HX1bsE5YtOGWP9nfNp2AQ" xr:uid="{DBFB948C-0115-4EEB-B72C-6144ADCC3D17}"/>
    <hyperlink ref="B1744" r:id="rId2963" display="https://www.google.com/url?q=http://usaco.org/index.php?page%3Dviewproblem2%26cpid%3D862&amp;sa=D&amp;ust=1605639832841000&amp;usg=AFQjCNH7NJo1H9fszrupuMu-61Xk6zhdUg" xr:uid="{7EF03F15-5262-45FB-8E17-212C0A962D6A}"/>
    <hyperlink ref="B1745" r:id="rId2964" display="https://www.google.com/url?q=http://usaco.org/index.php?page%3Dviewproblem2%26cpid%3D861&amp;sa=D&amp;ust=1605639832842000&amp;usg=AFQjCNH5UTcaOqwFGTDEcetyClZH8Y6R6w" xr:uid="{6879ED5A-52F9-4D07-B893-184AEC5752E9}"/>
    <hyperlink ref="B1746" r:id="rId2965" display="https://www.google.com/url?q=http://usaco.org/index.php?page%3Dviewproblem2%26cpid%3D866&amp;sa=D&amp;ust=1605639832842000&amp;usg=AFQjCNHPkLhgyciOr4wh7y5X3ZpHbUCLEg" xr:uid="{333DAF88-081F-4890-A77C-EB2A5CF29109}"/>
    <hyperlink ref="B1747" r:id="rId2966" display="https://www.google.com/url?q=http://usaco.org/index.php?page%3Dviewproblem2%26cpid%3D865&amp;sa=D&amp;ust=1605639832843000&amp;usg=AFQjCNFLp87txuJpxM4E49nd_8EPXl3ECg" xr:uid="{A023B660-D7A9-4C83-BDF5-6C415606D757}"/>
    <hyperlink ref="F1747" r:id="rId2967" display="https://www.google.com/url?q=https://github.com/tmwilliamlin168/CompetitiveProgramming/blob/master/USACO/Contests/1819_1P/Itout.cpp&amp;sa=D&amp;ust=1605639832843000&amp;usg=AFQjCNFO7k3Clae33ILD3_olHA3MhmMIAA" xr:uid="{3F5284E1-1914-4768-AD04-C89EC45CDF81}"/>
    <hyperlink ref="B1748" r:id="rId2968" display="https://www.google.com/url?q=http://usaco.org/index.php?page%3Dviewproblem2%26cpid%3D814&amp;sa=D&amp;ust=1605639832843000&amp;usg=AFQjCNEpGNIvQ3tKF-a6OVESE8yUJuwU7Q" xr:uid="{70E8CBBE-7629-4784-A81C-ACE6B9CE2881}"/>
    <hyperlink ref="B1749" r:id="rId2969" display="https://www.google.com/url?q=http://usaco.org/index.php?page%3Dviewproblem2%26cpid%3D818&amp;sa=D&amp;ust=1605639832844000&amp;usg=AFQjCNHdciUaJeo0WLIrqjneolehilV_OQ" xr:uid="{55028239-AD46-4899-BEA0-A33418F4624F}"/>
    <hyperlink ref="B1750" r:id="rId2970" display="https://www.google.com/url?q=http://usaco.org/index.php?page%3Dviewproblem2%26cpid%3D817&amp;sa=D&amp;ust=1605639832844000&amp;usg=AFQjCNGuNG9y-hgUq2EyrcKbPgu61uJHkA" xr:uid="{3FDD371B-05BA-482C-9F34-F66F74849435}"/>
    <hyperlink ref="B1751" r:id="rId2971" display="https://www.google.com/url?q=http://usaco.org/index.php?page%3Dviewproblem2%26cpid%3D816&amp;sa=D&amp;ust=1605639832844000&amp;usg=AFQjCNGwI7TzwTXWJ_Eg-XJ2h35SAkCIaA" xr:uid="{60C1A604-C506-4C91-B6A4-A3A272ED5118}"/>
    <hyperlink ref="B1752" r:id="rId2972" display="https://www.google.com/url?q=http://usaco.org/index.php?page%3Dviewproblem2%26cpid%3D793&amp;sa=D&amp;ust=1605639832845000&amp;usg=AFQjCNEaiVIfUv6ikSb9b6zFSMJ1QCURNw" xr:uid="{D6500A60-88F7-4C18-90B7-97622C5BA128}"/>
    <hyperlink ref="F1752" r:id="rId2973" display="https://www.google.com/url?q=https://github.com/gametothepower8/Solutions-to-OI-problems/blob/master/USACO18Janplat-atlarge.cpp&amp;sa=D&amp;ust=1605639832857000&amp;usg=AFQjCNG-bb6TuKPD3EjHybngLE3CGeHgQw" xr:uid="{E1FE70D5-847F-472E-8858-3A8C1D395CBC}"/>
    <hyperlink ref="B1753" r:id="rId2974" display="https://www.google.com/url?q=http://usaco.org/index.php?page%3Dviewproblem2%26cpid%3D792&amp;sa=D&amp;ust=1605639832858000&amp;usg=AFQjCNHQZPwBNTY5Gu7athhVXcLJ_4QomA" xr:uid="{F21BEFFD-10FA-4248-9010-661904CA3547}"/>
    <hyperlink ref="F1753" r:id="rId2975" display="https://www.google.com/url?q=https://github.com/thecodingwizard/competitive-programming/blob/master/USACO/2018jan/plat/lifeguards%2520(legit%2520solution).cpp&amp;sa=D&amp;ust=1605639832858000&amp;usg=AFQjCNG5RucZvZdicQF_82z_DHLQZT4sDg" xr:uid="{0F74F59D-48C8-4E1E-BA83-A5EE9BA00193}"/>
    <hyperlink ref="B1754" r:id="rId2976" display="https://www.google.com/url?q=http://usaco.org/index.php?page%3Dviewproblem2%26cpid%3D794&amp;sa=D&amp;ust=1605639832858000&amp;usg=AFQjCNF2XKJLqa0v_ykxpnQPbf2utk2waw" xr:uid="{4156EE18-EBC5-48C1-9010-DF650BCF2E42}"/>
    <hyperlink ref="F1754" r:id="rId2977" display="https://www.google.com/url?q=https://github.com/stefdasca/CompetitiveProgramming/blob/master/USACO/USACO%252018jan-sprinklers-plat.cpp&amp;sa=D&amp;ust=1605639832859000&amp;usg=AFQjCNEVE1tfU0Ye2TvidAuD7yt_Bpu12Q" xr:uid="{184879F9-FE36-4B09-8AB7-8A63201F2734}"/>
    <hyperlink ref="B1755" r:id="rId2978" display="https://www.google.com/url?q=http://usaco.org/index.php?page%3Dviewproblem2%26cpid%3D842&amp;sa=D&amp;ust=1605639832859000&amp;usg=AFQjCNHt-V63O6cVgI7zqd3pfgdfTG_jcA" xr:uid="{F9C109BD-6320-4F5F-8BF8-7D4912F48192}"/>
    <hyperlink ref="F1755" r:id="rId2979" display="https://www.google.com/url?q=https://github.com/luciocf/OI-Problems/blob/master/USACO/USACO%25202017-2018/Plat/US%2520Open/disrupt.cpp&amp;sa=D&amp;ust=1605639832859000&amp;usg=AFQjCNEyyhTruB2JV4mSukBP5r_8d6LU9g" xr:uid="{6530A50D-B4E3-4A7F-9369-6001500CF8E6}"/>
    <hyperlink ref="B1756" r:id="rId2980" display="https://www.google.com/url?q=http://usaco.org/index.php?page%3Dviewproblem2%26cpid%3D837&amp;sa=D&amp;ust=1605639832859000&amp;usg=AFQjCNFbHHjrp87RDkPLgVjzrKbMUbKudQ" xr:uid="{A85818C1-0ECB-4E2B-847E-98AC5983D64A}"/>
    <hyperlink ref="F1756" r:id="rId2981" display="https://www.google.com/url?q=https://github.com/dolphingarlic/CompetitiveProgramming/blob/master/USACO/USACO%252018-out_of_sorts_gold.cpp&amp;sa=D&amp;ust=1605639832860000&amp;usg=AFQjCNHsRE5P-jvWduq8ZFLVMLmBf81R4Q" xr:uid="{B4F00D73-33F2-4989-898C-3E346FDD05D3}"/>
    <hyperlink ref="B1757" r:id="rId2982" display="https://www.google.com/url?q=http://usaco.org/index.php?page%3Dviewproblem2%26cpid%3D840&amp;sa=D&amp;ust=1605639832860000&amp;usg=AFQjCNHboeauMOJYxEFxjbq9DBBYrZyb9g" xr:uid="{BA43057C-8A69-43E0-9773-0E321DBE2719}"/>
    <hyperlink ref="B1758" r:id="rId2983" display="https://www.google.com/url?q=http://usaco.org/index.php?page%3Dviewproblem2%26cpid%3D841&amp;sa=D&amp;ust=1605639832860000&amp;usg=AFQjCNFJ7IsMv3dnNugn3gqFPPOBcL2b2Q" xr:uid="{5B3DA9B2-EEFF-4CED-A634-421AE4157B10}"/>
    <hyperlink ref="B1759" r:id="rId2984" display="https://www.google.com/url?q=http://www.usaco.org/index.php?page%3Dviewproblem2%26cpid%3D972&amp;sa=D&amp;ust=1605639832861000&amp;usg=AFQjCNFES4bc00xfvWJ30Z5aupfUVPYOng" xr:uid="{926EBA5A-1418-4FCA-BEC3-B0ED43A5C22E}"/>
    <hyperlink ref="F1759" r:id="rId2985" display="https://www.google.com/url?q=https://github.com/thecodingwizard/competitive-programming/blob/master/USACO/2019dec/pieaters.cpp&amp;sa=D&amp;ust=1605639832861000&amp;usg=AFQjCNGuKqwwPtKZouZrIdwCuzSLLSQ2yQ" xr:uid="{ECF30F78-40DC-45D0-BD10-87AC86BF3C18}"/>
    <hyperlink ref="B1760" r:id="rId2986" display="https://www.google.com/url?q=http://www.usaco.org/index.php?page%3Dviewproblem2%26cpid%3D973&amp;sa=D&amp;ust=1605639832861000&amp;usg=AFQjCNG5fmn94BK2qv2SQzrW4whZb4CHjA" xr:uid="{68DBE34A-5B8F-456E-B2CC-41A6163AE974}"/>
    <hyperlink ref="B1761" r:id="rId2987" display="https://www.google.com/url?q=http://www.usaco.org/index.php?page%3Dviewproblem2%26cpid%3D974&amp;sa=D&amp;ust=1605639832862000&amp;usg=AFQjCNHJl13wEg798U-oNCRlg7q7sOBY6g" xr:uid="{97EF1F0F-964D-41A4-9C43-DADFEEF3AD2A}"/>
    <hyperlink ref="B1762" r:id="rId2988" display="https://www.google.com/url?q=http://usaco.org/index.php?page%3Dviewproblem2%26cpid%3D924&amp;sa=D&amp;ust=1605639832862000&amp;usg=AFQjCNH3Q6zV_kqRDX6LxCZxp6CjGZCweA" xr:uid="{38B6A166-E0BF-4990-BCAC-00B5B19255D3}"/>
    <hyperlink ref="B1763" r:id="rId2989" display="https://www.google.com/url?q=http://usaco.org/index.php?page%3Dviewproblem2%26cpid%3D921&amp;sa=D&amp;ust=1605639832862000&amp;usg=AFQjCNEaQZkt25-nGSJXB08937K6gXGcbg" xr:uid="{05899233-3964-40D4-9567-CB39EE65A963}"/>
    <hyperlink ref="B1764" r:id="rId2990" display="https://www.google.com/url?q=http://usaco.org/index.php?page%3Dviewproblem2%26cpid%3D923&amp;sa=D&amp;ust=1605639832863000&amp;usg=AFQjCNG7mXLrB3WVYKFGBf3pjxNt6VKFqA" xr:uid="{AB87B23E-4525-4252-85B2-63DA4BEAF4CA}"/>
    <hyperlink ref="B1765" r:id="rId2991" display="https://www.google.com/url?q=http://usaco.org/index.php?page%3Dviewproblem2%26cpid%3D926&amp;sa=D&amp;ust=1605639832863000&amp;usg=AFQjCNGghZKhGBiD9npuTrLK0QmzBMDtfQ" xr:uid="{BC4F3F4D-CCFD-4F7C-BAB1-2B26FE3DD358}"/>
    <hyperlink ref="F1765" r:id="rId2992" display="https://www.google.com/url?q=https://github.com/ihdignite/CompetitiveProgramming/blob/master/USACO/1819_3P/Mowing.cpp&amp;sa=D&amp;ust=1605639832863000&amp;usg=AFQjCNEzNCjm92GIIAA_fQIv72ZTFMN4VQ" xr:uid="{0E88567A-B753-4BB7-83C5-F1EDBFB310A9}"/>
    <hyperlink ref="B1766" r:id="rId2993" display="https://www.google.com/url?q=http://usaco.org/index.php?page%3Dviewproblem2%26cpid%3D924&amp;sa=D&amp;ust=1605639832863000&amp;usg=AFQjCNEJWyJ19iY2-PTlVcNkKn3OTOaVqg" xr:uid="{C8BC3224-7599-4D48-8E1A-1CE33E538C90}"/>
    <hyperlink ref="B1767" r:id="rId2994" display="https://www.google.com/url?q=http://usaco.org/index.php?page%3Dviewproblem2%26cpid%3D925&amp;sa=D&amp;ust=1605639832864000&amp;usg=AFQjCNFaLAK8bZRVxfi4AGJdWBx8IC7dgQ" xr:uid="{0D54697E-83CA-4FD3-872B-DAF28A5FD505}"/>
    <hyperlink ref="F1767" r:id="rId2995" display="https://www.google.com/url?q=https://github.com/thecodingwizard/competitive-programming/blob/master/USACO/2019feb/plat/mooriokart.cpp&amp;sa=D&amp;ust=1605639832864000&amp;usg=AFQjCNECEoIRxAyXCEGV8pjVFT1FaMh3ag" xr:uid="{9F925742-C3E3-459D-AEBD-83E0915AC79C}"/>
    <hyperlink ref="B1768" r:id="rId2996" display="https://www.google.com/url?q=http://usaco.org/index.php?page%3Dviewproblem2%26cpid%3D901&amp;sa=D&amp;ust=1605639832864000&amp;usg=AFQjCNEPArlafiNWyU2trw6x3NwQaPCTGg" xr:uid="{60329291-A3AD-471E-BFFB-77D59A373125}"/>
    <hyperlink ref="B1769" r:id="rId2997" display="https://www.google.com/url?q=http://usaco.org/index.php?page%3Dviewproblem2%26cpid%3D900&amp;sa=D&amp;ust=1605639832865000&amp;usg=AFQjCNEAN6TiDBMNAHFRBkEQC_L6FAabpA" xr:uid="{09247C84-712D-4CE2-B080-C9075FDBEE9B}"/>
    <hyperlink ref="B1770" r:id="rId2998" display="https://www.google.com/url?q=http://usaco.org/index.php?page%3Dviewproblem2%26cpid%3D902&amp;sa=D&amp;ust=1605639832865000&amp;usg=AFQjCNF3Q5D1HjzEzs6bY9izRWW4gGxc4Q" xr:uid="{EF9F776F-D660-44BA-A75A-C692B0A184BE}"/>
    <hyperlink ref="B1771" r:id="rId2999" display="https://www.google.com/url?q=http://usaco.org/index.php?page%3Dviewproblem2%26cpid%3D947&amp;sa=D&amp;ust=1605639832866000&amp;usg=AFQjCNEUdxdE3dvfkehB8CNaccn-TmYYUw" xr:uid="{3D3D9874-C60F-41F6-90CC-5DBAAD59A98B}"/>
    <hyperlink ref="B1772" r:id="rId3000" display="https://www.google.com/url?q=http://usaco.org/index.php?page%3Dviewproblem2%26cpid%3D945&amp;sa=D&amp;ust=1605639832867000&amp;usg=AFQjCNF9PT_eqVyLvLoHzaagGk4DGjKuwQ" xr:uid="{780B65E9-402A-4803-8D89-127F6BA84405}"/>
    <hyperlink ref="B1773" r:id="rId3001" display="https://www.google.com/url?q=http://usaco.org/index.php?page%3Dviewproblem2%26cpid%3D950&amp;sa=D&amp;ust=1605639832868000&amp;usg=AFQjCNEKH35qL7zpJibtnOiQlX4gF8XEew" xr:uid="{81D2EA3C-04EC-4EDD-92BA-EB83FC1CAC48}"/>
    <hyperlink ref="F1773" r:id="rId3002" display="https://www.google.com/url?q=https://github.com/Szawinis/CompetitiveProgramming/blob/master/Olympiad/USACO/USACO19mar-valleys-plat.cpp&amp;sa=D&amp;ust=1605639832868000&amp;usg=AFQjCNEnN0rF0JmvBqk7rtRy4-Z84JPRyw" xr:uid="{D692E2EA-9F32-4562-A3B8-D55EAE84CEF4}"/>
    <hyperlink ref="B1774" r:id="rId3003" display="https://www.google.com/url?q=http://usaco.org/index.php?page%3Dviewproblem2%26cpid%3D946&amp;sa=D&amp;ust=1605639832868000&amp;usg=AFQjCNHJlX0X5_JYVtfwJwHPhT9OoyQAcg" xr:uid="{A25870FD-EFCC-4828-93EF-17D300F8DDC8}"/>
    <hyperlink ref="B1775" r:id="rId3004" display="https://www.google.com/url?q=http://usaco.org/index.php?page%3Dviewproblem2%26cpid%3D972%23&amp;sa=D&amp;ust=1605639832869000&amp;usg=AFQjCNEP3PL65eVqaeF6VHYhmM_3PcKFMQ" xr:uid="{27CC1976-E985-4051-882E-BB8681B7A72B}"/>
    <hyperlink ref="B1776" r:id="rId3005" display="https://www.google.com/url?q=http://www.usaco.org/index.php?page%3Dviewproblem2%26cpid%3D1020&amp;sa=D&amp;ust=1605639832869000&amp;usg=AFQjCNGogSct8nK7X1gkH12wchY05xVV_w" xr:uid="{6FF9F885-4184-4FCF-9748-C631359981C6}"/>
    <hyperlink ref="B1777" r:id="rId3006" display="https://www.google.com/url?q=http://www.usaco.org/index.php?page%3Dviewproblem2%26cpid%3D1022&amp;sa=D&amp;ust=1605639832870000&amp;usg=AFQjCNGP6vEKPA2tvmJ8V-41vNKbqRW2yA" xr:uid="{65569930-73DA-401C-8902-8AF65668E6F9}"/>
    <hyperlink ref="B1778" r:id="rId3007" display="https://www.google.com/url?q=http://www.usaco.org/index.php?page%3Dviewproblem2%26cpid%3D1021&amp;sa=D&amp;ust=1605639832870000&amp;usg=AFQjCNH9a9VuOUxT5EczjORQuQlOWYBIbg" xr:uid="{CC9EC76A-50A0-4686-98C2-B5A846692196}"/>
    <hyperlink ref="B1779" r:id="rId3008" display="https://www.google.com/url?q=http://www.usaco.org/index.php?page%3Dviewproblem2%26cpid%3D996&amp;sa=D&amp;ust=1605639832871000&amp;usg=AFQjCNEgszBpxhRDwVEZZytxH2Icq0EnoQ" xr:uid="{88A65057-EF44-4BBB-BD4B-3917E895D458}"/>
    <hyperlink ref="B1780" r:id="rId3009" display="https://www.google.com/url?q=http://www.usaco.org/index.php?page%3Dviewproblem2%26cpid%3D994&amp;sa=D&amp;ust=1605639832871000&amp;usg=AFQjCNFE2t-Obnl7MDvj8oeue5PfScYfTg" xr:uid="{29973843-F7A0-47F7-90FC-5208E9F6987A}"/>
    <hyperlink ref="B1781" r:id="rId3010" display="https://www.google.com/url?q=https://dmoj.ca/problem/utso15p5&amp;sa=D&amp;ust=1605639832872000&amp;usg=AFQjCNGBzG8TaDTeBC8SsOnZ_1TLUAYlfQ" xr:uid="{36F0CC83-765D-4B78-B500-7B870324AD3D}"/>
    <hyperlink ref="F1781" r:id="rId3011" display="https://www.google.com/url?q=https://github.com/win11905/submission/blob/61c76f8b073e5e5446e7688626c487a4dcbfcd9e/Dmoj/utso15p5.cpp&amp;sa=D&amp;ust=1605639832872000&amp;usg=AFQjCNGk9GHL44_MfOKrEwcukvppPXAbeQ" xr:uid="{E567C6F5-2390-4564-967E-5D93B56B92FB}"/>
    <hyperlink ref="B1782" r:id="rId3012" display="https://www.google.com/url?q=https://dmoj.ca/problem/utso15p3&amp;sa=D&amp;ust=1605639832872000&amp;usg=AFQjCNFGvy7SC3SUaVvGhUz_omakW3Qt8A" xr:uid="{CA30AD3D-8E3C-4852-8514-0BF53BE22633}"/>
    <hyperlink ref="B1783" r:id="rId3013" display="https://www.google.com/url?q=https://dmoj.ca/problem/utso18p2&amp;sa=D&amp;ust=1605639832873000&amp;usg=AFQjCNEj8lhK5-0tY5RpGhr87tZE_9n5Bg" xr:uid="{A29FEFF4-484E-42A6-B37E-220415164179}"/>
    <hyperlink ref="B1784" r:id="rId3014" display="https://www.google.com/url?q=https://dmoj.ca/problem/utso18p1&amp;sa=D&amp;ust=1605639832873000&amp;usg=AFQjCNHesyYLmTJcEnrdS1TfzNaMIvm49g" xr:uid="{4A26FD97-328C-4E9F-9A6F-435151AF5BF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8B43B-92DE-421C-A19B-0CC2E0BCEA18}">
  <sheetPr>
    <tabColor rgb="FF7030A0"/>
  </sheetPr>
  <dimension ref="A1:C3"/>
  <sheetViews>
    <sheetView workbookViewId="0">
      <selection activeCell="B3" sqref="B3"/>
    </sheetView>
  </sheetViews>
  <sheetFormatPr defaultRowHeight="13.2"/>
  <cols>
    <col min="1" max="1" width="61.44140625" customWidth="1"/>
    <col min="2" max="2" width="76.6640625" customWidth="1"/>
    <col min="3" max="3" width="66.33203125" customWidth="1"/>
  </cols>
  <sheetData>
    <row r="1" spans="1:3" ht="64.2" customHeight="1">
      <c r="A1" t="s">
        <v>10954</v>
      </c>
      <c r="B1" t="s">
        <v>10955</v>
      </c>
      <c r="C1" t="s">
        <v>10956</v>
      </c>
    </row>
    <row r="3" spans="1:3">
      <c r="A3" t="s">
        <v>10957</v>
      </c>
      <c r="B3" t="s">
        <v>10958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3DCC1-1A45-47BE-8A1E-9EF3FA6DB20B}">
  <dimension ref="A1:A7"/>
  <sheetViews>
    <sheetView workbookViewId="0">
      <selection activeCell="A7" sqref="A7"/>
    </sheetView>
  </sheetViews>
  <sheetFormatPr defaultRowHeight="13.2"/>
  <cols>
    <col min="1" max="1" width="177.109375" customWidth="1"/>
  </cols>
  <sheetData>
    <row r="1" spans="1:1">
      <c r="A1" t="s">
        <v>14569</v>
      </c>
    </row>
    <row r="5" spans="1:1">
      <c r="A5" s="592" t="s">
        <v>14571</v>
      </c>
    </row>
    <row r="6" spans="1:1">
      <c r="A6" t="s">
        <v>14572</v>
      </c>
    </row>
    <row r="7" spans="1:1">
      <c r="A7" s="549" t="s">
        <v>14573</v>
      </c>
    </row>
  </sheetData>
  <hyperlinks>
    <hyperlink ref="A7" r:id="rId1" xr:uid="{52AAEA6F-F3AD-4789-9A89-8F20AB97107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85"/>
  <sheetViews>
    <sheetView workbookViewId="0">
      <selection activeCell="A73" sqref="A73"/>
    </sheetView>
  </sheetViews>
  <sheetFormatPr defaultColWidth="17.33203125" defaultRowHeight="15.75" customHeight="1"/>
  <cols>
    <col min="1" max="1" width="167.44140625" customWidth="1"/>
  </cols>
  <sheetData>
    <row r="1" spans="1:1" ht="15.75" customHeight="1">
      <c r="A1" s="36" t="s">
        <v>78</v>
      </c>
    </row>
    <row r="2" spans="1:1" ht="15.75" customHeight="1">
      <c r="A2" s="37" t="s">
        <v>79</v>
      </c>
    </row>
    <row r="4" spans="1:1" ht="15.75" customHeight="1">
      <c r="A4" s="38" t="s">
        <v>80</v>
      </c>
    </row>
    <row r="5" spans="1:1" ht="15.75" customHeight="1">
      <c r="A5" s="10" t="s">
        <v>81</v>
      </c>
    </row>
    <row r="6" spans="1:1" ht="15.75" customHeight="1">
      <c r="A6" s="39" t="s">
        <v>82</v>
      </c>
    </row>
    <row r="7" spans="1:1" ht="15.75" customHeight="1">
      <c r="A7" s="37" t="s">
        <v>83</v>
      </c>
    </row>
    <row r="9" spans="1:1" ht="15.75" customHeight="1">
      <c r="A9" s="36" t="s">
        <v>84</v>
      </c>
    </row>
    <row r="10" spans="1:1" ht="15.75" customHeight="1">
      <c r="A10" s="40" t="s">
        <v>85</v>
      </c>
    </row>
    <row r="12" spans="1:1" ht="15.75" customHeight="1">
      <c r="A12" s="36" t="s">
        <v>86</v>
      </c>
    </row>
    <row r="13" spans="1:1" ht="15.75" customHeight="1">
      <c r="A13" s="37" t="s">
        <v>87</v>
      </c>
    </row>
    <row r="15" spans="1:1" ht="15.75" customHeight="1">
      <c r="A15" s="36" t="s">
        <v>88</v>
      </c>
    </row>
    <row r="16" spans="1:1" ht="15.75" customHeight="1">
      <c r="A16" s="37" t="s">
        <v>89</v>
      </c>
    </row>
    <row r="18" spans="1:1" ht="15.75" customHeight="1">
      <c r="A18" s="36" t="s">
        <v>90</v>
      </c>
    </row>
    <row r="19" spans="1:1" ht="15.75" customHeight="1">
      <c r="A19" s="37" t="s">
        <v>91</v>
      </c>
    </row>
    <row r="21" spans="1:1" ht="15.75" customHeight="1">
      <c r="A21" s="36" t="s">
        <v>92</v>
      </c>
    </row>
    <row r="22" spans="1:1" ht="15.75" customHeight="1">
      <c r="A22" s="37" t="s">
        <v>93</v>
      </c>
    </row>
    <row r="24" spans="1:1" ht="15.75" customHeight="1">
      <c r="A24" s="36" t="s">
        <v>94</v>
      </c>
    </row>
    <row r="25" spans="1:1" ht="15.75" customHeight="1">
      <c r="A25" s="37" t="s">
        <v>95</v>
      </c>
    </row>
    <row r="27" spans="1:1" ht="15.75" customHeight="1">
      <c r="A27" s="41" t="s">
        <v>96</v>
      </c>
    </row>
    <row r="28" spans="1:1" ht="15.75" customHeight="1">
      <c r="A28" s="26" t="s">
        <v>97</v>
      </c>
    </row>
    <row r="29" spans="1:1" ht="15.75" customHeight="1">
      <c r="A29" s="26"/>
    </row>
    <row r="30" spans="1:1" ht="13.2">
      <c r="A30" s="41" t="s">
        <v>98</v>
      </c>
    </row>
    <row r="31" spans="1:1" ht="52.8">
      <c r="A31" s="37" t="s">
        <v>99</v>
      </c>
    </row>
    <row r="33" spans="1:1" ht="13.2">
      <c r="A33" s="41" t="s">
        <v>100</v>
      </c>
    </row>
    <row r="34" spans="1:1" ht="290.39999999999998">
      <c r="A34" s="37" t="s">
        <v>101</v>
      </c>
    </row>
    <row r="36" spans="1:1" ht="26.4">
      <c r="A36" s="37" t="s">
        <v>102</v>
      </c>
    </row>
    <row r="38" spans="1:1" ht="13.2">
      <c r="A38" s="41" t="s">
        <v>103</v>
      </c>
    </row>
    <row r="39" spans="1:1" ht="105.6">
      <c r="A39" s="37" t="s">
        <v>104</v>
      </c>
    </row>
    <row r="41" spans="1:1" ht="13.2">
      <c r="A41" s="41" t="s">
        <v>105</v>
      </c>
    </row>
    <row r="42" spans="1:1" ht="79.2">
      <c r="A42" s="37" t="s">
        <v>106</v>
      </c>
    </row>
    <row r="45" spans="1:1" ht="13.2">
      <c r="A45" s="41" t="s">
        <v>107</v>
      </c>
    </row>
    <row r="46" spans="1:1" ht="184.8">
      <c r="A46" s="37" t="s">
        <v>108</v>
      </c>
    </row>
    <row r="48" spans="1:1" ht="13.2">
      <c r="A48" s="41" t="s">
        <v>109</v>
      </c>
    </row>
    <row r="49" spans="1:1" ht="118.8">
      <c r="A49" s="37" t="s">
        <v>110</v>
      </c>
    </row>
    <row r="51" spans="1:1" ht="13.2">
      <c r="A51" s="41" t="s">
        <v>111</v>
      </c>
    </row>
    <row r="52" spans="1:1" ht="92.4">
      <c r="A52" s="37" t="s">
        <v>112</v>
      </c>
    </row>
    <row r="54" spans="1:1" ht="13.2">
      <c r="A54" s="41" t="s">
        <v>113</v>
      </c>
    </row>
    <row r="55" spans="1:1" ht="13.2">
      <c r="A55" s="37" t="s">
        <v>114</v>
      </c>
    </row>
    <row r="57" spans="1:1" ht="13.2">
      <c r="A57" s="41" t="s">
        <v>115</v>
      </c>
    </row>
    <row r="58" spans="1:1" ht="52.8">
      <c r="A58" s="37" t="s">
        <v>116</v>
      </c>
    </row>
    <row r="60" spans="1:1" ht="13.2">
      <c r="A60" s="41" t="s">
        <v>117</v>
      </c>
    </row>
    <row r="61" spans="1:1" ht="13.2">
      <c r="A61" s="37" t="s">
        <v>118</v>
      </c>
    </row>
    <row r="63" spans="1:1" ht="13.2">
      <c r="A63" s="41" t="s">
        <v>119</v>
      </c>
    </row>
    <row r="64" spans="1:1" ht="13.2">
      <c r="A64" s="40" t="s">
        <v>120</v>
      </c>
    </row>
    <row r="66" spans="1:1" ht="13.2">
      <c r="A66" s="41" t="s">
        <v>121</v>
      </c>
    </row>
    <row r="67" spans="1:1" ht="26.4">
      <c r="A67" s="37" t="s">
        <v>122</v>
      </c>
    </row>
    <row r="69" spans="1:1" ht="13.2">
      <c r="A69" s="41" t="s">
        <v>123</v>
      </c>
    </row>
    <row r="70" spans="1:1" ht="198">
      <c r="A70" s="37" t="s">
        <v>124</v>
      </c>
    </row>
    <row r="72" spans="1:1" ht="13.2">
      <c r="A72" s="41" t="s">
        <v>125</v>
      </c>
    </row>
    <row r="73" spans="1:1" ht="13.2">
      <c r="A73" s="40" t="s">
        <v>126</v>
      </c>
    </row>
    <row r="75" spans="1:1" ht="13.2">
      <c r="A75" s="41" t="s">
        <v>127</v>
      </c>
    </row>
    <row r="76" spans="1:1" ht="13.2">
      <c r="A76" s="40" t="s">
        <v>128</v>
      </c>
    </row>
    <row r="78" spans="1:1" ht="13.2">
      <c r="A78" s="41" t="s">
        <v>129</v>
      </c>
    </row>
    <row r="79" spans="1:1" ht="39.6">
      <c r="A79" s="37" t="s">
        <v>130</v>
      </c>
    </row>
    <row r="81" spans="1:1" ht="13.2">
      <c r="A81" s="41" t="s">
        <v>131</v>
      </c>
    </row>
    <row r="82" spans="1:1" ht="13.2">
      <c r="A82" s="37" t="s">
        <v>132</v>
      </c>
    </row>
    <row r="84" spans="1:1" ht="13.2">
      <c r="A84" s="41" t="s">
        <v>133</v>
      </c>
    </row>
    <row r="85" spans="1:1" ht="13.2">
      <c r="A85" s="37" t="s">
        <v>134</v>
      </c>
    </row>
  </sheetData>
  <hyperlinks>
    <hyperlink ref="A10" r:id="rId1" xr:uid="{00000000-0004-0000-0100-000000000000}"/>
    <hyperlink ref="A64" r:id="rId2" xr:uid="{00000000-0004-0000-0100-000001000000}"/>
    <hyperlink ref="A73" r:id="rId3" xr:uid="{00000000-0004-0000-0100-000002000000}"/>
    <hyperlink ref="A76" r:id="rId4" xr:uid="{00000000-0004-0000-0100-000003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DC476-0FDD-4E92-864E-A5F041186F6B}">
  <dimension ref="A1"/>
  <sheetViews>
    <sheetView workbookViewId="0"/>
  </sheetViews>
  <sheetFormatPr defaultRowHeight="13.2"/>
  <cols>
    <col min="1" max="1" width="150.21875" customWidth="1"/>
  </cols>
  <sheetData>
    <row r="1" spans="1:1">
      <c r="A1" t="s">
        <v>14570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A2DCD-68B6-4D78-82E6-9C95C80552EC}">
  <dimension ref="A3:C106"/>
  <sheetViews>
    <sheetView topLeftCell="A99" zoomScale="88" workbookViewId="0">
      <selection activeCell="A107" sqref="A107"/>
    </sheetView>
  </sheetViews>
  <sheetFormatPr defaultRowHeight="40.049999999999997" customHeight="1"/>
  <cols>
    <col min="1" max="1" width="235.44140625" style="590" customWidth="1"/>
    <col min="4" max="16384" width="8.88671875" style="591"/>
  </cols>
  <sheetData>
    <row r="3" spans="1:1" ht="40.049999999999997" customHeight="1">
      <c r="A3" s="590" t="s">
        <v>14556</v>
      </c>
    </row>
    <row r="4" spans="1:1" ht="40.049999999999997" customHeight="1">
      <c r="A4" s="590" t="s">
        <v>14557</v>
      </c>
    </row>
    <row r="5" spans="1:1" ht="40.049999999999997" customHeight="1">
      <c r="A5" s="590" t="s">
        <v>14558</v>
      </c>
    </row>
    <row r="6" spans="1:1" ht="40.049999999999997" customHeight="1">
      <c r="A6" s="590" t="s">
        <v>14559</v>
      </c>
    </row>
    <row r="7" spans="1:1" ht="40.049999999999997" customHeight="1">
      <c r="A7" s="590" t="s">
        <v>14560</v>
      </c>
    </row>
    <row r="8" spans="1:1" ht="40.049999999999997" customHeight="1">
      <c r="A8" s="590" t="s">
        <v>14561</v>
      </c>
    </row>
    <row r="9" spans="1:1" ht="40.049999999999997" customHeight="1">
      <c r="A9" s="590" t="s">
        <v>14563</v>
      </c>
    </row>
    <row r="10" spans="1:1" ht="40.049999999999997" customHeight="1">
      <c r="A10" s="590" t="s">
        <v>14564</v>
      </c>
    </row>
    <row r="11" spans="1:1" ht="40.049999999999997" customHeight="1">
      <c r="A11" s="590" t="s">
        <v>14565</v>
      </c>
    </row>
    <row r="12" spans="1:1" ht="40.049999999999997" customHeight="1">
      <c r="A12" s="590" t="s">
        <v>14566</v>
      </c>
    </row>
    <row r="13" spans="1:1" ht="40.049999999999997" customHeight="1">
      <c r="A13" s="590" t="s">
        <v>14568</v>
      </c>
    </row>
    <row r="14" spans="1:1" ht="40.049999999999997" customHeight="1">
      <c r="A14" s="590" t="s">
        <v>14574</v>
      </c>
    </row>
    <row r="15" spans="1:1" ht="40.049999999999997" customHeight="1">
      <c r="A15" s="590" t="s">
        <v>14575</v>
      </c>
    </row>
    <row r="16" spans="1:1" ht="40.049999999999997" customHeight="1">
      <c r="A16" s="590" t="s">
        <v>14576</v>
      </c>
    </row>
    <row r="17" spans="1:1" ht="40.049999999999997" customHeight="1">
      <c r="A17" s="590" t="s">
        <v>14577</v>
      </c>
    </row>
    <row r="18" spans="1:1" ht="40.049999999999997" customHeight="1">
      <c r="A18" s="590" t="s">
        <v>14579</v>
      </c>
    </row>
    <row r="19" spans="1:1" ht="40.049999999999997" customHeight="1">
      <c r="A19" s="590" t="s">
        <v>14580</v>
      </c>
    </row>
    <row r="20" spans="1:1" ht="40.049999999999997" customHeight="1">
      <c r="A20" s="606" t="s">
        <v>14584</v>
      </c>
    </row>
    <row r="21" spans="1:1" ht="40.049999999999997" customHeight="1">
      <c r="A21" s="590" t="s">
        <v>14583</v>
      </c>
    </row>
    <row r="22" spans="1:1" ht="40.049999999999997" customHeight="1">
      <c r="A22" s="590" t="s">
        <v>14587</v>
      </c>
    </row>
    <row r="23" spans="1:1" ht="40.049999999999997" customHeight="1">
      <c r="A23" s="590" t="s">
        <v>14589</v>
      </c>
    </row>
    <row r="24" spans="1:1" ht="40.049999999999997" customHeight="1">
      <c r="A24" s="590" t="s">
        <v>14590</v>
      </c>
    </row>
    <row r="25" spans="1:1" ht="40.049999999999997" customHeight="1">
      <c r="A25" s="590" t="s">
        <v>14591</v>
      </c>
    </row>
    <row r="26" spans="1:1" ht="40.049999999999997" customHeight="1">
      <c r="A26" s="590" t="s">
        <v>14592</v>
      </c>
    </row>
    <row r="27" spans="1:1" ht="40.049999999999997" customHeight="1">
      <c r="A27" s="590" t="s">
        <v>14593</v>
      </c>
    </row>
    <row r="28" spans="1:1" ht="40.049999999999997" customHeight="1">
      <c r="A28" s="590" t="s">
        <v>14594</v>
      </c>
    </row>
    <row r="29" spans="1:1" ht="40.049999999999997" customHeight="1">
      <c r="A29" s="590" t="s">
        <v>14599</v>
      </c>
    </row>
    <row r="30" spans="1:1" ht="40.049999999999997" customHeight="1">
      <c r="A30" s="590" t="s">
        <v>14603</v>
      </c>
    </row>
    <row r="31" spans="1:1" ht="40.049999999999997" customHeight="1">
      <c r="A31" s="590" t="s">
        <v>14606</v>
      </c>
    </row>
    <row r="32" spans="1:1" ht="40.049999999999997" customHeight="1">
      <c r="A32" s="590" t="s">
        <v>14608</v>
      </c>
    </row>
    <row r="33" spans="1:1" ht="40.049999999999997" customHeight="1">
      <c r="A33" s="590" t="s">
        <v>14609</v>
      </c>
    </row>
    <row r="34" spans="1:1" ht="40.049999999999997" customHeight="1">
      <c r="A34" s="590" t="s">
        <v>14611</v>
      </c>
    </row>
    <row r="35" spans="1:1" ht="40.049999999999997" customHeight="1">
      <c r="A35" s="590" t="s">
        <v>14612</v>
      </c>
    </row>
    <row r="36" spans="1:1" ht="40.049999999999997" customHeight="1">
      <c r="A36" s="590" t="s">
        <v>14664</v>
      </c>
    </row>
    <row r="37" spans="1:1" ht="40.049999999999997" customHeight="1">
      <c r="A37" s="590" t="s">
        <v>14665</v>
      </c>
    </row>
    <row r="38" spans="1:1" ht="40.049999999999997" customHeight="1">
      <c r="A38" s="590" t="s">
        <v>14671</v>
      </c>
    </row>
    <row r="39" spans="1:1" ht="40.049999999999997" customHeight="1">
      <c r="A39" s="590" t="s">
        <v>14673</v>
      </c>
    </row>
    <row r="40" spans="1:1" ht="40.049999999999997" customHeight="1">
      <c r="A40" s="590" t="s">
        <v>14675</v>
      </c>
    </row>
    <row r="41" spans="1:1" ht="40.049999999999997" customHeight="1">
      <c r="A41" s="604" t="s">
        <v>14676</v>
      </c>
    </row>
    <row r="42" spans="1:1" ht="66" customHeight="1">
      <c r="A42" s="590" t="s">
        <v>14791</v>
      </c>
    </row>
    <row r="43" spans="1:1" ht="40.049999999999997" customHeight="1">
      <c r="A43" s="590" t="s">
        <v>14792</v>
      </c>
    </row>
    <row r="44" spans="1:1" ht="40.049999999999997" customHeight="1">
      <c r="A44" s="590" t="s">
        <v>14813</v>
      </c>
    </row>
    <row r="45" spans="1:1" ht="40.049999999999997" customHeight="1">
      <c r="A45" s="590" t="s">
        <v>14814</v>
      </c>
    </row>
    <row r="46" spans="1:1" ht="40.049999999999997" customHeight="1">
      <c r="A46" s="590" t="s">
        <v>14815</v>
      </c>
    </row>
    <row r="47" spans="1:1" ht="84.6" customHeight="1">
      <c r="A47" s="590" t="s">
        <v>14816</v>
      </c>
    </row>
    <row r="48" spans="1:1" ht="84.6" customHeight="1">
      <c r="A48" s="590" t="s">
        <v>14826</v>
      </c>
    </row>
    <row r="49" spans="1:1" ht="84.6" customHeight="1">
      <c r="A49" s="590" t="s">
        <v>14817</v>
      </c>
    </row>
    <row r="50" spans="1:1" ht="40.049999999999997" customHeight="1">
      <c r="A50" s="590" t="s">
        <v>14818</v>
      </c>
    </row>
    <row r="51" spans="1:1" ht="40.049999999999997" customHeight="1">
      <c r="A51" s="590" t="s">
        <v>14822</v>
      </c>
    </row>
    <row r="52" spans="1:1" ht="40.049999999999997" customHeight="1">
      <c r="A52" s="590" t="s">
        <v>14827</v>
      </c>
    </row>
    <row r="53" spans="1:1" ht="40.049999999999997" customHeight="1">
      <c r="A53" s="607" t="s">
        <v>14825</v>
      </c>
    </row>
    <row r="54" spans="1:1" ht="40.049999999999997" customHeight="1">
      <c r="A54" s="590" t="s">
        <v>14828</v>
      </c>
    </row>
    <row r="55" spans="1:1" ht="40.049999999999997" customHeight="1">
      <c r="A55" s="590" t="s">
        <v>14829</v>
      </c>
    </row>
    <row r="56" spans="1:1" ht="40.049999999999997" customHeight="1">
      <c r="A56" s="590" t="s">
        <v>14831</v>
      </c>
    </row>
    <row r="57" spans="1:1" ht="40.049999999999997" customHeight="1">
      <c r="A57" s="590" t="s">
        <v>14833</v>
      </c>
    </row>
    <row r="58" spans="1:1" ht="40.049999999999997" customHeight="1">
      <c r="A58" s="590" t="s">
        <v>14834</v>
      </c>
    </row>
    <row r="59" spans="1:1" ht="40.049999999999997" customHeight="1">
      <c r="A59" s="590" t="s">
        <v>14835</v>
      </c>
    </row>
    <row r="60" spans="1:1" ht="40.049999999999997" customHeight="1">
      <c r="A60" s="590" t="s">
        <v>14836</v>
      </c>
    </row>
    <row r="61" spans="1:1" ht="40.049999999999997" customHeight="1">
      <c r="A61" s="590" t="s">
        <v>14837</v>
      </c>
    </row>
    <row r="62" spans="1:1" ht="40.049999999999997" customHeight="1">
      <c r="A62" s="590" t="s">
        <v>14838</v>
      </c>
    </row>
    <row r="63" spans="1:1" ht="40.049999999999997" customHeight="1">
      <c r="A63" s="590" t="s">
        <v>14839</v>
      </c>
    </row>
    <row r="64" spans="1:1" ht="40.049999999999997" customHeight="1">
      <c r="A64" s="590" t="s">
        <v>14840</v>
      </c>
    </row>
    <row r="65" spans="1:1" ht="40.049999999999997" customHeight="1">
      <c r="A65" s="590" t="s">
        <v>14843</v>
      </c>
    </row>
    <row r="66" spans="1:1" ht="40.049999999999997" customHeight="1">
      <c r="A66" s="590" t="s">
        <v>14890</v>
      </c>
    </row>
    <row r="67" spans="1:1" ht="40.049999999999997" customHeight="1">
      <c r="A67" s="590" t="s">
        <v>14952</v>
      </c>
    </row>
    <row r="68" spans="1:1" ht="40.049999999999997" customHeight="1">
      <c r="A68" s="590" t="s">
        <v>14953</v>
      </c>
    </row>
    <row r="69" spans="1:1" ht="40.049999999999997" customHeight="1">
      <c r="A69" s="590" t="s">
        <v>14954</v>
      </c>
    </row>
    <row r="70" spans="1:1" ht="71.400000000000006" customHeight="1">
      <c r="A70" s="590" t="s">
        <v>14955</v>
      </c>
    </row>
    <row r="71" spans="1:1" ht="40.049999999999997" customHeight="1">
      <c r="A71" s="590" t="s">
        <v>14956</v>
      </c>
    </row>
    <row r="72" spans="1:1" ht="40.049999999999997" customHeight="1">
      <c r="A72" s="590" t="s">
        <v>14957</v>
      </c>
    </row>
    <row r="73" spans="1:1" ht="40.049999999999997" customHeight="1">
      <c r="A73" s="590" t="s">
        <v>14958</v>
      </c>
    </row>
    <row r="74" spans="1:1" ht="40.049999999999997" customHeight="1">
      <c r="A74" s="590" t="s">
        <v>14959</v>
      </c>
    </row>
    <row r="75" spans="1:1" ht="40.049999999999997" customHeight="1">
      <c r="A75" s="590" t="s">
        <v>14978</v>
      </c>
    </row>
    <row r="76" spans="1:1" ht="40.049999999999997" customHeight="1">
      <c r="A76" s="590" t="s">
        <v>14979</v>
      </c>
    </row>
    <row r="77" spans="1:1" ht="40.049999999999997" customHeight="1">
      <c r="A77" s="590" t="s">
        <v>14980</v>
      </c>
    </row>
    <row r="78" spans="1:1" ht="40.049999999999997" customHeight="1">
      <c r="A78" s="590" t="s">
        <v>14981</v>
      </c>
    </row>
    <row r="79" spans="1:1" ht="40.049999999999997" customHeight="1">
      <c r="A79" s="590" t="s">
        <v>14982</v>
      </c>
    </row>
    <row r="80" spans="1:1" ht="40.049999999999997" customHeight="1">
      <c r="A80" s="590" t="s">
        <v>14983</v>
      </c>
    </row>
    <row r="81" spans="1:2" ht="40.049999999999997" customHeight="1">
      <c r="A81" s="590" t="s">
        <v>14984</v>
      </c>
    </row>
    <row r="82" spans="1:2" ht="40.049999999999997" customHeight="1">
      <c r="A82" s="590" t="s">
        <v>14985</v>
      </c>
    </row>
    <row r="83" spans="1:2" ht="40.049999999999997" customHeight="1">
      <c r="A83" s="590" t="s">
        <v>14986</v>
      </c>
    </row>
    <row r="84" spans="1:2" ht="67.2" customHeight="1">
      <c r="A84" s="590" t="s">
        <v>14987</v>
      </c>
    </row>
    <row r="85" spans="1:2" ht="40.049999999999997" customHeight="1">
      <c r="A85" s="590" t="s">
        <v>14988</v>
      </c>
    </row>
    <row r="86" spans="1:2" ht="40.049999999999997" customHeight="1">
      <c r="A86" s="590" t="s">
        <v>14989</v>
      </c>
    </row>
    <row r="87" spans="1:2" ht="40.049999999999997" customHeight="1">
      <c r="A87" s="590" t="s">
        <v>14990</v>
      </c>
    </row>
    <row r="88" spans="1:2" ht="40.049999999999997" customHeight="1">
      <c r="A88" s="590" t="s">
        <v>14992</v>
      </c>
      <c r="B88" t="s">
        <v>14991</v>
      </c>
    </row>
    <row r="89" spans="1:2" ht="40.049999999999997" customHeight="1">
      <c r="A89" s="590" t="s">
        <v>14993</v>
      </c>
    </row>
    <row r="90" spans="1:2" ht="40.049999999999997" customHeight="1">
      <c r="A90" s="590" t="s">
        <v>14994</v>
      </c>
    </row>
    <row r="91" spans="1:2" ht="40.049999999999997" customHeight="1">
      <c r="A91" s="590" t="s">
        <v>14995</v>
      </c>
    </row>
    <row r="92" spans="1:2" ht="40.049999999999997" customHeight="1">
      <c r="A92" s="590" t="s">
        <v>14996</v>
      </c>
    </row>
    <row r="93" spans="1:2" ht="40.049999999999997" customHeight="1">
      <c r="A93" s="590" t="s">
        <v>14997</v>
      </c>
    </row>
    <row r="94" spans="1:2" ht="40.049999999999997" customHeight="1">
      <c r="A94" s="590" t="s">
        <v>14998</v>
      </c>
    </row>
    <row r="95" spans="1:2" ht="40.049999999999997" customHeight="1">
      <c r="A95" s="590" t="s">
        <v>14999</v>
      </c>
    </row>
    <row r="96" spans="1:2" ht="40.049999999999997" customHeight="1">
      <c r="A96" s="590" t="s">
        <v>15000</v>
      </c>
    </row>
    <row r="97" spans="1:1" ht="40.049999999999997" customHeight="1">
      <c r="A97" s="590" t="s">
        <v>15001</v>
      </c>
    </row>
    <row r="98" spans="1:1" ht="40.049999999999997" customHeight="1">
      <c r="A98" s="590" t="s">
        <v>15002</v>
      </c>
    </row>
    <row r="99" spans="1:1" ht="94.8" customHeight="1">
      <c r="A99" s="618" t="s">
        <v>15004</v>
      </c>
    </row>
    <row r="100" spans="1:1" ht="40.049999999999997" customHeight="1">
      <c r="A100" s="590" t="s">
        <v>15003</v>
      </c>
    </row>
    <row r="101" spans="1:1" ht="40.049999999999997" customHeight="1">
      <c r="A101" s="590" t="s">
        <v>15005</v>
      </c>
    </row>
    <row r="102" spans="1:1" ht="40.049999999999997" customHeight="1">
      <c r="A102" s="549" t="s">
        <v>15006</v>
      </c>
    </row>
    <row r="103" spans="1:1" ht="40.049999999999997" customHeight="1">
      <c r="A103" s="590" t="s">
        <v>15007</v>
      </c>
    </row>
    <row r="104" spans="1:1" ht="40.049999999999997" customHeight="1">
      <c r="A104" s="590" t="s">
        <v>15008</v>
      </c>
    </row>
    <row r="105" spans="1:1" ht="40.049999999999997" customHeight="1">
      <c r="A105" s="590" t="s">
        <v>15009</v>
      </c>
    </row>
    <row r="106" spans="1:1" ht="40.049999999999997" customHeight="1">
      <c r="A106" s="590" t="s">
        <v>15010</v>
      </c>
    </row>
  </sheetData>
  <hyperlinks>
    <hyperlink ref="A53" r:id="rId1" xr:uid="{BD2108BE-A71A-433A-B7C7-D0E667CF0CB3}"/>
    <hyperlink ref="A102" r:id="rId2" xr:uid="{285024BA-494A-48A5-AFAF-31295EFFF08B}"/>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Q981"/>
  <sheetViews>
    <sheetView zoomScale="89" workbookViewId="0">
      <pane xSplit="2" ySplit="2" topLeftCell="C1032" activePane="bottomRight" state="frozen"/>
      <selection pane="topRight" activeCell="C1" sqref="C1"/>
      <selection pane="bottomLeft" activeCell="A3" sqref="A3"/>
      <selection pane="bottomRight" activeCell="B753" sqref="B753"/>
    </sheetView>
  </sheetViews>
  <sheetFormatPr defaultColWidth="17.33203125" defaultRowHeight="15.75" customHeight="1"/>
  <cols>
    <col min="1" max="1" width="15.6640625" customWidth="1"/>
    <col min="2" max="2" width="19.88671875" customWidth="1"/>
    <col min="3" max="3" width="6.88671875" customWidth="1"/>
    <col min="4" max="4" width="7.5546875" customWidth="1"/>
    <col min="5" max="5" width="8.44140625" customWidth="1"/>
    <col min="6" max="6" width="9.33203125" customWidth="1"/>
    <col min="7" max="7" width="10" customWidth="1"/>
    <col min="8" max="9" width="8.5546875" customWidth="1"/>
    <col min="10" max="12" width="10" customWidth="1"/>
    <col min="13" max="13" width="40.44140625" customWidth="1"/>
    <col min="14" max="14" width="36.109375" customWidth="1"/>
    <col min="15" max="15" width="14.77734375" customWidth="1"/>
    <col min="16" max="16" width="14.5546875" customWidth="1"/>
    <col min="17" max="17" width="7.33203125" customWidth="1"/>
  </cols>
  <sheetData>
    <row r="1" spans="1:17" ht="75" customHeight="1">
      <c r="A1" s="375" t="s">
        <v>1208</v>
      </c>
      <c r="B1" s="376" t="s">
        <v>136</v>
      </c>
      <c r="C1" s="377" t="s">
        <v>137</v>
      </c>
      <c r="D1" s="378" t="s">
        <v>138</v>
      </c>
      <c r="E1" s="378" t="s">
        <v>139</v>
      </c>
      <c r="F1" s="377" t="s">
        <v>140</v>
      </c>
      <c r="G1" s="378" t="s">
        <v>141</v>
      </c>
      <c r="H1" s="378" t="s">
        <v>142</v>
      </c>
      <c r="I1" s="378" t="s">
        <v>143</v>
      </c>
      <c r="J1" s="377" t="s">
        <v>144</v>
      </c>
      <c r="K1" s="377" t="s">
        <v>145</v>
      </c>
      <c r="L1" s="377" t="s">
        <v>146</v>
      </c>
      <c r="M1" s="379" t="s">
        <v>1209</v>
      </c>
      <c r="N1" s="380" t="s">
        <v>1210</v>
      </c>
      <c r="O1" s="380" t="s">
        <v>1211</v>
      </c>
      <c r="P1" s="380" t="s">
        <v>1212</v>
      </c>
      <c r="Q1" s="380" t="s">
        <v>1213</v>
      </c>
    </row>
    <row r="2" spans="1:17" ht="86.4" customHeight="1">
      <c r="A2" s="381"/>
      <c r="B2" s="382" t="s">
        <v>148</v>
      </c>
      <c r="C2" s="49">
        <f>COUNTIF(C8:C11369, "AC")</f>
        <v>0</v>
      </c>
      <c r="D2" s="50" t="e">
        <f ca="1">ROUND(SUMPRODUCT(D8:D11369,INT(EQ(C8:C11369, "AC")))/MAX(1, C2),1)</f>
        <v>#NAME?</v>
      </c>
      <c r="E2" s="50" t="e">
        <f ca="1">ROUND(SUMPRODUCT(E8:E11391,INT(EQ(C8:C11391, "AC")))/MAX(1, C2),0)</f>
        <v>#NAME?</v>
      </c>
      <c r="F2" s="50" t="e">
        <f ca="1">ROUND(SUMPRODUCT(F8:F11394,INT(EQ(C8:C11394, "AC")))/MAX(1, C2),0)</f>
        <v>#NAME?</v>
      </c>
      <c r="G2" s="50" t="e">
        <f ca="1">ROUND(SUMPRODUCT(G8:G11394,INT(EQ(C8:C11394, "AC")))/MAX(1, C2),0)</f>
        <v>#NAME?</v>
      </c>
      <c r="H2" s="50" t="e">
        <f ca="1">ROUND(SUMPRODUCT(H8:H11394,INT(EQ(C8:C11394, "AC")))/MAX(1, C2),0)</f>
        <v>#NAME?</v>
      </c>
      <c r="I2" s="50" t="e">
        <f ca="1">ROUND(SUMPRODUCT(I8:I11366,INT(EQ(C8:C11366, "AC")))/MAX(1, C2),0)</f>
        <v>#NAME?</v>
      </c>
      <c r="J2" s="50" t="e">
        <f ca="1">ROUND(SUMPRODUCT(J8:J11364,INT(EQ(C8:C11364, "AC")))/MAX(1, C2),1)</f>
        <v>#NAME?</v>
      </c>
      <c r="K2" s="50" t="e">
        <f ca="1">SUMPRODUCT(EQ(K8:K11369, "YES"),INT(EQ(C8:C11394, "AC")))</f>
        <v>#NAME?</v>
      </c>
      <c r="L2" s="51">
        <f ca="1">IFERROR(__xludf.DUMMYFUNCTION("COUNTA(FILTER(C8:C10861, NOT(REGEXMATCH(C8:C10861, ""AC""))))"),0)</f>
        <v>0</v>
      </c>
      <c r="M2" s="52">
        <f ca="1">IFERROR(__xludf.DUMMYFUNCTION("COUNTA(FILTER(C8:C10855, NOT(REGEXMATCH(C8:C10855, ""AC""))))"),0)</f>
        <v>0</v>
      </c>
      <c r="N2" s="52"/>
      <c r="O2" s="52"/>
      <c r="P2" s="52"/>
      <c r="Q2" s="52"/>
    </row>
    <row r="3" spans="1:17" ht="60" customHeight="1">
      <c r="A3" s="83"/>
      <c r="B3" s="83"/>
      <c r="C3" s="640" t="s">
        <v>1214</v>
      </c>
      <c r="D3" s="620"/>
      <c r="E3" s="620"/>
      <c r="F3" s="620"/>
      <c r="G3" s="620"/>
      <c r="H3" s="620"/>
      <c r="I3" s="620"/>
      <c r="J3" s="620"/>
      <c r="K3" s="620"/>
      <c r="L3" s="620"/>
      <c r="M3" s="620"/>
      <c r="N3" s="259"/>
      <c r="O3" s="259"/>
      <c r="P3" s="383"/>
    </row>
    <row r="4" spans="1:17" ht="56.4" customHeight="1">
      <c r="A4" s="83"/>
      <c r="B4" s="83"/>
      <c r="C4" s="640" t="s">
        <v>1215</v>
      </c>
      <c r="D4" s="620"/>
      <c r="E4" s="620"/>
      <c r="F4" s="620"/>
      <c r="G4" s="620"/>
      <c r="H4" s="620"/>
      <c r="I4" s="620"/>
      <c r="J4" s="620"/>
      <c r="K4" s="620"/>
      <c r="L4" s="620"/>
      <c r="M4" s="620"/>
      <c r="N4" s="259"/>
      <c r="O4" s="259"/>
      <c r="P4" s="383"/>
    </row>
    <row r="5" spans="1:17" ht="57" customHeight="1">
      <c r="A5" s="83"/>
      <c r="B5" s="83"/>
      <c r="C5" s="640" t="s">
        <v>1216</v>
      </c>
      <c r="D5" s="620"/>
      <c r="E5" s="620"/>
      <c r="F5" s="620"/>
      <c r="G5" s="620"/>
      <c r="H5" s="620"/>
      <c r="I5" s="620"/>
      <c r="J5" s="620"/>
      <c r="K5" s="620"/>
      <c r="L5" s="620"/>
      <c r="M5" s="620"/>
      <c r="N5" s="259"/>
      <c r="O5" s="259"/>
      <c r="P5" s="383"/>
    </row>
    <row r="6" spans="1:17" ht="13.2">
      <c r="A6" s="83"/>
      <c r="B6" s="83"/>
      <c r="C6" s="384"/>
      <c r="D6" s="384"/>
      <c r="E6" s="384"/>
      <c r="F6" s="384"/>
      <c r="G6" s="384"/>
      <c r="H6" s="384"/>
      <c r="I6" s="384"/>
      <c r="J6" s="384"/>
      <c r="K6" s="384"/>
      <c r="L6" s="384"/>
      <c r="M6" s="385"/>
      <c r="N6" s="259"/>
      <c r="O6" s="259"/>
      <c r="P6" s="383"/>
    </row>
    <row r="7" spans="1:17" ht="13.2">
      <c r="A7" s="83" t="s">
        <v>173</v>
      </c>
      <c r="B7" s="386" t="str">
        <f>HYPERLINK("http://codeforces.com/contest/677/problem/A","CF677-D2-A")</f>
        <v>CF677-D2-A</v>
      </c>
      <c r="C7" s="159"/>
      <c r="D7" s="159"/>
      <c r="E7" s="159"/>
      <c r="F7" s="159"/>
      <c r="G7" s="159"/>
      <c r="H7" s="160"/>
      <c r="I7" s="57">
        <f t="shared" ref="I7:I70" si="0">SUM(E7:H7)</f>
        <v>0</v>
      </c>
      <c r="J7" s="62"/>
      <c r="K7" s="56"/>
      <c r="L7" s="62"/>
      <c r="M7" s="387" t="str">
        <f>HYPERLINK("http://codeforces.com/contest/677/submission/18185361","C++ Solution Example")</f>
        <v>C++ Solution Example</v>
      </c>
      <c r="N7" s="259" t="s">
        <v>1217</v>
      </c>
      <c r="O7" s="259">
        <v>1</v>
      </c>
      <c r="P7" s="383">
        <v>0.5</v>
      </c>
    </row>
    <row r="8" spans="1:17" ht="13.2">
      <c r="A8" s="83" t="s">
        <v>174</v>
      </c>
      <c r="B8" s="386" t="str">
        <f>HYPERLINK("http://codeforces.com/contest/734/problem/A","CF734-D2-A")</f>
        <v>CF734-D2-A</v>
      </c>
      <c r="C8" s="159"/>
      <c r="D8" s="159"/>
      <c r="E8" s="159"/>
      <c r="F8" s="159"/>
      <c r="G8" s="159"/>
      <c r="H8" s="160"/>
      <c r="I8" s="57">
        <f t="shared" si="0"/>
        <v>0</v>
      </c>
      <c r="J8" s="62"/>
      <c r="K8" s="56"/>
      <c r="L8" s="62"/>
      <c r="M8" s="388" t="str">
        <f>HYPERLINK("http://codeforces.com/blog/entry/48397","This is from Round 379. Here is the editorial")</f>
        <v>This is from Round 379. Here is the editorial</v>
      </c>
      <c r="N8" s="259" t="s">
        <v>1217</v>
      </c>
      <c r="O8" s="259">
        <v>1</v>
      </c>
      <c r="P8" s="383">
        <v>0.6</v>
      </c>
    </row>
    <row r="9" spans="1:17" ht="13.2">
      <c r="A9" s="83" t="s">
        <v>181</v>
      </c>
      <c r="B9" s="386" t="str">
        <f>HYPERLINK("http://codeforces.com/contest/112/problem/A","CF112-D2-A")</f>
        <v>CF112-D2-A</v>
      </c>
      <c r="C9" s="159"/>
      <c r="D9" s="159"/>
      <c r="E9" s="159"/>
      <c r="F9" s="159"/>
      <c r="G9" s="159"/>
      <c r="H9" s="160"/>
      <c r="I9" s="57">
        <f t="shared" si="0"/>
        <v>0</v>
      </c>
      <c r="J9" s="96"/>
      <c r="K9" s="56"/>
      <c r="L9" s="96"/>
      <c r="M9" s="389" t="str">
        <f>HYPERLINK("https://www.youtube.com/watch?v=Sp4zWrDvGrk","Video Solution - Solver to be (Java)")</f>
        <v>Video Solution - Solver to be (Java)</v>
      </c>
      <c r="N9" s="259" t="s">
        <v>1217</v>
      </c>
      <c r="O9" s="259">
        <v>1</v>
      </c>
      <c r="P9" s="383">
        <v>1</v>
      </c>
    </row>
    <row r="10" spans="1:17" ht="13.2">
      <c r="A10" s="83" t="s">
        <v>192</v>
      </c>
      <c r="B10" s="386" t="str">
        <f>HYPERLINK("http://codeforces.com/contest/228/problem/A","CF228-D2-A")</f>
        <v>CF228-D2-A</v>
      </c>
      <c r="C10" s="159"/>
      <c r="D10" s="159"/>
      <c r="E10" s="159"/>
      <c r="F10" s="159"/>
      <c r="G10" s="159"/>
      <c r="H10" s="160"/>
      <c r="I10" s="57">
        <f t="shared" si="0"/>
        <v>0</v>
      </c>
      <c r="J10" s="62"/>
      <c r="K10" s="56"/>
      <c r="L10" s="62"/>
      <c r="M10" s="77" t="str">
        <f>HYPERLINK("https://www.youtube.com/watch?v=O0zvnXeQis4&amp;app=desktop#_=_","Video Solution - Eng Ahmead Raafat (Python)")</f>
        <v>Video Solution - Eng Ahmead Raafat (Python)</v>
      </c>
      <c r="N10" s="259" t="s">
        <v>1217</v>
      </c>
      <c r="O10" s="259">
        <v>1</v>
      </c>
      <c r="P10" s="383">
        <v>1</v>
      </c>
    </row>
    <row r="11" spans="1:17" ht="13.2">
      <c r="A11" s="83" t="s">
        <v>178</v>
      </c>
      <c r="B11" s="386" t="str">
        <f>HYPERLINK("http://codeforces.com/contest/231/problem/A","CF231-D2-A")</f>
        <v>CF231-D2-A</v>
      </c>
      <c r="C11" s="159"/>
      <c r="D11" s="159"/>
      <c r="E11" s="159"/>
      <c r="F11" s="159"/>
      <c r="G11" s="159"/>
      <c r="H11" s="160"/>
      <c r="I11" s="57">
        <f t="shared" si="0"/>
        <v>0</v>
      </c>
      <c r="J11" s="62"/>
      <c r="K11" s="56"/>
      <c r="L11" s="62"/>
      <c r="M11" s="77" t="str">
        <f>HYPERLINK("https://www.youtube.com/watch?v=P73Mv_GG_PY","Video Solution - Eng Youssef Ali")</f>
        <v>Video Solution - Eng Youssef Ali</v>
      </c>
      <c r="N11" s="259" t="s">
        <v>1217</v>
      </c>
      <c r="O11" s="259">
        <v>1</v>
      </c>
      <c r="P11" s="383">
        <v>1</v>
      </c>
    </row>
    <row r="12" spans="1:17" ht="13.2">
      <c r="A12" s="83" t="s">
        <v>182</v>
      </c>
      <c r="B12" s="386" t="str">
        <f>HYPERLINK("http://codeforces.com/contest/236/problem/A","CF236-D2-A")</f>
        <v>CF236-D2-A</v>
      </c>
      <c r="C12" s="159"/>
      <c r="D12" s="159"/>
      <c r="E12" s="159"/>
      <c r="F12" s="159"/>
      <c r="G12" s="159"/>
      <c r="H12" s="160"/>
      <c r="I12" s="57">
        <f t="shared" si="0"/>
        <v>0</v>
      </c>
      <c r="J12" s="96"/>
      <c r="K12" s="56"/>
      <c r="L12" s="96"/>
      <c r="M12" s="389" t="str">
        <f>HYPERLINK("https://www.youtube.com/watch?v=AOOmuJXMyHQ","Video Solution - Solver to be (Java)")</f>
        <v>Video Solution - Solver to be (Java)</v>
      </c>
      <c r="N12" s="259" t="s">
        <v>1217</v>
      </c>
      <c r="O12" s="259">
        <v>1</v>
      </c>
      <c r="P12" s="383">
        <v>1</v>
      </c>
    </row>
    <row r="13" spans="1:17" ht="13.2">
      <c r="A13" s="83" t="s">
        <v>179</v>
      </c>
      <c r="B13" s="386" t="str">
        <f>HYPERLINK("http://codeforces.com/contest/263/problem/A","CF263-D2-A")</f>
        <v>CF263-D2-A</v>
      </c>
      <c r="C13" s="159"/>
      <c r="D13" s="159"/>
      <c r="E13" s="159"/>
      <c r="F13" s="159"/>
      <c r="G13" s="159"/>
      <c r="H13" s="160"/>
      <c r="I13" s="57">
        <f t="shared" si="0"/>
        <v>0</v>
      </c>
      <c r="J13" s="62"/>
      <c r="K13" s="56"/>
      <c r="L13" s="62"/>
      <c r="M13" s="77" t="str">
        <f>HYPERLINK("https://www.youtube.com/watch?v=FU4thrvEvKg","Video Solution - Eng Samed Hajajla")</f>
        <v>Video Solution - Eng Samed Hajajla</v>
      </c>
      <c r="N13" s="259" t="s">
        <v>1217</v>
      </c>
      <c r="O13" s="259">
        <v>1</v>
      </c>
      <c r="P13" s="383">
        <v>1</v>
      </c>
    </row>
    <row r="14" spans="1:17" ht="13.2">
      <c r="A14" s="83" t="s">
        <v>193</v>
      </c>
      <c r="B14" s="386" t="str">
        <f>HYPERLINK("http://codeforces.com/contest/265/problem/A","CF265-D2-A")</f>
        <v>CF265-D2-A</v>
      </c>
      <c r="C14" s="159"/>
      <c r="D14" s="159"/>
      <c r="E14" s="159"/>
      <c r="F14" s="159"/>
      <c r="G14" s="159"/>
      <c r="H14" s="160"/>
      <c r="I14" s="57">
        <f t="shared" si="0"/>
        <v>0</v>
      </c>
      <c r="J14" s="62"/>
      <c r="K14" s="56"/>
      <c r="L14" s="62"/>
      <c r="M14" s="77" t="str">
        <f>HYPERLINK("https://www.youtube.com/watch?v=ol_mjArjBCk","Video Solution - Eng Ahmead Raafat (Python)")</f>
        <v>Video Solution - Eng Ahmead Raafat (Python)</v>
      </c>
      <c r="N14" s="259" t="s">
        <v>1217</v>
      </c>
      <c r="O14" s="259">
        <v>1</v>
      </c>
      <c r="P14" s="383">
        <v>1</v>
      </c>
    </row>
    <row r="15" spans="1:17" ht="13.2">
      <c r="A15" s="83" t="s">
        <v>186</v>
      </c>
      <c r="B15" s="386" t="str">
        <f>HYPERLINK("http://codeforces.com/contest/266/problem/A","CF266-D2-A")</f>
        <v>CF266-D2-A</v>
      </c>
      <c r="C15" s="159"/>
      <c r="D15" s="159"/>
      <c r="E15" s="159"/>
      <c r="F15" s="159"/>
      <c r="G15" s="159"/>
      <c r="H15" s="160"/>
      <c r="I15" s="57">
        <f t="shared" si="0"/>
        <v>0</v>
      </c>
      <c r="J15" s="62"/>
      <c r="K15" s="56"/>
      <c r="L15" s="62"/>
      <c r="M15" s="77" t="str">
        <f>HYPERLINK("https://www.youtube.com/watch?v=3akdDnmPwOY&amp;feature=youtu.be","Video Solution - Eng Ahmead Raafat (Python)")</f>
        <v>Video Solution - Eng Ahmead Raafat (Python)</v>
      </c>
      <c r="N15" s="259" t="s">
        <v>1217</v>
      </c>
      <c r="O15" s="259">
        <v>1</v>
      </c>
      <c r="P15" s="383">
        <v>1</v>
      </c>
    </row>
    <row r="16" spans="1:17" ht="13.2">
      <c r="A16" s="83" t="s">
        <v>190</v>
      </c>
      <c r="B16" s="386" t="str">
        <f>HYPERLINK("http://codeforces.com/contest/268/problem/A","CF268-D2-A")</f>
        <v>CF268-D2-A</v>
      </c>
      <c r="C16" s="159"/>
      <c r="D16" s="159"/>
      <c r="E16" s="159"/>
      <c r="F16" s="159"/>
      <c r="G16" s="159"/>
      <c r="H16" s="160"/>
      <c r="I16" s="57">
        <f t="shared" si="0"/>
        <v>0</v>
      </c>
      <c r="J16" s="62"/>
      <c r="K16" s="56"/>
      <c r="L16" s="62"/>
      <c r="M16" s="77" t="str">
        <f>HYPERLINK("https://www.youtube.com/watch?v=lFt2GuQtmSs","Video Solution - Eng Yahia Ashraf")</f>
        <v>Video Solution - Eng Yahia Ashraf</v>
      </c>
      <c r="N16" s="259" t="s">
        <v>1217</v>
      </c>
      <c r="O16" s="259">
        <v>1</v>
      </c>
      <c r="P16" s="383">
        <v>1</v>
      </c>
    </row>
    <row r="17" spans="1:16" ht="13.2">
      <c r="A17" s="83" t="s">
        <v>265</v>
      </c>
      <c r="B17" s="386" t="str">
        <f>HYPERLINK("http://codeforces.com/contest/281/problem/A","CF281-D2-A")</f>
        <v>CF281-D2-A</v>
      </c>
      <c r="C17" s="159"/>
      <c r="D17" s="159"/>
      <c r="E17" s="159"/>
      <c r="F17" s="159"/>
      <c r="G17" s="159"/>
      <c r="H17" s="160"/>
      <c r="I17" s="57">
        <f t="shared" si="0"/>
        <v>0</v>
      </c>
      <c r="J17" s="96"/>
      <c r="K17" s="56"/>
      <c r="L17" s="96"/>
      <c r="M17" s="209" t="str">
        <f>HYPERLINK("https://www.youtube.com/watch?v=GctpZIJ8xBA","Video Solution - Solver to be (Java)")</f>
        <v>Video Solution - Solver to be (Java)</v>
      </c>
      <c r="N17" s="259" t="s">
        <v>1217</v>
      </c>
      <c r="O17" s="259">
        <v>1</v>
      </c>
      <c r="P17" s="383">
        <v>1</v>
      </c>
    </row>
    <row r="18" spans="1:16" ht="13.2">
      <c r="A18" s="83" t="s">
        <v>184</v>
      </c>
      <c r="B18" s="386" t="str">
        <f>HYPERLINK("http://codeforces.com/contest/344/problem/A","CF344-D2-A")</f>
        <v>CF344-D2-A</v>
      </c>
      <c r="C18" s="159"/>
      <c r="D18" s="159"/>
      <c r="E18" s="159"/>
      <c r="F18" s="159"/>
      <c r="G18" s="159"/>
      <c r="H18" s="160"/>
      <c r="I18" s="57">
        <f t="shared" si="0"/>
        <v>0</v>
      </c>
      <c r="J18" s="96"/>
      <c r="K18" s="56"/>
      <c r="L18" s="96"/>
      <c r="M18" s="209" t="str">
        <f>HYPERLINK("https://www.youtube.com/watch?v=7o7lZTKFzp0","Video Solution - Solver to be (Java)")</f>
        <v>Video Solution - Solver to be (Java)</v>
      </c>
      <c r="N18" s="259" t="s">
        <v>1217</v>
      </c>
      <c r="O18" s="259">
        <v>1</v>
      </c>
      <c r="P18" s="383">
        <v>1</v>
      </c>
    </row>
    <row r="19" spans="1:16" ht="13.2">
      <c r="A19" s="83" t="s">
        <v>185</v>
      </c>
      <c r="B19" s="386" t="str">
        <f>HYPERLINK("http://codeforces.com/contest/381/problem/A","CF381-D2-A")</f>
        <v>CF381-D2-A</v>
      </c>
      <c r="C19" s="159"/>
      <c r="D19" s="159"/>
      <c r="E19" s="159"/>
      <c r="F19" s="159"/>
      <c r="G19" s="159"/>
      <c r="H19" s="160"/>
      <c r="I19" s="57">
        <f t="shared" si="0"/>
        <v>0</v>
      </c>
      <c r="J19" s="96"/>
      <c r="K19" s="56"/>
      <c r="L19" s="96"/>
      <c r="M19" s="390" t="str">
        <f>HYPERLINK("https://www.youtube.com/watch?v=XgJ0DS3r_KE","Video Solution - Solver to be (Java)")</f>
        <v>Video Solution - Solver to be (Java)</v>
      </c>
      <c r="N19" s="259" t="s">
        <v>1217</v>
      </c>
      <c r="O19" s="259">
        <v>1</v>
      </c>
      <c r="P19" s="383">
        <v>1</v>
      </c>
    </row>
    <row r="20" spans="1:16" ht="13.2">
      <c r="A20" s="83" t="s">
        <v>180</v>
      </c>
      <c r="B20" s="386" t="str">
        <f>HYPERLINK("http://codeforces.com/contest/405/problem/A","CF405-D2-A")</f>
        <v>CF405-D2-A</v>
      </c>
      <c r="C20" s="159"/>
      <c r="D20" s="159"/>
      <c r="E20" s="159"/>
      <c r="F20" s="159"/>
      <c r="G20" s="159"/>
      <c r="H20" s="160"/>
      <c r="I20" s="57">
        <f t="shared" si="0"/>
        <v>0</v>
      </c>
      <c r="J20" s="96"/>
      <c r="K20" s="56"/>
      <c r="L20" s="96"/>
      <c r="M20" s="391" t="str">
        <f>HYPERLINK("https://www.youtube.com/watch?v=HNe9QW-1MJI","Video Solution - Eng John Gamal")</f>
        <v>Video Solution - Eng John Gamal</v>
      </c>
      <c r="N20" s="259" t="s">
        <v>1217</v>
      </c>
      <c r="O20" s="259">
        <v>1</v>
      </c>
      <c r="P20" s="383">
        <v>1</v>
      </c>
    </row>
    <row r="21" spans="1:16" ht="13.2">
      <c r="A21" s="83" t="s">
        <v>187</v>
      </c>
      <c r="B21" s="386" t="str">
        <f>HYPERLINK("http://codeforces.com/contest/427/problem/A","CF427-D2-A")</f>
        <v>CF427-D2-A</v>
      </c>
      <c r="C21" s="159"/>
      <c r="D21" s="159"/>
      <c r="E21" s="159"/>
      <c r="F21" s="159"/>
      <c r="G21" s="159"/>
      <c r="H21" s="160"/>
      <c r="I21" s="57">
        <f t="shared" si="0"/>
        <v>0</v>
      </c>
      <c r="J21" s="62"/>
      <c r="K21" s="56"/>
      <c r="L21" s="62"/>
      <c r="M21" s="77" t="str">
        <f>HYPERLINK("https://www.youtube.com/watch?v=PECOLs3YWR0&amp;feature=youtu.be","Video Solution - Eng Ahmead Raafat (Python)")</f>
        <v>Video Solution - Eng Ahmead Raafat (Python)</v>
      </c>
      <c r="N21" s="259" t="s">
        <v>1217</v>
      </c>
      <c r="O21" s="259">
        <v>1</v>
      </c>
      <c r="P21" s="383">
        <v>1</v>
      </c>
    </row>
    <row r="22" spans="1:16" ht="13.2">
      <c r="A22" s="83" t="s">
        <v>188</v>
      </c>
      <c r="B22" s="386" t="str">
        <f>HYPERLINK("http://codeforces.com/contest/431/problem/A","CF431-D2-A")</f>
        <v>CF431-D2-A</v>
      </c>
      <c r="C22" s="159"/>
      <c r="D22" s="159"/>
      <c r="E22" s="159"/>
      <c r="F22" s="159"/>
      <c r="G22" s="159"/>
      <c r="H22" s="160"/>
      <c r="I22" s="57">
        <f t="shared" si="0"/>
        <v>0</v>
      </c>
      <c r="J22" s="62"/>
      <c r="K22" s="56"/>
      <c r="L22" s="62"/>
      <c r="M22" s="77" t="str">
        <f>HYPERLINK("https://www.youtube.com/watch?v=mJYiMoX4t0k","Video Solution - Eng Ahmead Raafat (Python)")</f>
        <v>Video Solution - Eng Ahmead Raafat (Python)</v>
      </c>
      <c r="N22" s="259" t="s">
        <v>1217</v>
      </c>
      <c r="O22" s="259">
        <v>1</v>
      </c>
      <c r="P22" s="383">
        <v>1</v>
      </c>
    </row>
    <row r="23" spans="1:16" ht="13.2">
      <c r="A23" s="83" t="s">
        <v>183</v>
      </c>
      <c r="B23" s="386" t="str">
        <f>HYPERLINK("http://codeforces.com/contest/59/problem/A","CF59-D2-A")</f>
        <v>CF59-D2-A</v>
      </c>
      <c r="C23" s="159"/>
      <c r="D23" s="159"/>
      <c r="E23" s="159"/>
      <c r="F23" s="159"/>
      <c r="G23" s="159"/>
      <c r="H23" s="160"/>
      <c r="I23" s="57">
        <f t="shared" si="0"/>
        <v>0</v>
      </c>
      <c r="J23" s="96"/>
      <c r="K23" s="56"/>
      <c r="L23" s="96"/>
      <c r="M23" s="389" t="str">
        <f>HYPERLINK("https://www.youtube.com/watch?v=gW8YOQbMdDI","Video Solution - Solver to be (Java)")</f>
        <v>Video Solution - Solver to be (Java)</v>
      </c>
      <c r="N23" s="259" t="s">
        <v>1217</v>
      </c>
      <c r="O23" s="259">
        <v>1</v>
      </c>
      <c r="P23" s="383">
        <v>1</v>
      </c>
    </row>
    <row r="24" spans="1:16" ht="13.2">
      <c r="A24" s="83" t="s">
        <v>189</v>
      </c>
      <c r="B24" s="386" t="str">
        <f>HYPERLINK("http://codeforces.com/contest/731/problem/A","CF731-D2-A")</f>
        <v>CF731-D2-A</v>
      </c>
      <c r="C24" s="159"/>
      <c r="D24" s="159"/>
      <c r="E24" s="159"/>
      <c r="F24" s="159"/>
      <c r="G24" s="159"/>
      <c r="H24" s="160"/>
      <c r="I24" s="57">
        <f t="shared" si="0"/>
        <v>0</v>
      </c>
      <c r="J24" s="62"/>
      <c r="K24" s="56"/>
      <c r="L24" s="62"/>
      <c r="M24" s="77" t="str">
        <f>HYPERLINK("https://www.youtube.com/watch?v=pBhXYZKAFTM","Video Solution - Eng Yahia Ashraf")</f>
        <v>Video Solution - Eng Yahia Ashraf</v>
      </c>
      <c r="N24" s="259" t="s">
        <v>1217</v>
      </c>
      <c r="O24" s="259">
        <v>1</v>
      </c>
      <c r="P24" s="383">
        <v>1</v>
      </c>
    </row>
    <row r="25" spans="1:16" ht="13.2">
      <c r="A25" s="83" t="s">
        <v>191</v>
      </c>
      <c r="B25" s="386" t="str">
        <f>HYPERLINK("http://codeforces.com/contest/732/problem/A","CF732-D2-A")</f>
        <v>CF732-D2-A</v>
      </c>
      <c r="C25" s="159"/>
      <c r="D25" s="159"/>
      <c r="E25" s="159"/>
      <c r="F25" s="159"/>
      <c r="G25" s="159"/>
      <c r="H25" s="160"/>
      <c r="I25" s="57">
        <f t="shared" si="0"/>
        <v>0</v>
      </c>
      <c r="J25" s="62"/>
      <c r="K25" s="56"/>
      <c r="L25" s="62"/>
      <c r="M25" s="77" t="str">
        <f>HYPERLINK("https://www.youtube.com/watch?v=jKOSPuoplz0","Video Solution - Eng Yahia Ashraf")</f>
        <v>Video Solution - Eng Yahia Ashraf</v>
      </c>
      <c r="N25" s="259" t="s">
        <v>1217</v>
      </c>
      <c r="O25" s="259">
        <v>1</v>
      </c>
      <c r="P25" s="383">
        <v>1</v>
      </c>
    </row>
    <row r="26" spans="1:16" ht="13.2">
      <c r="A26" s="83" t="s">
        <v>177</v>
      </c>
      <c r="B26" s="386" t="str">
        <f>HYPERLINK("codeforces.com/contest/791/problem/A","CF791-D2-A")</f>
        <v>CF791-D2-A</v>
      </c>
      <c r="C26" s="159"/>
      <c r="D26" s="159"/>
      <c r="E26" s="159"/>
      <c r="F26" s="159"/>
      <c r="G26" s="159"/>
      <c r="H26" s="160"/>
      <c r="I26" s="57">
        <f t="shared" si="0"/>
        <v>0</v>
      </c>
      <c r="J26" s="62"/>
      <c r="K26" s="56"/>
      <c r="L26" s="62"/>
      <c r="M26" s="77" t="str">
        <f>HYPERLINK("https://www.youtube.com/watch?v=t05qYeiWGGc","Video Solution - Eng Youssef El Ghareeb")</f>
        <v>Video Solution - Eng Youssef El Ghareeb</v>
      </c>
      <c r="N26" s="259" t="s">
        <v>1217</v>
      </c>
      <c r="O26" s="259">
        <v>1</v>
      </c>
      <c r="P26" s="383">
        <v>1</v>
      </c>
    </row>
    <row r="27" spans="1:16" ht="13.2">
      <c r="A27" s="83" t="s">
        <v>244</v>
      </c>
      <c r="B27" s="386" t="str">
        <f>HYPERLINK("http://codeforces.com/contest/365/problem/A","CF365-D2-A")</f>
        <v>CF365-D2-A</v>
      </c>
      <c r="C27" s="159"/>
      <c r="D27" s="159"/>
      <c r="E27" s="159"/>
      <c r="F27" s="159"/>
      <c r="G27" s="159"/>
      <c r="H27" s="160"/>
      <c r="I27" s="57">
        <f t="shared" si="0"/>
        <v>0</v>
      </c>
      <c r="J27" s="136"/>
      <c r="K27" s="56"/>
      <c r="L27" s="136"/>
      <c r="M27" s="392" t="str">
        <f>HYPERLINK("https://www.youtube.com/watch?v=W5SLLnni1KM&amp;feature=youtu.be","Video Solution - Eng Muntaser Abukadeja")</f>
        <v>Video Solution - Eng Muntaser Abukadeja</v>
      </c>
      <c r="N27" s="383" t="s">
        <v>1218</v>
      </c>
      <c r="O27" s="383">
        <v>1</v>
      </c>
      <c r="P27" s="259">
        <v>1.5</v>
      </c>
    </row>
    <row r="28" spans="1:16" ht="13.2">
      <c r="A28" s="83" t="s">
        <v>255</v>
      </c>
      <c r="B28" s="386" t="str">
        <f>HYPERLINK("http://codeforces.com/contest/298/problem/A","CF298-D2-A")</f>
        <v>CF298-D2-A</v>
      </c>
      <c r="C28" s="159"/>
      <c r="D28" s="159"/>
      <c r="E28" s="159"/>
      <c r="F28" s="159"/>
      <c r="G28" s="159"/>
      <c r="H28" s="160"/>
      <c r="I28" s="57">
        <f t="shared" si="0"/>
        <v>0</v>
      </c>
      <c r="J28" s="96"/>
      <c r="K28" s="56"/>
      <c r="L28" s="96"/>
      <c r="M28" s="393" t="str">
        <f>HYPERLINK("https://www.youtube.com/watch?v=oX_hPHnYgMA","Video Solution - Dr Mostafa Saad")</f>
        <v>Video Solution - Dr Mostafa Saad</v>
      </c>
      <c r="N28" s="383" t="s">
        <v>1218</v>
      </c>
      <c r="O28" s="383">
        <v>1</v>
      </c>
      <c r="P28" s="259">
        <v>1.5</v>
      </c>
    </row>
    <row r="29" spans="1:16" ht="13.2">
      <c r="A29" s="83" t="s">
        <v>271</v>
      </c>
      <c r="B29" s="386" t="str">
        <f>HYPERLINK("http://codeforces.com/contest/118/problem/A","CF118-D2-A")</f>
        <v>CF118-D2-A</v>
      </c>
      <c r="C29" s="159"/>
      <c r="D29" s="159"/>
      <c r="E29" s="159"/>
      <c r="F29" s="159"/>
      <c r="G29" s="159"/>
      <c r="H29" s="160"/>
      <c r="I29" s="57">
        <f t="shared" si="0"/>
        <v>0</v>
      </c>
      <c r="J29" s="96"/>
      <c r="K29" s="56"/>
      <c r="L29" s="96"/>
      <c r="M29" s="389" t="str">
        <f>HYPERLINK("https://www.youtube.com/watch?v=fiYo2lKksN0","Video Solution - Solver to be (Java)")</f>
        <v>Video Solution - Solver to be (Java)</v>
      </c>
      <c r="N29" s="259" t="s">
        <v>1217</v>
      </c>
      <c r="O29" s="259">
        <v>1</v>
      </c>
      <c r="P29" s="383">
        <v>1.5</v>
      </c>
    </row>
    <row r="30" spans="1:16" ht="13.2">
      <c r="A30" s="83" t="s">
        <v>210</v>
      </c>
      <c r="B30" s="386" t="str">
        <f>HYPERLINK("http://codeforces.com/contest/136/problem/A","CF136-D2-A")</f>
        <v>CF136-D2-A</v>
      </c>
      <c r="C30" s="159"/>
      <c r="D30" s="159"/>
      <c r="E30" s="159"/>
      <c r="F30" s="159"/>
      <c r="G30" s="159"/>
      <c r="H30" s="160"/>
      <c r="I30" s="57">
        <f t="shared" si="0"/>
        <v>0</v>
      </c>
      <c r="J30" s="96"/>
      <c r="K30" s="56"/>
      <c r="L30" s="96"/>
      <c r="M30" s="394" t="str">
        <f>HYPERLINK("https://www.youtube.com/watch?v=MduaJDmo7RU","Video Solution - Eng Ahmed Rafaat (Python)")</f>
        <v>Video Solution - Eng Ahmed Rafaat (Python)</v>
      </c>
      <c r="N30" s="259" t="s">
        <v>1217</v>
      </c>
      <c r="O30" s="259">
        <v>1</v>
      </c>
      <c r="P30" s="383">
        <v>1.5</v>
      </c>
    </row>
    <row r="31" spans="1:16" ht="13.2">
      <c r="A31" s="83" t="s">
        <v>266</v>
      </c>
      <c r="B31" s="386" t="str">
        <f>HYPERLINK("http://codeforces.com/contest/158/problem/A","CF158-D12-A")</f>
        <v>CF158-D12-A</v>
      </c>
      <c r="C31" s="159"/>
      <c r="D31" s="159"/>
      <c r="E31" s="159"/>
      <c r="F31" s="159"/>
      <c r="G31" s="159"/>
      <c r="H31" s="160"/>
      <c r="I31" s="57">
        <f t="shared" si="0"/>
        <v>0</v>
      </c>
      <c r="J31" s="102"/>
      <c r="K31" s="56"/>
      <c r="L31" s="102"/>
      <c r="M31" s="389" t="str">
        <f>HYPERLINK("https://www.youtube.com/watch?v=jwF2F5D8j9o","Video Solution - Solver to be (Java)")</f>
        <v>Video Solution - Solver to be (Java)</v>
      </c>
      <c r="N31" s="259" t="s">
        <v>1217</v>
      </c>
      <c r="O31" s="259">
        <v>1</v>
      </c>
      <c r="P31" s="383">
        <v>1.5</v>
      </c>
    </row>
    <row r="32" spans="1:16" ht="13.2">
      <c r="A32" s="83" t="s">
        <v>216</v>
      </c>
      <c r="B32" s="386" t="str">
        <f>HYPERLINK("http://codeforces.com/contest/160/problem/A","CF160-D2-A")</f>
        <v>CF160-D2-A</v>
      </c>
      <c r="C32" s="159"/>
      <c r="D32" s="159"/>
      <c r="E32" s="159"/>
      <c r="F32" s="159"/>
      <c r="G32" s="159"/>
      <c r="H32" s="160"/>
      <c r="I32" s="57">
        <f t="shared" si="0"/>
        <v>0</v>
      </c>
      <c r="J32" s="96"/>
      <c r="K32" s="56"/>
      <c r="L32" s="96"/>
      <c r="M32" s="395" t="str">
        <f>HYPERLINK("https://www.youtube.com/watch?v=V6fh3b50nX8","Video Solution - Solver to be (Java)")</f>
        <v>Video Solution - Solver to be (Java)</v>
      </c>
      <c r="N32" s="259" t="s">
        <v>1217</v>
      </c>
      <c r="O32" s="259">
        <v>1</v>
      </c>
      <c r="P32" s="383">
        <v>1.5</v>
      </c>
    </row>
    <row r="33" spans="1:16" ht="13.2">
      <c r="A33" s="83" t="s">
        <v>230</v>
      </c>
      <c r="B33" s="386" t="str">
        <f>HYPERLINK("http://codeforces.com/contest/208/problem/A","CF208-D2-A")</f>
        <v>CF208-D2-A</v>
      </c>
      <c r="C33" s="159"/>
      <c r="D33" s="159"/>
      <c r="E33" s="159"/>
      <c r="F33" s="159"/>
      <c r="G33" s="159"/>
      <c r="H33" s="160"/>
      <c r="I33" s="57">
        <f t="shared" si="0"/>
        <v>0</v>
      </c>
      <c r="J33" s="96"/>
      <c r="K33" s="56"/>
      <c r="L33" s="96"/>
      <c r="M33" s="389" t="str">
        <f>HYPERLINK("https://www.youtube.com/watch?v=M4umpd8utSA","Video Solution - Solver to be (Java)")</f>
        <v>Video Solution - Solver to be (Java)</v>
      </c>
      <c r="N33" s="259" t="s">
        <v>1217</v>
      </c>
      <c r="O33" s="259">
        <v>1</v>
      </c>
      <c r="P33" s="383">
        <v>1.5</v>
      </c>
    </row>
    <row r="34" spans="1:16" ht="13.2">
      <c r="A34" s="83" t="s">
        <v>247</v>
      </c>
      <c r="B34" s="386" t="str">
        <f>HYPERLINK("http://codeforces.com/contest/218/problem/A","CF218-D2-A")</f>
        <v>CF218-D2-A</v>
      </c>
      <c r="C34" s="159"/>
      <c r="D34" s="159"/>
      <c r="E34" s="159"/>
      <c r="F34" s="159"/>
      <c r="G34" s="159"/>
      <c r="H34" s="160"/>
      <c r="I34" s="57">
        <f t="shared" si="0"/>
        <v>0</v>
      </c>
      <c r="J34" s="136"/>
      <c r="K34" s="56"/>
      <c r="L34" s="136"/>
      <c r="M34" s="392" t="str">
        <f>HYPERLINK("https://www.youtube.com/watch?v=qmGhxFPv5GI&amp;feature=youtu.be","Video Solution - Eng John Gamal")</f>
        <v>Video Solution - Eng John Gamal</v>
      </c>
      <c r="N34" s="259" t="s">
        <v>1217</v>
      </c>
      <c r="O34" s="259">
        <v>1</v>
      </c>
      <c r="P34" s="383">
        <v>1.5</v>
      </c>
    </row>
    <row r="35" spans="1:16" ht="13.2">
      <c r="A35" s="83" t="s">
        <v>245</v>
      </c>
      <c r="B35" s="386" t="str">
        <f>HYPERLINK("http://codeforces.com/contest/225/problem/A","CF225-D2-A")</f>
        <v>CF225-D2-A</v>
      </c>
      <c r="C35" s="159"/>
      <c r="D35" s="159"/>
      <c r="E35" s="159"/>
      <c r="F35" s="159"/>
      <c r="G35" s="159"/>
      <c r="H35" s="160"/>
      <c r="I35" s="57">
        <f t="shared" si="0"/>
        <v>0</v>
      </c>
      <c r="J35" s="136"/>
      <c r="K35" s="56"/>
      <c r="L35" s="136"/>
      <c r="M35" s="392" t="str">
        <f>HYPERLINK("https://www.youtube.com/watch?v=AU4cdWZrKNA&amp;feature=youtu.be","Video Solution - Eng Muntaser Abukadeja")</f>
        <v>Video Solution - Eng Muntaser Abukadeja</v>
      </c>
      <c r="N35" s="259" t="s">
        <v>1217</v>
      </c>
      <c r="O35" s="259">
        <v>1</v>
      </c>
      <c r="P35" s="383">
        <v>1.5</v>
      </c>
    </row>
    <row r="36" spans="1:16" ht="13.2">
      <c r="A36" s="83" t="s">
        <v>241</v>
      </c>
      <c r="B36" s="386" t="str">
        <f>HYPERLINK("http://codeforces.com/contest/270/problem/A","CF270-D2-A")</f>
        <v>CF270-D2-A</v>
      </c>
      <c r="C36" s="159"/>
      <c r="D36" s="159"/>
      <c r="E36" s="159"/>
      <c r="F36" s="159"/>
      <c r="G36" s="159"/>
      <c r="H36" s="160"/>
      <c r="I36" s="57">
        <f t="shared" si="0"/>
        <v>0</v>
      </c>
      <c r="J36" s="96"/>
      <c r="K36" s="56"/>
      <c r="L36" s="96"/>
      <c r="M36" s="192" t="str">
        <f>HYPERLINK("https://www.youtube.com/watch?v=ShgpJWttyxw","Video Solution - Eng Omar Ashraf")</f>
        <v>Video Solution - Eng Omar Ashraf</v>
      </c>
      <c r="N36" s="259" t="s">
        <v>1217</v>
      </c>
      <c r="O36" s="259">
        <v>1</v>
      </c>
      <c r="P36" s="383">
        <v>1.5</v>
      </c>
    </row>
    <row r="37" spans="1:16" ht="13.2">
      <c r="A37" s="83" t="s">
        <v>268</v>
      </c>
      <c r="B37" s="386" t="str">
        <f>HYPERLINK("http://codeforces.com/contest/282/problem/A","CF282-D2-A")</f>
        <v>CF282-D2-A</v>
      </c>
      <c r="C37" s="159"/>
      <c r="D37" s="159"/>
      <c r="E37" s="159"/>
      <c r="F37" s="159"/>
      <c r="G37" s="159"/>
      <c r="H37" s="160"/>
      <c r="I37" s="57">
        <f t="shared" si="0"/>
        <v>0</v>
      </c>
      <c r="J37" s="96"/>
      <c r="K37" s="56"/>
      <c r="L37" s="96"/>
      <c r="M37" s="395" t="str">
        <f>HYPERLINK("https://www.youtube.com/watch?v=5TyT1RIv3wM","Video Solution - Solver to be (Java)")</f>
        <v>Video Solution - Solver to be (Java)</v>
      </c>
      <c r="N37" s="259" t="s">
        <v>1217</v>
      </c>
      <c r="O37" s="259">
        <v>1</v>
      </c>
      <c r="P37" s="383">
        <v>1.5</v>
      </c>
    </row>
    <row r="38" spans="1:16" ht="13.2">
      <c r="A38" s="83" t="s">
        <v>253</v>
      </c>
      <c r="B38" s="386" t="str">
        <f>HYPERLINK("http://codeforces.com/contest/287/problem/A","CF287-D2-A")</f>
        <v>CF287-D2-A</v>
      </c>
      <c r="C38" s="159"/>
      <c r="D38" s="159"/>
      <c r="E38" s="159"/>
      <c r="F38" s="159"/>
      <c r="G38" s="159"/>
      <c r="H38" s="160"/>
      <c r="I38" s="57">
        <f t="shared" si="0"/>
        <v>0</v>
      </c>
      <c r="J38" s="96"/>
      <c r="K38" s="56"/>
      <c r="L38" s="96"/>
      <c r="M38" s="393" t="str">
        <f>HYPERLINK("https://www.youtube.com/watch?v=n7uY7HC4XIM","Video Solution - Dr Mostafa Saad")</f>
        <v>Video Solution - Dr Mostafa Saad</v>
      </c>
      <c r="N38" s="259" t="s">
        <v>1217</v>
      </c>
      <c r="O38" s="259">
        <v>1</v>
      </c>
      <c r="P38" s="383">
        <v>1.5</v>
      </c>
    </row>
    <row r="39" spans="1:16" ht="13.2">
      <c r="A39" s="83" t="s">
        <v>252</v>
      </c>
      <c r="B39" s="386" t="str">
        <f>HYPERLINK("http://codeforces.com/contest/289/problem/A","CF289-D2-A")</f>
        <v>CF289-D2-A</v>
      </c>
      <c r="C39" s="159"/>
      <c r="D39" s="159"/>
      <c r="E39" s="159"/>
      <c r="F39" s="159"/>
      <c r="G39" s="159"/>
      <c r="H39" s="160"/>
      <c r="I39" s="57">
        <f t="shared" si="0"/>
        <v>0</v>
      </c>
      <c r="J39" s="96"/>
      <c r="K39" s="56"/>
      <c r="L39" s="96"/>
      <c r="M39" s="393" t="str">
        <f>HYPERLINK("https://www.youtube.com/watch?v=EjH3kDiEpS0","Video Solution - Dr Mostafa Saad")</f>
        <v>Video Solution - Dr Mostafa Saad</v>
      </c>
      <c r="N39" s="259" t="s">
        <v>1217</v>
      </c>
      <c r="O39" s="259">
        <v>1</v>
      </c>
      <c r="P39" s="383">
        <v>1.5</v>
      </c>
    </row>
    <row r="40" spans="1:16" ht="13.2">
      <c r="A40" s="83" t="s">
        <v>195</v>
      </c>
      <c r="B40" s="386" t="str">
        <f>HYPERLINK("http://codeforces.com/contest/294/problem/A","CF294-D2-A")</f>
        <v>CF294-D2-A</v>
      </c>
      <c r="C40" s="159"/>
      <c r="D40" s="159"/>
      <c r="E40" s="159"/>
      <c r="F40" s="159"/>
      <c r="G40" s="159"/>
      <c r="H40" s="160"/>
      <c r="I40" s="57">
        <f t="shared" si="0"/>
        <v>0</v>
      </c>
      <c r="J40" s="96"/>
      <c r="K40" s="56"/>
      <c r="L40" s="96"/>
      <c r="M40" s="391" t="str">
        <f>HYPERLINK("https://www.youtube.com/watch?v=GOuclkVCvRI","Video Solution - Dr Mostafa Saad")</f>
        <v>Video Solution - Dr Mostafa Saad</v>
      </c>
      <c r="N40" s="259" t="s">
        <v>1217</v>
      </c>
      <c r="O40" s="259">
        <v>1</v>
      </c>
      <c r="P40" s="383">
        <v>1.5</v>
      </c>
    </row>
    <row r="41" spans="1:16" ht="13.2">
      <c r="A41" s="83" t="s">
        <v>254</v>
      </c>
      <c r="B41" s="386" t="str">
        <f>HYPERLINK("http://codeforces.com/contest/296/problem/A","CF296-D2-A")</f>
        <v>CF296-D2-A</v>
      </c>
      <c r="C41" s="159"/>
      <c r="D41" s="159"/>
      <c r="E41" s="159"/>
      <c r="F41" s="159"/>
      <c r="G41" s="159"/>
      <c r="H41" s="160"/>
      <c r="I41" s="57">
        <f t="shared" si="0"/>
        <v>0</v>
      </c>
      <c r="J41" s="96"/>
      <c r="K41" s="56"/>
      <c r="L41" s="96"/>
      <c r="M41" s="393" t="str">
        <f>HYPERLINK("https://www.youtube.com/watch?v=kdgWBRPqMfo","Video Solution - Dr Mostafa Saad")</f>
        <v>Video Solution - Dr Mostafa Saad</v>
      </c>
      <c r="N41" s="259" t="s">
        <v>1217</v>
      </c>
      <c r="O41" s="259">
        <v>1</v>
      </c>
      <c r="P41" s="383">
        <v>1.5</v>
      </c>
    </row>
    <row r="42" spans="1:16" ht="13.2">
      <c r="A42" s="83" t="s">
        <v>224</v>
      </c>
      <c r="B42" s="386" t="str">
        <f>HYPERLINK("http://codeforces.com/contest/318/problem/A","CF318-D2-A")</f>
        <v>CF318-D2-A</v>
      </c>
      <c r="C42" s="159"/>
      <c r="D42" s="159"/>
      <c r="E42" s="159"/>
      <c r="F42" s="159"/>
      <c r="G42" s="159"/>
      <c r="H42" s="160"/>
      <c r="I42" s="57">
        <f t="shared" si="0"/>
        <v>0</v>
      </c>
      <c r="J42" s="102"/>
      <c r="K42" s="56"/>
      <c r="L42" s="102"/>
      <c r="M42" s="396" t="str">
        <f>HYPERLINK("https://www.youtube.com/watch?v=w7gZx99Efzs&amp;feature=youtu.be","Video Solution - Eng Muntaser Abukadeja")</f>
        <v>Video Solution - Eng Muntaser Abukadeja</v>
      </c>
      <c r="N42" s="259" t="s">
        <v>1217</v>
      </c>
      <c r="O42" s="259">
        <v>1</v>
      </c>
      <c r="P42" s="383">
        <v>1.5</v>
      </c>
    </row>
    <row r="43" spans="1:16" ht="13.2">
      <c r="A43" s="83" t="s">
        <v>201</v>
      </c>
      <c r="B43" s="386" t="str">
        <f>HYPERLINK("http://codeforces.com/contest/339/problem/A","CF339-D2-A")</f>
        <v>CF339-D2-A</v>
      </c>
      <c r="C43" s="159"/>
      <c r="D43" s="159"/>
      <c r="E43" s="159"/>
      <c r="F43" s="159"/>
      <c r="G43" s="159"/>
      <c r="H43" s="160"/>
      <c r="I43" s="57">
        <f t="shared" si="0"/>
        <v>0</v>
      </c>
      <c r="J43" s="96"/>
      <c r="K43" s="56"/>
      <c r="L43" s="96"/>
      <c r="M43" s="389" t="str">
        <f>HYPERLINK("https://www.youtube.com/watch?v=NLsyJpkFMz4","Video Solution - Solver to be (Java)")</f>
        <v>Video Solution - Solver to be (Java)</v>
      </c>
      <c r="N43" s="259" t="s">
        <v>1217</v>
      </c>
      <c r="O43" s="259">
        <v>1</v>
      </c>
      <c r="P43" s="383">
        <v>1.5</v>
      </c>
    </row>
    <row r="44" spans="1:16" ht="13.2">
      <c r="A44" s="83" t="s">
        <v>250</v>
      </c>
      <c r="B44" s="386" t="str">
        <f>HYPERLINK("http://codeforces.com/contest/382/problem/A","CF382-D2-A")</f>
        <v>CF382-D2-A</v>
      </c>
      <c r="C44" s="159"/>
      <c r="D44" s="159"/>
      <c r="E44" s="159"/>
      <c r="F44" s="159"/>
      <c r="G44" s="159"/>
      <c r="H44" s="160"/>
      <c r="I44" s="57">
        <f t="shared" si="0"/>
        <v>0</v>
      </c>
      <c r="J44" s="136"/>
      <c r="K44" s="56"/>
      <c r="L44" s="136"/>
      <c r="M44" s="77" t="str">
        <f>HYPERLINK("https://www.youtube.com/watch?v=6xkV-GeRs2o&amp;feature=youtu.be","Video Solution - Eng Samed Hajajla")</f>
        <v>Video Solution - Eng Samed Hajajla</v>
      </c>
      <c r="N44" s="259" t="s">
        <v>1217</v>
      </c>
      <c r="O44" s="259">
        <v>1</v>
      </c>
      <c r="P44" s="383">
        <v>1.5</v>
      </c>
    </row>
    <row r="45" spans="1:16" ht="13.2">
      <c r="A45" s="83" t="s">
        <v>270</v>
      </c>
      <c r="B45" s="386" t="str">
        <f>HYPERLINK("http://codeforces.com/contest/41/problem/A","CF41-D2-A")</f>
        <v>CF41-D2-A</v>
      </c>
      <c r="C45" s="159"/>
      <c r="D45" s="159"/>
      <c r="E45" s="159"/>
      <c r="F45" s="159"/>
      <c r="G45" s="159"/>
      <c r="H45" s="160"/>
      <c r="I45" s="57">
        <f t="shared" si="0"/>
        <v>0</v>
      </c>
      <c r="J45" s="96"/>
      <c r="K45" s="56"/>
      <c r="L45" s="96"/>
      <c r="M45" s="389" t="str">
        <f>HYPERLINK("https://www.youtube.com/watch?v=2rXyyB_2zX8","Video Solution - Solver to be (Java)")</f>
        <v>Video Solution - Solver to be (Java)</v>
      </c>
      <c r="N45" s="259" t="s">
        <v>1217</v>
      </c>
      <c r="O45" s="259">
        <v>1</v>
      </c>
      <c r="P45" s="383">
        <v>1.5</v>
      </c>
    </row>
    <row r="46" spans="1:16" ht="13.2">
      <c r="A46" s="83" t="s">
        <v>228</v>
      </c>
      <c r="B46" s="386" t="str">
        <f>HYPERLINK("http://codeforces.com/contest/43/problem/A","CF43-D2-A")</f>
        <v>CF43-D2-A</v>
      </c>
      <c r="C46" s="159"/>
      <c r="D46" s="159"/>
      <c r="E46" s="159"/>
      <c r="F46" s="159"/>
      <c r="G46" s="159"/>
      <c r="H46" s="160"/>
      <c r="I46" s="57">
        <f t="shared" si="0"/>
        <v>0</v>
      </c>
      <c r="J46" s="96"/>
      <c r="K46" s="56"/>
      <c r="L46" s="96"/>
      <c r="M46" s="389" t="str">
        <f>HYPERLINK("https://www.youtube.com/watch?v=fUOco0Vz584&amp;feature=youtu.be","Video Solution - Eng Belal Abdulnasser (Python)")</f>
        <v>Video Solution - Eng Belal Abdulnasser (Python)</v>
      </c>
      <c r="N46" s="259" t="s">
        <v>1217</v>
      </c>
      <c r="O46" s="259">
        <v>1</v>
      </c>
      <c r="P46" s="383">
        <v>1.5</v>
      </c>
    </row>
    <row r="47" spans="1:16" ht="13.2">
      <c r="A47" s="83" t="s">
        <v>198</v>
      </c>
      <c r="B47" s="386" t="str">
        <f>HYPERLINK("http://codeforces.com/contest/443/problem/A","CF443-D2-A")</f>
        <v>CF443-D2-A</v>
      </c>
      <c r="C47" s="159"/>
      <c r="D47" s="159"/>
      <c r="E47" s="159"/>
      <c r="F47" s="159"/>
      <c r="G47" s="159"/>
      <c r="H47" s="160"/>
      <c r="I47" s="57">
        <f t="shared" si="0"/>
        <v>0</v>
      </c>
      <c r="J47" s="96"/>
      <c r="K47" s="56"/>
      <c r="L47" s="96"/>
      <c r="M47" s="209" t="str">
        <f>HYPERLINK("https://www.youtube.com/watch?v=YXuljSnZaTY","Video Solution - Solver to be (Java)")</f>
        <v>Video Solution - Solver to be (Java)</v>
      </c>
      <c r="N47" s="259" t="s">
        <v>1217</v>
      </c>
      <c r="O47" s="259">
        <v>1</v>
      </c>
      <c r="P47" s="383">
        <v>1.5</v>
      </c>
    </row>
    <row r="48" spans="1:16" ht="13.2">
      <c r="A48" s="83" t="s">
        <v>272</v>
      </c>
      <c r="B48" s="386" t="str">
        <f>HYPERLINK("http://codeforces.com/contest/456/problem/A","CF456-D2-A")</f>
        <v>CF456-D2-A</v>
      </c>
      <c r="C48" s="159"/>
      <c r="D48" s="159"/>
      <c r="E48" s="159"/>
      <c r="F48" s="159"/>
      <c r="G48" s="159"/>
      <c r="H48" s="160"/>
      <c r="I48" s="57">
        <f t="shared" si="0"/>
        <v>0</v>
      </c>
      <c r="J48" s="136"/>
      <c r="K48" s="56"/>
      <c r="L48" s="136"/>
      <c r="M48" s="389" t="str">
        <f>HYPERLINK("https://www.youtube.com/watch?v=_Ab4PUC2vMk","Video Solution - Solver to be (Java)")</f>
        <v>Video Solution - Solver to be (Java)</v>
      </c>
      <c r="N48" s="259" t="s">
        <v>1217</v>
      </c>
      <c r="O48" s="259">
        <v>1</v>
      </c>
      <c r="P48" s="383">
        <v>1.5</v>
      </c>
    </row>
    <row r="49" spans="1:16" ht="13.2">
      <c r="A49" s="83" t="s">
        <v>225</v>
      </c>
      <c r="B49" s="386" t="str">
        <f>HYPERLINK("http://codeforces.com/contest/469/problem/A","CF469-D2-A")</f>
        <v>CF469-D2-A</v>
      </c>
      <c r="C49" s="159"/>
      <c r="D49" s="159"/>
      <c r="E49" s="159"/>
      <c r="F49" s="159"/>
      <c r="G49" s="159"/>
      <c r="H49" s="160"/>
      <c r="I49" s="57">
        <f t="shared" si="0"/>
        <v>0</v>
      </c>
      <c r="J49" s="96"/>
      <c r="K49" s="56"/>
      <c r="L49" s="96"/>
      <c r="M49" s="395" t="str">
        <f>HYPERLINK("https://www.youtube.com/watch?v=MVHuUdj_CWo","Video Solution - Solver to be (Java)")</f>
        <v>Video Solution - Solver to be (Java)</v>
      </c>
      <c r="N49" s="259" t="s">
        <v>1217</v>
      </c>
      <c r="O49" s="259">
        <v>1</v>
      </c>
      <c r="P49" s="383">
        <v>1.5</v>
      </c>
    </row>
    <row r="50" spans="1:16" ht="13.2">
      <c r="A50" s="83" t="s">
        <v>217</v>
      </c>
      <c r="B50" s="386" t="str">
        <f>HYPERLINK("http://codeforces.com/contest/474/problem/A","CF474-D2-A")</f>
        <v>CF474-D2-A</v>
      </c>
      <c r="C50" s="159"/>
      <c r="D50" s="159"/>
      <c r="E50" s="159"/>
      <c r="F50" s="159"/>
      <c r="G50" s="159"/>
      <c r="H50" s="160"/>
      <c r="I50" s="57">
        <f t="shared" si="0"/>
        <v>0</v>
      </c>
      <c r="J50" s="96"/>
      <c r="K50" s="101"/>
      <c r="L50" s="96"/>
      <c r="M50" s="395" t="str">
        <f>HYPERLINK("https://www.youtube.com/watch?v=oFIiCpVI3Ck","Video Solution - Solver to be (Java)")</f>
        <v>Video Solution - Solver to be (Java)</v>
      </c>
      <c r="N50" s="259" t="s">
        <v>1217</v>
      </c>
      <c r="O50" s="259">
        <v>1</v>
      </c>
      <c r="P50" s="383">
        <v>1.5</v>
      </c>
    </row>
    <row r="51" spans="1:16" ht="13.2">
      <c r="A51" s="83" t="s">
        <v>237</v>
      </c>
      <c r="B51" s="386" t="str">
        <f>HYPERLINK("http://codeforces.com/contest/483/problem/A","CF483-D2-A")</f>
        <v>CF483-D2-A</v>
      </c>
      <c r="C51" s="159"/>
      <c r="D51" s="159"/>
      <c r="E51" s="159"/>
      <c r="F51" s="159"/>
      <c r="G51" s="159"/>
      <c r="H51" s="160"/>
      <c r="I51" s="57">
        <f t="shared" si="0"/>
        <v>0</v>
      </c>
      <c r="J51" s="136"/>
      <c r="K51" s="56"/>
      <c r="L51" s="136"/>
      <c r="M51" s="389" t="str">
        <f>HYPERLINK("https://www.youtube.com/watch?v=hWzHWVd9jI8","Video Solution - Solver to be (Java)")</f>
        <v>Video Solution - Solver to be (Java)</v>
      </c>
      <c r="N51" s="259" t="s">
        <v>1217</v>
      </c>
      <c r="O51" s="259">
        <v>1</v>
      </c>
      <c r="P51" s="383">
        <v>1.5</v>
      </c>
    </row>
    <row r="52" spans="1:16" ht="13.2">
      <c r="A52" s="83" t="s">
        <v>233</v>
      </c>
      <c r="B52" s="386" t="str">
        <f>HYPERLINK("http://codeforces.com/contest/486/problem/A","CF486-D2-A")</f>
        <v>CF486-D2-A</v>
      </c>
      <c r="C52" s="159"/>
      <c r="D52" s="159"/>
      <c r="E52" s="159"/>
      <c r="F52" s="159"/>
      <c r="G52" s="159"/>
      <c r="H52" s="160"/>
      <c r="I52" s="57">
        <f t="shared" si="0"/>
        <v>0</v>
      </c>
      <c r="J52" s="96"/>
      <c r="K52" s="56"/>
      <c r="L52" s="96"/>
      <c r="M52" s="389" t="str">
        <f>HYPERLINK("https://www.youtube.com/watch?v=IByiomshI2o","Video Solution - Solver to be (Java)")</f>
        <v>Video Solution - Solver to be (Java)</v>
      </c>
      <c r="N52" s="259" t="s">
        <v>1217</v>
      </c>
      <c r="O52" s="259">
        <v>1</v>
      </c>
      <c r="P52" s="383">
        <v>1.5</v>
      </c>
    </row>
    <row r="53" spans="1:16" ht="13.2">
      <c r="A53" s="83" t="s">
        <v>202</v>
      </c>
      <c r="B53" s="386" t="str">
        <f>HYPERLINK("http://codeforces.com/contest/490/problem/A","CF490-D2-A")</f>
        <v>CF490-D2-A</v>
      </c>
      <c r="C53" s="159"/>
      <c r="D53" s="159"/>
      <c r="E53" s="159"/>
      <c r="F53" s="159"/>
      <c r="G53" s="159"/>
      <c r="H53" s="160"/>
      <c r="I53" s="57">
        <f t="shared" si="0"/>
        <v>0</v>
      </c>
      <c r="J53" s="96"/>
      <c r="K53" s="56"/>
      <c r="L53" s="96"/>
      <c r="M53" s="395" t="str">
        <f>HYPERLINK("https://www.youtube.com/watch?v=2jJA1PCOrgg","Video Solution - Eng Muntaser Abukadeja")</f>
        <v>Video Solution - Eng Muntaser Abukadeja</v>
      </c>
      <c r="N53" s="259" t="s">
        <v>1217</v>
      </c>
      <c r="O53" s="259">
        <v>1</v>
      </c>
      <c r="P53" s="383">
        <v>1.5</v>
      </c>
    </row>
    <row r="54" spans="1:16" ht="13.2">
      <c r="A54" s="83" t="s">
        <v>249</v>
      </c>
      <c r="B54" s="386" t="str">
        <f>HYPERLINK("http://codeforces.com/contest/514/problem/A","CF514-D2-A")</f>
        <v>CF514-D2-A</v>
      </c>
      <c r="C54" s="159"/>
      <c r="D54" s="159"/>
      <c r="E54" s="159"/>
      <c r="F54" s="159"/>
      <c r="G54" s="159"/>
      <c r="H54" s="160"/>
      <c r="I54" s="57">
        <f t="shared" si="0"/>
        <v>0</v>
      </c>
      <c r="J54" s="136"/>
      <c r="K54" s="56"/>
      <c r="L54" s="136"/>
      <c r="M54" s="392" t="str">
        <f>HYPERLINK("https://www.youtube.com/watch?v=wU51frCexTY&amp;feature=youtu.be","Video Solution - Eng Muntaser Abukadeja")</f>
        <v>Video Solution - Eng Muntaser Abukadeja</v>
      </c>
      <c r="N54" s="259" t="s">
        <v>1217</v>
      </c>
      <c r="O54" s="259">
        <v>1</v>
      </c>
      <c r="P54" s="383">
        <v>1.5</v>
      </c>
    </row>
    <row r="55" spans="1:16" ht="13.2">
      <c r="A55" s="83" t="s">
        <v>215</v>
      </c>
      <c r="B55" s="386" t="str">
        <f>HYPERLINK("http://codeforces.com/contest/520/problem/A","CF520-D2-A")</f>
        <v>CF520-D2-A</v>
      </c>
      <c r="C55" s="159"/>
      <c r="D55" s="159"/>
      <c r="E55" s="159"/>
      <c r="F55" s="159"/>
      <c r="G55" s="159"/>
      <c r="H55" s="160"/>
      <c r="I55" s="57">
        <f t="shared" si="0"/>
        <v>0</v>
      </c>
      <c r="J55" s="102"/>
      <c r="K55" s="56"/>
      <c r="L55" s="102"/>
      <c r="M55" s="395" t="str">
        <f>HYPERLINK("https://www.youtube.com/watch?v=TrHCzh7bPRo","Video Solution - Solver to be (Java)")</f>
        <v>Video Solution - Solver to be (Java)</v>
      </c>
      <c r="N55" s="259" t="s">
        <v>1217</v>
      </c>
      <c r="O55" s="259">
        <v>1</v>
      </c>
      <c r="P55" s="383">
        <v>1.5</v>
      </c>
    </row>
    <row r="56" spans="1:16" ht="13.2">
      <c r="A56" s="83" t="s">
        <v>269</v>
      </c>
      <c r="B56" s="386" t="str">
        <f>HYPERLINK("http://codeforces.com/contest/556/problem/A","CF556-D2-A")</f>
        <v>CF556-D2-A</v>
      </c>
      <c r="C56" s="159"/>
      <c r="D56" s="159"/>
      <c r="E56" s="159"/>
      <c r="F56" s="159"/>
      <c r="G56" s="159"/>
      <c r="H56" s="160"/>
      <c r="I56" s="57">
        <f t="shared" si="0"/>
        <v>0</v>
      </c>
      <c r="J56" s="96"/>
      <c r="K56" s="56"/>
      <c r="L56" s="96"/>
      <c r="M56" s="389" t="str">
        <f>HYPERLINK("https://www.youtube.com/watch?v=rud5ZbfjBxg","Video Solution - Solver to be (Java)")</f>
        <v>Video Solution - Solver to be (Java)</v>
      </c>
      <c r="N56" s="259" t="s">
        <v>1217</v>
      </c>
      <c r="O56" s="259">
        <v>1</v>
      </c>
      <c r="P56" s="383">
        <v>1.5</v>
      </c>
    </row>
    <row r="57" spans="1:16" ht="13.2">
      <c r="A57" s="83" t="s">
        <v>211</v>
      </c>
      <c r="B57" s="386" t="str">
        <f>HYPERLINK("http://codeforces.com/contest/567/problem/A","CF567-D2-A")</f>
        <v>CF567-D2-A</v>
      </c>
      <c r="C57" s="159"/>
      <c r="D57" s="159"/>
      <c r="E57" s="159"/>
      <c r="F57" s="159"/>
      <c r="G57" s="159"/>
      <c r="H57" s="160"/>
      <c r="I57" s="57">
        <f t="shared" si="0"/>
        <v>0</v>
      </c>
      <c r="J57" s="96"/>
      <c r="K57" s="56"/>
      <c r="L57" s="96"/>
      <c r="M57" s="394" t="str">
        <f>HYPERLINK("https://www.youtube.com/watch?v=gc4BEAw0pbs&amp;feature=youtu.be","Video Solution - Eng Ahmed Rafaat (Python)")</f>
        <v>Video Solution - Eng Ahmed Rafaat (Python)</v>
      </c>
      <c r="N57" s="259" t="s">
        <v>1217</v>
      </c>
      <c r="O57" s="259">
        <v>1</v>
      </c>
      <c r="P57" s="383">
        <v>1.5</v>
      </c>
    </row>
    <row r="58" spans="1:16" ht="13.2">
      <c r="A58" s="83" t="s">
        <v>256</v>
      </c>
      <c r="B58" s="386" t="str">
        <f>HYPERLINK("http://codeforces.com/contest/579/problem/A","CF579-D2-A")</f>
        <v>CF579-D2-A</v>
      </c>
      <c r="C58" s="159"/>
      <c r="D58" s="159"/>
      <c r="E58" s="159"/>
      <c r="F58" s="159"/>
      <c r="G58" s="159"/>
      <c r="H58" s="160"/>
      <c r="I58" s="57">
        <f t="shared" si="0"/>
        <v>0</v>
      </c>
      <c r="J58" s="96"/>
      <c r="K58" s="56"/>
      <c r="L58" s="96"/>
      <c r="M58" s="394" t="str">
        <f>HYPERLINK("https://www.youtube.com/watch?v=UWMDrh1shXg","Video Solution - Eng Ahmed Rafaat (Python)")</f>
        <v>Video Solution - Eng Ahmed Rafaat (Python)</v>
      </c>
      <c r="N58" s="259" t="s">
        <v>1217</v>
      </c>
      <c r="O58" s="259">
        <v>1</v>
      </c>
      <c r="P58" s="383">
        <v>1.5</v>
      </c>
    </row>
    <row r="59" spans="1:16" ht="13.2">
      <c r="A59" s="83" t="s">
        <v>227</v>
      </c>
      <c r="B59" s="386" t="str">
        <f>HYPERLINK("http://codeforces.com/contest/584/problem/A","CF584-D2-A")</f>
        <v>CF584-D2-A</v>
      </c>
      <c r="C59" s="159"/>
      <c r="D59" s="159"/>
      <c r="E59" s="159"/>
      <c r="F59" s="159"/>
      <c r="G59" s="159"/>
      <c r="H59" s="160"/>
      <c r="I59" s="57">
        <f t="shared" si="0"/>
        <v>0</v>
      </c>
      <c r="J59" s="96"/>
      <c r="K59" s="56"/>
      <c r="L59" s="96"/>
      <c r="M59" s="389" t="str">
        <f>HYPERLINK("https://www.youtube.com/watch?v=U3bX6kIGDG8","Video Solution - Solver to be (Java)")</f>
        <v>Video Solution - Solver to be (Java)</v>
      </c>
      <c r="N59" s="259" t="s">
        <v>1217</v>
      </c>
      <c r="O59" s="259">
        <v>1</v>
      </c>
      <c r="P59" s="383">
        <v>1.5</v>
      </c>
    </row>
    <row r="60" spans="1:16" ht="13.2">
      <c r="A60" s="83" t="s">
        <v>246</v>
      </c>
      <c r="B60" s="386" t="str">
        <f>HYPERLINK("http://codeforces.com/contest/682/problem/A","CF682-D2-A")</f>
        <v>CF682-D2-A</v>
      </c>
      <c r="C60" s="159"/>
      <c r="D60" s="159"/>
      <c r="E60" s="159"/>
      <c r="F60" s="159"/>
      <c r="G60" s="159"/>
      <c r="H60" s="160"/>
      <c r="I60" s="57">
        <f t="shared" si="0"/>
        <v>0</v>
      </c>
      <c r="J60" s="136"/>
      <c r="K60" s="56"/>
      <c r="L60" s="136"/>
      <c r="M60" s="392" t="str">
        <f>HYPERLINK("https://www.youtube.com/watch?v=05ZIXw2G4Pw&amp;feature=youtu.be","Video Solution - Eng John Gamal")</f>
        <v>Video Solution - Eng John Gamal</v>
      </c>
      <c r="N60" s="259" t="s">
        <v>1217</v>
      </c>
      <c r="O60" s="259">
        <v>1</v>
      </c>
      <c r="P60" s="383">
        <v>1.5</v>
      </c>
    </row>
    <row r="61" spans="1:16" ht="13.2">
      <c r="A61" s="83" t="s">
        <v>200</v>
      </c>
      <c r="B61" s="386" t="str">
        <f>HYPERLINK("http://codeforces.com/contest/686/problem/A","CF686-D2-A")</f>
        <v>CF686-D2-A</v>
      </c>
      <c r="C61" s="159"/>
      <c r="D61" s="159"/>
      <c r="E61" s="159"/>
      <c r="F61" s="159"/>
      <c r="G61" s="159"/>
      <c r="H61" s="160"/>
      <c r="I61" s="57">
        <f t="shared" si="0"/>
        <v>0</v>
      </c>
      <c r="J61" s="96"/>
      <c r="K61" s="56"/>
      <c r="L61" s="96"/>
      <c r="M61" s="389" t="str">
        <f>HYPERLINK("https://www.youtube.com/watch?v=Alipj6tJKKI","Video Solution - Solver to be (Java)")</f>
        <v>Video Solution - Solver to be (Java)</v>
      </c>
      <c r="N61" s="259" t="s">
        <v>1217</v>
      </c>
      <c r="O61" s="259">
        <v>1</v>
      </c>
      <c r="P61" s="383">
        <v>1.5</v>
      </c>
    </row>
    <row r="62" spans="1:16" ht="13.2">
      <c r="A62" s="83" t="s">
        <v>267</v>
      </c>
      <c r="B62" s="386" t="str">
        <f>HYPERLINK("http://codeforces.com/contest/69/problem/A","CF69-D2-A")</f>
        <v>CF69-D2-A</v>
      </c>
      <c r="C62" s="159"/>
      <c r="D62" s="159"/>
      <c r="E62" s="159"/>
      <c r="F62" s="159"/>
      <c r="G62" s="159"/>
      <c r="H62" s="160"/>
      <c r="I62" s="57">
        <f t="shared" si="0"/>
        <v>0</v>
      </c>
      <c r="J62" s="102"/>
      <c r="K62" s="56"/>
      <c r="L62" s="102"/>
      <c r="M62" s="389" t="str">
        <f>HYPERLINK("https://www.youtube.com/watch?v=L8pMTIq7DFM","Video Solution - Solver to be (Java)")</f>
        <v>Video Solution - Solver to be (Java)</v>
      </c>
      <c r="N62" s="259" t="s">
        <v>1217</v>
      </c>
      <c r="O62" s="259">
        <v>1</v>
      </c>
      <c r="P62" s="383">
        <v>1.5</v>
      </c>
    </row>
    <row r="63" spans="1:16" ht="13.2">
      <c r="A63" s="83" t="s">
        <v>251</v>
      </c>
      <c r="B63" s="386" t="str">
        <f>HYPERLINK("http://codeforces.com/contest/699/problem/A","CF699-D2-A")</f>
        <v>CF699-D2-A</v>
      </c>
      <c r="C63" s="159"/>
      <c r="D63" s="159"/>
      <c r="E63" s="159"/>
      <c r="F63" s="159"/>
      <c r="G63" s="159"/>
      <c r="H63" s="160"/>
      <c r="I63" s="57">
        <f t="shared" si="0"/>
        <v>0</v>
      </c>
      <c r="J63" s="136"/>
      <c r="K63" s="56"/>
      <c r="L63" s="136"/>
      <c r="M63" s="392" t="str">
        <f>HYPERLINK("https://www.youtube.com/watch?v=2xSkHmA5z8s","Video Solution - Eng Samed Hajajla")</f>
        <v>Video Solution - Eng Samed Hajajla</v>
      </c>
      <c r="N63" s="259" t="s">
        <v>1217</v>
      </c>
      <c r="O63" s="259">
        <v>1</v>
      </c>
      <c r="P63" s="383">
        <v>1.5</v>
      </c>
    </row>
    <row r="64" spans="1:16" ht="13.2">
      <c r="A64" s="83" t="s">
        <v>229</v>
      </c>
      <c r="B64" s="386" t="str">
        <f>HYPERLINK("http://codeforces.com/contest/707/problem/A","CF707-D2-A")</f>
        <v>CF707-D2-A</v>
      </c>
      <c r="C64" s="159"/>
      <c r="D64" s="159"/>
      <c r="E64" s="159"/>
      <c r="F64" s="159"/>
      <c r="G64" s="159"/>
      <c r="H64" s="160"/>
      <c r="I64" s="57">
        <f t="shared" si="0"/>
        <v>0</v>
      </c>
      <c r="J64" s="96"/>
      <c r="K64" s="56"/>
      <c r="L64" s="96"/>
      <c r="M64" s="389" t="str">
        <f>HYPERLINK("https://www.youtube.com/watch?v=cCraOn4wjAs","Video Solution - Solver to be (Java)")</f>
        <v>Video Solution - Solver to be (Java)</v>
      </c>
      <c r="N64" s="259" t="s">
        <v>1217</v>
      </c>
      <c r="O64" s="259">
        <v>1</v>
      </c>
      <c r="P64" s="383">
        <v>1.5</v>
      </c>
    </row>
    <row r="65" spans="1:17" ht="13.2">
      <c r="A65" s="83" t="s">
        <v>199</v>
      </c>
      <c r="B65" s="386" t="str">
        <f>HYPERLINK("http://codeforces.com/contest/71/problem/A","CF71-D2-A")</f>
        <v>CF71-D2-A</v>
      </c>
      <c r="C65" s="159"/>
      <c r="D65" s="159"/>
      <c r="E65" s="159"/>
      <c r="F65" s="159"/>
      <c r="G65" s="159"/>
      <c r="H65" s="160"/>
      <c r="I65" s="57">
        <f t="shared" si="0"/>
        <v>0</v>
      </c>
      <c r="J65" s="96"/>
      <c r="K65" s="56"/>
      <c r="L65" s="96"/>
      <c r="M65" s="389" t="str">
        <f>HYPERLINK("https://www.youtube.com/watch?v=yuebR81LyXE","Video Solution - Solver to be (Java)")</f>
        <v>Video Solution - Solver to be (Java)</v>
      </c>
      <c r="N65" s="259" t="s">
        <v>1217</v>
      </c>
      <c r="O65" s="259">
        <v>1</v>
      </c>
      <c r="P65" s="383">
        <v>1.5</v>
      </c>
    </row>
    <row r="66" spans="1:17" ht="13.2">
      <c r="A66" s="83" t="s">
        <v>232</v>
      </c>
      <c r="B66" s="386" t="str">
        <f>HYPERLINK("http://codeforces.com/contest/742/problem/A","CF742-D2-A")</f>
        <v>CF742-D2-A</v>
      </c>
      <c r="C66" s="159"/>
      <c r="D66" s="159"/>
      <c r="E66" s="159"/>
      <c r="F66" s="159"/>
      <c r="G66" s="159"/>
      <c r="H66" s="160"/>
      <c r="I66" s="57">
        <f t="shared" si="0"/>
        <v>0</v>
      </c>
      <c r="J66" s="96"/>
      <c r="K66" s="56"/>
      <c r="L66" s="96"/>
      <c r="M66" s="389" t="str">
        <f>HYPERLINK("https://www.youtube.com/watch?v=kdJGLjKy54o","Video Solution - Solver to be (Java)")</f>
        <v>Video Solution - Solver to be (Java)</v>
      </c>
      <c r="N66" s="259" t="s">
        <v>1217</v>
      </c>
      <c r="O66" s="259">
        <v>1</v>
      </c>
      <c r="P66" s="383">
        <v>1.5</v>
      </c>
    </row>
    <row r="67" spans="1:17" ht="13.2">
      <c r="A67" s="83" t="s">
        <v>212</v>
      </c>
      <c r="B67" s="386" t="str">
        <f>HYPERLINK("http://codeforces.com/contest/766/problem/A","CF766-D2-A")</f>
        <v>CF766-D2-A</v>
      </c>
      <c r="C67" s="159"/>
      <c r="D67" s="159"/>
      <c r="E67" s="159"/>
      <c r="F67" s="159"/>
      <c r="G67" s="159"/>
      <c r="H67" s="160"/>
      <c r="I67" s="57">
        <f t="shared" si="0"/>
        <v>0</v>
      </c>
      <c r="J67" s="96"/>
      <c r="K67" s="56"/>
      <c r="L67" s="96"/>
      <c r="M67" s="389" t="str">
        <f>HYPERLINK("https://www.youtube.com/watch?v=nq66DIFAyhs","Video Solution - Solver to be (Java)")</f>
        <v>Video Solution - Solver to be (Java)</v>
      </c>
      <c r="N67" s="259" t="s">
        <v>1217</v>
      </c>
      <c r="O67" s="259">
        <v>1</v>
      </c>
      <c r="P67" s="383">
        <v>1.5</v>
      </c>
    </row>
    <row r="68" spans="1:17" ht="13.2">
      <c r="A68" s="83" t="s">
        <v>213</v>
      </c>
      <c r="B68" s="386" t="str">
        <f>HYPERLINK("http://codeforces.com/problemset/problem/767/A","CF767-D2-A")</f>
        <v>CF767-D2-A</v>
      </c>
      <c r="C68" s="159"/>
      <c r="D68" s="159"/>
      <c r="E68" s="159"/>
      <c r="F68" s="159"/>
      <c r="G68" s="159"/>
      <c r="H68" s="160"/>
      <c r="I68" s="57">
        <f t="shared" si="0"/>
        <v>0</v>
      </c>
      <c r="J68" s="102"/>
      <c r="K68" s="56"/>
      <c r="L68" s="102"/>
      <c r="M68" s="389" t="str">
        <f>HYPERLINK("https://www.youtube.com/watch?v=MVHuUdj_CWo","Video Solution - Solver to be (Java)")</f>
        <v>Video Solution - Solver to be (Java)</v>
      </c>
      <c r="N68" s="259" t="s">
        <v>1217</v>
      </c>
      <c r="O68" s="259">
        <v>1</v>
      </c>
      <c r="P68" s="383">
        <v>1.5</v>
      </c>
    </row>
    <row r="69" spans="1:17" ht="13.2">
      <c r="A69" s="83" t="s">
        <v>214</v>
      </c>
      <c r="B69" s="386" t="str">
        <f>HYPERLINK("http://codeforces.com/contest/768/problem/A","CF768-D2-A")</f>
        <v>CF768-D2-A</v>
      </c>
      <c r="C69" s="159"/>
      <c r="D69" s="159"/>
      <c r="E69" s="159"/>
      <c r="F69" s="159"/>
      <c r="G69" s="159"/>
      <c r="H69" s="160"/>
      <c r="I69" s="57">
        <f t="shared" si="0"/>
        <v>0</v>
      </c>
      <c r="J69" s="102"/>
      <c r="K69" s="56"/>
      <c r="L69" s="102"/>
      <c r="M69" s="389" t="str">
        <f>HYPERLINK("https://www.youtube.com/watch?v=4vBmYmqOoIk","Video Solution - Solver to be (Java)")</f>
        <v>Video Solution - Solver to be (Java)</v>
      </c>
      <c r="N69" s="259" t="s">
        <v>1217</v>
      </c>
      <c r="O69" s="259">
        <v>1</v>
      </c>
      <c r="P69" s="383">
        <v>1.5</v>
      </c>
    </row>
    <row r="70" spans="1:17" ht="13.2">
      <c r="A70" s="83" t="s">
        <v>203</v>
      </c>
      <c r="B70" s="386" t="str">
        <f>HYPERLINK("http://codeforces.com/contest/770/problem/A","CF770-D2-A")</f>
        <v>CF770-D2-A</v>
      </c>
      <c r="C70" s="159"/>
      <c r="D70" s="159"/>
      <c r="E70" s="159"/>
      <c r="F70" s="159"/>
      <c r="G70" s="159"/>
      <c r="H70" s="160"/>
      <c r="I70" s="57">
        <f t="shared" si="0"/>
        <v>0</v>
      </c>
      <c r="J70" s="96"/>
      <c r="K70" s="56"/>
      <c r="L70" s="96"/>
      <c r="M70" s="389" t="str">
        <f>HYPERLINK("https://www.youtube.com/watch?v=VDlquoqsOs","Video Solution - Solver to be (Java)")</f>
        <v>Video Solution - Solver to be (Java)</v>
      </c>
      <c r="N70" s="259" t="s">
        <v>1217</v>
      </c>
      <c r="O70" s="259">
        <v>1</v>
      </c>
      <c r="P70" s="383">
        <v>1.5</v>
      </c>
    </row>
    <row r="71" spans="1:17" ht="13.2">
      <c r="A71" s="83" t="s">
        <v>197</v>
      </c>
      <c r="B71" s="386" t="str">
        <f>HYPERLINK("http://codeforces.com/contest/799/problem/A","CF799-D2-A")</f>
        <v>CF799-D2-A</v>
      </c>
      <c r="C71" s="159"/>
      <c r="D71" s="159"/>
      <c r="E71" s="159"/>
      <c r="F71" s="159"/>
      <c r="G71" s="159"/>
      <c r="H71" s="160"/>
      <c r="I71" s="57">
        <f t="shared" ref="I71:I134" si="1">SUM(E71:H71)</f>
        <v>0</v>
      </c>
      <c r="J71" s="96"/>
      <c r="K71" s="56"/>
      <c r="L71" s="96"/>
      <c r="M71" s="390" t="str">
        <f>HYPERLINK("https://www.youtube.com/watch?v=uyEL9f8pxlM","Video Solution - Solver to be (Java)")</f>
        <v>Video Solution - Solver to be (Java)</v>
      </c>
      <c r="N71" s="259" t="s">
        <v>1217</v>
      </c>
      <c r="O71" s="259">
        <v>1</v>
      </c>
      <c r="P71" s="383">
        <v>1.5</v>
      </c>
    </row>
    <row r="72" spans="1:17" ht="13.2">
      <c r="A72" s="83" t="s">
        <v>236</v>
      </c>
      <c r="B72" s="386" t="str">
        <f>HYPERLINK("http://codeforces.com/contest/80/problem/A","CF80-D2-A")</f>
        <v>CF80-D2-A</v>
      </c>
      <c r="C72" s="159"/>
      <c r="D72" s="159"/>
      <c r="E72" s="159"/>
      <c r="F72" s="159"/>
      <c r="G72" s="159"/>
      <c r="H72" s="160"/>
      <c r="I72" s="57">
        <f t="shared" si="1"/>
        <v>0</v>
      </c>
      <c r="J72" s="96"/>
      <c r="K72" s="56"/>
      <c r="L72" s="96"/>
      <c r="M72" s="389" t="str">
        <f>HYPERLINK("https://www.youtube.com/watch?v=eBT7tgXcd2I","Video Solution - Solver to be (Java)")</f>
        <v>Video Solution - Solver to be (Java)</v>
      </c>
      <c r="N72" s="259" t="s">
        <v>1217</v>
      </c>
      <c r="O72" s="259">
        <v>1</v>
      </c>
      <c r="P72" s="383">
        <v>1.5</v>
      </c>
    </row>
    <row r="73" spans="1:17" ht="13.2">
      <c r="A73" s="83" t="s">
        <v>226</v>
      </c>
      <c r="B73" s="386" t="str">
        <f>HYPERLINK("http://codeforces.com/contest/807/problem/A","CF807-D2-A")</f>
        <v>CF807-D2-A</v>
      </c>
      <c r="C73" s="159"/>
      <c r="D73" s="159"/>
      <c r="E73" s="159"/>
      <c r="F73" s="159"/>
      <c r="G73" s="159"/>
      <c r="H73" s="160"/>
      <c r="I73" s="57">
        <f t="shared" si="1"/>
        <v>0</v>
      </c>
      <c r="J73" s="96"/>
      <c r="K73" s="56"/>
      <c r="L73" s="96"/>
      <c r="M73" s="389" t="str">
        <f>HYPERLINK("https://www.youtube.com/watch?v=PU-Lg0gs6kY","Video Solution - Solver to be (Java)")</f>
        <v>Video Solution - Solver to be (Java)</v>
      </c>
      <c r="N73" s="259" t="s">
        <v>1217</v>
      </c>
      <c r="O73" s="259">
        <v>1</v>
      </c>
      <c r="P73" s="383">
        <v>1.5</v>
      </c>
    </row>
    <row r="74" spans="1:17" ht="13.2">
      <c r="A74" s="83" t="s">
        <v>194</v>
      </c>
      <c r="B74" s="386" t="str">
        <f>HYPERLINK("http://codeforces.com/contest/9/problem/A","CF9-D2-A")</f>
        <v>CF9-D2-A</v>
      </c>
      <c r="C74" s="159"/>
      <c r="D74" s="159"/>
      <c r="E74" s="159"/>
      <c r="F74" s="159"/>
      <c r="G74" s="159"/>
      <c r="H74" s="160"/>
      <c r="I74" s="57">
        <f t="shared" si="1"/>
        <v>0</v>
      </c>
      <c r="J74" s="96"/>
      <c r="K74" s="56"/>
      <c r="L74" s="96"/>
      <c r="M74" s="391" t="str">
        <f>HYPERLINK("https://www.youtube.com/watch?v=5T1yiz9-jZo","Video Solution - Eng Muntaser Abukadeja")</f>
        <v>Video Solution - Eng Muntaser Abukadeja</v>
      </c>
      <c r="N74" s="259" t="s">
        <v>1217</v>
      </c>
      <c r="O74" s="259">
        <v>1</v>
      </c>
      <c r="P74" s="383">
        <v>1.5</v>
      </c>
    </row>
    <row r="75" spans="1:17" ht="13.2">
      <c r="A75" s="83" t="s">
        <v>209</v>
      </c>
      <c r="B75" s="386" t="str">
        <f>HYPERLINK("https://uva.onlinejudge.org/index.php?option=onlinejudge&amp;page=show_problem&amp;problem=3300","UVA 12148")</f>
        <v>UVA 12148</v>
      </c>
      <c r="C75" s="159"/>
      <c r="D75" s="159"/>
      <c r="E75" s="159"/>
      <c r="F75" s="159"/>
      <c r="G75" s="159"/>
      <c r="H75" s="160"/>
      <c r="I75" s="57">
        <f t="shared" si="1"/>
        <v>0</v>
      </c>
      <c r="J75" s="102"/>
      <c r="K75" s="56"/>
      <c r="L75" s="102"/>
      <c r="M75" s="392" t="str">
        <f>HYPERLINK("https://www.youtube.com/watch?v=cmMkGSMHTKE","Video Solution - Eng John Gamal")</f>
        <v>Video Solution - Eng John Gamal</v>
      </c>
      <c r="N75" s="383" t="s">
        <v>1252</v>
      </c>
      <c r="O75" s="383">
        <v>5</v>
      </c>
      <c r="P75" s="406">
        <v>1.5</v>
      </c>
      <c r="Q75" s="543"/>
    </row>
    <row r="76" spans="1:17" ht="13.2">
      <c r="A76" s="83" t="s">
        <v>461</v>
      </c>
      <c r="B76" s="386" t="str">
        <f>HYPERLINK("http://acm.timus.ru/problem.aspx?space=1&amp;num=1100","TIMUS 1100")</f>
        <v>TIMUS 1100</v>
      </c>
      <c r="C76" s="159"/>
      <c r="D76" s="159"/>
      <c r="E76" s="159"/>
      <c r="F76" s="159"/>
      <c r="G76" s="159"/>
      <c r="H76" s="160"/>
      <c r="I76" s="57">
        <f t="shared" si="1"/>
        <v>0</v>
      </c>
      <c r="J76" s="62"/>
      <c r="K76" s="56"/>
      <c r="L76" s="62"/>
      <c r="M76" s="545"/>
      <c r="N76" s="383" t="s">
        <v>1593</v>
      </c>
      <c r="O76" s="383">
        <v>86</v>
      </c>
      <c r="P76" s="406">
        <v>1.5</v>
      </c>
      <c r="Q76" s="543"/>
    </row>
    <row r="77" spans="1:17" ht="13.2">
      <c r="A77" s="83" t="s">
        <v>402</v>
      </c>
      <c r="B77" s="386" t="str">
        <f>HYPERLINK("http://codeforces.com/contest/6/problem/B","CF6-D2-B")</f>
        <v>CF6-D2-B</v>
      </c>
      <c r="C77" s="159"/>
      <c r="D77" s="159"/>
      <c r="E77" s="159"/>
      <c r="F77" s="159"/>
      <c r="G77" s="159"/>
      <c r="H77" s="160"/>
      <c r="I77" s="57">
        <f t="shared" si="1"/>
        <v>0</v>
      </c>
      <c r="J77" s="62"/>
      <c r="K77" s="56"/>
      <c r="L77" s="159"/>
      <c r="M77" s="390" t="str">
        <f>HYPERLINK("https://www.youtube.com/watch?v=fPcKGZ_e8G0","Video Solution - Solver to be (Java)")</f>
        <v>Video Solution - Solver to be (Java)</v>
      </c>
      <c r="N77" s="383" t="s">
        <v>1593</v>
      </c>
      <c r="O77" s="383">
        <v>86</v>
      </c>
      <c r="P77" s="259">
        <v>1.5</v>
      </c>
    </row>
    <row r="78" spans="1:17" ht="13.2">
      <c r="A78" s="83" t="s">
        <v>386</v>
      </c>
      <c r="B78" s="386" t="str">
        <f>HYPERLINK("http://codeforces.com/contest/102/problem/B","CF102-D2-B")</f>
        <v>CF102-D2-B</v>
      </c>
      <c r="C78" s="159"/>
      <c r="D78" s="159"/>
      <c r="E78" s="159"/>
      <c r="F78" s="159"/>
      <c r="G78" s="159"/>
      <c r="H78" s="160"/>
      <c r="I78" s="57">
        <f t="shared" si="1"/>
        <v>0</v>
      </c>
      <c r="J78" s="62"/>
      <c r="K78" s="56"/>
      <c r="L78" s="159"/>
      <c r="M78" s="389" t="str">
        <f>HYPERLINK("https://www.youtube.com/watch?v=PgEnG308Hf4","Video Solution - Solver to be (Java)")</f>
        <v>Video Solution - Solver to be (Java)</v>
      </c>
      <c r="N78" s="399" t="s">
        <v>1593</v>
      </c>
      <c r="O78" s="399">
        <v>86</v>
      </c>
      <c r="P78" s="406">
        <v>1.5</v>
      </c>
    </row>
    <row r="79" spans="1:17" ht="13.2">
      <c r="A79" s="83" t="s">
        <v>437</v>
      </c>
      <c r="B79" s="386" t="str">
        <f>HYPERLINK("http://codeforces.com/contest/144/problem/B","CF144-D2-B")</f>
        <v>CF144-D2-B</v>
      </c>
      <c r="C79" s="159"/>
      <c r="D79" s="159"/>
      <c r="E79" s="159"/>
      <c r="F79" s="159"/>
      <c r="G79" s="159"/>
      <c r="H79" s="160"/>
      <c r="I79" s="57">
        <f t="shared" si="1"/>
        <v>0</v>
      </c>
      <c r="J79" s="62"/>
      <c r="K79" s="56"/>
      <c r="L79" s="159"/>
      <c r="M79" s="389" t="str">
        <f>HYPERLINK("https://www.youtube.com/watch?v=vLEXMm860gQ","Video Solution - Solver to be (Java)")</f>
        <v>Video Solution - Solver to be (Java)</v>
      </c>
      <c r="N79" s="399" t="s">
        <v>1594</v>
      </c>
      <c r="O79" s="399">
        <v>86</v>
      </c>
      <c r="P79" s="406">
        <v>1.5</v>
      </c>
    </row>
    <row r="80" spans="1:17" ht="13.2">
      <c r="A80" s="83" t="s">
        <v>422</v>
      </c>
      <c r="B80" s="386" t="str">
        <f>HYPERLINK("http://codeforces.com/contest/152/problem/B","CF152-D2-B")</f>
        <v>CF152-D2-B</v>
      </c>
      <c r="C80" s="159"/>
      <c r="D80" s="159"/>
      <c r="E80" s="159"/>
      <c r="F80" s="159"/>
      <c r="G80" s="159"/>
      <c r="H80" s="160"/>
      <c r="I80" s="57">
        <f t="shared" si="1"/>
        <v>0</v>
      </c>
      <c r="J80" s="62"/>
      <c r="K80" s="56"/>
      <c r="L80" s="159"/>
      <c r="M80" s="389" t="str">
        <f>HYPERLINK("https://www.youtube.com/watch?v=C5qZwZYPMJY","Video Solution - Solver to be (Java)")</f>
        <v>Video Solution - Solver to be (Java)</v>
      </c>
      <c r="N80" s="399" t="s">
        <v>1607</v>
      </c>
      <c r="O80" s="399">
        <v>87</v>
      </c>
      <c r="P80" s="406">
        <v>1.5</v>
      </c>
    </row>
    <row r="81" spans="1:17" ht="13.2">
      <c r="A81" s="83" t="s">
        <v>384</v>
      </c>
      <c r="B81" s="386" t="str">
        <f>HYPERLINK("http://codeforces.com/contest/16/problem/B","CF16-D2-B")</f>
        <v>CF16-D2-B</v>
      </c>
      <c r="C81" s="159"/>
      <c r="D81" s="159"/>
      <c r="E81" s="159"/>
      <c r="F81" s="159"/>
      <c r="G81" s="159"/>
      <c r="H81" s="160"/>
      <c r="I81" s="57">
        <f t="shared" si="1"/>
        <v>0</v>
      </c>
      <c r="J81" s="62"/>
      <c r="K81" s="56"/>
      <c r="L81" s="159"/>
      <c r="M81" s="397" t="str">
        <f>HYPERLINK("https://github.com/juanplopes/icpc/blob/master/uva/12148.cpp","Learn Calender Leap Year")</f>
        <v>Learn Calender Leap Year</v>
      </c>
      <c r="N81" s="399" t="s">
        <v>1219</v>
      </c>
      <c r="O81" s="399">
        <v>1</v>
      </c>
      <c r="P81" s="383">
        <v>2</v>
      </c>
      <c r="Q81" s="37" t="s">
        <v>1220</v>
      </c>
    </row>
    <row r="82" spans="1:17" ht="13.2">
      <c r="A82" s="83" t="s">
        <v>423</v>
      </c>
      <c r="B82" s="386" t="str">
        <f>HYPERLINK("http://codeforces.com/contest/186/problem/B","CF186-D2-B")</f>
        <v>CF186-D2-B</v>
      </c>
      <c r="C82" s="159"/>
      <c r="D82" s="159"/>
      <c r="E82" s="159"/>
      <c r="F82" s="159"/>
      <c r="G82" s="159"/>
      <c r="H82" s="160"/>
      <c r="I82" s="57">
        <f t="shared" si="1"/>
        <v>0</v>
      </c>
      <c r="J82" s="62"/>
      <c r="K82" s="56"/>
      <c r="L82" s="159"/>
      <c r="M82" s="392" t="str">
        <f>HYPERLINK("https://github.com/marioyc/Online-Judge-Solutions/blob/master/Timus%20Online%20Judge/1100%20-%20Final%20Standings.cpp","Stable sort exercise")</f>
        <v>Stable sort exercise</v>
      </c>
      <c r="N82" s="399" t="s">
        <v>1221</v>
      </c>
      <c r="O82" s="399">
        <v>1</v>
      </c>
      <c r="P82" s="383">
        <v>2</v>
      </c>
      <c r="Q82" s="37" t="s">
        <v>1220</v>
      </c>
    </row>
    <row r="83" spans="1:17" ht="13.2">
      <c r="A83" s="83" t="s">
        <v>419</v>
      </c>
      <c r="B83" s="386" t="str">
        <f>HYPERLINK("http://codeforces.com/contest/215/problem/B","CF215-D2-B")</f>
        <v>CF215-D2-B</v>
      </c>
      <c r="C83" s="159"/>
      <c r="D83" s="159"/>
      <c r="E83" s="159"/>
      <c r="F83" s="159"/>
      <c r="G83" s="159"/>
      <c r="H83" s="160"/>
      <c r="I83" s="57">
        <f t="shared" si="1"/>
        <v>0</v>
      </c>
      <c r="J83" s="62"/>
      <c r="K83" s="56"/>
      <c r="L83" s="159"/>
      <c r="M83" s="389" t="str">
        <f>HYPERLINK("https://www.youtube.com/watch?v=FTM7HQahAc8&amp;feature=youtu.be","Video Solution - Eng Muntaser Abukadeja")</f>
        <v>Video Solution - Eng Muntaser Abukadeja</v>
      </c>
      <c r="N83" s="399" t="s">
        <v>1222</v>
      </c>
      <c r="O83" s="399">
        <v>1</v>
      </c>
      <c r="P83" s="406">
        <v>2</v>
      </c>
    </row>
    <row r="84" spans="1:17" ht="13.2">
      <c r="A84" s="83" t="s">
        <v>388</v>
      </c>
      <c r="B84" s="386" t="str">
        <f>HYPERLINK("http://codeforces.com/contest/227/problem/B","CF227-D2-B")</f>
        <v>CF227-D2-B</v>
      </c>
      <c r="C84" s="159"/>
      <c r="D84" s="159"/>
      <c r="E84" s="159"/>
      <c r="F84" s="159"/>
      <c r="G84" s="159"/>
      <c r="H84" s="160"/>
      <c r="I84" s="57">
        <f t="shared" si="1"/>
        <v>0</v>
      </c>
      <c r="J84" s="62"/>
      <c r="K84" s="56"/>
      <c r="L84" s="159"/>
      <c r="M84" s="389" t="str">
        <f>HYPERLINK("https://www.youtube.com/watch?v=_qdIm9Yj9_U","Video Solution - Eng Muntaser Abukadeja")</f>
        <v>Video Solution - Eng Muntaser Abukadeja</v>
      </c>
      <c r="N84" s="259" t="s">
        <v>1217</v>
      </c>
      <c r="O84" s="259">
        <v>1</v>
      </c>
      <c r="P84" s="383">
        <v>2</v>
      </c>
    </row>
    <row r="85" spans="1:17" ht="13.2">
      <c r="A85" s="83" t="s">
        <v>433</v>
      </c>
      <c r="B85" s="386" t="str">
        <f>HYPERLINK("http://codeforces.com/contest/262/problem/B","CF262-D2-B")</f>
        <v>CF262-D2-B</v>
      </c>
      <c r="C85" s="159"/>
      <c r="D85" s="159"/>
      <c r="E85" s="159"/>
      <c r="F85" s="159"/>
      <c r="G85" s="159"/>
      <c r="H85" s="160"/>
      <c r="I85" s="57">
        <f t="shared" si="1"/>
        <v>0</v>
      </c>
      <c r="J85" s="62"/>
      <c r="K85" s="56"/>
      <c r="L85" s="159"/>
      <c r="M85" s="389" t="str">
        <f>HYPERLINK("https://www.youtube.com/watch?v=9fpKWAPudyo&amp;feature=youtu.be","Video Solution - Eng Muntaser Abukadeja")</f>
        <v>Video Solution - Eng Muntaser Abukadeja</v>
      </c>
      <c r="N85" s="259" t="s">
        <v>1217</v>
      </c>
      <c r="O85" s="259">
        <v>1</v>
      </c>
      <c r="P85" s="383">
        <v>2</v>
      </c>
    </row>
    <row r="86" spans="1:17" ht="13.2">
      <c r="A86" s="83" t="s">
        <v>468</v>
      </c>
      <c r="B86" s="386" t="str">
        <f>HYPERLINK("http://codeforces.com/contest/337/problem/B","CF337-D2-B")</f>
        <v>CF337-D2-B</v>
      </c>
      <c r="C86" s="159"/>
      <c r="D86" s="159"/>
      <c r="E86" s="159"/>
      <c r="F86" s="159"/>
      <c r="G86" s="159"/>
      <c r="H86" s="160"/>
      <c r="I86" s="57">
        <f t="shared" si="1"/>
        <v>0</v>
      </c>
      <c r="J86" s="62"/>
      <c r="K86" s="56"/>
      <c r="L86" s="159"/>
      <c r="M86" s="389" t="str">
        <f>HYPERLINK("https://www.youtube.com/watch?v=PNB_OSbdCpQ&amp;feature=youtu.be","Video Solution - Eng Muntaser Abukadeja")</f>
        <v>Video Solution - Eng Muntaser Abukadeja</v>
      </c>
      <c r="N86" s="259" t="s">
        <v>1217</v>
      </c>
      <c r="O86" s="259">
        <v>1</v>
      </c>
      <c r="P86" s="383">
        <v>2</v>
      </c>
    </row>
    <row r="87" spans="1:17" ht="13.2">
      <c r="A87" s="83" t="s">
        <v>436</v>
      </c>
      <c r="B87" s="386" t="str">
        <f>HYPERLINK("http://codeforces.com/contest/352/problem/B","CF352-D2-B")</f>
        <v>CF352-D2-B</v>
      </c>
      <c r="C87" s="159"/>
      <c r="D87" s="159"/>
      <c r="E87" s="159"/>
      <c r="F87" s="159"/>
      <c r="G87" s="159"/>
      <c r="H87" s="160"/>
      <c r="I87" s="57">
        <f t="shared" si="1"/>
        <v>0</v>
      </c>
      <c r="J87" s="62"/>
      <c r="K87" s="56"/>
      <c r="L87" s="159"/>
      <c r="M87" s="389" t="str">
        <f>HYPERLINK("https://www.youtube.com/watch?v=eDg_yuWBS8o&amp;feature=youtu.be","Video Solution - Eng Muntaser Abukadeja")</f>
        <v>Video Solution - Eng Muntaser Abukadeja</v>
      </c>
      <c r="N87" s="259" t="s">
        <v>1217</v>
      </c>
      <c r="O87" s="259">
        <v>1</v>
      </c>
      <c r="P87" s="383">
        <v>2</v>
      </c>
    </row>
    <row r="88" spans="1:17" ht="13.2">
      <c r="A88" s="83" t="s">
        <v>435</v>
      </c>
      <c r="B88" s="386" t="str">
        <f>HYPERLINK("http://codeforces.com/contest/376/problem/B","CF376-D2-B")</f>
        <v>CF376-D2-B</v>
      </c>
      <c r="C88" s="159"/>
      <c r="D88" s="159"/>
      <c r="E88" s="159"/>
      <c r="F88" s="159"/>
      <c r="G88" s="159"/>
      <c r="H88" s="160"/>
      <c r="I88" s="57">
        <f t="shared" si="1"/>
        <v>0</v>
      </c>
      <c r="J88" s="62"/>
      <c r="K88" s="56"/>
      <c r="L88" s="159"/>
      <c r="M88" s="389" t="str">
        <f>HYPERLINK("https://www.youtube.com/watch?v=WdzdNdsaku4","Video Solution - Eng Mohamed Salah")</f>
        <v>Video Solution - Eng Mohamed Salah</v>
      </c>
      <c r="N88" s="259" t="s">
        <v>1217</v>
      </c>
      <c r="O88" s="259">
        <v>1</v>
      </c>
      <c r="P88" s="383">
        <v>2</v>
      </c>
    </row>
    <row r="89" spans="1:17" ht="13.2">
      <c r="A89" s="83" t="s">
        <v>786</v>
      </c>
      <c r="B89" s="386" t="str">
        <f>HYPERLINK("http://codeforces.com/contest/384/problem/B","CF384-D2-B")</f>
        <v>CF384-D2-B</v>
      </c>
      <c r="C89" s="159"/>
      <c r="D89" s="159"/>
      <c r="E89" s="159"/>
      <c r="F89" s="159"/>
      <c r="G89" s="159"/>
      <c r="H89" s="160"/>
      <c r="I89" s="57">
        <f t="shared" si="1"/>
        <v>0</v>
      </c>
      <c r="J89" s="62"/>
      <c r="K89" s="56"/>
      <c r="L89" s="159"/>
      <c r="M89" s="169" t="str">
        <f>HYPERLINK("https://www.youtube.com/watch?v=9PMRkDH1SAY&amp;t=4s","Video Solution - Eng Ahmed Salah")</f>
        <v>Video Solution - Eng Ahmed Salah</v>
      </c>
      <c r="N89" s="259" t="s">
        <v>1217</v>
      </c>
      <c r="O89" s="259">
        <v>1</v>
      </c>
      <c r="P89" s="383">
        <v>2</v>
      </c>
    </row>
    <row r="90" spans="1:17" ht="13.2">
      <c r="A90" s="83" t="s">
        <v>434</v>
      </c>
      <c r="B90" s="386" t="str">
        <f>HYPERLINK("http://codeforces.com/contest/385/problem/B","CF385-D2-B")</f>
        <v>CF385-D2-B</v>
      </c>
      <c r="C90" s="159"/>
      <c r="D90" s="159"/>
      <c r="E90" s="159"/>
      <c r="F90" s="159"/>
      <c r="G90" s="159"/>
      <c r="H90" s="160"/>
      <c r="I90" s="57">
        <f t="shared" si="1"/>
        <v>0</v>
      </c>
      <c r="J90" s="62"/>
      <c r="K90" s="56"/>
      <c r="L90" s="159"/>
      <c r="M90" s="389" t="str">
        <f>HYPERLINK("https://www.youtube.com/watch?v=76gg4S0A2nk","Video Solution - Eng Abanob Ashraf")</f>
        <v>Video Solution - Eng Abanob Ashraf</v>
      </c>
      <c r="N90" s="259" t="s">
        <v>1217</v>
      </c>
      <c r="O90" s="259">
        <v>1</v>
      </c>
      <c r="P90" s="383">
        <v>2</v>
      </c>
    </row>
    <row r="91" spans="1:17" ht="13.2">
      <c r="A91" s="83" t="s">
        <v>421</v>
      </c>
      <c r="B91" s="386" t="str">
        <f>HYPERLINK("http://codeforces.com/contest/400/problem/B","CF400-D2-B")</f>
        <v>CF400-D2-B</v>
      </c>
      <c r="C91" s="159"/>
      <c r="D91" s="159"/>
      <c r="E91" s="159"/>
      <c r="F91" s="159"/>
      <c r="G91" s="159"/>
      <c r="H91" s="160"/>
      <c r="I91" s="57">
        <f t="shared" si="1"/>
        <v>0</v>
      </c>
      <c r="J91" s="62"/>
      <c r="K91" s="56"/>
      <c r="L91" s="159"/>
      <c r="M91" s="389" t="str">
        <f>HYPERLINK("https://www.youtube.com/watch?v=6Ic_MPWfhEg","Video Solution - Eng Mohamed Salah")</f>
        <v>Video Solution - Eng Mohamed Salah</v>
      </c>
      <c r="N91" s="259" t="s">
        <v>1217</v>
      </c>
      <c r="O91" s="259">
        <v>1</v>
      </c>
      <c r="P91" s="383">
        <v>2</v>
      </c>
    </row>
    <row r="92" spans="1:17" ht="13.2">
      <c r="A92" s="83" t="s">
        <v>463</v>
      </c>
      <c r="B92" s="386" t="str">
        <f>HYPERLINK("http://codeforces.com/contest/415/problem/B","CF415-D2-B")</f>
        <v>CF415-D2-B</v>
      </c>
      <c r="C92" s="159"/>
      <c r="D92" s="159"/>
      <c r="E92" s="159"/>
      <c r="F92" s="159"/>
      <c r="G92" s="159"/>
      <c r="H92" s="160"/>
      <c r="I92" s="57">
        <f t="shared" si="1"/>
        <v>0</v>
      </c>
      <c r="J92" s="62"/>
      <c r="K92" s="56"/>
      <c r="L92" s="159"/>
      <c r="M92" s="398" t="str">
        <f>HYPERLINK("https://www.youtube.com/watch?v=NaB4pnNbXEY","Video Solution - Eng Mohamed Adel")</f>
        <v>Video Solution - Eng Mohamed Adel</v>
      </c>
      <c r="N92" s="259" t="s">
        <v>1217</v>
      </c>
      <c r="O92" s="259">
        <v>1</v>
      </c>
      <c r="P92" s="383">
        <v>2</v>
      </c>
    </row>
    <row r="93" spans="1:17" ht="13.2">
      <c r="A93" s="83" t="s">
        <v>476</v>
      </c>
      <c r="B93" s="386" t="str">
        <f>HYPERLINK("http://codeforces.com/contest/435/problem/B","CF435-D2-B")</f>
        <v>CF435-D2-B</v>
      </c>
      <c r="C93" s="159"/>
      <c r="D93" s="159"/>
      <c r="E93" s="159"/>
      <c r="F93" s="159"/>
      <c r="G93" s="159"/>
      <c r="H93" s="160"/>
      <c r="I93" s="57">
        <f t="shared" si="1"/>
        <v>0</v>
      </c>
      <c r="J93" s="62"/>
      <c r="K93" s="56"/>
      <c r="L93" s="159"/>
      <c r="M93" s="389" t="str">
        <f>HYPERLINK("https://www.youtube.com/watch?v=7xgzxrYuwUc","Video Solution - Eng Muntaser Abukadeja")</f>
        <v>Video Solution - Eng Muntaser Abukadeja</v>
      </c>
      <c r="N93" s="259" t="s">
        <v>1217</v>
      </c>
      <c r="O93" s="259">
        <v>1</v>
      </c>
      <c r="P93" s="383">
        <v>2</v>
      </c>
    </row>
    <row r="94" spans="1:17" ht="13.2">
      <c r="A94" s="83" t="s">
        <v>446</v>
      </c>
      <c r="B94" s="386" t="str">
        <f>HYPERLINK("http://codeforces.com/contest/445/problem/B","CF445-D2-B")</f>
        <v>CF445-D2-B</v>
      </c>
      <c r="C94" s="159"/>
      <c r="D94" s="159"/>
      <c r="E94" s="159"/>
      <c r="F94" s="159"/>
      <c r="G94" s="159"/>
      <c r="H94" s="160"/>
      <c r="I94" s="57">
        <f t="shared" si="1"/>
        <v>0</v>
      </c>
      <c r="J94" s="62"/>
      <c r="K94" s="56"/>
      <c r="L94" s="159"/>
      <c r="M94" s="389" t="str">
        <f>HYPERLINK("https://www.youtube.com/watch?v=d962qNWSvas&amp;feature=youtu.be","Video Solution - Eng Abanob Ashraf")</f>
        <v>Video Solution - Eng Abanob Ashraf</v>
      </c>
      <c r="N94" s="259" t="s">
        <v>1217</v>
      </c>
      <c r="O94" s="259">
        <v>1</v>
      </c>
      <c r="P94" s="383">
        <v>2</v>
      </c>
    </row>
    <row r="95" spans="1:17" ht="13.2">
      <c r="A95" s="83" t="s">
        <v>449</v>
      </c>
      <c r="B95" s="386" t="str">
        <f>HYPERLINK("http://codeforces.com/contest/448/problem/B","CF448-D2-B")</f>
        <v>CF448-D2-B</v>
      </c>
      <c r="C95" s="159"/>
      <c r="D95" s="159"/>
      <c r="E95" s="159"/>
      <c r="F95" s="159"/>
      <c r="G95" s="159"/>
      <c r="H95" s="160"/>
      <c r="I95" s="57">
        <f t="shared" si="1"/>
        <v>0</v>
      </c>
      <c r="J95" s="62"/>
      <c r="K95" s="56"/>
      <c r="L95" s="159"/>
      <c r="M95" s="404"/>
      <c r="N95" s="259" t="s">
        <v>1217</v>
      </c>
      <c r="O95" s="259">
        <v>1</v>
      </c>
      <c r="P95" s="383">
        <v>2</v>
      </c>
    </row>
    <row r="96" spans="1:17" ht="13.2">
      <c r="A96" s="83" t="s">
        <v>418</v>
      </c>
      <c r="B96" s="386" t="str">
        <f>HYPERLINK("http://codeforces.com/contest/469/problem/B","CF469-D2-B")</f>
        <v>CF469-D2-B</v>
      </c>
      <c r="C96" s="159"/>
      <c r="D96" s="159"/>
      <c r="E96" s="159"/>
      <c r="F96" s="159"/>
      <c r="G96" s="159"/>
      <c r="H96" s="160"/>
      <c r="I96" s="57">
        <f t="shared" si="1"/>
        <v>0</v>
      </c>
      <c r="J96" s="62"/>
      <c r="K96" s="56"/>
      <c r="L96" s="159"/>
      <c r="M96" s="389" t="str">
        <f>HYPERLINK("https://www.youtube.com/watch?v=hTUYMzcMuvA","Video Solution - Eng Mohamed Salah")</f>
        <v>Video Solution - Eng Mohamed Salah</v>
      </c>
      <c r="N96" s="259" t="s">
        <v>1217</v>
      </c>
      <c r="O96" s="259">
        <v>1</v>
      </c>
      <c r="P96" s="383">
        <v>2</v>
      </c>
    </row>
    <row r="97" spans="1:16" ht="13.2">
      <c r="A97" s="83" t="s">
        <v>387</v>
      </c>
      <c r="B97" s="386" t="str">
        <f>HYPERLINK("http://codeforces.com/contest/47/problem/B","CF47-D2-B")</f>
        <v>CF47-D2-B</v>
      </c>
      <c r="C97" s="159"/>
      <c r="D97" s="159"/>
      <c r="E97" s="159"/>
      <c r="F97" s="159"/>
      <c r="G97" s="159"/>
      <c r="H97" s="160"/>
      <c r="I97" s="57">
        <f t="shared" si="1"/>
        <v>0</v>
      </c>
      <c r="J97" s="62"/>
      <c r="K97" s="56"/>
      <c r="L97" s="159"/>
      <c r="M97" s="389" t="str">
        <f>HYPERLINK("https://www.youtube.com/watch?v=ZWL57YYKwUM&amp;t=1s","Video Solution - Eng Mohamed Salah")</f>
        <v>Video Solution - Eng Mohamed Salah</v>
      </c>
      <c r="N97" s="259" t="s">
        <v>1217</v>
      </c>
      <c r="O97" s="259">
        <v>1</v>
      </c>
      <c r="P97" s="383">
        <v>2</v>
      </c>
    </row>
    <row r="98" spans="1:16" ht="13.2">
      <c r="A98" s="83" t="s">
        <v>466</v>
      </c>
      <c r="B98" s="386" t="str">
        <f>HYPERLINK("http://codeforces.com/contest/486/problem/B","CF486-D2-B")</f>
        <v>CF486-D2-B</v>
      </c>
      <c r="C98" s="159"/>
      <c r="D98" s="159"/>
      <c r="E98" s="159"/>
      <c r="F98" s="159"/>
      <c r="G98" s="159"/>
      <c r="H98" s="160"/>
      <c r="I98" s="57">
        <f t="shared" si="1"/>
        <v>0</v>
      </c>
      <c r="J98" s="62"/>
      <c r="K98" s="56"/>
      <c r="L98" s="159"/>
      <c r="M98" s="192" t="str">
        <f>HYPERLINK("https://www.youtube.com/watch?v=ZNxSTHmpLGc&amp;feature=youtu.be","Video Solution - Eng Salma Yehia")</f>
        <v>Video Solution - Eng Salma Yehia</v>
      </c>
      <c r="N98" s="259" t="s">
        <v>1217</v>
      </c>
      <c r="O98" s="259">
        <v>1</v>
      </c>
      <c r="P98" s="383">
        <v>2</v>
      </c>
    </row>
    <row r="99" spans="1:16" ht="13.2">
      <c r="A99" s="83" t="s">
        <v>469</v>
      </c>
      <c r="B99" s="386" t="str">
        <f>HYPERLINK("http://codeforces.com/contest/493/problem/B","CF493-D2-B")</f>
        <v>CF493-D2-B</v>
      </c>
      <c r="C99" s="159"/>
      <c r="D99" s="159"/>
      <c r="E99" s="159"/>
      <c r="F99" s="159"/>
      <c r="G99" s="159"/>
      <c r="H99" s="160"/>
      <c r="I99" s="57">
        <f t="shared" si="1"/>
        <v>0</v>
      </c>
      <c r="J99" s="62"/>
      <c r="K99" s="56"/>
      <c r="L99" s="159"/>
      <c r="M99" s="389" t="str">
        <f>HYPERLINK("https://www.youtube.com/watch?v=hDsuoSTdytw&amp;feature=youtu.be","Video Solution - Eng Hossam Yehia")</f>
        <v>Video Solution - Eng Hossam Yehia</v>
      </c>
      <c r="N99" s="259" t="s">
        <v>1217</v>
      </c>
      <c r="O99" s="259">
        <v>1</v>
      </c>
      <c r="P99" s="383">
        <v>2</v>
      </c>
    </row>
    <row r="100" spans="1:16" ht="13.2">
      <c r="A100" s="83" t="s">
        <v>802</v>
      </c>
      <c r="B100" s="386" t="str">
        <f>HYPERLINK("http://codeforces.com/contest/496/problem/B","CF496-D2-B")</f>
        <v>CF496-D2-B</v>
      </c>
      <c r="C100" s="159"/>
      <c r="D100" s="159"/>
      <c r="E100" s="159"/>
      <c r="F100" s="159"/>
      <c r="G100" s="159"/>
      <c r="H100" s="160"/>
      <c r="I100" s="57">
        <f t="shared" si="1"/>
        <v>0</v>
      </c>
      <c r="J100" s="62"/>
      <c r="K100" s="56"/>
      <c r="L100" s="159"/>
      <c r="M100" s="187" t="s">
        <v>447</v>
      </c>
      <c r="N100" s="259" t="s">
        <v>1217</v>
      </c>
      <c r="O100" s="259">
        <v>1</v>
      </c>
      <c r="P100" s="383">
        <v>2</v>
      </c>
    </row>
    <row r="101" spans="1:16" ht="13.2">
      <c r="A101" s="83" t="s">
        <v>445</v>
      </c>
      <c r="B101" s="386" t="str">
        <f>HYPERLINK("http://codeforces.com/contest/505/problem/B","CF505-D2-B")</f>
        <v>CF505-D2-B</v>
      </c>
      <c r="C101" s="159"/>
      <c r="D101" s="159"/>
      <c r="E101" s="159"/>
      <c r="F101" s="159"/>
      <c r="G101" s="159"/>
      <c r="H101" s="160"/>
      <c r="I101" s="57">
        <f t="shared" si="1"/>
        <v>0</v>
      </c>
      <c r="J101" s="102"/>
      <c r="K101" s="101"/>
      <c r="L101" s="159"/>
      <c r="M101" s="389" t="str">
        <f>HYPERLINK("https://www.youtube.com/watch?v=-J0VaYdgbRc","Video Solution - Eng Mohamed Salah")</f>
        <v>Video Solution - Eng Mohamed Salah</v>
      </c>
      <c r="N101" s="259" t="s">
        <v>1217</v>
      </c>
      <c r="O101" s="259">
        <v>1</v>
      </c>
      <c r="P101" s="383">
        <v>2</v>
      </c>
    </row>
    <row r="102" spans="1:16" ht="13.2">
      <c r="A102" s="83" t="s">
        <v>467</v>
      </c>
      <c r="B102" s="386" t="str">
        <f>HYPERLINK("http://codeforces.com/contest/510/problem/B","CF510-D2-B")</f>
        <v>CF510-D2-B</v>
      </c>
      <c r="C102" s="159"/>
      <c r="D102" s="159"/>
      <c r="E102" s="159"/>
      <c r="F102" s="159"/>
      <c r="G102" s="159"/>
      <c r="H102" s="160"/>
      <c r="I102" s="57">
        <f t="shared" si="1"/>
        <v>0</v>
      </c>
      <c r="J102" s="62"/>
      <c r="K102" s="56"/>
      <c r="L102" s="159"/>
      <c r="M102" s="389" t="str">
        <f>HYPERLINK("https://www.youtube.com/watch?v=7ns-xfWB-8g","Video Solution - Eng Mohamed Adel")</f>
        <v>Video Solution - Eng Mohamed Adel</v>
      </c>
      <c r="N102" s="259" t="s">
        <v>1217</v>
      </c>
      <c r="O102" s="259">
        <v>1</v>
      </c>
      <c r="P102" s="383">
        <v>2</v>
      </c>
    </row>
    <row r="103" spans="1:16" ht="13.2">
      <c r="A103" s="83" t="s">
        <v>478</v>
      </c>
      <c r="B103" s="386" t="str">
        <f>HYPERLINK("http://codeforces.com/contest/525/problem/B","CF525-D2-B")</f>
        <v>CF525-D2-B</v>
      </c>
      <c r="C103" s="159"/>
      <c r="D103" s="159"/>
      <c r="E103" s="159"/>
      <c r="F103" s="159"/>
      <c r="G103" s="159"/>
      <c r="H103" s="160"/>
      <c r="I103" s="57">
        <f t="shared" si="1"/>
        <v>0</v>
      </c>
      <c r="J103" s="62"/>
      <c r="K103" s="56"/>
      <c r="L103" s="159"/>
      <c r="M103" s="389" t="str">
        <f>HYPERLINK("https://www.youtube.com/watch?v=lvK0ZlpWeEY&amp;feature=youtu.be","Video Solution - Eng Samed Hajajla")</f>
        <v>Video Solution - Eng Samed Hajajla</v>
      </c>
      <c r="N103" s="259" t="s">
        <v>1217</v>
      </c>
      <c r="O103" s="259">
        <v>1</v>
      </c>
      <c r="P103" s="383">
        <v>2</v>
      </c>
    </row>
    <row r="104" spans="1:16" ht="13.2">
      <c r="A104" s="83" t="s">
        <v>451</v>
      </c>
      <c r="B104" s="386" t="str">
        <f>HYPERLINK("http://codeforces.com/contest/544/problem/B","CF544-D2-B")</f>
        <v>CF544-D2-B</v>
      </c>
      <c r="C104" s="159"/>
      <c r="D104" s="159"/>
      <c r="E104" s="159"/>
      <c r="F104" s="159"/>
      <c r="G104" s="159"/>
      <c r="H104" s="160"/>
      <c r="I104" s="57">
        <f t="shared" si="1"/>
        <v>0</v>
      </c>
      <c r="J104" s="62"/>
      <c r="K104" s="56"/>
      <c r="L104" s="159"/>
      <c r="M104" s="399"/>
      <c r="N104" s="259" t="s">
        <v>1217</v>
      </c>
      <c r="O104" s="259">
        <v>1</v>
      </c>
      <c r="P104" s="383">
        <v>2</v>
      </c>
    </row>
    <row r="105" spans="1:16" ht="13.2">
      <c r="A105" s="83" t="s">
        <v>472</v>
      </c>
      <c r="B105" s="386" t="str">
        <f>HYPERLINK("http://codeforces.com/contest/580/problem/B","CF580-D2-B")</f>
        <v>CF580-D2-B</v>
      </c>
      <c r="C105" s="159"/>
      <c r="D105" s="159"/>
      <c r="E105" s="159"/>
      <c r="F105" s="159"/>
      <c r="G105" s="159"/>
      <c r="H105" s="160"/>
      <c r="I105" s="57">
        <f t="shared" si="1"/>
        <v>0</v>
      </c>
      <c r="J105" s="62"/>
      <c r="K105" s="56"/>
      <c r="L105" s="159"/>
      <c r="M105" s="399"/>
      <c r="N105" s="259" t="s">
        <v>1217</v>
      </c>
      <c r="O105" s="259">
        <v>1</v>
      </c>
      <c r="P105" s="383">
        <v>2</v>
      </c>
    </row>
    <row r="106" spans="1:16" ht="13.2">
      <c r="A106" s="83" t="s">
        <v>448</v>
      </c>
      <c r="B106" s="386" t="str">
        <f>HYPERLINK("http://codeforces.com/contest/584/problem/B","CF584-D2-B")</f>
        <v>CF584-D2-B</v>
      </c>
      <c r="C106" s="159"/>
      <c r="D106" s="159"/>
      <c r="E106" s="159"/>
      <c r="F106" s="159"/>
      <c r="G106" s="159"/>
      <c r="H106" s="160"/>
      <c r="I106" s="57">
        <f t="shared" si="1"/>
        <v>0</v>
      </c>
      <c r="J106" s="62"/>
      <c r="K106" s="56"/>
      <c r="L106" s="159"/>
      <c r="M106" s="404"/>
      <c r="N106" s="259" t="s">
        <v>1217</v>
      </c>
      <c r="O106" s="259">
        <v>1</v>
      </c>
      <c r="P106" s="383">
        <v>2</v>
      </c>
    </row>
    <row r="107" spans="1:16" ht="13.2">
      <c r="A107" s="83" t="s">
        <v>464</v>
      </c>
      <c r="B107" s="386" t="str">
        <f>HYPERLINK("http://codeforces.com/contest/602/problem/B","CF602-D2-B")</f>
        <v>CF602-D2-B</v>
      </c>
      <c r="C107" s="159"/>
      <c r="D107" s="159"/>
      <c r="E107" s="159"/>
      <c r="F107" s="159"/>
      <c r="G107" s="159"/>
      <c r="H107" s="160"/>
      <c r="I107" s="57">
        <f t="shared" si="1"/>
        <v>0</v>
      </c>
      <c r="J107" s="62"/>
      <c r="K107" s="56"/>
      <c r="L107" s="159"/>
      <c r="M107" s="400" t="str">
        <f>HYPERLINK("https://www.youtube.com/watch?v=4516VTXcDJM&amp;feature=youtu.be","Video Solution - Eng Muntaser Abukadeja")</f>
        <v>Video Solution - Eng Muntaser Abukadeja</v>
      </c>
      <c r="N107" s="259" t="s">
        <v>1217</v>
      </c>
      <c r="O107" s="259">
        <v>1</v>
      </c>
      <c r="P107" s="383">
        <v>2</v>
      </c>
    </row>
    <row r="108" spans="1:16" ht="13.2">
      <c r="A108" s="83" t="s">
        <v>470</v>
      </c>
      <c r="B108" s="386" t="str">
        <f>HYPERLINK("http://codeforces.com/contest/608/problem/B","CF608-D2-B")</f>
        <v>CF608-D2-B</v>
      </c>
      <c r="C108" s="159"/>
      <c r="D108" s="159"/>
      <c r="E108" s="159"/>
      <c r="F108" s="159"/>
      <c r="G108" s="159"/>
      <c r="H108" s="160"/>
      <c r="I108" s="57">
        <f t="shared" si="1"/>
        <v>0</v>
      </c>
      <c r="J108" s="62"/>
      <c r="K108" s="56"/>
      <c r="L108" s="159"/>
      <c r="M108" s="398" t="str">
        <f>HYPERLINK("https://www.youtube.com/watch?v=LHIZzMjnG0k&amp;feature=youtu.be","Video Solution - Eng Mohamed Adel")</f>
        <v>Video Solution - Eng Mohamed Adel</v>
      </c>
      <c r="N108" s="259" t="s">
        <v>1217</v>
      </c>
      <c r="O108" s="259">
        <v>1</v>
      </c>
      <c r="P108" s="383">
        <v>2</v>
      </c>
    </row>
    <row r="109" spans="1:16" ht="13.2">
      <c r="A109" s="83" t="s">
        <v>382</v>
      </c>
      <c r="B109" s="386" t="str">
        <f>HYPERLINK("http://codeforces.com/contest/66/problem/B","CF66-D2-B")</f>
        <v>CF66-D2-B</v>
      </c>
      <c r="C109" s="159"/>
      <c r="D109" s="159"/>
      <c r="E109" s="159"/>
      <c r="F109" s="159"/>
      <c r="G109" s="159"/>
      <c r="H109" s="160"/>
      <c r="I109" s="57">
        <f t="shared" si="1"/>
        <v>0</v>
      </c>
      <c r="J109" s="62"/>
      <c r="K109" s="56"/>
      <c r="L109" s="159"/>
      <c r="M109" s="389" t="str">
        <f>HYPERLINK("https://www.youtube.com/watch?v=NPVp5BntYZ4","Video Solution - Eng Hossam Yehia")</f>
        <v>Video Solution - Eng Hossam Yehia</v>
      </c>
      <c r="N109" s="259" t="s">
        <v>1217</v>
      </c>
      <c r="O109" s="259">
        <v>1</v>
      </c>
      <c r="P109" s="383">
        <v>2</v>
      </c>
    </row>
    <row r="110" spans="1:16" ht="13.2">
      <c r="A110" s="83" t="s">
        <v>383</v>
      </c>
      <c r="B110" s="386" t="str">
        <f>HYPERLINK("http://codeforces.com/contest/680/problem/B","CF680-D2-B")</f>
        <v>CF680-D2-B</v>
      </c>
      <c r="C110" s="159"/>
      <c r="D110" s="159"/>
      <c r="E110" s="159"/>
      <c r="F110" s="159"/>
      <c r="G110" s="159"/>
      <c r="H110" s="160"/>
      <c r="I110" s="57">
        <f t="shared" si="1"/>
        <v>0</v>
      </c>
      <c r="J110" s="62"/>
      <c r="K110" s="56"/>
      <c r="L110" s="159"/>
      <c r="M110" s="389" t="str">
        <f>HYPERLINK("https://www.youtube.com/watch?v=7MC9PFQTlxs","Video Solution - Eng Mohamed Salah")</f>
        <v>Video Solution - Eng Mohamed Salah</v>
      </c>
      <c r="N110" s="259" t="s">
        <v>1217</v>
      </c>
      <c r="O110" s="259">
        <v>1</v>
      </c>
      <c r="P110" s="383">
        <v>2</v>
      </c>
    </row>
    <row r="111" spans="1:16" ht="13.2">
      <c r="A111" s="83" t="s">
        <v>420</v>
      </c>
      <c r="B111" s="386" t="str">
        <f>HYPERLINK("http://codeforces.com/contest/714/problem/B","CF714-D2-B")</f>
        <v>CF714-D2-B</v>
      </c>
      <c r="C111" s="159"/>
      <c r="D111" s="159"/>
      <c r="E111" s="159"/>
      <c r="F111" s="159"/>
      <c r="G111" s="159"/>
      <c r="H111" s="160"/>
      <c r="I111" s="57">
        <f t="shared" si="1"/>
        <v>0</v>
      </c>
      <c r="J111" s="62"/>
      <c r="K111" s="56"/>
      <c r="L111" s="159"/>
      <c r="M111" s="392" t="str">
        <f>HYPERLINK("https://www.youtube.com/watch?v=kUXDNSkFECM","Video Solution - SolverToBe (Java)")</f>
        <v>Video Solution - SolverToBe (Java)</v>
      </c>
      <c r="N111" s="259" t="s">
        <v>1217</v>
      </c>
      <c r="O111" s="259">
        <v>1</v>
      </c>
      <c r="P111" s="383">
        <v>2</v>
      </c>
    </row>
    <row r="112" spans="1:16" ht="13.2">
      <c r="A112" s="83" t="s">
        <v>450</v>
      </c>
      <c r="B112" s="386" t="str">
        <f>HYPERLINK("http://codeforces.com/contest/716/problem/B","CF716-D2-B")</f>
        <v>CF716-D2-B</v>
      </c>
      <c r="C112" s="159"/>
      <c r="D112" s="159"/>
      <c r="E112" s="159"/>
      <c r="F112" s="159"/>
      <c r="G112" s="159"/>
      <c r="H112" s="160"/>
      <c r="I112" s="57">
        <f t="shared" si="1"/>
        <v>0</v>
      </c>
      <c r="J112" s="62"/>
      <c r="K112" s="56"/>
      <c r="L112" s="159"/>
      <c r="M112" s="389" t="str">
        <f>HYPERLINK("https://www.youtube.com/watch?v=-Dh_FyJiJ9Q","Video Solution - Eng Yahia Ashraf")</f>
        <v>Video Solution - Eng Yahia Ashraf</v>
      </c>
      <c r="N112" s="259" t="s">
        <v>1217</v>
      </c>
      <c r="O112" s="259">
        <v>1</v>
      </c>
      <c r="P112" s="383">
        <v>2</v>
      </c>
    </row>
    <row r="113" spans="1:17" ht="13.2">
      <c r="A113" s="83" t="s">
        <v>389</v>
      </c>
      <c r="B113" s="386" t="str">
        <f>HYPERLINK("http://codeforces.com/contest/78/problem/B","CF78-D2-B")</f>
        <v>CF78-D2-B</v>
      </c>
      <c r="C113" s="159"/>
      <c r="D113" s="159"/>
      <c r="E113" s="159"/>
      <c r="F113" s="159"/>
      <c r="G113" s="159"/>
      <c r="H113" s="160"/>
      <c r="I113" s="57">
        <f t="shared" si="1"/>
        <v>0</v>
      </c>
      <c r="J113" s="62"/>
      <c r="K113" s="56"/>
      <c r="L113" s="159"/>
      <c r="M113" s="404"/>
      <c r="N113" s="259" t="s">
        <v>1217</v>
      </c>
      <c r="O113" s="259">
        <v>1</v>
      </c>
      <c r="P113" s="383">
        <v>2</v>
      </c>
    </row>
    <row r="114" spans="1:17" ht="13.2">
      <c r="A114" s="83" t="s">
        <v>452</v>
      </c>
      <c r="B114" s="386" t="str">
        <f>HYPERLINK("http://codeforces.com/contest/141/problem/B","CF141-D2-B")</f>
        <v>CF141-D2-B</v>
      </c>
      <c r="C114" s="159"/>
      <c r="D114" s="159"/>
      <c r="E114" s="159"/>
      <c r="F114" s="159"/>
      <c r="G114" s="159"/>
      <c r="H114" s="160"/>
      <c r="I114" s="57">
        <f t="shared" si="1"/>
        <v>0</v>
      </c>
      <c r="J114" s="62"/>
      <c r="K114" s="56"/>
      <c r="L114" s="159"/>
      <c r="M114" s="399"/>
      <c r="N114" s="259" t="s">
        <v>1217</v>
      </c>
      <c r="O114" s="259">
        <v>1</v>
      </c>
      <c r="P114" s="383">
        <v>2</v>
      </c>
    </row>
    <row r="115" spans="1:17" ht="13.2">
      <c r="A115" s="83" t="s">
        <v>441</v>
      </c>
      <c r="B115" s="386" t="str">
        <f>HYPERLINK("http://codeforces.com/contest/253/problem/B","CF253-D2-B")</f>
        <v>CF253-D2-B</v>
      </c>
      <c r="C115" s="159"/>
      <c r="D115" s="159"/>
      <c r="E115" s="159"/>
      <c r="F115" s="159"/>
      <c r="G115" s="159"/>
      <c r="H115" s="160"/>
      <c r="I115" s="57">
        <f t="shared" si="1"/>
        <v>0</v>
      </c>
      <c r="J115" s="62"/>
      <c r="K115" s="56"/>
      <c r="L115" s="159"/>
      <c r="M115" s="389" t="str">
        <f>HYPERLINK("https://www.youtube.com/watch?v=XRgCL-gVU7M&amp;feature=youtu.be","Video Solution - Eng Muntaser Abukadeja")</f>
        <v>Video Solution - Eng Muntaser Abukadeja</v>
      </c>
      <c r="N115" s="259" t="s">
        <v>1217</v>
      </c>
      <c r="O115" s="259">
        <v>1</v>
      </c>
      <c r="P115" s="383">
        <v>2</v>
      </c>
    </row>
    <row r="116" spans="1:17" ht="13.2">
      <c r="A116" s="83" t="s">
        <v>477</v>
      </c>
      <c r="B116" s="386" t="str">
        <f>HYPERLINK("http://codeforces.com/contest/276/problem/B","CF276-D2-B")</f>
        <v>CF276-D2-B</v>
      </c>
      <c r="C116" s="159"/>
      <c r="D116" s="159"/>
      <c r="E116" s="159"/>
      <c r="F116" s="159"/>
      <c r="G116" s="159"/>
      <c r="H116" s="160"/>
      <c r="I116" s="57">
        <f t="shared" si="1"/>
        <v>0</v>
      </c>
      <c r="J116" s="62"/>
      <c r="K116" s="56"/>
      <c r="L116" s="159"/>
      <c r="M116" s="389" t="str">
        <f>HYPERLINK("https://www.youtube.com/watch?v=oKRNtI-ZI5g&amp;feature=youtu.be","Video Solution - Eng Muntaser Abukadeja")</f>
        <v>Video Solution - Eng Muntaser Abukadeja</v>
      </c>
      <c r="N116" s="259" t="s">
        <v>1217</v>
      </c>
      <c r="O116" s="259">
        <v>1</v>
      </c>
      <c r="P116" s="383">
        <v>2</v>
      </c>
    </row>
    <row r="117" spans="1:17" ht="13.2">
      <c r="A117" s="83" t="s">
        <v>475</v>
      </c>
      <c r="B117" s="386" t="str">
        <f>HYPERLINK("http://codeforces.com/contest/282/problem/B","CF282-D2-B")</f>
        <v>CF282-D2-B</v>
      </c>
      <c r="C117" s="159"/>
      <c r="D117" s="159"/>
      <c r="E117" s="159"/>
      <c r="F117" s="159"/>
      <c r="G117" s="159"/>
      <c r="H117" s="160"/>
      <c r="I117" s="57">
        <f t="shared" si="1"/>
        <v>0</v>
      </c>
      <c r="J117" s="62"/>
      <c r="K117" s="56"/>
      <c r="L117" s="159"/>
      <c r="M117" s="389" t="str">
        <f>HYPERLINK("https://www.youtube.com/watch?v=aDDoryh3x_g","Video Solution - Eng Muntaser Abukadeja")</f>
        <v>Video Solution - Eng Muntaser Abukadeja</v>
      </c>
      <c r="N117" s="259" t="s">
        <v>1217</v>
      </c>
      <c r="O117" s="259">
        <v>1</v>
      </c>
      <c r="P117" s="383">
        <v>2</v>
      </c>
    </row>
    <row r="118" spans="1:17" ht="13.2">
      <c r="A118" s="83" t="s">
        <v>401</v>
      </c>
      <c r="B118" s="386" t="str">
        <f>HYPERLINK("http://codeforces.com/contest/363/problem/B","CF363-D2-B")</f>
        <v>CF363-D2-B</v>
      </c>
      <c r="C118" s="159"/>
      <c r="D118" s="159"/>
      <c r="E118" s="159"/>
      <c r="F118" s="159"/>
      <c r="G118" s="159"/>
      <c r="H118" s="160"/>
      <c r="I118" s="57">
        <f t="shared" si="1"/>
        <v>0</v>
      </c>
      <c r="J118" s="62"/>
      <c r="K118" s="56"/>
      <c r="L118" s="159"/>
      <c r="M118" s="389" t="str">
        <f>HYPERLINK("https://www.youtube.com/watch?v=lu6BhwVMNhw","Video Solution - Eng Mohamed Salah")</f>
        <v>Video Solution - Eng Mohamed Salah</v>
      </c>
      <c r="N118" s="259" t="s">
        <v>1217</v>
      </c>
      <c r="O118" s="259">
        <v>1</v>
      </c>
      <c r="P118" s="383">
        <v>2</v>
      </c>
    </row>
    <row r="119" spans="1:17" ht="13.2">
      <c r="A119" s="83" t="s">
        <v>453</v>
      </c>
      <c r="B119" s="386" t="str">
        <f>HYPERLINK("http://codeforces.com/contest/369/problem/B","CF369-D2-B")</f>
        <v>CF369-D2-B</v>
      </c>
      <c r="C119" s="159"/>
      <c r="D119" s="159"/>
      <c r="E119" s="159"/>
      <c r="F119" s="159"/>
      <c r="G119" s="159"/>
      <c r="H119" s="160"/>
      <c r="I119" s="57">
        <f t="shared" si="1"/>
        <v>0</v>
      </c>
      <c r="J119" s="62"/>
      <c r="K119" s="56"/>
      <c r="L119" s="159"/>
      <c r="M119" s="389" t="str">
        <f>HYPERLINK("https://www.youtube.com/watch?v=rJN_rI2xiV4","Video Solution - Eng Abanob Ashraf")</f>
        <v>Video Solution - Eng Abanob Ashraf</v>
      </c>
      <c r="N119" s="259" t="s">
        <v>1217</v>
      </c>
      <c r="O119" s="259">
        <v>1</v>
      </c>
      <c r="P119" s="383">
        <v>2</v>
      </c>
    </row>
    <row r="120" spans="1:17" ht="13.2">
      <c r="A120" s="83" t="s">
        <v>440</v>
      </c>
      <c r="B120" s="386" t="str">
        <f>HYPERLINK("http://codeforces.com/contest/514/problem/B","CF514-D2-B")</f>
        <v>CF514-D2-B</v>
      </c>
      <c r="C120" s="159"/>
      <c r="D120" s="159"/>
      <c r="E120" s="159"/>
      <c r="F120" s="159"/>
      <c r="G120" s="159"/>
      <c r="H120" s="160"/>
      <c r="I120" s="57">
        <f t="shared" si="1"/>
        <v>0</v>
      </c>
      <c r="J120" s="62"/>
      <c r="K120" s="56"/>
      <c r="L120" s="159"/>
      <c r="M120" s="402"/>
      <c r="N120" s="259" t="s">
        <v>1217</v>
      </c>
      <c r="O120" s="259">
        <v>1</v>
      </c>
      <c r="P120" s="383">
        <v>2</v>
      </c>
    </row>
    <row r="121" spans="1:17" ht="13.2">
      <c r="A121" s="83" t="s">
        <v>442</v>
      </c>
      <c r="B121" s="386" t="str">
        <f>HYPERLINK("http://codeforces.com/contest/520/problem/B","CF520-D2-B")</f>
        <v>CF520-D2-B</v>
      </c>
      <c r="C121" s="159"/>
      <c r="D121" s="159"/>
      <c r="E121" s="159"/>
      <c r="F121" s="159"/>
      <c r="G121" s="159"/>
      <c r="H121" s="160"/>
      <c r="I121" s="57">
        <f t="shared" si="1"/>
        <v>0</v>
      </c>
      <c r="J121" s="62"/>
      <c r="K121" s="56"/>
      <c r="L121" s="159"/>
      <c r="M121" s="389" t="str">
        <f>HYPERLINK("https://www.youtube.com/watch?v=ZR0IxC_xoFk","Video Solution - Eng Mohamed Salah")</f>
        <v>Video Solution - Eng Mohamed Salah</v>
      </c>
      <c r="N121" s="259" t="s">
        <v>1217</v>
      </c>
      <c r="O121" s="259">
        <v>1</v>
      </c>
      <c r="P121" s="383">
        <v>2</v>
      </c>
    </row>
    <row r="122" spans="1:17" ht="13.2">
      <c r="A122" s="83" t="s">
        <v>473</v>
      </c>
      <c r="B122" s="386" t="str">
        <f>HYPERLINK("http://codeforces.com/contest/535/problem/B","CF535-D2-B")</f>
        <v>CF535-D2-B</v>
      </c>
      <c r="C122" s="159"/>
      <c r="D122" s="159"/>
      <c r="E122" s="159"/>
      <c r="F122" s="159"/>
      <c r="G122" s="159"/>
      <c r="H122" s="160"/>
      <c r="I122" s="57">
        <f t="shared" si="1"/>
        <v>0</v>
      </c>
      <c r="J122" s="102"/>
      <c r="K122" s="101"/>
      <c r="L122" s="159"/>
      <c r="M122" s="389" t="str">
        <f>HYPERLINK("https://www.youtube.com/watch?v=WrpG_n0SrbY&amp;feature=youtu.be","Video Solution - Eng Hossam Yehia")</f>
        <v>Video Solution - Eng Hossam Yehia</v>
      </c>
      <c r="N122" s="259" t="s">
        <v>1217</v>
      </c>
      <c r="O122" s="259">
        <v>1</v>
      </c>
      <c r="P122" s="383">
        <v>2</v>
      </c>
    </row>
    <row r="123" spans="1:17" ht="13.2">
      <c r="A123" s="83" t="s">
        <v>455</v>
      </c>
      <c r="B123" s="386" t="str">
        <f>HYPERLINK("http://codeforces.com/contest/550/problem/B","CF550-D2-B")</f>
        <v>CF550-D2-B</v>
      </c>
      <c r="C123" s="159"/>
      <c r="D123" s="159"/>
      <c r="E123" s="159"/>
      <c r="F123" s="159"/>
      <c r="G123" s="159"/>
      <c r="H123" s="160"/>
      <c r="I123" s="57">
        <f t="shared" si="1"/>
        <v>0</v>
      </c>
      <c r="J123" s="62"/>
      <c r="K123" s="56"/>
      <c r="L123" s="62"/>
      <c r="M123" s="545"/>
      <c r="N123" s="259" t="s">
        <v>1217</v>
      </c>
      <c r="O123" s="259">
        <v>1</v>
      </c>
      <c r="P123" s="383">
        <v>2</v>
      </c>
    </row>
    <row r="124" spans="1:17" ht="13.2">
      <c r="A124" s="83" t="s">
        <v>403</v>
      </c>
      <c r="B124" s="386" t="str">
        <f>HYPERLINK("http://codeforces.com/contest/688/problem/B","CF688-D2-B")</f>
        <v>CF688-D2-B</v>
      </c>
      <c r="C124" s="159"/>
      <c r="D124" s="159"/>
      <c r="E124" s="159"/>
      <c r="F124" s="159"/>
      <c r="G124" s="159"/>
      <c r="H124" s="160"/>
      <c r="I124" s="57">
        <f t="shared" si="1"/>
        <v>0</v>
      </c>
      <c r="J124" s="62"/>
      <c r="K124" s="56"/>
      <c r="L124" s="159"/>
      <c r="M124" s="389" t="str">
        <f>HYPERLINK("https://www.youtube.com/watch?v=uwbfFMVMYBg&amp;feature=youtu.be","Video Solution - Eng Muntaser Abukadeja")</f>
        <v>Video Solution - Eng Muntaser Abukadeja</v>
      </c>
      <c r="N124" s="259" t="s">
        <v>1223</v>
      </c>
      <c r="O124" s="259">
        <v>1</v>
      </c>
      <c r="P124" s="383">
        <v>2</v>
      </c>
    </row>
    <row r="125" spans="1:17" ht="13.2">
      <c r="A125" s="83" t="s">
        <v>813</v>
      </c>
      <c r="B125" s="386" t="str">
        <f>HYPERLINK("http://codeforces.com/contest/719/problem/B","CF719-D2-B")</f>
        <v>CF719-D2-B</v>
      </c>
      <c r="C125" s="159"/>
      <c r="D125" s="159"/>
      <c r="E125" s="159"/>
      <c r="F125" s="159"/>
      <c r="G125" s="159"/>
      <c r="H125" s="160"/>
      <c r="I125" s="57">
        <f t="shared" si="1"/>
        <v>0</v>
      </c>
      <c r="J125" s="102"/>
      <c r="K125" s="101"/>
      <c r="L125" s="159"/>
      <c r="M125" s="389" t="str">
        <f>HYPERLINK("https://www.youtube.com/watch?v=1CHX-WYiQvA","Video Solution - Eng Yahia Ashraf")</f>
        <v>Video Solution - Eng Yahia Ashraf</v>
      </c>
      <c r="N125" s="259" t="s">
        <v>1217</v>
      </c>
      <c r="O125" s="259">
        <v>1</v>
      </c>
      <c r="P125" s="383">
        <v>2</v>
      </c>
    </row>
    <row r="126" spans="1:17" ht="13.2">
      <c r="A126" s="83" t="s">
        <v>390</v>
      </c>
      <c r="B126" s="386" t="str">
        <f>HYPERLINK("http://codeforces.com/contest/746/problem/B","CF746-D2-B")</f>
        <v>CF746-D2-B</v>
      </c>
      <c r="C126" s="159"/>
      <c r="D126" s="159"/>
      <c r="E126" s="159"/>
      <c r="F126" s="159"/>
      <c r="G126" s="159"/>
      <c r="H126" s="160"/>
      <c r="I126" s="57">
        <f t="shared" si="1"/>
        <v>0</v>
      </c>
      <c r="J126" s="62"/>
      <c r="K126" s="56"/>
      <c r="L126" s="159"/>
      <c r="M126" s="545"/>
      <c r="N126" s="259" t="s">
        <v>1217</v>
      </c>
      <c r="O126" s="259">
        <v>1</v>
      </c>
      <c r="P126" s="383">
        <v>2</v>
      </c>
      <c r="Q126" s="543"/>
    </row>
    <row r="127" spans="1:17" ht="13.2">
      <c r="A127" s="83" t="s">
        <v>454</v>
      </c>
      <c r="B127" s="386" t="str">
        <f>HYPERLINK("http://codeforces.com/contest/791/problem/B","CF791-D2-B")</f>
        <v>CF791-D2-B</v>
      </c>
      <c r="C127" s="159"/>
      <c r="D127" s="159"/>
      <c r="E127" s="159"/>
      <c r="F127" s="159"/>
      <c r="G127" s="159"/>
      <c r="H127" s="160"/>
      <c r="I127" s="57">
        <f t="shared" si="1"/>
        <v>0</v>
      </c>
      <c r="J127" s="62"/>
      <c r="K127" s="56"/>
      <c r="L127" s="62"/>
      <c r="M127" s="389" t="str">
        <f>HYPERLINK("https://www.youtube.com/watch?v=tMsOxSRU4Sk","Video Solution - Solver to be (Java)")</f>
        <v>Video Solution - Solver to be (Java)</v>
      </c>
      <c r="N127" s="259" t="s">
        <v>1217</v>
      </c>
      <c r="O127" s="259">
        <v>1</v>
      </c>
      <c r="P127" s="383">
        <v>2</v>
      </c>
    </row>
    <row r="128" spans="1:17" ht="13.2">
      <c r="A128" s="83" t="s">
        <v>217</v>
      </c>
      <c r="B128" s="386" t="str">
        <f>HYPERLINK("http://codeforces.com/contest/88/problem/B","CF88-D2-B")</f>
        <v>CF88-D2-B</v>
      </c>
      <c r="C128" s="159"/>
      <c r="D128" s="159"/>
      <c r="E128" s="159"/>
      <c r="F128" s="159"/>
      <c r="G128" s="159"/>
      <c r="H128" s="160"/>
      <c r="I128" s="57">
        <f t="shared" si="1"/>
        <v>0</v>
      </c>
      <c r="J128" s="62"/>
      <c r="K128" s="56"/>
      <c r="L128" s="159"/>
      <c r="M128" s="389" t="str">
        <f>HYPERLINK("https://www.youtube.com/watch?v=NPVp5BntYZ4","Video Solution - Eng Abanob Ashraf")</f>
        <v>Video Solution - Eng Abanob Ashraf</v>
      </c>
      <c r="N128" s="259" t="s">
        <v>1217</v>
      </c>
      <c r="O128" s="259">
        <v>1</v>
      </c>
      <c r="P128" s="383">
        <v>2</v>
      </c>
      <c r="Q128" s="543"/>
    </row>
    <row r="129" spans="1:17" ht="13.2">
      <c r="A129" s="83" t="s">
        <v>400</v>
      </c>
      <c r="B129" s="386" t="str">
        <f>HYPERLINK("http://codeforces.com/contest/433/problem/B","CF433-D2-B")</f>
        <v>CF433-D2-B</v>
      </c>
      <c r="C129" s="159"/>
      <c r="D129" s="159"/>
      <c r="E129" s="159"/>
      <c r="F129" s="159"/>
      <c r="G129" s="159"/>
      <c r="H129" s="160"/>
      <c r="I129" s="57">
        <f t="shared" si="1"/>
        <v>0</v>
      </c>
      <c r="J129" s="102"/>
      <c r="K129" s="101"/>
      <c r="L129" s="159"/>
      <c r="M129" s="392" t="str">
        <f>HYPERLINK("https://www.youtube.com/watch?v=o5fKByvQguE","Video Solution - SolverToBe (Java)")</f>
        <v>Video Solution - SolverToBe (Java)</v>
      </c>
      <c r="N129" s="406" t="s">
        <v>1217</v>
      </c>
      <c r="O129" s="406">
        <v>1</v>
      </c>
      <c r="P129" s="399">
        <v>2</v>
      </c>
    </row>
    <row r="130" spans="1:17" ht="13.2">
      <c r="A130" s="83" t="s">
        <v>639</v>
      </c>
      <c r="B130" s="386" t="str">
        <f>HYPERLINK("http://codeforces.com/contest/610/problem/B","CF610-D2-B")</f>
        <v>CF610-D2-B</v>
      </c>
      <c r="C130" s="159"/>
      <c r="D130" s="159"/>
      <c r="E130" s="159"/>
      <c r="F130" s="159"/>
      <c r="G130" s="159"/>
      <c r="H130" s="160"/>
      <c r="I130" s="57">
        <f t="shared" si="1"/>
        <v>0</v>
      </c>
      <c r="J130" s="102"/>
      <c r="K130" s="101"/>
      <c r="L130" s="159"/>
      <c r="M130" s="389" t="str">
        <f>HYPERLINK("https://www.youtube.com/watch?v=sy_g77hnbaA","Video Solution - Solver to be (Java)")</f>
        <v>Video Solution - Solver to be (Java)</v>
      </c>
      <c r="N130" s="406" t="s">
        <v>1217</v>
      </c>
      <c r="O130" s="406">
        <v>1</v>
      </c>
      <c r="P130" s="399">
        <v>2</v>
      </c>
    </row>
    <row r="131" spans="1:17" ht="13.2">
      <c r="A131" s="83"/>
      <c r="B131" s="143" t="str">
        <f>HYPERLINK("https://codeforces.com/contest/1237/problem/B","CF1237-D12-B")</f>
        <v>CF1237-D12-B</v>
      </c>
      <c r="C131" s="159"/>
      <c r="D131" s="159"/>
      <c r="E131" s="159"/>
      <c r="F131" s="159"/>
      <c r="G131" s="159"/>
      <c r="H131" s="160"/>
      <c r="I131" s="57">
        <f t="shared" si="1"/>
        <v>0</v>
      </c>
      <c r="J131" s="102"/>
      <c r="K131" s="101"/>
      <c r="L131" s="159"/>
      <c r="M131" s="395"/>
      <c r="N131" s="406" t="s">
        <v>1217</v>
      </c>
      <c r="O131" s="406">
        <v>1</v>
      </c>
      <c r="P131" s="399">
        <v>2</v>
      </c>
      <c r="Q131" s="543"/>
    </row>
    <row r="132" spans="1:17" ht="13.2">
      <c r="A132" s="83" t="s">
        <v>727</v>
      </c>
      <c r="B132" s="386" t="str">
        <f>HYPERLINK("http://codeforces.com/contest/740/problem/C","CF740-D2-C")</f>
        <v>CF740-D2-C</v>
      </c>
      <c r="C132" s="159"/>
      <c r="D132" s="159"/>
      <c r="E132" s="159"/>
      <c r="F132" s="159"/>
      <c r="G132" s="159"/>
      <c r="H132" s="160"/>
      <c r="I132" s="57">
        <f t="shared" si="1"/>
        <v>0</v>
      </c>
      <c r="J132" s="62"/>
      <c r="K132" s="56"/>
      <c r="L132" s="159"/>
      <c r="M132" s="389" t="str">
        <f>HYPERLINK("https://www.youtube.com/watch?v=FI5HvI9SQtA","Video Solution - Solver to be (Java)")</f>
        <v>Video Solution - Solver to be (Java)</v>
      </c>
      <c r="N132" s="406" t="s">
        <v>1217</v>
      </c>
      <c r="O132" s="406">
        <v>1</v>
      </c>
      <c r="P132" s="383">
        <v>2</v>
      </c>
      <c r="Q132" s="37" t="s">
        <v>1224</v>
      </c>
    </row>
    <row r="133" spans="1:17" ht="13.2">
      <c r="A133" s="83"/>
      <c r="B133" s="386" t="str">
        <f>HYPERLINK("https://uva.onlinejudge.org/index.php?option=onlinejudge&amp;page=show_problem&amp;problem=1994","UVA 11053")</f>
        <v>UVA 11053</v>
      </c>
      <c r="C133" s="159"/>
      <c r="D133" s="159"/>
      <c r="E133" s="159"/>
      <c r="F133" s="159"/>
      <c r="G133" s="159"/>
      <c r="H133" s="160"/>
      <c r="I133" s="57">
        <f t="shared" si="1"/>
        <v>0</v>
      </c>
      <c r="J133" s="62"/>
      <c r="K133" s="56"/>
      <c r="L133" s="159"/>
      <c r="M133" s="389" t="str">
        <f>HYPERLINK("https://www.youtube.com/watch?v=3tVJoeUE0Ag&amp;feature=youtu.be","Video Solution - Eng Mohamed Salah")</f>
        <v>Video Solution - Eng Mohamed Salah</v>
      </c>
      <c r="N133" s="406" t="s">
        <v>1217</v>
      </c>
      <c r="O133" s="406">
        <v>1</v>
      </c>
      <c r="P133" s="383">
        <v>2</v>
      </c>
      <c r="Q133" s="543"/>
    </row>
    <row r="134" spans="1:17" ht="13.2">
      <c r="A134" s="265" t="s">
        <v>741</v>
      </c>
      <c r="B134" s="386" t="str">
        <f>HYPERLINK("http://codeforces.com/contest/816/problem/B","CF816-D2-B")</f>
        <v>CF816-D2-B</v>
      </c>
      <c r="C134" s="159"/>
      <c r="D134" s="159"/>
      <c r="E134" s="159"/>
      <c r="F134" s="159"/>
      <c r="G134" s="159"/>
      <c r="H134" s="160"/>
      <c r="I134" s="57">
        <f t="shared" si="1"/>
        <v>0</v>
      </c>
      <c r="J134" s="102"/>
      <c r="K134" s="101"/>
      <c r="L134" s="159"/>
      <c r="M134" s="389" t="str">
        <f>HYPERLINK("https://www.youtube.com/watch?v=IlM9o1-xgE4&amp;feature=youtu.be","Video Solution - Eng Muntaser Abukadeja")</f>
        <v>Video Solution - Eng Muntaser Abukadeja</v>
      </c>
      <c r="N134" s="406" t="s">
        <v>1217</v>
      </c>
      <c r="O134" s="406">
        <v>1</v>
      </c>
      <c r="P134" s="399">
        <v>2</v>
      </c>
      <c r="Q134" s="37" t="s">
        <v>1224</v>
      </c>
    </row>
    <row r="135" spans="1:17" ht="13.2">
      <c r="A135" s="83"/>
      <c r="B135" s="386" t="str">
        <f>HYPERLINK("http://codeforces.com/contest/1043/problem/C","CF1043-D12-C")</f>
        <v>CF1043-D12-C</v>
      </c>
      <c r="C135" s="159"/>
      <c r="D135" s="159"/>
      <c r="E135" s="159"/>
      <c r="F135" s="159"/>
      <c r="G135" s="159"/>
      <c r="H135" s="160"/>
      <c r="I135" s="57">
        <f t="shared" ref="I135:I198" si="2">SUM(E135:H135)</f>
        <v>0</v>
      </c>
      <c r="J135" s="102"/>
      <c r="K135" s="101"/>
      <c r="L135" s="159"/>
      <c r="M135" s="545"/>
      <c r="N135" s="383" t="s">
        <v>1225</v>
      </c>
      <c r="O135" s="383">
        <v>1</v>
      </c>
      <c r="P135" s="406">
        <v>2</v>
      </c>
      <c r="Q135" s="543"/>
    </row>
    <row r="136" spans="1:17" ht="13.2">
      <c r="A136" s="83"/>
      <c r="B136" s="386" t="str">
        <f>HYPERLINK("http://codeforces.com/contest/1075/problem/C","CF1075-D2-C")</f>
        <v>CF1075-D2-C</v>
      </c>
      <c r="C136" s="159"/>
      <c r="D136" s="159"/>
      <c r="E136" s="159"/>
      <c r="F136" s="159"/>
      <c r="G136" s="159"/>
      <c r="H136" s="160"/>
      <c r="I136" s="57">
        <f t="shared" si="2"/>
        <v>0</v>
      </c>
      <c r="J136" s="62"/>
      <c r="K136" s="56"/>
      <c r="L136" s="96"/>
      <c r="M136" s="218"/>
      <c r="N136" s="383" t="s">
        <v>1225</v>
      </c>
      <c r="O136" s="383">
        <v>1</v>
      </c>
      <c r="P136" s="406">
        <v>2</v>
      </c>
      <c r="Q136" s="543"/>
    </row>
    <row r="137" spans="1:17" ht="13.2">
      <c r="A137" s="83"/>
      <c r="B137" s="143" t="str">
        <f>HYPERLINK("https://codeforces.com/contest/1237/problem/C2","CF1237-D12-C2")</f>
        <v>CF1237-D12-C2</v>
      </c>
      <c r="C137" s="159"/>
      <c r="D137" s="159"/>
      <c r="E137" s="159"/>
      <c r="F137" s="159"/>
      <c r="G137" s="159"/>
      <c r="H137" s="160"/>
      <c r="I137" s="57">
        <f t="shared" si="2"/>
        <v>0</v>
      </c>
      <c r="J137" s="62"/>
      <c r="K137" s="56"/>
      <c r="L137" s="96"/>
      <c r="M137" s="398" t="str">
        <f>HYPERLINK("https://www.youtube.com/watch?v=WX7rIgcgnBs","Video Solution - Eng Mohamed Nasser")</f>
        <v>Video Solution - Eng Mohamed Nasser</v>
      </c>
      <c r="N137" s="383" t="s">
        <v>1246</v>
      </c>
      <c r="O137" s="383">
        <v>2</v>
      </c>
      <c r="P137" s="383">
        <v>2</v>
      </c>
      <c r="Q137" s="543"/>
    </row>
    <row r="138" spans="1:17" ht="13.2">
      <c r="A138" s="83" t="s">
        <v>812</v>
      </c>
      <c r="B138" s="386" t="str">
        <f>HYPERLINK("http://codeforces.com/contest/776/problem/C","CF776-D2-C")</f>
        <v>CF776-D2-C</v>
      </c>
      <c r="C138" s="159"/>
      <c r="D138" s="159"/>
      <c r="E138" s="159"/>
      <c r="F138" s="159"/>
      <c r="G138" s="159"/>
      <c r="H138" s="160"/>
      <c r="I138" s="57">
        <f t="shared" si="2"/>
        <v>0</v>
      </c>
      <c r="J138" s="102"/>
      <c r="K138" s="101"/>
      <c r="L138" s="159"/>
      <c r="M138" s="395"/>
      <c r="N138" s="383" t="s">
        <v>1252</v>
      </c>
      <c r="O138" s="383">
        <v>5</v>
      </c>
      <c r="P138" s="406">
        <v>2</v>
      </c>
      <c r="Q138" s="543"/>
    </row>
    <row r="139" spans="1:17" ht="13.2">
      <c r="A139" s="83" t="s">
        <v>783</v>
      </c>
      <c r="B139" s="386" t="str">
        <f>HYPERLINK("http://codeforces.com/contest/466/problem/C","CF466-D2-C")</f>
        <v>CF466-D2-C</v>
      </c>
      <c r="C139" s="159"/>
      <c r="D139" s="159"/>
      <c r="E139" s="159"/>
      <c r="F139" s="159"/>
      <c r="G139" s="159"/>
      <c r="H139" s="160"/>
      <c r="I139" s="57">
        <f t="shared" si="2"/>
        <v>0</v>
      </c>
      <c r="J139" s="62"/>
      <c r="K139" s="56"/>
      <c r="L139" s="159"/>
      <c r="M139" s="399"/>
      <c r="N139" s="383" t="s">
        <v>1252</v>
      </c>
      <c r="O139" s="383">
        <v>5</v>
      </c>
      <c r="P139" s="406">
        <v>2</v>
      </c>
      <c r="Q139" s="543"/>
    </row>
    <row r="140" spans="1:17" ht="13.2">
      <c r="A140" s="83"/>
      <c r="B140" s="83" t="s">
        <v>778</v>
      </c>
      <c r="C140" s="159"/>
      <c r="D140" s="159"/>
      <c r="E140" s="159"/>
      <c r="F140" s="159"/>
      <c r="G140" s="159"/>
      <c r="H140" s="160"/>
      <c r="I140" s="57">
        <f t="shared" si="2"/>
        <v>0</v>
      </c>
      <c r="J140" s="62"/>
      <c r="K140" s="56"/>
      <c r="L140" s="159"/>
      <c r="M140" s="389" t="str">
        <f>HYPERLINK("https://www.youtube.com/watch?v=si51JINxbpk&amp;feature=youtu.be","Video Solution - Eng Abanob Ashraf")</f>
        <v>Video Solution - Eng Abanob Ashraf</v>
      </c>
      <c r="N140" s="406" t="s">
        <v>1252</v>
      </c>
      <c r="O140" s="406">
        <v>5</v>
      </c>
      <c r="P140" s="383">
        <v>2</v>
      </c>
      <c r="Q140" s="543"/>
    </row>
    <row r="141" spans="1:17" ht="13.2">
      <c r="A141" s="83"/>
      <c r="B141" s="83" t="s">
        <v>645</v>
      </c>
      <c r="C141" s="159"/>
      <c r="D141" s="159"/>
      <c r="E141" s="159"/>
      <c r="F141" s="159"/>
      <c r="G141" s="159"/>
      <c r="H141" s="160"/>
      <c r="I141" s="57">
        <f t="shared" si="2"/>
        <v>0</v>
      </c>
      <c r="J141" s="62"/>
      <c r="K141" s="56"/>
      <c r="L141" s="159"/>
      <c r="M141" s="192" t="str">
        <f>HYPERLINK("https://www.youtube.com/watch?v=VZ7kCc80C6o&amp;feature=youtu.be","Video Solution - Eng Magdy Hasan")</f>
        <v>Video Solution - Eng Magdy Hasan</v>
      </c>
      <c r="N141" s="383" t="s">
        <v>1390</v>
      </c>
      <c r="O141" s="383">
        <v>45</v>
      </c>
      <c r="P141" s="383">
        <v>2</v>
      </c>
      <c r="Q141" s="37" t="s">
        <v>1220</v>
      </c>
    </row>
    <row r="142" spans="1:17" ht="13.2">
      <c r="A142" s="83"/>
      <c r="B142" s="83" t="s">
        <v>725</v>
      </c>
      <c r="C142" s="159"/>
      <c r="D142" s="159"/>
      <c r="E142" s="159"/>
      <c r="F142" s="159"/>
      <c r="G142" s="159"/>
      <c r="H142" s="160"/>
      <c r="I142" s="57">
        <f t="shared" si="2"/>
        <v>0</v>
      </c>
      <c r="J142" s="96"/>
      <c r="K142" s="159"/>
      <c r="L142" s="159"/>
      <c r="M142" s="395" t="str">
        <f>HYPERLINK("https://github.com/MeGaCrazy/CompetitiveProgramming/blob/c099628e643065a7bae09af22c4cbce1216e4db9/UVA/UVA_453.cpp","Learn Handling Precisions")</f>
        <v>Learn Handling Precisions</v>
      </c>
      <c r="N142" s="383" t="s">
        <v>1416</v>
      </c>
      <c r="O142" s="383">
        <v>47</v>
      </c>
      <c r="P142" s="383">
        <v>2</v>
      </c>
      <c r="Q142" s="37"/>
    </row>
    <row r="143" spans="1:17" ht="13.2">
      <c r="A143" s="83" t="s">
        <v>1047</v>
      </c>
      <c r="B143" s="386" t="str">
        <f>HYPERLINK("http://codeforces.com/contest/194/problem/C","CF194-D2-C")</f>
        <v>CF194-D2-C</v>
      </c>
      <c r="C143" s="159"/>
      <c r="D143" s="159"/>
      <c r="E143" s="159"/>
      <c r="F143" s="159"/>
      <c r="G143" s="159"/>
      <c r="H143" s="160"/>
      <c r="I143" s="57">
        <f t="shared" si="2"/>
        <v>0</v>
      </c>
      <c r="J143" s="102"/>
      <c r="K143" s="101"/>
      <c r="L143" s="159"/>
      <c r="M143" s="403" t="str">
        <f>HYPERLINK("https://github.com/MeGaCrazy/CompetitiveProgramming/blob/29ebad1d90e70a17ac4e646e5f049b980fb777de/UVA/UVA_12748.cpp","Sol")</f>
        <v>Sol</v>
      </c>
      <c r="N143" s="383" t="s">
        <v>1417</v>
      </c>
      <c r="O143" s="383">
        <v>47</v>
      </c>
      <c r="P143" s="383">
        <v>2</v>
      </c>
    </row>
    <row r="144" spans="1:17" ht="13.2">
      <c r="A144" s="83" t="s">
        <v>670</v>
      </c>
      <c r="B144" s="386" t="str">
        <f>HYPERLINK("http://codeforces.com/contest/822/problem/C","CF822-D2-C")</f>
        <v>CF822-D2-C</v>
      </c>
      <c r="C144" s="159"/>
      <c r="D144" s="159"/>
      <c r="E144" s="159"/>
      <c r="F144" s="159"/>
      <c r="G144" s="159"/>
      <c r="H144" s="160"/>
      <c r="I144" s="57">
        <f t="shared" si="2"/>
        <v>0</v>
      </c>
      <c r="J144" s="62"/>
      <c r="K144" s="56"/>
      <c r="L144" s="159"/>
      <c r="M144" s="404"/>
      <c r="N144" s="383" t="s">
        <v>1439</v>
      </c>
      <c r="O144" s="383">
        <v>49</v>
      </c>
      <c r="P144" s="383">
        <v>2</v>
      </c>
    </row>
    <row r="145" spans="1:17" ht="13.2">
      <c r="A145" s="83" t="s">
        <v>577</v>
      </c>
      <c r="B145" s="386" t="str">
        <f>HYPERLINK("http://codeforces.com/contest/296/problem/C","CF296-D2-C")</f>
        <v>CF296-D2-C</v>
      </c>
      <c r="C145" s="159"/>
      <c r="D145" s="159"/>
      <c r="E145" s="159"/>
      <c r="F145" s="159"/>
      <c r="G145" s="159"/>
      <c r="H145" s="160"/>
      <c r="I145" s="57">
        <f t="shared" si="2"/>
        <v>0</v>
      </c>
      <c r="J145" s="102"/>
      <c r="K145" s="101"/>
      <c r="L145" s="159"/>
      <c r="M145" s="395" t="str">
        <f>HYPERLINK("https://www.youtube.com/watch?v=-nRiMjHEIUg","Video Solution - Eng Mohamed Nasser")</f>
        <v>Video Solution - Eng Mohamed Nasser</v>
      </c>
      <c r="N145" s="383" t="s">
        <v>1491</v>
      </c>
      <c r="O145" s="383">
        <v>61</v>
      </c>
      <c r="P145" s="383">
        <v>2</v>
      </c>
    </row>
    <row r="146" spans="1:17" ht="13.2">
      <c r="A146" s="83"/>
      <c r="B146" s="386" t="str">
        <f>HYPERLINK("https://codeforces.com/contest/1066/problem/E","CF1066-D3-E")</f>
        <v>CF1066-D3-E</v>
      </c>
      <c r="C146" s="159"/>
      <c r="D146" s="159"/>
      <c r="E146" s="159"/>
      <c r="F146" s="159"/>
      <c r="G146" s="159"/>
      <c r="H146" s="160"/>
      <c r="I146" s="57">
        <f t="shared" si="2"/>
        <v>0</v>
      </c>
      <c r="J146" s="102"/>
      <c r="K146" s="101"/>
      <c r="L146" s="159"/>
      <c r="M146" s="77" t="str">
        <f>HYPERLINK("https://www.youtube.com/watch?v=Rmi_2e6gt5M","Video Solution - Eng Yahia Ashraf")</f>
        <v>Video Solution - Eng Yahia Ashraf</v>
      </c>
      <c r="N146" s="383" t="s">
        <v>1495</v>
      </c>
      <c r="O146" s="383">
        <v>63</v>
      </c>
      <c r="P146" s="383">
        <v>2</v>
      </c>
      <c r="Q146" s="543"/>
    </row>
    <row r="147" spans="1:17" ht="13.2">
      <c r="A147" s="166" t="s">
        <v>733</v>
      </c>
      <c r="B147" s="71" t="str">
        <f>HYPERLINK("https://codeforces.com/contest/1206/problem/C","CF1206-D2-C")</f>
        <v>CF1206-D2-C</v>
      </c>
      <c r="C147" s="159"/>
      <c r="D147" s="159"/>
      <c r="E147" s="159"/>
      <c r="F147" s="159"/>
      <c r="G147" s="159"/>
      <c r="H147" s="160"/>
      <c r="I147" s="57">
        <f t="shared" si="2"/>
        <v>0</v>
      </c>
      <c r="J147" s="62"/>
      <c r="K147" s="56"/>
      <c r="L147" s="29"/>
      <c r="M147" s="545"/>
      <c r="N147" s="383" t="s">
        <v>1507</v>
      </c>
      <c r="O147" s="383">
        <v>65</v>
      </c>
      <c r="P147" s="383">
        <v>2</v>
      </c>
      <c r="Q147" s="543"/>
    </row>
    <row r="148" spans="1:17" ht="13.2">
      <c r="A148" s="83" t="s">
        <v>901</v>
      </c>
      <c r="B148" s="386" t="str">
        <f>HYPERLINK("http://codeforces.com/contest/189/problem/C","CF189-D2-C")</f>
        <v>CF189-D2-C</v>
      </c>
      <c r="C148" s="159"/>
      <c r="D148" s="159"/>
      <c r="E148" s="159"/>
      <c r="F148" s="159"/>
      <c r="G148" s="159"/>
      <c r="H148" s="160"/>
      <c r="I148" s="57">
        <f t="shared" si="2"/>
        <v>0</v>
      </c>
      <c r="J148" s="62"/>
      <c r="K148" s="56"/>
      <c r="L148" s="405"/>
      <c r="M148" s="389" t="str">
        <f>HYPERLINK("https://www.youtube.com/watch?v=cFqla_dXSBs","Video Solution - Solver to be (Java)")</f>
        <v>Video Solution - Solver to be (Java)</v>
      </c>
      <c r="N148" s="383" t="s">
        <v>1552</v>
      </c>
      <c r="O148" s="383">
        <v>84</v>
      </c>
      <c r="P148" s="406">
        <v>2</v>
      </c>
      <c r="Q148" s="37" t="s">
        <v>1224</v>
      </c>
    </row>
    <row r="149" spans="1:17" ht="13.2">
      <c r="A149" s="83"/>
      <c r="B149" s="83" t="s">
        <v>646</v>
      </c>
      <c r="C149" s="159"/>
      <c r="D149" s="159"/>
      <c r="E149" s="159"/>
      <c r="F149" s="159"/>
      <c r="G149" s="159"/>
      <c r="H149" s="160"/>
      <c r="I149" s="57">
        <f t="shared" si="2"/>
        <v>0</v>
      </c>
      <c r="J149" s="62"/>
      <c r="K149" s="56"/>
      <c r="L149" s="159"/>
      <c r="M149" s="229"/>
      <c r="N149" s="383" t="s">
        <v>1552</v>
      </c>
      <c r="O149" s="383">
        <v>84</v>
      </c>
      <c r="P149" s="406">
        <v>2</v>
      </c>
      <c r="Q149" s="543"/>
    </row>
    <row r="150" spans="1:17" ht="13.2">
      <c r="A150" s="83" t="s">
        <v>894</v>
      </c>
      <c r="B150" s="386" t="str">
        <f>HYPERLINK("http://codeforces.com/contest/808/problem/D","CF808-D2-D")</f>
        <v>CF808-D2-D</v>
      </c>
      <c r="C150" s="159"/>
      <c r="D150" s="159"/>
      <c r="E150" s="159"/>
      <c r="F150" s="159"/>
      <c r="G150" s="159"/>
      <c r="H150" s="160"/>
      <c r="I150" s="57">
        <f t="shared" si="2"/>
        <v>0</v>
      </c>
      <c r="J150" s="62"/>
      <c r="K150" s="56"/>
      <c r="L150" s="159"/>
      <c r="M150" s="395"/>
      <c r="N150" s="383" t="s">
        <v>1552</v>
      </c>
      <c r="O150" s="383">
        <v>84</v>
      </c>
      <c r="P150" s="406">
        <v>2</v>
      </c>
      <c r="Q150" s="543"/>
    </row>
    <row r="151" spans="1:17" ht="13.2">
      <c r="A151" s="83" t="s">
        <v>758</v>
      </c>
      <c r="B151" s="386" t="str">
        <f>HYPERLINK("http://codeforces.com/contest/124/problem/C","CF124-D2-C")</f>
        <v>CF124-D2-C</v>
      </c>
      <c r="C151" s="159"/>
      <c r="D151" s="159"/>
      <c r="E151" s="159"/>
      <c r="F151" s="159"/>
      <c r="G151" s="159"/>
      <c r="H151" s="160"/>
      <c r="I151" s="57">
        <f t="shared" si="2"/>
        <v>0</v>
      </c>
      <c r="J151" s="102"/>
      <c r="K151" s="101"/>
      <c r="L151" s="96"/>
      <c r="M151" s="395"/>
      <c r="N151" s="418" t="s">
        <v>1552</v>
      </c>
      <c r="O151" s="418">
        <v>84</v>
      </c>
      <c r="P151" s="406">
        <v>2</v>
      </c>
    </row>
    <row r="152" spans="1:17" ht="13.2">
      <c r="A152" s="83" t="s">
        <v>763</v>
      </c>
      <c r="B152" s="386" t="str">
        <f>HYPERLINK("http://codeforces.com/contest/195/problem/C","CF195-D2-C")</f>
        <v>CF195-D2-C</v>
      </c>
      <c r="C152" s="159"/>
      <c r="D152" s="159"/>
      <c r="E152" s="159"/>
      <c r="F152" s="159"/>
      <c r="G152" s="159"/>
      <c r="H152" s="160"/>
      <c r="I152" s="57">
        <f t="shared" si="2"/>
        <v>0</v>
      </c>
      <c r="J152" s="62"/>
      <c r="K152" s="56"/>
      <c r="L152" s="96"/>
      <c r="M152" s="545"/>
      <c r="N152" s="383" t="s">
        <v>1593</v>
      </c>
      <c r="O152" s="383">
        <v>86</v>
      </c>
      <c r="P152" s="406">
        <v>2</v>
      </c>
    </row>
    <row r="153" spans="1:17" ht="13.2">
      <c r="A153" s="83" t="s">
        <v>1103</v>
      </c>
      <c r="B153" s="386" t="str">
        <f>HYPERLINK("http://codeforces.com/contest/59/problem/C","CF59-D2-C")</f>
        <v>CF59-D2-C</v>
      </c>
      <c r="C153" s="159"/>
      <c r="D153" s="159"/>
      <c r="E153" s="159"/>
      <c r="F153" s="159"/>
      <c r="G153" s="159"/>
      <c r="H153" s="160"/>
      <c r="I153" s="57">
        <f t="shared" si="2"/>
        <v>0</v>
      </c>
      <c r="J153" s="102"/>
      <c r="K153" s="101"/>
      <c r="L153" s="405"/>
      <c r="M153" s="401"/>
      <c r="N153" s="383" t="s">
        <v>1593</v>
      </c>
      <c r="O153" s="383">
        <v>86</v>
      </c>
      <c r="P153" s="406">
        <v>2</v>
      </c>
    </row>
    <row r="154" spans="1:17" ht="13.2">
      <c r="A154" s="83"/>
      <c r="B154" s="386" t="str">
        <f>HYPERLINK("http://codeforces.com/contest/309/problem/C","CF309-D1-C")</f>
        <v>CF309-D1-C</v>
      </c>
      <c r="C154" s="159"/>
      <c r="D154" s="159"/>
      <c r="E154" s="159"/>
      <c r="F154" s="159"/>
      <c r="G154" s="159"/>
      <c r="H154" s="160"/>
      <c r="I154" s="57">
        <f t="shared" si="2"/>
        <v>0</v>
      </c>
      <c r="J154" s="62"/>
      <c r="K154" s="56"/>
      <c r="L154" s="159"/>
      <c r="M154" s="404"/>
      <c r="N154" s="383" t="s">
        <v>1593</v>
      </c>
      <c r="O154" s="383">
        <v>86</v>
      </c>
      <c r="P154" s="406">
        <v>2</v>
      </c>
      <c r="Q154" s="543"/>
    </row>
    <row r="155" spans="1:17" ht="13.2">
      <c r="A155" s="83"/>
      <c r="B155" s="83" t="s">
        <v>891</v>
      </c>
      <c r="C155" s="159"/>
      <c r="D155" s="159"/>
      <c r="E155" s="159"/>
      <c r="F155" s="159"/>
      <c r="G155" s="159"/>
      <c r="H155" s="160"/>
      <c r="I155" s="57">
        <f t="shared" si="2"/>
        <v>0</v>
      </c>
      <c r="J155" s="62"/>
      <c r="K155" s="56"/>
      <c r="L155" s="159"/>
      <c r="M155" s="545"/>
      <c r="N155" s="383" t="s">
        <v>1593</v>
      </c>
      <c r="O155" s="383">
        <v>86</v>
      </c>
      <c r="P155" s="406">
        <v>2</v>
      </c>
      <c r="Q155" s="543"/>
    </row>
    <row r="156" spans="1:17" ht="13.2">
      <c r="A156" s="83" t="s">
        <v>1181</v>
      </c>
      <c r="B156" s="386" t="str">
        <f>HYPERLINK("http://codeforces.com/contest/122/problem/D","CF122-D2-D")</f>
        <v>CF122-D2-D</v>
      </c>
      <c r="C156" s="159"/>
      <c r="D156" s="159"/>
      <c r="E156" s="159"/>
      <c r="F156" s="159"/>
      <c r="G156" s="159"/>
      <c r="H156" s="160"/>
      <c r="I156" s="57">
        <f t="shared" si="2"/>
        <v>0</v>
      </c>
      <c r="J156" s="62"/>
      <c r="K156" s="56"/>
      <c r="L156" s="405"/>
      <c r="M156" s="404"/>
      <c r="N156" s="383" t="s">
        <v>1593</v>
      </c>
      <c r="O156" s="383">
        <v>86</v>
      </c>
      <c r="P156" s="406">
        <v>2</v>
      </c>
      <c r="Q156" s="543"/>
    </row>
    <row r="157" spans="1:17" ht="13.2">
      <c r="A157" s="83"/>
      <c r="B157" s="83" t="s">
        <v>1022</v>
      </c>
      <c r="C157" s="159"/>
      <c r="D157" s="159"/>
      <c r="E157" s="159"/>
      <c r="F157" s="159"/>
      <c r="G157" s="159"/>
      <c r="H157" s="160"/>
      <c r="I157" s="57">
        <f t="shared" si="2"/>
        <v>0</v>
      </c>
      <c r="J157" s="96"/>
      <c r="K157" s="159"/>
      <c r="L157" s="405"/>
      <c r="M157" s="404"/>
      <c r="N157" s="383" t="s">
        <v>1593</v>
      </c>
      <c r="O157" s="383">
        <v>86</v>
      </c>
      <c r="P157" s="406">
        <v>2</v>
      </c>
      <c r="Q157" s="37" t="s">
        <v>1224</v>
      </c>
    </row>
    <row r="158" spans="1:17" ht="13.2">
      <c r="A158" s="83"/>
      <c r="B158" s="386" t="str">
        <f>HYPERLINK("https://www.codechef.com/LTIME64B/problems/OPPOSITE", "CODECHEF OPPOSITE")</f>
        <v>CODECHEF OPPOSITE</v>
      </c>
      <c r="C158" s="159"/>
      <c r="D158" s="159"/>
      <c r="E158" s="159"/>
      <c r="F158" s="159"/>
      <c r="G158" s="159"/>
      <c r="H158" s="160"/>
      <c r="I158" s="57">
        <f t="shared" si="2"/>
        <v>0</v>
      </c>
      <c r="J158" s="62"/>
      <c r="K158" s="56"/>
      <c r="L158" s="159"/>
      <c r="M158" s="404"/>
      <c r="N158" s="383" t="s">
        <v>1593</v>
      </c>
      <c r="O158" s="383">
        <v>86</v>
      </c>
      <c r="P158" s="406">
        <v>2</v>
      </c>
      <c r="Q158" s="543"/>
    </row>
    <row r="159" spans="1:17" ht="13.2">
      <c r="A159" s="83"/>
      <c r="B159" s="83" t="s">
        <v>820</v>
      </c>
      <c r="C159" s="159"/>
      <c r="D159" s="159"/>
      <c r="E159" s="159"/>
      <c r="F159" s="159"/>
      <c r="G159" s="159"/>
      <c r="H159" s="160"/>
      <c r="I159" s="57">
        <f t="shared" si="2"/>
        <v>0</v>
      </c>
      <c r="J159" s="102"/>
      <c r="K159" s="101"/>
      <c r="L159" s="159"/>
      <c r="M159" s="404"/>
      <c r="N159" s="383" t="s">
        <v>1593</v>
      </c>
      <c r="O159" s="383">
        <v>86</v>
      </c>
      <c r="P159" s="406">
        <v>2</v>
      </c>
      <c r="Q159" s="543"/>
    </row>
    <row r="160" spans="1:17" ht="13.2">
      <c r="A160" s="83" t="s">
        <v>1154</v>
      </c>
      <c r="B160" s="386" t="str">
        <f>HYPERLINK("http://codeforces.com/contest/298/problem/D","CF298-D2-D")</f>
        <v>CF298-D2-D</v>
      </c>
      <c r="C160" s="159"/>
      <c r="D160" s="159"/>
      <c r="E160" s="159"/>
      <c r="F160" s="159"/>
      <c r="G160" s="159"/>
      <c r="H160" s="160"/>
      <c r="I160" s="57">
        <f t="shared" si="2"/>
        <v>0</v>
      </c>
      <c r="J160" s="62"/>
      <c r="K160" s="56"/>
      <c r="L160" s="405"/>
      <c r="M160" s="404"/>
      <c r="N160" s="383" t="s">
        <v>1593</v>
      </c>
      <c r="O160" s="383">
        <v>86</v>
      </c>
      <c r="P160" s="406">
        <v>2</v>
      </c>
    </row>
    <row r="161" spans="1:17" ht="13.2">
      <c r="A161" s="83" t="s">
        <v>865</v>
      </c>
      <c r="B161" s="386" t="str">
        <f>HYPERLINK("http://codeforces.com/contest/63/problem/D","CF63-D2-D")</f>
        <v>CF63-D2-D</v>
      </c>
      <c r="C161" s="159"/>
      <c r="D161" s="159"/>
      <c r="E161" s="159"/>
      <c r="F161" s="159"/>
      <c r="G161" s="159"/>
      <c r="H161" s="160"/>
      <c r="I161" s="57">
        <f t="shared" si="2"/>
        <v>0</v>
      </c>
      <c r="J161" s="96"/>
      <c r="K161" s="159"/>
      <c r="L161" s="159"/>
      <c r="M161" s="404"/>
      <c r="N161" s="383" t="s">
        <v>1593</v>
      </c>
      <c r="O161" s="383">
        <v>86</v>
      </c>
      <c r="P161" s="406">
        <v>2</v>
      </c>
    </row>
    <row r="162" spans="1:17" ht="13.2">
      <c r="A162" s="83" t="s">
        <v>744</v>
      </c>
      <c r="B162" s="386" t="str">
        <f>HYPERLINK("http://codeforces.com/contest/591/problem/C","CF591-D2-C")</f>
        <v>CF591-D2-C</v>
      </c>
      <c r="C162" s="159"/>
      <c r="D162" s="159"/>
      <c r="E162" s="159"/>
      <c r="F162" s="159"/>
      <c r="G162" s="159"/>
      <c r="H162" s="160"/>
      <c r="I162" s="57">
        <f t="shared" si="2"/>
        <v>0</v>
      </c>
      <c r="J162" s="62"/>
      <c r="K162" s="56"/>
      <c r="L162" s="96"/>
      <c r="M162" s="404"/>
      <c r="N162" s="383" t="s">
        <v>1593</v>
      </c>
      <c r="O162" s="383">
        <v>86</v>
      </c>
      <c r="P162" s="406">
        <v>2</v>
      </c>
    </row>
    <row r="163" spans="1:17" ht="13.2">
      <c r="A163" s="83"/>
      <c r="B163" s="386" t="str">
        <f>HYPERLINK("http://codeforces.com/contest/23/problem/C","CF23-D12-C")</f>
        <v>CF23-D12-C</v>
      </c>
      <c r="C163" s="159"/>
      <c r="D163" s="159"/>
      <c r="E163" s="159"/>
      <c r="F163" s="159"/>
      <c r="G163" s="159"/>
      <c r="H163" s="160"/>
      <c r="I163" s="57">
        <f t="shared" si="2"/>
        <v>0</v>
      </c>
      <c r="J163" s="102"/>
      <c r="K163" s="101"/>
      <c r="L163" s="159"/>
      <c r="M163" s="399"/>
      <c r="N163" s="383" t="s">
        <v>1593</v>
      </c>
      <c r="O163" s="383">
        <v>86</v>
      </c>
      <c r="P163" s="406">
        <v>2</v>
      </c>
      <c r="Q163" s="543"/>
    </row>
    <row r="164" spans="1:17" ht="13.2">
      <c r="A164" s="83"/>
      <c r="B164" s="386" t="str">
        <f>HYPERLINK("http://codeforces.com/gym/101589/problem/F","CF101589-GYM-F")</f>
        <v>CF101589-GYM-F</v>
      </c>
      <c r="C164" s="159"/>
      <c r="D164" s="159"/>
      <c r="E164" s="159"/>
      <c r="F164" s="159"/>
      <c r="G164" s="159"/>
      <c r="H164" s="160"/>
      <c r="I164" s="57">
        <f t="shared" si="2"/>
        <v>0</v>
      </c>
      <c r="J164" s="102"/>
      <c r="K164" s="101"/>
      <c r="L164" s="159"/>
      <c r="M164" s="395"/>
      <c r="N164" s="383" t="s">
        <v>1593</v>
      </c>
      <c r="O164" s="383">
        <v>86</v>
      </c>
      <c r="P164" s="406">
        <v>2</v>
      </c>
    </row>
    <row r="165" spans="1:17" ht="13.2">
      <c r="A165" s="83"/>
      <c r="B165" s="386" t="str">
        <f>HYPERLINK("https://beta.atcoder.jp/contests/arc092/tasks/arc092_b","Atcoder092-ARC-B")</f>
        <v>Atcoder092-ARC-B</v>
      </c>
      <c r="C165" s="159"/>
      <c r="D165" s="159"/>
      <c r="E165" s="159"/>
      <c r="F165" s="159"/>
      <c r="G165" s="159"/>
      <c r="H165" s="160"/>
      <c r="I165" s="57">
        <f t="shared" si="2"/>
        <v>0</v>
      </c>
      <c r="J165" s="102"/>
      <c r="K165" s="101"/>
      <c r="L165" s="159"/>
      <c r="M165" s="83"/>
      <c r="N165" s="383" t="s">
        <v>1593</v>
      </c>
      <c r="O165" s="383">
        <v>86</v>
      </c>
      <c r="P165" s="406">
        <v>2</v>
      </c>
      <c r="Q165" s="543"/>
    </row>
    <row r="166" spans="1:17" ht="13.2">
      <c r="A166" s="83" t="s">
        <v>596</v>
      </c>
      <c r="B166" s="386" t="str">
        <f>HYPERLINK("https://uva.onlinejudge.org/index.php?option=com_onlinejudge&amp;Itemid=8&amp;page=show_problem&amp;problem=1285","UVA 10344")</f>
        <v>UVA 10344</v>
      </c>
      <c r="C166" s="159"/>
      <c r="D166" s="159"/>
      <c r="E166" s="159"/>
      <c r="F166" s="159"/>
      <c r="G166" s="159"/>
      <c r="H166" s="160"/>
      <c r="I166" s="57">
        <f t="shared" si="2"/>
        <v>0</v>
      </c>
      <c r="J166" s="62"/>
      <c r="K166" s="56"/>
      <c r="L166" s="159"/>
      <c r="M166" s="218"/>
      <c r="N166" s="383" t="s">
        <v>1593</v>
      </c>
      <c r="O166" s="383">
        <v>86</v>
      </c>
      <c r="P166" s="406">
        <v>2</v>
      </c>
    </row>
    <row r="167" spans="1:17" ht="13.2">
      <c r="A167" s="83" t="s">
        <v>597</v>
      </c>
      <c r="B167" s="386" t="str">
        <f>HYPERLINK("https://uva.onlinejudge.org/index.php?option=com_onlinejudge&amp;Itemid=8&amp;page=show_problem&amp;problem=691","UVA 750")</f>
        <v>UVA 750</v>
      </c>
      <c r="C167" s="159"/>
      <c r="D167" s="159"/>
      <c r="E167" s="159"/>
      <c r="F167" s="159"/>
      <c r="G167" s="159"/>
      <c r="H167" s="160"/>
      <c r="I167" s="57">
        <f t="shared" si="2"/>
        <v>0</v>
      </c>
      <c r="J167" s="62"/>
      <c r="K167" s="56"/>
      <c r="L167" s="159"/>
      <c r="M167" s="399"/>
      <c r="N167" s="383" t="s">
        <v>1593</v>
      </c>
      <c r="O167" s="383">
        <v>86</v>
      </c>
      <c r="P167" s="406">
        <v>2</v>
      </c>
    </row>
    <row r="168" spans="1:17" ht="13.2">
      <c r="A168" s="83" t="s">
        <v>595</v>
      </c>
      <c r="B168" s="386" t="str">
        <f>HYPERLINK("https://uva.onlinejudge.org/index.php?option=com_onlinejudge&amp;Itemid=8&amp;page=show_problem&amp;problem=129","UVA 193")</f>
        <v>UVA 193</v>
      </c>
      <c r="C168" s="159"/>
      <c r="D168" s="159"/>
      <c r="E168" s="159"/>
      <c r="F168" s="159"/>
      <c r="G168" s="159"/>
      <c r="H168" s="160"/>
      <c r="I168" s="57">
        <f t="shared" si="2"/>
        <v>0</v>
      </c>
      <c r="J168" s="62"/>
      <c r="K168" s="56"/>
      <c r="L168" s="159"/>
      <c r="M168" s="192" t="str">
        <f>HYPERLINK("https://www.youtube.com/watch?v=zKne2u4DuIs&amp;feature=youtu.be","Video Solution - Eng Mahmoud Mabrok")</f>
        <v>Video Solution - Eng Mahmoud Mabrok</v>
      </c>
      <c r="N168" s="383" t="s">
        <v>1593</v>
      </c>
      <c r="O168" s="383">
        <v>86</v>
      </c>
      <c r="P168" s="406">
        <v>2</v>
      </c>
    </row>
    <row r="169" spans="1:17" ht="13.2">
      <c r="A169" s="83" t="s">
        <v>962</v>
      </c>
      <c r="B169" s="386" t="str">
        <f>HYPERLINK("http://codeforces.com/contest/47/problem/D","CF47-D2-D")</f>
        <v>CF47-D2-D</v>
      </c>
      <c r="C169" s="159"/>
      <c r="D169" s="159"/>
      <c r="E169" s="159"/>
      <c r="F169" s="159"/>
      <c r="G169" s="159"/>
      <c r="H169" s="160"/>
      <c r="I169" s="57">
        <f t="shared" si="2"/>
        <v>0</v>
      </c>
      <c r="J169" s="96"/>
      <c r="K169" s="159"/>
      <c r="L169" s="159"/>
      <c r="M169" s="404"/>
      <c r="N169" s="383" t="s">
        <v>1598</v>
      </c>
      <c r="O169" s="383">
        <v>86</v>
      </c>
      <c r="P169" s="406">
        <v>2</v>
      </c>
      <c r="Q169" s="543"/>
    </row>
    <row r="170" spans="1:17" ht="13.2">
      <c r="A170" s="83" t="s">
        <v>1014</v>
      </c>
      <c r="B170" s="386" t="str">
        <f>HYPERLINK("https://uva.onlinejudge.org/index.php?option=com_onlinejudge&amp;Itemid=8&amp;page=show_problem&amp;problem=999","UVA 10058")</f>
        <v>UVA 10058</v>
      </c>
      <c r="C170" s="159"/>
      <c r="D170" s="159"/>
      <c r="E170" s="159"/>
      <c r="F170" s="159"/>
      <c r="G170" s="159"/>
      <c r="H170" s="160"/>
      <c r="I170" s="57">
        <f t="shared" si="2"/>
        <v>0</v>
      </c>
      <c r="J170" s="62"/>
      <c r="K170" s="56"/>
      <c r="L170" s="405"/>
      <c r="M170" s="404"/>
      <c r="N170" s="383" t="s">
        <v>1599</v>
      </c>
      <c r="O170" s="383">
        <v>86</v>
      </c>
      <c r="P170" s="406">
        <v>2</v>
      </c>
      <c r="Q170" s="543"/>
    </row>
    <row r="171" spans="1:17" ht="13.2">
      <c r="A171" s="83" t="s">
        <v>1107</v>
      </c>
      <c r="B171" s="386" t="str">
        <f>HYPERLINK("https://uva.onlinejudge.org/index.php?option=onlinejudge&amp;page=show_problem&amp;problem=563","UVA 622")</f>
        <v>UVA 622</v>
      </c>
      <c r="C171" s="159"/>
      <c r="D171" s="159"/>
      <c r="E171" s="159"/>
      <c r="F171" s="159"/>
      <c r="G171" s="159"/>
      <c r="H171" s="160"/>
      <c r="I171" s="57">
        <f t="shared" si="2"/>
        <v>0</v>
      </c>
      <c r="J171" s="62"/>
      <c r="K171" s="56"/>
      <c r="L171" s="405"/>
      <c r="M171" s="137" t="str">
        <f>HYPERLINK("https://www.youtube.com/watch?v=4ITr6GaZP","Video Solution - Dr Mostafa Saad")</f>
        <v>Video Solution - Dr Mostafa Saad</v>
      </c>
      <c r="N171" s="406" t="s">
        <v>1608</v>
      </c>
      <c r="O171" s="383">
        <v>87</v>
      </c>
      <c r="P171" s="383">
        <v>2</v>
      </c>
      <c r="Q171" s="37" t="s">
        <v>1224</v>
      </c>
    </row>
    <row r="172" spans="1:17" ht="13.2">
      <c r="A172" s="83" t="s">
        <v>248</v>
      </c>
      <c r="B172" s="386" t="str">
        <f>HYPERLINK("http://codeforces.com/contest/143/problem/A","CF143-D2-A")</f>
        <v>CF143-D2-A</v>
      </c>
      <c r="C172" s="159"/>
      <c r="D172" s="159"/>
      <c r="E172" s="159"/>
      <c r="F172" s="159"/>
      <c r="G172" s="159"/>
      <c r="H172" s="160"/>
      <c r="I172" s="57">
        <f t="shared" si="2"/>
        <v>0</v>
      </c>
      <c r="J172" s="136"/>
      <c r="K172" s="56"/>
      <c r="L172" s="136"/>
      <c r="M172" s="144"/>
      <c r="N172" s="383" t="s">
        <v>1609</v>
      </c>
      <c r="O172" s="383">
        <v>87</v>
      </c>
      <c r="P172" s="399">
        <v>2</v>
      </c>
      <c r="Q172" s="37" t="s">
        <v>1226</v>
      </c>
    </row>
    <row r="173" spans="1:17" ht="13.2">
      <c r="A173" s="83" t="s">
        <v>1253</v>
      </c>
      <c r="B173" s="386" t="str">
        <f>HYPERLINK("http://codeforces.com/contest/560/problem/B","CF560-D2-B")</f>
        <v>CF560-D2-B</v>
      </c>
      <c r="C173" s="159"/>
      <c r="D173" s="159"/>
      <c r="E173" s="159"/>
      <c r="F173" s="159"/>
      <c r="G173" s="159"/>
      <c r="H173" s="160"/>
      <c r="I173" s="57">
        <f t="shared" si="2"/>
        <v>0</v>
      </c>
      <c r="J173" s="102"/>
      <c r="K173" s="101"/>
      <c r="L173" s="159"/>
      <c r="M173" s="77" t="str">
        <f>HYPERLINK("https://raw.githubusercontent.com/NadaAlaa/CompetitiveProgramming/master/LiveArchive/2557.cpp","Find a formula")</f>
        <v>Find a formula</v>
      </c>
      <c r="N173" s="383" t="s">
        <v>1610</v>
      </c>
      <c r="O173" s="383">
        <v>87</v>
      </c>
      <c r="P173" s="399">
        <v>2</v>
      </c>
      <c r="Q173" s="37" t="s">
        <v>1220</v>
      </c>
    </row>
    <row r="174" spans="1:17" ht="13.2">
      <c r="A174" s="83" t="s">
        <v>606</v>
      </c>
      <c r="B174" s="386" t="str">
        <f>HYPERLINK("http://codeforces.com/contest/570/problem/B","CF570-D2-B")</f>
        <v>CF570-D2-B</v>
      </c>
      <c r="C174" s="159"/>
      <c r="D174" s="159"/>
      <c r="E174" s="159"/>
      <c r="F174" s="159"/>
      <c r="G174" s="159"/>
      <c r="H174" s="160"/>
      <c r="I174" s="57">
        <f t="shared" si="2"/>
        <v>0</v>
      </c>
      <c r="J174" s="62"/>
      <c r="K174" s="56"/>
      <c r="L174" s="159"/>
      <c r="M174" s="396" t="str">
        <f>HYPERLINK("https://www.youtube.com/watch?v=KNd6eqRpWqE","Video Solution - Eng Youssef El Ghareeb. Don't solve using big integer")</f>
        <v>Video Solution - Eng Youssef El Ghareeb. Don't solve using big integer</v>
      </c>
      <c r="N174" s="383" t="s">
        <v>1607</v>
      </c>
      <c r="O174" s="383">
        <v>87</v>
      </c>
      <c r="P174" s="399">
        <v>2</v>
      </c>
    </row>
    <row r="175" spans="1:17" ht="13.2">
      <c r="A175" s="83" t="s">
        <v>416</v>
      </c>
      <c r="B175" s="386" t="str">
        <f>HYPERLINK("http://codeforces.com/contest/129/problem/B","CF129-D2-B")</f>
        <v>CF129-D2-B</v>
      </c>
      <c r="C175" s="159"/>
      <c r="D175" s="159"/>
      <c r="E175" s="159"/>
      <c r="F175" s="159"/>
      <c r="G175" s="159"/>
      <c r="H175" s="160"/>
      <c r="I175" s="57">
        <f t="shared" si="2"/>
        <v>0</v>
      </c>
      <c r="J175" s="62"/>
      <c r="K175" s="56"/>
      <c r="L175" s="159"/>
      <c r="M175" s="403" t="str">
        <f>HYPERLINK("https://github.com/Diusrex/UVA-Solutions/blob/master/10469%20To%20Carry%20or%20not%20to%20Carry.cpp","Sol")</f>
        <v>Sol</v>
      </c>
      <c r="N175" s="399" t="s">
        <v>1607</v>
      </c>
      <c r="O175" s="399">
        <v>87</v>
      </c>
      <c r="P175" s="383">
        <v>2</v>
      </c>
    </row>
    <row r="176" spans="1:17" ht="13.2">
      <c r="A176" s="83" t="s">
        <v>734</v>
      </c>
      <c r="B176" s="386" t="str">
        <f>HYPERLINK("http://codeforces.com/contest/430/problem/B","CF430-D2-B")</f>
        <v>CF430-D2-B</v>
      </c>
      <c r="C176" s="159"/>
      <c r="D176" s="159"/>
      <c r="E176" s="159"/>
      <c r="F176" s="159"/>
      <c r="G176" s="159"/>
      <c r="H176" s="160"/>
      <c r="I176" s="57">
        <f t="shared" si="2"/>
        <v>0</v>
      </c>
      <c r="J176" s="62"/>
      <c r="K176" s="56"/>
      <c r="L176" s="159"/>
      <c r="M176" s="419" t="s">
        <v>395</v>
      </c>
      <c r="N176" s="383" t="s">
        <v>1607</v>
      </c>
      <c r="O176" s="383">
        <v>87</v>
      </c>
      <c r="P176" s="399">
        <v>2</v>
      </c>
      <c r="Q176" s="543"/>
    </row>
    <row r="177" spans="1:17" ht="13.2">
      <c r="A177" s="83" t="s">
        <v>661</v>
      </c>
      <c r="B177" s="386" t="str">
        <f>HYPERLINK("http://codeforces.com/contest/189/problem/A","CF189-D2-A")</f>
        <v>CF189-D2-A</v>
      </c>
      <c r="C177" s="159"/>
      <c r="D177" s="159"/>
      <c r="E177" s="159"/>
      <c r="F177" s="159"/>
      <c r="G177" s="159"/>
      <c r="H177" s="160"/>
      <c r="I177" s="57">
        <f t="shared" si="2"/>
        <v>0</v>
      </c>
      <c r="J177" s="62"/>
      <c r="K177" s="56"/>
      <c r="L177" s="159"/>
      <c r="M177" s="389" t="str">
        <f>HYPERLINK("https://www.youtube.com/watch?v=uzA2fH9Ol7I&amp;feature=youtu.be","Video Solution - Eng Mohamed Adel")</f>
        <v>Video Solution - Eng Mohamed Adel</v>
      </c>
      <c r="N177" s="406" t="s">
        <v>1611</v>
      </c>
      <c r="O177" s="406">
        <v>87</v>
      </c>
      <c r="P177" s="383">
        <v>2</v>
      </c>
      <c r="Q177" s="37" t="s">
        <v>1226</v>
      </c>
    </row>
    <row r="178" spans="1:17" ht="13.2">
      <c r="A178" s="83" t="s">
        <v>588</v>
      </c>
      <c r="B178" s="386" t="str">
        <f>HYPERLINK("http://codeforces.com/contest/402/problem/C","CF402-D2-C")</f>
        <v>CF402-D2-C</v>
      </c>
      <c r="C178" s="159"/>
      <c r="D178" s="159"/>
      <c r="E178" s="159"/>
      <c r="F178" s="159"/>
      <c r="G178" s="159"/>
      <c r="H178" s="160"/>
      <c r="I178" s="57">
        <f t="shared" si="2"/>
        <v>0</v>
      </c>
      <c r="J178" s="62"/>
      <c r="K178" s="56"/>
      <c r="L178" s="159"/>
      <c r="M178" s="399"/>
      <c r="N178" s="383" t="s">
        <v>1647</v>
      </c>
      <c r="O178" s="383">
        <v>95</v>
      </c>
      <c r="P178" s="383">
        <v>2</v>
      </c>
    </row>
    <row r="179" spans="1:17" ht="13.2">
      <c r="A179" s="83" t="s">
        <v>742</v>
      </c>
      <c r="B179" s="386" t="str">
        <f>HYPERLINK("http://codeforces.com/contest/63/problem/C","CF63-D2-C")</f>
        <v>CF63-D2-C</v>
      </c>
      <c r="C179" s="159"/>
      <c r="D179" s="159"/>
      <c r="E179" s="159"/>
      <c r="F179" s="159"/>
      <c r="G179" s="159"/>
      <c r="H179" s="160"/>
      <c r="I179" s="57">
        <f t="shared" si="2"/>
        <v>0</v>
      </c>
      <c r="J179" s="62"/>
      <c r="K179" s="56"/>
      <c r="L179" s="96"/>
      <c r="M179" s="404"/>
      <c r="N179" s="383" t="s">
        <v>1655</v>
      </c>
      <c r="O179" s="383">
        <v>99</v>
      </c>
      <c r="P179" s="383">
        <v>2</v>
      </c>
      <c r="Q179" s="543"/>
    </row>
    <row r="180" spans="1:17" ht="13.2">
      <c r="A180" s="83" t="s">
        <v>1102</v>
      </c>
      <c r="B180" s="386" t="str">
        <f>HYPERLINK("http://codeforces.com/contest/255/problem/C","CF255-D2-C")</f>
        <v>CF255-D2-C</v>
      </c>
      <c r="C180" s="159"/>
      <c r="D180" s="159"/>
      <c r="E180" s="159"/>
      <c r="F180" s="159"/>
      <c r="G180" s="159"/>
      <c r="H180" s="160"/>
      <c r="I180" s="57">
        <f t="shared" si="2"/>
        <v>0</v>
      </c>
      <c r="J180" s="102"/>
      <c r="K180" s="101"/>
      <c r="L180" s="405"/>
      <c r="M180" s="392" t="str">
        <f>HYPERLINK("http://acm.timus.ru/forum/thread.aspx?id=26903&amp;upd=634491955419403750","Know Fermat’s Last Theorem (Ignore proof)")</f>
        <v>Know Fermat’s Last Theorem (Ignore proof)</v>
      </c>
      <c r="N180" s="383" t="s">
        <v>1667</v>
      </c>
      <c r="O180" s="383">
        <v>104</v>
      </c>
      <c r="P180" s="383">
        <v>2</v>
      </c>
      <c r="Q180" s="37" t="s">
        <v>1224</v>
      </c>
    </row>
    <row r="181" spans="1:17" ht="13.2">
      <c r="A181" s="83" t="s">
        <v>864</v>
      </c>
      <c r="B181" s="386" t="str">
        <f>HYPERLINK("http://codeforces.com/contest/118/problem/C","CF118-D2-C")</f>
        <v>CF118-D2-C</v>
      </c>
      <c r="C181" s="159"/>
      <c r="D181" s="159"/>
      <c r="E181" s="159"/>
      <c r="F181" s="159"/>
      <c r="G181" s="159"/>
      <c r="H181" s="160"/>
      <c r="I181" s="57">
        <f t="shared" si="2"/>
        <v>0</v>
      </c>
      <c r="J181" s="62"/>
      <c r="K181" s="56"/>
      <c r="L181" s="159"/>
      <c r="M181" s="399"/>
      <c r="N181" s="383" t="s">
        <v>1668</v>
      </c>
      <c r="O181" s="383">
        <v>104</v>
      </c>
      <c r="P181" s="383">
        <v>2</v>
      </c>
    </row>
    <row r="182" spans="1:17" ht="13.2">
      <c r="A182" s="83" t="s">
        <v>846</v>
      </c>
      <c r="B182" s="386" t="str">
        <f>HYPERLINK("http://codeforces.com/contest/672/problem/C","CF672-D2-C")</f>
        <v>CF672-D2-C</v>
      </c>
      <c r="C182" s="159"/>
      <c r="D182" s="159"/>
      <c r="E182" s="159"/>
      <c r="F182" s="159"/>
      <c r="G182" s="159"/>
      <c r="H182" s="160"/>
      <c r="I182" s="57">
        <f t="shared" si="2"/>
        <v>0</v>
      </c>
      <c r="J182" s="62"/>
      <c r="K182" s="56"/>
      <c r="L182" s="159"/>
      <c r="M182" s="403" t="str">
        <f>HYPERLINK("https://www.probabilitycourse.com/","Revise Probability")</f>
        <v>Revise Probability</v>
      </c>
      <c r="N182" s="383" t="s">
        <v>1677</v>
      </c>
      <c r="O182" s="383">
        <v>113</v>
      </c>
      <c r="P182" s="383">
        <v>2</v>
      </c>
    </row>
    <row r="183" spans="1:17" ht="13.2">
      <c r="A183" s="83" t="s">
        <v>968</v>
      </c>
      <c r="B183" s="386" t="str">
        <f>HYPERLINK("http://codeforces.com/contest/439/problem/C","CF439-D2-C")</f>
        <v>CF439-D2-C</v>
      </c>
      <c r="C183" s="159"/>
      <c r="D183" s="159"/>
      <c r="E183" s="159"/>
      <c r="F183" s="159"/>
      <c r="G183" s="159"/>
      <c r="H183" s="160"/>
      <c r="I183" s="57">
        <f t="shared" si="2"/>
        <v>0</v>
      </c>
      <c r="J183" s="102"/>
      <c r="K183" s="101"/>
      <c r="L183" s="159"/>
      <c r="M183" s="404"/>
      <c r="N183" s="383" t="s">
        <v>1724</v>
      </c>
      <c r="O183" s="383">
        <v>125</v>
      </c>
      <c r="P183" s="383">
        <v>2</v>
      </c>
      <c r="Q183" s="37" t="s">
        <v>1226</v>
      </c>
    </row>
    <row r="184" spans="1:17" ht="13.2">
      <c r="A184" s="83" t="s">
        <v>1007</v>
      </c>
      <c r="B184" s="386" t="str">
        <f>HYPERLINK("http://codeforces.com/contest/200/problem/C","CF200-D2-C")</f>
        <v>CF200-D2-C</v>
      </c>
      <c r="C184" s="159"/>
      <c r="D184" s="159"/>
      <c r="E184" s="159"/>
      <c r="F184" s="159"/>
      <c r="G184" s="159"/>
      <c r="H184" s="160"/>
      <c r="I184" s="57">
        <f t="shared" si="2"/>
        <v>0</v>
      </c>
      <c r="J184" s="62"/>
      <c r="K184" s="56"/>
      <c r="L184" s="159"/>
      <c r="M184" s="83"/>
      <c r="N184" s="383" t="s">
        <v>1725</v>
      </c>
      <c r="O184" s="383">
        <v>125</v>
      </c>
      <c r="P184" s="383">
        <v>2</v>
      </c>
    </row>
    <row r="185" spans="1:17" ht="13.2">
      <c r="A185" s="83" t="s">
        <v>713</v>
      </c>
      <c r="B185" s="386" t="str">
        <f>HYPERLINK("http://codeforces.com/contest/368/problem/C","CF368-D2-C")</f>
        <v>CF368-D2-C</v>
      </c>
      <c r="C185" s="159"/>
      <c r="D185" s="159"/>
      <c r="E185" s="159"/>
      <c r="F185" s="159"/>
      <c r="G185" s="159"/>
      <c r="H185" s="160"/>
      <c r="I185" s="57">
        <f t="shared" si="2"/>
        <v>0</v>
      </c>
      <c r="J185" s="62"/>
      <c r="K185" s="56"/>
      <c r="L185" s="159"/>
      <c r="M185" s="389" t="str">
        <f>HYPERLINK("http://xoptutorials.com/index.php/2017/01/01/timus1638/","Can you get AC first submission")</f>
        <v>Can you get AC first submission</v>
      </c>
      <c r="N185" s="383" t="s">
        <v>1750</v>
      </c>
      <c r="O185" s="383">
        <v>126</v>
      </c>
      <c r="P185" s="383">
        <v>2</v>
      </c>
      <c r="Q185" s="37" t="s">
        <v>1224</v>
      </c>
    </row>
    <row r="186" spans="1:17" ht="13.2">
      <c r="A186" s="83" t="s">
        <v>969</v>
      </c>
      <c r="B186" s="386" t="str">
        <f>HYPERLINK("http://codeforces.com/contest/557/problem/C","CF557-D2-C")</f>
        <v>CF557-D2-C</v>
      </c>
      <c r="C186" s="159"/>
      <c r="D186" s="159"/>
      <c r="E186" s="159"/>
      <c r="F186" s="159"/>
      <c r="G186" s="159"/>
      <c r="H186" s="160"/>
      <c r="I186" s="57">
        <f t="shared" si="2"/>
        <v>0</v>
      </c>
      <c r="J186" s="102"/>
      <c r="K186" s="101"/>
      <c r="L186" s="159"/>
      <c r="M186" s="77" t="str">
        <f>HYPERLINK("http://xoptutorials.com/index.php/2017/01/01/timus1607/","Can you get AC first submission?")</f>
        <v>Can you get AC first submission?</v>
      </c>
      <c r="N186" s="383" t="s">
        <v>1751</v>
      </c>
      <c r="O186" s="383">
        <v>126</v>
      </c>
      <c r="P186" s="383">
        <v>2</v>
      </c>
      <c r="Q186" s="37" t="s">
        <v>1220</v>
      </c>
    </row>
    <row r="187" spans="1:17" ht="13.2">
      <c r="A187" s="83"/>
      <c r="B187" s="386" t="str">
        <f>HYPERLINK("http://codeforces.com/contest/1036/problem/C","CF1036-D2-C")</f>
        <v>CF1036-D2-C</v>
      </c>
      <c r="C187" s="159"/>
      <c r="D187" s="159"/>
      <c r="E187" s="159"/>
      <c r="F187" s="159"/>
      <c r="G187" s="159"/>
      <c r="H187" s="160"/>
      <c r="I187" s="57">
        <f t="shared" si="2"/>
        <v>0</v>
      </c>
      <c r="J187" s="62"/>
      <c r="K187" s="56"/>
      <c r="L187" s="159"/>
      <c r="M187" s="404"/>
      <c r="N187" s="383" t="s">
        <v>1753</v>
      </c>
      <c r="O187" s="383">
        <v>130</v>
      </c>
      <c r="P187" s="383">
        <v>2</v>
      </c>
      <c r="Q187" s="543"/>
    </row>
    <row r="188" spans="1:17" ht="13.2">
      <c r="A188" s="83" t="s">
        <v>834</v>
      </c>
      <c r="B188" s="386" t="str">
        <f>HYPERLINK("http://codeforces.com/contest/365/problem/C","CF365-D2-C")</f>
        <v>CF365-D2-C</v>
      </c>
      <c r="C188" s="159"/>
      <c r="D188" s="159"/>
      <c r="E188" s="159"/>
      <c r="F188" s="159"/>
      <c r="G188" s="159"/>
      <c r="H188" s="160"/>
      <c r="I188" s="57">
        <f t="shared" si="2"/>
        <v>0</v>
      </c>
      <c r="J188" s="62"/>
      <c r="K188" s="56"/>
      <c r="L188" s="159"/>
      <c r="M188" s="392" t="str">
        <f>HYPERLINK("https://www.youtube.com/watch?v=mhrz7F01Vqs","Video Solution - Dr Mostafa Saad")</f>
        <v>Video Solution - Dr Mostafa Saad</v>
      </c>
      <c r="N188" s="383" t="s">
        <v>1270</v>
      </c>
      <c r="O188" s="383">
        <v>6</v>
      </c>
      <c r="P188" s="406">
        <v>2.5</v>
      </c>
      <c r="Q188" s="543"/>
    </row>
    <row r="189" spans="1:17" ht="13.2">
      <c r="A189" s="83" t="s">
        <v>636</v>
      </c>
      <c r="B189" s="386" t="str">
        <f>HYPERLINK("http://codeforces.com/contest/496/problem/C","CF496-D2-C")</f>
        <v>CF496-D2-C</v>
      </c>
      <c r="C189" s="159"/>
      <c r="D189" s="159"/>
      <c r="E189" s="159"/>
      <c r="F189" s="159"/>
      <c r="G189" s="159"/>
      <c r="H189" s="160"/>
      <c r="I189" s="57">
        <f t="shared" si="2"/>
        <v>0</v>
      </c>
      <c r="J189" s="62"/>
      <c r="K189" s="56"/>
      <c r="L189" s="159"/>
      <c r="M189" s="395" t="str">
        <f>HYPERLINK("https://www.youtube.com/watch?v=i4fMKTt8e84","Video Solution - Solver to be (Java)")</f>
        <v>Video Solution - Solver to be (Java)</v>
      </c>
      <c r="N189" s="406" t="s">
        <v>1271</v>
      </c>
      <c r="O189" s="406">
        <v>6</v>
      </c>
      <c r="P189" s="383">
        <v>2.5</v>
      </c>
      <c r="Q189" s="37" t="s">
        <v>1224</v>
      </c>
    </row>
    <row r="190" spans="1:17" ht="13.2">
      <c r="A190" s="83"/>
      <c r="B190" s="83" t="s">
        <v>1118</v>
      </c>
      <c r="C190" s="159"/>
      <c r="D190" s="159"/>
      <c r="E190" s="159"/>
      <c r="F190" s="159"/>
      <c r="G190" s="159"/>
      <c r="H190" s="160"/>
      <c r="I190" s="57">
        <f t="shared" si="2"/>
        <v>0</v>
      </c>
      <c r="J190" s="96"/>
      <c r="K190" s="159"/>
      <c r="L190" s="405"/>
      <c r="M190" s="545"/>
      <c r="N190" s="383" t="s">
        <v>1385</v>
      </c>
      <c r="O190" s="383">
        <v>41</v>
      </c>
      <c r="P190" s="406">
        <v>2.5</v>
      </c>
      <c r="Q190" s="543"/>
    </row>
    <row r="191" spans="1:17" ht="13.2">
      <c r="A191" s="83"/>
      <c r="B191" s="83" t="s">
        <v>913</v>
      </c>
      <c r="C191" s="159"/>
      <c r="D191" s="159"/>
      <c r="E191" s="159"/>
      <c r="F191" s="159"/>
      <c r="G191" s="159"/>
      <c r="H191" s="160"/>
      <c r="I191" s="57">
        <f t="shared" si="2"/>
        <v>0</v>
      </c>
      <c r="J191" s="102"/>
      <c r="K191" s="101"/>
      <c r="L191" s="159"/>
      <c r="M191" s="545"/>
      <c r="N191" s="383" t="s">
        <v>1553</v>
      </c>
      <c r="O191" s="383">
        <v>84</v>
      </c>
      <c r="P191" s="406">
        <v>2.5</v>
      </c>
      <c r="Q191" s="543"/>
    </row>
    <row r="192" spans="1:17" ht="13.2">
      <c r="A192" s="83" t="s">
        <v>1125</v>
      </c>
      <c r="B192" s="386" t="str">
        <f>HYPERLINK("http://codeforces.com/contest/146/problem/D","CF146-D2-D")</f>
        <v>CF146-D2-D</v>
      </c>
      <c r="C192" s="159"/>
      <c r="D192" s="159"/>
      <c r="E192" s="159"/>
      <c r="F192" s="159"/>
      <c r="G192" s="159"/>
      <c r="H192" s="160"/>
      <c r="I192" s="57">
        <f t="shared" si="2"/>
        <v>0</v>
      </c>
      <c r="J192" s="102"/>
      <c r="K192" s="101"/>
      <c r="L192" s="405"/>
      <c r="M192" s="389" t="str">
        <f>HYPERLINK("https://www.youtube.com/watch?v=I_WHkB7Aeeo","Video Solution - Solver to be (Java)")</f>
        <v>Video Solution - Solver to be (Java)</v>
      </c>
      <c r="N192" s="406" t="s">
        <v>1554</v>
      </c>
      <c r="O192" s="406">
        <v>84</v>
      </c>
      <c r="P192" s="383">
        <v>2.5</v>
      </c>
      <c r="Q192" s="37" t="s">
        <v>1224</v>
      </c>
    </row>
    <row r="193" spans="1:17" ht="13.2">
      <c r="A193" s="83" t="s">
        <v>1030</v>
      </c>
      <c r="B193" s="386" t="str">
        <f>HYPERLINK("http://codeforces.com/contest/361/problem/C","CF361-D2-C")</f>
        <v>CF361-D2-C</v>
      </c>
      <c r="C193" s="159"/>
      <c r="D193" s="159"/>
      <c r="E193" s="159"/>
      <c r="F193" s="159"/>
      <c r="G193" s="159"/>
      <c r="H193" s="160"/>
      <c r="I193" s="57">
        <f t="shared" si="2"/>
        <v>0</v>
      </c>
      <c r="J193" s="102"/>
      <c r="K193" s="101"/>
      <c r="L193" s="159"/>
      <c r="M193" s="389" t="str">
        <f>HYPERLINK("https://www.youtube.com/watch?v=dCChUGZjaS4","Video Solution - Solver to be (Java)")</f>
        <v>Video Solution - Solver to be (Java)</v>
      </c>
      <c r="N193" s="406" t="s">
        <v>1552</v>
      </c>
      <c r="O193" s="406">
        <v>84</v>
      </c>
      <c r="P193" s="383">
        <v>2.5</v>
      </c>
      <c r="Q193" s="37" t="s">
        <v>1226</v>
      </c>
    </row>
    <row r="194" spans="1:17" ht="13.2">
      <c r="A194" s="83"/>
      <c r="B194" s="386" t="str">
        <f>HYPERLINK("http://codeforces.com/problemset/problem/1017/D","CF1017-D12-D")</f>
        <v>CF1017-D12-D</v>
      </c>
      <c r="C194" s="159"/>
      <c r="D194" s="159"/>
      <c r="E194" s="159"/>
      <c r="F194" s="159"/>
      <c r="G194" s="159"/>
      <c r="H194" s="160"/>
      <c r="I194" s="57">
        <f t="shared" si="2"/>
        <v>0</v>
      </c>
      <c r="J194" s="62"/>
      <c r="K194" s="56"/>
      <c r="L194" s="405"/>
      <c r="M194" s="404"/>
      <c r="N194" s="383" t="s">
        <v>1607</v>
      </c>
      <c r="O194" s="383">
        <v>87</v>
      </c>
      <c r="P194" s="406">
        <v>2.5</v>
      </c>
      <c r="Q194" s="543"/>
    </row>
    <row r="195" spans="1:17" ht="13.2">
      <c r="A195" s="83"/>
      <c r="B195" s="386" t="str">
        <f>HYPERLINK("http://codeforces.com/contest/621/problem/D","CF621-D2-D")</f>
        <v>CF621-D2-D</v>
      </c>
      <c r="C195" s="159"/>
      <c r="D195" s="159"/>
      <c r="E195" s="159"/>
      <c r="F195" s="159"/>
      <c r="G195" s="159"/>
      <c r="H195" s="160"/>
      <c r="I195" s="57">
        <f t="shared" si="2"/>
        <v>0</v>
      </c>
      <c r="J195" s="102"/>
      <c r="K195" s="101"/>
      <c r="L195" s="159"/>
      <c r="M195" s="404"/>
      <c r="N195" s="383" t="s">
        <v>1607</v>
      </c>
      <c r="O195" s="383">
        <v>87</v>
      </c>
      <c r="P195" s="406">
        <v>2.5</v>
      </c>
      <c r="Q195" s="543"/>
    </row>
    <row r="196" spans="1:17" ht="13.2">
      <c r="A196" s="83"/>
      <c r="B196" s="83" t="s">
        <v>896</v>
      </c>
      <c r="C196" s="159"/>
      <c r="D196" s="159"/>
      <c r="E196" s="159"/>
      <c r="F196" s="159"/>
      <c r="G196" s="159"/>
      <c r="H196" s="160"/>
      <c r="I196" s="57">
        <f t="shared" si="2"/>
        <v>0</v>
      </c>
      <c r="J196" s="62"/>
      <c r="K196" s="56"/>
      <c r="L196" s="159"/>
      <c r="M196" s="404"/>
      <c r="N196" s="383" t="s">
        <v>1607</v>
      </c>
      <c r="O196" s="383">
        <v>87</v>
      </c>
      <c r="P196" s="406">
        <v>2.5</v>
      </c>
      <c r="Q196" s="543"/>
    </row>
    <row r="197" spans="1:17" ht="13.2">
      <c r="A197" s="83"/>
      <c r="B197" s="386" t="str">
        <f>HYPERLINK("http://codeforces.com/contest/633/problem/D","CF633-D12-D")</f>
        <v>CF633-D12-D</v>
      </c>
      <c r="C197" s="159"/>
      <c r="D197" s="159"/>
      <c r="E197" s="159"/>
      <c r="F197" s="159"/>
      <c r="G197" s="159"/>
      <c r="H197" s="160"/>
      <c r="I197" s="57">
        <f t="shared" si="2"/>
        <v>0</v>
      </c>
      <c r="J197" s="102"/>
      <c r="K197" s="101"/>
      <c r="L197" s="159"/>
      <c r="M197" s="389" t="str">
        <f>HYPERLINK("https://www.youtube.com/watch?v=c6X5U5HATAA","Video Solution - Eng Muntaser Abukadeja")</f>
        <v>Video Solution - Eng Muntaser Abukadeja</v>
      </c>
      <c r="N197" s="383" t="s">
        <v>1612</v>
      </c>
      <c r="O197" s="383">
        <v>87</v>
      </c>
      <c r="P197" s="406">
        <v>2.5</v>
      </c>
      <c r="Q197" s="543"/>
    </row>
    <row r="198" spans="1:17" ht="13.2">
      <c r="A198" s="83"/>
      <c r="B198" s="83" t="s">
        <v>1060</v>
      </c>
      <c r="C198" s="159"/>
      <c r="D198" s="159"/>
      <c r="E198" s="159"/>
      <c r="F198" s="159"/>
      <c r="G198" s="159"/>
      <c r="H198" s="160"/>
      <c r="I198" s="57">
        <f t="shared" si="2"/>
        <v>0</v>
      </c>
      <c r="J198" s="62"/>
      <c r="K198" s="56"/>
      <c r="L198" s="405"/>
      <c r="M198" s="545"/>
      <c r="N198" s="383" t="s">
        <v>1613</v>
      </c>
      <c r="O198" s="383">
        <v>87</v>
      </c>
      <c r="P198" s="406">
        <v>2.5</v>
      </c>
      <c r="Q198" s="543"/>
    </row>
    <row r="199" spans="1:17" ht="13.2">
      <c r="A199" s="83" t="s">
        <v>260</v>
      </c>
      <c r="B199" s="386" t="str">
        <f>HYPERLINK("http://codeforces.com/contest/287/problem/B","CF287-D2-B")</f>
        <v>CF287-D2-B</v>
      </c>
      <c r="C199" s="159"/>
      <c r="D199" s="159"/>
      <c r="E199" s="159"/>
      <c r="F199" s="159"/>
      <c r="G199" s="159"/>
      <c r="H199" s="160"/>
      <c r="I199" s="57">
        <f t="shared" ref="I199:I262" si="3">SUM(E199:H199)</f>
        <v>0</v>
      </c>
      <c r="J199" s="136"/>
      <c r="K199" s="56"/>
      <c r="L199" s="136"/>
      <c r="M199" s="545"/>
      <c r="N199" s="383" t="s">
        <v>1638</v>
      </c>
      <c r="O199" s="383">
        <v>89</v>
      </c>
      <c r="P199" s="259">
        <v>2.5</v>
      </c>
    </row>
    <row r="200" spans="1:17" ht="13.2">
      <c r="A200" s="83" t="s">
        <v>399</v>
      </c>
      <c r="B200" s="386" t="str">
        <f>HYPERLINK("http://codeforces.com/contest/492/problem/B","CF492-D2-B")</f>
        <v>CF492-D2-B</v>
      </c>
      <c r="C200" s="159"/>
      <c r="D200" s="159"/>
      <c r="E200" s="159"/>
      <c r="F200" s="159"/>
      <c r="G200" s="159"/>
      <c r="H200" s="160"/>
      <c r="I200" s="57">
        <f t="shared" si="3"/>
        <v>0</v>
      </c>
      <c r="J200" s="62"/>
      <c r="K200" s="56"/>
      <c r="L200" s="159"/>
      <c r="M200" s="389" t="str">
        <f>HYPERLINK("https://www.youtube.com/watch?v=APkfGgJJVCc","Video Solution - Eng Yahia Ashraf")</f>
        <v>Video Solution - Eng Yahia Ashraf</v>
      </c>
      <c r="N200" s="399" t="s">
        <v>1638</v>
      </c>
      <c r="O200" s="399">
        <v>89</v>
      </c>
      <c r="P200" s="406">
        <v>2.5</v>
      </c>
      <c r="Q200" s="543"/>
    </row>
    <row r="201" spans="1:17" ht="13.2">
      <c r="A201" s="83" t="s">
        <v>262</v>
      </c>
      <c r="B201" s="386" t="str">
        <f>HYPERLINK("http://www.spoj.com/problems/AGGRCOW/","SPOJ AGGRCOW")</f>
        <v>SPOJ AGGRCOW</v>
      </c>
      <c r="C201" s="159"/>
      <c r="D201" s="159"/>
      <c r="E201" s="159"/>
      <c r="F201" s="159"/>
      <c r="G201" s="159"/>
      <c r="H201" s="160"/>
      <c r="I201" s="57">
        <f t="shared" si="3"/>
        <v>0</v>
      </c>
      <c r="J201" s="96"/>
      <c r="K201" s="56"/>
      <c r="L201" s="96"/>
      <c r="M201" s="389" t="str">
        <f>HYPERLINK("https://www.youtube.com/watch?v=QIANdSy3nQg","Video Solution - Solver to be (Java)")</f>
        <v>Video Solution - Solver to be (Java)</v>
      </c>
      <c r="N201" s="406" t="s">
        <v>1639</v>
      </c>
      <c r="O201" s="406">
        <v>89</v>
      </c>
      <c r="P201" s="383">
        <v>2.5</v>
      </c>
      <c r="Q201" s="37" t="s">
        <v>1226</v>
      </c>
    </row>
    <row r="202" spans="1:17" ht="13.2">
      <c r="A202" s="83" t="s">
        <v>482</v>
      </c>
      <c r="B202" s="386" t="str">
        <f>HYPERLINK("https://uva.onlinejudge.org/index.php?option=onlinejudge&amp;page=show_problem&amp;problem=1217","UVA 10276")</f>
        <v>UVA 10276</v>
      </c>
      <c r="C202" s="159"/>
      <c r="D202" s="159"/>
      <c r="E202" s="159"/>
      <c r="F202" s="159"/>
      <c r="G202" s="159"/>
      <c r="H202" s="160"/>
      <c r="I202" s="57">
        <f t="shared" si="3"/>
        <v>0</v>
      </c>
      <c r="J202" s="62"/>
      <c r="K202" s="56"/>
      <c r="L202" s="159"/>
      <c r="M202" s="389" t="str">
        <f>HYPERLINK("https://www.youtube.com/watch?v=s9jsw8Uj4uI&amp;feature=youtu.be","Video Solution - Eng Abanob Ashraf")</f>
        <v>Video Solution - Eng Abanob Ashraf</v>
      </c>
      <c r="N202" s="383" t="s">
        <v>1645</v>
      </c>
      <c r="O202" s="383">
        <v>94</v>
      </c>
      <c r="P202" s="406">
        <v>2.5</v>
      </c>
    </row>
    <row r="203" spans="1:17" ht="13.2">
      <c r="A203" s="83" t="s">
        <v>444</v>
      </c>
      <c r="B203" s="386" t="str">
        <f>HYPERLINK("https://uva.onlinejudge.org/index.php?option=com_onlinejudge&amp;Itemid=8&amp;page=show_problem&amp;problem=1018","UVA 10077")</f>
        <v>UVA 10077</v>
      </c>
      <c r="C203" s="159"/>
      <c r="D203" s="159"/>
      <c r="E203" s="159"/>
      <c r="F203" s="159"/>
      <c r="G203" s="159"/>
      <c r="H203" s="160"/>
      <c r="I203" s="57">
        <f t="shared" si="3"/>
        <v>0</v>
      </c>
      <c r="J203" s="62"/>
      <c r="K203" s="56"/>
      <c r="L203" s="159"/>
      <c r="M203" s="399"/>
      <c r="N203" s="383" t="s">
        <v>1672</v>
      </c>
      <c r="O203" s="383">
        <v>105</v>
      </c>
      <c r="P203" s="406">
        <v>2.5</v>
      </c>
    </row>
    <row r="204" spans="1:17" ht="13.2">
      <c r="A204" s="83" t="s">
        <v>784</v>
      </c>
      <c r="B204" s="386" t="str">
        <f>HYPERLINK("http://codeforces.com/contest/270/problem/C","CF270-D2-C")</f>
        <v>CF270-D2-C</v>
      </c>
      <c r="C204" s="159"/>
      <c r="D204" s="159"/>
      <c r="E204" s="159"/>
      <c r="F204" s="159"/>
      <c r="G204" s="159"/>
      <c r="H204" s="160"/>
      <c r="I204" s="57">
        <f t="shared" si="3"/>
        <v>0</v>
      </c>
      <c r="J204" s="62"/>
      <c r="K204" s="56"/>
      <c r="L204" s="159"/>
      <c r="M204" s="218"/>
      <c r="N204" s="383" t="s">
        <v>1225</v>
      </c>
      <c r="O204" s="383">
        <v>1</v>
      </c>
      <c r="P204" s="406">
        <v>3</v>
      </c>
      <c r="Q204" s="37" t="s">
        <v>1226</v>
      </c>
    </row>
    <row r="205" spans="1:17" ht="13.2">
      <c r="A205" s="83" t="s">
        <v>1150</v>
      </c>
      <c r="B205" s="386" t="str">
        <f>HYPERLINK("http://codeforces.com/contest/651/problem/D","CF651-D2-D")</f>
        <v>CF651-D2-D</v>
      </c>
      <c r="C205" s="159"/>
      <c r="D205" s="159"/>
      <c r="E205" s="159"/>
      <c r="F205" s="159"/>
      <c r="G205" s="159"/>
      <c r="H205" s="160"/>
      <c r="I205" s="57">
        <f t="shared" si="3"/>
        <v>0</v>
      </c>
      <c r="J205" s="96"/>
      <c r="K205" s="159"/>
      <c r="L205" s="405"/>
      <c r="M205" s="389" t="str">
        <f>HYPERLINK("https://www.youtube.com/watch?v=yDt7GWiPeV4","Video Solution - Dr Mostafa Saad")</f>
        <v>Video Solution - Dr Mostafa Saad</v>
      </c>
      <c r="N205" s="383" t="s">
        <v>1227</v>
      </c>
      <c r="O205" s="383">
        <v>1</v>
      </c>
      <c r="P205" s="383">
        <v>3</v>
      </c>
      <c r="Q205" s="37" t="s">
        <v>1224</v>
      </c>
    </row>
    <row r="206" spans="1:17" ht="13.2">
      <c r="A206" s="83" t="s">
        <v>700</v>
      </c>
      <c r="B206" s="386" t="str">
        <f>HYPERLINK("http://codeforces.com/contest/812/problem/C","CF812-D2-C")</f>
        <v>CF812-D2-C</v>
      </c>
      <c r="C206" s="159"/>
      <c r="D206" s="159"/>
      <c r="E206" s="159"/>
      <c r="F206" s="159"/>
      <c r="G206" s="159"/>
      <c r="H206" s="160"/>
      <c r="I206" s="57">
        <f t="shared" si="3"/>
        <v>0</v>
      </c>
      <c r="J206" s="62"/>
      <c r="K206" s="56"/>
      <c r="L206" s="159"/>
      <c r="M206" s="403" t="str">
        <f>HYPERLINK("https://en.wikipedia.org/wiki/Cycle_detection#Floyd.27s_Tortoise_and_Hare","Find O(n) Solution")</f>
        <v>Find O(n) Solution</v>
      </c>
      <c r="N206" s="383" t="s">
        <v>1228</v>
      </c>
      <c r="O206" s="383">
        <v>1</v>
      </c>
      <c r="P206" s="383">
        <v>3</v>
      </c>
      <c r="Q206" s="37" t="s">
        <v>1220</v>
      </c>
    </row>
    <row r="207" spans="1:17" ht="13.2">
      <c r="A207" s="83" t="s">
        <v>259</v>
      </c>
      <c r="B207" s="386" t="str">
        <f>HYPERLINK("https://uva.onlinejudge.org/index.php?option=com_onlinejudge&amp;Itemid=8&amp;page=show_problem&amp;problem=1552","UVA 10611")</f>
        <v>UVA 10611</v>
      </c>
      <c r="C207" s="159"/>
      <c r="D207" s="159"/>
      <c r="E207" s="159"/>
      <c r="F207" s="159"/>
      <c r="G207" s="159"/>
      <c r="H207" s="160"/>
      <c r="I207" s="57">
        <f t="shared" si="3"/>
        <v>0</v>
      </c>
      <c r="J207" s="96"/>
      <c r="K207" s="56"/>
      <c r="L207" s="96"/>
      <c r="M207" s="545"/>
      <c r="N207" s="383" t="s">
        <v>1254</v>
      </c>
      <c r="O207" s="383">
        <v>5</v>
      </c>
      <c r="P207" s="406">
        <v>3</v>
      </c>
      <c r="Q207" s="37" t="s">
        <v>1224</v>
      </c>
    </row>
    <row r="208" spans="1:17" ht="13.2">
      <c r="A208" s="83" t="s">
        <v>726</v>
      </c>
      <c r="B208" s="386" t="str">
        <f>HYPERLINK("http://codeforces.com/contest/75/problem/C","CF75-D2-C")</f>
        <v>CF75-D2-C</v>
      </c>
      <c r="C208" s="159"/>
      <c r="D208" s="159"/>
      <c r="E208" s="159"/>
      <c r="F208" s="159"/>
      <c r="G208" s="159"/>
      <c r="H208" s="160"/>
      <c r="I208" s="57">
        <f t="shared" si="3"/>
        <v>0</v>
      </c>
      <c r="J208" s="62"/>
      <c r="K208" s="56"/>
      <c r="L208" s="159"/>
      <c r="M208" s="389" t="str">
        <f>HYPERLINK("https://www.youtube.com/watch?v=4VBt8sKocyw","Video Solution - Solver to be (Java)")</f>
        <v>Video Solution - Solver to be (Java)</v>
      </c>
      <c r="N208" s="383" t="s">
        <v>1252</v>
      </c>
      <c r="O208" s="383">
        <v>5</v>
      </c>
      <c r="P208" s="383">
        <v>3</v>
      </c>
      <c r="Q208" s="543"/>
    </row>
    <row r="209" spans="1:17" ht="13.2">
      <c r="A209" s="83" t="s">
        <v>1013</v>
      </c>
      <c r="B209" s="386" t="str">
        <f>HYPERLINK("http://www.spoj.com/problems/DICTSUB/","SPOJ DICTSUB")</f>
        <v>SPOJ DICTSUB</v>
      </c>
      <c r="C209" s="159"/>
      <c r="D209" s="159"/>
      <c r="E209" s="159"/>
      <c r="F209" s="159"/>
      <c r="G209" s="159"/>
      <c r="H209" s="160"/>
      <c r="I209" s="57">
        <f t="shared" si="3"/>
        <v>0</v>
      </c>
      <c r="J209" s="62"/>
      <c r="K209" s="56"/>
      <c r="L209" s="159"/>
      <c r="M209" s="399"/>
      <c r="N209" s="383" t="s">
        <v>1255</v>
      </c>
      <c r="O209" s="383">
        <v>5</v>
      </c>
      <c r="P209" s="383">
        <v>3</v>
      </c>
      <c r="Q209" s="543"/>
    </row>
    <row r="210" spans="1:17" ht="13.2">
      <c r="A210" s="83" t="s">
        <v>1153</v>
      </c>
      <c r="B210" s="386" t="str">
        <f>HYPERLINK("http://codeforces.com/contest/255/problem/D","CF255-D2-D")</f>
        <v>CF255-D2-D</v>
      </c>
      <c r="C210" s="159"/>
      <c r="D210" s="159"/>
      <c r="E210" s="159"/>
      <c r="F210" s="159"/>
      <c r="G210" s="159"/>
      <c r="H210" s="160"/>
      <c r="I210" s="57">
        <f t="shared" si="3"/>
        <v>0</v>
      </c>
      <c r="J210" s="102"/>
      <c r="K210" s="101"/>
      <c r="L210" s="405"/>
      <c r="M210" s="77" t="str">
        <f>HYPERLINK("https://www.youtube.com/watch?v=2R9L6mVal9U","Video Solution - Eng Youssef El Ghareeb")</f>
        <v>Video Solution - Eng Youssef El Ghareeb</v>
      </c>
      <c r="N210" s="383" t="s">
        <v>1270</v>
      </c>
      <c r="O210" s="383">
        <v>6</v>
      </c>
      <c r="P210" s="383">
        <v>3</v>
      </c>
      <c r="Q210" s="543"/>
    </row>
    <row r="211" spans="1:17" ht="13.2">
      <c r="A211" s="83"/>
      <c r="B211" s="386" t="str">
        <f>HYPERLINK("https://codeforces.com/contest/1060/problem/C","CF1060-D12-C")</f>
        <v>CF1060-D12-C</v>
      </c>
      <c r="C211" s="159"/>
      <c r="D211" s="159"/>
      <c r="E211" s="159"/>
      <c r="F211" s="159"/>
      <c r="G211" s="159"/>
      <c r="H211" s="160"/>
      <c r="I211" s="57">
        <f t="shared" si="3"/>
        <v>0</v>
      </c>
      <c r="J211" s="62"/>
      <c r="K211" s="56"/>
      <c r="L211" s="159"/>
      <c r="M211" s="104" t="str">
        <f>HYPERLINK("https://github.com/Ownography/CP/blob/master/SPOJ%20POSTERIN", "Sol")</f>
        <v>Sol</v>
      </c>
      <c r="N211" s="265" t="s">
        <v>1283</v>
      </c>
      <c r="O211" s="383">
        <v>9</v>
      </c>
      <c r="P211" s="383">
        <v>3</v>
      </c>
      <c r="Q211" s="37" t="s">
        <v>1251</v>
      </c>
    </row>
    <row r="212" spans="1:17" ht="13.2">
      <c r="A212" s="83" t="s">
        <v>365</v>
      </c>
      <c r="B212" s="386" t="str">
        <f>HYPERLINK("http://codeforces.com/contest/448/problem/D","CF448-D2-D")</f>
        <v>CF448-D2-D</v>
      </c>
      <c r="C212" s="159"/>
      <c r="D212" s="159"/>
      <c r="E212" s="159"/>
      <c r="F212" s="159"/>
      <c r="G212" s="159"/>
      <c r="H212" s="160"/>
      <c r="I212" s="57">
        <f t="shared" si="3"/>
        <v>0</v>
      </c>
      <c r="J212" s="102"/>
      <c r="K212" s="101"/>
      <c r="L212" s="159"/>
      <c r="M212" s="545"/>
      <c r="N212" s="383" t="s">
        <v>1284</v>
      </c>
      <c r="O212" s="383">
        <v>9</v>
      </c>
      <c r="P212" s="383">
        <v>3</v>
      </c>
      <c r="Q212" s="543"/>
    </row>
    <row r="213" spans="1:17" ht="13.2">
      <c r="A213" s="83" t="s">
        <v>526</v>
      </c>
      <c r="B213" s="386" t="str">
        <f>HYPERLINK("https://uva.onlinejudge.org/index.php?option=onlinejudge&amp;page=show_problem&amp;problem=4330","UVA 1555")</f>
        <v>UVA 1555</v>
      </c>
      <c r="C213" s="159"/>
      <c r="D213" s="159"/>
      <c r="E213" s="159"/>
      <c r="F213" s="159"/>
      <c r="G213" s="159"/>
      <c r="H213" s="160"/>
      <c r="I213" s="57">
        <f t="shared" si="3"/>
        <v>0</v>
      </c>
      <c r="J213" s="102"/>
      <c r="K213" s="101"/>
      <c r="L213" s="159"/>
      <c r="M213" s="545"/>
      <c r="N213" s="383" t="s">
        <v>1299</v>
      </c>
      <c r="O213" s="383">
        <v>10</v>
      </c>
      <c r="P213" s="383">
        <v>3</v>
      </c>
      <c r="Q213" s="37" t="s">
        <v>1224</v>
      </c>
    </row>
    <row r="214" spans="1:17" ht="13.2">
      <c r="A214" s="83"/>
      <c r="B214" s="83" t="s">
        <v>909</v>
      </c>
      <c r="C214" s="159"/>
      <c r="D214" s="159"/>
      <c r="E214" s="159"/>
      <c r="F214" s="159"/>
      <c r="G214" s="159"/>
      <c r="H214" s="160"/>
      <c r="I214" s="57">
        <f t="shared" si="3"/>
        <v>0</v>
      </c>
      <c r="J214" s="102"/>
      <c r="K214" s="101"/>
      <c r="L214" s="159"/>
      <c r="M214" s="398" t="str">
        <f>HYPERLINK("https://www.youtube.com/watch?v=HN-oKkysTmc","Video Solution - Eng Ayman Salah")</f>
        <v>Video Solution - Eng Ayman Salah</v>
      </c>
      <c r="N214" s="383" t="s">
        <v>1300</v>
      </c>
      <c r="O214" s="383">
        <v>10</v>
      </c>
      <c r="P214" s="383">
        <v>3</v>
      </c>
      <c r="Q214" s="543"/>
    </row>
    <row r="215" spans="1:17" ht="13.2">
      <c r="A215" s="83" t="s">
        <v>1161</v>
      </c>
      <c r="B215" s="386" t="str">
        <f>HYPERLINK("http://www.spoj.com/problems/MSE07E/","SPOJ MSE07E")</f>
        <v>SPOJ MSE07E</v>
      </c>
      <c r="C215" s="159"/>
      <c r="D215" s="159"/>
      <c r="E215" s="159"/>
      <c r="F215" s="159"/>
      <c r="G215" s="159"/>
      <c r="H215" s="160"/>
      <c r="I215" s="57">
        <f t="shared" si="3"/>
        <v>0</v>
      </c>
      <c r="J215" s="96"/>
      <c r="K215" s="159"/>
      <c r="L215" s="405"/>
      <c r="M215" s="409" t="s">
        <v>609</v>
      </c>
      <c r="N215" s="383" t="s">
        <v>1301</v>
      </c>
      <c r="O215" s="383">
        <v>10</v>
      </c>
      <c r="P215" s="383">
        <v>3</v>
      </c>
      <c r="Q215" s="543"/>
    </row>
    <row r="216" spans="1:17" ht="13.2">
      <c r="A216" s="83"/>
      <c r="B216" s="83" t="s">
        <v>1045</v>
      </c>
      <c r="C216" s="159"/>
      <c r="D216" s="159"/>
      <c r="E216" s="159"/>
      <c r="F216" s="159"/>
      <c r="G216" s="159"/>
      <c r="H216" s="160"/>
      <c r="I216" s="57">
        <f t="shared" si="3"/>
        <v>0</v>
      </c>
      <c r="J216" s="102"/>
      <c r="K216" s="101"/>
      <c r="L216" s="159"/>
      <c r="M216" s="225" t="s">
        <v>614</v>
      </c>
      <c r="N216" s="383" t="s">
        <v>1302</v>
      </c>
      <c r="O216" s="383">
        <v>10</v>
      </c>
      <c r="P216" s="383">
        <v>3</v>
      </c>
      <c r="Q216" s="543"/>
    </row>
    <row r="217" spans="1:17" ht="13.2">
      <c r="A217" s="83"/>
      <c r="B217" s="83" t="s">
        <v>415</v>
      </c>
      <c r="C217" s="159"/>
      <c r="D217" s="159"/>
      <c r="E217" s="159"/>
      <c r="F217" s="159"/>
      <c r="G217" s="159"/>
      <c r="H217" s="160"/>
      <c r="I217" s="57">
        <f t="shared" si="3"/>
        <v>0</v>
      </c>
      <c r="J217" s="102"/>
      <c r="K217" s="101"/>
      <c r="L217" s="159"/>
      <c r="M217" s="389" t="str">
        <f>HYPERLINK("https://github.com/magdy-hasan/competitive-programming/blob/master/uva-/uva%20757%20-%20Gone%20Fishing.cpp","Sol to read")</f>
        <v>Sol to read</v>
      </c>
      <c r="N217" s="399" t="s">
        <v>1336</v>
      </c>
      <c r="O217" s="383">
        <v>15</v>
      </c>
      <c r="P217" s="383">
        <v>3</v>
      </c>
      <c r="Q217" s="543"/>
    </row>
    <row r="218" spans="1:17" ht="13.2">
      <c r="A218" s="83" t="s">
        <v>593</v>
      </c>
      <c r="B218" s="386" t="str">
        <f>HYPERLINK("http://codeforces.com/contest/357/problem/C","CF357-D2-C")</f>
        <v>CF357-D2-C</v>
      </c>
      <c r="C218" s="159"/>
      <c r="D218" s="159"/>
      <c r="E218" s="159"/>
      <c r="F218" s="159"/>
      <c r="G218" s="159"/>
      <c r="H218" s="160"/>
      <c r="I218" s="57">
        <f t="shared" si="3"/>
        <v>0</v>
      </c>
      <c r="J218" s="62"/>
      <c r="K218" s="56"/>
      <c r="L218" s="159"/>
      <c r="M218" s="249"/>
      <c r="N218" s="383" t="s">
        <v>1340</v>
      </c>
      <c r="O218" s="383">
        <v>18</v>
      </c>
      <c r="P218" s="383">
        <v>3</v>
      </c>
    </row>
    <row r="219" spans="1:17" ht="13.2">
      <c r="A219" s="83"/>
      <c r="B219" s="386" t="str">
        <f>HYPERLINK("https://icpcarchive.ecs.baylor.edu/index.php?option=com_onlinejudge&amp;Itemid=8&amp;page=show_problem&amp;problem=6100","LiveArchive 8078")</f>
        <v>LiveArchive 8078</v>
      </c>
      <c r="C219" s="159"/>
      <c r="D219" s="159"/>
      <c r="E219" s="159"/>
      <c r="F219" s="159"/>
      <c r="G219" s="159"/>
      <c r="H219" s="160"/>
      <c r="I219" s="57">
        <f t="shared" si="3"/>
        <v>0</v>
      </c>
      <c r="J219" s="102"/>
      <c r="K219" s="101"/>
      <c r="L219" s="159"/>
      <c r="M219" s="249"/>
      <c r="N219" s="399" t="s">
        <v>1340</v>
      </c>
      <c r="O219" s="383">
        <v>18</v>
      </c>
      <c r="P219" s="383">
        <v>3</v>
      </c>
      <c r="Q219" s="543"/>
    </row>
    <row r="220" spans="1:17" ht="13.2">
      <c r="A220" s="83" t="s">
        <v>638</v>
      </c>
      <c r="B220" s="386" t="str">
        <f>HYPERLINK("http://codeforces.com/contest/92/problem/D","CF92-D2-D")</f>
        <v>CF92-D2-D</v>
      </c>
      <c r="C220" s="159"/>
      <c r="D220" s="159"/>
      <c r="E220" s="159"/>
      <c r="F220" s="159"/>
      <c r="G220" s="159"/>
      <c r="H220" s="160"/>
      <c r="I220" s="57">
        <f t="shared" si="3"/>
        <v>0</v>
      </c>
      <c r="J220" s="102"/>
      <c r="K220" s="101"/>
      <c r="L220" s="159"/>
      <c r="M220" s="404"/>
      <c r="N220" s="383" t="s">
        <v>1348</v>
      </c>
      <c r="O220" s="383">
        <v>23</v>
      </c>
      <c r="P220" s="383">
        <v>3</v>
      </c>
      <c r="Q220" s="37" t="s">
        <v>1226</v>
      </c>
    </row>
    <row r="221" spans="1:17" ht="13.2">
      <c r="A221" s="83" t="s">
        <v>632</v>
      </c>
      <c r="B221" s="386" t="str">
        <f>HYPERLINK("http://codeforces.com/contest/705/problem/C","CF705-D2-C")</f>
        <v>CF705-D2-C</v>
      </c>
      <c r="C221" s="159"/>
      <c r="D221" s="159"/>
      <c r="E221" s="159"/>
      <c r="F221" s="159"/>
      <c r="G221" s="159"/>
      <c r="H221" s="160"/>
      <c r="I221" s="57">
        <f t="shared" si="3"/>
        <v>0</v>
      </c>
      <c r="J221" s="62"/>
      <c r="K221" s="56"/>
      <c r="L221" s="159"/>
      <c r="M221" s="403" t="str">
        <f>HYPERLINK("https://github.com/VAMPIER000001/CompetitiveProgramming/blob/58946d0dcba06adfc2c5ec0b423546a6a0c6da9c/UVA/V-104/UVA%2010404.Cpp","Sol")</f>
        <v>Sol</v>
      </c>
      <c r="N221" s="383" t="s">
        <v>1349</v>
      </c>
      <c r="O221" s="383">
        <v>23</v>
      </c>
      <c r="P221" s="383">
        <v>3</v>
      </c>
      <c r="Q221" s="543"/>
    </row>
    <row r="222" spans="1:17" ht="13.2">
      <c r="A222" s="83" t="s">
        <v>906</v>
      </c>
      <c r="B222" s="386" t="str">
        <f>HYPERLINK("https://uva.onlinejudge.org/index.php?option=com_onlinejudge&amp;Itemid=8&amp;page=show_problem&amp;problem=4467","UVA 1592")</f>
        <v>UVA 1592</v>
      </c>
      <c r="C222" s="159"/>
      <c r="D222" s="159"/>
      <c r="E222" s="159"/>
      <c r="F222" s="159"/>
      <c r="G222" s="159"/>
      <c r="H222" s="160"/>
      <c r="I222" s="57">
        <f t="shared" si="3"/>
        <v>0</v>
      </c>
      <c r="J222" s="102"/>
      <c r="K222" s="101"/>
      <c r="L222" s="159"/>
      <c r="M222" s="404"/>
      <c r="N222" s="383" t="s">
        <v>1350</v>
      </c>
      <c r="O222" s="383">
        <v>23</v>
      </c>
      <c r="P222" s="383">
        <v>3</v>
      </c>
      <c r="Q222" s="543"/>
    </row>
    <row r="223" spans="1:17" ht="13.2">
      <c r="A223" s="83" t="s">
        <v>712</v>
      </c>
      <c r="B223" s="386" t="str">
        <f>HYPERLINK("http://codeforces.com/contest/276/problem/C","CF276-D2-C")</f>
        <v>CF276-D2-C</v>
      </c>
      <c r="C223" s="159"/>
      <c r="D223" s="159"/>
      <c r="E223" s="159"/>
      <c r="F223" s="159"/>
      <c r="G223" s="159"/>
      <c r="H223" s="160"/>
      <c r="I223" s="57">
        <f t="shared" si="3"/>
        <v>0</v>
      </c>
      <c r="J223" s="62"/>
      <c r="K223" s="56"/>
      <c r="L223" s="159"/>
      <c r="M223" s="545"/>
      <c r="N223" s="383" t="s">
        <v>1371</v>
      </c>
      <c r="O223" s="383">
        <v>36</v>
      </c>
      <c r="P223" s="383">
        <v>3</v>
      </c>
    </row>
    <row r="224" spans="1:17" ht="13.2">
      <c r="A224" s="83" t="s">
        <v>711</v>
      </c>
      <c r="B224" s="386" t="str">
        <f>HYPERLINK("http://codeforces.com/contest/518/problem/C","CF518-D2-C")</f>
        <v>CF518-D2-C</v>
      </c>
      <c r="C224" s="159"/>
      <c r="D224" s="159"/>
      <c r="E224" s="159"/>
      <c r="F224" s="159"/>
      <c r="G224" s="159"/>
      <c r="H224" s="160"/>
      <c r="I224" s="57">
        <f t="shared" si="3"/>
        <v>0</v>
      </c>
      <c r="J224" s="62"/>
      <c r="K224" s="56"/>
      <c r="L224" s="159"/>
      <c r="M224" s="545"/>
      <c r="N224" s="383" t="s">
        <v>1372</v>
      </c>
      <c r="O224" s="383">
        <v>36</v>
      </c>
      <c r="P224" s="383">
        <v>3</v>
      </c>
    </row>
    <row r="225" spans="1:17" ht="13.2">
      <c r="A225" s="83" t="s">
        <v>869</v>
      </c>
      <c r="B225" s="386" t="str">
        <f>HYPERLINK("http://codeforces.com/contest/697/problem/C","CF697-D2-C")</f>
        <v>CF697-D2-C</v>
      </c>
      <c r="C225" s="159"/>
      <c r="D225" s="159"/>
      <c r="E225" s="159"/>
      <c r="F225" s="159"/>
      <c r="G225" s="159"/>
      <c r="H225" s="160"/>
      <c r="I225" s="57">
        <f t="shared" si="3"/>
        <v>0</v>
      </c>
      <c r="J225" s="102"/>
      <c r="K225" s="101"/>
      <c r="L225" s="159"/>
      <c r="M225" s="83"/>
      <c r="N225" s="383" t="s">
        <v>1391</v>
      </c>
      <c r="O225" s="383">
        <v>45</v>
      </c>
      <c r="P225" s="383">
        <v>3</v>
      </c>
      <c r="Q225" s="37" t="s">
        <v>1220</v>
      </c>
    </row>
    <row r="226" spans="1:17" ht="13.2">
      <c r="A226" s="83" t="s">
        <v>1011</v>
      </c>
      <c r="B226" s="386" t="str">
        <f>HYPERLINK("http://www.spoj.com/problems/WEIRDFN/","SPOJ WEIRDFN")</f>
        <v>SPOJ WEIRDFN</v>
      </c>
      <c r="C226" s="159"/>
      <c r="D226" s="159"/>
      <c r="E226" s="159"/>
      <c r="F226" s="159"/>
      <c r="G226" s="159"/>
      <c r="H226" s="160"/>
      <c r="I226" s="57">
        <f t="shared" si="3"/>
        <v>0</v>
      </c>
      <c r="J226" s="62"/>
      <c r="K226" s="56"/>
      <c r="L226" s="405"/>
      <c r="M226" s="414"/>
      <c r="N226" s="383" t="s">
        <v>1390</v>
      </c>
      <c r="O226" s="383">
        <v>45</v>
      </c>
      <c r="P226" s="383">
        <v>3</v>
      </c>
      <c r="Q226" s="543"/>
    </row>
    <row r="227" spans="1:17" ht="13.2">
      <c r="A227" s="83" t="s">
        <v>1159</v>
      </c>
      <c r="B227" s="386" t="str">
        <f>HYPERLINK("https://uva.onlinejudge.org/index.php?option=onlinejudge&amp;page=show_problem&amp;problem=442","UVA 501")</f>
        <v>UVA 501</v>
      </c>
      <c r="C227" s="159"/>
      <c r="D227" s="159"/>
      <c r="E227" s="159"/>
      <c r="F227" s="159"/>
      <c r="G227" s="159"/>
      <c r="H227" s="160"/>
      <c r="I227" s="57">
        <f t="shared" si="3"/>
        <v>0</v>
      </c>
      <c r="J227" s="96"/>
      <c r="K227" s="159"/>
      <c r="L227" s="405"/>
      <c r="M227" s="404"/>
      <c r="N227" s="383" t="s">
        <v>1392</v>
      </c>
      <c r="O227" s="383">
        <v>45</v>
      </c>
      <c r="P227" s="383">
        <v>3</v>
      </c>
      <c r="Q227" s="543"/>
    </row>
    <row r="228" spans="1:17" ht="13.2">
      <c r="A228" s="83" t="s">
        <v>905</v>
      </c>
      <c r="B228" s="386" t="str">
        <f>HYPERLINK("https://icpcarchive.ecs.baylor.edu/index.php?option=com_onlinejudge&amp;Itemid=8&amp;category=19&amp;page=show_problem&amp;problem=1635","LiveArchive 3634")</f>
        <v>LiveArchive 3634</v>
      </c>
      <c r="C228" s="159"/>
      <c r="D228" s="159"/>
      <c r="E228" s="159"/>
      <c r="F228" s="159"/>
      <c r="G228" s="159"/>
      <c r="H228" s="160"/>
      <c r="I228" s="57">
        <f t="shared" si="3"/>
        <v>0</v>
      </c>
      <c r="J228" s="102"/>
      <c r="K228" s="101"/>
      <c r="L228" s="159"/>
      <c r="M228" s="545"/>
      <c r="N228" s="383" t="s">
        <v>1393</v>
      </c>
      <c r="O228" s="383">
        <v>45</v>
      </c>
      <c r="P228" s="383">
        <v>3</v>
      </c>
      <c r="Q228" s="543"/>
    </row>
    <row r="229" spans="1:17" ht="13.2">
      <c r="A229" s="83"/>
      <c r="B229" s="386" t="str">
        <f>HYPERLINK("http://codeforces.com/problemset/problem/899/E","CF899-D2-E")</f>
        <v>CF899-D2-E</v>
      </c>
      <c r="C229" s="159"/>
      <c r="D229" s="159"/>
      <c r="E229" s="159"/>
      <c r="F229" s="159"/>
      <c r="G229" s="159"/>
      <c r="H229" s="160"/>
      <c r="I229" s="57">
        <f t="shared" si="3"/>
        <v>0</v>
      </c>
      <c r="J229" s="102"/>
      <c r="K229" s="101"/>
      <c r="L229" s="159"/>
      <c r="M229" s="392" t="str">
        <f>HYPERLINK("https://www.youtube.com/watch?v=QkYkuhUHMQA&amp;feature=youtu.be","Video Solution - Eng Magdy Hasan")</f>
        <v>Video Solution - Eng Magdy Hasan</v>
      </c>
      <c r="N229" s="383" t="s">
        <v>1394</v>
      </c>
      <c r="O229" s="383">
        <v>45</v>
      </c>
      <c r="P229" s="383">
        <v>3</v>
      </c>
      <c r="Q229" s="543"/>
    </row>
    <row r="230" spans="1:17" ht="13.2">
      <c r="A230" s="83" t="s">
        <v>1097</v>
      </c>
      <c r="B230" s="386" t="str">
        <f>HYPERLINK("http://codeforces.com/contest/548/problem/D","CF548-D2-D")</f>
        <v>CF548-D2-D</v>
      </c>
      <c r="C230" s="159"/>
      <c r="D230" s="159"/>
      <c r="E230" s="159"/>
      <c r="F230" s="159"/>
      <c r="G230" s="159"/>
      <c r="H230" s="160"/>
      <c r="I230" s="57">
        <f t="shared" si="3"/>
        <v>0</v>
      </c>
      <c r="J230" s="62"/>
      <c r="K230" s="56"/>
      <c r="L230" s="405"/>
      <c r="M230" s="403" t="str">
        <f>HYPERLINK("https://github.com/MeGaCrazy/CompetitiveProgramming/blob/51252e18803855ed2eacedc50f53b90fe8d184e6/UVA/UVA_10301.cpp","Sol")</f>
        <v>Sol</v>
      </c>
      <c r="N230" s="383" t="s">
        <v>1418</v>
      </c>
      <c r="O230" s="383">
        <v>47</v>
      </c>
      <c r="P230" s="383">
        <v>3</v>
      </c>
      <c r="Q230" s="37" t="s">
        <v>1220</v>
      </c>
    </row>
    <row r="231" spans="1:17" ht="13.2">
      <c r="A231" s="83" t="s">
        <v>1133</v>
      </c>
      <c r="B231" s="386" t="str">
        <f>HYPERLINK("https://uva.onlinejudge.org/index.php?option=com_onlinejudge&amp;Itemid=8&amp;page=show_problem&amp;problem=4395","UVA 12657")</f>
        <v>UVA 12657</v>
      </c>
      <c r="C231" s="159"/>
      <c r="D231" s="159"/>
      <c r="E231" s="159"/>
      <c r="F231" s="159"/>
      <c r="G231" s="159"/>
      <c r="H231" s="160"/>
      <c r="I231" s="57">
        <f t="shared" si="3"/>
        <v>0</v>
      </c>
      <c r="J231" s="102"/>
      <c r="K231" s="101"/>
      <c r="L231" s="405"/>
      <c r="M231" s="389" t="str">
        <f>HYPERLINK("https://github.com/AymanSalah96/CompetitiveProgramming/blob/master/UVA/356.cpp","Sol to read")</f>
        <v>Sol to read</v>
      </c>
      <c r="N231" s="383" t="s">
        <v>1419</v>
      </c>
      <c r="O231" s="383">
        <v>47</v>
      </c>
      <c r="P231" s="383">
        <v>3</v>
      </c>
      <c r="Q231" s="543"/>
    </row>
    <row r="232" spans="1:17" ht="13.2">
      <c r="A232" s="83" t="s">
        <v>1160</v>
      </c>
      <c r="B232" s="386" t="str">
        <f>HYPERLINK("https://uva.onlinejudge.org/index.php?option=com_onlinejudge&amp;Itemid=8&amp;page=show_problem&amp;problem=2175","UVA 11234")</f>
        <v>UVA 11234</v>
      </c>
      <c r="C232" s="159"/>
      <c r="D232" s="159"/>
      <c r="E232" s="159"/>
      <c r="F232" s="159"/>
      <c r="G232" s="159"/>
      <c r="H232" s="160"/>
      <c r="I232" s="57">
        <f t="shared" si="3"/>
        <v>0</v>
      </c>
      <c r="J232" s="96"/>
      <c r="K232" s="159"/>
      <c r="L232" s="405"/>
      <c r="M232" s="403" t="str">
        <f>HYPERLINK("https://github.com/hosamk92/CompetitiveProgramming/blob/master/UVA/UVA%20438.cpp","Sol")</f>
        <v>Sol</v>
      </c>
      <c r="N232" s="383" t="s">
        <v>1419</v>
      </c>
      <c r="O232" s="383">
        <v>47</v>
      </c>
      <c r="P232" s="383">
        <v>3</v>
      </c>
      <c r="Q232" s="543"/>
    </row>
    <row r="233" spans="1:17" ht="13.2">
      <c r="A233" s="83"/>
      <c r="B233" s="83" t="s">
        <v>931</v>
      </c>
      <c r="C233" s="159"/>
      <c r="D233" s="159"/>
      <c r="E233" s="159"/>
      <c r="F233" s="159"/>
      <c r="G233" s="159"/>
      <c r="H233" s="160"/>
      <c r="I233" s="57">
        <f t="shared" si="3"/>
        <v>0</v>
      </c>
      <c r="J233" s="62"/>
      <c r="K233" s="56"/>
      <c r="L233" s="159"/>
      <c r="M233" s="389" t="str">
        <f>HYPERLINK("https://github.com/MohamedNabil97/CompetitiveProgramming/blob/master/UVA/10263.cpp","Sol to read")</f>
        <v>Sol to read</v>
      </c>
      <c r="N233" s="383" t="s">
        <v>1427</v>
      </c>
      <c r="O233" s="383">
        <v>48</v>
      </c>
      <c r="P233" s="383">
        <v>3</v>
      </c>
      <c r="Q233" s="37" t="s">
        <v>1226</v>
      </c>
    </row>
    <row r="234" spans="1:17" ht="13.2">
      <c r="A234" s="83" t="s">
        <v>626</v>
      </c>
      <c r="B234" s="386" t="str">
        <f>HYPERLINK("https://uva.onlinejudge.org/index.php?option=com_onlinejudge&amp;Itemid=8&amp;page=show_problem&amp;problem=944","UVA 10003")</f>
        <v>UVA 10003</v>
      </c>
      <c r="C234" s="159"/>
      <c r="D234" s="159"/>
      <c r="E234" s="159"/>
      <c r="F234" s="159"/>
      <c r="G234" s="159"/>
      <c r="H234" s="160"/>
      <c r="I234" s="57">
        <f t="shared" si="3"/>
        <v>0</v>
      </c>
      <c r="J234" s="62"/>
      <c r="K234" s="56"/>
      <c r="L234" s="159"/>
      <c r="M234" s="232" t="str">
        <f>HYPERLINK("https://www.youtube.com/watch?v=EbB6g4GuNrQ","Video Solution - Eng Mohamed Nasser. Don't Code O(N^3)")</f>
        <v>Video Solution - Eng Mohamed Nasser. Don't Code O(N^3)</v>
      </c>
      <c r="N234" s="383" t="s">
        <v>1428</v>
      </c>
      <c r="O234" s="383">
        <v>48</v>
      </c>
      <c r="P234" s="383">
        <v>3</v>
      </c>
      <c r="Q234" s="37" t="s">
        <v>1226</v>
      </c>
    </row>
    <row r="235" spans="1:17" ht="13.2">
      <c r="A235" s="83" t="s">
        <v>610</v>
      </c>
      <c r="B235" s="386" t="str">
        <f>HYPERLINK("https://uva.onlinejudge.org/index.php?option=com_onlinejudge&amp;Itemid=8&amp;page=show_problem&amp;problem=503","UVA 562")</f>
        <v>UVA 562</v>
      </c>
      <c r="C235" s="159"/>
      <c r="D235" s="159"/>
      <c r="E235" s="159"/>
      <c r="F235" s="159"/>
      <c r="G235" s="159"/>
      <c r="H235" s="160"/>
      <c r="I235" s="57">
        <f t="shared" si="3"/>
        <v>0</v>
      </c>
      <c r="J235" s="62"/>
      <c r="K235" s="56"/>
      <c r="L235" s="159"/>
      <c r="M235" s="293" t="str">
        <f>HYPERLINK("https://github.com/osamahatem/CompetitiveProgramming/blob/master/UVA/11473%20-%20Campus%20Roads.cpp","Sol")</f>
        <v>Sol</v>
      </c>
      <c r="N235" s="383" t="s">
        <v>1429</v>
      </c>
      <c r="O235" s="383">
        <v>48</v>
      </c>
      <c r="P235" s="383">
        <v>3</v>
      </c>
      <c r="Q235" s="37" t="s">
        <v>1224</v>
      </c>
    </row>
    <row r="236" spans="1:17" ht="13.2">
      <c r="A236" s="83" t="s">
        <v>608</v>
      </c>
      <c r="B236" s="386" t="str">
        <f>HYPERLINK("https://uva.onlinejudge.org/index.php?option=onlinejudge&amp;page=show_problem&amp;problem=1133","UVA 10192")</f>
        <v>UVA 10192</v>
      </c>
      <c r="C236" s="159"/>
      <c r="D236" s="159"/>
      <c r="E236" s="159"/>
      <c r="F236" s="159"/>
      <c r="G236" s="159"/>
      <c r="H236" s="160"/>
      <c r="I236" s="57">
        <f t="shared" si="3"/>
        <v>0</v>
      </c>
      <c r="J236" s="62"/>
      <c r="K236" s="56"/>
      <c r="L236" s="159"/>
      <c r="M236" s="545"/>
      <c r="N236" s="383" t="s">
        <v>1430</v>
      </c>
      <c r="O236" s="383">
        <v>48</v>
      </c>
      <c r="P236" s="383">
        <v>3</v>
      </c>
    </row>
    <row r="237" spans="1:17" ht="13.2">
      <c r="A237" s="83" t="s">
        <v>615</v>
      </c>
      <c r="B237" s="386" t="str">
        <f>HYPERLINK("https://uva.onlinejudge.org/index.php?option=com_onlinejudge&amp;Itemid=8&amp;page=show_problem&amp;problem=977","UVA 10036")</f>
        <v>UVA 10036</v>
      </c>
      <c r="C237" s="159"/>
      <c r="D237" s="159"/>
      <c r="E237" s="159"/>
      <c r="F237" s="159"/>
      <c r="G237" s="159"/>
      <c r="H237" s="160"/>
      <c r="I237" s="57">
        <f t="shared" si="3"/>
        <v>0</v>
      </c>
      <c r="J237" s="62"/>
      <c r="K237" s="56"/>
      <c r="L237" s="159"/>
      <c r="M237" s="403" t="str">
        <f>HYPERLINK("https://github.com/MeGaCrazy/CompetitiveProgramming/blob/6c8e6d79950bbe406f56e3b990159810fcca7431/UVA/UVA_273.cpp","Sol")</f>
        <v>Sol</v>
      </c>
      <c r="N237" s="383" t="s">
        <v>1431</v>
      </c>
      <c r="O237" s="383">
        <v>48</v>
      </c>
      <c r="P237" s="383">
        <v>3</v>
      </c>
    </row>
    <row r="238" spans="1:17" ht="13.2">
      <c r="A238" s="83" t="s">
        <v>792</v>
      </c>
      <c r="B238" s="386" t="str">
        <f>HYPERLINK("https://uva.onlinejudge.org/index.php?option=onlinejudge&amp;page=show_problem&amp;problem=1041","UVA 10100")</f>
        <v>UVA 10100</v>
      </c>
      <c r="C238" s="159"/>
      <c r="D238" s="159"/>
      <c r="E238" s="159"/>
      <c r="F238" s="159"/>
      <c r="G238" s="159"/>
      <c r="H238" s="160"/>
      <c r="I238" s="57">
        <f t="shared" si="3"/>
        <v>0</v>
      </c>
      <c r="J238" s="62"/>
      <c r="K238" s="56"/>
      <c r="L238" s="159"/>
      <c r="M238" s="403" t="str">
        <f>HYPERLINK("https://github.com/hosamk92/CompetitiveProgramming/blob/master/UVA/UVA%2011343.cpp","Sol")</f>
        <v>Sol</v>
      </c>
      <c r="N238" s="383" t="s">
        <v>1432</v>
      </c>
      <c r="O238" s="383">
        <v>48</v>
      </c>
      <c r="P238" s="383">
        <v>3</v>
      </c>
    </row>
    <row r="239" spans="1:17" ht="13.2">
      <c r="A239" s="83"/>
      <c r="B239" s="386" t="str">
        <f>HYPERLINK("https://codeforces.com/contest/1057/problem/C","CF1057-D12-C")</f>
        <v>CF1057-D12-C</v>
      </c>
      <c r="C239" s="159"/>
      <c r="D239" s="159"/>
      <c r="E239" s="159"/>
      <c r="F239" s="159"/>
      <c r="G239" s="159"/>
      <c r="H239" s="160"/>
      <c r="I239" s="57">
        <f t="shared" si="3"/>
        <v>0</v>
      </c>
      <c r="J239" s="62"/>
      <c r="K239" s="56"/>
      <c r="L239" s="159"/>
      <c r="M239" s="545"/>
      <c r="N239" s="383" t="s">
        <v>1451</v>
      </c>
      <c r="O239" s="383"/>
      <c r="P239" s="383">
        <v>3</v>
      </c>
      <c r="Q239" s="543"/>
    </row>
    <row r="240" spans="1:17" ht="13.2">
      <c r="A240" s="83" t="s">
        <v>649</v>
      </c>
      <c r="B240" s="386" t="str">
        <f>HYPERLINK("http://codeforces.com/contest/604/problem/C","CF604-D2-C")</f>
        <v>CF604-D2-C</v>
      </c>
      <c r="C240" s="159"/>
      <c r="D240" s="159"/>
      <c r="E240" s="159"/>
      <c r="F240" s="159"/>
      <c r="G240" s="159"/>
      <c r="H240" s="160"/>
      <c r="I240" s="57">
        <f t="shared" si="3"/>
        <v>0</v>
      </c>
      <c r="J240" s="62"/>
      <c r="K240" s="56"/>
      <c r="L240" s="159"/>
      <c r="M240" s="395" t="str">
        <f>HYPERLINK("https://www.youtube.com/watch?v=HtaczlDLylk","Video Solution - Eng Ayman Salah")</f>
        <v>Video Solution - Eng Ayman Salah</v>
      </c>
      <c r="N240" s="383" t="s">
        <v>1452</v>
      </c>
      <c r="O240" s="383">
        <v>55</v>
      </c>
      <c r="P240" s="383">
        <v>3</v>
      </c>
      <c r="Q240" s="543"/>
    </row>
    <row r="241" spans="1:17" ht="13.2">
      <c r="A241" s="83" t="s">
        <v>698</v>
      </c>
      <c r="B241" s="386" t="str">
        <f>HYPERLINK("https://uva.onlinejudge.org/index.php?option=com_onlinejudge&amp;Itemid=8&amp;page=show_problem&amp;problem=1680","UVA 10739")</f>
        <v>UVA 10739</v>
      </c>
      <c r="C241" s="159"/>
      <c r="D241" s="159"/>
      <c r="E241" s="159"/>
      <c r="F241" s="159"/>
      <c r="G241" s="159"/>
      <c r="H241" s="160"/>
      <c r="I241" s="57">
        <f t="shared" si="3"/>
        <v>0</v>
      </c>
      <c r="J241" s="62"/>
      <c r="K241" s="56"/>
      <c r="L241" s="159"/>
      <c r="M241" s="392" t="str">
        <f>HYPERLINK("https://www.youtube.com/watch?v=b6D-7cqN2jM","Video Solution - SolverToBe (Java)")</f>
        <v>Video Solution - SolverToBe (Java)</v>
      </c>
      <c r="N241" s="383" t="s">
        <v>1453</v>
      </c>
      <c r="O241" s="383">
        <v>55</v>
      </c>
      <c r="P241" s="383">
        <v>3</v>
      </c>
    </row>
    <row r="242" spans="1:17" ht="13.2">
      <c r="A242" s="83" t="s">
        <v>699</v>
      </c>
      <c r="B242" s="386" t="str">
        <f>HYPERLINK("https://uva.onlinejudge.org/index.php?option=onlinejudge&amp;page=show_problem&amp;problem=1760","UVA 10819")</f>
        <v>UVA 10819</v>
      </c>
      <c r="C242" s="159"/>
      <c r="D242" s="159"/>
      <c r="E242" s="159"/>
      <c r="F242" s="159"/>
      <c r="G242" s="159"/>
      <c r="H242" s="160"/>
      <c r="I242" s="57">
        <f t="shared" si="3"/>
        <v>0</v>
      </c>
      <c r="J242" s="62"/>
      <c r="K242" s="56"/>
      <c r="L242" s="159"/>
      <c r="M242" s="403" t="str">
        <f>HYPERLINK("https://github.com/abdullaAshraf/Problem-Solving/blob/master/SPOJ/PT07Z.cpp","Sol")</f>
        <v>Sol</v>
      </c>
      <c r="N242" s="383" t="s">
        <v>1454</v>
      </c>
      <c r="O242" s="383">
        <v>55</v>
      </c>
      <c r="P242" s="383">
        <v>3</v>
      </c>
    </row>
    <row r="243" spans="1:17" ht="13.2">
      <c r="A243" s="83" t="s">
        <v>428</v>
      </c>
      <c r="B243" s="386" t="str">
        <f>HYPERLINK("http://codeforces.com/contest/545/problem/C","CF545-D2-C")</f>
        <v>CF545-D2-C</v>
      </c>
      <c r="C243" s="159"/>
      <c r="D243" s="159"/>
      <c r="E243" s="159"/>
      <c r="F243" s="159"/>
      <c r="G243" s="159"/>
      <c r="H243" s="160"/>
      <c r="I243" s="57">
        <f t="shared" si="3"/>
        <v>0</v>
      </c>
      <c r="J243" s="62"/>
      <c r="K243" s="56"/>
      <c r="L243" s="159"/>
      <c r="M243" s="403" t="str">
        <f>HYPERLINK("https://github.com/ilyesG/Competitive-Programming/blob/master/UVA/UVA%2010308.cpp","Sol")</f>
        <v>Sol</v>
      </c>
      <c r="N243" s="383" t="s">
        <v>1454</v>
      </c>
      <c r="O243" s="383">
        <v>55</v>
      </c>
      <c r="P243" s="383">
        <v>3</v>
      </c>
    </row>
    <row r="244" spans="1:17" ht="13.2">
      <c r="A244" s="83" t="s">
        <v>794</v>
      </c>
      <c r="B244" s="386" t="str">
        <f>HYPERLINK("https://uva.onlinejudge.org/index.php?option=com_onlinejudge&amp;Itemid=8&amp;page=show_problem&amp;problem=1139","UVA 10198")</f>
        <v>UVA 10198</v>
      </c>
      <c r="C244" s="159"/>
      <c r="D244" s="159"/>
      <c r="E244" s="159"/>
      <c r="F244" s="159"/>
      <c r="G244" s="159"/>
      <c r="H244" s="160"/>
      <c r="I244" s="57">
        <f t="shared" si="3"/>
        <v>0</v>
      </c>
      <c r="J244" s="62"/>
      <c r="K244" s="56"/>
      <c r="L244" s="159"/>
      <c r="M244" s="210" t="str">
        <f>HYPERLINK("https://github.com/omarkhair/Problems-Editorial/blob/master/SPOJ/Bitmap/Editorial.md","Editorial")</f>
        <v>Editorial</v>
      </c>
      <c r="N244" s="383" t="s">
        <v>1465</v>
      </c>
      <c r="O244" s="383">
        <v>57</v>
      </c>
      <c r="P244" s="383">
        <v>3</v>
      </c>
      <c r="Q244" s="37" t="s">
        <v>1226</v>
      </c>
    </row>
    <row r="245" spans="1:17" ht="13.2">
      <c r="A245" s="83" t="s">
        <v>1008</v>
      </c>
      <c r="B245" s="386" t="str">
        <f>HYPERLINK("http://codeforces.com/contest/489/problem/C","CF489-D2-C")</f>
        <v>CF489-D2-C</v>
      </c>
      <c r="C245" s="159"/>
      <c r="D245" s="159"/>
      <c r="E245" s="159"/>
      <c r="F245" s="159"/>
      <c r="G245" s="159"/>
      <c r="H245" s="160"/>
      <c r="I245" s="57">
        <f t="shared" si="3"/>
        <v>0</v>
      </c>
      <c r="J245" s="62"/>
      <c r="K245" s="56"/>
      <c r="L245" s="159"/>
      <c r="M245" s="169" t="str">
        <f>HYPERLINK("https://www.youtube.com/watch?v=dMacXPeTyak&amp;feature=youtu.be","Video Solution - Eng Moaz Rashad")</f>
        <v>Video Solution - Eng Moaz Rashad</v>
      </c>
      <c r="N245" s="383" t="s">
        <v>1466</v>
      </c>
      <c r="O245" s="383">
        <v>57</v>
      </c>
      <c r="P245" s="383">
        <v>3</v>
      </c>
    </row>
    <row r="246" spans="1:17" ht="13.2">
      <c r="A246" s="83" t="s">
        <v>697</v>
      </c>
      <c r="B246" s="386" t="str">
        <f>HYPERLINK("https://uva.onlinejudge.org/index.php?option=com_onlinejudge&amp;Itemid=8&amp;page=show_problem&amp;problem=438","UVA 497")</f>
        <v>UVA 497</v>
      </c>
      <c r="C246" s="159"/>
      <c r="D246" s="159"/>
      <c r="E246" s="159"/>
      <c r="F246" s="159"/>
      <c r="G246" s="159"/>
      <c r="H246" s="160"/>
      <c r="I246" s="57">
        <f t="shared" si="3"/>
        <v>0</v>
      </c>
      <c r="J246" s="62"/>
      <c r="K246" s="56"/>
      <c r="L246" s="159"/>
      <c r="M246" s="404"/>
      <c r="N246" s="383" t="s">
        <v>1479</v>
      </c>
      <c r="O246" s="383">
        <v>60</v>
      </c>
      <c r="P246" s="383">
        <v>3</v>
      </c>
      <c r="Q246" s="37" t="s">
        <v>1220</v>
      </c>
    </row>
    <row r="247" spans="1:17" ht="13.2">
      <c r="A247" s="83" t="s">
        <v>633</v>
      </c>
      <c r="B247" s="386" t="str">
        <f>HYPERLINK("http://codeforces.com/contest/706/problem/C","CF706-D2-C")</f>
        <v>CF706-D2-C</v>
      </c>
      <c r="C247" s="159"/>
      <c r="D247" s="159"/>
      <c r="E247" s="159"/>
      <c r="F247" s="159"/>
      <c r="G247" s="159"/>
      <c r="H247" s="160"/>
      <c r="I247" s="57">
        <f t="shared" si="3"/>
        <v>0</v>
      </c>
      <c r="J247" s="62"/>
      <c r="K247" s="56"/>
      <c r="L247" s="159"/>
      <c r="M247" s="77" t="str">
        <f>HYPERLINK("https://www.youtube.com/watch?v=4t-4ZC8BRj8","Video Solution - Eng Yahia Ashraf")</f>
        <v>Video Solution - Eng Yahia Ashraf</v>
      </c>
      <c r="N247" s="383" t="s">
        <v>1495</v>
      </c>
      <c r="O247" s="383">
        <v>63</v>
      </c>
      <c r="P247" s="383">
        <v>3</v>
      </c>
      <c r="Q247" s="543"/>
    </row>
    <row r="248" spans="1:17" ht="13.2">
      <c r="A248" s="83" t="s">
        <v>694</v>
      </c>
      <c r="B248" s="386" t="str">
        <f>HYPERLINK("http://codeforces.com/contest/456/problem/C","CF456-D2-C")</f>
        <v>CF456-D2-C</v>
      </c>
      <c r="C248" s="159"/>
      <c r="D248" s="159"/>
      <c r="E248" s="159"/>
      <c r="F248" s="159"/>
      <c r="G248" s="159"/>
      <c r="H248" s="160"/>
      <c r="I248" s="57">
        <f t="shared" si="3"/>
        <v>0</v>
      </c>
      <c r="J248" s="62"/>
      <c r="K248" s="56"/>
      <c r="L248" s="159"/>
      <c r="M248" s="404"/>
      <c r="N248" s="383" t="s">
        <v>1502</v>
      </c>
      <c r="O248" s="383">
        <v>64</v>
      </c>
      <c r="P248" s="383">
        <v>3</v>
      </c>
    </row>
    <row r="249" spans="1:17" ht="13.2">
      <c r="A249" s="83" t="s">
        <v>745</v>
      </c>
      <c r="B249" s="386" t="str">
        <f>HYPERLINK("http://codeforces.com/contest/711/problem/C","CF711-D2-C")</f>
        <v>CF711-D2-C</v>
      </c>
      <c r="C249" s="159"/>
      <c r="D249" s="159"/>
      <c r="E249" s="159"/>
      <c r="F249" s="159"/>
      <c r="G249" s="159"/>
      <c r="H249" s="160"/>
      <c r="I249" s="57">
        <f t="shared" si="3"/>
        <v>0</v>
      </c>
      <c r="J249" s="62"/>
      <c r="K249" s="56"/>
      <c r="L249" s="96"/>
      <c r="M249" s="404"/>
      <c r="N249" s="383" t="s">
        <v>1502</v>
      </c>
      <c r="O249" s="383">
        <v>64</v>
      </c>
      <c r="P249" s="383">
        <v>3</v>
      </c>
    </row>
    <row r="250" spans="1:17" ht="13.2">
      <c r="A250" s="83" t="s">
        <v>624</v>
      </c>
      <c r="B250" s="386" t="str">
        <f>HYPERLINK("https://uva.onlinejudge.org/index.php?option=com_onlinejudge&amp;Itemid=8&amp;page=show_problem&amp;problem=1558","UVA 10617")</f>
        <v>UVA 10617</v>
      </c>
      <c r="C250" s="159"/>
      <c r="D250" s="159"/>
      <c r="E250" s="159"/>
      <c r="F250" s="159"/>
      <c r="G250" s="159"/>
      <c r="H250" s="160"/>
      <c r="I250" s="57">
        <f t="shared" si="3"/>
        <v>0</v>
      </c>
      <c r="J250" s="62"/>
      <c r="K250" s="56"/>
      <c r="L250" s="159"/>
      <c r="M250" s="403" t="str">
        <f>HYPERLINK("https://github.com/BRAINOOOO/CompetitiveProgramming/blob/682cdb2f527d2ab262a9f616687b53a158b281a4/Spoj/SPOJ%20POTHOLE.Cpp","Sol")</f>
        <v>Sol</v>
      </c>
      <c r="N250" s="383" t="s">
        <v>1519</v>
      </c>
      <c r="O250" s="383">
        <v>71</v>
      </c>
      <c r="P250" s="383">
        <v>3</v>
      </c>
    </row>
    <row r="251" spans="1:17" ht="13.2">
      <c r="A251" s="83" t="s">
        <v>1010</v>
      </c>
      <c r="B251" s="386" t="str">
        <f>HYPERLINK("https://uva.onlinejudge.org/index.php?option=onlinejudge&amp;page=show_problem&amp;problem=548","UVA 607")</f>
        <v>UVA 607</v>
      </c>
      <c r="C251" s="159"/>
      <c r="D251" s="159"/>
      <c r="E251" s="159"/>
      <c r="F251" s="159"/>
      <c r="G251" s="159"/>
      <c r="H251" s="160"/>
      <c r="I251" s="57">
        <f t="shared" si="3"/>
        <v>0</v>
      </c>
      <c r="J251" s="62"/>
      <c r="K251" s="56"/>
      <c r="L251" s="405"/>
      <c r="M251" s="192" t="str">
        <f>HYPERLINK("https://www.youtube.com/watch?v=yNkLz4OVXtI","Video Solution - Eng Mahmoud Adel")</f>
        <v>Video Solution - Eng Mahmoud Adel</v>
      </c>
      <c r="N251" s="383" t="s">
        <v>1537</v>
      </c>
      <c r="O251" s="383">
        <v>76</v>
      </c>
      <c r="P251" s="383">
        <v>3</v>
      </c>
    </row>
    <row r="252" spans="1:17" ht="13.2">
      <c r="A252" s="83" t="s">
        <v>654</v>
      </c>
      <c r="B252" s="386" t="str">
        <f>HYPERLINK("http://codeforces.com/contest/792/problem/C","CF792-D2-C")</f>
        <v>CF792-D2-C</v>
      </c>
      <c r="C252" s="159"/>
      <c r="D252" s="159"/>
      <c r="E252" s="159"/>
      <c r="F252" s="159"/>
      <c r="G252" s="159"/>
      <c r="H252" s="160"/>
      <c r="I252" s="57">
        <f t="shared" si="3"/>
        <v>0</v>
      </c>
      <c r="J252" s="62"/>
      <c r="K252" s="56"/>
      <c r="L252" s="159"/>
      <c r="M252" s="231" t="s">
        <v>614</v>
      </c>
      <c r="N252" s="383" t="s">
        <v>1538</v>
      </c>
      <c r="O252" s="383">
        <v>76</v>
      </c>
      <c r="P252" s="383">
        <v>3</v>
      </c>
    </row>
    <row r="253" spans="1:17" ht="13.2">
      <c r="A253" s="83" t="s">
        <v>945</v>
      </c>
      <c r="B253" s="386" t="str">
        <f>HYPERLINK("https://uva.onlinejudge.org/index.php?option=com_onlinejudge&amp;Itemid=8&amp;page=show_problem&amp;problem=1475","UVA 10534")</f>
        <v>UVA 10534</v>
      </c>
      <c r="C253" s="159"/>
      <c r="D253" s="159"/>
      <c r="E253" s="159"/>
      <c r="F253" s="159"/>
      <c r="G253" s="159"/>
      <c r="H253" s="160"/>
      <c r="I253" s="57">
        <f t="shared" si="3"/>
        <v>0</v>
      </c>
      <c r="J253" s="96"/>
      <c r="K253" s="159"/>
      <c r="L253" s="159"/>
      <c r="M253" s="293" t="str">
        <f>HYPERLINK("https://github.com/BRAINOOOO/CompetitiveProgramming/blob/master/Spoj/SPOJ%20BOTTOM.Cpp","Sol")</f>
        <v>Sol</v>
      </c>
      <c r="N253" s="383" t="s">
        <v>1544</v>
      </c>
      <c r="O253" s="383">
        <v>77</v>
      </c>
      <c r="P253" s="383">
        <v>3</v>
      </c>
      <c r="Q253" s="543"/>
    </row>
    <row r="254" spans="1:17" ht="13.2">
      <c r="A254" s="83" t="s">
        <v>935</v>
      </c>
      <c r="B254" s="386" t="str">
        <f>HYPERLINK("http://codeforces.com/contest/265/problem/D","CF265-D2-D")</f>
        <v>CF265-D2-D</v>
      </c>
      <c r="C254" s="159"/>
      <c r="D254" s="159"/>
      <c r="E254" s="159"/>
      <c r="F254" s="159"/>
      <c r="G254" s="159"/>
      <c r="H254" s="160"/>
      <c r="I254" s="57">
        <f t="shared" si="3"/>
        <v>0</v>
      </c>
      <c r="J254" s="102"/>
      <c r="K254" s="101"/>
      <c r="L254" s="159"/>
      <c r="M254" s="404"/>
      <c r="N254" s="383" t="s">
        <v>1555</v>
      </c>
      <c r="O254" s="383">
        <v>84</v>
      </c>
      <c r="P254" s="383">
        <v>3</v>
      </c>
      <c r="Q254" s="543"/>
    </row>
    <row r="255" spans="1:17" ht="13.2">
      <c r="A255" s="83" t="s">
        <v>1157</v>
      </c>
      <c r="B255" s="386" t="str">
        <f>HYPERLINK("http://codeforces.com/contest/366/problem/C","CF366-D2-C")</f>
        <v>CF366-D2-C</v>
      </c>
      <c r="C255" s="159"/>
      <c r="D255" s="159"/>
      <c r="E255" s="159"/>
      <c r="F255" s="159"/>
      <c r="G255" s="159"/>
      <c r="H255" s="160"/>
      <c r="I255" s="57">
        <f t="shared" si="3"/>
        <v>0</v>
      </c>
      <c r="J255" s="62"/>
      <c r="K255" s="56"/>
      <c r="L255" s="405"/>
      <c r="M255" s="404"/>
      <c r="N255" s="383" t="s">
        <v>1555</v>
      </c>
      <c r="O255" s="383">
        <v>84</v>
      </c>
      <c r="P255" s="383">
        <v>3</v>
      </c>
      <c r="Q255" s="543"/>
    </row>
    <row r="256" spans="1:17" ht="13.2">
      <c r="A256" s="83"/>
      <c r="B256" s="386" t="str">
        <f>HYPERLINK("http://codeforces.com/contest/101/problem/B","CF101-D1-B")</f>
        <v>CF101-D1-B</v>
      </c>
      <c r="C256" s="159"/>
      <c r="D256" s="159"/>
      <c r="E256" s="159"/>
      <c r="F256" s="159"/>
      <c r="G256" s="159"/>
      <c r="H256" s="160"/>
      <c r="I256" s="57">
        <f t="shared" si="3"/>
        <v>0</v>
      </c>
      <c r="J256" s="62"/>
      <c r="K256" s="56"/>
      <c r="L256" s="159"/>
      <c r="M256" s="545"/>
      <c r="N256" s="383" t="s">
        <v>1554</v>
      </c>
      <c r="O256" s="383">
        <v>84</v>
      </c>
      <c r="P256" s="383">
        <v>3</v>
      </c>
      <c r="Q256" s="543"/>
    </row>
    <row r="257" spans="1:17" ht="13.2">
      <c r="A257" s="83" t="s">
        <v>1127</v>
      </c>
      <c r="B257" s="386" t="str">
        <f>HYPERLINK("http://codeforces.com/contest/340/problem/D","CF340-D2-D")</f>
        <v>CF340-D2-D</v>
      </c>
      <c r="C257" s="159"/>
      <c r="D257" s="159"/>
      <c r="E257" s="159"/>
      <c r="F257" s="159"/>
      <c r="G257" s="159"/>
      <c r="H257" s="160"/>
      <c r="I257" s="57">
        <f t="shared" si="3"/>
        <v>0</v>
      </c>
      <c r="J257" s="102"/>
      <c r="K257" s="101"/>
      <c r="L257" s="405"/>
      <c r="M257" s="544"/>
      <c r="N257" s="265" t="s">
        <v>1600</v>
      </c>
      <c r="O257" s="404">
        <v>86</v>
      </c>
      <c r="P257" s="545">
        <v>3</v>
      </c>
      <c r="Q257" s="544" t="s">
        <v>1224</v>
      </c>
    </row>
    <row r="258" spans="1:17" ht="13.2">
      <c r="A258" s="83"/>
      <c r="B258" s="386" t="str">
        <f>HYPERLINK("http://codeforces.com/contest/506/problem/A", "CF506-D1-A")</f>
        <v>CF506-D1-A</v>
      </c>
      <c r="C258" s="159"/>
      <c r="D258" s="159"/>
      <c r="E258" s="159"/>
      <c r="F258" s="159"/>
      <c r="G258" s="159"/>
      <c r="H258" s="160"/>
      <c r="I258" s="57">
        <f t="shared" si="3"/>
        <v>0</v>
      </c>
      <c r="J258" s="102"/>
      <c r="K258" s="101"/>
      <c r="L258" s="159"/>
      <c r="M258" s="192" t="str">
        <f>HYPERLINK("https://github.com/MeGaCrazy/CompetitiveProgramming/blob/9ebf16b4239c8f58c694f2ae22c8f07d1fa70864/Timus/TIMUS_1054.cpp","Sol")</f>
        <v>Sol</v>
      </c>
      <c r="N258" s="383" t="s">
        <v>1601</v>
      </c>
      <c r="O258" s="383">
        <v>86</v>
      </c>
      <c r="P258" s="383">
        <v>3</v>
      </c>
      <c r="Q258" s="37" t="s">
        <v>1224</v>
      </c>
    </row>
    <row r="259" spans="1:17" ht="13.2">
      <c r="A259" s="83" t="s">
        <v>429</v>
      </c>
      <c r="B259" s="386" t="str">
        <f>HYPERLINK("http://codeforces.com/contest/225/problem/C","CF225-D2-C")</f>
        <v>CF225-D2-C</v>
      </c>
      <c r="C259" s="159"/>
      <c r="D259" s="159"/>
      <c r="E259" s="159"/>
      <c r="F259" s="159"/>
      <c r="G259" s="159"/>
      <c r="H259" s="160"/>
      <c r="I259" s="57">
        <f t="shared" si="3"/>
        <v>0</v>
      </c>
      <c r="J259" s="62"/>
      <c r="K259" s="56"/>
      <c r="L259" s="159"/>
      <c r="M259" s="398" t="str">
        <f>HYPERLINK("https://github.com/tmwilliamlin168/CompetitiveProgramming/blob/master/CodeChef/GCDMOD.cpp","Sol uses __int128 to avoid overflow")</f>
        <v>Sol uses __int128 to avoid overflow</v>
      </c>
      <c r="N259" s="383" t="s">
        <v>1614</v>
      </c>
      <c r="O259" s="383">
        <v>87</v>
      </c>
      <c r="P259" s="383">
        <v>3</v>
      </c>
      <c r="Q259" s="37" t="s">
        <v>1226</v>
      </c>
    </row>
    <row r="260" spans="1:17" ht="13.2">
      <c r="A260" s="83" t="s">
        <v>427</v>
      </c>
      <c r="B260" s="386" t="str">
        <f>HYPERLINK("http://codeforces.com/contest/699/problem/C","CF699-D2-C")</f>
        <v>CF699-D2-C</v>
      </c>
      <c r="C260" s="159"/>
      <c r="D260" s="159"/>
      <c r="E260" s="159"/>
      <c r="F260" s="159"/>
      <c r="G260" s="159"/>
      <c r="H260" s="160"/>
      <c r="I260" s="57">
        <f t="shared" si="3"/>
        <v>0</v>
      </c>
      <c r="J260" s="62"/>
      <c r="K260" s="56"/>
      <c r="L260" s="159"/>
      <c r="M260" s="226" t="str">
        <f>HYPERLINK("https://codeforces.com/contest/534/submission/61924545","Sol")</f>
        <v>Sol</v>
      </c>
      <c r="N260" s="383" t="s">
        <v>1615</v>
      </c>
      <c r="O260" s="383">
        <v>87</v>
      </c>
      <c r="P260" s="383">
        <v>3</v>
      </c>
      <c r="Q260" s="37" t="s">
        <v>1226</v>
      </c>
    </row>
    <row r="261" spans="1:17" ht="13.2">
      <c r="A261" s="83" t="s">
        <v>1028</v>
      </c>
      <c r="B261" s="386" t="str">
        <f>HYPERLINK("http://codeforces.com/contest/270/problem/D","CF270-D2-D")</f>
        <v>CF270-D2-D</v>
      </c>
      <c r="C261" s="159"/>
      <c r="D261" s="159"/>
      <c r="E261" s="159"/>
      <c r="F261" s="159"/>
      <c r="G261" s="159"/>
      <c r="H261" s="160"/>
      <c r="I261" s="57">
        <f t="shared" si="3"/>
        <v>0</v>
      </c>
      <c r="J261" s="102"/>
      <c r="K261" s="101"/>
      <c r="L261" s="159"/>
      <c r="M261" s="389" t="str">
        <f>HYPERLINK("https://www.youtube.com/watch?v=Tv2JpMqQWYg","Video Solution - Eng Yahia Ashraf")</f>
        <v>Video Solution - Eng Yahia Ashraf</v>
      </c>
      <c r="N261" s="383" t="s">
        <v>1647</v>
      </c>
      <c r="O261" s="383">
        <v>95</v>
      </c>
      <c r="P261" s="383">
        <v>3</v>
      </c>
    </row>
    <row r="262" spans="1:17" ht="13.2">
      <c r="A262" s="83" t="s">
        <v>809</v>
      </c>
      <c r="B262" s="386" t="str">
        <f>HYPERLINK("http://codeforces.com/contest/721/problem/C","CF721-D2-C")</f>
        <v>CF721-D2-C</v>
      </c>
      <c r="C262" s="159"/>
      <c r="D262" s="159"/>
      <c r="E262" s="159"/>
      <c r="F262" s="159"/>
      <c r="G262" s="159"/>
      <c r="H262" s="160"/>
      <c r="I262" s="57">
        <f t="shared" si="3"/>
        <v>0</v>
      </c>
      <c r="J262" s="62"/>
      <c r="K262" s="56"/>
      <c r="L262" s="159"/>
      <c r="M262" s="388" t="str">
        <f>HYPERLINK("https://github.com/MohamedNabil97/CompetitiveProgramming/blob/master/UVA/10490.cpp","Sol to read")</f>
        <v>Sol to read</v>
      </c>
      <c r="N262" s="383" t="s">
        <v>1647</v>
      </c>
      <c r="O262" s="383">
        <v>95</v>
      </c>
      <c r="P262" s="383">
        <v>3</v>
      </c>
      <c r="Q262" s="543"/>
    </row>
    <row r="263" spans="1:17" ht="13.2">
      <c r="A263" s="83"/>
      <c r="B263" s="386" t="str">
        <f>HYPERLINK("http://codeforces.com/contest/264/problem/C","CF264-D1-C")</f>
        <v>CF264-D1-C</v>
      </c>
      <c r="C263" s="159"/>
      <c r="D263" s="159"/>
      <c r="E263" s="159"/>
      <c r="F263" s="159"/>
      <c r="G263" s="159"/>
      <c r="H263" s="160"/>
      <c r="I263" s="57">
        <f t="shared" ref="I263:I326" si="4">SUM(E263:H263)</f>
        <v>0</v>
      </c>
      <c r="J263" s="102"/>
      <c r="K263" s="101"/>
      <c r="L263" s="159"/>
      <c r="M263" s="399"/>
      <c r="N263" s="383" t="s">
        <v>1647</v>
      </c>
      <c r="O263" s="383">
        <v>95</v>
      </c>
      <c r="P263" s="383">
        <v>3</v>
      </c>
      <c r="Q263" s="543"/>
    </row>
    <row r="264" spans="1:17" ht="13.2">
      <c r="A264" s="83" t="s">
        <v>1023</v>
      </c>
      <c r="B264" s="386" t="str">
        <f>HYPERLINK("http://codeforces.com/contest/284/problem/D","CF284-D2-D")</f>
        <v>CF284-D2-D</v>
      </c>
      <c r="C264" s="159"/>
      <c r="D264" s="159"/>
      <c r="E264" s="159"/>
      <c r="F264" s="159"/>
      <c r="G264" s="159"/>
      <c r="H264" s="160"/>
      <c r="I264" s="57">
        <f t="shared" si="4"/>
        <v>0</v>
      </c>
      <c r="J264" s="102"/>
      <c r="K264" s="101"/>
      <c r="L264" s="159"/>
      <c r="M264" s="169" t="str">
        <f>HYPERLINK("https://www.youtube.com/watch?v=NmumgTB7B9c&amp;feature=youtu.be","Video Solution - Eng Mohamed Adel")</f>
        <v>Video Solution - Eng Mohamed Adel</v>
      </c>
      <c r="N264" s="383" t="s">
        <v>1656</v>
      </c>
      <c r="O264" s="383">
        <v>99</v>
      </c>
      <c r="P264" s="383">
        <v>3</v>
      </c>
      <c r="Q264" s="543"/>
    </row>
    <row r="265" spans="1:17" ht="13.2">
      <c r="A265" s="83"/>
      <c r="B265" s="386" t="str">
        <f>HYPERLINK("https://codeforces.com/contest/1066/problem/F","CF1066-D3-F")</f>
        <v>CF1066-D3-F</v>
      </c>
      <c r="C265" s="159"/>
      <c r="D265" s="159"/>
      <c r="E265" s="159"/>
      <c r="F265" s="159"/>
      <c r="G265" s="159"/>
      <c r="H265" s="160"/>
      <c r="I265" s="57">
        <f t="shared" si="4"/>
        <v>0</v>
      </c>
      <c r="J265" s="62"/>
      <c r="K265" s="56"/>
      <c r="L265" s="159"/>
      <c r="M265" s="397" t="str">
        <f>HYPERLINK("https://github.com/Emsawy/CompetitiveProgramming/blob/master/SPOJ/EASYMATH.cpp","Sol")</f>
        <v>Sol</v>
      </c>
      <c r="N265" s="383" t="s">
        <v>1662</v>
      </c>
      <c r="O265" s="383">
        <v>101</v>
      </c>
      <c r="P265" s="383">
        <v>3</v>
      </c>
      <c r="Q265" s="37"/>
    </row>
    <row r="266" spans="1:17" ht="13.2">
      <c r="A266" s="83" t="s">
        <v>627</v>
      </c>
      <c r="B266" s="386" t="str">
        <f>HYPERLINK("https://uva.onlinejudge.org/index.php?option=com_onlinejudge&amp;Itemid=8&amp;page=show_problem&amp;problem=284","UVA 348")</f>
        <v>UVA 348</v>
      </c>
      <c r="C266" s="159"/>
      <c r="D266" s="159"/>
      <c r="E266" s="159"/>
      <c r="F266" s="159"/>
      <c r="G266" s="159"/>
      <c r="H266" s="160"/>
      <c r="I266" s="57">
        <f t="shared" si="4"/>
        <v>0</v>
      </c>
      <c r="J266" s="62"/>
      <c r="K266" s="56"/>
      <c r="L266" s="159"/>
      <c r="M266" s="404"/>
      <c r="N266" s="383" t="s">
        <v>1663</v>
      </c>
      <c r="O266" s="383">
        <v>101</v>
      </c>
      <c r="P266" s="383">
        <v>3</v>
      </c>
      <c r="Q266" s="543"/>
    </row>
    <row r="267" spans="1:17" ht="13.2">
      <c r="A267" s="83"/>
      <c r="B267" s="83" t="s">
        <v>871</v>
      </c>
      <c r="C267" s="159"/>
      <c r="D267" s="159"/>
      <c r="E267" s="159"/>
      <c r="F267" s="159"/>
      <c r="G267" s="159"/>
      <c r="H267" s="160"/>
      <c r="I267" s="57">
        <f t="shared" si="4"/>
        <v>0</v>
      </c>
      <c r="J267" s="62"/>
      <c r="K267" s="56"/>
      <c r="L267" s="159"/>
      <c r="M267" s="545" t="s">
        <v>1669</v>
      </c>
      <c r="N267" s="383" t="s">
        <v>1670</v>
      </c>
      <c r="O267" s="383">
        <v>104</v>
      </c>
      <c r="P267" s="383">
        <v>3</v>
      </c>
      <c r="Q267" s="37" t="s">
        <v>1220</v>
      </c>
    </row>
    <row r="268" spans="1:17" ht="13.2">
      <c r="A268" s="83" t="s">
        <v>1152</v>
      </c>
      <c r="B268" s="386" t="str">
        <f>HYPERLINK("http://codeforces.com/contest/313/problem/D","CF313-D2-D")</f>
        <v>CF313-D2-D</v>
      </c>
      <c r="C268" s="159"/>
      <c r="D268" s="159"/>
      <c r="E268" s="159"/>
      <c r="F268" s="159"/>
      <c r="G268" s="159"/>
      <c r="H268" s="160"/>
      <c r="I268" s="57">
        <f t="shared" si="4"/>
        <v>0</v>
      </c>
      <c r="J268" s="96"/>
      <c r="K268" s="159"/>
      <c r="L268" s="405"/>
      <c r="M268" s="399"/>
      <c r="N268" s="383" t="s">
        <v>1673</v>
      </c>
      <c r="O268" s="383">
        <v>105</v>
      </c>
      <c r="P268" s="383">
        <v>3</v>
      </c>
      <c r="Q268" s="37" t="s">
        <v>1220</v>
      </c>
    </row>
    <row r="269" spans="1:17" ht="13.2">
      <c r="A269" s="83"/>
      <c r="B269" s="83" t="s">
        <v>1085</v>
      </c>
      <c r="C269" s="159"/>
      <c r="D269" s="159"/>
      <c r="E269" s="159"/>
      <c r="F269" s="159"/>
      <c r="G269" s="159"/>
      <c r="H269" s="160"/>
      <c r="I269" s="57">
        <f t="shared" si="4"/>
        <v>0</v>
      </c>
      <c r="J269" s="102"/>
      <c r="K269" s="101"/>
      <c r="L269" s="159"/>
      <c r="M269" s="77" t="str">
        <f>HYPERLINK("https://www.youtube.com/watch?v=VmL4PQIZ-6c","Video Solution - Eng Yahia Ashraf")</f>
        <v>Video Solution - Eng Yahia Ashraf</v>
      </c>
      <c r="N269" s="383" t="s">
        <v>1639</v>
      </c>
      <c r="O269" s="383">
        <v>109</v>
      </c>
      <c r="P269" s="383">
        <v>3</v>
      </c>
      <c r="Q269" s="543"/>
    </row>
    <row r="270" spans="1:17" ht="13.2">
      <c r="A270" s="83" t="s">
        <v>1043</v>
      </c>
      <c r="B270" s="386" t="str">
        <f>HYPERLINK("http://codeforces.com/contest/149/problem/D","CF149-D2-D")</f>
        <v>CF149-D2-D</v>
      </c>
      <c r="C270" s="159"/>
      <c r="D270" s="159"/>
      <c r="E270" s="159"/>
      <c r="F270" s="159"/>
      <c r="G270" s="159"/>
      <c r="H270" s="160"/>
      <c r="I270" s="57">
        <f t="shared" si="4"/>
        <v>0</v>
      </c>
      <c r="J270" s="96"/>
      <c r="K270" s="159"/>
      <c r="L270" s="405"/>
      <c r="M270" s="403" t="str">
        <f>HYPERLINK("https://github.com/mostafa-saad/MyCompetitiveProgramming/blob/master/UVA/UVA_10056.txt","Sol")</f>
        <v>Sol</v>
      </c>
      <c r="N270" s="383" t="s">
        <v>1678</v>
      </c>
      <c r="O270" s="383">
        <v>113</v>
      </c>
      <c r="P270" s="383">
        <v>3</v>
      </c>
      <c r="Q270" s="543"/>
    </row>
    <row r="271" spans="1:17" ht="13.2">
      <c r="A271" s="83"/>
      <c r="B271" s="386" t="str">
        <f>HYPERLINK("http://codeforces.com/contest/1012/problem/C","CF1012-D1-C")</f>
        <v>CF1012-D1-C</v>
      </c>
      <c r="C271" s="159"/>
      <c r="D271" s="159"/>
      <c r="E271" s="159"/>
      <c r="F271" s="159"/>
      <c r="G271" s="159"/>
      <c r="H271" s="160"/>
      <c r="I271" s="57">
        <f t="shared" si="4"/>
        <v>0</v>
      </c>
      <c r="J271" s="62"/>
      <c r="K271" s="56"/>
      <c r="L271" s="405"/>
      <c r="M271" s="403" t="str">
        <f>HYPERLINK("https://github.com/MohamedNabil97/CompetitiveProgramming/blob/master/Hackerrank/sherlock-and-probability.cpp","Sol")</f>
        <v>Sol</v>
      </c>
      <c r="N271" s="383" t="s">
        <v>1679</v>
      </c>
      <c r="O271" s="383">
        <v>113</v>
      </c>
      <c r="P271" s="383">
        <v>3</v>
      </c>
      <c r="Q271" s="543"/>
    </row>
    <row r="272" spans="1:17" ht="13.2">
      <c r="A272" s="83"/>
      <c r="B272" s="386" t="str">
        <f>HYPERLINK("http://codeforces.com/contest/623/problem/B","CF623-D1-B")</f>
        <v>CF623-D1-B</v>
      </c>
      <c r="C272" s="159"/>
      <c r="D272" s="159"/>
      <c r="E272" s="159"/>
      <c r="F272" s="159"/>
      <c r="G272" s="159"/>
      <c r="H272" s="160"/>
      <c r="I272" s="57">
        <f t="shared" si="4"/>
        <v>0</v>
      </c>
      <c r="J272" s="102"/>
      <c r="K272" s="101"/>
      <c r="L272" s="159"/>
      <c r="M272" s="404"/>
      <c r="N272" s="383" t="s">
        <v>1707</v>
      </c>
      <c r="O272" s="383">
        <v>115</v>
      </c>
      <c r="P272" s="383">
        <v>3</v>
      </c>
      <c r="Q272" s="543"/>
    </row>
    <row r="273" spans="1:17" ht="13.2">
      <c r="A273" s="83"/>
      <c r="B273" s="386" t="str">
        <f>HYPERLINK("http://codeforces.com/contest/1071/problem/B","CF1072-D2-D")</f>
        <v>CF1072-D2-D</v>
      </c>
      <c r="C273" s="159"/>
      <c r="D273" s="159"/>
      <c r="E273" s="159"/>
      <c r="F273" s="159"/>
      <c r="G273" s="159"/>
      <c r="H273" s="160"/>
      <c r="I273" s="57">
        <f t="shared" si="4"/>
        <v>0</v>
      </c>
      <c r="J273" s="102"/>
      <c r="K273" s="101"/>
      <c r="L273" s="159"/>
      <c r="M273" s="209"/>
      <c r="N273" s="383" t="s">
        <v>1708</v>
      </c>
      <c r="O273" s="383">
        <v>117</v>
      </c>
      <c r="P273" s="383">
        <v>3</v>
      </c>
      <c r="Q273" s="543"/>
    </row>
    <row r="274" spans="1:17" ht="13.2">
      <c r="A274" s="83"/>
      <c r="B274" s="386" t="str">
        <f>HYPERLINK("http://codeforces.com/contest/1025/problem/D","CF1025-D2-D")</f>
        <v>CF1025-D2-D</v>
      </c>
      <c r="C274" s="159"/>
      <c r="D274" s="159"/>
      <c r="E274" s="159"/>
      <c r="F274" s="159"/>
      <c r="G274" s="159"/>
      <c r="H274" s="160"/>
      <c r="I274" s="57">
        <f t="shared" si="4"/>
        <v>0</v>
      </c>
      <c r="J274" s="102"/>
      <c r="K274" s="101"/>
      <c r="L274" s="159"/>
      <c r="M274" s="225" t="s">
        <v>614</v>
      </c>
      <c r="N274" s="383" t="s">
        <v>1752</v>
      </c>
      <c r="O274" s="383">
        <v>126</v>
      </c>
      <c r="P274" s="383">
        <v>3</v>
      </c>
      <c r="Q274" s="543"/>
    </row>
    <row r="275" spans="1:17" ht="13.2">
      <c r="A275" s="83"/>
      <c r="B275" s="386" t="str">
        <f>HYPERLINK("https://www.facebook.com/hackercup/problem/180494849326631/","FbHkrCup 18-R1-A")</f>
        <v>FbHkrCup 18-R1-A</v>
      </c>
      <c r="C275" s="159"/>
      <c r="D275" s="159"/>
      <c r="E275" s="159"/>
      <c r="F275" s="159"/>
      <c r="G275" s="159"/>
      <c r="H275" s="160"/>
      <c r="I275" s="57">
        <f t="shared" si="4"/>
        <v>0</v>
      </c>
      <c r="J275" s="62"/>
      <c r="K275" s="56"/>
      <c r="L275" s="159"/>
      <c r="M275" s="404"/>
      <c r="N275" s="383" t="s">
        <v>1754</v>
      </c>
      <c r="O275" s="383">
        <v>130</v>
      </c>
      <c r="P275" s="383">
        <v>3</v>
      </c>
      <c r="Q275" s="543"/>
    </row>
    <row r="276" spans="1:17" ht="13.2">
      <c r="A276" s="83" t="s">
        <v>940</v>
      </c>
      <c r="B276" s="386" t="str">
        <f>HYPERLINK("http://codeforces.com/contest/580/problem/D","CF580-D2-D")</f>
        <v>CF580-D2-D</v>
      </c>
      <c r="C276" s="159"/>
      <c r="D276" s="159"/>
      <c r="E276" s="159"/>
      <c r="F276" s="159"/>
      <c r="G276" s="159"/>
      <c r="H276" s="160"/>
      <c r="I276" s="57">
        <f t="shared" si="4"/>
        <v>0</v>
      </c>
      <c r="J276" s="96"/>
      <c r="K276" s="159"/>
      <c r="L276" s="159"/>
      <c r="M276" s="545"/>
      <c r="N276" s="383" t="s">
        <v>1763</v>
      </c>
      <c r="O276" s="383">
        <v>138</v>
      </c>
      <c r="P276" s="383">
        <v>3</v>
      </c>
      <c r="Q276" s="543"/>
    </row>
    <row r="277" spans="1:17" ht="13.2">
      <c r="A277" s="83" t="s">
        <v>901</v>
      </c>
      <c r="B277" s="386" t="str">
        <f>HYPERLINK("http://www.spoj.com/problems/PERMUT1/","SPOJ PERMUT1")</f>
        <v>SPOJ PERMUT1</v>
      </c>
      <c r="C277" s="159"/>
      <c r="D277" s="159"/>
      <c r="E277" s="159"/>
      <c r="F277" s="159"/>
      <c r="G277" s="159"/>
      <c r="H277" s="160"/>
      <c r="I277" s="57">
        <f t="shared" si="4"/>
        <v>0</v>
      </c>
      <c r="J277" s="96"/>
      <c r="K277" s="159"/>
      <c r="L277" s="159"/>
      <c r="M277" s="192" t="str">
        <f>HYPERLINK("https://www.youtube.com/watch?v=ygWfse3bBLI&amp;feature=youtu.be","Video Solution - Eng Mahmoud Adel")</f>
        <v>Video Solution - Eng Mahmoud Adel</v>
      </c>
      <c r="N277" s="383" t="s">
        <v>1272</v>
      </c>
      <c r="O277" s="383">
        <v>6</v>
      </c>
      <c r="P277" s="383">
        <v>3.5</v>
      </c>
      <c r="Q277" s="543"/>
    </row>
    <row r="278" spans="1:17" ht="13.2">
      <c r="A278" s="83" t="s">
        <v>941</v>
      </c>
      <c r="B278" s="386" t="str">
        <f>HYPERLINK("http://www.spoj.com/problems/ASSIGN/","SPOJ ASSIGN")</f>
        <v>SPOJ ASSIGN</v>
      </c>
      <c r="C278" s="159"/>
      <c r="D278" s="159"/>
      <c r="E278" s="159"/>
      <c r="F278" s="159"/>
      <c r="G278" s="159"/>
      <c r="H278" s="160"/>
      <c r="I278" s="57">
        <f t="shared" si="4"/>
        <v>0</v>
      </c>
      <c r="J278" s="102"/>
      <c r="K278" s="101"/>
      <c r="L278" s="159"/>
      <c r="M278" s="404"/>
      <c r="N278" s="383" t="s">
        <v>1273</v>
      </c>
      <c r="O278" s="383">
        <v>6</v>
      </c>
      <c r="P278" s="383">
        <v>3.5</v>
      </c>
      <c r="Q278" s="543"/>
    </row>
    <row r="279" spans="1:17" ht="13.2">
      <c r="A279" s="83" t="s">
        <v>939</v>
      </c>
      <c r="B279" s="386" t="str">
        <f>HYPERLINK("https://uva.onlinejudge.org/index.php?option=com_onlinejudge&amp;Itemid=8&amp;page=show_problem&amp;problem=1592","UVA 10651")</f>
        <v>UVA 10651</v>
      </c>
      <c r="C279" s="159"/>
      <c r="D279" s="159"/>
      <c r="E279" s="159"/>
      <c r="F279" s="159"/>
      <c r="G279" s="159"/>
      <c r="H279" s="160"/>
      <c r="I279" s="57">
        <f t="shared" si="4"/>
        <v>0</v>
      </c>
      <c r="J279" s="96"/>
      <c r="K279" s="159"/>
      <c r="L279" s="159"/>
      <c r="M279" s="225" t="s">
        <v>614</v>
      </c>
      <c r="N279" s="383" t="s">
        <v>1301</v>
      </c>
      <c r="O279" s="383">
        <v>10</v>
      </c>
      <c r="P279" s="383">
        <v>3.5</v>
      </c>
      <c r="Q279" s="543"/>
    </row>
    <row r="280" spans="1:17" ht="13.2">
      <c r="A280" s="83"/>
      <c r="B280" s="83" t="s">
        <v>910</v>
      </c>
      <c r="C280" s="159"/>
      <c r="D280" s="159"/>
      <c r="E280" s="159"/>
      <c r="F280" s="159"/>
      <c r="G280" s="159"/>
      <c r="H280" s="160"/>
      <c r="I280" s="57">
        <f t="shared" si="4"/>
        <v>0</v>
      </c>
      <c r="J280" s="102"/>
      <c r="K280" s="101"/>
      <c r="L280" s="159"/>
      <c r="M280" s="403" t="str">
        <f>HYPERLINK("https://github.com/ilyesG/Competitive-Programming/blob/master/UVA/UVA%2010453.cpp","Sol")</f>
        <v>Sol</v>
      </c>
      <c r="N280" s="383" t="s">
        <v>1337</v>
      </c>
      <c r="O280" s="383">
        <v>15</v>
      </c>
      <c r="P280" s="383">
        <v>3.5</v>
      </c>
      <c r="Q280" s="37" t="s">
        <v>1226</v>
      </c>
    </row>
    <row r="281" spans="1:17" ht="13.2">
      <c r="A281" s="83" t="s">
        <v>1173</v>
      </c>
      <c r="B281" s="83" t="s">
        <v>1174</v>
      </c>
      <c r="C281" s="159"/>
      <c r="D281" s="159"/>
      <c r="E281" s="159"/>
      <c r="F281" s="159"/>
      <c r="G281" s="159"/>
      <c r="H281" s="160"/>
      <c r="I281" s="57">
        <f t="shared" si="4"/>
        <v>0</v>
      </c>
      <c r="J281" s="96"/>
      <c r="K281" s="159"/>
      <c r="L281" s="405"/>
      <c r="M281" s="389" t="str">
        <f>HYPERLINK("https://www.youtube.com/watch?v=M7UEOmsCxuQ","Video Solution - Solver to be (Java)")</f>
        <v>Video Solution - Solver to be (Java)</v>
      </c>
      <c r="N281" s="383" t="s">
        <v>1341</v>
      </c>
      <c r="O281" s="383">
        <v>18</v>
      </c>
      <c r="P281" s="383">
        <v>3.5</v>
      </c>
    </row>
    <row r="282" spans="1:17" ht="14.25" customHeight="1">
      <c r="A282" s="83" t="s">
        <v>1024</v>
      </c>
      <c r="B282" s="386" t="str">
        <f>HYPERLINK("http://codeforces.com/contest/431/problem/D","CF431-D2-D")</f>
        <v>CF431-D2-D</v>
      </c>
      <c r="C282" s="159"/>
      <c r="D282" s="159"/>
      <c r="E282" s="159"/>
      <c r="F282" s="159"/>
      <c r="G282" s="159"/>
      <c r="H282" s="160"/>
      <c r="I282" s="57">
        <f t="shared" si="4"/>
        <v>0</v>
      </c>
      <c r="J282" s="96"/>
      <c r="K282" s="159"/>
      <c r="L282" s="159"/>
      <c r="M282" s="293" t="str">
        <f>HYPERLINK("https://github.com/3agwa/CompetitiveProgramming/blob/master/UVA/UVA%2012457","Sol")</f>
        <v>Sol</v>
      </c>
      <c r="N282" s="383" t="s">
        <v>1355</v>
      </c>
      <c r="O282" s="383">
        <v>29</v>
      </c>
      <c r="P282" s="383">
        <v>3.5</v>
      </c>
      <c r="Q282" s="543"/>
    </row>
    <row r="283" spans="1:17" ht="13.2">
      <c r="A283" s="83" t="s">
        <v>1036</v>
      </c>
      <c r="B283" s="83" t="s">
        <v>1037</v>
      </c>
      <c r="C283" s="159"/>
      <c r="D283" s="159"/>
      <c r="E283" s="159"/>
      <c r="F283" s="159"/>
      <c r="G283" s="159"/>
      <c r="H283" s="160"/>
      <c r="I283" s="57">
        <f t="shared" si="4"/>
        <v>0</v>
      </c>
      <c r="J283" s="102"/>
      <c r="K283" s="101"/>
      <c r="L283" s="405"/>
      <c r="M283" s="169" t="str">
        <f>HYPERLINK("https://www.youtube.com/watch?v=86oGEiHeDO0","Video Solution - Eng Moaz Rashad")</f>
        <v>Video Solution - Eng Moaz Rashad</v>
      </c>
      <c r="N283" s="383" t="s">
        <v>1386</v>
      </c>
      <c r="O283" s="383">
        <v>41</v>
      </c>
      <c r="P283" s="383">
        <v>3.5</v>
      </c>
      <c r="Q283" s="37" t="s">
        <v>1224</v>
      </c>
    </row>
    <row r="284" spans="1:17" ht="13.2">
      <c r="A284" s="83" t="s">
        <v>771</v>
      </c>
      <c r="B284" s="386" t="str">
        <f>HYPERLINK("https://uva.onlinejudge.org/index.php?option=com_onlinejudge&amp;Itemid=8&amp;page=show_problem&amp;problem=698","UVA 757")</f>
        <v>UVA 757</v>
      </c>
      <c r="C284" s="159"/>
      <c r="D284" s="159"/>
      <c r="E284" s="159"/>
      <c r="F284" s="159"/>
      <c r="G284" s="159"/>
      <c r="H284" s="160"/>
      <c r="I284" s="57">
        <f t="shared" si="4"/>
        <v>0</v>
      </c>
      <c r="J284" s="62"/>
      <c r="K284" s="56"/>
      <c r="L284" s="159"/>
      <c r="M284" s="545"/>
      <c r="N284" s="383" t="s">
        <v>1387</v>
      </c>
      <c r="O284" s="383">
        <v>41</v>
      </c>
      <c r="P284" s="383">
        <v>3.5</v>
      </c>
      <c r="Q284" s="37" t="s">
        <v>1224</v>
      </c>
    </row>
    <row r="285" spans="1:17" ht="13.2">
      <c r="A285" s="83" t="s">
        <v>768</v>
      </c>
      <c r="B285" s="386" t="str">
        <f>HYPERLINK("https://uva.onlinejudge.org/index.php?option=com_onlinejudge&amp;Itemid=8&amp;page=show_problem&amp;problem=1394","UVA 10453")</f>
        <v>UVA 10453</v>
      </c>
      <c r="C285" s="159"/>
      <c r="D285" s="159"/>
      <c r="E285" s="159"/>
      <c r="F285" s="159"/>
      <c r="G285" s="159"/>
      <c r="H285" s="160"/>
      <c r="I285" s="57">
        <f t="shared" si="4"/>
        <v>0</v>
      </c>
      <c r="J285" s="62"/>
      <c r="K285" s="56"/>
      <c r="L285" s="96"/>
      <c r="M285" s="389" t="str">
        <f>HYPERLINK("https://www.youtube.com/watch?v=TpRObCQT9Lw","Video Solution - Dr Mostafa Saad")</f>
        <v>Video Solution - Dr Mostafa Saad</v>
      </c>
      <c r="N285" s="383" t="s">
        <v>1395</v>
      </c>
      <c r="O285" s="383">
        <v>45</v>
      </c>
      <c r="P285" s="383">
        <v>3.5</v>
      </c>
      <c r="Q285" s="37" t="s">
        <v>1224</v>
      </c>
    </row>
    <row r="286" spans="1:17" ht="13.2">
      <c r="A286" s="83" t="s">
        <v>769</v>
      </c>
      <c r="B286" s="386" t="str">
        <f>HYPERLINK("https://uva.onlinejudge.org/index.php?option=com_onlinejudge&amp;Itemid=8&amp;page=show_problem&amp;problem=603","UVA 662")</f>
        <v>UVA 662</v>
      </c>
      <c r="C286" s="159"/>
      <c r="D286" s="159"/>
      <c r="E286" s="159"/>
      <c r="F286" s="159"/>
      <c r="G286" s="159"/>
      <c r="H286" s="160"/>
      <c r="I286" s="57">
        <f t="shared" si="4"/>
        <v>0</v>
      </c>
      <c r="J286" s="62"/>
      <c r="K286" s="56"/>
      <c r="L286" s="96"/>
      <c r="M286" s="392" t="str">
        <f>HYPERLINK("https://www.youtube.com/watch?v=NOZxcOu25Iw","Video Solution - Eng Muntaser Abukadeja")</f>
        <v>Video Solution - Eng Muntaser Abukadeja</v>
      </c>
      <c r="N286" s="383" t="s">
        <v>1390</v>
      </c>
      <c r="O286" s="383">
        <v>45</v>
      </c>
      <c r="P286" s="383">
        <v>3.5</v>
      </c>
      <c r="Q286" s="543"/>
    </row>
    <row r="287" spans="1:17" ht="13.2">
      <c r="A287" s="83" t="s">
        <v>770</v>
      </c>
      <c r="B287" s="386" t="str">
        <f>HYPERLINK("https://uva.onlinejudge.org/index.php?option=onlinejudge&amp;page=show_problem&amp;problem=2399","UVA 11404")</f>
        <v>UVA 11404</v>
      </c>
      <c r="C287" s="159"/>
      <c r="D287" s="159"/>
      <c r="E287" s="159"/>
      <c r="F287" s="159"/>
      <c r="G287" s="159"/>
      <c r="H287" s="160"/>
      <c r="I287" s="57">
        <f t="shared" si="4"/>
        <v>0</v>
      </c>
      <c r="J287" s="62"/>
      <c r="K287" s="56"/>
      <c r="L287" s="159"/>
      <c r="M287" s="403" t="str">
        <f>HYPERLINK("https://github.com/MeGaCrazy/CompetitiveProgramming/blob/5343b4e1aabd67db25a4864de4eb81eb094709e3/UVA/UVA_477.cpp","Sol")</f>
        <v>Sol</v>
      </c>
      <c r="N287" s="383" t="s">
        <v>1419</v>
      </c>
      <c r="O287" s="383">
        <v>47</v>
      </c>
      <c r="P287" s="383">
        <v>3.5</v>
      </c>
    </row>
    <row r="288" spans="1:17" ht="13.2">
      <c r="A288" s="83" t="s">
        <v>767</v>
      </c>
      <c r="B288" s="386" t="str">
        <f>HYPERLINK("https://uva.onlinejudge.org/index.php?option=com_onlinejudge&amp;Itemid=8&amp;page=show_problem&amp;problem=52","UVA 116")</f>
        <v>UVA 116</v>
      </c>
      <c r="C288" s="159"/>
      <c r="D288" s="159"/>
      <c r="E288" s="159"/>
      <c r="F288" s="159"/>
      <c r="G288" s="159"/>
      <c r="H288" s="160"/>
      <c r="I288" s="57">
        <f t="shared" si="4"/>
        <v>0</v>
      </c>
      <c r="J288" s="62"/>
      <c r="K288" s="56"/>
      <c r="L288" s="96"/>
      <c r="M288" s="229"/>
      <c r="N288" s="383" t="s">
        <v>1433</v>
      </c>
      <c r="O288" s="383">
        <v>48</v>
      </c>
      <c r="P288" s="383">
        <v>3.5</v>
      </c>
    </row>
    <row r="289" spans="1:17" ht="13.2">
      <c r="A289" s="83" t="s">
        <v>1338</v>
      </c>
      <c r="B289" s="386" t="str">
        <f>HYPERLINK("http://codeforces.com/contest/56/problem/D","CF56-D2-D")</f>
        <v>CF56-D2-D</v>
      </c>
      <c r="C289" s="159"/>
      <c r="D289" s="159"/>
      <c r="E289" s="159"/>
      <c r="F289" s="159"/>
      <c r="G289" s="159"/>
      <c r="H289" s="160"/>
      <c r="I289" s="57">
        <f t="shared" si="4"/>
        <v>0</v>
      </c>
      <c r="J289" s="102"/>
      <c r="K289" s="101"/>
      <c r="L289" s="159"/>
      <c r="M289" s="395" t="str">
        <f>HYPERLINK("https://www.youtube.com/watch?v=nvPucDrmErI","Video Solution - Eng Aya Elymany")</f>
        <v>Video Solution - Eng Aya Elymany</v>
      </c>
      <c r="N289" s="383" t="s">
        <v>1491</v>
      </c>
      <c r="O289" s="383">
        <v>61</v>
      </c>
      <c r="P289" s="383">
        <v>3.5</v>
      </c>
    </row>
    <row r="290" spans="1:17" ht="13.2">
      <c r="A290" s="83" t="s">
        <v>775</v>
      </c>
      <c r="B290" s="386" t="str">
        <f>HYPERLINK("http://codeforces.com/contest/118/problem/D","CF118-D2-D")</f>
        <v>CF118-D2-D</v>
      </c>
      <c r="C290" s="159"/>
      <c r="D290" s="159"/>
      <c r="E290" s="159"/>
      <c r="F290" s="159"/>
      <c r="G290" s="159"/>
      <c r="H290" s="160"/>
      <c r="I290" s="57">
        <f t="shared" si="4"/>
        <v>0</v>
      </c>
      <c r="J290" s="62"/>
      <c r="K290" s="56"/>
      <c r="L290" s="159"/>
      <c r="M290" s="192" t="str">
        <f>HYPERLINK("https://www.youtube.com/watch?v=khOAL6TflhE&amp;feature=youtu.be","Video Solution - Eng Mahmoud Adel")</f>
        <v>Video Solution - Eng Mahmoud Adel</v>
      </c>
      <c r="N290" s="383" t="s">
        <v>1491</v>
      </c>
      <c r="O290" s="383">
        <v>61</v>
      </c>
      <c r="P290" s="383">
        <v>3.5</v>
      </c>
    </row>
    <row r="291" spans="1:17" ht="13.2">
      <c r="A291" s="386" t="str">
        <f>HYPERLINK("https://community.topcoder.com/stat?c=problem_statement&amp;pm=4471&amp;rd=10711","UnsealTheSafe")</f>
        <v>UnsealTheSafe</v>
      </c>
      <c r="B291" s="83" t="s">
        <v>776</v>
      </c>
      <c r="C291" s="159"/>
      <c r="D291" s="159"/>
      <c r="E291" s="159"/>
      <c r="F291" s="159"/>
      <c r="G291" s="159"/>
      <c r="H291" s="160"/>
      <c r="I291" s="57">
        <f t="shared" si="4"/>
        <v>0</v>
      </c>
      <c r="J291" s="62"/>
      <c r="K291" s="56"/>
      <c r="L291" s="159"/>
      <c r="M291" s="293" t="str">
        <f>HYPERLINK("https://github.com/goar5670/CompetitiveProgramming/blob/master/UVA%2010731.cpp","Sol")</f>
        <v>Sol</v>
      </c>
      <c r="N291" s="383" t="s">
        <v>1544</v>
      </c>
      <c r="O291" s="383">
        <v>77</v>
      </c>
      <c r="P291" s="383">
        <v>3.5</v>
      </c>
    </row>
    <row r="292" spans="1:17" ht="13.2">
      <c r="A292" s="83" t="s">
        <v>774</v>
      </c>
      <c r="B292" s="386" t="str">
        <f>HYPERLINK("http://codeforces.com/contest/431/problem/C","CF431-D2-C")</f>
        <v>CF431-D2-C</v>
      </c>
      <c r="C292" s="159"/>
      <c r="D292" s="159"/>
      <c r="E292" s="159"/>
      <c r="F292" s="159"/>
      <c r="G292" s="159"/>
      <c r="H292" s="160"/>
      <c r="I292" s="57">
        <f t="shared" si="4"/>
        <v>0</v>
      </c>
      <c r="J292" s="62"/>
      <c r="K292" s="56"/>
      <c r="L292" s="159"/>
      <c r="M292" s="545"/>
      <c r="N292" s="383" t="s">
        <v>1556</v>
      </c>
      <c r="O292" s="383">
        <v>84</v>
      </c>
      <c r="P292" s="383">
        <v>3.5</v>
      </c>
      <c r="Q292" s="37" t="s">
        <v>1226</v>
      </c>
    </row>
    <row r="293" spans="1:17" ht="13.2">
      <c r="A293" s="386" t="str">
        <f>HYPERLINK("https://community.topcoder.com/stat?c=problem_statement&amp;pm=7601&amp;rd=10673","DiceGames")</f>
        <v>DiceGames</v>
      </c>
      <c r="B293" s="83" t="s">
        <v>777</v>
      </c>
      <c r="C293" s="159"/>
      <c r="D293" s="159"/>
      <c r="E293" s="159"/>
      <c r="F293" s="159"/>
      <c r="G293" s="159"/>
      <c r="H293" s="160"/>
      <c r="I293" s="57">
        <f t="shared" si="4"/>
        <v>0</v>
      </c>
      <c r="J293" s="102"/>
      <c r="K293" s="101"/>
      <c r="L293" s="159"/>
      <c r="M293" s="404"/>
      <c r="N293" s="383" t="s">
        <v>1557</v>
      </c>
      <c r="O293" s="383">
        <v>84</v>
      </c>
      <c r="P293" s="383">
        <v>3.5</v>
      </c>
      <c r="Q293" s="37" t="s">
        <v>1220</v>
      </c>
    </row>
    <row r="294" spans="1:17" ht="13.2">
      <c r="A294" s="83" t="s">
        <v>866</v>
      </c>
      <c r="B294" s="386" t="str">
        <f>HYPERLINK("http://codeforces.com/contest/474/problem/D","CF474-D2-D")</f>
        <v>CF474-D2-D</v>
      </c>
      <c r="C294" s="159"/>
      <c r="D294" s="159"/>
      <c r="E294" s="159"/>
      <c r="F294" s="159"/>
      <c r="G294" s="159"/>
      <c r="H294" s="160"/>
      <c r="I294" s="57">
        <f t="shared" si="4"/>
        <v>0</v>
      </c>
      <c r="J294" s="102"/>
      <c r="K294" s="101"/>
      <c r="L294" s="159"/>
      <c r="M294" s="218"/>
      <c r="N294" s="383" t="s">
        <v>1671</v>
      </c>
      <c r="O294" s="383">
        <v>104</v>
      </c>
      <c r="P294" s="383">
        <v>3.5</v>
      </c>
      <c r="Q294" s="543"/>
    </row>
    <row r="295" spans="1:17" ht="13.2">
      <c r="A295" s="83"/>
      <c r="B295" s="83" t="s">
        <v>895</v>
      </c>
      <c r="C295" s="159"/>
      <c r="D295" s="159"/>
      <c r="E295" s="159"/>
      <c r="F295" s="159"/>
      <c r="G295" s="159"/>
      <c r="H295" s="160"/>
      <c r="I295" s="57">
        <f t="shared" si="4"/>
        <v>0</v>
      </c>
      <c r="J295" s="62"/>
      <c r="K295" s="56"/>
      <c r="L295" s="159"/>
      <c r="M295" s="404"/>
      <c r="N295" s="383" t="s">
        <v>1668</v>
      </c>
      <c r="O295" s="383">
        <v>104</v>
      </c>
      <c r="P295" s="383">
        <v>3.5</v>
      </c>
      <c r="Q295" s="543"/>
    </row>
    <row r="296" spans="1:17" ht="13.2">
      <c r="A296" s="83"/>
      <c r="B296" s="83" t="s">
        <v>1201</v>
      </c>
      <c r="C296" s="159"/>
      <c r="D296" s="159"/>
      <c r="E296" s="159"/>
      <c r="F296" s="159"/>
      <c r="G296" s="159"/>
      <c r="H296" s="160"/>
      <c r="I296" s="57">
        <f t="shared" si="4"/>
        <v>0</v>
      </c>
      <c r="J296" s="102"/>
      <c r="K296" s="101"/>
      <c r="L296" s="159"/>
      <c r="M296" s="404"/>
      <c r="N296" s="383" t="s">
        <v>1709</v>
      </c>
      <c r="O296" s="383">
        <v>117</v>
      </c>
      <c r="P296" s="383">
        <v>3.5</v>
      </c>
    </row>
    <row r="297" spans="1:17" ht="13.2">
      <c r="A297" s="83"/>
      <c r="B297" s="83" t="s">
        <v>1054</v>
      </c>
      <c r="C297" s="159"/>
      <c r="D297" s="159"/>
      <c r="E297" s="159"/>
      <c r="F297" s="159"/>
      <c r="G297" s="159"/>
      <c r="H297" s="160"/>
      <c r="I297" s="57">
        <f t="shared" si="4"/>
        <v>0</v>
      </c>
      <c r="J297" s="102"/>
      <c r="K297" s="101"/>
      <c r="L297" s="159"/>
      <c r="M297" s="545"/>
      <c r="N297" s="383" t="s">
        <v>1726</v>
      </c>
      <c r="O297" s="383">
        <v>125</v>
      </c>
      <c r="P297" s="383">
        <v>3.5</v>
      </c>
      <c r="Q297" s="543"/>
    </row>
    <row r="298" spans="1:17" ht="13.2">
      <c r="A298" s="83" t="s">
        <v>1002</v>
      </c>
      <c r="B298" s="386" t="str">
        <f>HYPERLINK("http://codeforces.com/contest/276/problem/D","CF276-D2-D")</f>
        <v>CF276-D2-D</v>
      </c>
      <c r="C298" s="159"/>
      <c r="D298" s="159"/>
      <c r="E298" s="159"/>
      <c r="F298" s="159"/>
      <c r="G298" s="159"/>
      <c r="H298" s="160"/>
      <c r="I298" s="57">
        <f t="shared" si="4"/>
        <v>0</v>
      </c>
      <c r="J298" s="96"/>
      <c r="K298" s="159"/>
      <c r="L298" s="405"/>
      <c r="M298" s="545"/>
      <c r="N298" s="383" t="s">
        <v>1759</v>
      </c>
      <c r="O298" s="383">
        <v>135</v>
      </c>
      <c r="P298" s="383">
        <v>3.5</v>
      </c>
      <c r="Q298" s="543"/>
    </row>
    <row r="299" spans="1:17" ht="13.2">
      <c r="A299" s="83" t="s">
        <v>1099</v>
      </c>
      <c r="B299" s="386" t="str">
        <f>HYPERLINK("http://codeforces.com/contest/401/problem/D","CF401-D2-D")</f>
        <v>CF401-D2-D</v>
      </c>
      <c r="C299" s="159"/>
      <c r="D299" s="159"/>
      <c r="E299" s="159"/>
      <c r="F299" s="159"/>
      <c r="G299" s="159"/>
      <c r="H299" s="160"/>
      <c r="I299" s="57">
        <f t="shared" si="4"/>
        <v>0</v>
      </c>
      <c r="J299" s="62"/>
      <c r="K299" s="56"/>
      <c r="L299" s="405"/>
      <c r="M299" s="218"/>
      <c r="N299" s="383" t="s">
        <v>1225</v>
      </c>
      <c r="O299" s="383">
        <v>1</v>
      </c>
      <c r="P299" s="406">
        <v>4</v>
      </c>
      <c r="Q299" s="37" t="s">
        <v>1229</v>
      </c>
    </row>
    <row r="300" spans="1:17" ht="13.2">
      <c r="A300" s="83" t="s">
        <v>785</v>
      </c>
      <c r="B300" s="386" t="str">
        <f>HYPERLINK("http://codeforces.com/contest/160/problem/C","CF160-D2-C")</f>
        <v>CF160-D2-C</v>
      </c>
      <c r="C300" s="159"/>
      <c r="D300" s="159"/>
      <c r="E300" s="159"/>
      <c r="F300" s="159"/>
      <c r="G300" s="159"/>
      <c r="H300" s="160"/>
      <c r="I300" s="57">
        <f t="shared" si="4"/>
        <v>0</v>
      </c>
      <c r="J300" s="62"/>
      <c r="K300" s="56"/>
      <c r="L300" s="159"/>
      <c r="M300" s="229"/>
      <c r="N300" s="383" t="s">
        <v>1227</v>
      </c>
      <c r="O300" s="383">
        <v>1</v>
      </c>
      <c r="P300" s="383">
        <v>4</v>
      </c>
      <c r="Q300" s="37" t="s">
        <v>1226</v>
      </c>
    </row>
    <row r="301" spans="1:17" ht="13.2">
      <c r="A301" s="386" t="str">
        <f>HYPERLINK("https://community.topcoder.com/stat?c=problem_statement&amp;pm=3491&amp;rd=6517","BagsOfGold")</f>
        <v>BagsOfGold</v>
      </c>
      <c r="B301" s="83" t="s">
        <v>993</v>
      </c>
      <c r="C301" s="159"/>
      <c r="D301" s="159"/>
      <c r="E301" s="159"/>
      <c r="F301" s="159"/>
      <c r="G301" s="159"/>
      <c r="H301" s="160"/>
      <c r="I301" s="57">
        <f t="shared" si="4"/>
        <v>0</v>
      </c>
      <c r="J301" s="62"/>
      <c r="K301" s="56"/>
      <c r="L301" s="159"/>
      <c r="M301" s="83"/>
      <c r="N301" s="383" t="s">
        <v>1230</v>
      </c>
      <c r="O301" s="383">
        <v>1</v>
      </c>
      <c r="P301" s="383">
        <v>4</v>
      </c>
      <c r="Q301" s="37" t="s">
        <v>1226</v>
      </c>
    </row>
    <row r="302" spans="1:17" ht="13.2">
      <c r="A302" s="83" t="s">
        <v>990</v>
      </c>
      <c r="B302" s="386" t="str">
        <f>HYPERLINK("https://uva.onlinejudge.org/index.php?option=com_onlinejudge&amp;Itemid=8&amp;page=show_problem&amp;problem=1345","UVA 10404")</f>
        <v>UVA 10404</v>
      </c>
      <c r="C302" s="159"/>
      <c r="D302" s="159"/>
      <c r="E302" s="159"/>
      <c r="F302" s="159"/>
      <c r="G302" s="159"/>
      <c r="H302" s="160"/>
      <c r="I302" s="57">
        <f t="shared" si="4"/>
        <v>0</v>
      </c>
      <c r="J302" s="62"/>
      <c r="K302" s="56"/>
      <c r="L302" s="159"/>
      <c r="M302" s="404"/>
      <c r="N302" s="383" t="s">
        <v>1227</v>
      </c>
      <c r="O302" s="383">
        <v>1</v>
      </c>
      <c r="P302" s="383">
        <v>4</v>
      </c>
      <c r="Q302" s="37" t="s">
        <v>1226</v>
      </c>
    </row>
    <row r="303" spans="1:17" ht="13.2">
      <c r="A303" s="386" t="str">
        <f>HYPERLINK("https://community.topcoder.com/stat?c=problem_statement&amp;pm=11566&amp;rd=14547","RowAndCoins")</f>
        <v>RowAndCoins</v>
      </c>
      <c r="B303" s="83" t="s">
        <v>992</v>
      </c>
      <c r="C303" s="159"/>
      <c r="D303" s="159"/>
      <c r="E303" s="159"/>
      <c r="F303" s="159"/>
      <c r="G303" s="159"/>
      <c r="H303" s="160"/>
      <c r="I303" s="57">
        <f t="shared" si="4"/>
        <v>0</v>
      </c>
      <c r="J303" s="62"/>
      <c r="K303" s="56"/>
      <c r="L303" s="159"/>
      <c r="M303" s="395" t="str">
        <f>HYPERLINK("https://www.youtube.com/watch?v=5roeMaM3T3Y","Video Solution - Solver to be (Java)")</f>
        <v>Video Solution - Solver to be (Java)</v>
      </c>
      <c r="N303" s="383" t="s">
        <v>1218</v>
      </c>
      <c r="O303" s="383">
        <v>1</v>
      </c>
      <c r="P303" s="383">
        <v>4</v>
      </c>
      <c r="Q303" s="37" t="s">
        <v>1224</v>
      </c>
    </row>
    <row r="304" spans="1:17" ht="13.2">
      <c r="A304" s="83"/>
      <c r="B304" s="386" t="str">
        <f>HYPERLINK("https://codeforces.com/contest/1033/problem/C","CF1033-D12-C")</f>
        <v>CF1033-D12-C</v>
      </c>
      <c r="C304" s="159"/>
      <c r="D304" s="159"/>
      <c r="E304" s="159"/>
      <c r="F304" s="159"/>
      <c r="G304" s="159"/>
      <c r="H304" s="160"/>
      <c r="I304" s="57">
        <f t="shared" si="4"/>
        <v>0</v>
      </c>
      <c r="J304" s="102"/>
      <c r="K304" s="101"/>
      <c r="L304" s="159"/>
      <c r="M304" s="389" t="str">
        <f>HYPERLINK("https://www.youtube.com/watch?v=8G06-YDc2-I","Video Solution - Solver to be (Java)")</f>
        <v>Video Solution - Solver to be (Java)</v>
      </c>
      <c r="N304" s="383" t="s">
        <v>1218</v>
      </c>
      <c r="O304" s="383">
        <v>1</v>
      </c>
      <c r="P304" s="383">
        <v>4</v>
      </c>
      <c r="Q304" s="37" t="s">
        <v>1224</v>
      </c>
    </row>
    <row r="305" spans="1:17" ht="13.2">
      <c r="A305" s="386" t="str">
        <f>HYPERLINK("https://community.topcoder.com/stat?c=problem_statement&amp;pm=11791&amp;rd=14727","EllysCheckers")</f>
        <v>EllysCheckers</v>
      </c>
      <c r="B305" s="83" t="s">
        <v>991</v>
      </c>
      <c r="C305" s="159"/>
      <c r="D305" s="159"/>
      <c r="E305" s="159"/>
      <c r="F305" s="159"/>
      <c r="G305" s="159"/>
      <c r="H305" s="160"/>
      <c r="I305" s="57">
        <f t="shared" si="4"/>
        <v>0</v>
      </c>
      <c r="J305" s="62"/>
      <c r="K305" s="56"/>
      <c r="L305" s="159"/>
      <c r="M305" s="403" t="str">
        <f>HYPERLINK("https://github.com/mostafa-saad/MyCompetitiveProgramming/blob/master/SPOJ/SPOJ_TWINSNOW.txt","Sol - text clarification")</f>
        <v>Sol - text clarification</v>
      </c>
      <c r="N305" s="383" t="s">
        <v>1231</v>
      </c>
      <c r="O305" s="383">
        <v>1</v>
      </c>
      <c r="P305" s="383">
        <v>4</v>
      </c>
      <c r="Q305" s="37" t="s">
        <v>1220</v>
      </c>
    </row>
    <row r="306" spans="1:17" ht="13.2">
      <c r="A306" s="83" t="s">
        <v>994</v>
      </c>
      <c r="B306" s="386" t="str">
        <f>HYPERLINK("http://codeforces.com/contest/148/problem/D","CF148-D2-D")</f>
        <v>CF148-D2-D</v>
      </c>
      <c r="C306" s="159"/>
      <c r="D306" s="159"/>
      <c r="E306" s="159"/>
      <c r="F306" s="159"/>
      <c r="G306" s="159"/>
      <c r="H306" s="160"/>
      <c r="I306" s="57">
        <f t="shared" si="4"/>
        <v>0</v>
      </c>
      <c r="J306" s="102"/>
      <c r="K306" s="101"/>
      <c r="L306" s="159"/>
      <c r="M306" s="228" t="s">
        <v>614</v>
      </c>
      <c r="N306" s="383" t="s">
        <v>1232</v>
      </c>
      <c r="O306" s="383">
        <v>1</v>
      </c>
      <c r="P306" s="383">
        <v>4</v>
      </c>
      <c r="Q306" s="37" t="s">
        <v>1220</v>
      </c>
    </row>
    <row r="307" spans="1:17" ht="13.2">
      <c r="A307" s="83" t="s">
        <v>1195</v>
      </c>
      <c r="B307" s="386" t="str">
        <f>HYPERLINK("https://uva.onlinejudge.org/index.php?option=com_onlinejudge&amp;Itemid=8&amp;page=show_problem&amp;problem=1519","UVA 10578")</f>
        <v>UVA 10578</v>
      </c>
      <c r="C307" s="159"/>
      <c r="D307" s="159"/>
      <c r="E307" s="159"/>
      <c r="F307" s="159"/>
      <c r="G307" s="159"/>
      <c r="H307" s="160"/>
      <c r="I307" s="57">
        <f t="shared" si="4"/>
        <v>0</v>
      </c>
      <c r="J307" s="62"/>
      <c r="K307" s="56"/>
      <c r="L307" s="405"/>
      <c r="M307" s="545"/>
      <c r="N307" s="383" t="s">
        <v>1233</v>
      </c>
      <c r="O307" s="383">
        <v>1</v>
      </c>
      <c r="P307" s="383">
        <v>4</v>
      </c>
      <c r="Q307" s="37" t="s">
        <v>1220</v>
      </c>
    </row>
    <row r="308" spans="1:17" ht="13.2">
      <c r="A308" s="83" t="s">
        <v>1108</v>
      </c>
      <c r="B308" s="386" t="str">
        <f>HYPERLINK("https://uva.onlinejudge.org/index.php?option=com_onlinejudge&amp;Itemid=8&amp;page=show_problem&amp;problem=1052","UVA 10111")</f>
        <v>UVA 10111</v>
      </c>
      <c r="C308" s="159"/>
      <c r="D308" s="159"/>
      <c r="E308" s="159"/>
      <c r="F308" s="159"/>
      <c r="G308" s="159"/>
      <c r="H308" s="160"/>
      <c r="I308" s="57">
        <f t="shared" si="4"/>
        <v>0</v>
      </c>
      <c r="J308" s="62"/>
      <c r="K308" s="56"/>
      <c r="L308" s="405"/>
      <c r="M308" s="404"/>
      <c r="N308" s="383" t="s">
        <v>1218</v>
      </c>
      <c r="O308" s="383">
        <v>1</v>
      </c>
      <c r="P308" s="383">
        <v>4</v>
      </c>
      <c r="Q308" s="543"/>
    </row>
    <row r="309" spans="1:17" ht="13.2">
      <c r="A309" s="83" t="s">
        <v>926</v>
      </c>
      <c r="B309" s="386" t="str">
        <f>HYPERLINK("https://uva.onlinejudge.org/index.php?option=com_onlinejudge&amp;Itemid=8&amp;page=show_problem&amp;problem=3888","UVA 12457")</f>
        <v>UVA 12457</v>
      </c>
      <c r="C309" s="159"/>
      <c r="D309" s="159"/>
      <c r="E309" s="159"/>
      <c r="F309" s="159"/>
      <c r="G309" s="159"/>
      <c r="H309" s="160"/>
      <c r="I309" s="57">
        <f t="shared" si="4"/>
        <v>0</v>
      </c>
      <c r="J309" s="96"/>
      <c r="K309" s="159"/>
      <c r="L309" s="405"/>
      <c r="M309" s="389" t="str">
        <f>HYPERLINK("https://www.youtube.com/watch?v=VvR9spazigA","Video Solution - Solver to be (Java)")</f>
        <v>Video Solution - Solver to be (Java)</v>
      </c>
      <c r="N309" s="383" t="s">
        <v>1218</v>
      </c>
      <c r="O309" s="383">
        <v>1</v>
      </c>
      <c r="P309" s="383">
        <v>4</v>
      </c>
    </row>
    <row r="310" spans="1:17" ht="13.2">
      <c r="A310" s="83" t="s">
        <v>978</v>
      </c>
      <c r="B310" s="386" t="str">
        <f>HYPERLINK("http://codeforces.com/contest/54/problem/C","CF54-D12-C")</f>
        <v>CF54-D12-C</v>
      </c>
      <c r="C310" s="159"/>
      <c r="D310" s="159"/>
      <c r="E310" s="159"/>
      <c r="F310" s="159"/>
      <c r="G310" s="159"/>
      <c r="H310" s="160"/>
      <c r="I310" s="57">
        <f t="shared" si="4"/>
        <v>0</v>
      </c>
      <c r="J310" s="102"/>
      <c r="K310" s="101"/>
      <c r="L310" s="159"/>
      <c r="M310" s="545"/>
      <c r="N310" s="383" t="s">
        <v>1225</v>
      </c>
      <c r="O310" s="383">
        <v>1</v>
      </c>
      <c r="P310" s="383">
        <v>4</v>
      </c>
      <c r="Q310" s="543"/>
    </row>
    <row r="311" spans="1:17" ht="13.2">
      <c r="A311" s="83" t="s">
        <v>924</v>
      </c>
      <c r="B311" s="386" t="str">
        <f>HYPERLINK("https://uva.onlinejudge.org/index.php?option=onlinejudge&amp;page=show_problem&amp;problem=483","UVA 542")</f>
        <v>UVA 542</v>
      </c>
      <c r="C311" s="159"/>
      <c r="D311" s="159"/>
      <c r="E311" s="159"/>
      <c r="F311" s="159"/>
      <c r="G311" s="159"/>
      <c r="H311" s="160"/>
      <c r="I311" s="57">
        <f t="shared" si="4"/>
        <v>0</v>
      </c>
      <c r="J311" s="96"/>
      <c r="K311" s="159"/>
      <c r="L311" s="405"/>
      <c r="M311" s="398" t="str">
        <f>HYPERLINK("https://www.youtube.com/watch?v=3jMlUYEVgL0","Video Solution - Eng Ayman Salah")</f>
        <v>Video Solution - Eng Ayman Salah</v>
      </c>
      <c r="N311" s="383" t="s">
        <v>1246</v>
      </c>
      <c r="O311" s="383">
        <v>2</v>
      </c>
      <c r="P311" s="383">
        <v>4</v>
      </c>
      <c r="Q311" s="543"/>
    </row>
    <row r="312" spans="1:17" ht="13.2">
      <c r="A312" s="83" t="s">
        <v>1035</v>
      </c>
      <c r="B312" s="386" t="str">
        <f>HYPERLINK("http://codeforces.com/contest/540/problem/D","CF540-D2-D")</f>
        <v>CF540-D2-D</v>
      </c>
      <c r="C312" s="159"/>
      <c r="D312" s="159"/>
      <c r="E312" s="159"/>
      <c r="F312" s="159"/>
      <c r="G312" s="159"/>
      <c r="H312" s="160"/>
      <c r="I312" s="57">
        <f t="shared" si="4"/>
        <v>0</v>
      </c>
      <c r="J312" s="102"/>
      <c r="K312" s="101"/>
      <c r="L312" s="159"/>
      <c r="M312" s="398" t="str">
        <f>HYPERLINK("https://www.youtube.com/watch?v=0hOK2hgqNE4","Video Solution - Dr Mostafa Saad")</f>
        <v>Video Solution - Dr Mostafa Saad</v>
      </c>
      <c r="N312" s="383" t="s">
        <v>1247</v>
      </c>
      <c r="O312" s="383">
        <v>2</v>
      </c>
      <c r="P312" s="383">
        <v>4</v>
      </c>
      <c r="Q312" s="543"/>
    </row>
    <row r="313" spans="1:17" ht="13.2">
      <c r="A313" s="386" t="str">
        <f>HYPERLINK("https://community.topcoder.com/stat?c=problem_statement&amp;pm=7422&amp;rd=10663","TestBettingStrategy")</f>
        <v>TestBettingStrategy</v>
      </c>
      <c r="B313" s="83" t="s">
        <v>922</v>
      </c>
      <c r="C313" s="159"/>
      <c r="D313" s="159"/>
      <c r="E313" s="159"/>
      <c r="F313" s="159"/>
      <c r="G313" s="159"/>
      <c r="H313" s="160"/>
      <c r="I313" s="57">
        <f t="shared" si="4"/>
        <v>0</v>
      </c>
      <c r="J313" s="96"/>
      <c r="K313" s="159"/>
      <c r="L313" s="159"/>
      <c r="M313" s="403" t="str">
        <f>HYPERLINK("https://github.com/ackoroa/UVa-Solutions/blob/master/UVa%2010058%20-%20Jimmi's%20Riddles/src/Main.java","Sol")</f>
        <v>Sol</v>
      </c>
      <c r="N313" s="383" t="s">
        <v>1249</v>
      </c>
      <c r="O313" s="383">
        <v>3</v>
      </c>
      <c r="P313" s="383">
        <v>4</v>
      </c>
      <c r="Q313" s="37" t="s">
        <v>1226</v>
      </c>
    </row>
    <row r="314" spans="1:17" ht="13.2">
      <c r="A314" s="83" t="s">
        <v>921</v>
      </c>
      <c r="B314" s="386" t="str">
        <f>HYPERLINK("https://uva.onlinejudge.org/index.php?option=com_onlinejudge&amp;Itemid=8&amp;page=show_problem&amp;problem=1700","UVA 10759")</f>
        <v>UVA 10759</v>
      </c>
      <c r="C314" s="159"/>
      <c r="D314" s="159"/>
      <c r="E314" s="159"/>
      <c r="F314" s="159"/>
      <c r="G314" s="159"/>
      <c r="H314" s="160"/>
      <c r="I314" s="57">
        <f t="shared" si="4"/>
        <v>0</v>
      </c>
      <c r="J314" s="102"/>
      <c r="K314" s="101"/>
      <c r="L314" s="159"/>
      <c r="M314" s="403" t="str">
        <f>HYPERLINK("https://github.com/ilyesG/Competitive-Programming/blob/master/CodeForces/CF63-D2-C.cpp","Sol")</f>
        <v>Sol</v>
      </c>
      <c r="N314" s="383" t="s">
        <v>1256</v>
      </c>
      <c r="O314" s="383">
        <v>5</v>
      </c>
      <c r="P314" s="383">
        <v>4</v>
      </c>
      <c r="Q314" s="37" t="s">
        <v>1224</v>
      </c>
    </row>
    <row r="315" spans="1:17" ht="13.2">
      <c r="A315" s="83" t="s">
        <v>1156</v>
      </c>
      <c r="B315" s="386" t="str">
        <f>HYPERLINK("http://codeforces.com/contest/168/problem/D","CF168-D2-D")</f>
        <v>CF168-D2-D</v>
      </c>
      <c r="C315" s="159"/>
      <c r="D315" s="159"/>
      <c r="E315" s="159"/>
      <c r="F315" s="159"/>
      <c r="G315" s="159"/>
      <c r="H315" s="160"/>
      <c r="I315" s="57">
        <f t="shared" si="4"/>
        <v>0</v>
      </c>
      <c r="J315" s="62"/>
      <c r="K315" s="56"/>
      <c r="L315" s="405"/>
      <c r="M315" s="401"/>
      <c r="N315" s="383" t="s">
        <v>1252</v>
      </c>
      <c r="O315" s="383">
        <v>5</v>
      </c>
      <c r="P315" s="383">
        <v>4</v>
      </c>
    </row>
    <row r="316" spans="1:17" ht="13.2">
      <c r="A316" s="83"/>
      <c r="B316" s="386" t="str">
        <f>HYPERLINK("http://codeforces.com/contest/28/problem/C","CF28-D12-C")</f>
        <v>CF28-D12-C</v>
      </c>
      <c r="C316" s="159"/>
      <c r="D316" s="159"/>
      <c r="E316" s="159"/>
      <c r="F316" s="159"/>
      <c r="G316" s="159"/>
      <c r="H316" s="160"/>
      <c r="I316" s="57">
        <f t="shared" si="4"/>
        <v>0</v>
      </c>
      <c r="J316" s="62"/>
      <c r="K316" s="56"/>
      <c r="L316" s="405"/>
      <c r="M316" s="404"/>
      <c r="N316" s="383" t="s">
        <v>1257</v>
      </c>
      <c r="O316" s="383">
        <v>5</v>
      </c>
      <c r="P316" s="383">
        <v>4</v>
      </c>
      <c r="Q316" s="543"/>
    </row>
    <row r="317" spans="1:17" ht="13.2">
      <c r="A317" s="83" t="s">
        <v>1109</v>
      </c>
      <c r="B317" s="386" t="str">
        <f>HYPERLINK("http://poj.org/problem?id=2151","PKU 2151")</f>
        <v>PKU 2151</v>
      </c>
      <c r="C317" s="159"/>
      <c r="D317" s="159"/>
      <c r="E317" s="159"/>
      <c r="F317" s="159"/>
      <c r="G317" s="159"/>
      <c r="H317" s="160"/>
      <c r="I317" s="57">
        <f t="shared" si="4"/>
        <v>0</v>
      </c>
      <c r="J317" s="102"/>
      <c r="K317" s="101"/>
      <c r="L317" s="405"/>
      <c r="M317" s="404"/>
      <c r="N317" s="383" t="s">
        <v>1257</v>
      </c>
      <c r="O317" s="383">
        <v>5</v>
      </c>
      <c r="P317" s="383">
        <v>4</v>
      </c>
      <c r="Q317" s="543"/>
    </row>
    <row r="318" spans="1:17" ht="13.2">
      <c r="A318" s="83"/>
      <c r="B318" s="386" t="str">
        <f>HYPERLINK("http://codeforces.com/contest/16/problem/E","CF16-D2-E")</f>
        <v>CF16-D2-E</v>
      </c>
      <c r="C318" s="159"/>
      <c r="D318" s="159"/>
      <c r="E318" s="159"/>
      <c r="F318" s="159"/>
      <c r="G318" s="159"/>
      <c r="H318" s="160"/>
      <c r="I318" s="57">
        <f t="shared" si="4"/>
        <v>0</v>
      </c>
      <c r="J318" s="102"/>
      <c r="K318" s="101"/>
      <c r="L318" s="159"/>
      <c r="M318" s="395"/>
      <c r="N318" s="383" t="s">
        <v>1258</v>
      </c>
      <c r="O318" s="383">
        <v>5</v>
      </c>
      <c r="P318" s="383">
        <v>4</v>
      </c>
      <c r="Q318" s="543"/>
    </row>
    <row r="319" spans="1:17" ht="13.2">
      <c r="A319" s="83" t="s">
        <v>664</v>
      </c>
      <c r="B319" s="386" t="str">
        <f>HYPERLINK("https://uva.onlinejudge.org/index.php?option=com_onlinejudge&amp;Itemid=8&amp;page=show_problem&amp;problem=1159","UVA 10218")</f>
        <v>UVA 10218</v>
      </c>
      <c r="C319" s="159"/>
      <c r="D319" s="159"/>
      <c r="E319" s="159"/>
      <c r="F319" s="159"/>
      <c r="G319" s="159"/>
      <c r="H319" s="160"/>
      <c r="I319" s="57">
        <f t="shared" si="4"/>
        <v>0</v>
      </c>
      <c r="J319" s="62"/>
      <c r="K319" s="56"/>
      <c r="L319" s="159"/>
      <c r="M319" s="404"/>
      <c r="N319" s="383" t="s">
        <v>1256</v>
      </c>
      <c r="O319" s="383">
        <v>5</v>
      </c>
      <c r="P319" s="383">
        <v>4</v>
      </c>
      <c r="Q319" s="543"/>
    </row>
    <row r="320" spans="1:17" ht="13.2">
      <c r="A320" s="83" t="s">
        <v>925</v>
      </c>
      <c r="B320" s="386" t="str">
        <f>HYPERLINK("https://uva.onlinejudge.org/index.php?option=com_onlinejudge&amp;Itemid=8&amp;page=show_problem&amp;problem=1962","UVA 11021")</f>
        <v>UVA 11021</v>
      </c>
      <c r="C320" s="159"/>
      <c r="D320" s="159"/>
      <c r="E320" s="159"/>
      <c r="F320" s="159"/>
      <c r="G320" s="159"/>
      <c r="H320" s="160"/>
      <c r="I320" s="57">
        <f t="shared" si="4"/>
        <v>0</v>
      </c>
      <c r="J320" s="96"/>
      <c r="K320" s="159"/>
      <c r="L320" s="159"/>
      <c r="M320" s="399"/>
      <c r="N320" s="383" t="s">
        <v>1256</v>
      </c>
      <c r="O320" s="383">
        <v>5</v>
      </c>
      <c r="P320" s="383">
        <v>4</v>
      </c>
      <c r="Q320" s="543"/>
    </row>
    <row r="321" spans="1:17" ht="13.2">
      <c r="A321" s="83" t="s">
        <v>923</v>
      </c>
      <c r="B321" s="386" t="str">
        <f>HYPERLINK("http://poj.org/problem?id=2096","PKU 2096")</f>
        <v>PKU 2096</v>
      </c>
      <c r="C321" s="159"/>
      <c r="D321" s="159"/>
      <c r="E321" s="159"/>
      <c r="F321" s="159"/>
      <c r="G321" s="159"/>
      <c r="H321" s="160"/>
      <c r="I321" s="57">
        <f t="shared" si="4"/>
        <v>0</v>
      </c>
      <c r="J321" s="102"/>
      <c r="K321" s="101"/>
      <c r="L321" s="405"/>
      <c r="M321" s="404"/>
      <c r="N321" s="383" t="s">
        <v>1274</v>
      </c>
      <c r="O321" s="383">
        <v>6</v>
      </c>
      <c r="P321" s="383">
        <v>4</v>
      </c>
      <c r="Q321" s="37" t="s">
        <v>1226</v>
      </c>
    </row>
    <row r="322" spans="1:17" ht="13.2">
      <c r="A322" s="83" t="s">
        <v>1114</v>
      </c>
      <c r="B322" s="386" t="str">
        <f>HYPERLINK("https://uva.onlinejudge.org/index.php?option=com_onlinejudge&amp;Itemid=8&amp;page=show_problem&amp;problem=2117","UVA 11176")</f>
        <v>UVA 11176</v>
      </c>
      <c r="C322" s="159"/>
      <c r="D322" s="159"/>
      <c r="E322" s="159"/>
      <c r="F322" s="159"/>
      <c r="G322" s="159"/>
      <c r="H322" s="160"/>
      <c r="I322" s="57">
        <f t="shared" si="4"/>
        <v>0</v>
      </c>
      <c r="J322" s="96"/>
      <c r="K322" s="159"/>
      <c r="L322" s="405"/>
      <c r="M322" s="545"/>
      <c r="N322" s="383" t="s">
        <v>1275</v>
      </c>
      <c r="O322" s="383">
        <v>6</v>
      </c>
      <c r="P322" s="383">
        <v>4</v>
      </c>
      <c r="Q322" s="37" t="s">
        <v>1224</v>
      </c>
    </row>
    <row r="323" spans="1:17" ht="13.2">
      <c r="A323" s="83" t="s">
        <v>623</v>
      </c>
      <c r="B323" s="386" t="str">
        <f>HYPERLINK("https://uva.onlinejudge.org/index.php?option=com_onlinejudge&amp;Itemid=8&amp;page=show_problem&amp;problem=2853","UVA 11753")</f>
        <v>UVA 11753</v>
      </c>
      <c r="C323" s="159"/>
      <c r="D323" s="159"/>
      <c r="E323" s="159"/>
      <c r="F323" s="159"/>
      <c r="G323" s="159"/>
      <c r="H323" s="160"/>
      <c r="I323" s="57">
        <f t="shared" si="4"/>
        <v>0</v>
      </c>
      <c r="J323" s="62"/>
      <c r="K323" s="56"/>
      <c r="L323" s="159"/>
      <c r="M323" s="389" t="str">
        <f>HYPERLINK("https://www.youtube.com/watch?v=SDEpB87Uxpg","Video Solution - Solver to be (Java)")</f>
        <v>Video Solution - Solver to be (Java)</v>
      </c>
      <c r="N323" s="383" t="s">
        <v>1270</v>
      </c>
      <c r="O323" s="383">
        <v>6</v>
      </c>
      <c r="P323" s="383">
        <v>4</v>
      </c>
      <c r="Q323" s="543"/>
    </row>
    <row r="324" spans="1:17" ht="13.2">
      <c r="A324" s="83"/>
      <c r="B324" s="386" t="str">
        <f>HYPERLINK("http://codeforces.com/gym/101294/problem/I","CF101294-GYM-I")</f>
        <v>CF101294-GYM-I</v>
      </c>
      <c r="C324" s="159"/>
      <c r="D324" s="159"/>
      <c r="E324" s="159"/>
      <c r="F324" s="159"/>
      <c r="G324" s="159"/>
      <c r="H324" s="160"/>
      <c r="I324" s="57">
        <f t="shared" si="4"/>
        <v>0</v>
      </c>
      <c r="J324" s="102"/>
      <c r="K324" s="101"/>
      <c r="L324" s="159"/>
      <c r="M324" s="396" t="str">
        <f>HYPERLINK("https://www.youtube.com/watch?v=OsfeunBJFzw","Video Solution - Eng Ayman Salah")</f>
        <v>Video Solution - Eng Ayman Salah</v>
      </c>
      <c r="N324" s="383" t="s">
        <v>1270</v>
      </c>
      <c r="O324" s="383">
        <v>6</v>
      </c>
      <c r="P324" s="383">
        <v>4</v>
      </c>
      <c r="Q324" s="543"/>
    </row>
    <row r="325" spans="1:17" ht="13.2">
      <c r="A325" s="83"/>
      <c r="B325" s="83" t="s">
        <v>890</v>
      </c>
      <c r="C325" s="159"/>
      <c r="D325" s="159"/>
      <c r="E325" s="159"/>
      <c r="F325" s="159"/>
      <c r="G325" s="159"/>
      <c r="H325" s="160"/>
      <c r="I325" s="57">
        <f t="shared" si="4"/>
        <v>0</v>
      </c>
      <c r="J325" s="62"/>
      <c r="K325" s="56"/>
      <c r="L325" s="159"/>
      <c r="M325" s="389" t="str">
        <f>HYPERLINK("https://www.youtube.com/watch?v=EZg71v0Z5iE","Video Solution - Dr Mostafa Saad")</f>
        <v>Video Solution - Dr Mostafa Saad</v>
      </c>
      <c r="N325" s="383" t="s">
        <v>1276</v>
      </c>
      <c r="O325" s="383">
        <v>6</v>
      </c>
      <c r="P325" s="383">
        <v>4</v>
      </c>
      <c r="Q325" s="37" t="s">
        <v>1224</v>
      </c>
    </row>
    <row r="326" spans="1:17" ht="13.2">
      <c r="A326" s="83"/>
      <c r="B326" s="83" t="s">
        <v>612</v>
      </c>
      <c r="C326" s="159"/>
      <c r="D326" s="159"/>
      <c r="E326" s="159"/>
      <c r="F326" s="159"/>
      <c r="G326" s="159"/>
      <c r="H326" s="160"/>
      <c r="I326" s="57">
        <f t="shared" si="4"/>
        <v>0</v>
      </c>
      <c r="J326" s="62"/>
      <c r="K326" s="56"/>
      <c r="L326" s="159"/>
      <c r="M326" s="104" t="str">
        <f>HYPERLINK("https://github.com/goswami-rahul/competitive-coding/blob/master/CompetitiveProgramming/livearchive/8078.cpp","Sol")</f>
        <v>Sol</v>
      </c>
      <c r="N326" s="265" t="s">
        <v>1285</v>
      </c>
      <c r="O326" s="383">
        <v>9</v>
      </c>
      <c r="P326" s="383">
        <v>4</v>
      </c>
      <c r="Q326" s="37" t="s">
        <v>1251</v>
      </c>
    </row>
    <row r="327" spans="1:17" ht="13.2">
      <c r="A327" s="386" t="str">
        <f>HYPERLINK("https://community.topcoder.com/stat?c=problem_statement&amp;pm=1331&amp;rd=4550","MessageMess")</f>
        <v>MessageMess</v>
      </c>
      <c r="B327" s="83" t="s">
        <v>611</v>
      </c>
      <c r="C327" s="159"/>
      <c r="D327" s="159"/>
      <c r="E327" s="159"/>
      <c r="F327" s="159"/>
      <c r="G327" s="159"/>
      <c r="H327" s="160"/>
      <c r="I327" s="57">
        <f t="shared" ref="I327:I390" si="5">SUM(E327:H327)</f>
        <v>0</v>
      </c>
      <c r="J327" s="62"/>
      <c r="K327" s="56"/>
      <c r="L327" s="159"/>
      <c r="M327" s="545"/>
      <c r="N327" s="383" t="s">
        <v>1286</v>
      </c>
      <c r="O327" s="383">
        <v>9</v>
      </c>
      <c r="P327" s="383">
        <v>4</v>
      </c>
      <c r="Q327" s="37" t="s">
        <v>1224</v>
      </c>
    </row>
    <row r="328" spans="1:17" ht="13.2">
      <c r="A328" s="83"/>
      <c r="B328" s="83" t="s">
        <v>1056</v>
      </c>
      <c r="C328" s="159"/>
      <c r="D328" s="159"/>
      <c r="E328" s="159"/>
      <c r="F328" s="159"/>
      <c r="G328" s="159"/>
      <c r="H328" s="160"/>
      <c r="I328" s="57">
        <f t="shared" si="5"/>
        <v>0</v>
      </c>
      <c r="J328" s="102"/>
      <c r="K328" s="101"/>
      <c r="L328" s="159"/>
      <c r="M328" s="399"/>
      <c r="N328" s="383" t="s">
        <v>1287</v>
      </c>
      <c r="O328" s="383">
        <v>9</v>
      </c>
      <c r="P328" s="383">
        <v>4</v>
      </c>
      <c r="Q328" s="37" t="s">
        <v>1224</v>
      </c>
    </row>
    <row r="329" spans="1:17" ht="13.2">
      <c r="A329" s="83"/>
      <c r="B329" s="83" t="s">
        <v>1083</v>
      </c>
      <c r="C329" s="159"/>
      <c r="D329" s="159"/>
      <c r="E329" s="159"/>
      <c r="F329" s="159"/>
      <c r="G329" s="159"/>
      <c r="H329" s="160"/>
      <c r="I329" s="57">
        <f t="shared" si="5"/>
        <v>0</v>
      </c>
      <c r="J329" s="102"/>
      <c r="K329" s="101"/>
      <c r="L329" s="159"/>
      <c r="M329" s="406"/>
      <c r="N329" s="383" t="s">
        <v>1288</v>
      </c>
      <c r="O329" s="383">
        <v>9</v>
      </c>
      <c r="P329" s="383">
        <v>4</v>
      </c>
      <c r="Q329" s="37" t="s">
        <v>1224</v>
      </c>
    </row>
    <row r="330" spans="1:17" ht="13.2">
      <c r="A330" s="83" t="s">
        <v>625</v>
      </c>
      <c r="B330" s="386" t="str">
        <f>HYPERLINK("https://uva.onlinejudge.org/index.php?option=com_onlinejudge&amp;Itemid=8&amp;page=show_problem&amp;problem=4108","UVA 1362")</f>
        <v>UVA 1362</v>
      </c>
      <c r="C330" s="159"/>
      <c r="D330" s="159"/>
      <c r="E330" s="159"/>
      <c r="F330" s="159"/>
      <c r="G330" s="159"/>
      <c r="H330" s="160"/>
      <c r="I330" s="57">
        <f t="shared" si="5"/>
        <v>0</v>
      </c>
      <c r="J330" s="62"/>
      <c r="K330" s="56"/>
      <c r="L330" s="159"/>
      <c r="M330" s="399"/>
      <c r="N330" s="383" t="s">
        <v>1289</v>
      </c>
      <c r="O330" s="383">
        <v>9</v>
      </c>
      <c r="P330" s="383">
        <v>4</v>
      </c>
    </row>
    <row r="331" spans="1:17" ht="13.2">
      <c r="A331" s="83" t="s">
        <v>1033</v>
      </c>
      <c r="B331" s="386" t="str">
        <f>HYPERLINK("https://uva.onlinejudge.org/index.php?option=com_onlinejudge&amp;Itemid=8&amp;page=show_problem&amp;problem=4501","UVA 1626")</f>
        <v>UVA 1626</v>
      </c>
      <c r="C331" s="159"/>
      <c r="D331" s="159"/>
      <c r="E331" s="159"/>
      <c r="F331" s="159"/>
      <c r="G331" s="159"/>
      <c r="H331" s="160"/>
      <c r="I331" s="57">
        <f t="shared" si="5"/>
        <v>0</v>
      </c>
      <c r="J331" s="62"/>
      <c r="K331" s="56"/>
      <c r="L331" s="405"/>
      <c r="M331" s="406"/>
      <c r="N331" s="383" t="s">
        <v>1303</v>
      </c>
      <c r="O331" s="383">
        <v>10</v>
      </c>
      <c r="P331" s="383">
        <v>4</v>
      </c>
      <c r="Q331" s="37" t="s">
        <v>1224</v>
      </c>
    </row>
    <row r="332" spans="1:17" ht="13.2">
      <c r="A332" s="83"/>
      <c r="B332" s="83" t="s">
        <v>1202</v>
      </c>
      <c r="C332" s="159"/>
      <c r="D332" s="159"/>
      <c r="E332" s="159"/>
      <c r="F332" s="159"/>
      <c r="G332" s="159"/>
      <c r="H332" s="160"/>
      <c r="I332" s="57">
        <f t="shared" si="5"/>
        <v>0</v>
      </c>
      <c r="J332" s="102"/>
      <c r="K332" s="101"/>
      <c r="L332" s="159"/>
      <c r="M332" s="404"/>
      <c r="N332" s="383" t="s">
        <v>1304</v>
      </c>
      <c r="O332" s="383">
        <v>10</v>
      </c>
      <c r="P332" s="383">
        <v>4</v>
      </c>
      <c r="Q332" s="37" t="s">
        <v>1224</v>
      </c>
    </row>
    <row r="333" spans="1:17" ht="13.2">
      <c r="A333" s="83"/>
      <c r="B333" s="386" t="str">
        <f>HYPERLINK("https://uva.onlinejudge.org/index.php?option=onlinejudge&amp;page=show_problem&amp;problem=448","UVA 507")</f>
        <v>UVA 507</v>
      </c>
      <c r="C333" s="159"/>
      <c r="D333" s="159"/>
      <c r="E333" s="159"/>
      <c r="F333" s="159"/>
      <c r="G333" s="159"/>
      <c r="H333" s="160"/>
      <c r="I333" s="57">
        <f t="shared" si="5"/>
        <v>0</v>
      </c>
      <c r="J333" s="102"/>
      <c r="K333" s="101"/>
      <c r="L333" s="159"/>
      <c r="M333" s="404" t="s">
        <v>609</v>
      </c>
      <c r="N333" s="383" t="s">
        <v>1300</v>
      </c>
      <c r="O333" s="383">
        <v>10</v>
      </c>
      <c r="P333" s="383">
        <v>4</v>
      </c>
    </row>
    <row r="334" spans="1:17" ht="13.2">
      <c r="A334" s="83"/>
      <c r="B334" s="386" t="str">
        <f>HYPERLINK("https://uva.onlinejudge.org/index.php?option=com_onlinejudge&amp;Itemid=8&amp;page=show_problem&amp;problem=1608","UVA 10667")</f>
        <v>UVA 10667</v>
      </c>
      <c r="C334" s="159"/>
      <c r="D334" s="159"/>
      <c r="E334" s="159"/>
      <c r="F334" s="159"/>
      <c r="G334" s="159"/>
      <c r="H334" s="160"/>
      <c r="I334" s="57">
        <f t="shared" si="5"/>
        <v>0</v>
      </c>
      <c r="J334" s="102"/>
      <c r="K334" s="101"/>
      <c r="L334" s="159"/>
      <c r="M334" s="404"/>
      <c r="N334" s="383" t="s">
        <v>1305</v>
      </c>
      <c r="O334" s="383">
        <v>10</v>
      </c>
      <c r="P334" s="383">
        <v>4</v>
      </c>
    </row>
    <row r="335" spans="1:17" ht="13.2">
      <c r="A335" s="83" t="s">
        <v>1004</v>
      </c>
      <c r="B335" s="386" t="str">
        <f>HYPERLINK("http://codeforces.com/contest/75/problem/D","CF75-D2-D")</f>
        <v>CF75-D2-D</v>
      </c>
      <c r="C335" s="159"/>
      <c r="D335" s="159"/>
      <c r="E335" s="159"/>
      <c r="F335" s="159"/>
      <c r="G335" s="159"/>
      <c r="H335" s="160"/>
      <c r="I335" s="57">
        <f t="shared" si="5"/>
        <v>0</v>
      </c>
      <c r="J335" s="62"/>
      <c r="K335" s="56"/>
      <c r="L335" s="159"/>
      <c r="M335" s="545"/>
      <c r="N335" s="383" t="s">
        <v>1306</v>
      </c>
      <c r="O335" s="383">
        <v>10</v>
      </c>
      <c r="P335" s="383">
        <v>4</v>
      </c>
      <c r="Q335" s="543"/>
    </row>
    <row r="336" spans="1:17" ht="13.2">
      <c r="A336" s="83"/>
      <c r="B336" s="83" t="s">
        <v>1121</v>
      </c>
      <c r="C336" s="159"/>
      <c r="D336" s="159"/>
      <c r="E336" s="159"/>
      <c r="F336" s="159"/>
      <c r="G336" s="159"/>
      <c r="H336" s="160"/>
      <c r="I336" s="57">
        <f t="shared" si="5"/>
        <v>0</v>
      </c>
      <c r="J336" s="62"/>
      <c r="K336" s="56"/>
      <c r="L336" s="405"/>
      <c r="M336" s="410"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336" s="383" t="s">
        <v>1307</v>
      </c>
      <c r="O336" s="383">
        <v>10</v>
      </c>
      <c r="P336" s="383">
        <v>4</v>
      </c>
      <c r="Q336" s="543"/>
    </row>
    <row r="337" spans="1:17" ht="13.2">
      <c r="A337" s="83" t="s">
        <v>919</v>
      </c>
      <c r="B337" s="386" t="str">
        <f>HYPERLINK("http://codeforces.com/contest/667/problem/C","CF667-D2-C")</f>
        <v>CF667-D2-C</v>
      </c>
      <c r="C337" s="159"/>
      <c r="D337" s="159"/>
      <c r="E337" s="159"/>
      <c r="F337" s="159"/>
      <c r="G337" s="159"/>
      <c r="H337" s="160"/>
      <c r="I337" s="57">
        <f t="shared" si="5"/>
        <v>0</v>
      </c>
      <c r="J337" s="102"/>
      <c r="K337" s="101"/>
      <c r="L337" s="159"/>
      <c r="M337" s="404"/>
      <c r="N337" s="383" t="s">
        <v>1308</v>
      </c>
      <c r="O337" s="383">
        <v>10</v>
      </c>
      <c r="P337" s="383">
        <v>4</v>
      </c>
      <c r="Q337" s="543"/>
    </row>
    <row r="338" spans="1:17" ht="13.2">
      <c r="A338" s="83" t="s">
        <v>1123</v>
      </c>
      <c r="B338" s="386" t="str">
        <f>HYPERLINK("http://codeforces.com/contest/478/problem/D","CF478-D2-D")</f>
        <v>CF478-D2-D</v>
      </c>
      <c r="C338" s="159"/>
      <c r="D338" s="159"/>
      <c r="E338" s="159"/>
      <c r="F338" s="159"/>
      <c r="G338" s="159"/>
      <c r="H338" s="160"/>
      <c r="I338" s="57">
        <f t="shared" si="5"/>
        <v>0</v>
      </c>
      <c r="J338" s="62"/>
      <c r="K338" s="56"/>
      <c r="L338" s="405"/>
      <c r="M338" s="409" t="s">
        <v>609</v>
      </c>
      <c r="N338" s="383" t="s">
        <v>1309</v>
      </c>
      <c r="O338" s="383">
        <v>10</v>
      </c>
      <c r="P338" s="383">
        <v>4</v>
      </c>
      <c r="Q338" s="543"/>
    </row>
    <row r="339" spans="1:17" ht="13.2">
      <c r="A339" s="83" t="s">
        <v>1090</v>
      </c>
      <c r="B339" s="386" t="str">
        <f>HYPERLINK("http://codeforces.com/contest/418/problem/B","CF418-D1-B")</f>
        <v>CF418-D1-B</v>
      </c>
      <c r="C339" s="159"/>
      <c r="D339" s="159"/>
      <c r="E339" s="159"/>
      <c r="F339" s="159"/>
      <c r="G339" s="159"/>
      <c r="H339" s="160"/>
      <c r="I339" s="57">
        <f t="shared" si="5"/>
        <v>0</v>
      </c>
      <c r="J339" s="62"/>
      <c r="K339" s="56"/>
      <c r="L339" s="159"/>
      <c r="M339" s="389" t="str">
        <f>HYPERLINK("https://www.youtube.com/watch?v=GvWLpm0tBEU&amp;index=29&amp;list=PLPSFnlxEu99Eds9cvJPk49sljXXvarTxM","Video Solution - Solver to be")</f>
        <v>Video Solution - Solver to be</v>
      </c>
      <c r="N339" s="383" t="s">
        <v>1331</v>
      </c>
      <c r="O339" s="383">
        <v>13</v>
      </c>
      <c r="P339" s="383">
        <v>4</v>
      </c>
      <c r="Q339" s="37" t="s">
        <v>1224</v>
      </c>
    </row>
    <row r="340" spans="1:17" ht="13.2">
      <c r="A340" s="83"/>
      <c r="B340" s="83" t="s">
        <v>1129</v>
      </c>
      <c r="C340" s="159"/>
      <c r="D340" s="159"/>
      <c r="E340" s="159"/>
      <c r="F340" s="159"/>
      <c r="G340" s="159"/>
      <c r="H340" s="160"/>
      <c r="I340" s="57">
        <f t="shared" si="5"/>
        <v>0</v>
      </c>
      <c r="J340" s="62"/>
      <c r="K340" s="56"/>
      <c r="L340" s="405"/>
      <c r="M340" s="545"/>
      <c r="N340" s="383" t="s">
        <v>1331</v>
      </c>
      <c r="O340" s="383">
        <v>13</v>
      </c>
      <c r="P340" s="383">
        <v>4</v>
      </c>
      <c r="Q340" s="37" t="s">
        <v>1224</v>
      </c>
    </row>
    <row r="341" spans="1:17" ht="13.2">
      <c r="A341" s="83" t="s">
        <v>915</v>
      </c>
      <c r="B341" s="386" t="str">
        <f>HYPERLINK("http://codeforces.com/contest/814/problem/D","CF814-D2-D")</f>
        <v>CF814-D2-D</v>
      </c>
      <c r="C341" s="159"/>
      <c r="D341" s="159"/>
      <c r="E341" s="159"/>
      <c r="F341" s="159"/>
      <c r="G341" s="159"/>
      <c r="H341" s="160"/>
      <c r="I341" s="57">
        <f t="shared" si="5"/>
        <v>0</v>
      </c>
      <c r="J341" s="62"/>
      <c r="K341" s="56"/>
      <c r="L341" s="159"/>
      <c r="M341" s="545"/>
      <c r="N341" s="383" t="s">
        <v>1331</v>
      </c>
      <c r="O341" s="383">
        <v>13</v>
      </c>
      <c r="P341" s="383">
        <v>4</v>
      </c>
      <c r="Q341" s="37" t="s">
        <v>1220</v>
      </c>
    </row>
    <row r="342" spans="1:17" ht="13.2">
      <c r="A342" s="83"/>
      <c r="B342" s="386" t="str">
        <f>HYPERLINK("http://codeforces.com/contest/161/problem/D","CF161-D12-D")</f>
        <v>CF161-D12-D</v>
      </c>
      <c r="C342" s="159"/>
      <c r="D342" s="159"/>
      <c r="E342" s="159"/>
      <c r="F342" s="159"/>
      <c r="G342" s="159"/>
      <c r="H342" s="160"/>
      <c r="I342" s="57">
        <f t="shared" si="5"/>
        <v>0</v>
      </c>
      <c r="J342" s="62"/>
      <c r="K342" s="56"/>
      <c r="L342" s="159"/>
      <c r="M342" s="545"/>
      <c r="N342" s="383" t="s">
        <v>1331</v>
      </c>
      <c r="O342" s="383">
        <v>13</v>
      </c>
      <c r="P342" s="383">
        <v>4</v>
      </c>
      <c r="Q342" s="37" t="s">
        <v>1220</v>
      </c>
    </row>
    <row r="343" spans="1:17" ht="13.2">
      <c r="A343" s="83" t="s">
        <v>977</v>
      </c>
      <c r="B343" s="386" t="str">
        <f>HYPERLINK("http://www.spoj.com/problems/PT07X/","SPOJ PT07X")</f>
        <v>SPOJ PT07X</v>
      </c>
      <c r="C343" s="159"/>
      <c r="D343" s="159"/>
      <c r="E343" s="159"/>
      <c r="F343" s="159"/>
      <c r="G343" s="159"/>
      <c r="H343" s="160"/>
      <c r="I343" s="57">
        <f t="shared" si="5"/>
        <v>0</v>
      </c>
      <c r="J343" s="62"/>
      <c r="K343" s="56"/>
      <c r="L343" s="159"/>
      <c r="M343" s="545"/>
      <c r="N343" s="383" t="s">
        <v>1340</v>
      </c>
      <c r="O343" s="383">
        <v>18</v>
      </c>
      <c r="P343" s="383">
        <v>4</v>
      </c>
      <c r="Q343" s="37" t="s">
        <v>1224</v>
      </c>
    </row>
    <row r="344" spans="1:17" ht="13.2">
      <c r="A344" s="83"/>
      <c r="B344" s="386" t="str">
        <f>HYPERLINK("http://codeforces.com/contest/337/problem/D","CF337-D2-D")</f>
        <v>CF337-D2-D</v>
      </c>
      <c r="C344" s="159"/>
      <c r="D344" s="159"/>
      <c r="E344" s="159"/>
      <c r="F344" s="159"/>
      <c r="G344" s="159"/>
      <c r="H344" s="160"/>
      <c r="I344" s="57">
        <f t="shared" si="5"/>
        <v>0</v>
      </c>
      <c r="J344" s="102"/>
      <c r="K344" s="101"/>
      <c r="L344" s="405"/>
      <c r="M344" s="404"/>
      <c r="N344" s="383" t="s">
        <v>1351</v>
      </c>
      <c r="O344" s="383">
        <v>23</v>
      </c>
      <c r="P344" s="383">
        <v>4</v>
      </c>
      <c r="Q344" s="37" t="s">
        <v>1226</v>
      </c>
    </row>
    <row r="345" spans="1:17" ht="13.2">
      <c r="A345" s="83" t="s">
        <v>951</v>
      </c>
      <c r="B345" s="386" t="str">
        <f>HYPERLINK("http://codeforces.com/contest/743/problem/D","CF743-D2-D")</f>
        <v>CF743-D2-D</v>
      </c>
      <c r="C345" s="159"/>
      <c r="D345" s="159"/>
      <c r="E345" s="159"/>
      <c r="F345" s="159"/>
      <c r="G345" s="159"/>
      <c r="H345" s="160"/>
      <c r="I345" s="57">
        <f t="shared" si="5"/>
        <v>0</v>
      </c>
      <c r="J345" s="102"/>
      <c r="K345" s="101"/>
      <c r="L345" s="159"/>
      <c r="M345" s="404"/>
      <c r="N345" s="383" t="s">
        <v>1352</v>
      </c>
      <c r="O345" s="383">
        <v>23</v>
      </c>
      <c r="P345" s="383">
        <v>4</v>
      </c>
      <c r="Q345" s="543"/>
    </row>
    <row r="346" spans="1:17" ht="13.2">
      <c r="A346" s="83"/>
      <c r="B346" s="83" t="s">
        <v>1147</v>
      </c>
      <c r="C346" s="159"/>
      <c r="D346" s="159"/>
      <c r="E346" s="159"/>
      <c r="F346" s="159"/>
      <c r="G346" s="159"/>
      <c r="H346" s="160"/>
      <c r="I346" s="57">
        <f t="shared" si="5"/>
        <v>0</v>
      </c>
      <c r="J346" s="62"/>
      <c r="K346" s="56"/>
      <c r="L346" s="405"/>
      <c r="M346" s="399"/>
      <c r="N346" s="383" t="s">
        <v>1356</v>
      </c>
      <c r="O346" s="383">
        <v>29</v>
      </c>
      <c r="P346" s="383">
        <v>4</v>
      </c>
      <c r="Q346" s="37" t="s">
        <v>1224</v>
      </c>
    </row>
    <row r="347" spans="1:17" ht="13.2">
      <c r="A347" s="83"/>
      <c r="B347" s="83" t="s">
        <v>1177</v>
      </c>
      <c r="C347" s="159"/>
      <c r="D347" s="159"/>
      <c r="E347" s="159"/>
      <c r="F347" s="159"/>
      <c r="G347" s="159"/>
      <c r="H347" s="160"/>
      <c r="I347" s="57">
        <f t="shared" si="5"/>
        <v>0</v>
      </c>
      <c r="J347" s="96"/>
      <c r="K347" s="159"/>
      <c r="L347" s="159"/>
      <c r="M347" s="192" t="str">
        <f>HYPERLINK("https://www.youtube.com/watch?v=CfBk2dwfLaE","Video Solution - Eng Mohamed Nasser")</f>
        <v>Video Solution - Eng Mohamed Nasser</v>
      </c>
      <c r="N347" s="383" t="s">
        <v>1388</v>
      </c>
      <c r="O347" s="383">
        <v>41</v>
      </c>
      <c r="P347" s="383">
        <v>4</v>
      </c>
      <c r="Q347" s="37" t="s">
        <v>1220</v>
      </c>
    </row>
    <row r="348" spans="1:17" ht="13.2">
      <c r="A348" s="83" t="s">
        <v>621</v>
      </c>
      <c r="B348" s="386" t="str">
        <f>HYPERLINK("http://codeforces.com/contest/257/problem/B","CF257-D2-B")</f>
        <v>CF257-D2-B</v>
      </c>
      <c r="C348" s="159"/>
      <c r="D348" s="159"/>
      <c r="E348" s="159"/>
      <c r="F348" s="159"/>
      <c r="G348" s="159"/>
      <c r="H348" s="160"/>
      <c r="I348" s="57">
        <f t="shared" si="5"/>
        <v>0</v>
      </c>
      <c r="J348" s="62"/>
      <c r="K348" s="56"/>
      <c r="L348" s="159"/>
      <c r="M348" s="389" t="str">
        <f>HYPERLINK("https://www.youtube.com/watch?v=SY88_vndOgI","Video Solution - Dr Mostafa Saad")</f>
        <v>Video Solution - Dr Mostafa Saad</v>
      </c>
      <c r="N348" s="383" t="s">
        <v>1389</v>
      </c>
      <c r="O348" s="383">
        <v>41</v>
      </c>
      <c r="P348" s="399">
        <v>4</v>
      </c>
      <c r="Q348" s="37" t="s">
        <v>1220</v>
      </c>
    </row>
    <row r="349" spans="1:17" ht="13.2">
      <c r="A349" s="83" t="s">
        <v>720</v>
      </c>
      <c r="B349" s="386" t="str">
        <f>HYPERLINK("https://uva.onlinejudge.org/index.php?option=onlinejudge&amp;page=show_problem&amp;problem=1309","UVA 10368")</f>
        <v>UVA 10368</v>
      </c>
      <c r="C349" s="159"/>
      <c r="D349" s="159"/>
      <c r="E349" s="159"/>
      <c r="F349" s="159"/>
      <c r="G349" s="159"/>
      <c r="H349" s="160"/>
      <c r="I349" s="57">
        <f t="shared" si="5"/>
        <v>0</v>
      </c>
      <c r="J349" s="62"/>
      <c r="K349" s="56"/>
      <c r="L349" s="159"/>
      <c r="M349" s="403" t="str">
        <f>HYPERLINK("https://github.com/AbdelrahmanRamadan/competitive-programming/blob/master/HackerRank/xrange-and-pizza.cpp","Sol")</f>
        <v>Sol</v>
      </c>
      <c r="N349" s="383" t="s">
        <v>1396</v>
      </c>
      <c r="O349" s="383">
        <v>45</v>
      </c>
      <c r="P349" s="383">
        <v>4</v>
      </c>
      <c r="Q349" s="37" t="s">
        <v>1224</v>
      </c>
    </row>
    <row r="350" spans="1:17" ht="13.2">
      <c r="A350" s="83"/>
      <c r="B350" s="143" t="str">
        <f>HYPERLINK("https://codeforces.com/contest/1220/problem/C","CF1220-D12-C")</f>
        <v>CF1220-D12-C</v>
      </c>
      <c r="C350" s="159"/>
      <c r="D350" s="159"/>
      <c r="E350" s="159"/>
      <c r="F350" s="159"/>
      <c r="G350" s="159"/>
      <c r="H350" s="160"/>
      <c r="I350" s="57">
        <f t="shared" si="5"/>
        <v>0</v>
      </c>
      <c r="J350" s="62"/>
      <c r="K350" s="56"/>
      <c r="L350" s="159"/>
      <c r="M350" s="407"/>
      <c r="N350" s="383" t="s">
        <v>1397</v>
      </c>
      <c r="O350" s="383">
        <v>45</v>
      </c>
      <c r="P350" s="383">
        <v>4</v>
      </c>
      <c r="Q350" s="37" t="s">
        <v>1224</v>
      </c>
    </row>
    <row r="351" spans="1:17" ht="13.2">
      <c r="A351" s="83" t="s">
        <v>731</v>
      </c>
      <c r="B351" s="386" t="str">
        <f>HYPERLINK("http://codeforces.com/contest/347/problem/C","CF347-D2-C")</f>
        <v>CF347-D2-C</v>
      </c>
      <c r="C351" s="159"/>
      <c r="D351" s="159"/>
      <c r="E351" s="159"/>
      <c r="F351" s="159"/>
      <c r="G351" s="159"/>
      <c r="H351" s="160"/>
      <c r="I351" s="57">
        <f t="shared" si="5"/>
        <v>0</v>
      </c>
      <c r="J351" s="62"/>
      <c r="K351" s="56"/>
      <c r="L351" s="159"/>
      <c r="M351" s="403" t="str">
        <f>HYPERLINK("https://github.com/mostafa-saad/MyCompetitiveProgramming/blob/master/SPOJ/SPOJ_FACENEMY.txt","Sol")</f>
        <v>Sol</v>
      </c>
      <c r="N351" s="383" t="s">
        <v>1398</v>
      </c>
      <c r="O351" s="383">
        <v>45</v>
      </c>
      <c r="P351" s="383">
        <v>4</v>
      </c>
      <c r="Q351" s="37" t="s">
        <v>1220</v>
      </c>
    </row>
    <row r="352" spans="1:17" ht="13.2">
      <c r="A352" s="83" t="s">
        <v>719</v>
      </c>
      <c r="B352" s="386" t="str">
        <f>HYPERLINK("http://codeforces.com/contest/151/problem/C","CF151-D2-C")</f>
        <v>CF151-D2-C</v>
      </c>
      <c r="C352" s="159"/>
      <c r="D352" s="159"/>
      <c r="E352" s="159"/>
      <c r="F352" s="159"/>
      <c r="G352" s="159"/>
      <c r="H352" s="160"/>
      <c r="I352" s="57">
        <f t="shared" si="5"/>
        <v>0</v>
      </c>
      <c r="J352" s="62"/>
      <c r="K352" s="56"/>
      <c r="L352" s="159"/>
      <c r="M352" s="404"/>
      <c r="N352" s="383" t="s">
        <v>1390</v>
      </c>
      <c r="O352" s="383">
        <v>45</v>
      </c>
      <c r="P352" s="383">
        <v>4</v>
      </c>
      <c r="Q352" s="543"/>
    </row>
    <row r="353" spans="1:17" ht="13.2">
      <c r="A353" s="83" t="s">
        <v>431</v>
      </c>
      <c r="B353" s="386" t="str">
        <f>HYPERLINK("https://uva.onlinejudge.org/index.php?option=onlinejudge&amp;page=show_problem&amp;problem=1806","UVA 10865")</f>
        <v>UVA 10865</v>
      </c>
      <c r="C353" s="159"/>
      <c r="D353" s="159"/>
      <c r="E353" s="159"/>
      <c r="F353" s="159"/>
      <c r="G353" s="159"/>
      <c r="H353" s="160"/>
      <c r="I353" s="57">
        <f t="shared" si="5"/>
        <v>0</v>
      </c>
      <c r="J353" s="62"/>
      <c r="K353" s="56"/>
      <c r="L353" s="159"/>
      <c r="M353" s="218"/>
      <c r="N353" s="383" t="s">
        <v>1390</v>
      </c>
      <c r="O353" s="383">
        <v>45</v>
      </c>
      <c r="P353" s="383">
        <v>4</v>
      </c>
      <c r="Q353" s="543"/>
    </row>
    <row r="354" spans="1:17" ht="13.2">
      <c r="A354" s="83"/>
      <c r="B354" s="83" t="s">
        <v>756</v>
      </c>
      <c r="C354" s="159"/>
      <c r="D354" s="159"/>
      <c r="E354" s="159"/>
      <c r="F354" s="159"/>
      <c r="G354" s="159"/>
      <c r="H354" s="160"/>
      <c r="I354" s="57">
        <f t="shared" si="5"/>
        <v>0</v>
      </c>
      <c r="J354" s="62"/>
      <c r="K354" s="56"/>
      <c r="L354" s="96"/>
      <c r="M354" s="389" t="str">
        <f>HYPERLINK("https://github.com/mostafa-saad/MyCompetitiveProgramming/blob/master/Codeforces/CF257-D2-C-AhmedOsama.pdf","Editorial - Eng Ahmed Osama")</f>
        <v>Editorial - Eng Ahmed Osama</v>
      </c>
      <c r="N354" s="383" t="s">
        <v>1399</v>
      </c>
      <c r="O354" s="383">
        <v>45</v>
      </c>
      <c r="P354" s="383">
        <v>4</v>
      </c>
      <c r="Q354" s="543"/>
    </row>
    <row r="355" spans="1:17" ht="13.2">
      <c r="A355" s="83" t="s">
        <v>239</v>
      </c>
      <c r="B355" s="386" t="str">
        <f>HYPERLINK("https://uva.onlinejudge.org/index.php?option=onlinejudge&amp;page=show_problem&amp;problem=417","UVA 476")</f>
        <v>UVA 476</v>
      </c>
      <c r="C355" s="159"/>
      <c r="D355" s="159"/>
      <c r="E355" s="159"/>
      <c r="F355" s="159"/>
      <c r="G355" s="159"/>
      <c r="H355" s="160"/>
      <c r="I355" s="57">
        <f t="shared" si="5"/>
        <v>0</v>
      </c>
      <c r="J355" s="136"/>
      <c r="K355" s="56"/>
      <c r="L355" s="136"/>
      <c r="M355" s="545"/>
      <c r="N355" s="383" t="s">
        <v>1400</v>
      </c>
      <c r="O355" s="383">
        <v>45</v>
      </c>
      <c r="P355" s="383">
        <v>4</v>
      </c>
    </row>
    <row r="356" spans="1:17" ht="13.2">
      <c r="A356" s="83" t="s">
        <v>800</v>
      </c>
      <c r="B356" s="386" t="str">
        <f>HYPERLINK("http://codeforces.com/contest/617/problem/C","CF617-D2-C")</f>
        <v>CF617-D2-C</v>
      </c>
      <c r="C356" s="159"/>
      <c r="D356" s="159"/>
      <c r="E356" s="159"/>
      <c r="F356" s="159"/>
      <c r="G356" s="159"/>
      <c r="H356" s="160"/>
      <c r="I356" s="57">
        <f t="shared" si="5"/>
        <v>0</v>
      </c>
      <c r="J356" s="62"/>
      <c r="K356" s="56"/>
      <c r="L356" s="159"/>
      <c r="M356" s="229"/>
      <c r="N356" s="383" t="s">
        <v>1420</v>
      </c>
      <c r="O356" s="383">
        <v>47</v>
      </c>
      <c r="P356" s="383">
        <v>4</v>
      </c>
      <c r="Q356" s="37"/>
    </row>
    <row r="357" spans="1:17" ht="13.2">
      <c r="A357" s="83" t="s">
        <v>242</v>
      </c>
      <c r="B357" s="386" t="str">
        <f>HYPERLINK("http://codeforces.com/contest/667/problem/A","CF667-D2-A")</f>
        <v>CF667-D2-A</v>
      </c>
      <c r="C357" s="159"/>
      <c r="D357" s="159"/>
      <c r="E357" s="159"/>
      <c r="F357" s="159"/>
      <c r="G357" s="159"/>
      <c r="H357" s="160"/>
      <c r="I357" s="57">
        <f t="shared" si="5"/>
        <v>0</v>
      </c>
      <c r="J357" s="96"/>
      <c r="K357" s="56"/>
      <c r="L357" s="96"/>
      <c r="M357" s="399"/>
      <c r="N357" s="383" t="s">
        <v>1420</v>
      </c>
      <c r="O357" s="383">
        <v>47</v>
      </c>
      <c r="P357" s="383">
        <v>4</v>
      </c>
    </row>
    <row r="358" spans="1:17" ht="13.2">
      <c r="A358" s="83" t="s">
        <v>243</v>
      </c>
      <c r="B358" s="386" t="str">
        <f>HYPERLINK("https://uva.onlinejudge.org/index.php?option=onlinejudge&amp;page=show_problem&amp;problem=1183","UVA 10242")</f>
        <v>UVA 10242</v>
      </c>
      <c r="C358" s="159"/>
      <c r="D358" s="159"/>
      <c r="E358" s="159"/>
      <c r="F358" s="159"/>
      <c r="G358" s="159"/>
      <c r="H358" s="160"/>
      <c r="I358" s="57">
        <f t="shared" si="5"/>
        <v>0</v>
      </c>
      <c r="J358" s="136"/>
      <c r="K358" s="56"/>
      <c r="L358" s="136"/>
      <c r="M358" s="403" t="str">
        <f>HYPERLINK("https://github.com/AbdelrahmanRamadan/competitive-programming/blob/master/Topcoder/SRM373%20RectangleCrossings.cpp","Sol")</f>
        <v>Sol</v>
      </c>
      <c r="N358" s="383" t="s">
        <v>1434</v>
      </c>
      <c r="O358" s="383">
        <v>48</v>
      </c>
      <c r="P358" s="383">
        <v>4</v>
      </c>
      <c r="Q358" s="37"/>
    </row>
    <row r="359" spans="1:17" ht="13.2">
      <c r="A359" s="83" t="s">
        <v>810</v>
      </c>
      <c r="B359" s="386" t="str">
        <f>HYPERLINK("http://codeforces.com/contest/474/problem/C","CF474-D2-C")</f>
        <v>CF474-D2-C</v>
      </c>
      <c r="C359" s="159"/>
      <c r="D359" s="159"/>
      <c r="E359" s="159"/>
      <c r="F359" s="159"/>
      <c r="G359" s="159"/>
      <c r="H359" s="160"/>
      <c r="I359" s="57">
        <f t="shared" si="5"/>
        <v>0</v>
      </c>
      <c r="J359" s="62"/>
      <c r="K359" s="56"/>
      <c r="L359" s="159"/>
      <c r="M359" s="403" t="str">
        <f>HYPERLINK("https://github.com/MeGaCrazy/CompetitiveProgramming/blob/master/UVA/UVA_866.cpp","Sol")</f>
        <v>Sol</v>
      </c>
      <c r="N359" s="383" t="s">
        <v>1432</v>
      </c>
      <c r="O359" s="383">
        <v>48</v>
      </c>
      <c r="P359" s="383">
        <v>4</v>
      </c>
      <c r="Q359" s="37"/>
    </row>
    <row r="360" spans="1:17" ht="13.2">
      <c r="A360" s="83" t="s">
        <v>240</v>
      </c>
      <c r="B360" s="386" t="str">
        <f>HYPERLINK("https://uva.onlinejudge.org/index.php?option=onlinejudge&amp;page=show_problem&amp;problem=401","UVA 460")</f>
        <v>UVA 460</v>
      </c>
      <c r="C360" s="159"/>
      <c r="D360" s="159"/>
      <c r="E360" s="159"/>
      <c r="F360" s="159"/>
      <c r="G360" s="159"/>
      <c r="H360" s="160"/>
      <c r="I360" s="57">
        <f t="shared" si="5"/>
        <v>0</v>
      </c>
      <c r="J360" s="136"/>
      <c r="K360" s="56"/>
      <c r="L360" s="136"/>
      <c r="M360" s="403" t="str">
        <f>HYPERLINK("https://github.com/AbdelrahmanRamadan/competitive-programming/blob/master/Topcoder/SRM368%20Jumping%20Board.cpp","Sol")</f>
        <v>Sol</v>
      </c>
      <c r="N360" s="383" t="s">
        <v>1435</v>
      </c>
      <c r="O360" s="383">
        <v>48</v>
      </c>
      <c r="P360" s="383">
        <v>4</v>
      </c>
      <c r="Q360" s="37"/>
    </row>
    <row r="361" spans="1:17" ht="13.2">
      <c r="A361" s="83" t="s">
        <v>1059</v>
      </c>
      <c r="B361" s="386" t="str">
        <f>HYPERLINK("https://www.hackerrank.com/challenges/xrange-and-pizza","HACKR xrange-and-pizza")</f>
        <v>HACKR xrange-and-pizza</v>
      </c>
      <c r="C361" s="159"/>
      <c r="D361" s="159"/>
      <c r="E361" s="159"/>
      <c r="F361" s="159"/>
      <c r="G361" s="159"/>
      <c r="H361" s="160"/>
      <c r="I361" s="57">
        <f t="shared" si="5"/>
        <v>0</v>
      </c>
      <c r="J361" s="62"/>
      <c r="K361" s="56"/>
      <c r="L361" s="405"/>
      <c r="M361" s="403" t="str">
        <f>HYPERLINK("https://github.com/mostafa-saad/MyCompetitiveProgramming/blob/master/UVA/UVA_737.txt","Sol")</f>
        <v>Sol</v>
      </c>
      <c r="N361" s="383" t="s">
        <v>1432</v>
      </c>
      <c r="O361" s="383">
        <v>48</v>
      </c>
      <c r="P361" s="383">
        <v>4</v>
      </c>
      <c r="Q361" s="37"/>
    </row>
    <row r="362" spans="1:17" ht="13.2">
      <c r="A362" s="83"/>
      <c r="B362" s="386" t="str">
        <f>HYPERLINK("https://www.hackerrank.com/challenges/a-circle-and-a-square","HACKR a-circle-and-a-square")</f>
        <v>HACKR a-circle-and-a-square</v>
      </c>
      <c r="C362" s="159"/>
      <c r="D362" s="159"/>
      <c r="E362" s="159"/>
      <c r="F362" s="159"/>
      <c r="G362" s="159"/>
      <c r="H362" s="160"/>
      <c r="I362" s="57">
        <f t="shared" si="5"/>
        <v>0</v>
      </c>
      <c r="J362" s="62"/>
      <c r="K362" s="56"/>
      <c r="L362" s="159"/>
      <c r="M362" s="293" t="str">
        <f>HYPERLINK("https://github.com/AbdelrahmanRamadan/competitive-programming/blob/master/Topcoder/SRM368%20Jumping%20Board.cpp","Sol")</f>
        <v>Sol</v>
      </c>
      <c r="N362" s="383" t="s">
        <v>1436</v>
      </c>
      <c r="O362" s="383">
        <v>48</v>
      </c>
      <c r="P362" s="383">
        <v>4</v>
      </c>
      <c r="Q362" s="37" t="s">
        <v>1226</v>
      </c>
    </row>
    <row r="363" spans="1:17" ht="13.2">
      <c r="A363" s="83"/>
      <c r="B363" s="83" t="s">
        <v>779</v>
      </c>
      <c r="C363" s="159"/>
      <c r="D363" s="159"/>
      <c r="E363" s="159"/>
      <c r="F363" s="159"/>
      <c r="G363" s="159"/>
      <c r="H363" s="160"/>
      <c r="I363" s="57">
        <f t="shared" si="5"/>
        <v>0</v>
      </c>
      <c r="J363" s="62"/>
      <c r="K363" s="56"/>
      <c r="L363" s="159"/>
      <c r="M363" s="403" t="str">
        <f>HYPERLINK("https://github.com/MeGaCrazy/CompetitiveProgramming/blob/5b920a5ddab614e30ea12e7e3a7da12267a203ec/UVA/UVA_10790.cpp","Sol")</f>
        <v>Sol</v>
      </c>
      <c r="N363" s="383" t="s">
        <v>1437</v>
      </c>
      <c r="O363" s="383">
        <v>48</v>
      </c>
      <c r="P363" s="383">
        <v>4</v>
      </c>
      <c r="Q363" s="37" t="s">
        <v>1220</v>
      </c>
    </row>
    <row r="364" spans="1:17" ht="13.2">
      <c r="A364" s="83" t="s">
        <v>618</v>
      </c>
      <c r="B364" s="386" t="str">
        <f>HYPERLINK("http://codeforces.com/contest/275/problem/C","CF275-D2-C")</f>
        <v>CF275-D2-C</v>
      </c>
      <c r="C364" s="159"/>
      <c r="D364" s="159"/>
      <c r="E364" s="159"/>
      <c r="F364" s="159"/>
      <c r="G364" s="159"/>
      <c r="H364" s="160"/>
      <c r="I364" s="57">
        <f t="shared" si="5"/>
        <v>0</v>
      </c>
      <c r="J364" s="62"/>
      <c r="K364" s="56"/>
      <c r="L364" s="159"/>
      <c r="M364" s="545"/>
      <c r="N364" s="383" t="s">
        <v>1440</v>
      </c>
      <c r="O364" s="383">
        <v>49</v>
      </c>
      <c r="P364" s="383">
        <v>4</v>
      </c>
    </row>
    <row r="365" spans="1:17" ht="13.2">
      <c r="A365" s="83" t="s">
        <v>602</v>
      </c>
      <c r="B365" s="386" t="str">
        <f>HYPERLINK("http://codeforces.com/contest/560/problem/C","CF560-D2-C")</f>
        <v>CF560-D2-C</v>
      </c>
      <c r="C365" s="159"/>
      <c r="D365" s="159"/>
      <c r="E365" s="159"/>
      <c r="F365" s="159"/>
      <c r="G365" s="159"/>
      <c r="H365" s="160"/>
      <c r="I365" s="57">
        <f t="shared" si="5"/>
        <v>0</v>
      </c>
      <c r="J365" s="62"/>
      <c r="K365" s="56"/>
      <c r="L365" s="159"/>
      <c r="M365" s="403" t="str">
        <f>HYPERLINK("https://github.com/AbdelrahmanRamadan/competitive-programming/blob/master/UVA/11665%20-%20Chinese%20Ink.cpp","Sol")</f>
        <v>Sol</v>
      </c>
      <c r="N365" s="383" t="s">
        <v>1441</v>
      </c>
      <c r="O365" s="383">
        <v>49</v>
      </c>
      <c r="P365" s="383">
        <v>4</v>
      </c>
    </row>
    <row r="366" spans="1:17" ht="13.2">
      <c r="A366" s="83" t="s">
        <v>765</v>
      </c>
      <c r="B366" s="386" t="str">
        <f>HYPERLINK("http://codeforces.com/contest/257/problem/C","CF257-D2-C")</f>
        <v>CF257-D2-C</v>
      </c>
      <c r="C366" s="159"/>
      <c r="D366" s="159"/>
      <c r="E366" s="159"/>
      <c r="F366" s="159"/>
      <c r="G366" s="159"/>
      <c r="H366" s="160"/>
      <c r="I366" s="57">
        <f t="shared" si="5"/>
        <v>0</v>
      </c>
      <c r="J366" s="62"/>
      <c r="K366" s="56"/>
      <c r="L366" s="96"/>
      <c r="M366" s="403" t="str">
        <f>HYPERLINK("https://github.com/MeGaCrazy/CompetitiveProgramming/blob/c9f4ed6571a135dbc26cfeeb099384a8fec2ff92/LiveArchive/LIVEARCHIVE_2831.cpp","Use polygon cut")</f>
        <v>Use polygon cut</v>
      </c>
      <c r="N366" s="383" t="s">
        <v>1449</v>
      </c>
      <c r="O366" s="383">
        <v>53</v>
      </c>
      <c r="P366" s="383">
        <v>4</v>
      </c>
    </row>
    <row r="367" spans="1:17" ht="13.2">
      <c r="A367" s="83" t="s">
        <v>565</v>
      </c>
      <c r="B367" s="386" t="str">
        <f>HYPERLINK("http://codeforces.com/contest/651/problem/C","CF651-D2-C")</f>
        <v>CF651-D2-C</v>
      </c>
      <c r="C367" s="159"/>
      <c r="D367" s="159"/>
      <c r="E367" s="159"/>
      <c r="F367" s="159"/>
      <c r="G367" s="159"/>
      <c r="H367" s="160"/>
      <c r="I367" s="57">
        <f t="shared" si="5"/>
        <v>0</v>
      </c>
      <c r="J367" s="102"/>
      <c r="K367" s="101"/>
      <c r="L367" s="159"/>
      <c r="M367" s="401"/>
      <c r="N367" s="383" t="s">
        <v>1455</v>
      </c>
      <c r="O367" s="383">
        <v>55</v>
      </c>
      <c r="P367" s="383">
        <v>4</v>
      </c>
      <c r="Q367" s="37" t="s">
        <v>1224</v>
      </c>
    </row>
    <row r="368" spans="1:17" ht="13.2">
      <c r="A368" s="83" t="s">
        <v>1027</v>
      </c>
      <c r="B368" s="386" t="str">
        <f>HYPERLINK("http://codeforces.com/contest/659/problem/D","CF659-D2-D")</f>
        <v>CF659-D2-D</v>
      </c>
      <c r="C368" s="159"/>
      <c r="D368" s="159"/>
      <c r="E368" s="159"/>
      <c r="F368" s="159"/>
      <c r="G368" s="159"/>
      <c r="H368" s="160"/>
      <c r="I368" s="57">
        <f t="shared" si="5"/>
        <v>0</v>
      </c>
      <c r="J368" s="102"/>
      <c r="K368" s="101"/>
      <c r="L368" s="159"/>
      <c r="M368" s="404"/>
      <c r="N368" s="383" t="s">
        <v>1456</v>
      </c>
      <c r="O368" s="383">
        <v>55</v>
      </c>
      <c r="P368" s="383">
        <v>4</v>
      </c>
      <c r="Q368" s="37" t="s">
        <v>1224</v>
      </c>
    </row>
    <row r="369" spans="1:17" ht="13.2">
      <c r="A369" s="83" t="s">
        <v>721</v>
      </c>
      <c r="B369" s="386" t="str">
        <f>HYPERLINK("http://www.spoj.com/problems/PIR/","SPOJ PIR")</f>
        <v>SPOJ PIR</v>
      </c>
      <c r="C369" s="159"/>
      <c r="D369" s="159"/>
      <c r="E369" s="159"/>
      <c r="F369" s="159"/>
      <c r="G369" s="159"/>
      <c r="H369" s="160"/>
      <c r="I369" s="57">
        <f t="shared" si="5"/>
        <v>0</v>
      </c>
      <c r="J369" s="62"/>
      <c r="K369" s="56"/>
      <c r="L369" s="159"/>
      <c r="M369" s="406"/>
      <c r="N369" s="383" t="s">
        <v>1453</v>
      </c>
      <c r="O369" s="383">
        <v>55</v>
      </c>
      <c r="P369" s="383">
        <v>4</v>
      </c>
      <c r="Q369" s="37" t="s">
        <v>1220</v>
      </c>
    </row>
    <row r="370" spans="1:17" ht="13.2">
      <c r="A370" s="83" t="s">
        <v>601</v>
      </c>
      <c r="B370" s="386" t="str">
        <f>HYPERLINK("http://codeforces.com/contest/707/problem/C","CF707-D2-C")</f>
        <v>CF707-D2-C</v>
      </c>
      <c r="C370" s="159"/>
      <c r="D370" s="159"/>
      <c r="E370" s="159"/>
      <c r="F370" s="159"/>
      <c r="G370" s="159"/>
      <c r="H370" s="160"/>
      <c r="I370" s="57">
        <f t="shared" si="5"/>
        <v>0</v>
      </c>
      <c r="J370" s="62"/>
      <c r="K370" s="56"/>
      <c r="L370" s="159"/>
      <c r="M370" s="192" t="str">
        <f>HYPERLINK("https://www.youtube.com/watch?v=bvDYHy9ESnY&amp;","Video Solution - Eng Mohamed Salah")</f>
        <v>Video Solution - Eng Mohamed Salah</v>
      </c>
      <c r="N370" s="399" t="s">
        <v>1457</v>
      </c>
      <c r="O370" s="383">
        <v>55</v>
      </c>
      <c r="P370" s="406">
        <v>4</v>
      </c>
      <c r="Q370" s="543"/>
    </row>
    <row r="371" spans="1:17" ht="13.2">
      <c r="A371" s="83"/>
      <c r="B371" s="386" t="str">
        <f>HYPERLINK("https://www.spoj.com/problems/BILLIARD/","SPOJ BILLIARD")</f>
        <v>SPOJ BILLIARD</v>
      </c>
      <c r="C371" s="159"/>
      <c r="D371" s="159"/>
      <c r="E371" s="159"/>
      <c r="F371" s="159"/>
      <c r="G371" s="159"/>
      <c r="H371" s="160"/>
      <c r="I371" s="57">
        <f t="shared" si="5"/>
        <v>0</v>
      </c>
      <c r="J371" s="102"/>
      <c r="K371" s="101"/>
      <c r="L371" s="416"/>
      <c r="M371" s="293" t="str">
        <f>HYPERLINK("https://github.com/abdullaAshraf/Problem-Solving/blob/master/UVA/12379.cpp","Sol")</f>
        <v>Sol</v>
      </c>
      <c r="N371" s="383" t="s">
        <v>1454</v>
      </c>
      <c r="O371" s="383">
        <v>55</v>
      </c>
      <c r="P371" s="383">
        <v>4</v>
      </c>
      <c r="Q371" s="543"/>
    </row>
    <row r="372" spans="1:17" ht="13.2">
      <c r="A372" s="83" t="s">
        <v>937</v>
      </c>
      <c r="B372" s="386" t="str">
        <f>HYPERLINK("http://codeforces.com/contest/342/problem/C","CF342-D2-C")</f>
        <v>CF342-D2-C</v>
      </c>
      <c r="C372" s="159"/>
      <c r="D372" s="159"/>
      <c r="E372" s="159"/>
      <c r="F372" s="159"/>
      <c r="G372" s="159"/>
      <c r="H372" s="160"/>
      <c r="I372" s="57">
        <f t="shared" si="5"/>
        <v>0</v>
      </c>
      <c r="J372" s="102"/>
      <c r="K372" s="101"/>
      <c r="L372" s="159"/>
      <c r="M372" s="408" t="str">
        <f>HYPERLINK("https://www.youtube.com/watch?v=y0J3Jznp3kE","Video Solution - Dr Mostafa Saad")</f>
        <v>Video Solution - Dr Mostafa Saad</v>
      </c>
      <c r="N372" s="383" t="s">
        <v>1466</v>
      </c>
      <c r="O372" s="383">
        <v>57</v>
      </c>
      <c r="P372" s="383">
        <v>4</v>
      </c>
      <c r="Q372" s="37" t="s">
        <v>1220</v>
      </c>
    </row>
    <row r="373" spans="1:17" ht="13.2">
      <c r="A373" s="83"/>
      <c r="B373" s="386" t="str">
        <f>HYPERLINK("https://codeforces.com/contest/1064/problem/E","CF1064-D2-E")</f>
        <v>CF1064-D2-E</v>
      </c>
      <c r="C373" s="159"/>
      <c r="D373" s="159"/>
      <c r="E373" s="159"/>
      <c r="F373" s="159"/>
      <c r="G373" s="159"/>
      <c r="H373" s="160"/>
      <c r="I373" s="57">
        <f t="shared" si="5"/>
        <v>0</v>
      </c>
      <c r="J373" s="62"/>
      <c r="K373" s="56"/>
      <c r="L373" s="159"/>
      <c r="M373" s="389" t="str">
        <f>HYPERLINK("https://www.youtube.com/watch?v=VM2c3csK3Ps","Video Solution - Eng Ayman Salah")</f>
        <v>Video Solution - Eng Ayman Salah</v>
      </c>
      <c r="N373" s="383" t="s">
        <v>1466</v>
      </c>
      <c r="O373" s="383">
        <v>57</v>
      </c>
      <c r="P373" s="383">
        <v>4</v>
      </c>
      <c r="Q373" s="543"/>
    </row>
    <row r="374" spans="1:17" ht="13.2">
      <c r="A374" s="83"/>
      <c r="B374" s="386" t="str">
        <f>HYPERLINK("http://codeforces.com/problemset/problem/961/D","CF961-D12-D")</f>
        <v>CF961-D12-D</v>
      </c>
      <c r="C374" s="159"/>
      <c r="D374" s="159"/>
      <c r="E374" s="159"/>
      <c r="F374" s="159"/>
      <c r="G374" s="159"/>
      <c r="H374" s="160"/>
      <c r="I374" s="57">
        <f t="shared" si="5"/>
        <v>0</v>
      </c>
      <c r="J374" s="62"/>
      <c r="K374" s="56"/>
      <c r="L374" s="159"/>
      <c r="M374" s="389" t="str">
        <f>HYPERLINK("https://www.youtube.com/watch?v=LleR_xaCfMY&amp;feature=youtu.be","Video Solution - Eng Essam AlNaggar")</f>
        <v>Video Solution - Eng Essam AlNaggar</v>
      </c>
      <c r="N374" s="383" t="s">
        <v>1466</v>
      </c>
      <c r="O374" s="383">
        <v>57</v>
      </c>
      <c r="P374" s="383">
        <v>4</v>
      </c>
      <c r="Q374" s="543"/>
    </row>
    <row r="375" spans="1:17" ht="13.2">
      <c r="A375" s="83"/>
      <c r="B375" s="386" t="str">
        <f>HYPERLINK("https://codeforces.com/gym/101917/problem/E", "CF101917-D12-E")</f>
        <v>CF101917-D12-E</v>
      </c>
      <c r="C375" s="159"/>
      <c r="D375" s="159"/>
      <c r="E375" s="159"/>
      <c r="F375" s="159"/>
      <c r="G375" s="159"/>
      <c r="H375" s="160"/>
      <c r="I375" s="57">
        <f t="shared" si="5"/>
        <v>0</v>
      </c>
      <c r="J375" s="102"/>
      <c r="K375" s="101"/>
      <c r="L375" s="159"/>
      <c r="M375" s="389" t="str">
        <f>HYPERLINK("https://www.youtube.com/watch?v=_S7BCbISrdo&amp;feature=youtu.be","Video Solution - Eng Magdy Hasan")</f>
        <v>Video Solution - Eng Magdy Hasan</v>
      </c>
      <c r="N375" s="383" t="s">
        <v>1467</v>
      </c>
      <c r="O375" s="383">
        <v>57</v>
      </c>
      <c r="P375" s="383">
        <v>4</v>
      </c>
      <c r="Q375" s="543"/>
    </row>
    <row r="376" spans="1:17" ht="13.2">
      <c r="A376" s="83"/>
      <c r="B376" s="386" t="str">
        <f>HYPERLINK("http://codeforces.com/contest/552/problem/D","CF552-D2-D")</f>
        <v>CF552-D2-D</v>
      </c>
      <c r="C376" s="159"/>
      <c r="D376" s="159"/>
      <c r="E376" s="159"/>
      <c r="F376" s="159"/>
      <c r="G376" s="159"/>
      <c r="H376" s="160"/>
      <c r="I376" s="57">
        <f t="shared" si="5"/>
        <v>0</v>
      </c>
      <c r="J376" s="102"/>
      <c r="K376" s="101"/>
      <c r="L376" s="159"/>
      <c r="M376" s="401"/>
      <c r="N376" s="383" t="s">
        <v>1480</v>
      </c>
      <c r="O376" s="383">
        <v>60</v>
      </c>
      <c r="P376" s="383">
        <v>4</v>
      </c>
      <c r="Q376" s="37" t="s">
        <v>1224</v>
      </c>
    </row>
    <row r="377" spans="1:17" ht="13.2">
      <c r="A377" s="83"/>
      <c r="B377" s="386" t="str">
        <f>HYPERLINK("https://github.com/racsosabe/CompetitiveProgramming/blob/master/CodeForces/CF1016-D2-E.cpp","CF1016-D2-E")</f>
        <v>CF1016-D2-E</v>
      </c>
      <c r="C377" s="159"/>
      <c r="D377" s="159"/>
      <c r="E377" s="159"/>
      <c r="F377" s="159"/>
      <c r="G377" s="159"/>
      <c r="H377" s="160"/>
      <c r="I377" s="57">
        <f t="shared" si="5"/>
        <v>0</v>
      </c>
      <c r="J377" s="62"/>
      <c r="K377" s="56"/>
      <c r="L377" s="159"/>
      <c r="M377" s="545"/>
      <c r="N377" s="383" t="s">
        <v>1480</v>
      </c>
      <c r="O377" s="383">
        <v>60</v>
      </c>
      <c r="P377" s="383">
        <v>4</v>
      </c>
      <c r="Q377" s="37" t="s">
        <v>1220</v>
      </c>
    </row>
    <row r="378" spans="1:17" ht="13.2">
      <c r="A378" s="83"/>
      <c r="B378" s="386" t="str">
        <f>HYPERLINK("http://codeforces.com/contest/1058/problem/D","CF1058-D2-D")</f>
        <v>CF1058-D2-D</v>
      </c>
      <c r="C378" s="159"/>
      <c r="D378" s="159"/>
      <c r="E378" s="159"/>
      <c r="F378" s="159"/>
      <c r="G378" s="159"/>
      <c r="H378" s="160"/>
      <c r="I378" s="57">
        <f t="shared" si="5"/>
        <v>0</v>
      </c>
      <c r="J378" s="102"/>
      <c r="K378" s="101"/>
      <c r="L378" s="159"/>
      <c r="M378" s="395" t="str">
        <f>HYPERLINK("https://www.youtube.com/watch?v=O4rahDYs9-c","Video Solution - Dr Mostafa Saad")</f>
        <v>Video Solution - Dr Mostafa Saad</v>
      </c>
      <c r="N378" s="383" t="s">
        <v>1480</v>
      </c>
      <c r="O378" s="383">
        <v>60</v>
      </c>
      <c r="P378" s="383">
        <v>4</v>
      </c>
      <c r="Q378" s="543"/>
    </row>
    <row r="379" spans="1:17" ht="13.2">
      <c r="A379" s="83"/>
      <c r="B379" s="83" t="s">
        <v>1120</v>
      </c>
      <c r="C379" s="159"/>
      <c r="D379" s="159"/>
      <c r="E379" s="159"/>
      <c r="F379" s="159"/>
      <c r="G379" s="159"/>
      <c r="H379" s="160"/>
      <c r="I379" s="57">
        <f t="shared" si="5"/>
        <v>0</v>
      </c>
      <c r="J379" s="96"/>
      <c r="K379" s="159"/>
      <c r="L379" s="405"/>
      <c r="M379" s="404"/>
      <c r="N379" s="383" t="s">
        <v>1480</v>
      </c>
      <c r="O379" s="383">
        <v>60</v>
      </c>
      <c r="P379" s="383">
        <v>4</v>
      </c>
    </row>
    <row r="380" spans="1:17" ht="13.2">
      <c r="A380" s="83"/>
      <c r="B380" s="386" t="str">
        <f>HYPERLINK("http://codeforces.com/gym/101864/problem/L","CF101864-GYM-L")</f>
        <v>CF101864-GYM-L</v>
      </c>
      <c r="C380" s="159"/>
      <c r="D380" s="159"/>
      <c r="E380" s="159"/>
      <c r="F380" s="159"/>
      <c r="G380" s="159"/>
      <c r="H380" s="160"/>
      <c r="I380" s="57">
        <f t="shared" si="5"/>
        <v>0</v>
      </c>
      <c r="J380" s="62"/>
      <c r="K380" s="56"/>
      <c r="L380" s="405"/>
      <c r="M380" s="545"/>
      <c r="N380" s="383" t="s">
        <v>1480</v>
      </c>
      <c r="O380" s="383">
        <v>60</v>
      </c>
      <c r="P380" s="383">
        <v>4</v>
      </c>
      <c r="Q380" s="543"/>
    </row>
    <row r="381" spans="1:17" ht="13.2">
      <c r="A381" s="83"/>
      <c r="B381" s="386" t="str">
        <f>HYPERLINK("http://codeforces.com/contest/80/problem/D","CF80-D2-D")</f>
        <v>CF80-D2-D</v>
      </c>
      <c r="C381" s="159"/>
      <c r="D381" s="159"/>
      <c r="E381" s="159"/>
      <c r="F381" s="159"/>
      <c r="G381" s="159"/>
      <c r="H381" s="160"/>
      <c r="I381" s="57">
        <f t="shared" si="5"/>
        <v>0</v>
      </c>
      <c r="J381" s="102"/>
      <c r="K381" s="101"/>
      <c r="L381" s="159"/>
      <c r="M381" s="389" t="str">
        <f>HYPERLINK("https://www.youtube.com/watch?v=ebC3c-YJDIk","Video Solution - Solver to be (Java)")</f>
        <v>Video Solution - Solver to be (Java)</v>
      </c>
      <c r="N381" s="383" t="s">
        <v>1480</v>
      </c>
      <c r="O381" s="383">
        <v>60</v>
      </c>
      <c r="P381" s="383">
        <v>4</v>
      </c>
      <c r="Q381" s="37" t="s">
        <v>1224</v>
      </c>
    </row>
    <row r="382" spans="1:17" ht="13.2">
      <c r="A382" s="83"/>
      <c r="B382" s="83" t="s">
        <v>1061</v>
      </c>
      <c r="C382" s="159"/>
      <c r="D382" s="159"/>
      <c r="E382" s="159"/>
      <c r="F382" s="159"/>
      <c r="G382" s="159"/>
      <c r="H382" s="160"/>
      <c r="I382" s="57">
        <f t="shared" si="5"/>
        <v>0</v>
      </c>
      <c r="J382" s="62"/>
      <c r="K382" s="56"/>
      <c r="L382" s="405"/>
      <c r="M382" s="389" t="str">
        <f>HYPERLINK("https://www.youtube.com/watch?v=vLuFqaQ40RI","Video Solution - Eng Ayman Salah")</f>
        <v>Video Solution - Eng Ayman Salah</v>
      </c>
      <c r="N382" s="383" t="s">
        <v>1491</v>
      </c>
      <c r="O382" s="383">
        <v>61</v>
      </c>
      <c r="P382" s="383">
        <v>4</v>
      </c>
      <c r="Q382" s="543"/>
    </row>
    <row r="383" spans="1:17" ht="13.2">
      <c r="A383" s="83"/>
      <c r="B383" s="83" t="s">
        <v>980</v>
      </c>
      <c r="C383" s="159"/>
      <c r="D383" s="159"/>
      <c r="E383" s="159"/>
      <c r="F383" s="159"/>
      <c r="G383" s="159"/>
      <c r="H383" s="160"/>
      <c r="I383" s="57">
        <f t="shared" si="5"/>
        <v>0</v>
      </c>
      <c r="J383" s="102"/>
      <c r="K383" s="101"/>
      <c r="L383" s="159"/>
      <c r="M383" s="403" t="str">
        <f>HYPERLINK("https://github.com/VAMPIER000001/CompetitiveProgramming/blob/6ffe2c80fe5aba2bf2d901503b96f1b90053462a/CF/CF560-D2-D(2).Cpp","Sol to learn")</f>
        <v>Sol to learn</v>
      </c>
      <c r="N383" s="383" t="s">
        <v>1493</v>
      </c>
      <c r="O383" s="383">
        <v>62</v>
      </c>
      <c r="P383" s="383">
        <v>4</v>
      </c>
      <c r="Q383" s="37" t="s">
        <v>1224</v>
      </c>
    </row>
    <row r="384" spans="1:17" ht="13.2">
      <c r="A384" s="83" t="s">
        <v>1040</v>
      </c>
      <c r="B384" s="386" t="str">
        <f>HYPERLINK("http://codeforces.com/contest/203/problem/D","CF203-D2-D")</f>
        <v>CF203-D2-D</v>
      </c>
      <c r="C384" s="159"/>
      <c r="D384" s="159"/>
      <c r="E384" s="159"/>
      <c r="F384" s="159"/>
      <c r="G384" s="159"/>
      <c r="H384" s="160"/>
      <c r="I384" s="57">
        <f t="shared" si="5"/>
        <v>0</v>
      </c>
      <c r="J384" s="62"/>
      <c r="K384" s="56"/>
      <c r="L384" s="405"/>
      <c r="M384" s="406"/>
      <c r="N384" s="383" t="s">
        <v>1496</v>
      </c>
      <c r="O384" s="383">
        <v>63</v>
      </c>
      <c r="P384" s="383">
        <v>4</v>
      </c>
      <c r="Q384" s="37"/>
    </row>
    <row r="385" spans="1:17" ht="13.2">
      <c r="A385" s="83"/>
      <c r="B385" s="83" t="s">
        <v>754</v>
      </c>
      <c r="C385" s="159"/>
      <c r="D385" s="159"/>
      <c r="E385" s="159"/>
      <c r="F385" s="159"/>
      <c r="G385" s="159"/>
      <c r="H385" s="160"/>
      <c r="I385" s="57">
        <f t="shared" si="5"/>
        <v>0</v>
      </c>
      <c r="J385" s="102"/>
      <c r="K385" s="101"/>
      <c r="L385" s="96"/>
      <c r="M385" s="231" t="s">
        <v>614</v>
      </c>
      <c r="N385" s="383" t="s">
        <v>1497</v>
      </c>
      <c r="O385" s="383">
        <v>63</v>
      </c>
      <c r="P385" s="383">
        <v>4</v>
      </c>
      <c r="Q385" s="37" t="s">
        <v>1226</v>
      </c>
    </row>
    <row r="386" spans="1:17" ht="13.2">
      <c r="A386" s="83" t="s">
        <v>817</v>
      </c>
      <c r="B386" s="386" t="str">
        <f>HYPERLINK("https://uva.onlinejudge.org/index.php?option=onlinejudge&amp;page=show_problem&amp;problem=4601","UVA 12748")</f>
        <v>UVA 12748</v>
      </c>
      <c r="C386" s="159"/>
      <c r="D386" s="159"/>
      <c r="E386" s="159"/>
      <c r="F386" s="159"/>
      <c r="G386" s="159"/>
      <c r="H386" s="160"/>
      <c r="I386" s="57">
        <f t="shared" si="5"/>
        <v>0</v>
      </c>
      <c r="J386" s="62"/>
      <c r="K386" s="56"/>
      <c r="L386" s="159"/>
      <c r="M386" s="392" t="str">
        <f>HYPERLINK("https://github.com/mostafa-saad/MyCompetitiveProgramming/blob/master/UVA/UVA_12263.txt","Sol")</f>
        <v>Sol</v>
      </c>
      <c r="N386" s="383" t="s">
        <v>1495</v>
      </c>
      <c r="O386" s="383">
        <v>63</v>
      </c>
      <c r="P386" s="383">
        <v>4</v>
      </c>
      <c r="Q386" s="37" t="s">
        <v>1224</v>
      </c>
    </row>
    <row r="387" spans="1:17" ht="13.2">
      <c r="A387" s="83" t="s">
        <v>773</v>
      </c>
      <c r="B387" s="386" t="str">
        <f>HYPERLINK("https://uva.onlinejudge.org/index.php?option=onlinejudge&amp;page=show_problem&amp;problem=1242","UVA 10301")</f>
        <v>UVA 10301</v>
      </c>
      <c r="C387" s="159"/>
      <c r="D387" s="159"/>
      <c r="E387" s="159"/>
      <c r="F387" s="159"/>
      <c r="G387" s="159"/>
      <c r="H387" s="160"/>
      <c r="I387" s="57">
        <f t="shared" si="5"/>
        <v>0</v>
      </c>
      <c r="J387" s="62"/>
      <c r="K387" s="56"/>
      <c r="L387" s="159"/>
      <c r="M387" s="403" t="str">
        <f>HYPERLINK("https://github.com/VAMPIER000001/CompetitiveProgramming/blob/master/UVA/V-116/UVA%2011686.Cpp","Sol")</f>
        <v>Sol</v>
      </c>
      <c r="N387" s="383" t="s">
        <v>1498</v>
      </c>
      <c r="O387" s="383">
        <v>63</v>
      </c>
      <c r="P387" s="383">
        <v>4</v>
      </c>
      <c r="Q387" s="543"/>
    </row>
    <row r="388" spans="1:17" ht="13.2">
      <c r="A388" s="83" t="s">
        <v>753</v>
      </c>
      <c r="B388" s="386" t="str">
        <f>HYPERLINK("https://uva.onlinejudge.org/index.php?option=onlinejudge&amp;page=show_problem&amp;problem=292","UVA 356")</f>
        <v>UVA 356</v>
      </c>
      <c r="C388" s="159"/>
      <c r="D388" s="159"/>
      <c r="E388" s="159"/>
      <c r="F388" s="159"/>
      <c r="G388" s="159"/>
      <c r="H388" s="160"/>
      <c r="I388" s="57">
        <f t="shared" si="5"/>
        <v>0</v>
      </c>
      <c r="J388" s="62"/>
      <c r="K388" s="56"/>
      <c r="L388" s="96"/>
      <c r="M388" s="400" t="str">
        <f>HYPERLINK("https://en.wikipedia.org/wiki/Planar_graph#Euler's_formula","Read first Euler Formula")</f>
        <v>Read first Euler Formula</v>
      </c>
      <c r="N388" s="383" t="s">
        <v>1508</v>
      </c>
      <c r="O388" s="383">
        <v>65</v>
      </c>
      <c r="P388" s="383">
        <v>4</v>
      </c>
      <c r="Q388" s="37" t="s">
        <v>1224</v>
      </c>
    </row>
    <row r="389" spans="1:17" ht="13.2">
      <c r="A389" s="83" t="s">
        <v>751</v>
      </c>
      <c r="B389" s="386" t="str">
        <f>HYPERLINK("https://uva.onlinejudge.org/index.php?option=onlinejudge&amp;page=show_problem&amp;problem=379","UVA 438")</f>
        <v>UVA 438</v>
      </c>
      <c r="C389" s="159"/>
      <c r="D389" s="159"/>
      <c r="E389" s="159"/>
      <c r="F389" s="159"/>
      <c r="G389" s="159"/>
      <c r="H389" s="160"/>
      <c r="I389" s="57">
        <f t="shared" si="5"/>
        <v>0</v>
      </c>
      <c r="J389" s="62"/>
      <c r="K389" s="56"/>
      <c r="L389" s="96"/>
      <c r="M389" s="399"/>
      <c r="N389" s="383" t="s">
        <v>1507</v>
      </c>
      <c r="O389" s="383">
        <v>65</v>
      </c>
      <c r="P389" s="383">
        <v>4</v>
      </c>
    </row>
    <row r="390" spans="1:17" ht="13.2">
      <c r="A390" s="83" t="s">
        <v>752</v>
      </c>
      <c r="B390" s="386" t="str">
        <f>HYPERLINK("https://uva.onlinejudge.org/index.php?option=com_onlinejudge&amp;Itemid=8&amp;page=show_problem&amp;problem=418","UVA 477")</f>
        <v>UVA 477</v>
      </c>
      <c r="C390" s="159"/>
      <c r="D390" s="159"/>
      <c r="E390" s="159"/>
      <c r="F390" s="159"/>
      <c r="G390" s="159"/>
      <c r="H390" s="160"/>
      <c r="I390" s="57">
        <f t="shared" si="5"/>
        <v>0</v>
      </c>
      <c r="J390" s="62"/>
      <c r="K390" s="56"/>
      <c r="L390" s="96"/>
      <c r="M390" s="192" t="str">
        <f>HYPERLINK("https://www.youtube.com/watch?v=kO_XbOt1drc","Video Solution - Eng Moaz Rashad")</f>
        <v>Video Solution - Eng Moaz Rashad</v>
      </c>
      <c r="N390" s="383" t="s">
        <v>1507</v>
      </c>
      <c r="O390" s="383">
        <v>65</v>
      </c>
      <c r="P390" s="383">
        <v>4</v>
      </c>
    </row>
    <row r="391" spans="1:17" ht="13.2">
      <c r="A391" s="83" t="s">
        <v>772</v>
      </c>
      <c r="B391" s="386" t="str">
        <f>HYPERLINK("http://codeforces.com/contest/199/problem/B","CF199-D2-B")</f>
        <v>CF199-D2-B</v>
      </c>
      <c r="C391" s="159"/>
      <c r="D391" s="159"/>
      <c r="E391" s="159"/>
      <c r="F391" s="159"/>
      <c r="G391" s="159"/>
      <c r="H391" s="160"/>
      <c r="I391" s="57">
        <f t="shared" ref="I391:I454" si="6">SUM(E391:H391)</f>
        <v>0</v>
      </c>
      <c r="J391" s="62"/>
      <c r="K391" s="56"/>
      <c r="L391" s="159"/>
      <c r="M391" s="403" t="str">
        <f>HYPERLINK("https://github.com/VAMPIER000001/CompetitiveProgramming/blob/master/UVA/V-1/UVA%20186.Cpp","Sol")</f>
        <v>Sol</v>
      </c>
      <c r="N391" s="383" t="s">
        <v>1511</v>
      </c>
      <c r="O391" s="383">
        <v>68</v>
      </c>
      <c r="P391" s="383">
        <v>4</v>
      </c>
      <c r="Q391" s="37" t="s">
        <v>1226</v>
      </c>
    </row>
    <row r="392" spans="1:17" ht="13.2">
      <c r="A392" s="83" t="s">
        <v>652</v>
      </c>
      <c r="B392" s="386" t="str">
        <f>HYPERLINK("http://codeforces.com/contest/84/problem/C","CF84-D2-C")</f>
        <v>CF84-D2-C</v>
      </c>
      <c r="C392" s="159"/>
      <c r="D392" s="159"/>
      <c r="E392" s="159"/>
      <c r="F392" s="159"/>
      <c r="G392" s="159"/>
      <c r="H392" s="160"/>
      <c r="I392" s="57">
        <f t="shared" si="6"/>
        <v>0</v>
      </c>
      <c r="J392" s="62"/>
      <c r="K392" s="56"/>
      <c r="L392" s="159"/>
      <c r="M392" s="403" t="str">
        <f>HYPERLINK("https://github.com/ilyesG/Competitive-Programming/blob/master/UVA/UVA%2010330.cpp","Sol")</f>
        <v>Sol</v>
      </c>
      <c r="N392" s="383" t="s">
        <v>1520</v>
      </c>
      <c r="O392" s="383">
        <v>71</v>
      </c>
      <c r="P392" s="383">
        <v>4</v>
      </c>
    </row>
    <row r="393" spans="1:17" ht="13.2">
      <c r="A393" s="83" t="s">
        <v>1051</v>
      </c>
      <c r="B393" s="386" t="str">
        <f>HYPERLINK("https://uva.onlinejudge.org/index.php?option=onlinejudge&amp;page=show_problem&amp;problem=946","UVA 10005")</f>
        <v>UVA 10005</v>
      </c>
      <c r="C393" s="159"/>
      <c r="D393" s="159"/>
      <c r="E393" s="159"/>
      <c r="F393" s="159"/>
      <c r="G393" s="159"/>
      <c r="H393" s="160"/>
      <c r="I393" s="57">
        <f t="shared" si="6"/>
        <v>0</v>
      </c>
      <c r="J393" s="62"/>
      <c r="K393" s="56"/>
      <c r="L393" s="405"/>
      <c r="M393" s="403" t="str">
        <f>HYPERLINK("https://github.com/ilyesG/Competitive-Programming/blob/master/UVA/UVA%2010080.cpp","Sol")</f>
        <v>Sol</v>
      </c>
      <c r="N393" s="383" t="s">
        <v>1525</v>
      </c>
      <c r="O393" s="383">
        <v>72</v>
      </c>
      <c r="P393" s="383">
        <v>4</v>
      </c>
      <c r="Q393" s="543"/>
    </row>
    <row r="394" spans="1:17" ht="13.2">
      <c r="A394" s="83"/>
      <c r="B394" s="83" t="s">
        <v>1055</v>
      </c>
      <c r="C394" s="159"/>
      <c r="D394" s="159"/>
      <c r="E394" s="159"/>
      <c r="F394" s="159"/>
      <c r="G394" s="159"/>
      <c r="H394" s="160"/>
      <c r="I394" s="57">
        <f t="shared" si="6"/>
        <v>0</v>
      </c>
      <c r="J394" s="102"/>
      <c r="K394" s="101"/>
      <c r="L394" s="159"/>
      <c r="M394" s="403" t="str">
        <f>HYPERLINK("https://www.geeksforgeeks.org/total-number-spanning-trees-graph/","Theory result to read")</f>
        <v>Theory result to read</v>
      </c>
      <c r="N394" s="383" t="s">
        <v>1539</v>
      </c>
      <c r="O394" s="383">
        <v>76</v>
      </c>
      <c r="P394" s="383">
        <v>4</v>
      </c>
      <c r="Q394" s="37" t="s">
        <v>1224</v>
      </c>
    </row>
    <row r="395" spans="1:17" ht="13.2">
      <c r="A395" s="83"/>
      <c r="B395" s="386" t="str">
        <f>HYPERLINK("http://www.spoj.com/problems/ALIENS/","SPOJ ALIENS")</f>
        <v>SPOJ ALIENS</v>
      </c>
      <c r="C395" s="159"/>
      <c r="D395" s="159"/>
      <c r="E395" s="159"/>
      <c r="F395" s="159"/>
      <c r="G395" s="159"/>
      <c r="H395" s="160"/>
      <c r="I395" s="57">
        <f t="shared" si="6"/>
        <v>0</v>
      </c>
      <c r="J395" s="62"/>
      <c r="K395" s="56"/>
      <c r="L395" s="159"/>
      <c r="M395" s="403" t="str">
        <f>HYPERLINK("https://github.com/mostafa-saad/MyCompetitiveProgramming/blob/master/UVA/UVA_12124.txt","Sol")</f>
        <v>Sol</v>
      </c>
      <c r="N395" s="383" t="s">
        <v>1558</v>
      </c>
      <c r="O395" s="383">
        <v>84</v>
      </c>
      <c r="P395" s="383">
        <v>4</v>
      </c>
      <c r="Q395" s="37"/>
    </row>
    <row r="396" spans="1:17" ht="13.2">
      <c r="A396" s="83"/>
      <c r="B396" s="386" t="str">
        <f>HYPERLINK("https://codeforces.com/contest/1059/problem/D","CF1059-D2-D")</f>
        <v>CF1059-D2-D</v>
      </c>
      <c r="C396" s="159"/>
      <c r="D396" s="159"/>
      <c r="E396" s="159"/>
      <c r="F396" s="159"/>
      <c r="G396" s="159"/>
      <c r="H396" s="160"/>
      <c r="I396" s="57">
        <f t="shared" si="6"/>
        <v>0</v>
      </c>
      <c r="J396" s="102"/>
      <c r="K396" s="101"/>
      <c r="L396" s="405"/>
      <c r="M396" s="395"/>
      <c r="N396" s="383" t="s">
        <v>1559</v>
      </c>
      <c r="O396" s="383">
        <v>84</v>
      </c>
      <c r="P396" s="383">
        <v>4</v>
      </c>
      <c r="Q396" s="37" t="s">
        <v>1226</v>
      </c>
    </row>
    <row r="397" spans="1:17" ht="13.2">
      <c r="A397" s="83"/>
      <c r="B397" s="386" t="str">
        <f>HYPERLINK("https://www.hackerrank.com/challenges/house-location","HACKR house-location")</f>
        <v>HACKR house-location</v>
      </c>
      <c r="C397" s="159"/>
      <c r="D397" s="159"/>
      <c r="E397" s="159"/>
      <c r="F397" s="159"/>
      <c r="G397" s="159"/>
      <c r="H397" s="160"/>
      <c r="I397" s="57">
        <f t="shared" si="6"/>
        <v>0</v>
      </c>
      <c r="J397" s="102"/>
      <c r="K397" s="101"/>
      <c r="L397" s="159"/>
      <c r="M397" s="545"/>
      <c r="N397" s="383" t="s">
        <v>1560</v>
      </c>
      <c r="O397" s="383">
        <v>84</v>
      </c>
      <c r="P397" s="383">
        <v>4</v>
      </c>
      <c r="Q397" s="37" t="s">
        <v>1226</v>
      </c>
    </row>
    <row r="398" spans="1:17" ht="13.2">
      <c r="A398" s="83"/>
      <c r="B398" s="83" t="s">
        <v>1080</v>
      </c>
      <c r="C398" s="159"/>
      <c r="D398" s="159"/>
      <c r="E398" s="159"/>
      <c r="F398" s="159"/>
      <c r="G398" s="159"/>
      <c r="H398" s="160"/>
      <c r="I398" s="57">
        <f t="shared" si="6"/>
        <v>0</v>
      </c>
      <c r="J398" s="102"/>
      <c r="K398" s="101"/>
      <c r="L398" s="159"/>
      <c r="M398" s="404"/>
      <c r="N398" s="383" t="s">
        <v>1561</v>
      </c>
      <c r="O398" s="383">
        <v>84</v>
      </c>
      <c r="P398" s="383">
        <v>4</v>
      </c>
      <c r="Q398" s="37" t="s">
        <v>1224</v>
      </c>
    </row>
    <row r="399" spans="1:17" ht="13.2">
      <c r="A399" s="83" t="s">
        <v>815</v>
      </c>
      <c r="B399" s="386" t="str">
        <f>HYPERLINK("https://uva.onlinejudge.org/index.php?option=onlinejudge&amp;page=show_problem&amp;problem=1204","UVA 10263")</f>
        <v>UVA 10263</v>
      </c>
      <c r="C399" s="159"/>
      <c r="D399" s="159"/>
      <c r="E399" s="159"/>
      <c r="F399" s="159"/>
      <c r="G399" s="159"/>
      <c r="H399" s="160"/>
      <c r="I399" s="57">
        <f t="shared" si="6"/>
        <v>0</v>
      </c>
      <c r="J399" s="62"/>
      <c r="K399" s="56"/>
      <c r="L399" s="159"/>
      <c r="M399" s="545"/>
      <c r="N399" s="383" t="s">
        <v>1552</v>
      </c>
      <c r="O399" s="383">
        <v>84</v>
      </c>
      <c r="P399" s="383">
        <v>4</v>
      </c>
      <c r="Q399" s="37" t="s">
        <v>1224</v>
      </c>
    </row>
    <row r="400" spans="1:17" ht="13.2">
      <c r="A400" s="83" t="s">
        <v>818</v>
      </c>
      <c r="B400" s="386" t="str">
        <f>HYPERLINK("https://uva.onlinejudge.org/index.php?option=com_onlinejudge&amp;Itemid=8&amp;page=show_problem&amp;problem=206","UVA 270")</f>
        <v>UVA 270</v>
      </c>
      <c r="C400" s="159"/>
      <c r="D400" s="159"/>
      <c r="E400" s="159"/>
      <c r="F400" s="159"/>
      <c r="G400" s="159"/>
      <c r="H400" s="160"/>
      <c r="I400" s="57">
        <f t="shared" si="6"/>
        <v>0</v>
      </c>
      <c r="J400" s="62"/>
      <c r="K400" s="56"/>
      <c r="L400" s="159"/>
      <c r="M400" s="545"/>
      <c r="N400" s="383" t="s">
        <v>1552</v>
      </c>
      <c r="O400" s="383">
        <v>84</v>
      </c>
      <c r="P400" s="383">
        <v>4</v>
      </c>
      <c r="Q400" s="37" t="s">
        <v>1224</v>
      </c>
    </row>
    <row r="401" spans="1:17" ht="13.2">
      <c r="A401" s="83" t="s">
        <v>1143</v>
      </c>
      <c r="B401" s="386" t="str">
        <f>HYPERLINK("https://uva.onlinejudge.org/index.php?option=onlinejudge&amp;page=show_problem&amp;problem=2468","UVA 11473")</f>
        <v>UVA 11473</v>
      </c>
      <c r="C401" s="159"/>
      <c r="D401" s="159"/>
      <c r="E401" s="159"/>
      <c r="F401" s="159"/>
      <c r="G401" s="159"/>
      <c r="H401" s="160"/>
      <c r="I401" s="57">
        <f t="shared" si="6"/>
        <v>0</v>
      </c>
      <c r="J401" s="62"/>
      <c r="K401" s="56"/>
      <c r="L401" s="405"/>
      <c r="M401" s="545"/>
      <c r="N401" s="383" t="s">
        <v>1552</v>
      </c>
      <c r="O401" s="383">
        <v>84</v>
      </c>
      <c r="P401" s="383">
        <v>4</v>
      </c>
      <c r="Q401" s="37" t="s">
        <v>1224</v>
      </c>
    </row>
    <row r="402" spans="1:17" ht="13.2">
      <c r="A402" s="83" t="s">
        <v>916</v>
      </c>
      <c r="B402" s="386" t="str">
        <f>HYPERLINK("http://codeforces.com/contest/617/problem/D","CF617-D2-D")</f>
        <v>CF617-D2-D</v>
      </c>
      <c r="C402" s="159"/>
      <c r="D402" s="159"/>
      <c r="E402" s="159"/>
      <c r="F402" s="159"/>
      <c r="G402" s="159"/>
      <c r="H402" s="160"/>
      <c r="I402" s="57">
        <f t="shared" si="6"/>
        <v>0</v>
      </c>
      <c r="J402" s="102"/>
      <c r="K402" s="101"/>
      <c r="L402" s="159"/>
      <c r="M402" s="399"/>
      <c r="N402" s="383" t="s">
        <v>1562</v>
      </c>
      <c r="O402" s="383">
        <v>84</v>
      </c>
      <c r="P402" s="383">
        <v>4</v>
      </c>
      <c r="Q402" s="37" t="s">
        <v>1224</v>
      </c>
    </row>
    <row r="403" spans="1:17" ht="13.2">
      <c r="A403" s="83" t="s">
        <v>791</v>
      </c>
      <c r="B403" s="386" t="str">
        <f>HYPERLINK("https://uva.onlinejudge.org/index.php?option=com_onlinejudge&amp;Itemid=8&amp;page=show_problem&amp;problem=209","UVA 273")</f>
        <v>UVA 273</v>
      </c>
      <c r="C403" s="159"/>
      <c r="D403" s="159"/>
      <c r="E403" s="159"/>
      <c r="F403" s="159"/>
      <c r="G403" s="159"/>
      <c r="H403" s="160"/>
      <c r="I403" s="57">
        <f t="shared" si="6"/>
        <v>0</v>
      </c>
      <c r="J403" s="102"/>
      <c r="K403" s="101"/>
      <c r="L403" s="159"/>
      <c r="M403" s="545"/>
      <c r="N403" s="383" t="s">
        <v>1563</v>
      </c>
      <c r="O403" s="383">
        <v>84</v>
      </c>
      <c r="P403" s="383">
        <v>4</v>
      </c>
    </row>
    <row r="404" spans="1:17" ht="13.2">
      <c r="A404" s="83" t="s">
        <v>793</v>
      </c>
      <c r="B404" s="386" t="str">
        <f>HYPERLINK("https://uva.onlinejudge.org/index.php?option=com_onlinejudge&amp;Itemid=8&amp;page=show_problem&amp;problem=2318","UVA 11343")</f>
        <v>UVA 11343</v>
      </c>
      <c r="C404" s="159"/>
      <c r="D404" s="159"/>
      <c r="E404" s="159"/>
      <c r="F404" s="159"/>
      <c r="G404" s="159"/>
      <c r="H404" s="160"/>
      <c r="I404" s="57">
        <f t="shared" si="6"/>
        <v>0</v>
      </c>
      <c r="J404" s="62"/>
      <c r="K404" s="56"/>
      <c r="L404" s="159"/>
      <c r="M404" s="389" t="str">
        <f>HYPERLINK("https://www.youtube.com/watch?v=QEh0ugyYPUw","Video Solution - Dr Mostafa Saad")</f>
        <v>Video Solution - Dr Mostafa Saad</v>
      </c>
      <c r="N404" s="383" t="s">
        <v>1562</v>
      </c>
      <c r="O404" s="383">
        <v>84</v>
      </c>
      <c r="P404" s="383">
        <v>4</v>
      </c>
    </row>
    <row r="405" spans="1:17" ht="13.2">
      <c r="A405" s="83" t="s">
        <v>443</v>
      </c>
      <c r="B405" s="386" t="str">
        <f>HYPERLINK("https://uva.onlinejudge.org/index.php?option=com_onlinejudge&amp;Itemid=8&amp;page=show_problem&amp;problem=314","UVA 378")</f>
        <v>UVA 378</v>
      </c>
      <c r="C405" s="159"/>
      <c r="D405" s="159"/>
      <c r="E405" s="159"/>
      <c r="F405" s="159"/>
      <c r="G405" s="159"/>
      <c r="H405" s="160"/>
      <c r="I405" s="57">
        <f t="shared" si="6"/>
        <v>0</v>
      </c>
      <c r="J405" s="62"/>
      <c r="K405" s="56"/>
      <c r="L405" s="159"/>
      <c r="M405" s="229"/>
      <c r="N405" s="383" t="s">
        <v>1552</v>
      </c>
      <c r="O405" s="383">
        <v>84</v>
      </c>
      <c r="P405" s="383">
        <v>4</v>
      </c>
    </row>
    <row r="406" spans="1:17" ht="13.2">
      <c r="A406" s="83"/>
      <c r="B406" s="83" t="s">
        <v>1078</v>
      </c>
      <c r="C406" s="159"/>
      <c r="D406" s="159"/>
      <c r="E406" s="159"/>
      <c r="F406" s="159"/>
      <c r="G406" s="159"/>
      <c r="H406" s="160"/>
      <c r="I406" s="57">
        <f t="shared" si="6"/>
        <v>0</v>
      </c>
      <c r="J406" s="102"/>
      <c r="K406" s="101"/>
      <c r="L406" s="405"/>
      <c r="M406" s="389" t="str">
        <f>HYPERLINK("https://www.youtube.com/watch?v=McKM0CgVLUM","Video Solution - Solver to be (Java)")</f>
        <v>Video Solution - Solver to be (Java)</v>
      </c>
      <c r="N406" s="383" t="s">
        <v>1564</v>
      </c>
      <c r="O406" s="383">
        <v>84</v>
      </c>
      <c r="P406" s="383">
        <v>4</v>
      </c>
      <c r="Q406" s="543"/>
    </row>
    <row r="407" spans="1:17" ht="13.2">
      <c r="A407" s="83" t="s">
        <v>750</v>
      </c>
      <c r="B407" s="386" t="str">
        <f>HYPERLINK("https://uva.onlinejudge.org/index.php?option=com_onlinejudge&amp;Itemid=8&amp;page=show_problem&amp;problem=807","UVA 866")</f>
        <v>UVA 866</v>
      </c>
      <c r="C407" s="159"/>
      <c r="D407" s="159"/>
      <c r="E407" s="159"/>
      <c r="F407" s="159"/>
      <c r="G407" s="159"/>
      <c r="H407" s="160"/>
      <c r="I407" s="57">
        <f t="shared" si="6"/>
        <v>0</v>
      </c>
      <c r="J407" s="62"/>
      <c r="K407" s="56"/>
      <c r="L407" s="96"/>
      <c r="M407" s="545"/>
      <c r="N407" s="383" t="s">
        <v>1554</v>
      </c>
      <c r="O407" s="383">
        <v>84</v>
      </c>
      <c r="P407" s="383">
        <v>4</v>
      </c>
      <c r="Q407" s="543"/>
    </row>
    <row r="408" spans="1:17" ht="13.2">
      <c r="A408" s="83"/>
      <c r="B408" s="83" t="s">
        <v>1077</v>
      </c>
      <c r="C408" s="159"/>
      <c r="D408" s="159"/>
      <c r="E408" s="159"/>
      <c r="F408" s="159"/>
      <c r="G408" s="159"/>
      <c r="H408" s="160"/>
      <c r="I408" s="57">
        <f t="shared" si="6"/>
        <v>0</v>
      </c>
      <c r="J408" s="102"/>
      <c r="K408" s="101"/>
      <c r="L408" s="405"/>
      <c r="M408" s="545"/>
      <c r="N408" s="383" t="s">
        <v>1593</v>
      </c>
      <c r="O408" s="383">
        <v>86</v>
      </c>
      <c r="P408" s="383">
        <v>4</v>
      </c>
      <c r="Q408" s="543"/>
    </row>
    <row r="409" spans="1:17" ht="13.2">
      <c r="A409" s="83" t="s">
        <v>749</v>
      </c>
      <c r="B409" s="386" t="str">
        <f>HYPERLINK("https://uva.onlinejudge.org/index.php?option=onlinejudge&amp;page=show_problem&amp;problem=678","UVA 737")</f>
        <v>UVA 737</v>
      </c>
      <c r="C409" s="159"/>
      <c r="D409" s="159"/>
      <c r="E409" s="159"/>
      <c r="F409" s="159"/>
      <c r="G409" s="159"/>
      <c r="H409" s="160"/>
      <c r="I409" s="57">
        <f t="shared" si="6"/>
        <v>0</v>
      </c>
      <c r="J409" s="62"/>
      <c r="K409" s="56"/>
      <c r="L409" s="96"/>
      <c r="M409" s="545"/>
      <c r="N409" s="383" t="s">
        <v>1593</v>
      </c>
      <c r="O409" s="383">
        <v>86</v>
      </c>
      <c r="P409" s="383">
        <v>4</v>
      </c>
      <c r="Q409" s="543"/>
    </row>
    <row r="410" spans="1:17" ht="13.2">
      <c r="A410" s="83" t="s">
        <v>927</v>
      </c>
      <c r="B410" s="386" t="str">
        <f>HYPERLINK("https://uva.onlinejudge.org/index.php?option=com_onlinejudge&amp;Itemid=8&amp;page=show_problem&amp;problem=774","UVA 833")</f>
        <v>UVA 833</v>
      </c>
      <c r="C410" s="159"/>
      <c r="D410" s="159"/>
      <c r="E410" s="159"/>
      <c r="F410" s="159"/>
      <c r="G410" s="159"/>
      <c r="H410" s="160"/>
      <c r="I410" s="57">
        <f t="shared" si="6"/>
        <v>0</v>
      </c>
      <c r="J410" s="102"/>
      <c r="K410" s="101"/>
      <c r="L410" s="405"/>
      <c r="M410" s="169" t="str">
        <f>HYPERLINK("https://www.youtube.com/watch?v=fSZRRUPm0ro&amp;feature=youtu.be","Video Solution - Eng Moaz Rashad")</f>
        <v>Video Solution - Eng Moaz Rashad</v>
      </c>
      <c r="N410" s="383" t="s">
        <v>1593</v>
      </c>
      <c r="O410" s="383">
        <v>86</v>
      </c>
      <c r="P410" s="383">
        <v>4</v>
      </c>
      <c r="Q410" s="37" t="s">
        <v>1220</v>
      </c>
    </row>
    <row r="411" spans="1:17" ht="13.2">
      <c r="A411" s="83" t="s">
        <v>658</v>
      </c>
      <c r="B411" s="386" t="str">
        <f>HYPERLINK("https://uva.onlinejudge.org/index.php?option=onlinejudge&amp;page=show_problem&amp;problem=1731","UVA 10790")</f>
        <v>UVA 10790</v>
      </c>
      <c r="C411" s="159"/>
      <c r="D411" s="159"/>
      <c r="E411" s="159"/>
      <c r="F411" s="159"/>
      <c r="G411" s="159"/>
      <c r="H411" s="160"/>
      <c r="I411" s="57">
        <f t="shared" si="6"/>
        <v>0</v>
      </c>
      <c r="J411" s="62"/>
      <c r="K411" s="56"/>
      <c r="L411" s="159"/>
      <c r="M411" s="399"/>
      <c r="N411" s="383" t="s">
        <v>1602</v>
      </c>
      <c r="O411" s="383">
        <v>86</v>
      </c>
      <c r="P411" s="383">
        <v>4</v>
      </c>
      <c r="Q411" s="543"/>
    </row>
    <row r="412" spans="1:17" ht="13.2">
      <c r="A412" s="83" t="s">
        <v>1075</v>
      </c>
      <c r="B412" s="83" t="s">
        <v>1076</v>
      </c>
      <c r="C412" s="159"/>
      <c r="D412" s="159"/>
      <c r="E412" s="159"/>
      <c r="F412" s="159"/>
      <c r="G412" s="159"/>
      <c r="H412" s="160"/>
      <c r="I412" s="57">
        <f t="shared" si="6"/>
        <v>0</v>
      </c>
      <c r="J412" s="102"/>
      <c r="K412" s="101"/>
      <c r="L412" s="405"/>
      <c r="M412" s="403" t="str">
        <f>HYPERLINK("https://github.com/MedoN11/CompetitiveProgramming/blob/master/Atcoder/CF_462C.java","Sol")</f>
        <v>Sol</v>
      </c>
      <c r="N412" s="383" t="s">
        <v>1603</v>
      </c>
      <c r="O412" s="383">
        <v>86</v>
      </c>
      <c r="P412" s="383">
        <v>4</v>
      </c>
    </row>
    <row r="413" spans="1:17" ht="13.2">
      <c r="A413" s="386" t="str">
        <f>HYPERLINK("https://community.topcoder.com/stat?c=problem_statement&amp;pm=5923&amp;rd=8075","BestTriangulation")</f>
        <v>BestTriangulation</v>
      </c>
      <c r="B413" s="83" t="s">
        <v>1049</v>
      </c>
      <c r="C413" s="159"/>
      <c r="D413" s="159"/>
      <c r="E413" s="159"/>
      <c r="F413" s="159"/>
      <c r="G413" s="159"/>
      <c r="H413" s="160"/>
      <c r="I413" s="57">
        <f t="shared" si="6"/>
        <v>0</v>
      </c>
      <c r="J413" s="62"/>
      <c r="K413" s="56"/>
      <c r="L413" s="159"/>
      <c r="M413" s="545"/>
      <c r="N413" s="383" t="s">
        <v>1616</v>
      </c>
      <c r="O413" s="383">
        <v>87</v>
      </c>
      <c r="P413" s="383">
        <v>4</v>
      </c>
      <c r="Q413" s="37" t="s">
        <v>1226</v>
      </c>
    </row>
    <row r="414" spans="1:17" ht="13.2">
      <c r="A414" s="83" t="s">
        <v>781</v>
      </c>
      <c r="B414" s="386" t="str">
        <f>HYPERLINK("http://codeforces.com/contest/408/problem/C","CF408-D2-C")</f>
        <v>CF408-D2-C</v>
      </c>
      <c r="C414" s="159"/>
      <c r="D414" s="159"/>
      <c r="E414" s="159"/>
      <c r="F414" s="159"/>
      <c r="G414" s="159"/>
      <c r="H414" s="160"/>
      <c r="I414" s="57">
        <f t="shared" si="6"/>
        <v>0</v>
      </c>
      <c r="J414" s="102"/>
      <c r="K414" s="101"/>
      <c r="L414" s="159"/>
      <c r="M414" s="406"/>
      <c r="N414" s="383" t="s">
        <v>1607</v>
      </c>
      <c r="O414" s="383">
        <v>87</v>
      </c>
      <c r="P414" s="383">
        <v>4</v>
      </c>
      <c r="Q414" s="37" t="s">
        <v>1224</v>
      </c>
    </row>
    <row r="415" spans="1:17" ht="13.2">
      <c r="A415" s="83"/>
      <c r="B415" s="83" t="s">
        <v>1063</v>
      </c>
      <c r="C415" s="159"/>
      <c r="D415" s="159"/>
      <c r="E415" s="159"/>
      <c r="F415" s="159"/>
      <c r="G415" s="159"/>
      <c r="H415" s="160"/>
      <c r="I415" s="57">
        <f t="shared" si="6"/>
        <v>0</v>
      </c>
      <c r="J415" s="62"/>
      <c r="K415" s="56"/>
      <c r="L415" s="405"/>
      <c r="M415" s="395"/>
      <c r="N415" s="383" t="s">
        <v>1617</v>
      </c>
      <c r="O415" s="383">
        <v>87</v>
      </c>
      <c r="P415" s="383">
        <v>4</v>
      </c>
      <c r="Q415" s="37" t="s">
        <v>1224</v>
      </c>
    </row>
    <row r="416" spans="1:17" ht="13.2">
      <c r="A416" s="83"/>
      <c r="B416" s="83" t="s">
        <v>1064</v>
      </c>
      <c r="C416" s="159"/>
      <c r="D416" s="159"/>
      <c r="E416" s="159"/>
      <c r="F416" s="159"/>
      <c r="G416" s="159"/>
      <c r="H416" s="160"/>
      <c r="I416" s="57">
        <f t="shared" si="6"/>
        <v>0</v>
      </c>
      <c r="J416" s="62"/>
      <c r="K416" s="56"/>
      <c r="L416" s="405"/>
      <c r="M416" s="388" t="str">
        <f>HYPERLINK("https://github.com/magdy-hasan/competitive-programming/blob/master/uva-/uva%2010976%20-%20Fractions%20Again!.cpp","Sol to read")</f>
        <v>Sol to read</v>
      </c>
      <c r="N416" s="383" t="s">
        <v>1617</v>
      </c>
      <c r="O416" s="383">
        <v>87</v>
      </c>
      <c r="P416" s="383">
        <v>4</v>
      </c>
      <c r="Q416" s="37" t="s">
        <v>1220</v>
      </c>
    </row>
    <row r="417" spans="1:17" ht="13.2">
      <c r="A417" s="83"/>
      <c r="B417" s="83" t="s">
        <v>1062</v>
      </c>
      <c r="C417" s="159"/>
      <c r="D417" s="159"/>
      <c r="E417" s="159"/>
      <c r="F417" s="159"/>
      <c r="G417" s="159"/>
      <c r="H417" s="160"/>
      <c r="I417" s="57">
        <f t="shared" si="6"/>
        <v>0</v>
      </c>
      <c r="J417" s="62"/>
      <c r="K417" s="56"/>
      <c r="L417" s="405"/>
      <c r="M417" s="545"/>
      <c r="N417" s="383" t="s">
        <v>1607</v>
      </c>
      <c r="O417" s="383">
        <v>87</v>
      </c>
      <c r="P417" s="383">
        <v>4</v>
      </c>
    </row>
    <row r="418" spans="1:17" ht="13.2">
      <c r="A418" s="83"/>
      <c r="B418" s="386" t="str">
        <f>HYPERLINK("http://codeforces.com/contest/340/problem/B","CF340-D2-B")</f>
        <v>CF340-D2-B</v>
      </c>
      <c r="C418" s="159"/>
      <c r="D418" s="159"/>
      <c r="E418" s="159"/>
      <c r="F418" s="159"/>
      <c r="G418" s="159"/>
      <c r="H418" s="160"/>
      <c r="I418" s="57">
        <f t="shared" si="6"/>
        <v>0</v>
      </c>
      <c r="J418" s="62"/>
      <c r="K418" s="56"/>
      <c r="L418" s="159"/>
      <c r="M418" s="229"/>
      <c r="N418" s="383" t="s">
        <v>1607</v>
      </c>
      <c r="O418" s="383">
        <v>87</v>
      </c>
      <c r="P418" s="383">
        <v>4</v>
      </c>
      <c r="Q418" s="543"/>
    </row>
    <row r="419" spans="1:17" ht="13.2">
      <c r="A419" s="83" t="s">
        <v>1198</v>
      </c>
      <c r="B419" s="386" t="str">
        <f>HYPERLINK("http://codeforces.com/contest/801/problem/D","CF801-D2-D")</f>
        <v>CF801-D2-D</v>
      </c>
      <c r="C419" s="159"/>
      <c r="D419" s="159"/>
      <c r="E419" s="159"/>
      <c r="F419" s="159"/>
      <c r="G419" s="159"/>
      <c r="H419" s="160"/>
      <c r="I419" s="57">
        <f t="shared" si="6"/>
        <v>0</v>
      </c>
      <c r="J419" s="62"/>
      <c r="K419" s="56"/>
      <c r="L419" s="416"/>
      <c r="M419" s="545"/>
      <c r="N419" s="383" t="s">
        <v>1607</v>
      </c>
      <c r="O419" s="383">
        <v>87</v>
      </c>
      <c r="P419" s="383">
        <v>4</v>
      </c>
      <c r="Q419" s="543"/>
    </row>
    <row r="420" spans="1:17" ht="13.2">
      <c r="A420" s="83" t="s">
        <v>1065</v>
      </c>
      <c r="B420" s="386" t="str">
        <f>HYPERLINK("https://uva.onlinejudge.org/index.php?option=onlinejudge&amp;page=show_problem&amp;problem=73","UVA 137")</f>
        <v>UVA 137</v>
      </c>
      <c r="C420" s="159"/>
      <c r="D420" s="159"/>
      <c r="E420" s="159"/>
      <c r="F420" s="159"/>
      <c r="G420" s="159"/>
      <c r="H420" s="160"/>
      <c r="I420" s="57">
        <f t="shared" si="6"/>
        <v>0</v>
      </c>
      <c r="J420" s="62"/>
      <c r="K420" s="56"/>
      <c r="L420" s="405"/>
      <c r="M420" s="396" t="str">
        <f>HYPERLINK("https://www.youtube.com/watch?v=6unjJwXC5gI&amp;feature=youtu.be","Video Solution - Eng Amr Saud")</f>
        <v>Video Solution - Eng Amr Saud</v>
      </c>
      <c r="N420" s="383" t="s">
        <v>1607</v>
      </c>
      <c r="O420" s="383">
        <v>87</v>
      </c>
      <c r="P420" s="383">
        <v>4</v>
      </c>
      <c r="Q420" s="543"/>
    </row>
    <row r="421" spans="1:17" ht="13.2">
      <c r="A421" s="83" t="s">
        <v>1197</v>
      </c>
      <c r="B421" s="386" t="str">
        <f>HYPERLINK("acm.tju.edu.cn/toj/showp1011.html","TJU 1011")</f>
        <v>TJU 1011</v>
      </c>
      <c r="C421" s="159"/>
      <c r="D421" s="159"/>
      <c r="E421" s="159"/>
      <c r="F421" s="159"/>
      <c r="G421" s="159"/>
      <c r="H421" s="160"/>
      <c r="I421" s="57">
        <f t="shared" si="6"/>
        <v>0</v>
      </c>
      <c r="J421" s="62"/>
      <c r="K421" s="56"/>
      <c r="L421" s="405"/>
      <c r="M421" s="241" t="str">
        <f>HYPERLINK("https://github.com/magdy-hasan/competitive-programming/blob/master/uva-/uva%20113%20-%20Power%20of%20Cryptography.cpp","Sol to read")</f>
        <v>Sol to read</v>
      </c>
      <c r="N421" s="415" t="s">
        <v>1618</v>
      </c>
      <c r="O421" s="383">
        <v>87</v>
      </c>
      <c r="P421" s="383">
        <v>4</v>
      </c>
      <c r="Q421" s="37" t="s">
        <v>1226</v>
      </c>
    </row>
    <row r="422" spans="1:17" ht="13.2">
      <c r="A422" s="83" t="s">
        <v>1050</v>
      </c>
      <c r="B422" s="386" t="str">
        <f>HYPERLINK("https://uva.onlinejudge.org/index.php?option=onlinejudge&amp;page=show_problem&amp;problem=1029","UVA 10088")</f>
        <v>UVA 10088</v>
      </c>
      <c r="C422" s="159"/>
      <c r="D422" s="159"/>
      <c r="E422" s="159"/>
      <c r="F422" s="159"/>
      <c r="G422" s="159"/>
      <c r="H422" s="160"/>
      <c r="I422" s="57">
        <f t="shared" si="6"/>
        <v>0</v>
      </c>
      <c r="J422" s="62"/>
      <c r="K422" s="56"/>
      <c r="L422" s="405"/>
      <c r="M422" s="399"/>
      <c r="N422" s="383" t="s">
        <v>1619</v>
      </c>
      <c r="O422" s="383">
        <v>87</v>
      </c>
      <c r="P422" s="383">
        <v>4</v>
      </c>
    </row>
    <row r="423" spans="1:17" ht="13.2">
      <c r="A423" s="83"/>
      <c r="B423" s="83" t="s">
        <v>1052</v>
      </c>
      <c r="C423" s="159"/>
      <c r="D423" s="159"/>
      <c r="E423" s="159"/>
      <c r="F423" s="159"/>
      <c r="G423" s="159"/>
      <c r="H423" s="160"/>
      <c r="I423" s="57">
        <f t="shared" si="6"/>
        <v>0</v>
      </c>
      <c r="J423" s="62"/>
      <c r="K423" s="56"/>
      <c r="L423" s="405"/>
      <c r="M423" s="545"/>
      <c r="N423" s="383" t="s">
        <v>1616</v>
      </c>
      <c r="O423" s="383">
        <v>87</v>
      </c>
      <c r="P423" s="383">
        <v>4</v>
      </c>
    </row>
    <row r="424" spans="1:17" ht="13.2">
      <c r="A424" s="83" t="s">
        <v>1053</v>
      </c>
      <c r="B424" s="386" t="str">
        <f>HYPERLINK("https://uva.onlinejudge.org/index.php?option=com_onlinejudge&amp;Itemid=8&amp;page=show_problem&amp;problem=529","UVA 588")</f>
        <v>UVA 588</v>
      </c>
      <c r="C424" s="159"/>
      <c r="D424" s="159"/>
      <c r="E424" s="159"/>
      <c r="F424" s="159"/>
      <c r="G424" s="159"/>
      <c r="H424" s="160"/>
      <c r="I424" s="57">
        <f t="shared" si="6"/>
        <v>0</v>
      </c>
      <c r="J424" s="62"/>
      <c r="K424" s="56"/>
      <c r="L424" s="405"/>
      <c r="M424" s="545"/>
      <c r="N424" s="383" t="s">
        <v>1612</v>
      </c>
      <c r="O424" s="383">
        <v>87</v>
      </c>
      <c r="P424" s="383">
        <v>4</v>
      </c>
      <c r="Q424" s="37" t="s">
        <v>1224</v>
      </c>
    </row>
    <row r="425" spans="1:17" ht="13.2">
      <c r="A425" s="83" t="s">
        <v>481</v>
      </c>
      <c r="B425" s="386" t="str">
        <f>HYPERLINK("https://uva.onlinejudge.org/index.php?option=com_onlinejudge&amp;Itemid=8&amp;page=show_problem&amp;problem=41","UVA 105")</f>
        <v>UVA 105</v>
      </c>
      <c r="C425" s="159"/>
      <c r="D425" s="159"/>
      <c r="E425" s="159"/>
      <c r="F425" s="159"/>
      <c r="G425" s="159"/>
      <c r="H425" s="160"/>
      <c r="I425" s="57">
        <f t="shared" si="6"/>
        <v>0</v>
      </c>
      <c r="J425" s="62"/>
      <c r="K425" s="56"/>
      <c r="L425" s="159"/>
      <c r="M425" s="176" t="str">
        <f>HYPERLINK("https://www.youtube.com/watch?v=96OYl0On3hc","Video Solution - Eng Youssef Ali")</f>
        <v>Video Solution - Eng Youssef Ali</v>
      </c>
      <c r="N425" s="383" t="s">
        <v>1638</v>
      </c>
      <c r="O425" s="383">
        <v>89</v>
      </c>
      <c r="P425" s="383">
        <v>4</v>
      </c>
    </row>
    <row r="426" spans="1:17" ht="13.2">
      <c r="A426" s="83" t="s">
        <v>219</v>
      </c>
      <c r="B426" s="386" t="str">
        <f>HYPERLINK("https://uva.onlinejudge.org/index.php?option=onlinejudge&amp;page=show_problem&amp;problem=1393","UVA 10452")</f>
        <v>UVA 10452</v>
      </c>
      <c r="C426" s="159"/>
      <c r="D426" s="159"/>
      <c r="E426" s="159"/>
      <c r="F426" s="159"/>
      <c r="G426" s="159"/>
      <c r="H426" s="160"/>
      <c r="I426" s="57">
        <f t="shared" si="6"/>
        <v>0</v>
      </c>
      <c r="J426" s="96"/>
      <c r="K426" s="56"/>
      <c r="L426" s="96"/>
      <c r="M426" s="545"/>
      <c r="N426" s="383" t="s">
        <v>1638</v>
      </c>
      <c r="O426" s="383">
        <v>89</v>
      </c>
      <c r="P426" s="383">
        <v>4</v>
      </c>
    </row>
    <row r="427" spans="1:17" ht="13.2">
      <c r="A427" s="83" t="s">
        <v>460</v>
      </c>
      <c r="B427" s="386" t="str">
        <f>HYPERLINK("https://uva.onlinejudge.org/index.php?option=com_onlinejudge&amp;Itemid=8&amp;page=show_problem&amp;problem=58","UVA 122")</f>
        <v>UVA 122</v>
      </c>
      <c r="C427" s="159"/>
      <c r="D427" s="159"/>
      <c r="E427" s="159"/>
      <c r="F427" s="159"/>
      <c r="G427" s="159"/>
      <c r="H427" s="160"/>
      <c r="I427" s="57">
        <f t="shared" si="6"/>
        <v>0</v>
      </c>
      <c r="J427" s="62"/>
      <c r="K427" s="56"/>
      <c r="L427" s="62"/>
      <c r="M427" s="396" t="str">
        <f>HYPERLINK("https://www.youtube.com/watch?v=UNUD8qp33ic&amp;feature=youtu.be","Video Solution - Eng Amr Saud")</f>
        <v>Video Solution - Eng Amr Saud</v>
      </c>
      <c r="N427" s="383" t="s">
        <v>1640</v>
      </c>
      <c r="O427" s="383">
        <v>89</v>
      </c>
      <c r="P427" s="383">
        <v>4</v>
      </c>
    </row>
    <row r="428" spans="1:17" ht="13.2">
      <c r="A428" s="83" t="s">
        <v>805</v>
      </c>
      <c r="B428" s="386" t="str">
        <f>HYPERLINK("http://www.spoj.com/problems/PT07Z/","SPOJ PT07Z")</f>
        <v>SPOJ PT07Z</v>
      </c>
      <c r="C428" s="159"/>
      <c r="D428" s="159"/>
      <c r="E428" s="159"/>
      <c r="F428" s="159"/>
      <c r="G428" s="159"/>
      <c r="H428" s="160"/>
      <c r="I428" s="57">
        <f t="shared" si="6"/>
        <v>0</v>
      </c>
      <c r="J428" s="62"/>
      <c r="K428" s="56"/>
      <c r="L428" s="159"/>
      <c r="M428" s="169" t="str">
        <f>HYPERLINK("https://www.youtube.com/watch?v=sRZgiQc5x7U","Video Solution - Eng Moaz Rashad")</f>
        <v>Video Solution - Eng Moaz Rashad</v>
      </c>
      <c r="N428" s="383" t="s">
        <v>1647</v>
      </c>
      <c r="O428" s="383">
        <v>95</v>
      </c>
      <c r="P428" s="383">
        <v>4</v>
      </c>
      <c r="Q428" s="37" t="s">
        <v>1220</v>
      </c>
    </row>
    <row r="429" spans="1:17" ht="13.2">
      <c r="A429" s="83" t="s">
        <v>806</v>
      </c>
      <c r="B429" s="386" t="str">
        <f>HYPERLINK("https://uva.onlinejudge.org/index.php?option=com_onlinejudge&amp;Itemid=8&amp;page=show_problem&amp;problem=1249","UVA 10308")</f>
        <v>UVA 10308</v>
      </c>
      <c r="C429" s="159"/>
      <c r="D429" s="159"/>
      <c r="E429" s="159"/>
      <c r="F429" s="159"/>
      <c r="G429" s="159"/>
      <c r="H429" s="160"/>
      <c r="I429" s="57">
        <f t="shared" si="6"/>
        <v>0</v>
      </c>
      <c r="J429" s="62"/>
      <c r="K429" s="56"/>
      <c r="L429" s="159"/>
      <c r="M429" s="388" t="str">
        <f>HYPERLINK("https://github.com/MohamedNabil97/CompetitiveProgramming/blob/master/UVA/10139.cpp","Sol to read")</f>
        <v>Sol to read</v>
      </c>
      <c r="N429" s="383" t="s">
        <v>1648</v>
      </c>
      <c r="O429" s="383">
        <v>95</v>
      </c>
      <c r="P429" s="383">
        <v>4</v>
      </c>
    </row>
    <row r="430" spans="1:17" ht="13.2">
      <c r="A430" s="83"/>
      <c r="B430" s="386" t="str">
        <f>HYPERLINK("https://codeforces.com/contest/1068/problem/C","CF1068-D2-C")</f>
        <v>CF1068-D2-C</v>
      </c>
      <c r="C430" s="159"/>
      <c r="D430" s="159"/>
      <c r="E430" s="159"/>
      <c r="F430" s="159"/>
      <c r="G430" s="159"/>
      <c r="H430" s="160"/>
      <c r="I430" s="57">
        <f t="shared" si="6"/>
        <v>0</v>
      </c>
      <c r="J430" s="62"/>
      <c r="K430" s="56"/>
      <c r="L430" s="159"/>
      <c r="M430" s="395" t="str">
        <f>HYPERLINK("https://www.youtube.com/watch?v=YiM38hyILmc","Video Solution - Solver to be (Java)")</f>
        <v>Video Solution - Solver to be (Java)</v>
      </c>
      <c r="N430" s="383" t="s">
        <v>1657</v>
      </c>
      <c r="O430" s="383">
        <v>99</v>
      </c>
      <c r="P430" s="383">
        <v>4</v>
      </c>
      <c r="Q430" s="543"/>
    </row>
    <row r="431" spans="1:17" ht="13.2">
      <c r="A431" s="83" t="s">
        <v>893</v>
      </c>
      <c r="B431" s="386" t="str">
        <f>HYPERLINK("http://codeforces.com/contest/61/problem/D","CF61-D2-D")</f>
        <v>CF61-D2-D</v>
      </c>
      <c r="C431" s="159"/>
      <c r="D431" s="159"/>
      <c r="E431" s="159"/>
      <c r="F431" s="159"/>
      <c r="G431" s="159"/>
      <c r="H431" s="160"/>
      <c r="I431" s="57">
        <f t="shared" si="6"/>
        <v>0</v>
      </c>
      <c r="J431" s="62"/>
      <c r="K431" s="56"/>
      <c r="L431" s="159"/>
      <c r="M431" s="403" t="str">
        <f>HYPERLINK("https://github.com/magdy-hasan/competitive-programming/blob/master/uva-/uva%2010717%20-%20Mint.cpp","Sol")</f>
        <v>Sol</v>
      </c>
      <c r="N431" s="383" t="s">
        <v>1658</v>
      </c>
      <c r="O431" s="383">
        <v>99</v>
      </c>
      <c r="P431" s="383">
        <v>4</v>
      </c>
      <c r="Q431" s="543"/>
    </row>
    <row r="432" spans="1:17" ht="13.2">
      <c r="A432" s="83" t="s">
        <v>929</v>
      </c>
      <c r="B432" s="386" t="str">
        <f>HYPERLINK("https://uva.onlinejudge.org/index.php?option=com_onlinejudge&amp;Itemid=8&amp;page=show_problem&amp;problem=556","UVA 615")</f>
        <v>UVA 615</v>
      </c>
      <c r="C432" s="159"/>
      <c r="D432" s="159"/>
      <c r="E432" s="159"/>
      <c r="F432" s="159"/>
      <c r="G432" s="159"/>
      <c r="H432" s="160"/>
      <c r="I432" s="57">
        <f t="shared" si="6"/>
        <v>0</v>
      </c>
      <c r="J432" s="102"/>
      <c r="K432" s="101"/>
      <c r="L432" s="159"/>
      <c r="M432" s="169" t="str">
        <f>HYPERLINK("https://www.youtube.com/watch?v=OA_J9bFxJpU","Video Solution - Eng Amr Bahaa")</f>
        <v>Video Solution - Eng Amr Bahaa</v>
      </c>
      <c r="N432" s="383" t="s">
        <v>1664</v>
      </c>
      <c r="O432" s="383">
        <v>101</v>
      </c>
      <c r="P432" s="383">
        <v>4</v>
      </c>
      <c r="Q432" s="543"/>
    </row>
    <row r="433" spans="1:17" ht="13.2">
      <c r="A433" s="83" t="s">
        <v>732</v>
      </c>
      <c r="B433" s="386" t="str">
        <f>HYPERLINK("http://codeforces.com/contest/959/problem/C","CF959-D2-C")</f>
        <v>CF959-D2-C</v>
      </c>
      <c r="C433" s="159"/>
      <c r="D433" s="159"/>
      <c r="E433" s="159"/>
      <c r="F433" s="159"/>
      <c r="G433" s="159"/>
      <c r="H433" s="160"/>
      <c r="I433" s="57">
        <f t="shared" si="6"/>
        <v>0</v>
      </c>
      <c r="J433" s="62"/>
      <c r="K433" s="56"/>
      <c r="L433" s="159"/>
      <c r="M433" s="244" t="str">
        <f>HYPERLINK("https://github.com/pranavjangir/CompetitiveProgramming/blob/master/CodeForces/CF101933-GYM-K.cpp","Sol")</f>
        <v>Sol</v>
      </c>
      <c r="N433" s="383" t="s">
        <v>1665</v>
      </c>
      <c r="O433" s="383">
        <v>101</v>
      </c>
      <c r="P433" s="399">
        <v>4</v>
      </c>
    </row>
    <row r="434" spans="1:17" ht="13.2">
      <c r="A434" s="83" t="s">
        <v>963</v>
      </c>
      <c r="B434" s="386" t="str">
        <f>HYPERLINK("https://uva.onlinejudge.org/index.php?option=onlinejudge&amp;page=show_problem&amp;problem=3801","UVA 12379")</f>
        <v>UVA 12379</v>
      </c>
      <c r="C434" s="159"/>
      <c r="D434" s="159"/>
      <c r="E434" s="159"/>
      <c r="F434" s="159"/>
      <c r="G434" s="159"/>
      <c r="H434" s="160"/>
      <c r="I434" s="57">
        <f t="shared" si="6"/>
        <v>0</v>
      </c>
      <c r="J434" s="102"/>
      <c r="K434" s="101"/>
      <c r="L434" s="159"/>
      <c r="M434" s="545"/>
      <c r="N434" s="383" t="s">
        <v>1666</v>
      </c>
      <c r="O434" s="383">
        <v>102</v>
      </c>
      <c r="P434" s="383">
        <v>4</v>
      </c>
    </row>
    <row r="435" spans="1:17" ht="13.2">
      <c r="A435" s="83" t="s">
        <v>997</v>
      </c>
      <c r="B435" s="386" t="str">
        <f>HYPERLINK("https://uva.onlinejudge.org/index.php?option=onlinejudge&amp;page=show_problem&amp;problem=1400","UVA 10459")</f>
        <v>UVA 10459</v>
      </c>
      <c r="C435" s="159"/>
      <c r="D435" s="159"/>
      <c r="E435" s="159"/>
      <c r="F435" s="159"/>
      <c r="G435" s="159"/>
      <c r="H435" s="160"/>
      <c r="I435" s="57">
        <f t="shared" si="6"/>
        <v>0</v>
      </c>
      <c r="J435" s="62"/>
      <c r="K435" s="56"/>
      <c r="L435" s="159"/>
      <c r="M435" s="545"/>
      <c r="N435" s="383" t="s">
        <v>1674</v>
      </c>
      <c r="O435" s="383">
        <v>105</v>
      </c>
      <c r="P435" s="383">
        <v>4</v>
      </c>
      <c r="Q435" s="543"/>
    </row>
    <row r="436" spans="1:17" ht="13.2">
      <c r="A436" s="83" t="s">
        <v>743</v>
      </c>
      <c r="B436" s="386" t="str">
        <f>HYPERLINK("http://codeforces.com/contest/430/problem/C","CF430-D2-C")</f>
        <v>CF430-D2-C</v>
      </c>
      <c r="C436" s="159"/>
      <c r="D436" s="159"/>
      <c r="E436" s="159"/>
      <c r="F436" s="159"/>
      <c r="G436" s="159"/>
      <c r="H436" s="160"/>
      <c r="I436" s="57">
        <f t="shared" si="6"/>
        <v>0</v>
      </c>
      <c r="J436" s="62"/>
      <c r="K436" s="56"/>
      <c r="L436" s="96"/>
      <c r="M436" s="403" t="str">
        <f>HYPERLINK("https://github.com/MohamedNabil97/CompetitiveProgramming/blob/master/UVA/1181.cpp","Sol")</f>
        <v>Sol</v>
      </c>
      <c r="N436" s="383" t="s">
        <v>1680</v>
      </c>
      <c r="O436" s="383">
        <v>113</v>
      </c>
      <c r="P436" s="383">
        <v>4</v>
      </c>
      <c r="Q436" s="37" t="s">
        <v>1224</v>
      </c>
    </row>
    <row r="437" spans="1:17" ht="13.2">
      <c r="A437" s="83" t="s">
        <v>1124</v>
      </c>
      <c r="B437" s="386" t="str">
        <f>HYPERLINK("http://codeforces.com/contest/363/problem/D","CF363-D2-D")</f>
        <v>CF363-D2-D</v>
      </c>
      <c r="C437" s="159"/>
      <c r="D437" s="159"/>
      <c r="E437" s="159"/>
      <c r="F437" s="159"/>
      <c r="G437" s="159"/>
      <c r="H437" s="160"/>
      <c r="I437" s="57">
        <f t="shared" si="6"/>
        <v>0</v>
      </c>
      <c r="J437" s="62"/>
      <c r="K437" s="56"/>
      <c r="L437" s="405"/>
      <c r="M437" s="403" t="str">
        <f>HYPERLINK("https://github.com/mostafa-saad/MyCompetitiveProgramming/blob/master/UVA/UVA_11628.txt","Sol")</f>
        <v>Sol</v>
      </c>
      <c r="N437" s="383" t="s">
        <v>1681</v>
      </c>
      <c r="O437" s="383">
        <v>113</v>
      </c>
      <c r="P437" s="383">
        <v>4</v>
      </c>
    </row>
    <row r="438" spans="1:17" ht="13.2">
      <c r="A438" s="83" t="s">
        <v>1101</v>
      </c>
      <c r="B438" s="386" t="str">
        <f>HYPERLINK("http://codeforces.com/contest/550/problem/D","CF550-D2-D")</f>
        <v>CF550-D2-D</v>
      </c>
      <c r="C438" s="159"/>
      <c r="D438" s="159"/>
      <c r="E438" s="159"/>
      <c r="F438" s="159"/>
      <c r="G438" s="159"/>
      <c r="H438" s="160"/>
      <c r="I438" s="57">
        <f t="shared" si="6"/>
        <v>0</v>
      </c>
      <c r="J438" s="102"/>
      <c r="K438" s="101"/>
      <c r="L438" s="405"/>
      <c r="M438" s="403" t="str">
        <f>HYPERLINK("https://github.com/ilyesG/Competitive-Programming/blob/master/UVA/UVA%2010777.cpp","Sol")</f>
        <v>Sol</v>
      </c>
      <c r="N438" s="383" t="s">
        <v>1695</v>
      </c>
      <c r="O438" s="383">
        <v>114</v>
      </c>
      <c r="P438" s="383">
        <v>4</v>
      </c>
    </row>
    <row r="439" spans="1:17" ht="13.2">
      <c r="A439" s="83"/>
      <c r="B439" s="386" t="str">
        <f>HYPERLINK("http://codeforces.com/contest/486/problem/D","CF486-D2-D")</f>
        <v>CF486-D2-D</v>
      </c>
      <c r="C439" s="159"/>
      <c r="D439" s="159"/>
      <c r="E439" s="159"/>
      <c r="F439" s="159"/>
      <c r="G439" s="159"/>
      <c r="H439" s="160"/>
      <c r="I439" s="57">
        <f t="shared" si="6"/>
        <v>0</v>
      </c>
      <c r="J439" s="102"/>
      <c r="K439" s="101"/>
      <c r="L439" s="159"/>
      <c r="M439" s="241"/>
      <c r="N439" s="383" t="s">
        <v>1696</v>
      </c>
      <c r="O439" s="383">
        <v>114</v>
      </c>
      <c r="P439" s="383">
        <v>4</v>
      </c>
      <c r="Q439" s="543"/>
    </row>
    <row r="440" spans="1:17" ht="13.2">
      <c r="A440" s="83" t="s">
        <v>938</v>
      </c>
      <c r="B440" s="386" t="str">
        <f>HYPERLINK("http://codeforces.com/contest/233/problem/C","CF233-D2-C")</f>
        <v>CF233-D2-C</v>
      </c>
      <c r="C440" s="159"/>
      <c r="D440" s="159"/>
      <c r="E440" s="159"/>
      <c r="F440" s="159"/>
      <c r="G440" s="159"/>
      <c r="H440" s="160"/>
      <c r="I440" s="57">
        <f t="shared" si="6"/>
        <v>0</v>
      </c>
      <c r="J440" s="102"/>
      <c r="K440" s="101"/>
      <c r="L440" s="159"/>
      <c r="M440" s="404"/>
      <c r="N440" s="383" t="s">
        <v>1697</v>
      </c>
      <c r="O440" s="383">
        <v>114</v>
      </c>
      <c r="P440" s="383">
        <v>4</v>
      </c>
      <c r="Q440" s="543"/>
    </row>
    <row r="441" spans="1:17" ht="13.2">
      <c r="A441" s="83"/>
      <c r="B441" s="386" t="str">
        <f>HYPERLINK("http://codeforces.com/contest/459/problem/E","CF459-D2-E")</f>
        <v>CF459-D2-E</v>
      </c>
      <c r="C441" s="159"/>
      <c r="D441" s="159"/>
      <c r="E441" s="159"/>
      <c r="F441" s="159"/>
      <c r="G441" s="159"/>
      <c r="H441" s="160"/>
      <c r="I441" s="57">
        <f t="shared" si="6"/>
        <v>0</v>
      </c>
      <c r="J441" s="62"/>
      <c r="K441" s="56"/>
      <c r="L441" s="159"/>
      <c r="M441" s="403" t="str">
        <f>HYPERLINK("https://www.youtube.com/watch?v=j__Kredt7vY","Revise Expected Value")</f>
        <v>Revise Expected Value</v>
      </c>
      <c r="N441" s="383" t="s">
        <v>1698</v>
      </c>
      <c r="O441" s="383">
        <v>114</v>
      </c>
      <c r="P441" s="383">
        <v>4</v>
      </c>
      <c r="Q441" s="543"/>
    </row>
    <row r="442" spans="1:17" ht="13.2">
      <c r="A442" s="83"/>
      <c r="B442" s="386" t="str">
        <f>HYPERLINK("https://codeforces.com/contest/1060/problem/D","CF1060-D12-D")</f>
        <v>CF1060-D12-D</v>
      </c>
      <c r="C442" s="159"/>
      <c r="D442" s="159"/>
      <c r="E442" s="159"/>
      <c r="F442" s="159"/>
      <c r="G442" s="159"/>
      <c r="H442" s="160"/>
      <c r="I442" s="57">
        <f t="shared" si="6"/>
        <v>0</v>
      </c>
      <c r="J442" s="102"/>
      <c r="K442" s="101"/>
      <c r="L442" s="405"/>
      <c r="M442" s="406"/>
      <c r="N442" s="383" t="s">
        <v>1710</v>
      </c>
      <c r="O442" s="383">
        <v>117</v>
      </c>
      <c r="P442" s="383">
        <v>4</v>
      </c>
      <c r="Q442" s="37" t="s">
        <v>1224</v>
      </c>
    </row>
    <row r="443" spans="1:17" ht="13.2">
      <c r="A443" s="83"/>
      <c r="B443" s="83" t="s">
        <v>1185</v>
      </c>
      <c r="C443" s="159"/>
      <c r="D443" s="159"/>
      <c r="E443" s="159"/>
      <c r="F443" s="159"/>
      <c r="G443" s="159"/>
      <c r="H443" s="160"/>
      <c r="I443" s="57">
        <f t="shared" si="6"/>
        <v>0</v>
      </c>
      <c r="J443" s="102"/>
      <c r="K443" s="101"/>
      <c r="L443" s="405"/>
      <c r="M443" s="169" t="str">
        <f>HYPERLINK("https://www.youtube.com/watch?v=BztjeBZmzco&amp;feature=youtu.be","Video Solution - Eng Moaz Rashad")</f>
        <v>Video Solution - Eng Moaz Rashad</v>
      </c>
      <c r="N443" s="383" t="s">
        <v>1708</v>
      </c>
      <c r="O443" s="383">
        <v>117</v>
      </c>
      <c r="P443" s="383">
        <v>4</v>
      </c>
      <c r="Q443" s="543"/>
    </row>
    <row r="444" spans="1:17" ht="13.2">
      <c r="A444" s="83"/>
      <c r="B444" s="386" t="str">
        <f>HYPERLINK("http://codeforces.com/contest/592/problem/D","CF592-D2-D")</f>
        <v>CF592-D2-D</v>
      </c>
      <c r="C444" s="159"/>
      <c r="D444" s="159"/>
      <c r="E444" s="159"/>
      <c r="F444" s="159"/>
      <c r="G444" s="159"/>
      <c r="H444" s="160"/>
      <c r="I444" s="57">
        <f t="shared" si="6"/>
        <v>0</v>
      </c>
      <c r="J444" s="96"/>
      <c r="K444" s="159"/>
      <c r="L444" s="159"/>
      <c r="M444" s="293" t="str">
        <f>HYPERLINK("https://github.com/BRAINOOOO/CompetitiveProgramming/blob/master/Spoj/SPOJ%20MULTQ3.Cpp","Sol")</f>
        <v>Sol</v>
      </c>
      <c r="N444" s="383" t="s">
        <v>1727</v>
      </c>
      <c r="O444" s="383">
        <v>125</v>
      </c>
      <c r="P444" s="383">
        <v>4</v>
      </c>
      <c r="Q444" s="37" t="s">
        <v>1226</v>
      </c>
    </row>
    <row r="445" spans="1:17" ht="13.2">
      <c r="A445" s="83" t="s">
        <v>573</v>
      </c>
      <c r="B445" s="386" t="str">
        <f>HYPERLINK("http://www.spoj.com/problems/BITMAP/","SPOJ BITMAP")</f>
        <v>SPOJ BITMAP</v>
      </c>
      <c r="C445" s="159"/>
      <c r="D445" s="159"/>
      <c r="E445" s="159"/>
      <c r="F445" s="159"/>
      <c r="G445" s="159"/>
      <c r="H445" s="160"/>
      <c r="I445" s="57">
        <f t="shared" si="6"/>
        <v>0</v>
      </c>
      <c r="J445" s="102"/>
      <c r="K445" s="101"/>
      <c r="L445" s="159"/>
      <c r="M445" s="545"/>
      <c r="N445" s="383" t="s">
        <v>1728</v>
      </c>
      <c r="O445" s="383">
        <v>125</v>
      </c>
      <c r="P445" s="383">
        <v>4</v>
      </c>
      <c r="Q445" s="37" t="s">
        <v>1220</v>
      </c>
    </row>
    <row r="446" spans="1:17" ht="13.2">
      <c r="A446" s="83" t="s">
        <v>819</v>
      </c>
      <c r="B446" s="386" t="str">
        <f>HYPERLINK("http://www.spoj.com/problems/POUR1/","SPOJ POUR1")</f>
        <v>SPOJ POUR1</v>
      </c>
      <c r="C446" s="159"/>
      <c r="D446" s="159"/>
      <c r="E446" s="159"/>
      <c r="F446" s="159"/>
      <c r="G446" s="159"/>
      <c r="H446" s="160"/>
      <c r="I446" s="57">
        <f t="shared" si="6"/>
        <v>0</v>
      </c>
      <c r="J446" s="102"/>
      <c r="K446" s="101"/>
      <c r="L446" s="159"/>
      <c r="M446" s="545"/>
      <c r="N446" s="383" t="s">
        <v>1729</v>
      </c>
      <c r="O446" s="383">
        <v>125</v>
      </c>
      <c r="P446" s="383">
        <v>4</v>
      </c>
      <c r="Q446" s="37" t="s">
        <v>1220</v>
      </c>
    </row>
    <row r="447" spans="1:17" ht="13.2">
      <c r="A447" s="83" t="s">
        <v>736</v>
      </c>
      <c r="B447" s="386" t="str">
        <f>HYPERLINK("https://uva.onlinejudge.org/index.php?option=com_onlinejudge&amp;Itemid=8&amp;page=show_problem&amp;problem=512","UVA 571")</f>
        <v>UVA 571</v>
      </c>
      <c r="C447" s="159"/>
      <c r="D447" s="159"/>
      <c r="E447" s="159"/>
      <c r="F447" s="159"/>
      <c r="G447" s="159"/>
      <c r="H447" s="160"/>
      <c r="I447" s="57">
        <f t="shared" si="6"/>
        <v>0</v>
      </c>
      <c r="J447" s="62"/>
      <c r="K447" s="56"/>
      <c r="L447" s="96"/>
      <c r="M447" s="404"/>
      <c r="N447" s="383" t="s">
        <v>1755</v>
      </c>
      <c r="O447" s="383">
        <v>130</v>
      </c>
      <c r="P447" s="383">
        <v>4</v>
      </c>
      <c r="Q447" s="37" t="s">
        <v>1251</v>
      </c>
    </row>
    <row r="448" spans="1:17" ht="13.2">
      <c r="A448" s="83" t="s">
        <v>408</v>
      </c>
      <c r="B448" s="386" t="str">
        <f>HYPERLINK("http://www.spoj.com/problems/TOE1/","SPOJ TOE1")</f>
        <v>SPOJ TOE1</v>
      </c>
      <c r="C448" s="159"/>
      <c r="D448" s="159"/>
      <c r="E448" s="159"/>
      <c r="F448" s="159"/>
      <c r="G448" s="159"/>
      <c r="H448" s="160"/>
      <c r="I448" s="57">
        <f t="shared" si="6"/>
        <v>0</v>
      </c>
      <c r="J448" s="62"/>
      <c r="K448" s="56"/>
      <c r="L448" s="159"/>
      <c r="M448" s="545"/>
      <c r="N448" s="383" t="s">
        <v>1764</v>
      </c>
      <c r="O448" s="383">
        <v>138</v>
      </c>
      <c r="P448" s="383">
        <v>4</v>
      </c>
      <c r="Q448" s="37" t="s">
        <v>1224</v>
      </c>
    </row>
    <row r="449" spans="1:17" ht="13.2">
      <c r="A449" s="83" t="s">
        <v>409</v>
      </c>
      <c r="B449" s="386" t="str">
        <f>HYPERLINK("http://www.spoj.com/problems/TOE2/","SPOJ TOE2")</f>
        <v>SPOJ TOE2</v>
      </c>
      <c r="C449" s="159"/>
      <c r="D449" s="159"/>
      <c r="E449" s="159"/>
      <c r="F449" s="159"/>
      <c r="G449" s="159"/>
      <c r="H449" s="160"/>
      <c r="I449" s="57">
        <f t="shared" si="6"/>
        <v>0</v>
      </c>
      <c r="J449" s="62"/>
      <c r="K449" s="56"/>
      <c r="L449" s="159"/>
      <c r="M449" s="404"/>
      <c r="N449" s="383" t="s">
        <v>1234</v>
      </c>
      <c r="O449" s="383">
        <v>1</v>
      </c>
      <c r="P449" s="383">
        <v>4.25</v>
      </c>
      <c r="Q449" s="37" t="s">
        <v>1226</v>
      </c>
    </row>
    <row r="450" spans="1:17" ht="13.2">
      <c r="A450" s="83" t="s">
        <v>410</v>
      </c>
      <c r="B450" s="386" t="str">
        <f>HYPERLINK("https://uva.onlinejudge.org/index.php?option=com_onlinejudge&amp;Itemid=8&amp;page=show_problem&amp;problem=380","UVA 439")</f>
        <v>UVA 439</v>
      </c>
      <c r="C450" s="159"/>
      <c r="D450" s="159"/>
      <c r="E450" s="159"/>
      <c r="F450" s="159"/>
      <c r="G450" s="159"/>
      <c r="H450" s="160"/>
      <c r="I450" s="57">
        <f t="shared" si="6"/>
        <v>0</v>
      </c>
      <c r="J450" s="62"/>
      <c r="K450" s="56"/>
      <c r="L450" s="159"/>
      <c r="M450" s="82" t="str">
        <f>HYPERLINK("https://www.youtube.com/watch?v=7D-8VO66OF8","Video Solution - Dr Mostafa Saad")</f>
        <v>Video Solution - Dr Mostafa Saad</v>
      </c>
      <c r="N450" s="383" t="s">
        <v>1227</v>
      </c>
      <c r="O450" s="383">
        <v>1</v>
      </c>
      <c r="P450" s="383">
        <v>4.25</v>
      </c>
      <c r="Q450" s="37" t="s">
        <v>1226</v>
      </c>
    </row>
    <row r="451" spans="1:17" ht="13.2">
      <c r="A451" s="83" t="s">
        <v>411</v>
      </c>
      <c r="B451" s="386" t="str">
        <f>HYPERLINK("http://codeforces.com/contest/242/problem/C","CF242-D2-C")</f>
        <v>CF242-D2-C</v>
      </c>
      <c r="C451" s="159"/>
      <c r="D451" s="159"/>
      <c r="E451" s="159"/>
      <c r="F451" s="159"/>
      <c r="G451" s="159"/>
      <c r="H451" s="160"/>
      <c r="I451" s="57">
        <f t="shared" si="6"/>
        <v>0</v>
      </c>
      <c r="J451" s="62"/>
      <c r="K451" s="56"/>
      <c r="L451" s="159"/>
      <c r="M451" s="399"/>
      <c r="N451" s="383" t="s">
        <v>1620</v>
      </c>
      <c r="O451" s="383">
        <v>87</v>
      </c>
      <c r="P451" s="383">
        <v>4.25</v>
      </c>
      <c r="Q451" s="37" t="s">
        <v>1226</v>
      </c>
    </row>
    <row r="452" spans="1:17" ht="13.2">
      <c r="A452" s="83" t="s">
        <v>1089</v>
      </c>
      <c r="B452" s="386" t="str">
        <f>HYPERLINK("http://codeforces.com/contest/676/problem/D","CF676-D2-D")</f>
        <v>CF676-D2-D</v>
      </c>
      <c r="C452" s="159"/>
      <c r="D452" s="159"/>
      <c r="E452" s="159"/>
      <c r="F452" s="159"/>
      <c r="G452" s="159"/>
      <c r="H452" s="160"/>
      <c r="I452" s="57">
        <f t="shared" si="6"/>
        <v>0</v>
      </c>
      <c r="J452" s="102"/>
      <c r="K452" s="101"/>
      <c r="L452" s="159"/>
      <c r="M452" s="293" t="str">
        <f>HYPERLINK("https://github.com/MedoN11/CompetitiveProgramming/blob/master/CodeForces/CF189-D1-C.cpp","Sol")</f>
        <v>Sol</v>
      </c>
      <c r="N452" s="383" t="s">
        <v>1218</v>
      </c>
      <c r="O452" s="383">
        <v>1</v>
      </c>
      <c r="P452" s="383">
        <v>4.5</v>
      </c>
      <c r="Q452" s="37"/>
    </row>
    <row r="453" spans="1:17" ht="13.2">
      <c r="A453" s="83" t="s">
        <v>587</v>
      </c>
      <c r="B453" s="386" t="str">
        <f>HYPERLINK("http://www.spoj.com/problems/QUEEN/","SPOJ QUEEN")</f>
        <v>SPOJ QUEEN</v>
      </c>
      <c r="C453" s="159"/>
      <c r="D453" s="159"/>
      <c r="E453" s="159"/>
      <c r="F453" s="159"/>
      <c r="G453" s="159"/>
      <c r="H453" s="160"/>
      <c r="I453" s="57">
        <f t="shared" si="6"/>
        <v>0</v>
      </c>
      <c r="J453" s="102"/>
      <c r="K453" s="101"/>
      <c r="L453" s="159"/>
      <c r="M453" s="404"/>
      <c r="N453" s="383" t="s">
        <v>1235</v>
      </c>
      <c r="O453" s="383">
        <v>1</v>
      </c>
      <c r="P453" s="383">
        <v>4.5</v>
      </c>
      <c r="Q453" s="37" t="s">
        <v>1224</v>
      </c>
    </row>
    <row r="454" spans="1:17" ht="13.2">
      <c r="A454" s="83" t="s">
        <v>870</v>
      </c>
      <c r="B454" s="386" t="str">
        <f>HYPERLINK("http://codeforces.com/contest/404/problem/C","CF404-D2-C")</f>
        <v>CF404-D2-C</v>
      </c>
      <c r="C454" s="159"/>
      <c r="D454" s="159"/>
      <c r="E454" s="159"/>
      <c r="F454" s="159"/>
      <c r="G454" s="159"/>
      <c r="H454" s="160"/>
      <c r="I454" s="57">
        <f t="shared" si="6"/>
        <v>0</v>
      </c>
      <c r="J454" s="102"/>
      <c r="K454" s="101"/>
      <c r="L454" s="159"/>
      <c r="M454" s="389" t="str">
        <f>HYPERLINK("https://www.youtube.com/watch?v=wL0s8xIQYbk","Video Solution - Solver to be (Java)")</f>
        <v>Video Solution - Solver to be (Java)</v>
      </c>
      <c r="N454" s="383" t="s">
        <v>1236</v>
      </c>
      <c r="O454" s="383">
        <v>1</v>
      </c>
      <c r="P454" s="383">
        <v>4.5</v>
      </c>
      <c r="Q454" s="37" t="s">
        <v>1220</v>
      </c>
    </row>
    <row r="455" spans="1:17" ht="13.2">
      <c r="A455" s="83" t="s">
        <v>683</v>
      </c>
      <c r="B455" s="386" t="str">
        <f>HYPERLINK("http://www.spoj.com/problems/CERC07K/","SPOJ CERC07K")</f>
        <v>SPOJ CERC07K</v>
      </c>
      <c r="C455" s="159"/>
      <c r="D455" s="159"/>
      <c r="E455" s="159"/>
      <c r="F455" s="159"/>
      <c r="G455" s="159"/>
      <c r="H455" s="160"/>
      <c r="I455" s="57">
        <f t="shared" ref="I455:I518" si="7">SUM(E455:H455)</f>
        <v>0</v>
      </c>
      <c r="J455" s="102"/>
      <c r="K455" s="101"/>
      <c r="L455" s="159"/>
      <c r="M455" s="545"/>
      <c r="N455" s="383" t="s">
        <v>1227</v>
      </c>
      <c r="O455" s="383">
        <v>1</v>
      </c>
      <c r="P455" s="383">
        <v>4.5</v>
      </c>
    </row>
    <row r="456" spans="1:17" ht="13.2">
      <c r="A456" s="83" t="s">
        <v>684</v>
      </c>
      <c r="B456" s="386" t="str">
        <f>HYPERLINK("http://www.spoj.com/problems/CLEANRBT/","SPOJ CLEANRBT")</f>
        <v>SPOJ CLEANRBT</v>
      </c>
      <c r="C456" s="159"/>
      <c r="D456" s="159"/>
      <c r="E456" s="159"/>
      <c r="F456" s="159"/>
      <c r="G456" s="159"/>
      <c r="H456" s="160"/>
      <c r="I456" s="57">
        <f t="shared" si="7"/>
        <v>0</v>
      </c>
      <c r="J456" s="102"/>
      <c r="K456" s="101"/>
      <c r="L456" s="159"/>
      <c r="M456" s="389" t="str">
        <f>HYPERLINK("https://github.com/mostafa-saad/MyCompetitiveProgramming/blob/master/Codeforces/CF195-D2-C-Ahmed%20Osama.pdf","Editorial - Eng Ahmed Osama")</f>
        <v>Editorial - Eng Ahmed Osama</v>
      </c>
      <c r="N456" s="383" t="s">
        <v>1237</v>
      </c>
      <c r="O456" s="383">
        <v>1</v>
      </c>
      <c r="P456" s="383">
        <v>4.5</v>
      </c>
    </row>
    <row r="457" spans="1:17" ht="13.2">
      <c r="A457" s="83"/>
      <c r="B457" s="83" t="s">
        <v>1006</v>
      </c>
      <c r="C457" s="159"/>
      <c r="D457" s="159"/>
      <c r="E457" s="159"/>
      <c r="F457" s="159"/>
      <c r="G457" s="159"/>
      <c r="H457" s="160"/>
      <c r="I457" s="57">
        <f t="shared" si="7"/>
        <v>0</v>
      </c>
      <c r="J457" s="62"/>
      <c r="K457" s="56"/>
      <c r="L457" s="159"/>
      <c r="M457" s="545"/>
      <c r="N457" s="383" t="s">
        <v>1237</v>
      </c>
      <c r="O457" s="383">
        <v>1</v>
      </c>
      <c r="P457" s="383">
        <v>4.5</v>
      </c>
      <c r="Q457" s="543"/>
    </row>
    <row r="458" spans="1:17" ht="13.2">
      <c r="A458" s="83" t="s">
        <v>648</v>
      </c>
      <c r="B458" s="386" t="str">
        <f>HYPERLINK("http://codeforces.com/contest/253/problem/C","CF253-D2-C")</f>
        <v>CF253-D2-C</v>
      </c>
      <c r="C458" s="159"/>
      <c r="D458" s="159"/>
      <c r="E458" s="159"/>
      <c r="F458" s="159"/>
      <c r="G458" s="159"/>
      <c r="H458" s="160"/>
      <c r="I458" s="57">
        <f t="shared" si="7"/>
        <v>0</v>
      </c>
      <c r="J458" s="62"/>
      <c r="K458" s="56"/>
      <c r="L458" s="159"/>
      <c r="M458" s="395"/>
      <c r="N458" s="383" t="s">
        <v>1259</v>
      </c>
      <c r="O458" s="383">
        <v>5</v>
      </c>
      <c r="P458" s="383">
        <v>4.5</v>
      </c>
      <c r="Q458" s="37"/>
    </row>
    <row r="459" spans="1:17" ht="13.2">
      <c r="A459" s="83" t="s">
        <v>1162</v>
      </c>
      <c r="B459" s="386" t="str">
        <f>HYPERLINK("http://www.spoj.com/problems/ANARC08A/","SPOJ ANARC08A")</f>
        <v>SPOJ ANARC08A</v>
      </c>
      <c r="C459" s="159"/>
      <c r="D459" s="159"/>
      <c r="E459" s="159"/>
      <c r="F459" s="159"/>
      <c r="G459" s="159"/>
      <c r="H459" s="160"/>
      <c r="I459" s="57">
        <f t="shared" si="7"/>
        <v>0</v>
      </c>
      <c r="J459" s="102"/>
      <c r="K459" s="101"/>
      <c r="L459" s="405"/>
      <c r="M459" s="545"/>
      <c r="N459" s="383" t="s">
        <v>1260</v>
      </c>
      <c r="O459" s="383">
        <v>5</v>
      </c>
      <c r="P459" s="383">
        <v>4.5</v>
      </c>
      <c r="Q459" s="37" t="s">
        <v>1224</v>
      </c>
    </row>
    <row r="460" spans="1:17" ht="13.2">
      <c r="A460" s="83"/>
      <c r="B460" s="386" t="str">
        <f>HYPERLINK("http://codeforces.com/contest/1005/problem/F","CF1005-D3-F")</f>
        <v>CF1005-D3-F</v>
      </c>
      <c r="C460" s="159"/>
      <c r="D460" s="159"/>
      <c r="E460" s="159"/>
      <c r="F460" s="159"/>
      <c r="G460" s="159"/>
      <c r="H460" s="160"/>
      <c r="I460" s="57">
        <f t="shared" si="7"/>
        <v>0</v>
      </c>
      <c r="J460" s="102"/>
      <c r="K460" s="101"/>
      <c r="L460" s="159"/>
      <c r="M460" s="404"/>
      <c r="N460" s="383" t="s">
        <v>1261</v>
      </c>
      <c r="O460" s="383">
        <v>5</v>
      </c>
      <c r="P460" s="383">
        <v>4.5</v>
      </c>
      <c r="Q460" s="37" t="s">
        <v>1220</v>
      </c>
    </row>
    <row r="461" spans="1:17" ht="13.2">
      <c r="A461" s="83"/>
      <c r="B461" s="83" t="s">
        <v>1474</v>
      </c>
      <c r="C461" s="159"/>
      <c r="D461" s="159"/>
      <c r="E461" s="159"/>
      <c r="F461" s="159"/>
      <c r="G461" s="159"/>
      <c r="H461" s="160"/>
      <c r="I461" s="57">
        <f t="shared" si="7"/>
        <v>0</v>
      </c>
      <c r="J461" s="62"/>
      <c r="K461" s="56"/>
      <c r="L461" s="159"/>
      <c r="M461" s="408" t="str">
        <f>HYPERLINK("https://www.youtube.com/watch?v=skSCRsMLPMI","Video Solution - Dr Mostafa Saad")</f>
        <v>Video Solution - Dr Mostafa Saad</v>
      </c>
      <c r="N461" s="383" t="s">
        <v>1252</v>
      </c>
      <c r="O461" s="383">
        <v>5</v>
      </c>
      <c r="P461" s="383">
        <v>4.5</v>
      </c>
      <c r="Q461" s="543"/>
    </row>
    <row r="462" spans="1:17" ht="13.2">
      <c r="A462" s="83"/>
      <c r="B462" s="83" t="s">
        <v>668</v>
      </c>
      <c r="C462" s="159"/>
      <c r="D462" s="159"/>
      <c r="E462" s="159"/>
      <c r="F462" s="159"/>
      <c r="G462" s="159"/>
      <c r="H462" s="160"/>
      <c r="I462" s="57">
        <f t="shared" si="7"/>
        <v>0</v>
      </c>
      <c r="J462" s="62"/>
      <c r="K462" s="56"/>
      <c r="L462" s="159"/>
      <c r="M462" s="403" t="str">
        <f>HYPERLINK("https://github.com/VAMPIER000001/CompetitiveProgramming/blob/master/Spoj/SPOJ%20DICTSUB.Cpp","Sol")</f>
        <v>Sol</v>
      </c>
      <c r="N462" s="383" t="s">
        <v>1277</v>
      </c>
      <c r="O462" s="383">
        <v>6</v>
      </c>
      <c r="P462" s="383">
        <v>4.5</v>
      </c>
      <c r="Q462" s="37" t="s">
        <v>1224</v>
      </c>
    </row>
    <row r="463" spans="1:17" ht="13.2">
      <c r="A463" s="83"/>
      <c r="B463" s="386" t="str">
        <f>HYPERLINK("http://codeforces.com/contest/787/problem/C","CF787-D2-C")</f>
        <v>CF787-D2-C</v>
      </c>
      <c r="C463" s="159"/>
      <c r="D463" s="159"/>
      <c r="E463" s="159"/>
      <c r="F463" s="159"/>
      <c r="G463" s="159"/>
      <c r="H463" s="160"/>
      <c r="I463" s="57">
        <f t="shared" si="7"/>
        <v>0</v>
      </c>
      <c r="J463" s="62"/>
      <c r="K463" s="56"/>
      <c r="L463" s="405"/>
      <c r="M463" s="545"/>
      <c r="N463" s="383" t="s">
        <v>1270</v>
      </c>
      <c r="O463" s="383">
        <v>6</v>
      </c>
      <c r="P463" s="383">
        <v>4.5</v>
      </c>
      <c r="Q463" s="37" t="s">
        <v>1220</v>
      </c>
    </row>
    <row r="464" spans="1:17" ht="13.2">
      <c r="A464" s="83"/>
      <c r="B464" s="386" t="str">
        <f>HYPERLINK("http://codeforces.com/contest/811/problem/D","CF811-D2-D")</f>
        <v>CF811-D2-D</v>
      </c>
      <c r="C464" s="159"/>
      <c r="D464" s="159"/>
      <c r="E464" s="159"/>
      <c r="F464" s="159"/>
      <c r="G464" s="159"/>
      <c r="H464" s="160"/>
      <c r="I464" s="57">
        <f t="shared" si="7"/>
        <v>0</v>
      </c>
      <c r="J464" s="96"/>
      <c r="K464" s="159"/>
      <c r="L464" s="405"/>
      <c r="M464" s="399"/>
      <c r="N464" s="383" t="s">
        <v>1287</v>
      </c>
      <c r="O464" s="383">
        <v>9</v>
      </c>
      <c r="P464" s="383">
        <v>4.5</v>
      </c>
      <c r="Q464" s="543"/>
    </row>
    <row r="465" spans="1:17" ht="13.2">
      <c r="A465" s="83"/>
      <c r="B465" s="83" t="s">
        <v>414</v>
      </c>
      <c r="C465" s="159"/>
      <c r="D465" s="159"/>
      <c r="E465" s="159"/>
      <c r="F465" s="159"/>
      <c r="G465" s="159"/>
      <c r="H465" s="160"/>
      <c r="I465" s="57">
        <f t="shared" si="7"/>
        <v>0</v>
      </c>
      <c r="J465" s="62"/>
      <c r="K465" s="56"/>
      <c r="L465" s="159"/>
      <c r="M465" s="404"/>
      <c r="N465" s="383" t="s">
        <v>1290</v>
      </c>
      <c r="O465" s="383">
        <v>9</v>
      </c>
      <c r="P465" s="383">
        <v>4.5</v>
      </c>
      <c r="Q465" s="543"/>
    </row>
    <row r="466" spans="1:17" ht="13.2">
      <c r="A466" s="83" t="s">
        <v>952</v>
      </c>
      <c r="B466" s="386" t="str">
        <f>HYPERLINK("http://codeforces.com/contest/25/problem/C","CF25-D2-C")</f>
        <v>CF25-D2-C</v>
      </c>
      <c r="C466" s="159"/>
      <c r="D466" s="159"/>
      <c r="E466" s="159"/>
      <c r="F466" s="159"/>
      <c r="G466" s="159"/>
      <c r="H466" s="160"/>
      <c r="I466" s="57">
        <f t="shared" si="7"/>
        <v>0</v>
      </c>
      <c r="J466" s="102"/>
      <c r="K466" s="101"/>
      <c r="L466" s="159"/>
      <c r="M466" s="399"/>
      <c r="N466" s="383" t="s">
        <v>1300</v>
      </c>
      <c r="O466" s="383">
        <v>10</v>
      </c>
      <c r="P466" s="383">
        <v>4.5</v>
      </c>
      <c r="Q466" s="37" t="s">
        <v>1220</v>
      </c>
    </row>
    <row r="467" spans="1:17" ht="13.2">
      <c r="A467" s="83" t="s">
        <v>936</v>
      </c>
      <c r="B467" s="386" t="str">
        <f>HYPERLINK("http://codeforces.com/contest/116/problem/C","CF116-D2-C")</f>
        <v>CF116-D2-C</v>
      </c>
      <c r="C467" s="159"/>
      <c r="D467" s="159"/>
      <c r="E467" s="159"/>
      <c r="F467" s="159"/>
      <c r="G467" s="159"/>
      <c r="H467" s="160"/>
      <c r="I467" s="57">
        <f t="shared" si="7"/>
        <v>0</v>
      </c>
      <c r="J467" s="102"/>
      <c r="K467" s="101"/>
      <c r="L467" s="159"/>
      <c r="M467" s="218"/>
      <c r="N467" s="383" t="s">
        <v>1300</v>
      </c>
      <c r="O467" s="383">
        <v>10</v>
      </c>
      <c r="P467" s="383">
        <v>4.5</v>
      </c>
      <c r="Q467" s="543"/>
    </row>
    <row r="468" spans="1:17" ht="13.2">
      <c r="A468" s="83" t="s">
        <v>221</v>
      </c>
      <c r="B468" s="386" t="str">
        <f>HYPERLINK("http://codeforces.com/contest/216/problem/B","CF216-D2-B")</f>
        <v>CF216-D2-B</v>
      </c>
      <c r="C468" s="159"/>
      <c r="D468" s="159"/>
      <c r="E468" s="159"/>
      <c r="F468" s="159"/>
      <c r="G468" s="159"/>
      <c r="H468" s="160"/>
      <c r="I468" s="57">
        <f t="shared" si="7"/>
        <v>0</v>
      </c>
      <c r="J468" s="96"/>
      <c r="K468" s="56"/>
      <c r="L468" s="96"/>
      <c r="M468" s="389" t="str">
        <f>HYPERLINK("https://www.youtube.com/watch?v=aYERNlE7KLU","Video Solution - Solver to be")</f>
        <v>Video Solution - Solver to be</v>
      </c>
      <c r="N468" s="383" t="s">
        <v>1300</v>
      </c>
      <c r="O468" s="383">
        <v>10</v>
      </c>
      <c r="P468" s="383">
        <v>4.5</v>
      </c>
    </row>
    <row r="469" spans="1:17" ht="13.2">
      <c r="A469" s="83" t="s">
        <v>948</v>
      </c>
      <c r="B469" s="386" t="str">
        <f>HYPERLINK("http://codeforces.com/contest/327/problem/D","CF327-D2-D")</f>
        <v>CF327-D2-D</v>
      </c>
      <c r="C469" s="159"/>
      <c r="D469" s="159"/>
      <c r="E469" s="159"/>
      <c r="F469" s="159"/>
      <c r="G469" s="159"/>
      <c r="H469" s="160"/>
      <c r="I469" s="57">
        <f t="shared" si="7"/>
        <v>0</v>
      </c>
      <c r="J469" s="62"/>
      <c r="K469" s="56"/>
      <c r="L469" s="159"/>
      <c r="M469" s="192" t="str">
        <f>HYPERLINK("https://github.com/magdy-hasan/competitive-programming/blob/master/uva-/uva%2010617%20-%20Again%20Palindrome.cpp","Sol to read")</f>
        <v>Sol to read</v>
      </c>
      <c r="N469" s="383" t="s">
        <v>1300</v>
      </c>
      <c r="O469" s="383">
        <v>10</v>
      </c>
      <c r="P469" s="383">
        <v>4.5</v>
      </c>
    </row>
    <row r="470" spans="1:17" ht="13.2">
      <c r="A470" s="83" t="s">
        <v>564</v>
      </c>
      <c r="B470" s="386" t="str">
        <f>HYPERLINK("http://codeforces.com/contest/546/problem/C","CF546-D2-C")</f>
        <v>CF546-D2-C</v>
      </c>
      <c r="C470" s="159"/>
      <c r="D470" s="159"/>
      <c r="E470" s="159"/>
      <c r="F470" s="159"/>
      <c r="G470" s="159"/>
      <c r="H470" s="160"/>
      <c r="I470" s="57">
        <f t="shared" si="7"/>
        <v>0</v>
      </c>
      <c r="J470" s="102"/>
      <c r="K470" s="101"/>
      <c r="L470" s="159"/>
      <c r="M470" s="403" t="str">
        <f>HYPERLINK("https://github.com/MichaelMounir12/CompetitiveProgramming/blob/69c0dba2b0b29083ebad94dfd18be25dcf903235/UVA/UVA_607.cpp","Sol")</f>
        <v>Sol</v>
      </c>
      <c r="N470" s="383" t="s">
        <v>1300</v>
      </c>
      <c r="O470" s="383">
        <v>10</v>
      </c>
      <c r="P470" s="383">
        <v>4.5</v>
      </c>
    </row>
    <row r="471" spans="1:17" ht="13.2">
      <c r="A471" s="83" t="s">
        <v>592</v>
      </c>
      <c r="B471" s="386" t="str">
        <f>HYPERLINK("http://codeforces.com/contest/580/problem/C","CF580-D2-C")</f>
        <v>CF580-D2-C</v>
      </c>
      <c r="C471" s="159"/>
      <c r="D471" s="159"/>
      <c r="E471" s="159"/>
      <c r="F471" s="159"/>
      <c r="G471" s="159"/>
      <c r="H471" s="160"/>
      <c r="I471" s="57">
        <f t="shared" si="7"/>
        <v>0</v>
      </c>
      <c r="J471" s="62"/>
      <c r="K471" s="56"/>
      <c r="L471" s="159"/>
      <c r="M471" s="389" t="str">
        <f>HYPERLINK("https://www.youtube.com/watch?v=BgG5sjJslYk","Video Solution - Solver to be (Java)")</f>
        <v>Video Solution - Solver to be (Java)</v>
      </c>
      <c r="N471" s="383" t="s">
        <v>1310</v>
      </c>
      <c r="O471" s="383">
        <v>10</v>
      </c>
      <c r="P471" s="383">
        <v>4.5</v>
      </c>
      <c r="Q471" s="543"/>
    </row>
    <row r="472" spans="1:17" ht="13.2">
      <c r="A472" s="83" t="s">
        <v>631</v>
      </c>
      <c r="B472" s="386" t="str">
        <f>HYPERLINK("http://codeforces.com/contest/378/problem/C","CF378-D2-C")</f>
        <v>CF378-D2-C</v>
      </c>
      <c r="C472" s="159"/>
      <c r="D472" s="159"/>
      <c r="E472" s="159"/>
      <c r="F472" s="159"/>
      <c r="G472" s="159"/>
      <c r="H472" s="160"/>
      <c r="I472" s="57">
        <f t="shared" si="7"/>
        <v>0</v>
      </c>
      <c r="J472" s="62"/>
      <c r="K472" s="56"/>
      <c r="L472" s="159"/>
      <c r="M472" s="229"/>
      <c r="N472" s="383" t="s">
        <v>1336</v>
      </c>
      <c r="O472" s="383">
        <v>15</v>
      </c>
      <c r="P472" s="383">
        <v>4.5</v>
      </c>
      <c r="Q472" s="37" t="s">
        <v>1224</v>
      </c>
    </row>
    <row r="473" spans="1:17" ht="13.2">
      <c r="A473" s="83" t="s">
        <v>960</v>
      </c>
      <c r="B473" s="386" t="str">
        <f>HYPERLINK("https://uva.onlinejudge.org/index.php?option=onlinejudge&amp;page=show_problem&amp;problem=1054","UVA 10113")</f>
        <v>UVA 10113</v>
      </c>
      <c r="C473" s="159"/>
      <c r="D473" s="159"/>
      <c r="E473" s="159"/>
      <c r="F473" s="159"/>
      <c r="G473" s="159"/>
      <c r="H473" s="160"/>
      <c r="I473" s="57">
        <f t="shared" si="7"/>
        <v>0</v>
      </c>
      <c r="J473" s="102"/>
      <c r="K473" s="101"/>
      <c r="L473" s="159"/>
      <c r="M473" s="404"/>
      <c r="N473" s="383" t="s">
        <v>1336</v>
      </c>
      <c r="O473" s="383">
        <v>15</v>
      </c>
      <c r="P473" s="383">
        <v>4.5</v>
      </c>
      <c r="Q473" s="543"/>
    </row>
    <row r="474" spans="1:17" ht="13.2">
      <c r="A474" s="83" t="s">
        <v>1031</v>
      </c>
      <c r="B474" s="386" t="str">
        <f>HYPERLINK("http://codeforces.com/contest/540/problem/C","CF540-D2-C")</f>
        <v>CF540-D2-C</v>
      </c>
      <c r="C474" s="159"/>
      <c r="D474" s="159"/>
      <c r="E474" s="159"/>
      <c r="F474" s="159"/>
      <c r="G474" s="159"/>
      <c r="H474" s="160"/>
      <c r="I474" s="57">
        <f t="shared" si="7"/>
        <v>0</v>
      </c>
      <c r="J474" s="102"/>
      <c r="K474" s="101"/>
      <c r="L474" s="159"/>
      <c r="M474" s="404"/>
      <c r="N474" s="383" t="s">
        <v>1336</v>
      </c>
      <c r="O474" s="383">
        <v>15</v>
      </c>
      <c r="P474" s="383">
        <v>4.5</v>
      </c>
    </row>
    <row r="475" spans="1:17" ht="13.2">
      <c r="A475" s="83" t="s">
        <v>740</v>
      </c>
      <c r="B475" s="386" t="str">
        <f>HYPERLINK("https://uva.onlinejudge.org/index.php?option=onlinejudge&amp;page=show_problem&amp;problem=813","UVA 872")</f>
        <v>UVA 872</v>
      </c>
      <c r="C475" s="159"/>
      <c r="D475" s="159"/>
      <c r="E475" s="159"/>
      <c r="F475" s="159"/>
      <c r="G475" s="159"/>
      <c r="H475" s="160"/>
      <c r="I475" s="57">
        <f t="shared" si="7"/>
        <v>0</v>
      </c>
      <c r="J475" s="102"/>
      <c r="K475" s="101"/>
      <c r="L475" s="96"/>
      <c r="M475" s="404"/>
      <c r="N475" s="383" t="s">
        <v>1339</v>
      </c>
      <c r="O475" s="383">
        <v>15</v>
      </c>
      <c r="P475" s="383">
        <v>4.5</v>
      </c>
    </row>
    <row r="476" spans="1:17" ht="13.2">
      <c r="A476" s="83" t="s">
        <v>947</v>
      </c>
      <c r="B476" s="386" t="str">
        <f>HYPERLINK("http://codeforces.com/contest/711/problem/D","CF711-D2-D")</f>
        <v>CF711-D2-D</v>
      </c>
      <c r="C476" s="159"/>
      <c r="D476" s="159"/>
      <c r="E476" s="159"/>
      <c r="F476" s="159"/>
      <c r="G476" s="159"/>
      <c r="H476" s="160"/>
      <c r="I476" s="57">
        <f t="shared" si="7"/>
        <v>0</v>
      </c>
      <c r="J476" s="62"/>
      <c r="K476" s="56"/>
      <c r="L476" s="159"/>
      <c r="M476" s="395" t="str">
        <f>HYPERLINK("https://www.youtube.com/watch?v=uRCruqJOQXw","Video Solution - Solver to be (Java)")</f>
        <v>Video Solution - Solver to be (Java)</v>
      </c>
      <c r="N476" s="383" t="s">
        <v>1340</v>
      </c>
      <c r="O476" s="383">
        <v>18</v>
      </c>
      <c r="P476" s="383">
        <v>4.5</v>
      </c>
      <c r="Q476" s="37" t="s">
        <v>1224</v>
      </c>
    </row>
    <row r="477" spans="1:17" ht="13.2">
      <c r="A477" s="83"/>
      <c r="B477" s="83" t="s">
        <v>917</v>
      </c>
      <c r="C477" s="159"/>
      <c r="D477" s="159"/>
      <c r="E477" s="159"/>
      <c r="F477" s="159"/>
      <c r="G477" s="159"/>
      <c r="H477" s="160"/>
      <c r="I477" s="57">
        <f t="shared" si="7"/>
        <v>0</v>
      </c>
      <c r="J477" s="102"/>
      <c r="K477" s="101"/>
      <c r="L477" s="159"/>
      <c r="M477" s="411" t="str">
        <f>HYPERLINK("http://codeforces.com/blog/entry/6779","See editorials")</f>
        <v>See editorials</v>
      </c>
      <c r="N477" s="383" t="s">
        <v>1345</v>
      </c>
      <c r="O477" s="383">
        <v>22</v>
      </c>
      <c r="P477" s="383">
        <v>4.5</v>
      </c>
      <c r="Q477" s="37" t="s">
        <v>1220</v>
      </c>
    </row>
    <row r="478" spans="1:17" ht="13.2">
      <c r="A478" s="83" t="s">
        <v>1042</v>
      </c>
      <c r="B478" s="386" t="str">
        <f>HYPERLINK("http://codeforces.com/contest/219/problem/D","CF219-D2-D")</f>
        <v>CF219-D2-D</v>
      </c>
      <c r="C478" s="159"/>
      <c r="D478" s="159"/>
      <c r="E478" s="159"/>
      <c r="F478" s="159"/>
      <c r="G478" s="159"/>
      <c r="H478" s="160"/>
      <c r="I478" s="57">
        <f t="shared" si="7"/>
        <v>0</v>
      </c>
      <c r="J478" s="96"/>
      <c r="K478" s="159"/>
      <c r="L478" s="405"/>
      <c r="M478" s="545"/>
      <c r="N478" s="383" t="s">
        <v>1353</v>
      </c>
      <c r="O478" s="383">
        <v>23</v>
      </c>
      <c r="P478" s="383">
        <v>4.5</v>
      </c>
      <c r="Q478" s="37" t="s">
        <v>1224</v>
      </c>
    </row>
    <row r="479" spans="1:17" ht="13.2">
      <c r="A479" s="83"/>
      <c r="B479" s="386" t="str">
        <f>HYPERLINK("http://codeforces.com/contest/1075/problem/D","CF1075-D2-D")</f>
        <v>CF1075-D2-D</v>
      </c>
      <c r="C479" s="159"/>
      <c r="D479" s="159"/>
      <c r="E479" s="159"/>
      <c r="F479" s="159"/>
      <c r="G479" s="159"/>
      <c r="H479" s="160"/>
      <c r="I479" s="57">
        <f t="shared" si="7"/>
        <v>0</v>
      </c>
      <c r="J479" s="102"/>
      <c r="K479" s="101"/>
      <c r="L479" s="159"/>
      <c r="M479" s="403" t="str">
        <f>HYPERLINK("https://github.com/abdullaAshraf/Problem-Solving/blob/master/UVA/10578.cpp","Sol")</f>
        <v>Sol</v>
      </c>
      <c r="N479" s="383" t="s">
        <v>1349</v>
      </c>
      <c r="O479" s="383">
        <v>23</v>
      </c>
      <c r="P479" s="383">
        <v>4.5</v>
      </c>
      <c r="Q479" s="543"/>
    </row>
    <row r="480" spans="1:17" ht="13.2">
      <c r="A480" s="83" t="s">
        <v>1203</v>
      </c>
      <c r="B480" s="386" t="str">
        <f>HYPERLINK("http://codeforces.com/contest/197/problem/D","CF197-D2-D")</f>
        <v>CF197-D2-D</v>
      </c>
      <c r="C480" s="159"/>
      <c r="D480" s="159"/>
      <c r="E480" s="159"/>
      <c r="F480" s="159"/>
      <c r="G480" s="159"/>
      <c r="H480" s="160"/>
      <c r="I480" s="57">
        <f t="shared" si="7"/>
        <v>0</v>
      </c>
      <c r="J480" s="62"/>
      <c r="K480" s="56"/>
      <c r="L480" s="159"/>
      <c r="M480" s="293" t="str">
        <f>HYPERLINK("https://github.com/mostafa-saad/MyCompetitiveProgramming/blob/master/UVA/UVA_542.txt","Sol")</f>
        <v>Sol</v>
      </c>
      <c r="N480" s="383" t="s">
        <v>1357</v>
      </c>
      <c r="O480" s="383">
        <v>29</v>
      </c>
      <c r="P480" s="383">
        <v>4.5</v>
      </c>
      <c r="Q480" s="37" t="s">
        <v>1226</v>
      </c>
    </row>
    <row r="481" spans="1:17" ht="13.2">
      <c r="A481" s="83" t="s">
        <v>1044</v>
      </c>
      <c r="B481" s="386" t="str">
        <f>HYPERLINK("http://codeforces.com/contest/263/problem/D","CF263-D2-D")</f>
        <v>CF263-D2-D</v>
      </c>
      <c r="C481" s="159"/>
      <c r="D481" s="159"/>
      <c r="E481" s="159"/>
      <c r="F481" s="159"/>
      <c r="G481" s="159"/>
      <c r="H481" s="160"/>
      <c r="I481" s="57">
        <f t="shared" si="7"/>
        <v>0</v>
      </c>
      <c r="J481" s="102"/>
      <c r="K481" s="101"/>
      <c r="L481" s="159"/>
      <c r="M481" s="545"/>
      <c r="N481" s="383" t="s">
        <v>1356</v>
      </c>
      <c r="O481" s="383">
        <v>29</v>
      </c>
      <c r="P481" s="383">
        <v>4.5</v>
      </c>
      <c r="Q481" s="37" t="s">
        <v>1224</v>
      </c>
    </row>
    <row r="482" spans="1:17" ht="13.2">
      <c r="A482" s="83" t="s">
        <v>1155</v>
      </c>
      <c r="B482" s="386" t="str">
        <f>HYPERLINK("http://codeforces.com/contest/237/problem/D","CF237-D2-D")</f>
        <v>CF237-D2-D</v>
      </c>
      <c r="C482" s="159"/>
      <c r="D482" s="159"/>
      <c r="E482" s="159"/>
      <c r="F482" s="159"/>
      <c r="G482" s="159"/>
      <c r="H482" s="160"/>
      <c r="I482" s="57">
        <f t="shared" si="7"/>
        <v>0</v>
      </c>
      <c r="J482" s="62"/>
      <c r="K482" s="56"/>
      <c r="L482" s="405"/>
      <c r="M482" s="406"/>
      <c r="N482" s="383" t="s">
        <v>1356</v>
      </c>
      <c r="O482" s="383">
        <v>29</v>
      </c>
      <c r="P482" s="383">
        <v>4.5</v>
      </c>
      <c r="Q482" s="37" t="s">
        <v>1224</v>
      </c>
    </row>
    <row r="483" spans="1:17" ht="13.2">
      <c r="A483" s="83" t="s">
        <v>860</v>
      </c>
      <c r="B483" s="386" t="str">
        <f>HYPERLINK("https://uva.onlinejudge.org/index.php?option=com_onlinejudge&amp;Itemid=8&amp;page=show_problem&amp;problem=648","UVA 707")</f>
        <v>UVA 707</v>
      </c>
      <c r="C483" s="159"/>
      <c r="D483" s="159"/>
      <c r="E483" s="159"/>
      <c r="F483" s="159"/>
      <c r="G483" s="159"/>
      <c r="H483" s="160"/>
      <c r="I483" s="57">
        <f t="shared" si="7"/>
        <v>0</v>
      </c>
      <c r="J483" s="62"/>
      <c r="K483" s="56"/>
      <c r="L483" s="159"/>
      <c r="M483" s="293" t="str">
        <f>HYPERLINK("https://github.com/VAMPIER000001/CompetitiveProgramming/blob/master/UVA/V-107/UVa%2010759.cpp","Sol")</f>
        <v>Sol</v>
      </c>
      <c r="N483" s="383" t="s">
        <v>1358</v>
      </c>
      <c r="O483" s="383">
        <v>29</v>
      </c>
      <c r="P483" s="383">
        <v>4.5</v>
      </c>
      <c r="Q483" s="37" t="s">
        <v>1224</v>
      </c>
    </row>
    <row r="484" spans="1:17" ht="13.2">
      <c r="A484" s="83" t="s">
        <v>1100</v>
      </c>
      <c r="B484" s="386" t="str">
        <f>HYPERLINK("http://codeforces.com/contest/707/problem/D","CF707-D2-D")</f>
        <v>CF707-D2-D</v>
      </c>
      <c r="C484" s="159"/>
      <c r="D484" s="159"/>
      <c r="E484" s="159"/>
      <c r="F484" s="159"/>
      <c r="G484" s="159"/>
      <c r="H484" s="160"/>
      <c r="I484" s="57">
        <f t="shared" si="7"/>
        <v>0</v>
      </c>
      <c r="J484" s="62"/>
      <c r="K484" s="56"/>
      <c r="L484" s="405"/>
      <c r="M484" s="545"/>
      <c r="N484" s="383" t="s">
        <v>1356</v>
      </c>
      <c r="O484" s="383">
        <v>29</v>
      </c>
      <c r="P484" s="383">
        <v>4.5</v>
      </c>
      <c r="Q484" s="543"/>
    </row>
    <row r="485" spans="1:17" ht="13.2">
      <c r="A485" s="83" t="s">
        <v>1180</v>
      </c>
      <c r="B485" s="386" t="str">
        <f>HYPERLINK("http://codeforces.com/contest/604/problem/D","CF604-D2-D")</f>
        <v>CF604-D2-D</v>
      </c>
      <c r="C485" s="159"/>
      <c r="D485" s="159"/>
      <c r="E485" s="159"/>
      <c r="F485" s="159"/>
      <c r="G485" s="159"/>
      <c r="H485" s="160"/>
      <c r="I485" s="57">
        <f t="shared" si="7"/>
        <v>0</v>
      </c>
      <c r="J485" s="96"/>
      <c r="K485" s="159"/>
      <c r="L485" s="405"/>
      <c r="M485" s="169" t="str">
        <f>HYPERLINK("https://www.youtube.com/watch?v=1fP2Rl0-rWk","Video Solution - Eng Aya Elymany")</f>
        <v>Video Solution - Eng Aya Elymany</v>
      </c>
      <c r="N485" s="383" t="s">
        <v>1364</v>
      </c>
      <c r="O485" s="383">
        <v>32</v>
      </c>
      <c r="P485" s="383">
        <v>4.5</v>
      </c>
      <c r="Q485" s="37" t="s">
        <v>1226</v>
      </c>
    </row>
    <row r="486" spans="1:17" ht="13.2">
      <c r="A486" s="83" t="s">
        <v>218</v>
      </c>
      <c r="B486" s="386" t="str">
        <f>HYPERLINK("https://uva.onlinejudge.org/index.php?option=onlinejudge&amp;page=show_problem&amp;problem=288","UVA 352")</f>
        <v>UVA 352</v>
      </c>
      <c r="C486" s="159"/>
      <c r="D486" s="159"/>
      <c r="E486" s="159"/>
      <c r="F486" s="159"/>
      <c r="G486" s="159"/>
      <c r="H486" s="160"/>
      <c r="I486" s="57">
        <f t="shared" si="7"/>
        <v>0</v>
      </c>
      <c r="J486" s="96"/>
      <c r="K486" s="56"/>
      <c r="L486" s="96"/>
      <c r="M486" s="293" t="str">
        <f>HYPERLINK("https://github.com/SpeedOfMagic/CompetitiveProgramming/blob/master/CodeforcesGym/CF101294-GYM-I.cpp","Sol")</f>
        <v>Sol</v>
      </c>
      <c r="N486" s="383" t="s">
        <v>1365</v>
      </c>
      <c r="O486" s="383">
        <v>32</v>
      </c>
      <c r="P486" s="383">
        <v>4.5</v>
      </c>
      <c r="Q486" s="37" t="s">
        <v>1220</v>
      </c>
    </row>
    <row r="487" spans="1:17" ht="13.2">
      <c r="A487" s="83" t="s">
        <v>220</v>
      </c>
      <c r="B487" s="386" t="str">
        <f>HYPERLINK("https://uva.onlinejudge.org/index.php?option=com_onlinejudge&amp;Itemid=8&amp;page=show_problem&amp;problem=3104","UVA 11953")</f>
        <v>UVA 11953</v>
      </c>
      <c r="C487" s="159"/>
      <c r="D487" s="159"/>
      <c r="E487" s="159"/>
      <c r="F487" s="159"/>
      <c r="G487" s="159"/>
      <c r="H487" s="160"/>
      <c r="I487" s="57">
        <f t="shared" si="7"/>
        <v>0</v>
      </c>
      <c r="J487" s="96"/>
      <c r="K487" s="56"/>
      <c r="L487" s="96"/>
      <c r="M487" s="545"/>
      <c r="N487" s="383" t="s">
        <v>1375</v>
      </c>
      <c r="O487" s="383">
        <v>37</v>
      </c>
      <c r="P487" s="383">
        <v>4.5</v>
      </c>
      <c r="Q487" s="37" t="s">
        <v>1226</v>
      </c>
    </row>
    <row r="488" spans="1:17" ht="13.2">
      <c r="A488" s="83" t="s">
        <v>483</v>
      </c>
      <c r="B488" s="386" t="str">
        <f>HYPERLINK("https://uva.onlinejudge.org/index.php?option=onlinejudge&amp;page=show_problem&amp;problem=725","UVA 784")</f>
        <v>UVA 784</v>
      </c>
      <c r="C488" s="159"/>
      <c r="D488" s="159"/>
      <c r="E488" s="159"/>
      <c r="F488" s="159"/>
      <c r="G488" s="159"/>
      <c r="H488" s="160"/>
      <c r="I488" s="57">
        <f t="shared" si="7"/>
        <v>0</v>
      </c>
      <c r="J488" s="62"/>
      <c r="K488" s="56"/>
      <c r="L488" s="159"/>
      <c r="M488" s="545"/>
      <c r="N488" s="383" t="s">
        <v>1401</v>
      </c>
      <c r="O488" s="383">
        <v>45</v>
      </c>
      <c r="P488" s="383">
        <v>4.5</v>
      </c>
      <c r="Q488" s="37" t="s">
        <v>1226</v>
      </c>
    </row>
    <row r="489" spans="1:17" ht="13.2">
      <c r="A489" s="83" t="s">
        <v>430</v>
      </c>
      <c r="B489" s="386" t="str">
        <f>HYPERLINK("https://uva.onlinejudge.org/index.php?option=onlinejudge&amp;page=show_problem&amp;problem=2035","UVA 11094")</f>
        <v>UVA 11094</v>
      </c>
      <c r="C489" s="159"/>
      <c r="D489" s="159"/>
      <c r="E489" s="159"/>
      <c r="F489" s="159"/>
      <c r="G489" s="159"/>
      <c r="H489" s="160"/>
      <c r="I489" s="57">
        <f t="shared" si="7"/>
        <v>0</v>
      </c>
      <c r="J489" s="62"/>
      <c r="K489" s="56"/>
      <c r="L489" s="159"/>
      <c r="M489" s="403" t="str">
        <f>HYPERLINK("https://github.com/mostafa-saad/MyCompetitiveProgramming/blob/master/SPOJ/SPOJ_PIR.txt","Sol")</f>
        <v>Sol</v>
      </c>
      <c r="N489" s="383" t="s">
        <v>1402</v>
      </c>
      <c r="O489" s="383">
        <v>45</v>
      </c>
      <c r="P489" s="383">
        <v>4.5</v>
      </c>
      <c r="Q489" s="37" t="s">
        <v>1220</v>
      </c>
    </row>
    <row r="490" spans="1:17" ht="13.2">
      <c r="A490" s="83"/>
      <c r="B490" s="83" t="s">
        <v>889</v>
      </c>
      <c r="C490" s="159"/>
      <c r="D490" s="159"/>
      <c r="E490" s="159"/>
      <c r="F490" s="159"/>
      <c r="G490" s="159"/>
      <c r="H490" s="160"/>
      <c r="I490" s="57">
        <f t="shared" si="7"/>
        <v>0</v>
      </c>
      <c r="J490" s="62"/>
      <c r="K490" s="56"/>
      <c r="L490" s="159"/>
      <c r="M490" s="83"/>
      <c r="N490" s="415" t="s">
        <v>1403</v>
      </c>
      <c r="O490" s="383">
        <v>45</v>
      </c>
      <c r="P490" s="383">
        <v>4.5</v>
      </c>
      <c r="Q490" s="37" t="s">
        <v>1224</v>
      </c>
    </row>
    <row r="491" spans="1:17" ht="13.2">
      <c r="A491" s="83" t="s">
        <v>985</v>
      </c>
      <c r="B491" s="386" t="str">
        <f>HYPERLINK("http://codeforces.com/contest/560/problem/D","CF560-D2-D")</f>
        <v>CF560-D2-D</v>
      </c>
      <c r="C491" s="159"/>
      <c r="D491" s="159"/>
      <c r="E491" s="159"/>
      <c r="F491" s="159"/>
      <c r="G491" s="159"/>
      <c r="H491" s="160"/>
      <c r="I491" s="57">
        <f t="shared" si="7"/>
        <v>0</v>
      </c>
      <c r="J491" s="62"/>
      <c r="K491" s="56"/>
      <c r="L491" s="405"/>
      <c r="M491" s="403" t="str">
        <f>HYPERLINK("https://github.com/AbdelrahmanRamadan/competitive-programming/blob/master/Timus/1599-Winding-Number.cpp","Sol")</f>
        <v>Sol</v>
      </c>
      <c r="N491" s="383" t="s">
        <v>1442</v>
      </c>
      <c r="O491" s="383">
        <v>49</v>
      </c>
      <c r="P491" s="383">
        <v>4.5</v>
      </c>
      <c r="Q491" s="37" t="s">
        <v>1220</v>
      </c>
    </row>
    <row r="492" spans="1:17" ht="13.2">
      <c r="A492" s="83" t="s">
        <v>807</v>
      </c>
      <c r="B492" s="386" t="str">
        <f>HYPERLINK("https://icpcarchive.ecs.baylor.edu/index.php?option=com_onlinejudge&amp;Itemid=8&amp;page=show_problem&amp;problem=936","LIVEARCHIVE 2935")</f>
        <v>LIVEARCHIVE 2935</v>
      </c>
      <c r="C492" s="159"/>
      <c r="D492" s="159"/>
      <c r="E492" s="159"/>
      <c r="F492" s="159"/>
      <c r="G492" s="159"/>
      <c r="H492" s="160"/>
      <c r="I492" s="57">
        <f t="shared" si="7"/>
        <v>0</v>
      </c>
      <c r="J492" s="62"/>
      <c r="K492" s="56"/>
      <c r="L492" s="159"/>
      <c r="M492" s="403" t="str">
        <f>HYPERLINK("https://github.com/mostafa-saad/MyCompetitiveProgramming/blob/master/UVA/UVA_881.txt","Sol")</f>
        <v>Sol</v>
      </c>
      <c r="N492" s="383" t="s">
        <v>1443</v>
      </c>
      <c r="O492" s="383">
        <v>49</v>
      </c>
      <c r="P492" s="383">
        <v>4.5</v>
      </c>
      <c r="Q492" s="543"/>
    </row>
    <row r="493" spans="1:17" ht="13.2">
      <c r="A493" s="83" t="s">
        <v>222</v>
      </c>
      <c r="B493" s="386" t="str">
        <f>HYPERLINK("http://www.spoj.com/problems/MAKETREE/","SPOJ MAKETREE")</f>
        <v>SPOJ MAKETREE</v>
      </c>
      <c r="C493" s="159"/>
      <c r="D493" s="159"/>
      <c r="E493" s="159"/>
      <c r="F493" s="159"/>
      <c r="G493" s="159"/>
      <c r="H493" s="160"/>
      <c r="I493" s="57">
        <f t="shared" si="7"/>
        <v>0</v>
      </c>
      <c r="J493" s="96"/>
      <c r="K493" s="56"/>
      <c r="L493" s="96"/>
      <c r="M493" s="403" t="str">
        <f>HYPERLINK("https://github.com/MedoN11/CompetitiveProgramming/blob/master/TJU/1011.cpp","Sol")</f>
        <v>Sol</v>
      </c>
      <c r="N493" s="383" t="s">
        <v>1447</v>
      </c>
      <c r="O493" s="383">
        <v>52</v>
      </c>
      <c r="P493" s="383">
        <v>4.5</v>
      </c>
      <c r="Q493" s="37" t="s">
        <v>1220</v>
      </c>
    </row>
    <row r="494" spans="1:17" ht="13.2">
      <c r="A494" s="83" t="s">
        <v>223</v>
      </c>
      <c r="B494" s="386" t="str">
        <f>HYPERLINK("https://uva.onlinejudge.org/index.php?option=onlinejudge&amp;page=show_problem&amp;problem=1246","UVA 10305")</f>
        <v>UVA 10305</v>
      </c>
      <c r="C494" s="159"/>
      <c r="D494" s="159"/>
      <c r="E494" s="159"/>
      <c r="F494" s="159"/>
      <c r="G494" s="159"/>
      <c r="H494" s="160"/>
      <c r="I494" s="57">
        <f t="shared" si="7"/>
        <v>0</v>
      </c>
      <c r="J494" s="96"/>
      <c r="K494" s="56"/>
      <c r="L494" s="96"/>
      <c r="M494" s="403" t="str">
        <f>HYPERLINK("https://github.com/VAMPIER000001/CompetitiveProgramming/blob/master/UVA/V-104/UVA%2010459.Cpp","Sol")</f>
        <v>Sol</v>
      </c>
      <c r="N494" s="383" t="s">
        <v>1454</v>
      </c>
      <c r="O494" s="383">
        <v>55</v>
      </c>
      <c r="P494" s="383">
        <v>4.5</v>
      </c>
      <c r="Q494" s="37" t="s">
        <v>1226</v>
      </c>
    </row>
    <row r="495" spans="1:17" ht="13.2">
      <c r="A495" s="83"/>
      <c r="B495" s="83" t="s">
        <v>1113</v>
      </c>
      <c r="C495" s="159"/>
      <c r="D495" s="159"/>
      <c r="E495" s="159"/>
      <c r="F495" s="159"/>
      <c r="G495" s="159"/>
      <c r="H495" s="160"/>
      <c r="I495" s="57">
        <f t="shared" si="7"/>
        <v>0</v>
      </c>
      <c r="J495" s="102"/>
      <c r="K495" s="101"/>
      <c r="L495" s="405"/>
      <c r="M495" s="389" t="str">
        <f>HYPERLINK("https://www.youtube.com/watch?v=KmxeOFQ_4Rw","Video Solution - Dr Mostafa Saad")</f>
        <v>Video Solution - Dr Mostafa Saad</v>
      </c>
      <c r="N495" s="383" t="s">
        <v>1466</v>
      </c>
      <c r="O495" s="383">
        <v>57</v>
      </c>
      <c r="P495" s="383">
        <v>4.5</v>
      </c>
      <c r="Q495" s="37"/>
    </row>
    <row r="496" spans="1:17" ht="13.2">
      <c r="A496" s="83" t="s">
        <v>647</v>
      </c>
      <c r="B496" s="386" t="str">
        <f>HYPERLINK("https://uva.onlinejudge.org/index.php?option=com_onlinejudge&amp;Itemid=8&amp;page=show_problem&amp;problem=132","UVA 196")</f>
        <v>UVA 196</v>
      </c>
      <c r="C496" s="159"/>
      <c r="D496" s="159"/>
      <c r="E496" s="159"/>
      <c r="F496" s="159"/>
      <c r="G496" s="159"/>
      <c r="H496" s="160"/>
      <c r="I496" s="57">
        <f t="shared" si="7"/>
        <v>0</v>
      </c>
      <c r="J496" s="102"/>
      <c r="K496" s="101"/>
      <c r="L496" s="159"/>
      <c r="M496" s="406"/>
      <c r="N496" s="383" t="s">
        <v>1468</v>
      </c>
      <c r="O496" s="383">
        <v>57</v>
      </c>
      <c r="P496" s="383">
        <v>4.5</v>
      </c>
      <c r="Q496" s="37" t="s">
        <v>1224</v>
      </c>
    </row>
    <row r="497" spans="1:17" ht="13.2">
      <c r="A497" s="83" t="s">
        <v>669</v>
      </c>
      <c r="B497" s="386" t="str">
        <f>HYPERLINK("https://uva.onlinejudge.org/index.php?option=com_onlinejudge&amp;Itemid=8&amp;page=show_problem&amp;problem=3415","UVA 12263")</f>
        <v>UVA 12263</v>
      </c>
      <c r="C497" s="159"/>
      <c r="D497" s="159"/>
      <c r="E497" s="159"/>
      <c r="F497" s="159"/>
      <c r="G497" s="159"/>
      <c r="H497" s="160"/>
      <c r="I497" s="57">
        <f t="shared" si="7"/>
        <v>0</v>
      </c>
      <c r="J497" s="62"/>
      <c r="K497" s="56"/>
      <c r="L497" s="62"/>
      <c r="M497" s="192" t="str">
        <f>HYPERLINK("https://github.com/magdy-hasan/competitive-programming/blob/master/SPOJ/SPOJ%20QUEEN%20-%20Wandering%20Queen.cpp","Sol to read")</f>
        <v>Sol to read</v>
      </c>
      <c r="N497" s="383" t="s">
        <v>1466</v>
      </c>
      <c r="O497" s="383">
        <v>57</v>
      </c>
      <c r="P497" s="383">
        <v>4.5</v>
      </c>
      <c r="Q497" s="37" t="s">
        <v>1220</v>
      </c>
    </row>
    <row r="498" spans="1:17" ht="13.2">
      <c r="A498" s="83" t="s">
        <v>835</v>
      </c>
      <c r="B498" s="386" t="str">
        <f>HYPERLINK("https://uva.onlinejudge.org/index.php?option=com_onlinejudge&amp;Itemid=8&amp;page=show_problem&amp;problem=2733","UVA 11686")</f>
        <v>UVA 11686</v>
      </c>
      <c r="C498" s="159"/>
      <c r="D498" s="159"/>
      <c r="E498" s="159"/>
      <c r="F498" s="159"/>
      <c r="G498" s="159"/>
      <c r="H498" s="160"/>
      <c r="I498" s="57">
        <f t="shared" si="7"/>
        <v>0</v>
      </c>
      <c r="J498" s="102"/>
      <c r="K498" s="102"/>
      <c r="L498" s="96"/>
      <c r="M498" s="404"/>
      <c r="N498" s="383" t="s">
        <v>1466</v>
      </c>
      <c r="O498" s="383">
        <v>57</v>
      </c>
      <c r="P498" s="383">
        <v>4.5</v>
      </c>
    </row>
    <row r="499" spans="1:17" ht="13.2">
      <c r="A499" s="83"/>
      <c r="B499" s="83" t="s">
        <v>1084</v>
      </c>
      <c r="C499" s="159"/>
      <c r="D499" s="159"/>
      <c r="E499" s="159"/>
      <c r="F499" s="159"/>
      <c r="G499" s="159"/>
      <c r="H499" s="160"/>
      <c r="I499" s="57">
        <f t="shared" si="7"/>
        <v>0</v>
      </c>
      <c r="J499" s="102"/>
      <c r="K499" s="101"/>
      <c r="L499" s="159"/>
      <c r="M499" s="399"/>
      <c r="N499" s="383" t="s">
        <v>1469</v>
      </c>
      <c r="O499" s="383">
        <v>57</v>
      </c>
      <c r="P499" s="383">
        <v>4.5</v>
      </c>
      <c r="Q499" s="543"/>
    </row>
    <row r="500" spans="1:17" ht="13.2">
      <c r="A500" s="83" t="s">
        <v>944</v>
      </c>
      <c r="B500" s="386" t="str">
        <f>HYPERLINK("http://codeforces.com/contest/645/problem/D","CF645-D12-D")</f>
        <v>CF645-D12-D</v>
      </c>
      <c r="C500" s="159"/>
      <c r="D500" s="159"/>
      <c r="E500" s="159"/>
      <c r="F500" s="159"/>
      <c r="G500" s="159"/>
      <c r="H500" s="160"/>
      <c r="I500" s="57">
        <f t="shared" si="7"/>
        <v>0</v>
      </c>
      <c r="J500" s="96"/>
      <c r="K500" s="159"/>
      <c r="L500" s="159"/>
      <c r="M500" s="545"/>
      <c r="N500" s="383" t="s">
        <v>1470</v>
      </c>
      <c r="O500" s="383">
        <v>57</v>
      </c>
      <c r="P500" s="383">
        <v>4.5</v>
      </c>
      <c r="Q500" s="543"/>
    </row>
    <row r="501" spans="1:17" ht="13.2">
      <c r="A501" s="83" t="s">
        <v>1094</v>
      </c>
      <c r="B501" s="386" t="str">
        <f>HYPERLINK("http://codeforces.com/contest/681/problem/D","CF681-D2-D")</f>
        <v>CF681-D2-D</v>
      </c>
      <c r="C501" s="159"/>
      <c r="D501" s="159"/>
      <c r="E501" s="159"/>
      <c r="F501" s="159"/>
      <c r="G501" s="159"/>
      <c r="H501" s="160"/>
      <c r="I501" s="57">
        <f t="shared" si="7"/>
        <v>0</v>
      </c>
      <c r="J501" s="62"/>
      <c r="K501" s="56"/>
      <c r="L501" s="159"/>
      <c r="M501" s="404"/>
      <c r="N501" s="383" t="s">
        <v>1481</v>
      </c>
      <c r="O501" s="383">
        <v>60</v>
      </c>
      <c r="P501" s="383">
        <v>4.5</v>
      </c>
      <c r="Q501" s="37" t="s">
        <v>1220</v>
      </c>
    </row>
    <row r="502" spans="1:17" ht="13.2">
      <c r="A502" s="83" t="s">
        <v>1205</v>
      </c>
      <c r="B502" s="386" t="str">
        <f>HYPERLINK("http://codeforces.com/contest/812/problem/D","CF812-D2-D")</f>
        <v>CF812-D2-D</v>
      </c>
      <c r="C502" s="159"/>
      <c r="D502" s="159"/>
      <c r="E502" s="159"/>
      <c r="F502" s="159"/>
      <c r="G502" s="159"/>
      <c r="H502" s="160"/>
      <c r="I502" s="57">
        <f t="shared" si="7"/>
        <v>0</v>
      </c>
      <c r="J502" s="62"/>
      <c r="K502" s="56"/>
      <c r="L502" s="159"/>
      <c r="M502" s="545"/>
      <c r="N502" s="383" t="s">
        <v>1482</v>
      </c>
      <c r="O502" s="383">
        <v>60</v>
      </c>
      <c r="P502" s="383">
        <v>4.5</v>
      </c>
      <c r="Q502" s="37" t="s">
        <v>1220</v>
      </c>
    </row>
    <row r="503" spans="1:17" ht="13.2">
      <c r="A503" s="83" t="s">
        <v>739</v>
      </c>
      <c r="B503" s="386" t="str">
        <f>HYPERLINK("http://www.spoj.com/problems/SHOP/","SPOJ SHOP")</f>
        <v>SPOJ SHOP</v>
      </c>
      <c r="C503" s="159"/>
      <c r="D503" s="159"/>
      <c r="E503" s="159"/>
      <c r="F503" s="159"/>
      <c r="G503" s="159"/>
      <c r="H503" s="160"/>
      <c r="I503" s="57">
        <f t="shared" si="7"/>
        <v>0</v>
      </c>
      <c r="J503" s="62"/>
      <c r="K503" s="56"/>
      <c r="L503" s="96"/>
      <c r="M503" s="545"/>
      <c r="N503" s="383" t="s">
        <v>1480</v>
      </c>
      <c r="O503" s="383">
        <v>60</v>
      </c>
      <c r="P503" s="383">
        <v>4.5</v>
      </c>
    </row>
    <row r="504" spans="1:17" ht="13.2">
      <c r="A504" s="83" t="s">
        <v>737</v>
      </c>
      <c r="B504" s="386" t="str">
        <f>HYPERLINK("https://uva.onlinejudge.org/index.php?option=com_onlinejudge&amp;Itemid=8&amp;page=show_problem&amp;problem=1927","UVA 10986")</f>
        <v>UVA 10986</v>
      </c>
      <c r="C504" s="159"/>
      <c r="D504" s="159"/>
      <c r="E504" s="159"/>
      <c r="F504" s="159"/>
      <c r="G504" s="159"/>
      <c r="H504" s="160"/>
      <c r="I504" s="57">
        <f t="shared" si="7"/>
        <v>0</v>
      </c>
      <c r="J504" s="62"/>
      <c r="K504" s="56"/>
      <c r="L504" s="96"/>
      <c r="M504" s="231" t="s">
        <v>614</v>
      </c>
      <c r="N504" s="383" t="s">
        <v>1480</v>
      </c>
      <c r="O504" s="383">
        <v>60</v>
      </c>
      <c r="P504" s="383">
        <v>4.5</v>
      </c>
    </row>
    <row r="505" spans="1:17" ht="13.2">
      <c r="A505" s="83" t="s">
        <v>995</v>
      </c>
      <c r="B505" s="386" t="str">
        <f>HYPERLINK("http://www.spoj.com/problems/MELE3/","SPOJ MELE3")</f>
        <v>SPOJ MELE3</v>
      </c>
      <c r="C505" s="159"/>
      <c r="D505" s="159"/>
      <c r="E505" s="159"/>
      <c r="F505" s="159"/>
      <c r="G505" s="159"/>
      <c r="H505" s="160"/>
      <c r="I505" s="57">
        <f t="shared" si="7"/>
        <v>0</v>
      </c>
      <c r="J505" s="62"/>
      <c r="K505" s="56"/>
      <c r="L505" s="159"/>
      <c r="M505" s="403" t="str">
        <f>HYPERLINK("https://github.com/mostafa-saad/MyCompetitiveProgramming/blob/master/LiveArchive/LiveArchive_2935.txt","Sol")</f>
        <v>Sol</v>
      </c>
      <c r="N505" s="383" t="s">
        <v>1494</v>
      </c>
      <c r="O505" s="383">
        <v>62</v>
      </c>
      <c r="P505" s="383">
        <v>4.5</v>
      </c>
      <c r="Q505" s="37" t="s">
        <v>1251</v>
      </c>
    </row>
    <row r="506" spans="1:17" ht="13.2">
      <c r="A506" s="83" t="s">
        <v>996</v>
      </c>
      <c r="B506" s="386" t="str">
        <f>HYPERLINK("http://www.spoj.com/problems/ROADS/en/","SPOJ ROADS")</f>
        <v>SPOJ ROADS</v>
      </c>
      <c r="C506" s="159"/>
      <c r="D506" s="159"/>
      <c r="E506" s="159"/>
      <c r="F506" s="159"/>
      <c r="G506" s="159"/>
      <c r="H506" s="160"/>
      <c r="I506" s="57">
        <f t="shared" si="7"/>
        <v>0</v>
      </c>
      <c r="J506" s="62"/>
      <c r="K506" s="56"/>
      <c r="L506" s="159"/>
      <c r="M506" s="403" t="str">
        <f>HYPERLINK("https://github.com/VAMPIER000001/CompetitiveProgramming/blob/a5d714fa4de45e50f87306d421ec6c3c02026f76/Spoj/SPOJ%20MELE3.Cpp","Sol")</f>
        <v>Sol</v>
      </c>
      <c r="N506" s="383" t="s">
        <v>1502</v>
      </c>
      <c r="O506" s="383">
        <v>64</v>
      </c>
      <c r="P506" s="383">
        <v>4.5</v>
      </c>
      <c r="Q506" s="37"/>
    </row>
    <row r="507" spans="1:17" ht="13.2">
      <c r="A507" s="83" t="s">
        <v>738</v>
      </c>
      <c r="B507" s="386" t="str">
        <f>HYPERLINK("https://uva.onlinejudge.org/index.php?option=onlinejudge&amp;page=show_problem&amp;problem=1742","UVA 10801")</f>
        <v>UVA 10801</v>
      </c>
      <c r="C507" s="159"/>
      <c r="D507" s="159"/>
      <c r="E507" s="159"/>
      <c r="F507" s="159"/>
      <c r="G507" s="159"/>
      <c r="H507" s="160"/>
      <c r="I507" s="57">
        <f t="shared" si="7"/>
        <v>0</v>
      </c>
      <c r="J507" s="62"/>
      <c r="K507" s="56"/>
      <c r="L507" s="96"/>
      <c r="M507" s="403" t="str">
        <f>HYPERLINK("https://github.com/mostafa-saad/MyCompetitiveProgramming/blob/master/SPOJ/SPOJ_ROADS.txt","Sol")</f>
        <v>Sol</v>
      </c>
      <c r="N507" s="383" t="s">
        <v>1503</v>
      </c>
      <c r="O507" s="383">
        <v>64</v>
      </c>
      <c r="P507" s="383">
        <v>4.5</v>
      </c>
      <c r="Q507" s="37" t="s">
        <v>1226</v>
      </c>
    </row>
    <row r="508" spans="1:17" ht="13.2">
      <c r="A508" s="83"/>
      <c r="B508" s="83" t="s">
        <v>1117</v>
      </c>
      <c r="C508" s="159"/>
      <c r="D508" s="159"/>
      <c r="E508" s="159"/>
      <c r="F508" s="159"/>
      <c r="G508" s="159"/>
      <c r="H508" s="160"/>
      <c r="I508" s="57">
        <f t="shared" si="7"/>
        <v>0</v>
      </c>
      <c r="J508" s="96"/>
      <c r="K508" s="159"/>
      <c r="L508" s="405"/>
      <c r="M508" s="404"/>
      <c r="N508" s="383" t="s">
        <v>1502</v>
      </c>
      <c r="O508" s="383">
        <v>64</v>
      </c>
      <c r="P508" s="383">
        <v>4.5</v>
      </c>
      <c r="Q508" s="543"/>
    </row>
    <row r="509" spans="1:17" ht="13.2">
      <c r="A509" s="83" t="s">
        <v>965</v>
      </c>
      <c r="B509" s="386" t="str">
        <f>HYPERLINK("http://codeforces.com/contest/96/problem/D","CF96-D2-D")</f>
        <v>CF96-D2-D</v>
      </c>
      <c r="C509" s="159"/>
      <c r="D509" s="159"/>
      <c r="E509" s="159"/>
      <c r="F509" s="159"/>
      <c r="G509" s="159"/>
      <c r="H509" s="160"/>
      <c r="I509" s="57">
        <f t="shared" si="7"/>
        <v>0</v>
      </c>
      <c r="J509" s="102"/>
      <c r="K509" s="101"/>
      <c r="L509" s="159"/>
      <c r="M509" s="403" t="str">
        <f>HYPERLINK("https://github.com/VAMPIER000001/CompetitiveProgramming/blob/master/UVA/V-119/UVA%2011987.Cpp","Sol")</f>
        <v>Sol</v>
      </c>
      <c r="N509" s="383" t="s">
        <v>1507</v>
      </c>
      <c r="O509" s="383">
        <v>65</v>
      </c>
      <c r="P509" s="383">
        <v>4.5</v>
      </c>
      <c r="Q509" s="37" t="s">
        <v>1226</v>
      </c>
    </row>
    <row r="510" spans="1:17" ht="13.2">
      <c r="A510" s="83"/>
      <c r="B510" s="83" t="s">
        <v>912</v>
      </c>
      <c r="C510" s="159"/>
      <c r="D510" s="159"/>
      <c r="E510" s="159"/>
      <c r="F510" s="159"/>
      <c r="G510" s="159"/>
      <c r="H510" s="160"/>
      <c r="I510" s="57">
        <f t="shared" si="7"/>
        <v>0</v>
      </c>
      <c r="J510" s="102"/>
      <c r="K510" s="101"/>
      <c r="L510" s="159"/>
      <c r="M510" s="406"/>
      <c r="N510" s="383" t="s">
        <v>1507</v>
      </c>
      <c r="O510" s="383">
        <v>65</v>
      </c>
      <c r="P510" s="383">
        <v>4.5</v>
      </c>
      <c r="Q510" s="543"/>
    </row>
    <row r="511" spans="1:17" ht="13.2">
      <c r="A511" s="83"/>
      <c r="B511" s="83" t="s">
        <v>946</v>
      </c>
      <c r="C511" s="159"/>
      <c r="D511" s="159"/>
      <c r="E511" s="159"/>
      <c r="F511" s="159"/>
      <c r="G511" s="159"/>
      <c r="H511" s="160"/>
      <c r="I511" s="57">
        <f t="shared" si="7"/>
        <v>0</v>
      </c>
      <c r="J511" s="96"/>
      <c r="K511" s="159"/>
      <c r="L511" s="159"/>
      <c r="M511" s="403" t="str">
        <f>HYPERLINK("https://github.com/mostafa-saad/MyCompetitiveProgramming/blob/master/UVA/UVA_125.txt","Sol")</f>
        <v>Sol</v>
      </c>
      <c r="N511" s="383" t="s">
        <v>1512</v>
      </c>
      <c r="O511" s="383">
        <v>68</v>
      </c>
      <c r="P511" s="383">
        <v>4.5</v>
      </c>
      <c r="Q511" s="37" t="s">
        <v>1229</v>
      </c>
    </row>
    <row r="512" spans="1:17" ht="13.2">
      <c r="A512" s="83" t="s">
        <v>1038</v>
      </c>
      <c r="B512" s="83" t="s">
        <v>1039</v>
      </c>
      <c r="C512" s="159"/>
      <c r="D512" s="159"/>
      <c r="E512" s="159"/>
      <c r="F512" s="159"/>
      <c r="G512" s="159"/>
      <c r="H512" s="160"/>
      <c r="I512" s="57">
        <f t="shared" si="7"/>
        <v>0</v>
      </c>
      <c r="J512" s="102"/>
      <c r="K512" s="101"/>
      <c r="L512" s="405"/>
      <c r="M512" s="403" t="str">
        <f>HYPERLINK("https://github.com/ilyesG/Competitive-Programming/blob/master/UVA/UVA%20534.cpp","Sol")</f>
        <v>Sol</v>
      </c>
      <c r="N512" s="383" t="s">
        <v>1513</v>
      </c>
      <c r="O512" s="383">
        <v>68</v>
      </c>
      <c r="P512" s="383">
        <v>4.5</v>
      </c>
      <c r="Q512" s="37" t="s">
        <v>1251</v>
      </c>
    </row>
    <row r="513" spans="1:17" ht="13.2">
      <c r="A513" s="83" t="s">
        <v>484</v>
      </c>
      <c r="B513" s="83" t="s">
        <v>485</v>
      </c>
      <c r="C513" s="159"/>
      <c r="D513" s="159"/>
      <c r="E513" s="159"/>
      <c r="F513" s="159"/>
      <c r="G513" s="159"/>
      <c r="H513" s="160"/>
      <c r="I513" s="57">
        <f t="shared" si="7"/>
        <v>0</v>
      </c>
      <c r="J513" s="62"/>
      <c r="K513" s="56"/>
      <c r="L513" s="159"/>
      <c r="M513" s="403" t="str">
        <f>HYPERLINK("https://github.com/VAMPIER000001/CompetitiveProgramming/blob/master/UVA/V-108/UVA%2010816.Cpp","Sol")</f>
        <v>Sol</v>
      </c>
      <c r="N513" s="383" t="s">
        <v>1514</v>
      </c>
      <c r="O513" s="383">
        <v>68</v>
      </c>
      <c r="P513" s="383">
        <v>4.5</v>
      </c>
    </row>
    <row r="514" spans="1:17" ht="13.2">
      <c r="A514" s="83" t="s">
        <v>942</v>
      </c>
      <c r="B514" s="386" t="str">
        <f>HYPERLINK("https://uva.onlinejudge.org/index.php?option=onlinejudge&amp;page=show_problem&amp;problem=1119","UVA 10178")</f>
        <v>UVA 10178</v>
      </c>
      <c r="C514" s="159"/>
      <c r="D514" s="159"/>
      <c r="E514" s="159"/>
      <c r="F514" s="159"/>
      <c r="G514" s="159"/>
      <c r="H514" s="160"/>
      <c r="I514" s="57">
        <f t="shared" si="7"/>
        <v>0</v>
      </c>
      <c r="J514" s="102"/>
      <c r="K514" s="101"/>
      <c r="L514" s="159"/>
      <c r="M514" s="399"/>
      <c r="N514" s="383" t="s">
        <v>1515</v>
      </c>
      <c r="O514" s="383">
        <v>68</v>
      </c>
      <c r="P514" s="383">
        <v>4.5</v>
      </c>
      <c r="Q514" s="543"/>
    </row>
    <row r="515" spans="1:17" ht="13.2">
      <c r="A515" s="83" t="s">
        <v>695</v>
      </c>
      <c r="B515" s="386" t="str">
        <f>HYPERLINK("http://codeforces.com/contest/278/problem/C","CF278-D2-C")</f>
        <v>CF278-D2-C</v>
      </c>
      <c r="C515" s="159"/>
      <c r="D515" s="159"/>
      <c r="E515" s="159"/>
      <c r="F515" s="159"/>
      <c r="G515" s="159"/>
      <c r="H515" s="160"/>
      <c r="I515" s="57">
        <f t="shared" si="7"/>
        <v>0</v>
      </c>
      <c r="J515" s="62"/>
      <c r="K515" s="56"/>
      <c r="L515" s="159"/>
      <c r="M515" s="406"/>
      <c r="N515" s="383" t="s">
        <v>1521</v>
      </c>
      <c r="O515" s="383">
        <v>71</v>
      </c>
      <c r="P515" s="383">
        <v>4.5</v>
      </c>
      <c r="Q515" s="37" t="s">
        <v>1226</v>
      </c>
    </row>
    <row r="516" spans="1:17" ht="13.2">
      <c r="A516" s="83" t="s">
        <v>458</v>
      </c>
      <c r="B516" s="386" t="str">
        <f>HYPERLINK("https://uva.onlinejudge.org/index.php?option=onlinejudge&amp;page=show_problem&amp;problem=2498","UVA 11503")</f>
        <v>UVA 11503</v>
      </c>
      <c r="C516" s="159"/>
      <c r="D516" s="159"/>
      <c r="E516" s="159"/>
      <c r="F516" s="159"/>
      <c r="G516" s="159"/>
      <c r="H516" s="160"/>
      <c r="I516" s="57">
        <f t="shared" si="7"/>
        <v>0</v>
      </c>
      <c r="J516" s="62"/>
      <c r="K516" s="56"/>
      <c r="L516" s="159"/>
      <c r="M516" s="403" t="str">
        <f>HYPERLINK("https://github.com/mostafa-saad/MyCompetitiveProgramming/blob/master/UVA/UVA_259.txt","Sol")</f>
        <v>Sol</v>
      </c>
      <c r="N516" s="383" t="s">
        <v>1526</v>
      </c>
      <c r="O516" s="383">
        <v>72</v>
      </c>
      <c r="P516" s="383">
        <v>4.5</v>
      </c>
    </row>
    <row r="517" spans="1:17" ht="13.2">
      <c r="A517" s="83" t="s">
        <v>1018</v>
      </c>
      <c r="B517" s="83" t="s">
        <v>1019</v>
      </c>
      <c r="C517" s="159"/>
      <c r="D517" s="159"/>
      <c r="E517" s="159"/>
      <c r="F517" s="159"/>
      <c r="G517" s="159"/>
      <c r="H517" s="160"/>
      <c r="I517" s="57">
        <f t="shared" si="7"/>
        <v>0</v>
      </c>
      <c r="J517" s="96"/>
      <c r="K517" s="159"/>
      <c r="L517" s="405"/>
      <c r="M517" s="293" t="str">
        <f>HYPERLINK("https://github.com/abdullaAshraf/Problem-Solving/blob/master/UVA/10480.cpp","Sol")</f>
        <v>Sol</v>
      </c>
      <c r="N517" s="383" t="s">
        <v>1532</v>
      </c>
      <c r="O517" s="383">
        <v>74</v>
      </c>
      <c r="P517" s="383">
        <v>4.5</v>
      </c>
      <c r="Q517" s="37" t="s">
        <v>1220</v>
      </c>
    </row>
    <row r="518" spans="1:17" ht="13.2">
      <c r="A518" s="83" t="s">
        <v>1186</v>
      </c>
      <c r="B518" s="386" t="str">
        <f>HYPERLINK("http://codeforces.com/contest/104/problem/C","CF104-D2-C")</f>
        <v>CF104-D2-C</v>
      </c>
      <c r="C518" s="159"/>
      <c r="D518" s="159"/>
      <c r="E518" s="159"/>
      <c r="F518" s="159"/>
      <c r="G518" s="159"/>
      <c r="H518" s="160"/>
      <c r="I518" s="57">
        <f t="shared" si="7"/>
        <v>0</v>
      </c>
      <c r="J518" s="102"/>
      <c r="K518" s="101"/>
      <c r="L518" s="405"/>
      <c r="M518" s="192" t="str">
        <f>HYPERLINK("https://www.youtube.com/watch?v=94EApxauQQE&amp;feature=youtu.be","Video Solution - Eng Moaz Rashad")</f>
        <v>Video Solution - Eng Moaz Rashad</v>
      </c>
      <c r="N518" s="383" t="s">
        <v>1538</v>
      </c>
      <c r="O518" s="383">
        <v>76</v>
      </c>
      <c r="P518" s="383">
        <v>4.5</v>
      </c>
      <c r="Q518" s="37" t="s">
        <v>1220</v>
      </c>
    </row>
    <row r="519" spans="1:17" ht="13.2">
      <c r="A519" s="83" t="s">
        <v>1144</v>
      </c>
      <c r="B519" s="386" t="str">
        <f>HYPERLINK("http://codeforces.com/contest/437/problem/D","CF437-D2-D")</f>
        <v>CF437-D2-D</v>
      </c>
      <c r="C519" s="159"/>
      <c r="D519" s="159"/>
      <c r="E519" s="159"/>
      <c r="F519" s="159"/>
      <c r="G519" s="159"/>
      <c r="H519" s="160"/>
      <c r="I519" s="57">
        <f t="shared" ref="I519:I582" si="8">SUM(E519:H519)</f>
        <v>0</v>
      </c>
      <c r="J519" s="62"/>
      <c r="K519" s="56"/>
      <c r="L519" s="405"/>
      <c r="M519" s="293" t="str">
        <f>HYPERLINK("https://github.com/mostafa-saad/MyCompetitiveProgramming/blob/master/UVA/UVA_11504.txt","Sol")</f>
        <v>Sol</v>
      </c>
      <c r="N519" s="383" t="s">
        <v>1545</v>
      </c>
      <c r="O519" s="383">
        <v>77</v>
      </c>
      <c r="P519" s="383">
        <v>4.5</v>
      </c>
      <c r="Q519" s="37" t="s">
        <v>1220</v>
      </c>
    </row>
    <row r="520" spans="1:17" ht="13.2">
      <c r="A520" s="83" t="s">
        <v>914</v>
      </c>
      <c r="B520" s="386" t="str">
        <f>HYPERLINK("http://codeforces.com/contest/766/problem/D","CF766-D2-D")</f>
        <v>CF766-D2-D</v>
      </c>
      <c r="C520" s="159"/>
      <c r="D520" s="159"/>
      <c r="E520" s="159"/>
      <c r="F520" s="159"/>
      <c r="G520" s="159"/>
      <c r="H520" s="160"/>
      <c r="I520" s="57">
        <f t="shared" si="8"/>
        <v>0</v>
      </c>
      <c r="J520" s="62"/>
      <c r="K520" s="56"/>
      <c r="L520" s="159"/>
      <c r="M520" s="169" t="s">
        <v>614</v>
      </c>
      <c r="N520" s="383" t="s">
        <v>1565</v>
      </c>
      <c r="O520" s="383">
        <v>84</v>
      </c>
      <c r="P520" s="383">
        <v>4.5</v>
      </c>
      <c r="Q520" s="37" t="s">
        <v>1226</v>
      </c>
    </row>
    <row r="521" spans="1:17" ht="13.2">
      <c r="A521" s="83"/>
      <c r="B521" s="386" t="str">
        <f>HYPERLINK("http://codeforces.com/contest/1012/problem/B","CF1012-D1-B")</f>
        <v>CF1012-D1-B</v>
      </c>
      <c r="C521" s="159"/>
      <c r="D521" s="159"/>
      <c r="E521" s="159"/>
      <c r="F521" s="159"/>
      <c r="G521" s="159"/>
      <c r="H521" s="160"/>
      <c r="I521" s="57">
        <f t="shared" si="8"/>
        <v>0</v>
      </c>
      <c r="J521" s="102"/>
      <c r="K521" s="101"/>
      <c r="L521" s="159"/>
      <c r="M521" s="404"/>
      <c r="N521" s="383" t="s">
        <v>1566</v>
      </c>
      <c r="O521" s="383">
        <v>84</v>
      </c>
      <c r="P521" s="383">
        <v>4.5</v>
      </c>
      <c r="Q521" s="37" t="s">
        <v>1224</v>
      </c>
    </row>
    <row r="522" spans="1:17" ht="13.2">
      <c r="A522" s="83"/>
      <c r="B522" s="83" t="s">
        <v>1146</v>
      </c>
      <c r="C522" s="159"/>
      <c r="D522" s="159"/>
      <c r="E522" s="159"/>
      <c r="F522" s="159"/>
      <c r="G522" s="159"/>
      <c r="H522" s="160"/>
      <c r="I522" s="57">
        <f t="shared" si="8"/>
        <v>0</v>
      </c>
      <c r="J522" s="62"/>
      <c r="K522" s="56"/>
      <c r="L522" s="405"/>
      <c r="M522" s="545"/>
      <c r="N522" s="383" t="s">
        <v>1567</v>
      </c>
      <c r="O522" s="383">
        <v>84</v>
      </c>
      <c r="P522" s="383">
        <v>4.5</v>
      </c>
      <c r="Q522" s="37" t="s">
        <v>1224</v>
      </c>
    </row>
    <row r="523" spans="1:17" ht="13.2">
      <c r="A523" s="83" t="s">
        <v>1141</v>
      </c>
      <c r="B523" s="386" t="str">
        <f>HYPERLINK("http://codeforces.com/contest/292/problem/D","CF292-D12-D")</f>
        <v>CF292-D12-D</v>
      </c>
      <c r="C523" s="159"/>
      <c r="D523" s="159"/>
      <c r="E523" s="159"/>
      <c r="F523" s="159"/>
      <c r="G523" s="159"/>
      <c r="H523" s="160"/>
      <c r="I523" s="57">
        <f t="shared" si="8"/>
        <v>0</v>
      </c>
      <c r="J523" s="62"/>
      <c r="K523" s="56"/>
      <c r="L523" s="405"/>
      <c r="M523" s="399"/>
      <c r="N523" s="383" t="s">
        <v>1568</v>
      </c>
      <c r="O523" s="383">
        <v>84</v>
      </c>
      <c r="P523" s="383">
        <v>4.5</v>
      </c>
      <c r="Q523" s="37" t="s">
        <v>1224</v>
      </c>
    </row>
    <row r="524" spans="1:17" ht="13.2">
      <c r="A524" s="83" t="s">
        <v>1009</v>
      </c>
      <c r="B524" s="386" t="str">
        <f>HYPERLINK("https://uva.onlinejudge.org/index.php?option=onlinejudge&amp;page=show_problem&amp;problem=122","UVA 186")</f>
        <v>UVA 186</v>
      </c>
      <c r="C524" s="159"/>
      <c r="D524" s="159"/>
      <c r="E524" s="159"/>
      <c r="F524" s="159"/>
      <c r="G524" s="159"/>
      <c r="H524" s="160"/>
      <c r="I524" s="57">
        <f t="shared" si="8"/>
        <v>0</v>
      </c>
      <c r="J524" s="62"/>
      <c r="K524" s="56"/>
      <c r="L524" s="159"/>
      <c r="M524" s="545"/>
      <c r="N524" s="383" t="s">
        <v>1569</v>
      </c>
      <c r="O524" s="383">
        <v>84</v>
      </c>
      <c r="P524" s="383">
        <v>4.5</v>
      </c>
      <c r="Q524" s="37" t="s">
        <v>1220</v>
      </c>
    </row>
    <row r="525" spans="1:17" ht="13.2">
      <c r="A525" s="83" t="s">
        <v>790</v>
      </c>
      <c r="B525" s="386" t="str">
        <f>HYPERLINK("https://uva.onlinejudge.org/index.php?option=onlinejudge&amp;page=show_problem&amp;problem=61","UVA 125")</f>
        <v>UVA 125</v>
      </c>
      <c r="C525" s="159"/>
      <c r="D525" s="159"/>
      <c r="E525" s="159"/>
      <c r="F525" s="159"/>
      <c r="G525" s="159"/>
      <c r="H525" s="160"/>
      <c r="I525" s="57">
        <f t="shared" si="8"/>
        <v>0</v>
      </c>
      <c r="J525" s="62"/>
      <c r="K525" s="56"/>
      <c r="L525" s="159"/>
      <c r="M525" s="404"/>
      <c r="N525" s="383" t="s">
        <v>1570</v>
      </c>
      <c r="O525" s="383">
        <v>84</v>
      </c>
      <c r="P525" s="383">
        <v>4.5</v>
      </c>
      <c r="Q525" s="37" t="s">
        <v>1220</v>
      </c>
    </row>
    <row r="526" spans="1:17" ht="13.2">
      <c r="A526" s="83" t="s">
        <v>788</v>
      </c>
      <c r="B526" s="386" t="str">
        <f>HYPERLINK("https://uva.onlinejudge.org/index.php?option=com_onlinejudge&amp;Itemid=8&amp;page=show_problem&amp;problem=475","UVA 534")</f>
        <v>UVA 534</v>
      </c>
      <c r="C526" s="159"/>
      <c r="D526" s="159"/>
      <c r="E526" s="159"/>
      <c r="F526" s="159"/>
      <c r="G526" s="159"/>
      <c r="H526" s="160"/>
      <c r="I526" s="57">
        <f t="shared" si="8"/>
        <v>0</v>
      </c>
      <c r="J526" s="62"/>
      <c r="K526" s="56"/>
      <c r="L526" s="159"/>
      <c r="M526" s="406"/>
      <c r="N526" s="383" t="s">
        <v>1552</v>
      </c>
      <c r="O526" s="383">
        <v>84</v>
      </c>
      <c r="P526" s="383">
        <v>4.5</v>
      </c>
      <c r="Q526" s="543"/>
    </row>
    <row r="527" spans="1:17" ht="13.2">
      <c r="A527" s="83" t="s">
        <v>1017</v>
      </c>
      <c r="B527" s="386" t="str">
        <f>HYPERLINK("https://uva.onlinejudge.org/index.php?option=onlinejudge&amp;page=show_problem&amp;problem=1757","UVA 10816")</f>
        <v>UVA 10816</v>
      </c>
      <c r="C527" s="159"/>
      <c r="D527" s="159"/>
      <c r="E527" s="159"/>
      <c r="F527" s="159"/>
      <c r="G527" s="159"/>
      <c r="H527" s="160"/>
      <c r="I527" s="57">
        <f t="shared" si="8"/>
        <v>0</v>
      </c>
      <c r="J527" s="62"/>
      <c r="K527" s="56"/>
      <c r="L527" s="405"/>
      <c r="M527" s="192" t="str">
        <f>HYPERLINK("https://www.youtube.com/watch?v=BX2HhPefv6g","Video Solution - Eng Mohamed Nasser")</f>
        <v>Video Solution - Eng Mohamed Nasser</v>
      </c>
      <c r="N527" s="383" t="s">
        <v>1563</v>
      </c>
      <c r="O527" s="383">
        <v>84</v>
      </c>
      <c r="P527" s="383">
        <v>4.5</v>
      </c>
    </row>
    <row r="528" spans="1:17" ht="13.2">
      <c r="A528" s="83" t="s">
        <v>789</v>
      </c>
      <c r="B528" s="386" t="str">
        <f>HYPERLINK("https://uva.onlinejudge.org/index.php?option=com_onlinejudge&amp;Itemid=8&amp;page=show_problem&amp;problem=270","UVA 334")</f>
        <v>UVA 334</v>
      </c>
      <c r="C528" s="159"/>
      <c r="D528" s="159"/>
      <c r="E528" s="159"/>
      <c r="F528" s="159"/>
      <c r="G528" s="159"/>
      <c r="H528" s="160"/>
      <c r="I528" s="57">
        <f t="shared" si="8"/>
        <v>0</v>
      </c>
      <c r="J528" s="62"/>
      <c r="K528" s="56"/>
      <c r="L528" s="159"/>
      <c r="M528" s="545"/>
      <c r="N528" s="383" t="s">
        <v>1563</v>
      </c>
      <c r="O528" s="383">
        <v>84</v>
      </c>
      <c r="P528" s="383">
        <v>4.5</v>
      </c>
    </row>
    <row r="529" spans="1:17" ht="13.2">
      <c r="A529" s="83" t="s">
        <v>1025</v>
      </c>
      <c r="B529" s="386" t="str">
        <f>HYPERLINK("http://codeforces.com/contest/296/problem/D","CF296-D2-D")</f>
        <v>CF296-D2-D</v>
      </c>
      <c r="C529" s="159"/>
      <c r="D529" s="159"/>
      <c r="E529" s="159"/>
      <c r="F529" s="159"/>
      <c r="G529" s="159"/>
      <c r="H529" s="160"/>
      <c r="I529" s="57">
        <f t="shared" si="8"/>
        <v>0</v>
      </c>
      <c r="J529" s="62"/>
      <c r="K529" s="56"/>
      <c r="L529" s="159"/>
      <c r="M529" s="389" t="str">
        <f>HYPERLINK("https://www.youtube.com/watch?v=W3Zp3yqNsOs","Video Solution - Dr Mostafa Saad")</f>
        <v>Video Solution - Dr Mostafa Saad</v>
      </c>
      <c r="N529" s="383" t="s">
        <v>1555</v>
      </c>
      <c r="O529" s="383">
        <v>84</v>
      </c>
      <c r="P529" s="383">
        <v>4.5</v>
      </c>
      <c r="Q529" s="543"/>
    </row>
    <row r="530" spans="1:17" ht="13.2">
      <c r="A530" s="83" t="s">
        <v>867</v>
      </c>
      <c r="B530" s="386" t="str">
        <f>HYPERLINK("http://codeforces.com/contest/400/problem/D","CF400-D2-D")</f>
        <v>CF400-D2-D</v>
      </c>
      <c r="C530" s="159"/>
      <c r="D530" s="159"/>
      <c r="E530" s="159"/>
      <c r="F530" s="159"/>
      <c r="G530" s="159"/>
      <c r="H530" s="160"/>
      <c r="I530" s="57">
        <f t="shared" si="8"/>
        <v>0</v>
      </c>
      <c r="J530" s="102"/>
      <c r="K530" s="101"/>
      <c r="L530" s="159"/>
      <c r="M530" s="545"/>
      <c r="N530" s="383" t="s">
        <v>1593</v>
      </c>
      <c r="O530" s="383">
        <v>86</v>
      </c>
      <c r="P530" s="383">
        <v>4.5</v>
      </c>
      <c r="Q530" s="37" t="s">
        <v>1224</v>
      </c>
    </row>
    <row r="531" spans="1:17" ht="13.2">
      <c r="A531" s="83" t="s">
        <v>1179</v>
      </c>
      <c r="B531" s="386" t="str">
        <f>HYPERLINK("http://codeforces.com/contest/189/problem/D","CF189-D2-D")</f>
        <v>CF189-D2-D</v>
      </c>
      <c r="C531" s="159"/>
      <c r="D531" s="159"/>
      <c r="E531" s="159"/>
      <c r="F531" s="159"/>
      <c r="G531" s="159"/>
      <c r="H531" s="160"/>
      <c r="I531" s="57">
        <f t="shared" si="8"/>
        <v>0</v>
      </c>
      <c r="J531" s="96"/>
      <c r="K531" s="159"/>
      <c r="L531" s="405"/>
      <c r="M531" s="408" t="str">
        <f>HYPERLINK("https://www.youtube.com/watch?v=1Ki1L9BAJIQ","Video Solution - Dr Mostafa Saad")</f>
        <v>Video Solution - Dr Mostafa Saad</v>
      </c>
      <c r="N531" s="383" t="s">
        <v>1598</v>
      </c>
      <c r="O531" s="383">
        <v>86</v>
      </c>
      <c r="P531" s="383">
        <v>4.5</v>
      </c>
      <c r="Q531" s="37" t="s">
        <v>1224</v>
      </c>
    </row>
    <row r="532" spans="1:17" ht="13.2">
      <c r="A532" s="83" t="s">
        <v>1199</v>
      </c>
      <c r="B532" s="386" t="str">
        <f>HYPERLINK("https://uva.onlinejudge.org/index.php?option=onlinejudge&amp;page=show_problem&amp;problem=1928","UVA 10987")</f>
        <v>UVA 10987</v>
      </c>
      <c r="C532" s="159"/>
      <c r="D532" s="159"/>
      <c r="E532" s="159"/>
      <c r="F532" s="159"/>
      <c r="G532" s="159"/>
      <c r="H532" s="160"/>
      <c r="I532" s="57">
        <f t="shared" si="8"/>
        <v>0</v>
      </c>
      <c r="J532" s="102"/>
      <c r="K532" s="101"/>
      <c r="L532" s="405"/>
      <c r="M532" s="399"/>
      <c r="N532" s="383" t="s">
        <v>1621</v>
      </c>
      <c r="O532" s="383">
        <v>87</v>
      </c>
      <c r="P532" s="383">
        <v>4.5</v>
      </c>
      <c r="Q532" s="37" t="s">
        <v>1224</v>
      </c>
    </row>
    <row r="533" spans="1:17" ht="13.2">
      <c r="A533" s="83" t="s">
        <v>1034</v>
      </c>
      <c r="B533" s="386" t="str">
        <f>HYPERLINK("https://www.youtube.com/watch?v=OWlJ8chpit0","UVA 10448")</f>
        <v>UVA 10448</v>
      </c>
      <c r="C533" s="159"/>
      <c r="D533" s="159"/>
      <c r="E533" s="159"/>
      <c r="F533" s="159"/>
      <c r="G533" s="159"/>
      <c r="H533" s="160"/>
      <c r="I533" s="57">
        <f t="shared" si="8"/>
        <v>0</v>
      </c>
      <c r="J533" s="62"/>
      <c r="K533" s="56"/>
      <c r="L533" s="159"/>
      <c r="M533" s="399"/>
      <c r="N533" s="383" t="s">
        <v>1607</v>
      </c>
      <c r="O533" s="383">
        <v>87</v>
      </c>
      <c r="P533" s="383">
        <v>4.5</v>
      </c>
      <c r="Q533" s="543"/>
    </row>
    <row r="534" spans="1:17" ht="13.2">
      <c r="A534" s="83" t="s">
        <v>1158</v>
      </c>
      <c r="B534" s="386" t="str">
        <f>HYPERLINK("https://uva.onlinejudge.org/index.php?option=com_onlinejudge&amp;Itemid=8&amp;page=show_problem&amp;problem=40","UVA 104")</f>
        <v>UVA 104</v>
      </c>
      <c r="C534" s="159"/>
      <c r="D534" s="159"/>
      <c r="E534" s="159"/>
      <c r="F534" s="159"/>
      <c r="G534" s="159"/>
      <c r="H534" s="160"/>
      <c r="I534" s="57">
        <f t="shared" si="8"/>
        <v>0</v>
      </c>
      <c r="J534" s="102"/>
      <c r="K534" s="101"/>
      <c r="L534" s="405"/>
      <c r="M534" s="389" t="str">
        <f>HYPERLINK("https://www.youtube.com/watch?v=tge-NMPdndc","Video Solution - Solver to be (Java)")</f>
        <v>Video Solution - Solver to be (Java)</v>
      </c>
      <c r="N534" s="383" t="s">
        <v>1607</v>
      </c>
      <c r="O534" s="383">
        <v>87</v>
      </c>
      <c r="P534" s="383">
        <v>4.5</v>
      </c>
      <c r="Q534" s="543"/>
    </row>
    <row r="535" spans="1:17" ht="13.2">
      <c r="A535" s="83" t="s">
        <v>1066</v>
      </c>
      <c r="B535" s="386" t="str">
        <f>HYPERLINK("http://www.spoj.com/problems/POTHOLE/","SPOJ POTHOLE")</f>
        <v>SPOJ POTHOLE</v>
      </c>
      <c r="C535" s="159"/>
      <c r="D535" s="159"/>
      <c r="E535" s="159"/>
      <c r="F535" s="159"/>
      <c r="G535" s="159"/>
      <c r="H535" s="160"/>
      <c r="I535" s="57">
        <f t="shared" si="8"/>
        <v>0</v>
      </c>
      <c r="J535" s="62"/>
      <c r="K535" s="56"/>
      <c r="L535" s="159"/>
      <c r="M535" s="545"/>
      <c r="N535" s="383" t="s">
        <v>1623</v>
      </c>
      <c r="O535" s="383">
        <v>87</v>
      </c>
      <c r="P535" s="383">
        <v>4.5</v>
      </c>
    </row>
    <row r="536" spans="1:17" ht="13.2">
      <c r="A536" s="83" t="s">
        <v>1067</v>
      </c>
      <c r="B536" s="386" t="str">
        <f>HYPERLINK("https://uva.onlinejudge.org/index.php?option=onlinejudge&amp;page=show_problem&amp;problem=1271","UVA 10330")</f>
        <v>UVA 10330</v>
      </c>
      <c r="C536" s="159"/>
      <c r="D536" s="159"/>
      <c r="E536" s="159"/>
      <c r="F536" s="159"/>
      <c r="G536" s="159"/>
      <c r="H536" s="160"/>
      <c r="I536" s="57">
        <f t="shared" si="8"/>
        <v>0</v>
      </c>
      <c r="J536" s="62"/>
      <c r="K536" s="56"/>
      <c r="L536" s="159"/>
      <c r="M536" s="545"/>
      <c r="N536" s="383" t="s">
        <v>1616</v>
      </c>
      <c r="O536" s="383">
        <v>87</v>
      </c>
      <c r="P536" s="383">
        <v>4.5</v>
      </c>
    </row>
    <row r="537" spans="1:17" ht="13.2">
      <c r="A537" s="83" t="s">
        <v>1167</v>
      </c>
      <c r="B537" s="386" t="str">
        <f>HYPERLINK("https://uva.onlinejudge.org/index.php?option=com_onlinejudge&amp;Itemid=8&amp;page=show_problem&amp;problem=1033","UVA 10092")</f>
        <v>UVA 10092</v>
      </c>
      <c r="C537" s="159"/>
      <c r="D537" s="159"/>
      <c r="E537" s="159"/>
      <c r="F537" s="159"/>
      <c r="G537" s="159"/>
      <c r="H537" s="160"/>
      <c r="I537" s="57">
        <f t="shared" si="8"/>
        <v>0</v>
      </c>
      <c r="J537" s="62"/>
      <c r="K537" s="56"/>
      <c r="L537" s="405"/>
      <c r="M537" s="545"/>
      <c r="N537" s="383" t="s">
        <v>1624</v>
      </c>
      <c r="O537" s="383">
        <v>87</v>
      </c>
      <c r="P537" s="383">
        <v>4.5</v>
      </c>
      <c r="Q537" s="543"/>
    </row>
    <row r="538" spans="1:17" ht="13.2">
      <c r="A538" s="83" t="s">
        <v>1136</v>
      </c>
      <c r="B538" s="386" t="str">
        <f>HYPERLINK("https://uva.onlinejudge.org/index.php?option=com_onlinejudge&amp;Itemid=8&amp;page=show_problem&amp;problem=504","UVA 563")</f>
        <v>UVA 563</v>
      </c>
      <c r="C538" s="159"/>
      <c r="D538" s="159"/>
      <c r="E538" s="159"/>
      <c r="F538" s="159"/>
      <c r="G538" s="159"/>
      <c r="H538" s="160"/>
      <c r="I538" s="57">
        <f t="shared" si="8"/>
        <v>0</v>
      </c>
      <c r="J538" s="62"/>
      <c r="K538" s="56"/>
      <c r="L538" s="405"/>
      <c r="M538" s="293" t="str">
        <f>HYPERLINK("https://github.com/ahmedcpbl/CompetitiveProgramming/blob/master/UVA/153.cpp","Sol")</f>
        <v>Sol</v>
      </c>
      <c r="N538" s="383" t="s">
        <v>1646</v>
      </c>
      <c r="O538" s="383">
        <v>94</v>
      </c>
      <c r="P538" s="383">
        <v>4.5</v>
      </c>
      <c r="Q538" s="37" t="s">
        <v>1226</v>
      </c>
    </row>
    <row r="539" spans="1:17" ht="13.2">
      <c r="A539" s="83" t="s">
        <v>1072</v>
      </c>
      <c r="B539" s="386" t="str">
        <f>HYPERLINK("http://www.spoj.com/problems/IM","SPOJ IM")</f>
        <v>SPOJ IM</v>
      </c>
      <c r="C539" s="159"/>
      <c r="D539" s="159"/>
      <c r="E539" s="159"/>
      <c r="F539" s="159"/>
      <c r="G539" s="159"/>
      <c r="H539" s="160"/>
      <c r="I539" s="57">
        <f t="shared" si="8"/>
        <v>0</v>
      </c>
      <c r="J539" s="62"/>
      <c r="K539" s="56"/>
      <c r="L539" s="159"/>
      <c r="M539" s="404"/>
      <c r="N539" s="383" t="s">
        <v>1647</v>
      </c>
      <c r="O539" s="383">
        <v>95</v>
      </c>
      <c r="P539" s="383">
        <v>4.5</v>
      </c>
      <c r="Q539" s="37" t="s">
        <v>1226</v>
      </c>
    </row>
    <row r="540" spans="1:17" ht="13.2">
      <c r="A540" s="83" t="s">
        <v>1071</v>
      </c>
      <c r="B540" s="386" t="str">
        <f>HYPERLINK("https://uva.onlinejudge.org/index.php?option=onlinejudge&amp;page=show_problem&amp;problem=694","UVA 753")</f>
        <v>UVA 753</v>
      </c>
      <c r="C540" s="159"/>
      <c r="D540" s="159"/>
      <c r="E540" s="159"/>
      <c r="F540" s="159"/>
      <c r="G540" s="159"/>
      <c r="H540" s="160"/>
      <c r="I540" s="57">
        <f t="shared" si="8"/>
        <v>0</v>
      </c>
      <c r="J540" s="62"/>
      <c r="K540" s="56"/>
      <c r="L540" s="159"/>
      <c r="M540" s="406"/>
      <c r="N540" s="383" t="s">
        <v>1649</v>
      </c>
      <c r="O540" s="383">
        <v>95</v>
      </c>
      <c r="P540" s="383">
        <v>4.5</v>
      </c>
      <c r="Q540" s="543"/>
    </row>
    <row r="541" spans="1:17" ht="13.2">
      <c r="A541" s="83" t="s">
        <v>1193</v>
      </c>
      <c r="B541" s="386" t="str">
        <f>HYPERLINK("https://uva.onlinejudge.org/index.php?option=com_onlinejudge&amp;Itemid=8&amp;page=show_problem&amp;problem=3277","UVA 12125")</f>
        <v>UVA 12125</v>
      </c>
      <c r="C541" s="159"/>
      <c r="D541" s="159"/>
      <c r="E541" s="159"/>
      <c r="F541" s="159"/>
      <c r="G541" s="159"/>
      <c r="H541" s="160"/>
      <c r="I541" s="57">
        <f t="shared" si="8"/>
        <v>0</v>
      </c>
      <c r="J541" s="62"/>
      <c r="K541" s="56"/>
      <c r="L541" s="405"/>
      <c r="M541" s="545"/>
      <c r="N541" s="383" t="s">
        <v>1659</v>
      </c>
      <c r="O541" s="383">
        <v>99</v>
      </c>
      <c r="P541" s="383">
        <v>4.5</v>
      </c>
      <c r="Q541" s="37" t="s">
        <v>1226</v>
      </c>
    </row>
    <row r="542" spans="1:17" ht="13.2">
      <c r="A542" s="83" t="s">
        <v>1068</v>
      </c>
      <c r="B542" s="386" t="str">
        <f>HYPERLINK("https://uva.onlinejudge.org/index.php?option=com_onlinejudge&amp;Itemid=8&amp;page=show_problem&amp;problem=1021","UVA 10080")</f>
        <v>UVA 10080</v>
      </c>
      <c r="C542" s="159"/>
      <c r="D542" s="159"/>
      <c r="E542" s="159"/>
      <c r="F542" s="159"/>
      <c r="G542" s="159"/>
      <c r="H542" s="160"/>
      <c r="I542" s="57">
        <f t="shared" si="8"/>
        <v>0</v>
      </c>
      <c r="J542" s="62"/>
      <c r="K542" s="56"/>
      <c r="L542" s="159"/>
      <c r="M542" s="545"/>
      <c r="N542" s="383" t="s">
        <v>1658</v>
      </c>
      <c r="O542" s="383">
        <v>99</v>
      </c>
      <c r="P542" s="383">
        <v>4.5</v>
      </c>
    </row>
    <row r="543" spans="1:17" ht="13.2">
      <c r="A543" s="83" t="s">
        <v>1069</v>
      </c>
      <c r="B543" s="386" t="str">
        <f>HYPERLINK("https://uva.onlinejudge.org/index.php?option=com_onlinejudge&amp;Itemid=8&amp;page=show_problem&amp;problem=195","UVA 259")</f>
        <v>UVA 259</v>
      </c>
      <c r="C543" s="159"/>
      <c r="D543" s="159"/>
      <c r="E543" s="159"/>
      <c r="F543" s="159"/>
      <c r="G543" s="159"/>
      <c r="H543" s="160"/>
      <c r="I543" s="57">
        <f t="shared" si="8"/>
        <v>0</v>
      </c>
      <c r="J543" s="62"/>
      <c r="K543" s="56"/>
      <c r="L543" s="159"/>
      <c r="M543" s="545"/>
      <c r="N543" s="383" t="s">
        <v>1675</v>
      </c>
      <c r="O543" s="383">
        <v>105</v>
      </c>
      <c r="P543" s="383">
        <v>4.5</v>
      </c>
    </row>
    <row r="544" spans="1:17" ht="13.2">
      <c r="A544" s="83"/>
      <c r="B544" s="83" t="s">
        <v>1082</v>
      </c>
      <c r="C544" s="159"/>
      <c r="D544" s="159"/>
      <c r="E544" s="159"/>
      <c r="F544" s="159"/>
      <c r="G544" s="159"/>
      <c r="H544" s="160"/>
      <c r="I544" s="57">
        <f t="shared" si="8"/>
        <v>0</v>
      </c>
      <c r="J544" s="102"/>
      <c r="K544" s="101"/>
      <c r="L544" s="159"/>
      <c r="M544" s="293" t="str">
        <f>HYPERLINK("http://codeforces.com/contest/443/submission/27060632","Sol")</f>
        <v>Sol</v>
      </c>
      <c r="N544" s="383" t="s">
        <v>1699</v>
      </c>
      <c r="O544" s="383">
        <v>114</v>
      </c>
      <c r="P544" s="383">
        <v>4.5</v>
      </c>
      <c r="Q544" s="37" t="s">
        <v>1226</v>
      </c>
    </row>
    <row r="545" spans="1:17" ht="13.2">
      <c r="A545" s="83"/>
      <c r="B545" s="83" t="s">
        <v>1081</v>
      </c>
      <c r="C545" s="159"/>
      <c r="D545" s="159"/>
      <c r="E545" s="159"/>
      <c r="F545" s="159"/>
      <c r="G545" s="159"/>
      <c r="H545" s="160"/>
      <c r="I545" s="57">
        <f t="shared" si="8"/>
        <v>0</v>
      </c>
      <c r="J545" s="102"/>
      <c r="K545" s="101"/>
      <c r="L545" s="159"/>
      <c r="M545" s="404"/>
      <c r="N545" s="383" t="s">
        <v>1700</v>
      </c>
      <c r="O545" s="383">
        <v>114</v>
      </c>
      <c r="P545" s="383">
        <v>4.5</v>
      </c>
      <c r="Q545" s="543"/>
    </row>
    <row r="546" spans="1:17" ht="13.2">
      <c r="A546" s="83"/>
      <c r="B546" s="83" t="s">
        <v>1073</v>
      </c>
      <c r="C546" s="159"/>
      <c r="D546" s="159"/>
      <c r="E546" s="159"/>
      <c r="F546" s="159"/>
      <c r="G546" s="159"/>
      <c r="H546" s="160"/>
      <c r="I546" s="57">
        <f t="shared" si="8"/>
        <v>0</v>
      </c>
      <c r="J546" s="62"/>
      <c r="K546" s="56"/>
      <c r="L546" s="159"/>
      <c r="M546" s="545"/>
      <c r="N546" s="383" t="s">
        <v>1702</v>
      </c>
      <c r="O546" s="383">
        <v>114</v>
      </c>
      <c r="P546" s="383">
        <v>4.5</v>
      </c>
      <c r="Q546" s="543"/>
    </row>
    <row r="547" spans="1:17" ht="13.2">
      <c r="A547" s="83"/>
      <c r="B547" s="386" t="str">
        <f>HYPERLINK("https://uva.onlinejudge.org/index.php?option=onlinejudge&amp;page=show_problem&amp;problem=1290","UVA 10349")</f>
        <v>UVA 10349</v>
      </c>
      <c r="C547" s="159"/>
      <c r="D547" s="159"/>
      <c r="E547" s="159"/>
      <c r="F547" s="159"/>
      <c r="G547" s="159"/>
      <c r="H547" s="160"/>
      <c r="I547" s="57">
        <f t="shared" si="8"/>
        <v>0</v>
      </c>
      <c r="J547" s="62"/>
      <c r="K547" s="56"/>
      <c r="L547" s="159"/>
      <c r="M547" s="545"/>
      <c r="N547" s="383" t="s">
        <v>1711</v>
      </c>
      <c r="O547" s="383">
        <v>117</v>
      </c>
      <c r="P547" s="383">
        <v>4.5</v>
      </c>
      <c r="Q547" s="37" t="s">
        <v>1226</v>
      </c>
    </row>
    <row r="548" spans="1:17" ht="13.2">
      <c r="A548" s="83"/>
      <c r="B548" s="386" t="str">
        <f>HYPERLINK("https://uva.onlinejudge.org/index.php?option=com_onlinejudge&amp;Itemid=8&amp;page=show_problem&amp;problem=2100","UVA 11159")</f>
        <v>UVA 11159</v>
      </c>
      <c r="C548" s="159"/>
      <c r="D548" s="159"/>
      <c r="E548" s="159"/>
      <c r="F548" s="159"/>
      <c r="G548" s="159"/>
      <c r="H548" s="160"/>
      <c r="I548" s="57">
        <f t="shared" si="8"/>
        <v>0</v>
      </c>
      <c r="J548" s="62"/>
      <c r="K548" s="56"/>
      <c r="L548" s="159"/>
      <c r="M548" s="389" t="str">
        <f>HYPERLINK("https://github.com/mostafa-saad/MyCompetitiveProgramming/blob/master/UVA/UVA_10484.txt","Sol to read")</f>
        <v>Sol to read</v>
      </c>
      <c r="N548" s="383" t="s">
        <v>1708</v>
      </c>
      <c r="O548" s="383">
        <v>117</v>
      </c>
      <c r="P548" s="383">
        <v>4.5</v>
      </c>
      <c r="Q548" s="37" t="s">
        <v>1224</v>
      </c>
    </row>
    <row r="549" spans="1:17" ht="13.2">
      <c r="A549" s="83"/>
      <c r="B549" s="83" t="s">
        <v>1070</v>
      </c>
      <c r="C549" s="159"/>
      <c r="D549" s="159"/>
      <c r="E549" s="159"/>
      <c r="F549" s="159"/>
      <c r="G549" s="159"/>
      <c r="H549" s="160"/>
      <c r="I549" s="57">
        <f t="shared" si="8"/>
        <v>0</v>
      </c>
      <c r="J549" s="62"/>
      <c r="K549" s="56"/>
      <c r="L549" s="159"/>
      <c r="M549" s="545"/>
      <c r="N549" s="383" t="s">
        <v>1715</v>
      </c>
      <c r="O549" s="383">
        <v>118</v>
      </c>
      <c r="P549" s="383">
        <v>4.5</v>
      </c>
      <c r="Q549" s="37" t="s">
        <v>1226</v>
      </c>
    </row>
    <row r="550" spans="1:17" ht="26.4">
      <c r="A550" s="83"/>
      <c r="B550" s="83" t="s">
        <v>1134</v>
      </c>
      <c r="C550" s="159"/>
      <c r="D550" s="159"/>
      <c r="E550" s="159"/>
      <c r="F550" s="159"/>
      <c r="G550" s="159"/>
      <c r="H550" s="160"/>
      <c r="I550" s="57">
        <f t="shared" si="8"/>
        <v>0</v>
      </c>
      <c r="J550" s="62"/>
      <c r="K550" s="56"/>
      <c r="L550" s="405"/>
      <c r="M550" s="293" t="str">
        <f>HYPERLINK("https://github.com/mostafa-saad/MyCompetitiveProgramming/blob/master/SPOJ/SPOJ_HISTOGRA.txt","Sol. Don't implement as adhock/greedy/Pure STL. Use a data structure.")</f>
        <v>Sol. Don't implement as adhock/greedy/Pure STL. Use a data structure.</v>
      </c>
      <c r="N550" s="383" t="s">
        <v>1719</v>
      </c>
      <c r="O550" s="383">
        <v>122</v>
      </c>
      <c r="P550" s="383">
        <v>4.5</v>
      </c>
      <c r="Q550" s="37" t="s">
        <v>1251</v>
      </c>
    </row>
    <row r="551" spans="1:17" ht="13.2">
      <c r="A551" s="83"/>
      <c r="B551" s="83" t="s">
        <v>1165</v>
      </c>
      <c r="C551" s="159"/>
      <c r="D551" s="159"/>
      <c r="E551" s="159"/>
      <c r="F551" s="159"/>
      <c r="G551" s="159"/>
      <c r="H551" s="160"/>
      <c r="I551" s="57">
        <f t="shared" si="8"/>
        <v>0</v>
      </c>
      <c r="J551" s="62"/>
      <c r="K551" s="56"/>
      <c r="L551" s="405"/>
      <c r="M551" s="406"/>
      <c r="N551" s="383" t="s">
        <v>1723</v>
      </c>
      <c r="O551" s="383">
        <v>123</v>
      </c>
      <c r="P551" s="383">
        <v>4.5</v>
      </c>
      <c r="Q551" s="543"/>
    </row>
    <row r="552" spans="1:17" ht="13.2">
      <c r="A552" s="83" t="s">
        <v>1091</v>
      </c>
      <c r="B552" s="386" t="str">
        <f>HYPERLINK("https://uva.onlinejudge.org/index.php?option=onlinejudge&amp;page=show_problem&amp;problem=1421","UVA 10480")</f>
        <v>UVA 10480</v>
      </c>
      <c r="C552" s="159"/>
      <c r="D552" s="159"/>
      <c r="E552" s="159"/>
      <c r="F552" s="159"/>
      <c r="G552" s="159"/>
      <c r="H552" s="160"/>
      <c r="I552" s="57">
        <f t="shared" si="8"/>
        <v>0</v>
      </c>
      <c r="J552" s="62"/>
      <c r="K552" s="56"/>
      <c r="L552" s="159"/>
      <c r="M552" s="404"/>
      <c r="N552" s="383" t="s">
        <v>1730</v>
      </c>
      <c r="O552" s="383">
        <v>125</v>
      </c>
      <c r="P552" s="383">
        <v>4.5</v>
      </c>
      <c r="Q552" s="37" t="s">
        <v>1226</v>
      </c>
    </row>
    <row r="553" spans="1:17" ht="13.2">
      <c r="A553" s="83" t="s">
        <v>1105</v>
      </c>
      <c r="B553" s="386" t="str">
        <f>HYPERLINK("http://acm.zju.edu.cn/onlinejudge/showProblem.do?problemCode=2587","ZOJ 2587")</f>
        <v>ZOJ 2587</v>
      </c>
      <c r="C553" s="159"/>
      <c r="D553" s="159"/>
      <c r="E553" s="159"/>
      <c r="F553" s="159"/>
      <c r="G553" s="159"/>
      <c r="H553" s="160"/>
      <c r="I553" s="57">
        <f t="shared" si="8"/>
        <v>0</v>
      </c>
      <c r="J553" s="62"/>
      <c r="K553" s="56"/>
      <c r="L553" s="405"/>
      <c r="M553" s="403" t="str">
        <f>HYPERLINK("https://github.com/mostafa-saad/MyCompetitiveProgramming/blob/master/SPOJ/SPOJ_CITY2.txt","Sol")</f>
        <v>Sol</v>
      </c>
      <c r="N553" s="383" t="s">
        <v>1731</v>
      </c>
      <c r="O553" s="383">
        <v>125</v>
      </c>
      <c r="P553" s="383">
        <v>4.5</v>
      </c>
      <c r="Q553" s="37" t="s">
        <v>1224</v>
      </c>
    </row>
    <row r="554" spans="1:17" ht="13.2">
      <c r="A554" s="83" t="s">
        <v>1189</v>
      </c>
      <c r="B554" s="386" t="str">
        <f>HYPERLINK("https://uva.onlinejudge.org/index.php?option=onlinejudge&amp;page=show_problem&amp;problem=2501","UVA 11506")</f>
        <v>UVA 11506</v>
      </c>
      <c r="C554" s="159"/>
      <c r="D554" s="159"/>
      <c r="E554" s="159"/>
      <c r="F554" s="159"/>
      <c r="G554" s="159"/>
      <c r="H554" s="160"/>
      <c r="I554" s="57">
        <f t="shared" si="8"/>
        <v>0</v>
      </c>
      <c r="J554" s="62"/>
      <c r="K554" s="56"/>
      <c r="L554" s="405"/>
      <c r="M554" s="406"/>
      <c r="N554" s="383" t="s">
        <v>1732</v>
      </c>
      <c r="O554" s="383">
        <v>125</v>
      </c>
      <c r="P554" s="383">
        <v>4.5</v>
      </c>
      <c r="Q554" s="37" t="s">
        <v>1224</v>
      </c>
    </row>
    <row r="555" spans="1:17" ht="13.2">
      <c r="A555" s="386" t="str">
        <f>HYPERLINK("https://community.topcoder.com/stat?c=problem_statement&amp;pm=10580","PeopleYouMayKnow")</f>
        <v>PeopleYouMayKnow</v>
      </c>
      <c r="B555" s="83" t="s">
        <v>1194</v>
      </c>
      <c r="C555" s="159"/>
      <c r="D555" s="159"/>
      <c r="E555" s="159"/>
      <c r="F555" s="159"/>
      <c r="G555" s="159"/>
      <c r="H555" s="160"/>
      <c r="I555" s="57">
        <f t="shared" si="8"/>
        <v>0</v>
      </c>
      <c r="J555" s="62"/>
      <c r="K555" s="56"/>
      <c r="L555" s="405"/>
      <c r="M555" s="404"/>
      <c r="N555" s="383" t="s">
        <v>1733</v>
      </c>
      <c r="O555" s="383">
        <v>125</v>
      </c>
      <c r="P555" s="383">
        <v>4.5</v>
      </c>
      <c r="Q555" s="37" t="s">
        <v>1220</v>
      </c>
    </row>
    <row r="556" spans="1:17" ht="13.2">
      <c r="A556" s="83"/>
      <c r="B556" s="83" t="s">
        <v>1148</v>
      </c>
      <c r="C556" s="159"/>
      <c r="D556" s="159"/>
      <c r="E556" s="159"/>
      <c r="F556" s="159"/>
      <c r="G556" s="159"/>
      <c r="H556" s="160"/>
      <c r="I556" s="57">
        <f t="shared" si="8"/>
        <v>0</v>
      </c>
      <c r="J556" s="62"/>
      <c r="K556" s="56"/>
      <c r="L556" s="405"/>
      <c r="M556" s="399"/>
      <c r="N556" s="383" t="s">
        <v>1734</v>
      </c>
      <c r="O556" s="383">
        <v>125</v>
      </c>
      <c r="P556" s="383">
        <v>4.5</v>
      </c>
      <c r="Q556" s="543"/>
    </row>
    <row r="557" spans="1:17" ht="13.2">
      <c r="A557" s="83"/>
      <c r="B557" s="83" t="s">
        <v>1116</v>
      </c>
      <c r="C557" s="159"/>
      <c r="D557" s="159"/>
      <c r="E557" s="159"/>
      <c r="F557" s="159"/>
      <c r="G557" s="159"/>
      <c r="H557" s="160"/>
      <c r="I557" s="57">
        <f t="shared" si="8"/>
        <v>0</v>
      </c>
      <c r="J557" s="96"/>
      <c r="K557" s="159"/>
      <c r="L557" s="405"/>
      <c r="M557" s="404"/>
      <c r="N557" s="383" t="s">
        <v>1756</v>
      </c>
      <c r="O557" s="383">
        <v>130</v>
      </c>
      <c r="P557" s="383">
        <v>4.5</v>
      </c>
      <c r="Q557" s="37" t="s">
        <v>1226</v>
      </c>
    </row>
    <row r="558" spans="1:17" ht="13.2">
      <c r="A558" s="83" t="s">
        <v>456</v>
      </c>
      <c r="B558" s="386" t="str">
        <f>HYPERLINK("https://uva.onlinejudge.org/index.php?option=com_onlinejudge&amp;Itemid=8&amp;page=show_problem&amp;problem=1088","UVA 10147")</f>
        <v>UVA 10147</v>
      </c>
      <c r="C558" s="159"/>
      <c r="D558" s="159"/>
      <c r="E558" s="159"/>
      <c r="F558" s="159"/>
      <c r="G558" s="159"/>
      <c r="H558" s="160"/>
      <c r="I558" s="57">
        <f t="shared" si="8"/>
        <v>0</v>
      </c>
      <c r="J558" s="62"/>
      <c r="K558" s="56"/>
      <c r="L558" s="159"/>
      <c r="M558" s="545"/>
      <c r="N558" s="383" t="s">
        <v>1759</v>
      </c>
      <c r="O558" s="383">
        <v>135</v>
      </c>
      <c r="P558" s="383">
        <v>4.5</v>
      </c>
      <c r="Q558" s="37" t="s">
        <v>1226</v>
      </c>
    </row>
    <row r="559" spans="1:17" ht="13.2">
      <c r="A559" s="83" t="s">
        <v>724</v>
      </c>
      <c r="B559" s="386" t="str">
        <f>HYPERLINK("https://uva.onlinejudge.org/index.php?option=onlinejudge&amp;page=show_problem&amp;problem=1403","UVA 10462")</f>
        <v>UVA 10462</v>
      </c>
      <c r="C559" s="159"/>
      <c r="D559" s="159"/>
      <c r="E559" s="159"/>
      <c r="F559" s="159"/>
      <c r="G559" s="159"/>
      <c r="H559" s="160"/>
      <c r="I559" s="57">
        <f t="shared" si="8"/>
        <v>0</v>
      </c>
      <c r="J559" s="96"/>
      <c r="K559" s="159"/>
      <c r="L559" s="159"/>
      <c r="M559" s="545"/>
      <c r="N559" s="383" t="s">
        <v>1760</v>
      </c>
      <c r="O559" s="383">
        <v>135</v>
      </c>
      <c r="P559" s="383">
        <v>4.5</v>
      </c>
      <c r="Q559" s="37" t="s">
        <v>1226</v>
      </c>
    </row>
    <row r="560" spans="1:17" ht="13.2">
      <c r="A560" s="83"/>
      <c r="B560" s="83" t="s">
        <v>574</v>
      </c>
      <c r="C560" s="159"/>
      <c r="D560" s="159"/>
      <c r="E560" s="159"/>
      <c r="F560" s="159"/>
      <c r="G560" s="159"/>
      <c r="H560" s="160"/>
      <c r="I560" s="57">
        <f t="shared" si="8"/>
        <v>0</v>
      </c>
      <c r="J560" s="102"/>
      <c r="K560" s="101"/>
      <c r="L560" s="159"/>
      <c r="M560" s="545"/>
      <c r="N560" s="383" t="s">
        <v>1759</v>
      </c>
      <c r="O560" s="383">
        <v>135</v>
      </c>
      <c r="P560" s="383">
        <v>4.5</v>
      </c>
      <c r="Q560" s="37" t="s">
        <v>1224</v>
      </c>
    </row>
    <row r="561" spans="1:17" ht="13.2">
      <c r="A561" s="83" t="s">
        <v>457</v>
      </c>
      <c r="B561" s="386" t="str">
        <f>HYPERLINK("https://uva.onlinejudge.org/index.php?option=com_onlinejudge&amp;Itemid=8&amp;page=show_problem&amp;problem=1541","UVA 10600")</f>
        <v>UVA 10600</v>
      </c>
      <c r="C561" s="159"/>
      <c r="D561" s="159"/>
      <c r="E561" s="159"/>
      <c r="F561" s="159"/>
      <c r="G561" s="159"/>
      <c r="H561" s="160"/>
      <c r="I561" s="57">
        <f t="shared" si="8"/>
        <v>0</v>
      </c>
      <c r="J561" s="62"/>
      <c r="K561" s="56"/>
      <c r="L561" s="159"/>
      <c r="M561" s="545"/>
      <c r="N561" s="383" t="s">
        <v>1765</v>
      </c>
      <c r="O561" s="383">
        <v>138</v>
      </c>
      <c r="P561" s="383">
        <v>4.5</v>
      </c>
      <c r="Q561" s="543"/>
    </row>
    <row r="562" spans="1:17" ht="13.2">
      <c r="A562" s="386" t="str">
        <f>HYPERLINK("https://community.topcoder.com/stat?c=problem_statement&amp;pm=11049&amp;rd=14245","TimeTravellingSalesman")</f>
        <v>TimeTravellingSalesman</v>
      </c>
      <c r="B562" s="83" t="s">
        <v>1192</v>
      </c>
      <c r="C562" s="159"/>
      <c r="D562" s="159"/>
      <c r="E562" s="159"/>
      <c r="F562" s="159"/>
      <c r="G562" s="159"/>
      <c r="H562" s="160"/>
      <c r="I562" s="57">
        <f t="shared" si="8"/>
        <v>0</v>
      </c>
      <c r="J562" s="62"/>
      <c r="K562" s="56"/>
      <c r="L562" s="405"/>
      <c r="M562" s="547"/>
      <c r="N562" s="383" t="s">
        <v>1238</v>
      </c>
      <c r="O562" s="383">
        <v>1</v>
      </c>
      <c r="P562" s="383">
        <v>5</v>
      </c>
      <c r="Q562" s="37" t="s">
        <v>1226</v>
      </c>
    </row>
    <row r="563" spans="1:17" ht="13.2">
      <c r="A563" s="83"/>
      <c r="B563" s="386" t="str">
        <f>HYPERLINK("http://codeforces.com/contest/472/problem/D","CF472-D12-D")</f>
        <v>CF472-D12-D</v>
      </c>
      <c r="C563" s="159"/>
      <c r="D563" s="159"/>
      <c r="E563" s="159"/>
      <c r="F563" s="159"/>
      <c r="G563" s="159"/>
      <c r="H563" s="160"/>
      <c r="I563" s="57">
        <f t="shared" si="8"/>
        <v>0</v>
      </c>
      <c r="J563" s="102"/>
      <c r="K563" s="101"/>
      <c r="L563" s="159"/>
      <c r="M563" s="404"/>
      <c r="N563" s="383" t="s">
        <v>1239</v>
      </c>
      <c r="O563" s="383">
        <v>1</v>
      </c>
      <c r="P563" s="383">
        <v>5</v>
      </c>
      <c r="Q563" s="37" t="s">
        <v>1226</v>
      </c>
    </row>
    <row r="564" spans="1:17" ht="13.2">
      <c r="A564" s="83" t="s">
        <v>1170</v>
      </c>
      <c r="B564" s="386" t="str">
        <f>HYPERLINK("https://uva.onlinejudge.org/index.php?option=com_onlinejudge&amp;Itemid=8&amp;page=show_problem&amp;problem=3675","UVA 1234")</f>
        <v>UVA 1234</v>
      </c>
      <c r="C564" s="159"/>
      <c r="D564" s="159"/>
      <c r="E564" s="159"/>
      <c r="F564" s="159"/>
      <c r="G564" s="159"/>
      <c r="H564" s="160"/>
      <c r="I564" s="57">
        <f t="shared" si="8"/>
        <v>0</v>
      </c>
      <c r="J564" s="62"/>
      <c r="K564" s="56"/>
      <c r="L564" s="405"/>
      <c r="M564" s="406"/>
      <c r="N564" s="383" t="s">
        <v>1240</v>
      </c>
      <c r="O564" s="383">
        <v>1</v>
      </c>
      <c r="P564" s="383">
        <v>5</v>
      </c>
      <c r="Q564" s="37" t="s">
        <v>1226</v>
      </c>
    </row>
    <row r="565" spans="1:17" ht="13.2">
      <c r="A565" s="83" t="s">
        <v>459</v>
      </c>
      <c r="B565" s="386" t="str">
        <f>HYPERLINK("https://uva.onlinejudge.org/index.php?option=com_onlinejudge&amp;Itemid=8&amp;page=show_problem&amp;problem=1310","UVA 10369")</f>
        <v>UVA 10369</v>
      </c>
      <c r="C565" s="159"/>
      <c r="D565" s="159"/>
      <c r="E565" s="159"/>
      <c r="F565" s="159"/>
      <c r="G565" s="159"/>
      <c r="H565" s="160"/>
      <c r="I565" s="57">
        <f t="shared" si="8"/>
        <v>0</v>
      </c>
      <c r="J565" s="62"/>
      <c r="K565" s="56"/>
      <c r="L565" s="159"/>
      <c r="M565" s="403" t="str">
        <f>HYPERLINK("https://github.com/mostafa-saad/MyCompetitiveProgramming/blob/master/SPOJ/SPOJ_PARSUMS.txt","Sol")</f>
        <v>Sol</v>
      </c>
      <c r="N565" s="383" t="s">
        <v>1241</v>
      </c>
      <c r="O565" s="383">
        <v>1</v>
      </c>
      <c r="P565" s="383">
        <v>5</v>
      </c>
      <c r="Q565" s="37" t="s">
        <v>1224</v>
      </c>
    </row>
    <row r="566" spans="1:17" ht="13.2">
      <c r="A566" s="386" t="str">
        <f>HYPERLINK("https://community.topcoder.com/stat?c=problem_statement&amp;pm=11282&amp;rd=14724","KingdomReorganization")</f>
        <v>KingdomReorganization</v>
      </c>
      <c r="B566" s="83" t="s">
        <v>1166</v>
      </c>
      <c r="C566" s="159"/>
      <c r="D566" s="159"/>
      <c r="E566" s="159"/>
      <c r="F566" s="159"/>
      <c r="G566" s="159"/>
      <c r="H566" s="160"/>
      <c r="I566" s="57">
        <f t="shared" si="8"/>
        <v>0</v>
      </c>
      <c r="J566" s="62"/>
      <c r="K566" s="56"/>
      <c r="L566" s="405"/>
      <c r="M566" s="404"/>
      <c r="N566" s="383" t="s">
        <v>1218</v>
      </c>
      <c r="O566" s="383">
        <v>1</v>
      </c>
      <c r="P566" s="383">
        <v>5</v>
      </c>
      <c r="Q566" s="37" t="s">
        <v>1224</v>
      </c>
    </row>
    <row r="567" spans="1:17" ht="13.2">
      <c r="A567" s="83" t="s">
        <v>966</v>
      </c>
      <c r="B567" s="386" t="str">
        <f>HYPERLINK("http://codeforces.com/contest/606/problem/D","CF606-D2-D")</f>
        <v>CF606-D2-D</v>
      </c>
      <c r="C567" s="159"/>
      <c r="D567" s="159"/>
      <c r="E567" s="159"/>
      <c r="F567" s="159"/>
      <c r="G567" s="159"/>
      <c r="H567" s="160"/>
      <c r="I567" s="57">
        <f t="shared" si="8"/>
        <v>0</v>
      </c>
      <c r="J567" s="102"/>
      <c r="K567" s="101"/>
      <c r="L567" s="159"/>
      <c r="M567" s="399" t="s">
        <v>821</v>
      </c>
      <c r="N567" s="383" t="s">
        <v>1242</v>
      </c>
      <c r="O567" s="383">
        <v>1</v>
      </c>
      <c r="P567" s="383">
        <v>5</v>
      </c>
      <c r="Q567" s="37" t="s">
        <v>1224</v>
      </c>
    </row>
    <row r="568" spans="1:17" ht="13.2">
      <c r="A568" s="386" t="str">
        <f>HYPERLINK("https://community.topcoder.com/stat?c=problem_statement&amp;pm=10750&amp;rd=14153","ActivateGame")</f>
        <v>ActivateGame</v>
      </c>
      <c r="B568" s="83" t="s">
        <v>1171</v>
      </c>
      <c r="C568" s="159"/>
      <c r="D568" s="159"/>
      <c r="E568" s="159"/>
      <c r="F568" s="159"/>
      <c r="G568" s="159"/>
      <c r="H568" s="160"/>
      <c r="I568" s="57">
        <f t="shared" si="8"/>
        <v>0</v>
      </c>
      <c r="J568" s="62"/>
      <c r="K568" s="56"/>
      <c r="L568" s="405"/>
      <c r="M568" s="545"/>
      <c r="N568" s="383" t="s">
        <v>1218</v>
      </c>
      <c r="O568" s="383">
        <v>1</v>
      </c>
      <c r="P568" s="383">
        <v>5</v>
      </c>
    </row>
    <row r="569" spans="1:17" ht="13.2">
      <c r="A569" s="83" t="s">
        <v>1169</v>
      </c>
      <c r="B569" s="386" t="str">
        <f>HYPERLINK("https://icpcarchive.ecs.baylor.edu/index.php?option=onlinejudge&amp;page=show_problem&amp;problem=2327","LIVEARCHIVE 4326")</f>
        <v>LIVEARCHIVE 4326</v>
      </c>
      <c r="C569" s="159"/>
      <c r="D569" s="159"/>
      <c r="E569" s="159"/>
      <c r="F569" s="159"/>
      <c r="G569" s="159"/>
      <c r="H569" s="160"/>
      <c r="I569" s="57">
        <f t="shared" si="8"/>
        <v>0</v>
      </c>
      <c r="J569" s="62"/>
      <c r="K569" s="56"/>
      <c r="L569" s="405"/>
      <c r="M569" s="545"/>
      <c r="N569" s="383" t="s">
        <v>1218</v>
      </c>
      <c r="O569" s="383">
        <v>1</v>
      </c>
      <c r="P569" s="383">
        <v>5</v>
      </c>
    </row>
    <row r="570" spans="1:17" ht="13.2">
      <c r="A570" s="83" t="s">
        <v>1086</v>
      </c>
      <c r="B570" s="386" t="str">
        <f>HYPERLINK("http://www.spoj.com/problems/BOTTOM/","SPOJ BOTTOM")</f>
        <v>SPOJ BOTTOM</v>
      </c>
      <c r="C570" s="159"/>
      <c r="D570" s="159"/>
      <c r="E570" s="159"/>
      <c r="F570" s="159"/>
      <c r="G570" s="159"/>
      <c r="H570" s="160"/>
      <c r="I570" s="57">
        <f t="shared" si="8"/>
        <v>0</v>
      </c>
      <c r="J570" s="62"/>
      <c r="K570" s="56"/>
      <c r="L570" s="159"/>
      <c r="M570" s="386" t="str">
        <f>HYPERLINK("https://codeforces.com/blog/entry/21203","Editorial")</f>
        <v>Editorial</v>
      </c>
      <c r="N570" s="383" t="s">
        <v>1243</v>
      </c>
      <c r="O570" s="383">
        <v>1</v>
      </c>
      <c r="P570" s="383">
        <v>5</v>
      </c>
    </row>
    <row r="571" spans="1:17" ht="13.2">
      <c r="A571" s="83" t="s">
        <v>1087</v>
      </c>
      <c r="B571" s="386" t="str">
        <f>HYPERLINK("https://uva.onlinejudge.org/index.php?option=onlinejudge&amp;page=show_problem&amp;problem=1672","UVA 10731")</f>
        <v>UVA 10731</v>
      </c>
      <c r="C571" s="159"/>
      <c r="D571" s="159"/>
      <c r="E571" s="159"/>
      <c r="F571" s="159"/>
      <c r="G571" s="159"/>
      <c r="H571" s="160"/>
      <c r="I571" s="57">
        <f t="shared" si="8"/>
        <v>0</v>
      </c>
      <c r="J571" s="102"/>
      <c r="K571" s="101"/>
      <c r="L571" s="159"/>
      <c r="M571" s="545"/>
      <c r="N571" s="383" t="s">
        <v>1248</v>
      </c>
      <c r="O571" s="383">
        <v>2</v>
      </c>
      <c r="P571" s="383">
        <v>5</v>
      </c>
      <c r="Q571" s="37" t="s">
        <v>1226</v>
      </c>
    </row>
    <row r="572" spans="1:17" ht="13.2">
      <c r="A572" s="83" t="s">
        <v>1112</v>
      </c>
      <c r="B572" s="386" t="str">
        <f>HYPERLINK("https://uva.onlinejudge.org/index.php?option=onlinejudge&amp;page=show_problem&amp;problem=2499","UVA 11504")</f>
        <v>UVA 11504</v>
      </c>
      <c r="C572" s="159"/>
      <c r="D572" s="159"/>
      <c r="E572" s="159"/>
      <c r="F572" s="159"/>
      <c r="G572" s="159"/>
      <c r="H572" s="160"/>
      <c r="I572" s="57">
        <f t="shared" si="8"/>
        <v>0</v>
      </c>
      <c r="J572" s="102"/>
      <c r="K572" s="101"/>
      <c r="L572" s="405"/>
      <c r="M572" s="293" t="str">
        <f>HYPERLINK("https://github.com/mostafa-saad/MyCompetitiveProgramming/blob/master/UVA/622.cpp","Sol")</f>
        <v>Sol</v>
      </c>
      <c r="N572" s="383" t="s">
        <v>1250</v>
      </c>
      <c r="O572" s="383">
        <v>3</v>
      </c>
      <c r="P572" s="383">
        <v>5</v>
      </c>
      <c r="Q572" s="37" t="s">
        <v>1251</v>
      </c>
    </row>
    <row r="573" spans="1:17" ht="13.2">
      <c r="A573" s="83"/>
      <c r="B573" s="386" t="str">
        <f>HYPERLINK("http://codeforces.com/contest/467/problem/D","CF467-D2-D")</f>
        <v>CF467-D2-D</v>
      </c>
      <c r="C573" s="159"/>
      <c r="D573" s="159"/>
      <c r="E573" s="159"/>
      <c r="F573" s="159"/>
      <c r="G573" s="159"/>
      <c r="H573" s="160"/>
      <c r="I573" s="57">
        <f t="shared" si="8"/>
        <v>0</v>
      </c>
      <c r="J573" s="96"/>
      <c r="K573" s="159"/>
      <c r="L573" s="159"/>
      <c r="M573" s="406"/>
      <c r="N573" s="383" t="s">
        <v>1262</v>
      </c>
      <c r="O573" s="383">
        <v>5</v>
      </c>
      <c r="P573" s="383">
        <v>5</v>
      </c>
      <c r="Q573" s="37" t="s">
        <v>1226</v>
      </c>
    </row>
    <row r="574" spans="1:17" ht="13.2">
      <c r="A574" s="83"/>
      <c r="B574" s="83" t="s">
        <v>1088</v>
      </c>
      <c r="C574" s="159"/>
      <c r="D574" s="159"/>
      <c r="E574" s="159"/>
      <c r="F574" s="159"/>
      <c r="G574" s="159"/>
      <c r="H574" s="160"/>
      <c r="I574" s="57">
        <f t="shared" si="8"/>
        <v>0</v>
      </c>
      <c r="J574" s="96"/>
      <c r="K574" s="159"/>
      <c r="L574" s="159"/>
      <c r="M574" s="293" t="str">
        <f>HYPERLINK("https://github.com/ilyesG/Competitive-Programming/blob/master/UVA/UVA%2010705.cpp","Sol")</f>
        <v>Sol</v>
      </c>
      <c r="N574" s="383" t="s">
        <v>1263</v>
      </c>
      <c r="O574" s="383">
        <v>5</v>
      </c>
      <c r="P574" s="383">
        <v>5</v>
      </c>
      <c r="Q574" s="37" t="s">
        <v>1226</v>
      </c>
    </row>
    <row r="575" spans="1:17" ht="13.2">
      <c r="A575" s="83" t="s">
        <v>1110</v>
      </c>
      <c r="B575" s="386" t="str">
        <f>HYPERLINK("https://uva.onlinejudge.org/index.php?option=com_onlinejudge&amp;Itemid=8&amp;page=show_problem&amp;problem=3319","UVA 12167")</f>
        <v>UVA 12167</v>
      </c>
      <c r="C575" s="159"/>
      <c r="D575" s="159"/>
      <c r="E575" s="159"/>
      <c r="F575" s="159"/>
      <c r="G575" s="159"/>
      <c r="H575" s="160"/>
      <c r="I575" s="57">
        <f t="shared" si="8"/>
        <v>0</v>
      </c>
      <c r="J575" s="62"/>
      <c r="K575" s="56"/>
      <c r="L575" s="405"/>
      <c r="M575" s="545"/>
      <c r="N575" s="383" t="s">
        <v>1264</v>
      </c>
      <c r="O575" s="383">
        <v>5</v>
      </c>
      <c r="P575" s="383">
        <v>5</v>
      </c>
      <c r="Q575" s="37" t="s">
        <v>1224</v>
      </c>
    </row>
    <row r="576" spans="1:17" ht="13.2">
      <c r="A576" s="83"/>
      <c r="B576" s="83" t="s">
        <v>1093</v>
      </c>
      <c r="C576" s="159"/>
      <c r="D576" s="159"/>
      <c r="E576" s="159"/>
      <c r="F576" s="159"/>
      <c r="G576" s="159"/>
      <c r="H576" s="160"/>
      <c r="I576" s="57">
        <f t="shared" si="8"/>
        <v>0</v>
      </c>
      <c r="J576" s="96"/>
      <c r="K576" s="159"/>
      <c r="L576" s="159"/>
      <c r="M576" s="545"/>
      <c r="N576" s="383" t="s">
        <v>1257</v>
      </c>
      <c r="O576" s="383">
        <v>5</v>
      </c>
      <c r="P576" s="383">
        <v>5</v>
      </c>
      <c r="Q576" s="37" t="s">
        <v>1224</v>
      </c>
    </row>
    <row r="577" spans="1:17" ht="13.2">
      <c r="A577" s="83"/>
      <c r="B577" s="83" t="s">
        <v>1115</v>
      </c>
      <c r="C577" s="159"/>
      <c r="D577" s="159"/>
      <c r="E577" s="159"/>
      <c r="F577" s="159"/>
      <c r="G577" s="159"/>
      <c r="H577" s="160"/>
      <c r="I577" s="57">
        <f t="shared" si="8"/>
        <v>0</v>
      </c>
      <c r="J577" s="96"/>
      <c r="K577" s="159"/>
      <c r="L577" s="405"/>
      <c r="M577" s="404"/>
      <c r="N577" s="383" t="s">
        <v>1278</v>
      </c>
      <c r="O577" s="383">
        <v>6</v>
      </c>
      <c r="P577" s="383">
        <v>5</v>
      </c>
      <c r="Q577" s="37" t="s">
        <v>1226</v>
      </c>
    </row>
    <row r="578" spans="1:17" ht="13.2">
      <c r="A578" s="83"/>
      <c r="B578" s="83" t="s">
        <v>1138</v>
      </c>
      <c r="C578" s="159"/>
      <c r="D578" s="159"/>
      <c r="E578" s="159"/>
      <c r="F578" s="159"/>
      <c r="G578" s="159"/>
      <c r="H578" s="160"/>
      <c r="I578" s="57">
        <f t="shared" si="8"/>
        <v>0</v>
      </c>
      <c r="J578" s="62"/>
      <c r="K578" s="56"/>
      <c r="L578" s="405"/>
      <c r="M578" s="395" t="str">
        <f>HYPERLINK("https://www.youtube.com/watch?v=up_Z5e9ZsCU","Video Solution - Solve to be (Java)")</f>
        <v>Video Solution - Solve to be (Java)</v>
      </c>
      <c r="N578" s="383" t="s">
        <v>1270</v>
      </c>
      <c r="O578" s="383">
        <v>6</v>
      </c>
      <c r="P578" s="383">
        <v>5</v>
      </c>
      <c r="Q578" s="37" t="s">
        <v>1224</v>
      </c>
    </row>
    <row r="579" spans="1:17" ht="13.2">
      <c r="A579" s="83"/>
      <c r="B579" s="386" t="str">
        <f>HYPERLINK("http://codeforces.com/contest/403/problem/C","CF403-D1-C")</f>
        <v>CF403-D1-C</v>
      </c>
      <c r="C579" s="159"/>
      <c r="D579" s="159"/>
      <c r="E579" s="159"/>
      <c r="F579" s="159"/>
      <c r="G579" s="159"/>
      <c r="H579" s="160"/>
      <c r="I579" s="57">
        <f t="shared" si="8"/>
        <v>0</v>
      </c>
      <c r="J579" s="62"/>
      <c r="K579" s="56"/>
      <c r="L579" s="405"/>
      <c r="M579" s="293" t="str">
        <f>HYPERLINK("https://github.com/mostafa-saad/MyCompetitiveProgramming/blob/master/UVA/UVA_1555.txt","Sol")</f>
        <v>Sol</v>
      </c>
      <c r="N579" s="383" t="s">
        <v>1279</v>
      </c>
      <c r="O579" s="383">
        <v>6</v>
      </c>
      <c r="P579" s="383">
        <v>5</v>
      </c>
      <c r="Q579" s="37" t="s">
        <v>1226</v>
      </c>
    </row>
    <row r="580" spans="1:17" ht="13.2">
      <c r="A580" s="83" t="s">
        <v>405</v>
      </c>
      <c r="B580" s="386" t="str">
        <f>HYPERLINK("http://codeforces.com/contest/810/problem/B","CF810-D2-B")</f>
        <v>CF810-D2-B</v>
      </c>
      <c r="C580" s="159"/>
      <c r="D580" s="159"/>
      <c r="E580" s="159"/>
      <c r="F580" s="159"/>
      <c r="G580" s="159"/>
      <c r="H580" s="160"/>
      <c r="I580" s="57">
        <f t="shared" si="8"/>
        <v>0</v>
      </c>
      <c r="J580" s="62"/>
      <c r="K580" s="56"/>
      <c r="L580" s="159"/>
      <c r="M580" s="403" t="str">
        <f>HYPERLINK("https://github.com/mostafa-saad/MyCompetitiveProgramming/blob/master/SPOJ/SPOJ_WEIRDFN.txt","Sol")</f>
        <v>Sol</v>
      </c>
      <c r="N580" s="383" t="s">
        <v>1291</v>
      </c>
      <c r="O580" s="383">
        <v>9</v>
      </c>
      <c r="P580" s="399">
        <v>5</v>
      </c>
      <c r="Q580" s="37" t="s">
        <v>1251</v>
      </c>
    </row>
    <row r="581" spans="1:17" ht="13.2">
      <c r="A581" s="83" t="s">
        <v>474</v>
      </c>
      <c r="B581" s="386" t="str">
        <f>HYPERLINK("http://codeforces.com/contest/1009/problem/B","CF1009-D12-B")</f>
        <v>CF1009-D12-B</v>
      </c>
      <c r="C581" s="159"/>
      <c r="D581" s="159"/>
      <c r="E581" s="159"/>
      <c r="F581" s="159"/>
      <c r="G581" s="159"/>
      <c r="H581" s="160"/>
      <c r="I581" s="57">
        <f t="shared" si="8"/>
        <v>0</v>
      </c>
      <c r="J581" s="102"/>
      <c r="K581" s="101"/>
      <c r="L581" s="159"/>
      <c r="M581" s="293" t="str">
        <f>HYPERLINK("https://github.com/mostafa-saad/MyCompetitiveProgramming/blob/master/UVA/UVA_501.txt","Sol - Must Read")</f>
        <v>Sol - Must Read</v>
      </c>
      <c r="N581" s="383" t="s">
        <v>1292</v>
      </c>
      <c r="O581" s="383">
        <v>9</v>
      </c>
      <c r="P581" s="399">
        <v>5</v>
      </c>
      <c r="Q581" s="37" t="s">
        <v>1224</v>
      </c>
    </row>
    <row r="582" spans="1:17" ht="13.2">
      <c r="A582" s="83" t="s">
        <v>581</v>
      </c>
      <c r="B582" s="386" t="str">
        <f>HYPERLINK("http://codeforces.com/contest/479/problem/B","CF479-D2-B")</f>
        <v>CF479-D2-B</v>
      </c>
      <c r="C582" s="159"/>
      <c r="D582" s="159"/>
      <c r="E582" s="159"/>
      <c r="F582" s="159"/>
      <c r="G582" s="159"/>
      <c r="H582" s="160"/>
      <c r="I582" s="57">
        <f t="shared" si="8"/>
        <v>0</v>
      </c>
      <c r="J582" s="102"/>
      <c r="K582" s="101"/>
      <c r="L582" s="159"/>
      <c r="M582" s="293" t="str">
        <f>HYPERLINK("https://github.com/SaraElkadi/competitive-programming-/blob/master/LiveArchive/3634.cpp","Sol")</f>
        <v>Sol</v>
      </c>
      <c r="N582" s="383" t="s">
        <v>1293</v>
      </c>
      <c r="O582" s="383">
        <v>9</v>
      </c>
      <c r="P582" s="399">
        <v>5</v>
      </c>
      <c r="Q582" s="37" t="s">
        <v>1224</v>
      </c>
    </row>
    <row r="583" spans="1:17" ht="13.2">
      <c r="A583" s="83" t="s">
        <v>580</v>
      </c>
      <c r="B583" s="386" t="str">
        <f>HYPERLINK("http://codeforces.com/contest/378/problem/B","CF378-D2-B")</f>
        <v>CF378-D2-B</v>
      </c>
      <c r="C583" s="159"/>
      <c r="D583" s="159"/>
      <c r="E583" s="159"/>
      <c r="F583" s="159"/>
      <c r="G583" s="159"/>
      <c r="H583" s="160"/>
      <c r="I583" s="57">
        <f t="shared" ref="I583:I646" si="9">SUM(E583:H583)</f>
        <v>0</v>
      </c>
      <c r="J583" s="102"/>
      <c r="K583" s="101"/>
      <c r="L583" s="159"/>
      <c r="M583" s="176" t="str">
        <f>HYPERLINK("https://github.com/AliOsm/CompetitiveProgramming/blob/master/UVA/10534%20-%20Wavio%20Sequence.cpp","Sol")</f>
        <v>Sol</v>
      </c>
      <c r="N583" s="399" t="s">
        <v>1311</v>
      </c>
      <c r="O583" s="399">
        <v>10</v>
      </c>
      <c r="P583" s="399">
        <v>5</v>
      </c>
      <c r="Q583" s="37" t="s">
        <v>1226</v>
      </c>
    </row>
    <row r="584" spans="1:17" ht="13.2">
      <c r="A584" s="83" t="s">
        <v>575</v>
      </c>
      <c r="B584" s="386" t="str">
        <f>HYPERLINK("http://codeforces.com/contest/437/problem/B","CF437-D2-B")</f>
        <v>CF437-D2-B</v>
      </c>
      <c r="C584" s="159"/>
      <c r="D584" s="159"/>
      <c r="E584" s="159"/>
      <c r="F584" s="159"/>
      <c r="G584" s="159"/>
      <c r="H584" s="160"/>
      <c r="I584" s="57">
        <f t="shared" si="9"/>
        <v>0</v>
      </c>
      <c r="J584" s="102"/>
      <c r="K584" s="101"/>
      <c r="L584" s="159"/>
      <c r="M584" s="401"/>
      <c r="N584" s="383" t="s">
        <v>1312</v>
      </c>
      <c r="O584" s="383">
        <v>10</v>
      </c>
      <c r="P584" s="399">
        <v>5</v>
      </c>
      <c r="Q584" s="37" t="s">
        <v>1226</v>
      </c>
    </row>
    <row r="585" spans="1:17" ht="13.2">
      <c r="A585" s="83" t="s">
        <v>404</v>
      </c>
      <c r="B585" s="386" t="str">
        <f>HYPERLINK("http://codeforces.com/contest/451/problem/B","CF451-D2-B")</f>
        <v>CF451-D2-B</v>
      </c>
      <c r="C585" s="159"/>
      <c r="D585" s="159"/>
      <c r="E585" s="159"/>
      <c r="F585" s="159"/>
      <c r="G585" s="159"/>
      <c r="H585" s="160"/>
      <c r="I585" s="57">
        <f t="shared" si="9"/>
        <v>0</v>
      </c>
      <c r="J585" s="62"/>
      <c r="K585" s="56"/>
      <c r="L585" s="159"/>
      <c r="M585" s="545"/>
      <c r="N585" s="399" t="s">
        <v>1313</v>
      </c>
      <c r="O585" s="399">
        <v>10</v>
      </c>
      <c r="P585" s="383">
        <v>5</v>
      </c>
      <c r="Q585" s="37" t="s">
        <v>1224</v>
      </c>
    </row>
    <row r="586" spans="1:17" ht="13.2">
      <c r="A586" s="83" t="s">
        <v>407</v>
      </c>
      <c r="B586" s="386" t="str">
        <f>HYPERLINK("http://codeforces.com/contest/766/problem/B","CF766-D2-B")</f>
        <v>CF766-D2-B</v>
      </c>
      <c r="C586" s="159"/>
      <c r="D586" s="159"/>
      <c r="E586" s="159"/>
      <c r="F586" s="159"/>
      <c r="G586" s="159"/>
      <c r="H586" s="160"/>
      <c r="I586" s="57">
        <f t="shared" si="9"/>
        <v>0</v>
      </c>
      <c r="J586" s="62"/>
      <c r="K586" s="56"/>
      <c r="L586" s="159"/>
      <c r="M586" s="403" t="str">
        <f>HYPERLINK("https://github.com/Huvok/CompetitiveProgramming/blob/master/Codeforces/CF101-D1-B.cpp","Sol")</f>
        <v>Sol</v>
      </c>
      <c r="N586" s="399" t="s">
        <v>1314</v>
      </c>
      <c r="O586" s="399">
        <v>10</v>
      </c>
      <c r="P586" s="383">
        <v>5</v>
      </c>
      <c r="Q586" s="37" t="s">
        <v>1224</v>
      </c>
    </row>
    <row r="587" spans="1:17" ht="13.2">
      <c r="A587" s="83" t="s">
        <v>1048</v>
      </c>
      <c r="B587" s="386" t="str">
        <f>HYPERLINK("http://codeforces.com/contest/265/problem/C","CF265-D2-C")</f>
        <v>CF265-D2-C</v>
      </c>
      <c r="C587" s="159"/>
      <c r="D587" s="159"/>
      <c r="E587" s="159"/>
      <c r="F587" s="159"/>
      <c r="G587" s="159"/>
      <c r="H587" s="160"/>
      <c r="I587" s="57">
        <f t="shared" si="9"/>
        <v>0</v>
      </c>
      <c r="J587" s="102"/>
      <c r="K587" s="101"/>
      <c r="L587" s="159"/>
      <c r="M587" s="545"/>
      <c r="N587" s="383" t="s">
        <v>1315</v>
      </c>
      <c r="O587" s="383">
        <v>10</v>
      </c>
      <c r="P587" s="383">
        <v>5</v>
      </c>
      <c r="Q587" s="37" t="s">
        <v>1224</v>
      </c>
    </row>
    <row r="588" spans="1:17" ht="13.2">
      <c r="A588" s="83" t="s">
        <v>1046</v>
      </c>
      <c r="B588" s="386" t="str">
        <f>HYPERLINK("http://codeforces.com/contest/363/problem/C","CF363-D2-C")</f>
        <v>CF363-D2-C</v>
      </c>
      <c r="C588" s="159"/>
      <c r="D588" s="159"/>
      <c r="E588" s="159"/>
      <c r="F588" s="159"/>
      <c r="G588" s="159"/>
      <c r="H588" s="160"/>
      <c r="I588" s="57">
        <f t="shared" si="9"/>
        <v>0</v>
      </c>
      <c r="J588" s="102"/>
      <c r="K588" s="101"/>
      <c r="L588" s="159"/>
      <c r="M588" s="395"/>
      <c r="N588" s="383" t="s">
        <v>1316</v>
      </c>
      <c r="O588" s="383">
        <v>10</v>
      </c>
      <c r="P588" s="383">
        <v>5</v>
      </c>
      <c r="Q588" s="37" t="s">
        <v>1224</v>
      </c>
    </row>
    <row r="589" spans="1:17" ht="13.2">
      <c r="A589" s="83" t="s">
        <v>953</v>
      </c>
      <c r="B589" s="386" t="str">
        <f>HYPERLINK("http://codeforces.com/contest/203/problem/C","CF203-D2-C")</f>
        <v>CF203-D2-C</v>
      </c>
      <c r="C589" s="159"/>
      <c r="D589" s="159"/>
      <c r="E589" s="159"/>
      <c r="F589" s="159"/>
      <c r="G589" s="159"/>
      <c r="H589" s="160"/>
      <c r="I589" s="57">
        <f t="shared" si="9"/>
        <v>0</v>
      </c>
      <c r="J589" s="102"/>
      <c r="K589" s="101"/>
      <c r="L589" s="159"/>
      <c r="M589" s="389" t="str">
        <f>HYPERLINK("https://www.youtube.com/watch?v=O7Tja1S5IYQ","Video Solution - Dr Mostafa Saad")</f>
        <v>Video Solution - Dr Mostafa Saad</v>
      </c>
      <c r="N589" s="383" t="s">
        <v>1300</v>
      </c>
      <c r="O589" s="383">
        <v>10</v>
      </c>
      <c r="P589" s="383">
        <v>5</v>
      </c>
    </row>
    <row r="590" spans="1:17" ht="13.2">
      <c r="A590" s="83" t="s">
        <v>479</v>
      </c>
      <c r="B590" s="386" t="str">
        <f>HYPERLINK("http://codeforces.com/contest/416/problem/C","CF416-D2-C")</f>
        <v>CF416-D2-C</v>
      </c>
      <c r="C590" s="159"/>
      <c r="D590" s="159"/>
      <c r="E590" s="159"/>
      <c r="F590" s="159"/>
      <c r="G590" s="159"/>
      <c r="H590" s="160"/>
      <c r="I590" s="57">
        <f t="shared" si="9"/>
        <v>0</v>
      </c>
      <c r="J590" s="62"/>
      <c r="K590" s="56"/>
      <c r="L590" s="159"/>
      <c r="M590" s="402"/>
      <c r="N590" s="383" t="s">
        <v>1300</v>
      </c>
      <c r="O590" s="383">
        <v>10</v>
      </c>
      <c r="P590" s="383">
        <v>5</v>
      </c>
      <c r="Q590" s="543"/>
    </row>
    <row r="591" spans="1:17" ht="13.2">
      <c r="A591" s="83" t="s">
        <v>657</v>
      </c>
      <c r="B591" s="386" t="str">
        <f>HYPERLINK("http://codeforces.com/contest/979/problem/B","CF979-D2-B")</f>
        <v>CF979-D2-B</v>
      </c>
      <c r="C591" s="159"/>
      <c r="D591" s="159"/>
      <c r="E591" s="159"/>
      <c r="F591" s="159"/>
      <c r="G591" s="159"/>
      <c r="H591" s="160"/>
      <c r="I591" s="57">
        <f t="shared" si="9"/>
        <v>0</v>
      </c>
      <c r="J591" s="102"/>
      <c r="K591" s="101"/>
      <c r="L591" s="159"/>
      <c r="M591" s="545"/>
      <c r="N591" s="383" t="s">
        <v>1317</v>
      </c>
      <c r="O591" s="383">
        <v>10</v>
      </c>
      <c r="P591" s="383">
        <v>5</v>
      </c>
      <c r="Q591" s="543"/>
    </row>
    <row r="592" spans="1:17" ht="13.2">
      <c r="A592" s="83" t="s">
        <v>598</v>
      </c>
      <c r="B592" s="386" t="str">
        <f>HYPERLINK("https://uva.onlinejudge.org/index.php?option=onlinejudge&amp;page=show_problem&amp;problem=3276","UVA 12124")</f>
        <v>UVA 12124</v>
      </c>
      <c r="C592" s="159"/>
      <c r="D592" s="159"/>
      <c r="E592" s="159"/>
      <c r="F592" s="159"/>
      <c r="G592" s="159"/>
      <c r="H592" s="160"/>
      <c r="I592" s="57">
        <f t="shared" si="9"/>
        <v>0</v>
      </c>
      <c r="J592" s="62"/>
      <c r="K592" s="56"/>
      <c r="L592" s="159"/>
      <c r="M592" s="404"/>
      <c r="N592" s="383" t="s">
        <v>1318</v>
      </c>
      <c r="O592" s="383">
        <v>10</v>
      </c>
      <c r="P592" s="383">
        <v>5</v>
      </c>
      <c r="Q592" s="37" t="s">
        <v>1224</v>
      </c>
    </row>
    <row r="593" spans="1:17" ht="13.2">
      <c r="A593" s="83"/>
      <c r="B593" s="386" t="str">
        <f>HYPERLINK("https://www.codechef.com/problems/KSUM","CODECHEF KSUM")</f>
        <v>CODECHEF KSUM</v>
      </c>
      <c r="C593" s="159"/>
      <c r="D593" s="159"/>
      <c r="E593" s="159"/>
      <c r="F593" s="159"/>
      <c r="G593" s="159"/>
      <c r="H593" s="160"/>
      <c r="I593" s="57">
        <f t="shared" si="9"/>
        <v>0</v>
      </c>
      <c r="J593" s="102"/>
      <c r="K593" s="101"/>
      <c r="L593" s="159"/>
      <c r="M593" s="406"/>
      <c r="N593" s="383" t="s">
        <v>1330</v>
      </c>
      <c r="O593" s="383">
        <v>11</v>
      </c>
      <c r="P593" s="383">
        <v>5</v>
      </c>
      <c r="Q593" s="37" t="s">
        <v>1224</v>
      </c>
    </row>
    <row r="594" spans="1:17" ht="13.2">
      <c r="A594" s="83"/>
      <c r="B594" s="386" t="str">
        <f>HYPERLINK("https://codeforces.com/contest/1064/problem/C","CF1064-D2-C")</f>
        <v>CF1064-D2-C</v>
      </c>
      <c r="C594" s="159"/>
      <c r="D594" s="159"/>
      <c r="E594" s="159"/>
      <c r="F594" s="159"/>
      <c r="G594" s="159"/>
      <c r="H594" s="160"/>
      <c r="I594" s="57">
        <f t="shared" si="9"/>
        <v>0</v>
      </c>
      <c r="J594" s="102"/>
      <c r="K594" s="101"/>
      <c r="L594" s="96"/>
      <c r="M594" s="293" t="str">
        <f>HYPERLINK("https://github.com/ilyesG/Competitive-Programming/blob/master/UVA/UVA%2011825.cpp","Sol")</f>
        <v>Sol</v>
      </c>
      <c r="N594" s="383" t="s">
        <v>1332</v>
      </c>
      <c r="O594" s="383">
        <v>13</v>
      </c>
      <c r="P594" s="383">
        <v>5</v>
      </c>
      <c r="Q594" s="37" t="s">
        <v>1224</v>
      </c>
    </row>
    <row r="595" spans="1:17" ht="13.2">
      <c r="A595" s="83"/>
      <c r="B595" s="386" t="str">
        <f>HYPERLINK("http://codeforces.com/contest/534/problem/D","CF534-D2-D")</f>
        <v>CF534-D2-D</v>
      </c>
      <c r="C595" s="159"/>
      <c r="D595" s="159"/>
      <c r="E595" s="159"/>
      <c r="F595" s="159"/>
      <c r="G595" s="159"/>
      <c r="H595" s="160"/>
      <c r="I595" s="57">
        <f t="shared" si="9"/>
        <v>0</v>
      </c>
      <c r="J595" s="102"/>
      <c r="K595" s="101"/>
      <c r="L595" s="159"/>
      <c r="M595" s="406"/>
      <c r="N595" s="383" t="s">
        <v>1333</v>
      </c>
      <c r="O595" s="383">
        <v>13</v>
      </c>
      <c r="P595" s="383">
        <v>5</v>
      </c>
      <c r="Q595" s="543"/>
    </row>
    <row r="596" spans="1:17" ht="13.2">
      <c r="A596" s="83"/>
      <c r="B596" s="386" t="str">
        <f>HYPERLINK("http://codeforces.com/contest/1065/problem/C","CF1065-D2-C")</f>
        <v>CF1065-D2-C</v>
      </c>
      <c r="C596" s="159"/>
      <c r="D596" s="159"/>
      <c r="E596" s="159"/>
      <c r="F596" s="159"/>
      <c r="G596" s="159"/>
      <c r="H596" s="160"/>
      <c r="I596" s="57">
        <f t="shared" si="9"/>
        <v>0</v>
      </c>
      <c r="J596" s="62"/>
      <c r="K596" s="56"/>
      <c r="L596" s="159"/>
      <c r="M596" s="404"/>
      <c r="N596" s="383" t="s">
        <v>1342</v>
      </c>
      <c r="O596" s="383">
        <v>18</v>
      </c>
      <c r="P596" s="383">
        <v>5</v>
      </c>
      <c r="Q596" s="37" t="s">
        <v>1224</v>
      </c>
    </row>
    <row r="597" spans="1:17" ht="13.2">
      <c r="A597" s="83"/>
      <c r="B597" s="386" t="str">
        <f>HYPERLINK("http://codeforces.com/contest/445/problem/C","CF445-D2-C")</f>
        <v>CF445-D2-C</v>
      </c>
      <c r="C597" s="159"/>
      <c r="D597" s="159"/>
      <c r="E597" s="159"/>
      <c r="F597" s="159"/>
      <c r="G597" s="159"/>
      <c r="H597" s="160"/>
      <c r="I597" s="57">
        <f t="shared" si="9"/>
        <v>0</v>
      </c>
      <c r="J597" s="62"/>
      <c r="K597" s="56"/>
      <c r="L597" s="159"/>
      <c r="M597" s="238"/>
      <c r="N597" s="383" t="s">
        <v>1343</v>
      </c>
      <c r="O597" s="383">
        <v>18</v>
      </c>
      <c r="P597" s="383">
        <v>5</v>
      </c>
      <c r="Q597" s="543"/>
    </row>
    <row r="598" spans="1:17" ht="13.2">
      <c r="A598" s="83" t="s">
        <v>799</v>
      </c>
      <c r="B598" s="386" t="str">
        <f>HYPERLINK("http://codeforces.com/contest/567/problem/C","CF567-D2-C")</f>
        <v>CF567-D2-C</v>
      </c>
      <c r="C598" s="159"/>
      <c r="D598" s="159"/>
      <c r="E598" s="159"/>
      <c r="F598" s="159"/>
      <c r="G598" s="159"/>
      <c r="H598" s="160"/>
      <c r="I598" s="57">
        <f t="shared" si="9"/>
        <v>0</v>
      </c>
      <c r="J598" s="102"/>
      <c r="K598" s="101"/>
      <c r="L598" s="159"/>
      <c r="M598" s="406"/>
      <c r="N598" s="383" t="s">
        <v>1346</v>
      </c>
      <c r="O598" s="383">
        <v>22</v>
      </c>
      <c r="P598" s="383">
        <v>5</v>
      </c>
      <c r="Q598" s="37" t="s">
        <v>1226</v>
      </c>
    </row>
    <row r="599" spans="1:17" ht="13.2">
      <c r="A599" s="83"/>
      <c r="B599" s="83" t="s">
        <v>1001</v>
      </c>
      <c r="C599" s="159"/>
      <c r="D599" s="159"/>
      <c r="E599" s="159"/>
      <c r="F599" s="159"/>
      <c r="G599" s="159"/>
      <c r="H599" s="160"/>
      <c r="I599" s="57">
        <f t="shared" si="9"/>
        <v>0</v>
      </c>
      <c r="J599" s="102"/>
      <c r="K599" s="101"/>
      <c r="L599" s="159"/>
      <c r="M599" s="404"/>
      <c r="N599" s="383" t="s">
        <v>1347</v>
      </c>
      <c r="O599" s="383">
        <v>22</v>
      </c>
      <c r="P599" s="383">
        <v>5</v>
      </c>
      <c r="Q599" s="543"/>
    </row>
    <row r="600" spans="1:17" ht="13.2">
      <c r="A600" s="83" t="s">
        <v>178</v>
      </c>
      <c r="B600" s="386" t="str">
        <f>HYPERLINK("http://codeforces.com/contest/401/problem/C","CF401-D2-C")</f>
        <v>CF401-D2-C</v>
      </c>
      <c r="C600" s="159"/>
      <c r="D600" s="159"/>
      <c r="E600" s="159"/>
      <c r="F600" s="159"/>
      <c r="G600" s="159"/>
      <c r="H600" s="160"/>
      <c r="I600" s="57">
        <f t="shared" si="9"/>
        <v>0</v>
      </c>
      <c r="J600" s="102"/>
      <c r="K600" s="101"/>
      <c r="L600" s="159"/>
      <c r="M600" s="399"/>
      <c r="N600" s="383" t="s">
        <v>1359</v>
      </c>
      <c r="O600" s="383">
        <v>29</v>
      </c>
      <c r="P600" s="383">
        <v>5</v>
      </c>
      <c r="Q600" s="37" t="s">
        <v>1226</v>
      </c>
    </row>
    <row r="601" spans="1:17" ht="13.2">
      <c r="A601" s="83" t="s">
        <v>562</v>
      </c>
      <c r="B601" s="386" t="str">
        <f>HYPERLINK("http://codeforces.com/contest/515/problem/C","CF515-D2-C")</f>
        <v>CF515-D2-C</v>
      </c>
      <c r="C601" s="159"/>
      <c r="D601" s="159"/>
      <c r="E601" s="159"/>
      <c r="F601" s="159"/>
      <c r="G601" s="159"/>
      <c r="H601" s="160"/>
      <c r="I601" s="57">
        <f t="shared" si="9"/>
        <v>0</v>
      </c>
      <c r="J601" s="62"/>
      <c r="K601" s="56"/>
      <c r="L601" s="159"/>
      <c r="M601" s="293" t="str">
        <f>HYPERLINK("https://github.com/mostafa-saad/MyCompetitiveProgramming/blob/master/PKU/PKU_2151.txt","Sol")</f>
        <v>Sol</v>
      </c>
      <c r="N601" s="383" t="s">
        <v>1356</v>
      </c>
      <c r="O601" s="383">
        <v>29</v>
      </c>
      <c r="P601" s="383">
        <v>5</v>
      </c>
      <c r="Q601" s="37" t="s">
        <v>1226</v>
      </c>
    </row>
    <row r="602" spans="1:17" ht="13.2">
      <c r="A602" s="83" t="s">
        <v>899</v>
      </c>
      <c r="B602" s="386" t="str">
        <f>HYPERLINK("http://codeforces.com/contest/216/problem/C","CF216-D2-C")</f>
        <v>CF216-D2-C</v>
      </c>
      <c r="C602" s="159"/>
      <c r="D602" s="159"/>
      <c r="E602" s="159"/>
      <c r="F602" s="159"/>
      <c r="G602" s="159"/>
      <c r="H602" s="160"/>
      <c r="I602" s="57">
        <f t="shared" si="9"/>
        <v>0</v>
      </c>
      <c r="J602" s="62"/>
      <c r="K602" s="56"/>
      <c r="L602" s="159"/>
      <c r="M602" s="545"/>
      <c r="N602" s="383" t="s">
        <v>1360</v>
      </c>
      <c r="O602" s="383">
        <v>29</v>
      </c>
      <c r="P602" s="383">
        <v>5</v>
      </c>
      <c r="Q602" s="37" t="s">
        <v>1226</v>
      </c>
    </row>
    <row r="603" spans="1:17" ht="13.2">
      <c r="A603" s="83" t="s">
        <v>672</v>
      </c>
      <c r="B603" s="386" t="str">
        <f>HYPERLINK("http://codeforces.com/contest/835/problem/C","CF835-D2-C")</f>
        <v>CF835-D2-C</v>
      </c>
      <c r="C603" s="159"/>
      <c r="D603" s="159"/>
      <c r="E603" s="159"/>
      <c r="F603" s="159"/>
      <c r="G603" s="159"/>
      <c r="H603" s="160"/>
      <c r="I603" s="57">
        <f t="shared" si="9"/>
        <v>0</v>
      </c>
      <c r="J603" s="62"/>
      <c r="K603" s="56"/>
      <c r="L603" s="159"/>
      <c r="M603" s="412" t="str">
        <f>HYPERLINK("https://github.com/mostafa-saad/MyCompetitiveProgramming/blob/master/UVA/UVA_10218.txt","Sol")</f>
        <v>Sol</v>
      </c>
      <c r="N603" s="383" t="s">
        <v>1361</v>
      </c>
      <c r="O603" s="383">
        <v>29</v>
      </c>
      <c r="P603" s="383">
        <v>5</v>
      </c>
      <c r="Q603" s="37" t="s">
        <v>1220</v>
      </c>
    </row>
    <row r="604" spans="1:17" ht="13.2">
      <c r="A604" s="83" t="s">
        <v>480</v>
      </c>
      <c r="B604" s="386" t="str">
        <f>HYPERLINK("http://codeforces.com/contest/492/problem/C","CF492-D2-C")</f>
        <v>CF492-D2-C</v>
      </c>
      <c r="C604" s="159"/>
      <c r="D604" s="159"/>
      <c r="E604" s="159"/>
      <c r="F604" s="159"/>
      <c r="G604" s="159"/>
      <c r="H604" s="160"/>
      <c r="I604" s="57">
        <f t="shared" si="9"/>
        <v>0</v>
      </c>
      <c r="J604" s="62"/>
      <c r="K604" s="56"/>
      <c r="L604" s="159"/>
      <c r="M604" s="404"/>
      <c r="N604" s="383" t="s">
        <v>1366</v>
      </c>
      <c r="O604" s="383">
        <v>32</v>
      </c>
      <c r="P604" s="383">
        <v>5</v>
      </c>
      <c r="Q604" s="37" t="s">
        <v>1224</v>
      </c>
    </row>
    <row r="605" spans="1:17" ht="13.2">
      <c r="A605" s="83"/>
      <c r="B605" s="228" t="s">
        <v>630</v>
      </c>
      <c r="C605" s="159"/>
      <c r="D605" s="159"/>
      <c r="E605" s="159"/>
      <c r="F605" s="159"/>
      <c r="G605" s="159"/>
      <c r="H605" s="160"/>
      <c r="I605" s="57">
        <f t="shared" si="9"/>
        <v>0</v>
      </c>
      <c r="J605" s="62"/>
      <c r="K605" s="56"/>
      <c r="L605" s="159"/>
      <c r="M605" s="546"/>
      <c r="N605" s="383" t="s">
        <v>1367</v>
      </c>
      <c r="O605" s="383">
        <v>32</v>
      </c>
      <c r="P605" s="383">
        <v>5</v>
      </c>
      <c r="Q605" s="37" t="s">
        <v>1220</v>
      </c>
    </row>
    <row r="606" spans="1:17" ht="13.2">
      <c r="A606" s="83"/>
      <c r="B606" s="386" t="str">
        <f>HYPERLINK("http://codeforces.com/contest/729/problem/D","CF729-D12-D")</f>
        <v>CF729-D12-D</v>
      </c>
      <c r="C606" s="159"/>
      <c r="D606" s="159"/>
      <c r="E606" s="159"/>
      <c r="F606" s="159"/>
      <c r="G606" s="159"/>
      <c r="H606" s="160"/>
      <c r="I606" s="57">
        <f t="shared" si="9"/>
        <v>0</v>
      </c>
      <c r="J606" s="102"/>
      <c r="K606" s="101"/>
      <c r="L606" s="159"/>
      <c r="M606" s="546"/>
      <c r="N606" s="383" t="s">
        <v>1368</v>
      </c>
      <c r="O606" s="383">
        <v>32</v>
      </c>
      <c r="P606" s="383">
        <v>5</v>
      </c>
      <c r="Q606" s="543"/>
    </row>
    <row r="607" spans="1:17" ht="13.2">
      <c r="A607" s="83" t="s">
        <v>949</v>
      </c>
      <c r="B607" s="386" t="str">
        <f>HYPERLINK("http://codeforces.com/contest/519/problem/D","CF519-D2-D")</f>
        <v>CF519-D2-D</v>
      </c>
      <c r="C607" s="159"/>
      <c r="D607" s="159"/>
      <c r="E607" s="159"/>
      <c r="F607" s="159"/>
      <c r="G607" s="159"/>
      <c r="H607" s="160"/>
      <c r="I607" s="57">
        <f t="shared" si="9"/>
        <v>0</v>
      </c>
      <c r="J607" s="102"/>
      <c r="K607" s="101"/>
      <c r="L607" s="159"/>
      <c r="M607" s="399"/>
      <c r="N607" s="383" t="s">
        <v>1367</v>
      </c>
      <c r="O607" s="383">
        <v>32</v>
      </c>
      <c r="P607" s="383">
        <v>5</v>
      </c>
      <c r="Q607" s="543"/>
    </row>
    <row r="608" spans="1:17" ht="13.2">
      <c r="A608" s="83" t="s">
        <v>635</v>
      </c>
      <c r="B608" s="386" t="str">
        <f>HYPERLINK("http://codeforces.com/contest/486/problem/C","CF486-D2-C")</f>
        <v>CF486-D2-C</v>
      </c>
      <c r="C608" s="159"/>
      <c r="D608" s="159"/>
      <c r="E608" s="159"/>
      <c r="F608" s="159"/>
      <c r="G608" s="159"/>
      <c r="H608" s="160"/>
      <c r="I608" s="57">
        <f t="shared" si="9"/>
        <v>0</v>
      </c>
      <c r="J608" s="62"/>
      <c r="K608" s="56"/>
      <c r="L608" s="159"/>
      <c r="M608" s="406"/>
      <c r="N608" s="383" t="s">
        <v>1373</v>
      </c>
      <c r="O608" s="383">
        <v>36</v>
      </c>
      <c r="P608" s="383">
        <v>5</v>
      </c>
      <c r="Q608" s="37" t="s">
        <v>1224</v>
      </c>
    </row>
    <row r="609" spans="1:17" ht="13.2">
      <c r="A609" s="83" t="s">
        <v>653</v>
      </c>
      <c r="B609" s="386" t="str">
        <f>HYPERLINK("http://codeforces.com/contest/584/problem/C","CF584-D2-C")</f>
        <v>CF584-D2-C</v>
      </c>
      <c r="C609" s="159"/>
      <c r="D609" s="159"/>
      <c r="E609" s="159"/>
      <c r="F609" s="159"/>
      <c r="G609" s="159"/>
      <c r="H609" s="160"/>
      <c r="I609" s="57">
        <f t="shared" si="9"/>
        <v>0</v>
      </c>
      <c r="J609" s="62"/>
      <c r="K609" s="56"/>
      <c r="L609" s="159"/>
      <c r="M609" s="402"/>
      <c r="N609" s="383" t="s">
        <v>1376</v>
      </c>
      <c r="O609" s="383">
        <v>37</v>
      </c>
      <c r="P609" s="383">
        <v>5</v>
      </c>
      <c r="Q609" s="37" t="s">
        <v>1226</v>
      </c>
    </row>
    <row r="610" spans="1:17" ht="13.2">
      <c r="A610" s="83" t="s">
        <v>650</v>
      </c>
      <c r="B610" s="386" t="str">
        <f>HYPERLINK("http://codeforces.com/contest/735/problem/C","CF735-D2-C")</f>
        <v>CF735-D2-C</v>
      </c>
      <c r="C610" s="159"/>
      <c r="D610" s="159"/>
      <c r="E610" s="159"/>
      <c r="F610" s="159"/>
      <c r="G610" s="159"/>
      <c r="H610" s="160"/>
      <c r="I610" s="57">
        <f t="shared" si="9"/>
        <v>0</v>
      </c>
      <c r="J610" s="62"/>
      <c r="K610" s="56"/>
      <c r="L610" s="159"/>
      <c r="M610" s="389" t="str">
        <f>HYPERLINK("https://www.youtube.com/watch?v=UWtHck3a4SA","Video Solution - Solver to be (Java)")</f>
        <v>Video Solution - Solver to be (Java)</v>
      </c>
      <c r="N610" s="383" t="s">
        <v>1379</v>
      </c>
      <c r="O610" s="383">
        <v>38</v>
      </c>
      <c r="P610" s="383">
        <v>5</v>
      </c>
      <c r="Q610" s="37" t="s">
        <v>1226</v>
      </c>
    </row>
    <row r="611" spans="1:17" ht="13.2">
      <c r="A611" s="83" t="s">
        <v>1187</v>
      </c>
      <c r="B611" s="386" t="str">
        <f>HYPERLINK("http://codeforces.com/contest/508/problem/C","CF508-D2-C")</f>
        <v>CF508-D2-C</v>
      </c>
      <c r="C611" s="159"/>
      <c r="D611" s="159"/>
      <c r="E611" s="159"/>
      <c r="F611" s="159"/>
      <c r="G611" s="159"/>
      <c r="H611" s="160"/>
      <c r="I611" s="57">
        <f t="shared" si="9"/>
        <v>0</v>
      </c>
      <c r="J611" s="102"/>
      <c r="K611" s="101"/>
      <c r="L611" s="405"/>
      <c r="M611" s="413" t="str">
        <f>HYPERLINK("https://codeforces.com/blog/entry/20935","Reading: DP on Trees")</f>
        <v>Reading: DP on Trees</v>
      </c>
      <c r="N611" s="383" t="s">
        <v>1380</v>
      </c>
      <c r="O611" s="383">
        <v>38</v>
      </c>
      <c r="P611" s="383">
        <v>5</v>
      </c>
      <c r="Q611" s="37" t="s">
        <v>1224</v>
      </c>
    </row>
    <row r="612" spans="1:17" ht="13.2">
      <c r="A612" s="83" t="s">
        <v>760</v>
      </c>
      <c r="B612" s="386" t="str">
        <f>HYPERLINK("http://codeforces.com/contest/148/problem/C","CF148-D2-C")</f>
        <v>CF148-D2-C</v>
      </c>
      <c r="C612" s="159"/>
      <c r="D612" s="159"/>
      <c r="E612" s="159"/>
      <c r="F612" s="159"/>
      <c r="G612" s="159"/>
      <c r="H612" s="160"/>
      <c r="I612" s="57">
        <f t="shared" si="9"/>
        <v>0</v>
      </c>
      <c r="J612" s="62"/>
      <c r="K612" s="56"/>
      <c r="L612" s="96"/>
      <c r="M612" s="403" t="str">
        <f>HYPERLINK("https://github.com/abdullaAshraf/Problem-Solving/blob/master/SPOJ/PT07X.cpp","Sol")</f>
        <v>Sol</v>
      </c>
      <c r="N612" s="383" t="s">
        <v>1381</v>
      </c>
      <c r="O612" s="383">
        <v>38</v>
      </c>
      <c r="P612" s="383">
        <v>5</v>
      </c>
    </row>
    <row r="613" spans="1:17" ht="13.2">
      <c r="A613" s="83" t="s">
        <v>920</v>
      </c>
      <c r="B613" s="386" t="str">
        <f>HYPERLINK("http://codeforces.com/contest/287/problem/C","CF287-D2-C")</f>
        <v>CF287-D2-C</v>
      </c>
      <c r="C613" s="159"/>
      <c r="D613" s="159"/>
      <c r="E613" s="159"/>
      <c r="F613" s="159"/>
      <c r="G613" s="159"/>
      <c r="H613" s="160"/>
      <c r="I613" s="57">
        <f t="shared" si="9"/>
        <v>0</v>
      </c>
      <c r="J613" s="102"/>
      <c r="K613" s="101"/>
      <c r="L613" s="159"/>
      <c r="M613" s="293" t="str">
        <f>HYPERLINK("https://github.com/osamahatem/CompetitiveProgramming/blob/master/SPOJ/BILLIARD.cpp","Sol")</f>
        <v>Sol</v>
      </c>
      <c r="N613" s="383" t="s">
        <v>1404</v>
      </c>
      <c r="O613" s="383">
        <v>45</v>
      </c>
      <c r="P613" s="383">
        <v>5</v>
      </c>
      <c r="Q613" s="37"/>
    </row>
    <row r="614" spans="1:17" ht="13.2">
      <c r="A614" s="83" t="s">
        <v>730</v>
      </c>
      <c r="B614" s="386" t="str">
        <f>HYPERLINK("http://codeforces.com/contest/260/problem/C","CF260-D2-C")</f>
        <v>CF260-D2-C</v>
      </c>
      <c r="C614" s="159"/>
      <c r="D614" s="159"/>
      <c r="E614" s="159"/>
      <c r="F614" s="159"/>
      <c r="G614" s="159"/>
      <c r="H614" s="160"/>
      <c r="I614" s="57">
        <f t="shared" si="9"/>
        <v>0</v>
      </c>
      <c r="J614" s="62"/>
      <c r="K614" s="56"/>
      <c r="L614" s="159"/>
      <c r="M614" s="545"/>
      <c r="N614" s="383" t="s">
        <v>1390</v>
      </c>
      <c r="O614" s="383">
        <v>45</v>
      </c>
      <c r="P614" s="383">
        <v>5</v>
      </c>
      <c r="Q614" s="37" t="s">
        <v>1226</v>
      </c>
    </row>
    <row r="615" spans="1:17" ht="13.2">
      <c r="A615" s="83"/>
      <c r="B615" s="386" t="str">
        <f>HYPERLINK("http://codeforces.com/contest/313/problem/C","CF313-D2-C")</f>
        <v>CF313-D2-C</v>
      </c>
      <c r="C615" s="159"/>
      <c r="D615" s="159"/>
      <c r="E615" s="159"/>
      <c r="F615" s="159"/>
      <c r="G615" s="159"/>
      <c r="H615" s="160"/>
      <c r="I615" s="57">
        <f t="shared" si="9"/>
        <v>0</v>
      </c>
      <c r="J615" s="62"/>
      <c r="K615" s="56"/>
      <c r="L615" s="159"/>
      <c r="M615" s="406"/>
      <c r="N615" s="383" t="s">
        <v>1405</v>
      </c>
      <c r="O615" s="383">
        <v>45</v>
      </c>
      <c r="P615" s="383">
        <v>5</v>
      </c>
      <c r="Q615" s="37" t="s">
        <v>1226</v>
      </c>
    </row>
    <row r="616" spans="1:17" ht="13.2">
      <c r="A616" s="83" t="s">
        <v>1128</v>
      </c>
      <c r="B616" s="386" t="str">
        <f>HYPERLINK("http://codeforces.com/contest/402/problem/D","CF402-D2-D")</f>
        <v>CF402-D2-D</v>
      </c>
      <c r="C616" s="159"/>
      <c r="D616" s="159"/>
      <c r="E616" s="159"/>
      <c r="F616" s="159"/>
      <c r="G616" s="159"/>
      <c r="H616" s="160"/>
      <c r="I616" s="57">
        <f t="shared" si="9"/>
        <v>0</v>
      </c>
      <c r="J616" s="62"/>
      <c r="K616" s="56"/>
      <c r="L616" s="405"/>
      <c r="M616" s="399"/>
      <c r="N616" s="383" t="s">
        <v>1390</v>
      </c>
      <c r="O616" s="383">
        <v>45</v>
      </c>
      <c r="P616" s="383">
        <v>5</v>
      </c>
      <c r="Q616" s="37" t="s">
        <v>1224</v>
      </c>
    </row>
    <row r="617" spans="1:17" ht="13.2">
      <c r="A617" s="83"/>
      <c r="B617" s="83" t="s">
        <v>932</v>
      </c>
      <c r="C617" s="159"/>
      <c r="D617" s="159"/>
      <c r="E617" s="159"/>
      <c r="F617" s="159"/>
      <c r="G617" s="159"/>
      <c r="H617" s="160"/>
      <c r="I617" s="57">
        <f t="shared" si="9"/>
        <v>0</v>
      </c>
      <c r="J617" s="62"/>
      <c r="K617" s="56"/>
      <c r="L617" s="159"/>
      <c r="M617" s="545"/>
      <c r="N617" s="383" t="s">
        <v>1406</v>
      </c>
      <c r="O617" s="383">
        <v>45</v>
      </c>
      <c r="P617" s="383">
        <v>5</v>
      </c>
      <c r="Q617" s="37" t="s">
        <v>1224</v>
      </c>
    </row>
    <row r="618" spans="1:17" ht="13.2">
      <c r="A618" s="83" t="s">
        <v>984</v>
      </c>
      <c r="B618" s="386" t="str">
        <f>HYPERLINK("http://codeforces.com/contest/94/problem/D","CF94-D2-D")</f>
        <v>CF94-D2-D</v>
      </c>
      <c r="C618" s="159"/>
      <c r="D618" s="159"/>
      <c r="E618" s="159"/>
      <c r="F618" s="159"/>
      <c r="G618" s="159"/>
      <c r="H618" s="160"/>
      <c r="I618" s="57">
        <f t="shared" si="9"/>
        <v>0</v>
      </c>
      <c r="J618" s="62"/>
      <c r="K618" s="56"/>
      <c r="L618" s="159"/>
      <c r="M618" s="545"/>
      <c r="N618" s="383" t="s">
        <v>1407</v>
      </c>
      <c r="O618" s="383">
        <v>45</v>
      </c>
      <c r="P618" s="383">
        <v>5</v>
      </c>
      <c r="Q618" s="37" t="s">
        <v>1224</v>
      </c>
    </row>
    <row r="619" spans="1:17" ht="13.2">
      <c r="A619" s="83" t="s">
        <v>638</v>
      </c>
      <c r="B619" s="386" t="str">
        <f>HYPERLINK("http://codeforces.com/contest/141/problem/C","CF141-D2-C")</f>
        <v>CF141-D2-C</v>
      </c>
      <c r="C619" s="159"/>
      <c r="D619" s="159"/>
      <c r="E619" s="159"/>
      <c r="F619" s="159"/>
      <c r="G619" s="159"/>
      <c r="H619" s="160"/>
      <c r="I619" s="57">
        <f t="shared" si="9"/>
        <v>0</v>
      </c>
      <c r="J619" s="62"/>
      <c r="K619" s="56"/>
      <c r="L619" s="159"/>
      <c r="M619" s="406"/>
      <c r="N619" s="383" t="s">
        <v>1408</v>
      </c>
      <c r="O619" s="383">
        <v>45</v>
      </c>
      <c r="P619" s="383">
        <v>5</v>
      </c>
      <c r="Q619" s="37" t="s">
        <v>1224</v>
      </c>
    </row>
    <row r="620" spans="1:17" ht="13.2">
      <c r="A620" s="83"/>
      <c r="B620" s="386" t="str">
        <f>HYPERLINK("http://codeforces.com/problemsets/acmsguru/problem/99999/321","SGU 321")</f>
        <v>SGU 321</v>
      </c>
      <c r="C620" s="159"/>
      <c r="D620" s="159"/>
      <c r="E620" s="159"/>
      <c r="F620" s="159"/>
      <c r="G620" s="159"/>
      <c r="H620" s="160"/>
      <c r="I620" s="57">
        <f t="shared" si="9"/>
        <v>0</v>
      </c>
      <c r="J620" s="62"/>
      <c r="K620" s="56"/>
      <c r="L620" s="159"/>
      <c r="M620" s="545"/>
      <c r="N620" s="383" t="s">
        <v>1409</v>
      </c>
      <c r="O620" s="383">
        <v>45</v>
      </c>
      <c r="P620" s="383">
        <v>5</v>
      </c>
      <c r="Q620" s="37" t="s">
        <v>1224</v>
      </c>
    </row>
    <row r="621" spans="1:17" ht="13.2">
      <c r="A621" s="83" t="s">
        <v>1206</v>
      </c>
      <c r="B621" s="386" t="str">
        <f>HYPERLINK("http://codeforces.com/contest/242/problem/D","CF242-D2-D")</f>
        <v>CF242-D2-D</v>
      </c>
      <c r="C621" s="159"/>
      <c r="D621" s="159"/>
      <c r="E621" s="159"/>
      <c r="F621" s="159"/>
      <c r="G621" s="159"/>
      <c r="H621" s="160"/>
      <c r="I621" s="57">
        <f t="shared" si="9"/>
        <v>0</v>
      </c>
      <c r="J621" s="102"/>
      <c r="K621" s="101"/>
      <c r="L621" s="159"/>
      <c r="M621" s="293" t="str">
        <f>HYPERLINK("https://github.com/morris821028/UVa/blob/master/volume013/1342%20-%20That%20Nice%20Euler%20Circuit.cpp","Sol")</f>
        <v>Sol</v>
      </c>
      <c r="N621" s="383" t="s">
        <v>1410</v>
      </c>
      <c r="O621" s="383">
        <v>45</v>
      </c>
      <c r="P621" s="383">
        <v>5</v>
      </c>
      <c r="Q621" s="543"/>
    </row>
    <row r="622" spans="1:17" ht="13.2">
      <c r="A622" s="83"/>
      <c r="B622" s="83" t="s">
        <v>897</v>
      </c>
      <c r="C622" s="159"/>
      <c r="D622" s="159"/>
      <c r="E622" s="159"/>
      <c r="F622" s="159"/>
      <c r="G622" s="159"/>
      <c r="H622" s="160"/>
      <c r="I622" s="57">
        <f t="shared" si="9"/>
        <v>0</v>
      </c>
      <c r="J622" s="62"/>
      <c r="K622" s="56"/>
      <c r="L622" s="159"/>
      <c r="M622" s="399"/>
      <c r="N622" s="383" t="s">
        <v>1415</v>
      </c>
      <c r="O622" s="383">
        <v>46</v>
      </c>
      <c r="P622" s="383">
        <v>5</v>
      </c>
      <c r="Q622" s="37" t="s">
        <v>1224</v>
      </c>
    </row>
    <row r="623" spans="1:17" ht="13.2">
      <c r="A623" s="83"/>
      <c r="B623" s="386" t="str">
        <f>HYPERLINK("http://codeforces.com/contest/1038/problem/D","CF1038-D2-D")</f>
        <v>CF1038-D2-D</v>
      </c>
      <c r="C623" s="159"/>
      <c r="D623" s="159"/>
      <c r="E623" s="159"/>
      <c r="F623" s="159"/>
      <c r="G623" s="159"/>
      <c r="H623" s="160"/>
      <c r="I623" s="57">
        <f t="shared" si="9"/>
        <v>0</v>
      </c>
      <c r="J623" s="102"/>
      <c r="K623" s="101"/>
      <c r="L623" s="159"/>
      <c r="M623" s="403" t="str">
        <f>HYPERLINK("https://github.com/mostafa-saad/MyCompetitiveProgramming/blob/master/UVA/UVA_10005.txt","Sol")</f>
        <v>Sol</v>
      </c>
      <c r="N623" s="383" t="s">
        <v>1421</v>
      </c>
      <c r="O623" s="383">
        <v>47</v>
      </c>
      <c r="P623" s="383">
        <v>5</v>
      </c>
      <c r="Q623" s="37" t="s">
        <v>1251</v>
      </c>
    </row>
    <row r="624" spans="1:17" ht="13.2">
      <c r="A624" s="83"/>
      <c r="B624" s="83" t="s">
        <v>911</v>
      </c>
      <c r="C624" s="159"/>
      <c r="D624" s="159"/>
      <c r="E624" s="159"/>
      <c r="F624" s="159"/>
      <c r="G624" s="159"/>
      <c r="H624" s="160"/>
      <c r="I624" s="57">
        <f t="shared" si="9"/>
        <v>0</v>
      </c>
      <c r="J624" s="102"/>
      <c r="K624" s="101"/>
      <c r="L624" s="159"/>
      <c r="M624" s="399"/>
      <c r="N624" s="383" t="s">
        <v>1422</v>
      </c>
      <c r="O624" s="383">
        <v>47</v>
      </c>
      <c r="P624" s="383">
        <v>5</v>
      </c>
      <c r="Q624" s="37" t="s">
        <v>1226</v>
      </c>
    </row>
    <row r="625" spans="1:17" ht="13.2">
      <c r="A625" s="83"/>
      <c r="B625" s="83" t="s">
        <v>898</v>
      </c>
      <c r="C625" s="159"/>
      <c r="D625" s="159"/>
      <c r="E625" s="159"/>
      <c r="F625" s="159"/>
      <c r="G625" s="159"/>
      <c r="H625" s="160"/>
      <c r="I625" s="57">
        <f t="shared" si="9"/>
        <v>0</v>
      </c>
      <c r="J625" s="62"/>
      <c r="K625" s="56"/>
      <c r="L625" s="159"/>
      <c r="M625" s="403" t="str">
        <f>HYPERLINK("https://github.com/mostafa-saad/MyCompetitiveProgramming/blob/master/SPOJ/SPOJ_ALIENS.txt","Sol - Practice on min enclosing circle")</f>
        <v>Sol - Practice on min enclosing circle</v>
      </c>
      <c r="N625" s="383" t="s">
        <v>1423</v>
      </c>
      <c r="O625" s="383">
        <v>47</v>
      </c>
      <c r="P625" s="383">
        <v>5</v>
      </c>
      <c r="Q625" s="37" t="s">
        <v>1224</v>
      </c>
    </row>
    <row r="626" spans="1:17" ht="13.2">
      <c r="A626" s="83" t="s">
        <v>1182</v>
      </c>
      <c r="B626" s="386" t="str">
        <f>HYPERLINK("http://codeforces.com/contest/239/problem/D","CF239-D2-D")</f>
        <v>CF239-D2-D</v>
      </c>
      <c r="C626" s="159"/>
      <c r="D626" s="159"/>
      <c r="E626" s="159"/>
      <c r="F626" s="159"/>
      <c r="G626" s="159"/>
      <c r="H626" s="160"/>
      <c r="I626" s="57">
        <f t="shared" si="9"/>
        <v>0</v>
      </c>
      <c r="J626" s="62"/>
      <c r="K626" s="56"/>
      <c r="L626" s="405"/>
      <c r="M626" s="403" t="str">
        <f>HYPERLINK("https://github.com/mostafa-saad/MyCompetitiveProgramming/blob/master/UVA/UVA_10514.txt","Sol")</f>
        <v>Sol</v>
      </c>
      <c r="N626" s="383" t="s">
        <v>1438</v>
      </c>
      <c r="O626" s="383">
        <v>48</v>
      </c>
      <c r="P626" s="383">
        <v>5</v>
      </c>
      <c r="Q626" s="543"/>
    </row>
    <row r="627" spans="1:17" ht="13.2">
      <c r="A627" s="83" t="s">
        <v>780</v>
      </c>
      <c r="B627" s="386" t="str">
        <f>HYPERLINK("http://codeforces.com/contest/465/problem/C","CF465-D2-C")</f>
        <v>CF465-D2-C</v>
      </c>
      <c r="C627" s="159"/>
      <c r="D627" s="159"/>
      <c r="E627" s="159"/>
      <c r="F627" s="159"/>
      <c r="G627" s="159"/>
      <c r="H627" s="160"/>
      <c r="I627" s="57">
        <f t="shared" si="9"/>
        <v>0</v>
      </c>
      <c r="J627" s="102"/>
      <c r="K627" s="101"/>
      <c r="L627" s="159"/>
      <c r="M627" s="404"/>
      <c r="N627" s="383" t="s">
        <v>1444</v>
      </c>
      <c r="O627" s="383">
        <v>49</v>
      </c>
      <c r="P627" s="383">
        <v>5</v>
      </c>
      <c r="Q627" s="37" t="s">
        <v>1224</v>
      </c>
    </row>
    <row r="628" spans="1:17" ht="13.2">
      <c r="A628" s="83"/>
      <c r="B628" s="386" t="str">
        <f>HYPERLINK("http://codeforces.com/contest/709/problem/D","CF709-D2-D")</f>
        <v>CF709-D2-D</v>
      </c>
      <c r="C628" s="159"/>
      <c r="D628" s="159"/>
      <c r="E628" s="159"/>
      <c r="F628" s="159"/>
      <c r="G628" s="159"/>
      <c r="H628" s="160"/>
      <c r="I628" s="57">
        <f t="shared" si="9"/>
        <v>0</v>
      </c>
      <c r="J628" s="102"/>
      <c r="K628" s="101"/>
      <c r="L628" s="159"/>
      <c r="M628" s="412" t="str">
        <f>HYPERLINK("https://github.com/MeGaCrazy/CompetitiveProgramming/blob/ff934b5231a55818d401805db5e0caa0720a1fa4/Codeforces/CF801-D2-D.cpp","Sol")</f>
        <v>Sol</v>
      </c>
      <c r="N628" s="383" t="s">
        <v>1445</v>
      </c>
      <c r="O628" s="383">
        <v>49</v>
      </c>
      <c r="P628" s="383">
        <v>5</v>
      </c>
      <c r="Q628" s="37" t="s">
        <v>1224</v>
      </c>
    </row>
    <row r="629" spans="1:17" ht="13.2">
      <c r="A629" s="83"/>
      <c r="B629" s="386" t="str">
        <f>HYPERLINK("https://www.codechef.com/LTIME64B/problems/BJUDGE","CODECHEF BJUDGE")</f>
        <v>CODECHEF BJUDGE</v>
      </c>
      <c r="C629" s="159"/>
      <c r="D629" s="159"/>
      <c r="E629" s="159"/>
      <c r="F629" s="159"/>
      <c r="G629" s="159"/>
      <c r="H629" s="160"/>
      <c r="I629" s="57">
        <f t="shared" si="9"/>
        <v>0</v>
      </c>
      <c r="J629" s="62"/>
      <c r="K629" s="56"/>
      <c r="L629" s="405"/>
      <c r="M629" s="401"/>
      <c r="N629" s="383" t="s">
        <v>1448</v>
      </c>
      <c r="O629" s="383">
        <v>52</v>
      </c>
      <c r="P629" s="383">
        <v>5</v>
      </c>
      <c r="Q629" s="543"/>
    </row>
    <row r="630" spans="1:17" ht="13.2">
      <c r="A630" s="83"/>
      <c r="B630" s="386" t="str">
        <f>HYPERLINK("http://codeforces.com/contest/1023/problem/E","CF1023-D12-E")</f>
        <v>CF1023-D12-E</v>
      </c>
      <c r="C630" s="159"/>
      <c r="D630" s="159"/>
      <c r="E630" s="159"/>
      <c r="F630" s="159"/>
      <c r="G630" s="159"/>
      <c r="H630" s="160"/>
      <c r="I630" s="57">
        <f t="shared" si="9"/>
        <v>0</v>
      </c>
      <c r="J630" s="62"/>
      <c r="K630" s="56"/>
      <c r="L630" s="159"/>
      <c r="M630" s="83"/>
      <c r="N630" s="383" t="s">
        <v>1458</v>
      </c>
      <c r="O630" s="383">
        <v>55</v>
      </c>
      <c r="P630" s="383">
        <v>5</v>
      </c>
      <c r="Q630" s="543"/>
    </row>
    <row r="631" spans="1:17" ht="13.2">
      <c r="A631" s="83" t="s">
        <v>1026</v>
      </c>
      <c r="B631" s="386" t="str">
        <f>HYPERLINK("http://codeforces.com/contest/104/problem/D","CF104-D2-D")</f>
        <v>CF104-D2-D</v>
      </c>
      <c r="C631" s="159"/>
      <c r="D631" s="159"/>
      <c r="E631" s="159"/>
      <c r="F631" s="159"/>
      <c r="G631" s="159"/>
      <c r="H631" s="160"/>
      <c r="I631" s="57">
        <f t="shared" si="9"/>
        <v>0</v>
      </c>
      <c r="J631" s="62"/>
      <c r="K631" s="56"/>
      <c r="L631" s="159"/>
      <c r="M631" s="545"/>
      <c r="N631" s="383" t="s">
        <v>1459</v>
      </c>
      <c r="O631" s="383">
        <v>55</v>
      </c>
      <c r="P631" s="383">
        <v>5</v>
      </c>
      <c r="Q631" s="543"/>
    </row>
    <row r="632" spans="1:17" ht="13.2">
      <c r="A632" s="83"/>
      <c r="B632" s="386" t="str">
        <f>HYPERLINK("http://codeforces.com/contest/1043/problem/E","CF1043-D12-E")</f>
        <v>CF1043-D12-E</v>
      </c>
      <c r="C632" s="159"/>
      <c r="D632" s="159"/>
      <c r="E632" s="159"/>
      <c r="F632" s="159"/>
      <c r="G632" s="159"/>
      <c r="H632" s="160"/>
      <c r="I632" s="57">
        <f t="shared" si="9"/>
        <v>0</v>
      </c>
      <c r="J632" s="102"/>
      <c r="K632" s="101"/>
      <c r="L632" s="405"/>
      <c r="M632" s="545"/>
      <c r="N632" s="383" t="s">
        <v>1460</v>
      </c>
      <c r="O632" s="383">
        <v>55</v>
      </c>
      <c r="P632" s="383">
        <v>5</v>
      </c>
      <c r="Q632" s="543"/>
    </row>
    <row r="633" spans="1:17" ht="13.2">
      <c r="A633" s="83" t="s">
        <v>1095</v>
      </c>
      <c r="B633" s="386" t="str">
        <f>HYPERLINK("http://codeforces.com/contest/447/problem/D","CF447-D2-D")</f>
        <v>CF447-D2-D</v>
      </c>
      <c r="C633" s="159"/>
      <c r="D633" s="159"/>
      <c r="E633" s="159"/>
      <c r="F633" s="159"/>
      <c r="G633" s="159"/>
      <c r="H633" s="160"/>
      <c r="I633" s="57">
        <f t="shared" si="9"/>
        <v>0</v>
      </c>
      <c r="J633" s="62"/>
      <c r="K633" s="56"/>
      <c r="L633" s="405"/>
      <c r="M633" s="259"/>
      <c r="N633" s="383" t="s">
        <v>1471</v>
      </c>
      <c r="O633" s="383">
        <v>57</v>
      </c>
      <c r="P633" s="383">
        <v>5</v>
      </c>
      <c r="Q633" s="37" t="s">
        <v>1226</v>
      </c>
    </row>
    <row r="634" spans="1:17" ht="13.2">
      <c r="A634" s="83"/>
      <c r="B634" s="386" t="str">
        <f>HYPERLINK("https://agc002.contest.atcoder.jp/tasks/agc002_c","AtCoder002-AGC-C")</f>
        <v>AtCoder002-AGC-C</v>
      </c>
      <c r="C634" s="159"/>
      <c r="D634" s="159"/>
      <c r="E634" s="159"/>
      <c r="F634" s="159"/>
      <c r="G634" s="159"/>
      <c r="H634" s="160"/>
      <c r="I634" s="57">
        <f t="shared" si="9"/>
        <v>0</v>
      </c>
      <c r="J634" s="102"/>
      <c r="K634" s="101"/>
      <c r="L634" s="159"/>
      <c r="M634" s="83"/>
      <c r="N634" s="383" t="s">
        <v>1472</v>
      </c>
      <c r="O634" s="383">
        <v>57</v>
      </c>
      <c r="P634" s="383">
        <v>5</v>
      </c>
      <c r="Q634" s="37" t="s">
        <v>1224</v>
      </c>
    </row>
    <row r="635" spans="1:17" ht="13.2">
      <c r="A635" s="83" t="s">
        <v>1140</v>
      </c>
      <c r="B635" s="386" t="str">
        <f>HYPERLINK("http://codeforces.com/problemset/gymProblem/101149/G","CF101149-GYM-G")</f>
        <v>CF101149-GYM-G</v>
      </c>
      <c r="C635" s="159"/>
      <c r="D635" s="159"/>
      <c r="E635" s="159"/>
      <c r="F635" s="159"/>
      <c r="G635" s="159"/>
      <c r="H635" s="160"/>
      <c r="I635" s="57">
        <f t="shared" si="9"/>
        <v>0</v>
      </c>
      <c r="J635" s="62"/>
      <c r="K635" s="56"/>
      <c r="L635" s="405"/>
      <c r="M635" s="293" t="str">
        <f>HYPERLINK("https://github.com/mostafa-saad/MyCompetitiveProgramming/blob/master/SPOJ/SPOJ_ANARC08A.txt","Sol")</f>
        <v>Sol</v>
      </c>
      <c r="N635" s="399" t="s">
        <v>1472</v>
      </c>
      <c r="O635" s="383">
        <v>57</v>
      </c>
      <c r="P635" s="383">
        <v>5</v>
      </c>
      <c r="Q635" s="543"/>
    </row>
    <row r="636" spans="1:17" ht="13.2">
      <c r="A636" s="83" t="s">
        <v>983</v>
      </c>
      <c r="B636" s="386" t="str">
        <f>HYPERLINK("http://codeforces.com/contest/672/problem/D","CF672-D2-D")</f>
        <v>CF672-D2-D</v>
      </c>
      <c r="C636" s="159"/>
      <c r="D636" s="159"/>
      <c r="E636" s="159"/>
      <c r="F636" s="159"/>
      <c r="G636" s="159"/>
      <c r="H636" s="160"/>
      <c r="I636" s="57">
        <f t="shared" si="9"/>
        <v>0</v>
      </c>
      <c r="J636" s="62"/>
      <c r="K636" s="56"/>
      <c r="L636" s="159"/>
      <c r="M636" s="404"/>
      <c r="N636" s="383" t="s">
        <v>1483</v>
      </c>
      <c r="O636" s="383">
        <v>60</v>
      </c>
      <c r="P636" s="383">
        <v>5</v>
      </c>
      <c r="Q636" s="37" t="s">
        <v>1226</v>
      </c>
    </row>
    <row r="637" spans="1:17" ht="13.2">
      <c r="A637" s="83"/>
      <c r="B637" s="83" t="s">
        <v>1021</v>
      </c>
      <c r="C637" s="159"/>
      <c r="D637" s="159"/>
      <c r="E637" s="159"/>
      <c r="F637" s="159"/>
      <c r="G637" s="159"/>
      <c r="H637" s="160"/>
      <c r="I637" s="57">
        <f t="shared" si="9"/>
        <v>0</v>
      </c>
      <c r="J637" s="96"/>
      <c r="K637" s="159"/>
      <c r="L637" s="405"/>
      <c r="M637" s="400" t="str">
        <f>HYPERLINK("https://github.com/MNT95/Competitive-Programming/blob/master/SPOJ/BIA.cpp?fbclid=IwAR1xR9CTVVj2L_Hr-1m5uIqAFHRc8Bh78z11v46sPyVjHwHeE3MvPrcMbn8","Sol")</f>
        <v>Sol</v>
      </c>
      <c r="N637" s="383" t="s">
        <v>1484</v>
      </c>
      <c r="O637" s="383">
        <v>60</v>
      </c>
      <c r="P637" s="383">
        <v>5</v>
      </c>
      <c r="Q637" s="37" t="s">
        <v>1224</v>
      </c>
    </row>
    <row r="638" spans="1:17" ht="13.2">
      <c r="A638" s="83"/>
      <c r="B638" s="386" t="str">
        <f>HYPERLINK("https://codeforces.com/contest/867/problem/E","CF867-D12-E")</f>
        <v>CF867-D12-E</v>
      </c>
      <c r="C638" s="159"/>
      <c r="D638" s="159"/>
      <c r="E638" s="159"/>
      <c r="F638" s="159"/>
      <c r="G638" s="159"/>
      <c r="H638" s="160"/>
      <c r="I638" s="57">
        <f t="shared" si="9"/>
        <v>0</v>
      </c>
      <c r="J638" s="96"/>
      <c r="K638" s="159"/>
      <c r="L638" s="159"/>
      <c r="M638" s="399"/>
      <c r="N638" s="383" t="s">
        <v>1485</v>
      </c>
      <c r="O638" s="383">
        <v>60</v>
      </c>
      <c r="P638" s="383">
        <v>5</v>
      </c>
      <c r="Q638" s="543"/>
    </row>
    <row r="639" spans="1:17" ht="13.2">
      <c r="A639" s="83"/>
      <c r="B639" s="83" t="s">
        <v>1145</v>
      </c>
      <c r="C639" s="159"/>
      <c r="D639" s="159"/>
      <c r="E639" s="159"/>
      <c r="F639" s="159"/>
      <c r="G639" s="159"/>
      <c r="H639" s="160"/>
      <c r="I639" s="57">
        <f t="shared" si="9"/>
        <v>0</v>
      </c>
      <c r="J639" s="62"/>
      <c r="K639" s="56"/>
      <c r="L639" s="405"/>
      <c r="M639" s="404"/>
      <c r="N639" s="383" t="s">
        <v>1492</v>
      </c>
      <c r="O639" s="383">
        <v>61</v>
      </c>
      <c r="P639" s="383">
        <v>5</v>
      </c>
      <c r="Q639" s="37" t="s">
        <v>1226</v>
      </c>
    </row>
    <row r="640" spans="1:17" ht="13.2">
      <c r="A640" s="83" t="s">
        <v>1126</v>
      </c>
      <c r="B640" s="386" t="str">
        <f>HYPERLINK("http://codeforces.com/contest/496/problem/D","CF496-D2-D")</f>
        <v>CF496-D2-D</v>
      </c>
      <c r="C640" s="159"/>
      <c r="D640" s="159"/>
      <c r="E640" s="159"/>
      <c r="F640" s="159"/>
      <c r="G640" s="159"/>
      <c r="H640" s="160"/>
      <c r="I640" s="57">
        <f t="shared" si="9"/>
        <v>0</v>
      </c>
      <c r="J640" s="102"/>
      <c r="K640" s="101"/>
      <c r="L640" s="405"/>
      <c r="M640" s="399"/>
      <c r="N640" s="383" t="s">
        <v>1495</v>
      </c>
      <c r="O640" s="383">
        <v>63</v>
      </c>
      <c r="P640" s="383">
        <v>5</v>
      </c>
      <c r="Q640" s="37" t="s">
        <v>1226</v>
      </c>
    </row>
    <row r="641" spans="1:17" ht="13.2">
      <c r="A641" s="83" t="s">
        <v>238</v>
      </c>
      <c r="B641" s="386" t="str">
        <f>HYPERLINK("http://codeforces.com/contest/127/problem/A","CF127-D2-A")</f>
        <v>CF127-D2-A</v>
      </c>
      <c r="C641" s="159"/>
      <c r="D641" s="159"/>
      <c r="E641" s="159"/>
      <c r="F641" s="159"/>
      <c r="G641" s="159"/>
      <c r="H641" s="160"/>
      <c r="I641" s="57">
        <f t="shared" si="9"/>
        <v>0</v>
      </c>
      <c r="J641" s="96"/>
      <c r="K641" s="56"/>
      <c r="L641" s="96"/>
      <c r="M641" s="406"/>
      <c r="N641" s="383" t="s">
        <v>1499</v>
      </c>
      <c r="O641" s="383">
        <v>63</v>
      </c>
      <c r="P641" s="399">
        <v>5</v>
      </c>
      <c r="Q641" s="37" t="s">
        <v>1226</v>
      </c>
    </row>
    <row r="642" spans="1:17" ht="13.2">
      <c r="A642" s="83" t="s">
        <v>196</v>
      </c>
      <c r="B642" s="386" t="str">
        <f>HYPERLINK("http://codeforces.com/contest/709/problem/A","CF709-D2-A")</f>
        <v>CF709-D2-A</v>
      </c>
      <c r="C642" s="159"/>
      <c r="D642" s="159"/>
      <c r="E642" s="159"/>
      <c r="F642" s="159"/>
      <c r="G642" s="159"/>
      <c r="H642" s="160"/>
      <c r="I642" s="57">
        <f t="shared" si="9"/>
        <v>0</v>
      </c>
      <c r="J642" s="96"/>
      <c r="K642" s="56"/>
      <c r="L642" s="96"/>
      <c r="M642" s="406"/>
      <c r="N642" s="383" t="s">
        <v>1500</v>
      </c>
      <c r="O642" s="383">
        <v>63</v>
      </c>
      <c r="P642" s="399">
        <v>5</v>
      </c>
      <c r="Q642" s="37" t="s">
        <v>1224</v>
      </c>
    </row>
    <row r="643" spans="1:17" ht="13.2">
      <c r="A643" s="83" t="s">
        <v>235</v>
      </c>
      <c r="B643" s="386" t="str">
        <f>HYPERLINK("http://codeforces.com/contest/785/problem/A","CF785-D2-A")</f>
        <v>CF785-D2-A</v>
      </c>
      <c r="C643" s="159"/>
      <c r="D643" s="159"/>
      <c r="E643" s="159"/>
      <c r="F643" s="159"/>
      <c r="G643" s="159"/>
      <c r="H643" s="160"/>
      <c r="I643" s="57">
        <f t="shared" si="9"/>
        <v>0</v>
      </c>
      <c r="J643" s="96"/>
      <c r="K643" s="56"/>
      <c r="L643" s="96"/>
      <c r="M643" s="293" t="str">
        <f>HYPERLINK("https://github.com/mostafa-saad/MyCompetitiveProgramming/blob/master/UVA/UVA_10740.txt","Sol")</f>
        <v>Sol</v>
      </c>
      <c r="N643" s="383" t="s">
        <v>1504</v>
      </c>
      <c r="O643" s="383">
        <v>64</v>
      </c>
      <c r="P643" s="399">
        <v>5</v>
      </c>
      <c r="Q643" s="37" t="s">
        <v>1226</v>
      </c>
    </row>
    <row r="644" spans="1:17" ht="13.2">
      <c r="A644" s="83" t="s">
        <v>231</v>
      </c>
      <c r="B644" s="386" t="str">
        <f>HYPERLINK("http://codeforces.com/contest/404/problem/A","CF404-D2-A")</f>
        <v>CF404-D2-A</v>
      </c>
      <c r="C644" s="159"/>
      <c r="D644" s="159"/>
      <c r="E644" s="159"/>
      <c r="F644" s="159"/>
      <c r="G644" s="159"/>
      <c r="H644" s="160"/>
      <c r="I644" s="57">
        <f t="shared" si="9"/>
        <v>0</v>
      </c>
      <c r="J644" s="96"/>
      <c r="K644" s="56"/>
      <c r="L644" s="96"/>
      <c r="M644" s="545"/>
      <c r="N644" s="383" t="s">
        <v>1505</v>
      </c>
      <c r="O644" s="383">
        <v>64</v>
      </c>
      <c r="P644" s="399">
        <v>5</v>
      </c>
      <c r="Q644" s="37" t="s">
        <v>1226</v>
      </c>
    </row>
    <row r="645" spans="1:17" ht="13.2">
      <c r="A645" s="83" t="s">
        <v>576</v>
      </c>
      <c r="B645" s="386" t="str">
        <f>HYPERLINK("http://codeforces.com/contest/518/problem/B","CF518-D2-B")</f>
        <v>CF518-D2-B</v>
      </c>
      <c r="C645" s="159"/>
      <c r="D645" s="159"/>
      <c r="E645" s="159"/>
      <c r="F645" s="159"/>
      <c r="G645" s="159"/>
      <c r="H645" s="160"/>
      <c r="I645" s="57">
        <f t="shared" si="9"/>
        <v>0</v>
      </c>
      <c r="J645" s="102"/>
      <c r="K645" s="101"/>
      <c r="L645" s="159"/>
      <c r="M645" s="406"/>
      <c r="N645" s="383" t="s">
        <v>1507</v>
      </c>
      <c r="O645" s="383">
        <v>65</v>
      </c>
      <c r="P645" s="399">
        <v>5</v>
      </c>
      <c r="Q645" s="37"/>
    </row>
    <row r="646" spans="1:17" ht="13.2">
      <c r="A646" s="83" t="s">
        <v>1595</v>
      </c>
      <c r="B646" s="386" t="str">
        <f>HYPERLINK("http://codeforces.com/contest/548/problem/B","CF548-D2-B")</f>
        <v>CF548-D2-B</v>
      </c>
      <c r="C646" s="159"/>
      <c r="D646" s="159"/>
      <c r="E646" s="159"/>
      <c r="F646" s="159"/>
      <c r="G646" s="159"/>
      <c r="H646" s="160"/>
      <c r="I646" s="57">
        <f t="shared" si="9"/>
        <v>0</v>
      </c>
      <c r="J646" s="102"/>
      <c r="K646" s="101"/>
      <c r="L646" s="159"/>
      <c r="M646" s="389" t="str">
        <f>HYPERLINK("https://www.youtube.com/watch?v=W0O3QNh0-DU","Video Solution - Solver to be (Java)")</f>
        <v>Video Solution - Solver to be (Java)</v>
      </c>
      <c r="N646" s="383" t="s">
        <v>1509</v>
      </c>
      <c r="O646" s="383">
        <v>65</v>
      </c>
      <c r="P646" s="399">
        <v>5</v>
      </c>
      <c r="Q646" s="37" t="s">
        <v>1226</v>
      </c>
    </row>
    <row r="647" spans="1:17" ht="13.2">
      <c r="A647" s="83" t="s">
        <v>655</v>
      </c>
      <c r="B647" s="386" t="str">
        <f>HYPERLINK("http://codeforces.com/contest/534/problem/B","CF534-D2-B")</f>
        <v>CF534-D2-B</v>
      </c>
      <c r="C647" s="159"/>
      <c r="D647" s="159"/>
      <c r="E647" s="159"/>
      <c r="F647" s="159"/>
      <c r="G647" s="159"/>
      <c r="H647" s="160"/>
      <c r="I647" s="57">
        <f t="shared" ref="I647:I710" si="10">SUM(E647:H647)</f>
        <v>0</v>
      </c>
      <c r="J647" s="62"/>
      <c r="K647" s="56"/>
      <c r="L647" s="159"/>
      <c r="M647" s="404"/>
      <c r="N647" s="383" t="s">
        <v>1515</v>
      </c>
      <c r="O647" s="383">
        <v>68</v>
      </c>
      <c r="P647" s="399">
        <v>5</v>
      </c>
      <c r="Q647" s="37" t="s">
        <v>1224</v>
      </c>
    </row>
    <row r="648" spans="1:17" ht="13.2">
      <c r="A648" s="83" t="s">
        <v>620</v>
      </c>
      <c r="B648" s="386" t="str">
        <f>HYPERLINK("http://codeforces.com/contest/631/problem/B","CF631-D2-B")</f>
        <v>CF631-D2-B</v>
      </c>
      <c r="C648" s="159"/>
      <c r="D648" s="159"/>
      <c r="E648" s="159"/>
      <c r="F648" s="159"/>
      <c r="G648" s="159"/>
      <c r="H648" s="160"/>
      <c r="I648" s="57">
        <f t="shared" si="10"/>
        <v>0</v>
      </c>
      <c r="J648" s="62"/>
      <c r="K648" s="56"/>
      <c r="L648" s="159"/>
      <c r="M648" s="404"/>
      <c r="N648" s="383" t="s">
        <v>1516</v>
      </c>
      <c r="O648" s="383">
        <v>68</v>
      </c>
      <c r="P648" s="399">
        <v>5</v>
      </c>
      <c r="Q648" s="37" t="s">
        <v>1224</v>
      </c>
    </row>
    <row r="649" spans="1:17" ht="13.2">
      <c r="A649" s="83" t="s">
        <v>804</v>
      </c>
      <c r="B649" s="386" t="str">
        <f>HYPERLINK("http://codeforces.com/contest/146/problem/B","CF146-D2-B")</f>
        <v>CF146-D2-B</v>
      </c>
      <c r="C649" s="159"/>
      <c r="D649" s="159"/>
      <c r="E649" s="159"/>
      <c r="F649" s="159"/>
      <c r="G649" s="159"/>
      <c r="H649" s="160"/>
      <c r="I649" s="57">
        <f t="shared" si="10"/>
        <v>0</v>
      </c>
      <c r="J649" s="62"/>
      <c r="K649" s="56"/>
      <c r="L649" s="159"/>
      <c r="M649" s="400" t="str">
        <f>HYPERLINK("https://github.com/tanmoy13/CompetitveProgramming/blob/master/Online-Judge-Solutions/UVA/670%20-%20The%20dog%20task.cpp","Sol")</f>
        <v>Sol</v>
      </c>
      <c r="N649" s="383" t="s">
        <v>1525</v>
      </c>
      <c r="O649" s="383">
        <v>72</v>
      </c>
      <c r="P649" s="399">
        <v>5</v>
      </c>
      <c r="Q649" s="37" t="s">
        <v>1226</v>
      </c>
    </row>
    <row r="650" spans="1:17" ht="13.2">
      <c r="A650" s="83" t="s">
        <v>594</v>
      </c>
      <c r="B650" s="386" t="str">
        <f>HYPERLINK("http://codeforces.com/contest/219/problem/B","CF219-D2-B")</f>
        <v>CF219-D2-B</v>
      </c>
      <c r="C650" s="159"/>
      <c r="D650" s="159"/>
      <c r="E650" s="159"/>
      <c r="F650" s="159"/>
      <c r="G650" s="159"/>
      <c r="H650" s="160"/>
      <c r="I650" s="57">
        <f t="shared" si="10"/>
        <v>0</v>
      </c>
      <c r="J650" s="62"/>
      <c r="K650" s="56"/>
      <c r="L650" s="159"/>
      <c r="M650" s="400" t="str">
        <f>HYPERLINK("https://github.com/AhmedRamadanAbdElghany/CompetitiveProgramming/blob/master/UVA/1184.cpp","Sol")</f>
        <v>Sol</v>
      </c>
      <c r="N650" s="383" t="s">
        <v>1527</v>
      </c>
      <c r="O650" s="383">
        <v>72</v>
      </c>
      <c r="P650" s="399">
        <v>5</v>
      </c>
      <c r="Q650" s="37" t="s">
        <v>1224</v>
      </c>
    </row>
    <row r="651" spans="1:17" ht="13.2">
      <c r="A651" s="83" t="s">
        <v>787</v>
      </c>
      <c r="B651" s="386" t="str">
        <f>HYPERLINK("http://codeforces.com/contest/233/problem/B","CF233-D2-B")</f>
        <v>CF233-D2-B</v>
      </c>
      <c r="C651" s="159"/>
      <c r="D651" s="159"/>
      <c r="E651" s="159"/>
      <c r="F651" s="159"/>
      <c r="G651" s="159"/>
      <c r="H651" s="160"/>
      <c r="I651" s="57">
        <f t="shared" si="10"/>
        <v>0</v>
      </c>
      <c r="J651" s="62"/>
      <c r="K651" s="56"/>
      <c r="L651" s="159"/>
      <c r="M651" s="400" t="str">
        <f>HYPERLINK("https://github.com/WaleedAbdelhakim/Competitive-Programming/blob/master/ZOJ/2587.cpp","Sol")</f>
        <v>Sol</v>
      </c>
      <c r="N651" s="383" t="s">
        <v>1533</v>
      </c>
      <c r="O651" s="383">
        <v>74</v>
      </c>
      <c r="P651" s="399">
        <v>5</v>
      </c>
      <c r="Q651" s="37" t="s">
        <v>1224</v>
      </c>
    </row>
    <row r="652" spans="1:17" ht="13.2">
      <c r="A652" s="83" t="s">
        <v>1596</v>
      </c>
      <c r="B652" s="386" t="str">
        <f>HYPERLINK("http://codeforces.com/contest/357/problem/B","CF357-D2-B")</f>
        <v>CF357-D2-B</v>
      </c>
      <c r="C652" s="159"/>
      <c r="D652" s="159"/>
      <c r="E652" s="159"/>
      <c r="F652" s="159"/>
      <c r="G652" s="159"/>
      <c r="H652" s="160"/>
      <c r="I652" s="57">
        <f t="shared" si="10"/>
        <v>0</v>
      </c>
      <c r="J652" s="62"/>
      <c r="K652" s="56"/>
      <c r="L652" s="96"/>
      <c r="M652" s="406"/>
      <c r="N652" s="383" t="s">
        <v>1537</v>
      </c>
      <c r="O652" s="383">
        <v>76</v>
      </c>
      <c r="P652" s="399">
        <v>5</v>
      </c>
      <c r="Q652" s="37" t="s">
        <v>1226</v>
      </c>
    </row>
    <row r="653" spans="1:17" ht="13.2">
      <c r="A653" s="83" t="s">
        <v>747</v>
      </c>
      <c r="B653" s="386" t="str">
        <f>HYPERLINK("http://codeforces.com/contest/426/problem/B","CF426-D2-B")</f>
        <v>CF426-D2-B</v>
      </c>
      <c r="C653" s="159"/>
      <c r="D653" s="159"/>
      <c r="E653" s="159"/>
      <c r="F653" s="159"/>
      <c r="G653" s="159"/>
      <c r="H653" s="160"/>
      <c r="I653" s="57">
        <f t="shared" si="10"/>
        <v>0</v>
      </c>
      <c r="J653" s="62"/>
      <c r="K653" s="56"/>
      <c r="L653" s="96"/>
      <c r="M653" s="406"/>
      <c r="N653" s="383" t="s">
        <v>1540</v>
      </c>
      <c r="O653" s="383">
        <v>76</v>
      </c>
      <c r="P653" s="399">
        <v>5</v>
      </c>
      <c r="Q653" s="37" t="s">
        <v>1226</v>
      </c>
    </row>
    <row r="654" spans="1:17" ht="13.2">
      <c r="A654" s="83" t="s">
        <v>766</v>
      </c>
      <c r="B654" s="386" t="str">
        <f>HYPERLINK("http://codeforces.com/contest/454/problem/B","CF454-D2-B")</f>
        <v>CF454-D2-B</v>
      </c>
      <c r="C654" s="159"/>
      <c r="D654" s="159"/>
      <c r="E654" s="159"/>
      <c r="F654" s="159"/>
      <c r="G654" s="159"/>
      <c r="H654" s="160"/>
      <c r="I654" s="57">
        <f t="shared" si="10"/>
        <v>0</v>
      </c>
      <c r="J654" s="62"/>
      <c r="K654" s="56"/>
      <c r="L654" s="96"/>
      <c r="M654" s="293" t="str">
        <f>HYPERLINK("https://github.com/MohamedNabil97/CompetitiveProgramming/tree/master/UVA/1234.cpp","Sol")</f>
        <v>Sol</v>
      </c>
      <c r="N654" s="383" t="s">
        <v>1541</v>
      </c>
      <c r="O654" s="383">
        <v>76</v>
      </c>
      <c r="P654" s="399">
        <v>5</v>
      </c>
      <c r="Q654" s="37" t="s">
        <v>1224</v>
      </c>
    </row>
    <row r="655" spans="1:17" ht="13.2">
      <c r="A655" s="83" t="s">
        <v>803</v>
      </c>
      <c r="B655" s="386" t="str">
        <f>HYPERLINK("http://codeforces.com/contest/471/problem/B","CF471-D2-B")</f>
        <v>CF471-D2-B</v>
      </c>
      <c r="C655" s="159"/>
      <c r="D655" s="159"/>
      <c r="E655" s="159"/>
      <c r="F655" s="159"/>
      <c r="G655" s="159"/>
      <c r="H655" s="160"/>
      <c r="I655" s="57">
        <f t="shared" si="10"/>
        <v>0</v>
      </c>
      <c r="J655" s="62"/>
      <c r="K655" s="56"/>
      <c r="L655" s="159"/>
      <c r="M655" s="229"/>
      <c r="N655" s="383" t="s">
        <v>1542</v>
      </c>
      <c r="O655" s="383">
        <v>76</v>
      </c>
      <c r="P655" s="399">
        <v>5</v>
      </c>
      <c r="Q655" s="37" t="s">
        <v>1224</v>
      </c>
    </row>
    <row r="656" spans="1:17" ht="13.2">
      <c r="A656" s="83" t="s">
        <v>465</v>
      </c>
      <c r="B656" s="386" t="str">
        <f>HYPERLINK("http://codeforces.com/contest/614/problem/B","CF614-D2-B")</f>
        <v>CF614-D2-B</v>
      </c>
      <c r="C656" s="159"/>
      <c r="D656" s="159"/>
      <c r="E656" s="159"/>
      <c r="F656" s="159"/>
      <c r="G656" s="159"/>
      <c r="H656" s="160"/>
      <c r="I656" s="57">
        <f t="shared" si="10"/>
        <v>0</v>
      </c>
      <c r="J656" s="62"/>
      <c r="K656" s="56"/>
      <c r="L656" s="159"/>
      <c r="M656" s="406"/>
      <c r="N656" s="383" t="s">
        <v>1537</v>
      </c>
      <c r="O656" s="383">
        <v>76</v>
      </c>
      <c r="P656" s="399">
        <v>5</v>
      </c>
      <c r="Q656" s="37" t="s">
        <v>1220</v>
      </c>
    </row>
    <row r="657" spans="1:17" ht="13.2">
      <c r="A657" s="83" t="s">
        <v>814</v>
      </c>
      <c r="B657" s="386" t="str">
        <f>HYPERLINK("http://codeforces.com/contest/131/problem/B","CF131-D2-B")</f>
        <v>CF131-D2-B</v>
      </c>
      <c r="C657" s="159"/>
      <c r="D657" s="159"/>
      <c r="E657" s="159"/>
      <c r="F657" s="159"/>
      <c r="G657" s="159"/>
      <c r="H657" s="160"/>
      <c r="I657" s="57">
        <f t="shared" si="10"/>
        <v>0</v>
      </c>
      <c r="J657" s="102"/>
      <c r="K657" s="101"/>
      <c r="L657" s="159"/>
      <c r="M657" s="545"/>
      <c r="N657" s="383" t="s">
        <v>1537</v>
      </c>
      <c r="O657" s="383">
        <v>76</v>
      </c>
      <c r="P657" s="399">
        <v>5</v>
      </c>
    </row>
    <row r="658" spans="1:17" ht="13.2">
      <c r="A658" s="83" t="s">
        <v>1597</v>
      </c>
      <c r="B658" s="386" t="str">
        <f>HYPERLINK("http://codeforces.com/contest/116/problem/B","CF116-D2-B")</f>
        <v>CF116-D2-B</v>
      </c>
      <c r="C658" s="159"/>
      <c r="D658" s="159"/>
      <c r="E658" s="159"/>
      <c r="F658" s="159"/>
      <c r="G658" s="159"/>
      <c r="H658" s="160"/>
      <c r="I658" s="57">
        <f t="shared" si="10"/>
        <v>0</v>
      </c>
      <c r="J658" s="62"/>
      <c r="K658" s="56"/>
      <c r="L658" s="159"/>
      <c r="M658" s="406"/>
      <c r="N658" s="383" t="s">
        <v>1546</v>
      </c>
      <c r="O658" s="383">
        <v>77</v>
      </c>
      <c r="P658" s="399">
        <v>5</v>
      </c>
    </row>
    <row r="659" spans="1:17" ht="13.2">
      <c r="A659" s="83" t="s">
        <v>640</v>
      </c>
      <c r="B659" s="386" t="str">
        <f>HYPERLINK("http://codeforces.com/contest/222/problem/B","CF222-D2-B")</f>
        <v>CF222-D2-B</v>
      </c>
      <c r="C659" s="159"/>
      <c r="D659" s="159"/>
      <c r="E659" s="159"/>
      <c r="F659" s="159"/>
      <c r="G659" s="159"/>
      <c r="H659" s="160"/>
      <c r="I659" s="57">
        <f t="shared" si="10"/>
        <v>0</v>
      </c>
      <c r="J659" s="102"/>
      <c r="K659" s="101"/>
      <c r="L659" s="159"/>
      <c r="M659" s="545"/>
      <c r="N659" s="383" t="s">
        <v>1563</v>
      </c>
      <c r="O659" s="383">
        <v>84</v>
      </c>
      <c r="P659" s="399">
        <v>5</v>
      </c>
      <c r="Q659" s="37"/>
    </row>
    <row r="660" spans="1:17" ht="13.2">
      <c r="A660" s="83" t="s">
        <v>607</v>
      </c>
      <c r="B660" s="386" t="str">
        <f>HYPERLINK("http://codeforces.com/contest/271/problem/B","CF271-D2-B")</f>
        <v>CF271-D2-B</v>
      </c>
      <c r="C660" s="159"/>
      <c r="D660" s="159"/>
      <c r="E660" s="159"/>
      <c r="F660" s="159"/>
      <c r="G660" s="159"/>
      <c r="H660" s="160"/>
      <c r="I660" s="57">
        <f t="shared" si="10"/>
        <v>0</v>
      </c>
      <c r="J660" s="62"/>
      <c r="K660" s="56"/>
      <c r="L660" s="159"/>
      <c r="M660" s="545"/>
      <c r="N660" s="383" t="s">
        <v>1571</v>
      </c>
      <c r="O660" s="383">
        <v>84</v>
      </c>
      <c r="P660" s="399">
        <v>5</v>
      </c>
      <c r="Q660" s="37"/>
    </row>
    <row r="661" spans="1:17" ht="13.2">
      <c r="A661" s="83" t="s">
        <v>471</v>
      </c>
      <c r="B661" s="386" t="str">
        <f>HYPERLINK("http://codeforces.com/contest/621/problem/B","CF621-D2-B")</f>
        <v>CF621-D2-B</v>
      </c>
      <c r="C661" s="159"/>
      <c r="D661" s="159"/>
      <c r="E661" s="159"/>
      <c r="F661" s="159"/>
      <c r="G661" s="159"/>
      <c r="H661" s="160"/>
      <c r="I661" s="57">
        <f t="shared" si="10"/>
        <v>0</v>
      </c>
      <c r="J661" s="62"/>
      <c r="K661" s="56"/>
      <c r="L661" s="159"/>
      <c r="M661" s="406"/>
      <c r="N661" s="383" t="s">
        <v>1572</v>
      </c>
      <c r="O661" s="383">
        <v>84</v>
      </c>
      <c r="P661" s="399">
        <v>5</v>
      </c>
      <c r="Q661" s="37" t="s">
        <v>1226</v>
      </c>
    </row>
    <row r="662" spans="1:17" ht="13.2">
      <c r="A662" s="83"/>
      <c r="B662" s="386" t="str">
        <f>HYPERLINK("https://codeforces.com/contest/1030/problem/B","CF1030-D12-B")</f>
        <v>CF1030-D12-B</v>
      </c>
      <c r="C662" s="159"/>
      <c r="D662" s="159"/>
      <c r="E662" s="159"/>
      <c r="F662" s="159"/>
      <c r="G662" s="159"/>
      <c r="H662" s="160"/>
      <c r="I662" s="57">
        <f t="shared" si="10"/>
        <v>0</v>
      </c>
      <c r="J662" s="102"/>
      <c r="K662" s="101"/>
      <c r="L662" s="159"/>
      <c r="M662" s="399"/>
      <c r="N662" s="383" t="s">
        <v>1573</v>
      </c>
      <c r="O662" s="383">
        <v>84</v>
      </c>
      <c r="P662" s="399">
        <v>5</v>
      </c>
      <c r="Q662" s="37" t="s">
        <v>1226</v>
      </c>
    </row>
    <row r="663" spans="1:17" ht="13.2">
      <c r="A663" s="83" t="s">
        <v>656</v>
      </c>
      <c r="B663" s="386" t="str">
        <f>HYPERLINK("http://codeforces.com/contest/75/problem/B","CF75-D2-B")</f>
        <v>CF75-D2-B</v>
      </c>
      <c r="C663" s="159"/>
      <c r="D663" s="159"/>
      <c r="E663" s="159"/>
      <c r="F663" s="159"/>
      <c r="G663" s="159"/>
      <c r="H663" s="160"/>
      <c r="I663" s="57">
        <f t="shared" si="10"/>
        <v>0</v>
      </c>
      <c r="J663" s="62"/>
      <c r="K663" s="56"/>
      <c r="L663" s="159"/>
      <c r="M663" s="404"/>
      <c r="N663" s="383" t="s">
        <v>1563</v>
      </c>
      <c r="O663" s="383">
        <v>84</v>
      </c>
      <c r="P663" s="399">
        <v>5</v>
      </c>
      <c r="Q663" s="37" t="s">
        <v>1224</v>
      </c>
    </row>
    <row r="664" spans="1:17" ht="13.2">
      <c r="A664" s="86" t="s">
        <v>638</v>
      </c>
      <c r="B664" s="104" t="str">
        <f>HYPERLINK("http://codeforces.com/contest/490/problem/B","CF490-D2-B")</f>
        <v>CF490-D2-B</v>
      </c>
      <c r="C664" s="29"/>
      <c r="D664" s="29"/>
      <c r="E664" s="29"/>
      <c r="F664" s="29"/>
      <c r="G664" s="29"/>
      <c r="H664" s="29"/>
      <c r="I664" s="103">
        <f t="shared" si="10"/>
        <v>0</v>
      </c>
      <c r="J664" s="26"/>
      <c r="K664" s="29"/>
      <c r="L664" s="26"/>
      <c r="M664" s="389" t="str">
        <f>HYPERLINK("https://github.com/mostafa-saad/MyCompetitiveProgramming/blob/master/SGU/SGU_321.txt","Sol")</f>
        <v>Sol</v>
      </c>
      <c r="N664" s="399" t="s">
        <v>1574</v>
      </c>
      <c r="O664" s="399">
        <v>84</v>
      </c>
      <c r="P664" s="399">
        <v>5</v>
      </c>
      <c r="Q664" s="37" t="s">
        <v>1224</v>
      </c>
    </row>
    <row r="665" spans="1:17" ht="13.2">
      <c r="A665" s="83" t="s">
        <v>432</v>
      </c>
      <c r="B665" s="386" t="str">
        <f>HYPERLINK("http://acm.timus.ru/problem.aspx?space=1&amp;num=1054","TIMUS 1054")</f>
        <v>TIMUS 1054</v>
      </c>
      <c r="C665" s="159"/>
      <c r="D665" s="159"/>
      <c r="E665" s="159"/>
      <c r="F665" s="159"/>
      <c r="G665" s="159"/>
      <c r="H665" s="160"/>
      <c r="I665" s="57">
        <f t="shared" si="10"/>
        <v>0</v>
      </c>
      <c r="J665" s="62"/>
      <c r="K665" s="56"/>
      <c r="L665" s="159"/>
      <c r="M665" s="545"/>
      <c r="N665" s="383" t="s">
        <v>1575</v>
      </c>
      <c r="O665" s="383">
        <v>84</v>
      </c>
      <c r="P665" s="383">
        <v>5</v>
      </c>
      <c r="Q665" s="37" t="s">
        <v>1224</v>
      </c>
    </row>
    <row r="666" spans="1:17" ht="13.2">
      <c r="A666" s="83" t="s">
        <v>1104</v>
      </c>
      <c r="B666" s="386" t="str">
        <f>HYPERLINK("http://codeforces.com/contest/495/problem/C","CF495-D2-C")</f>
        <v>CF495-D2-C</v>
      </c>
      <c r="C666" s="159"/>
      <c r="D666" s="159"/>
      <c r="E666" s="159"/>
      <c r="F666" s="159"/>
      <c r="G666" s="159"/>
      <c r="H666" s="160"/>
      <c r="I666" s="57">
        <f t="shared" si="10"/>
        <v>0</v>
      </c>
      <c r="J666" s="102"/>
      <c r="K666" s="101"/>
      <c r="L666" s="405"/>
      <c r="M666" s="404"/>
      <c r="N666" s="383" t="s">
        <v>1576</v>
      </c>
      <c r="O666" s="383">
        <v>84</v>
      </c>
      <c r="P666" s="383">
        <v>5</v>
      </c>
      <c r="Q666" s="37" t="s">
        <v>1224</v>
      </c>
    </row>
    <row r="667" spans="1:17" ht="13.2">
      <c r="A667" s="83" t="s">
        <v>1130</v>
      </c>
      <c r="B667" s="386" t="str">
        <f>HYPERLINK("http://codeforces.com/contest/69/problem/C","CF69-D2-C")</f>
        <v>CF69-D2-C</v>
      </c>
      <c r="C667" s="159"/>
      <c r="D667" s="159"/>
      <c r="E667" s="159"/>
      <c r="F667" s="159"/>
      <c r="G667" s="159"/>
      <c r="H667" s="160"/>
      <c r="I667" s="57">
        <f t="shared" si="10"/>
        <v>0</v>
      </c>
      <c r="J667" s="62"/>
      <c r="K667" s="56"/>
      <c r="L667" s="405"/>
      <c r="M667" s="401"/>
      <c r="N667" s="383" t="s">
        <v>1555</v>
      </c>
      <c r="O667" s="383">
        <v>84</v>
      </c>
      <c r="P667" s="383">
        <v>5</v>
      </c>
      <c r="Q667" s="37" t="s">
        <v>1224</v>
      </c>
    </row>
    <row r="668" spans="1:17" ht="13.2">
      <c r="A668" s="83" t="s">
        <v>628</v>
      </c>
      <c r="B668" s="386" t="str">
        <f>HYPERLINK("https://uva.onlinejudge.org/index.php?option=onlinejudge&amp;page=show_problem&amp;problem=63","UVA 127")</f>
        <v>UVA 127</v>
      </c>
      <c r="C668" s="159"/>
      <c r="D668" s="159"/>
      <c r="E668" s="159"/>
      <c r="F668" s="159"/>
      <c r="G668" s="159"/>
      <c r="H668" s="160"/>
      <c r="I668" s="57">
        <f t="shared" si="10"/>
        <v>0</v>
      </c>
      <c r="J668" s="62"/>
      <c r="K668" s="56"/>
      <c r="L668" s="159"/>
      <c r="M668" s="293" t="str">
        <f>HYPERLINK("https://github.com/yazanKabbany/CompetitiveProgramming/blob/master/UVA/UVA%2012325.cpp","Prove your Solution")</f>
        <v>Prove your Solution</v>
      </c>
      <c r="N668" s="383" t="s">
        <v>1577</v>
      </c>
      <c r="O668" s="383">
        <v>84</v>
      </c>
      <c r="P668" s="383">
        <v>5</v>
      </c>
      <c r="Q668" s="37" t="s">
        <v>1224</v>
      </c>
    </row>
    <row r="669" spans="1:17" ht="13.2">
      <c r="A669" s="83" t="s">
        <v>696</v>
      </c>
      <c r="B669" s="386" t="str">
        <f>HYPERLINK("http://codeforces.com/contest/268/problem/C","CF268-D2-C")</f>
        <v>CF268-D2-C</v>
      </c>
      <c r="C669" s="159"/>
      <c r="D669" s="159"/>
      <c r="E669" s="159"/>
      <c r="F669" s="159"/>
      <c r="G669" s="159"/>
      <c r="H669" s="160"/>
      <c r="I669" s="57">
        <f t="shared" si="10"/>
        <v>0</v>
      </c>
      <c r="J669" s="62"/>
      <c r="K669" s="56"/>
      <c r="L669" s="159"/>
      <c r="M669" s="404"/>
      <c r="N669" s="383" t="s">
        <v>1578</v>
      </c>
      <c r="O669" s="383">
        <v>84</v>
      </c>
      <c r="P669" s="383">
        <v>5</v>
      </c>
      <c r="Q669" s="37" t="s">
        <v>1224</v>
      </c>
    </row>
    <row r="670" spans="1:17" ht="13.2">
      <c r="A670" s="83" t="s">
        <v>710</v>
      </c>
      <c r="B670" s="386" t="str">
        <f>HYPERLINK("http://codeforces.com/contest/462/problem/C","CF462-D2-C")</f>
        <v>CF462-D2-C</v>
      </c>
      <c r="C670" s="159"/>
      <c r="D670" s="159"/>
      <c r="E670" s="159"/>
      <c r="F670" s="159"/>
      <c r="G670" s="159"/>
      <c r="H670" s="160"/>
      <c r="I670" s="57">
        <f t="shared" si="10"/>
        <v>0</v>
      </c>
      <c r="J670" s="102"/>
      <c r="K670" s="101"/>
      <c r="L670" s="159"/>
      <c r="M670" s="293" t="str">
        <f>HYPERLINK("https://github.com/MedoN11/CompetitiveProgramming/blob/master/CodeForces/CF239-D2-D.java","Sol. Find proof (See editorial comments)")</f>
        <v>Sol. Find proof (See editorial comments)</v>
      </c>
      <c r="N670" s="383" t="s">
        <v>1579</v>
      </c>
      <c r="O670" s="383">
        <v>84</v>
      </c>
      <c r="P670" s="383">
        <v>5</v>
      </c>
      <c r="Q670" s="37" t="s">
        <v>1224</v>
      </c>
    </row>
    <row r="671" spans="1:17" ht="13.2">
      <c r="A671" s="83" t="s">
        <v>934</v>
      </c>
      <c r="B671" s="386" t="str">
        <f>HYPERLINK("http://codeforces.com/contest/581/problem/D","CF581-D2-D")</f>
        <v>CF581-D2-D</v>
      </c>
      <c r="C671" s="159"/>
      <c r="D671" s="159"/>
      <c r="E671" s="159"/>
      <c r="F671" s="159"/>
      <c r="G671" s="159"/>
      <c r="H671" s="160"/>
      <c r="I671" s="57">
        <f t="shared" si="10"/>
        <v>0</v>
      </c>
      <c r="J671" s="102"/>
      <c r="K671" s="101"/>
      <c r="L671" s="159"/>
      <c r="M671" s="401"/>
      <c r="N671" s="383" t="s">
        <v>1580</v>
      </c>
      <c r="O671" s="383">
        <v>84</v>
      </c>
      <c r="P671" s="383">
        <v>5</v>
      </c>
      <c r="Q671" s="543"/>
    </row>
    <row r="672" spans="1:17" ht="13.2">
      <c r="A672" s="83" t="s">
        <v>651</v>
      </c>
      <c r="B672" s="386" t="str">
        <f>HYPERLINK("http://codeforces.com/contest/507/problem/C","CF507-D2-C")</f>
        <v>CF507-D2-C</v>
      </c>
      <c r="C672" s="159"/>
      <c r="D672" s="159"/>
      <c r="E672" s="159"/>
      <c r="F672" s="159"/>
      <c r="G672" s="159"/>
      <c r="H672" s="160"/>
      <c r="I672" s="57">
        <f t="shared" si="10"/>
        <v>0</v>
      </c>
      <c r="J672" s="62"/>
      <c r="K672" s="56"/>
      <c r="L672" s="159"/>
      <c r="M672" s="545"/>
      <c r="N672" s="383" t="s">
        <v>1604</v>
      </c>
      <c r="O672" s="383">
        <v>86</v>
      </c>
      <c r="P672" s="383">
        <v>5</v>
      </c>
      <c r="Q672" s="37" t="s">
        <v>1224</v>
      </c>
    </row>
    <row r="673" spans="1:17" ht="13.2">
      <c r="A673" s="83"/>
      <c r="B673" s="386" t="str">
        <f>HYPERLINK("http://codeforces.com/contest/1043/problem/D", "CF1042-D12-D")</f>
        <v>CF1042-D12-D</v>
      </c>
      <c r="C673" s="159"/>
      <c r="D673" s="159"/>
      <c r="E673" s="159"/>
      <c r="F673" s="159"/>
      <c r="G673" s="159"/>
      <c r="H673" s="160"/>
      <c r="I673" s="57">
        <f t="shared" si="10"/>
        <v>0</v>
      </c>
      <c r="J673" s="102"/>
      <c r="K673" s="101"/>
      <c r="L673" s="159"/>
      <c r="M673" s="401"/>
      <c r="N673" s="383" t="s">
        <v>1598</v>
      </c>
      <c r="O673" s="383">
        <v>86</v>
      </c>
      <c r="P673" s="383">
        <v>5</v>
      </c>
      <c r="Q673" s="37" t="s">
        <v>1224</v>
      </c>
    </row>
    <row r="674" spans="1:17" ht="13.2">
      <c r="A674" s="83" t="s">
        <v>795</v>
      </c>
      <c r="B674" s="386" t="str">
        <f>HYPERLINK("http://codeforces.com/contest/349/problem/C","CF349-D2-C")</f>
        <v>CF349-D2-C</v>
      </c>
      <c r="C674" s="159"/>
      <c r="D674" s="159"/>
      <c r="E674" s="159"/>
      <c r="F674" s="159"/>
      <c r="G674" s="159"/>
      <c r="H674" s="160"/>
      <c r="I674" s="57">
        <f t="shared" si="10"/>
        <v>0</v>
      </c>
      <c r="J674" s="102"/>
      <c r="K674" s="101"/>
      <c r="L674" s="159"/>
      <c r="M674" s="399"/>
      <c r="N674" s="383" t="s">
        <v>1605</v>
      </c>
      <c r="O674" s="383">
        <v>86</v>
      </c>
      <c r="P674" s="383">
        <v>5</v>
      </c>
      <c r="Q674" s="37" t="s">
        <v>1220</v>
      </c>
    </row>
    <row r="675" spans="1:17" ht="13.2">
      <c r="A675" s="83" t="s">
        <v>634</v>
      </c>
      <c r="B675" s="386" t="str">
        <f>HYPERLINK("http://codeforces.com/contest/405/problem/C","CF405-D2-C")</f>
        <v>CF405-D2-C</v>
      </c>
      <c r="C675" s="159"/>
      <c r="D675" s="159"/>
      <c r="E675" s="159"/>
      <c r="F675" s="159"/>
      <c r="G675" s="159"/>
      <c r="H675" s="160"/>
      <c r="I675" s="57">
        <f t="shared" si="10"/>
        <v>0</v>
      </c>
      <c r="J675" s="62"/>
      <c r="K675" s="56"/>
      <c r="L675" s="159"/>
      <c r="M675" s="395"/>
      <c r="N675" s="383" t="s">
        <v>1625</v>
      </c>
      <c r="O675" s="383">
        <v>87</v>
      </c>
      <c r="P675" s="383">
        <v>5</v>
      </c>
      <c r="Q675" s="37" t="s">
        <v>1251</v>
      </c>
    </row>
    <row r="676" spans="1:17" ht="13.2">
      <c r="A676" s="83"/>
      <c r="B676" s="386" t="str">
        <f>HYPERLINK("https://codeforces.com/gym/101187/problem/F","CF101187-GYM-F")</f>
        <v>CF101187-GYM-F</v>
      </c>
      <c r="C676" s="159"/>
      <c r="D676" s="159"/>
      <c r="E676" s="159"/>
      <c r="F676" s="159"/>
      <c r="G676" s="159"/>
      <c r="H676" s="160"/>
      <c r="I676" s="57">
        <f t="shared" si="10"/>
        <v>0</v>
      </c>
      <c r="J676" s="102"/>
      <c r="K676" s="101"/>
      <c r="L676" s="159"/>
      <c r="M676" s="404"/>
      <c r="N676" s="383" t="s">
        <v>1626</v>
      </c>
      <c r="O676" s="383">
        <v>87</v>
      </c>
      <c r="P676" s="383">
        <v>5</v>
      </c>
      <c r="Q676" s="37" t="s">
        <v>1226</v>
      </c>
    </row>
    <row r="677" spans="1:17" ht="13.2">
      <c r="A677" s="83" t="s">
        <v>1098</v>
      </c>
      <c r="B677" s="386" t="str">
        <f>HYPERLINK("http://codeforces.com/contest/435/problem/D","CF435-D2-D")</f>
        <v>CF435-D2-D</v>
      </c>
      <c r="C677" s="159"/>
      <c r="D677" s="159"/>
      <c r="E677" s="159"/>
      <c r="F677" s="159"/>
      <c r="G677" s="159"/>
      <c r="H677" s="160"/>
      <c r="I677" s="57">
        <f t="shared" si="10"/>
        <v>0</v>
      </c>
      <c r="J677" s="62"/>
      <c r="K677" s="56"/>
      <c r="L677" s="405"/>
      <c r="M677" s="404"/>
      <c r="N677" s="383" t="s">
        <v>1627</v>
      </c>
      <c r="O677" s="383">
        <v>87</v>
      </c>
      <c r="P677" s="383">
        <v>5</v>
      </c>
      <c r="Q677" s="37" t="s">
        <v>1224</v>
      </c>
    </row>
    <row r="678" spans="1:17" ht="13.2">
      <c r="A678" s="83" t="s">
        <v>234</v>
      </c>
      <c r="B678" s="386" t="str">
        <f>HYPERLINK("http://codeforces.com/contest/1/problem/A","CF1-D12-A")</f>
        <v>CF1-D12-A</v>
      </c>
      <c r="C678" s="159"/>
      <c r="D678" s="159"/>
      <c r="E678" s="159"/>
      <c r="F678" s="159"/>
      <c r="G678" s="159"/>
      <c r="H678" s="160"/>
      <c r="I678" s="57">
        <f t="shared" si="10"/>
        <v>0</v>
      </c>
      <c r="J678" s="96"/>
      <c r="K678" s="56"/>
      <c r="L678" s="96"/>
      <c r="M678" s="545"/>
      <c r="N678" s="383" t="s">
        <v>1628</v>
      </c>
      <c r="O678" s="383">
        <v>87</v>
      </c>
      <c r="P678" s="399">
        <v>5</v>
      </c>
      <c r="Q678" s="37" t="s">
        <v>1224</v>
      </c>
    </row>
    <row r="679" spans="1:17" ht="13.2">
      <c r="A679" s="83"/>
      <c r="B679" s="142" t="str">
        <f>HYPERLINK("https://codeforces.com/contest/1204/problem/A","CF1204-D2-A")</f>
        <v>CF1204-D2-A</v>
      </c>
      <c r="C679" s="159"/>
      <c r="D679" s="159"/>
      <c r="E679" s="159"/>
      <c r="F679" s="159"/>
      <c r="G679" s="159"/>
      <c r="H679" s="160"/>
      <c r="I679" s="57">
        <f t="shared" si="10"/>
        <v>0</v>
      </c>
      <c r="J679" s="96"/>
      <c r="K679" s="56"/>
      <c r="L679" s="96"/>
      <c r="M679" s="399"/>
      <c r="N679" s="399" t="s">
        <v>1617</v>
      </c>
      <c r="O679" s="383">
        <v>87</v>
      </c>
      <c r="P679" s="383">
        <v>5</v>
      </c>
      <c r="Q679" s="37" t="s">
        <v>1224</v>
      </c>
    </row>
    <row r="680" spans="1:17" ht="13.2">
      <c r="A680" s="206" t="s">
        <v>258</v>
      </c>
      <c r="B680" s="80" t="str">
        <f>HYPERLINK("https://codeforces.com/contest/1237/problem/A","CF1237-D12-A")</f>
        <v>CF1237-D12-A</v>
      </c>
      <c r="C680" s="92"/>
      <c r="D680" s="92"/>
      <c r="E680" s="92"/>
      <c r="F680" s="92"/>
      <c r="G680" s="92"/>
      <c r="H680" s="92"/>
      <c r="I680" s="57">
        <f t="shared" si="10"/>
        <v>0</v>
      </c>
      <c r="J680" s="96"/>
      <c r="K680" s="56"/>
      <c r="L680" s="96"/>
      <c r="M680" s="404"/>
      <c r="N680" s="383" t="s">
        <v>1629</v>
      </c>
      <c r="O680" s="383">
        <v>87</v>
      </c>
      <c r="P680" s="383">
        <v>5</v>
      </c>
      <c r="Q680" s="37" t="s">
        <v>1224</v>
      </c>
    </row>
    <row r="681" spans="1:17" ht="13.2">
      <c r="A681" s="83" t="s">
        <v>398</v>
      </c>
      <c r="B681" s="386" t="str">
        <f>HYPERLINK("https://icpcarchive.ecs.baylor.edu/index.php?option=com_onlinejudge&amp;Itemid=8&amp;page=show_problem&amp;problem=558","LIVEARCHIVE 2557")</f>
        <v>LIVEARCHIVE 2557</v>
      </c>
      <c r="C681" s="159"/>
      <c r="D681" s="159"/>
      <c r="E681" s="159"/>
      <c r="F681" s="159"/>
      <c r="G681" s="159"/>
      <c r="H681" s="160"/>
      <c r="I681" s="57">
        <f t="shared" si="10"/>
        <v>0</v>
      </c>
      <c r="J681" s="62"/>
      <c r="K681" s="56"/>
      <c r="L681" s="62"/>
      <c r="M681" s="545"/>
      <c r="N681" s="383" t="s">
        <v>1630</v>
      </c>
      <c r="O681" s="383">
        <v>87</v>
      </c>
      <c r="P681" s="383">
        <v>5</v>
      </c>
      <c r="Q681" s="37" t="s">
        <v>1220</v>
      </c>
    </row>
    <row r="682" spans="1:17" ht="13.2">
      <c r="A682" s="83" t="s">
        <v>206</v>
      </c>
      <c r="B682" s="386" t="str">
        <f>HYPERLINK("https://uva.onlinejudge.org/index.php?option=com_onlinejudge&amp;Itemid=8&amp;page=show_problem&amp;problem=1047","UVA 10106")</f>
        <v>UVA 10106</v>
      </c>
      <c r="C682" s="159"/>
      <c r="D682" s="159"/>
      <c r="E682" s="159"/>
      <c r="F682" s="159"/>
      <c r="G682" s="159"/>
      <c r="H682" s="160"/>
      <c r="I682" s="57">
        <f t="shared" si="10"/>
        <v>0</v>
      </c>
      <c r="J682" s="102"/>
      <c r="K682" s="56"/>
      <c r="L682" s="102"/>
      <c r="M682" s="218" t="str">
        <f>HYPERLINK("https://www.youtube.com/watch?v=xwaGi6lx6Fg","Video Solution - Dr Mostafa Saad")</f>
        <v>Video Solution - Dr Mostafa Saad</v>
      </c>
      <c r="N682" s="383" t="s">
        <v>1631</v>
      </c>
      <c r="O682" s="383">
        <v>87</v>
      </c>
      <c r="P682" s="383">
        <v>5</v>
      </c>
      <c r="Q682" s="37" t="s">
        <v>1220</v>
      </c>
    </row>
    <row r="683" spans="1:17" ht="13.2">
      <c r="A683" s="83" t="s">
        <v>582</v>
      </c>
      <c r="B683" s="386" t="str">
        <f>HYPERLINK("https://uva.onlinejudge.org/index.php?option=onlinejudge&amp;page=show_problem&amp;problem=1410","UVA 10469")</f>
        <v>UVA 10469</v>
      </c>
      <c r="C683" s="159"/>
      <c r="D683" s="159"/>
      <c r="E683" s="159"/>
      <c r="F683" s="159"/>
      <c r="G683" s="159"/>
      <c r="H683" s="160"/>
      <c r="I683" s="57">
        <f t="shared" si="10"/>
        <v>0</v>
      </c>
      <c r="J683" s="62"/>
      <c r="K683" s="56"/>
      <c r="L683" s="62"/>
      <c r="M683" s="545"/>
      <c r="N683" s="383" t="s">
        <v>1607</v>
      </c>
      <c r="O683" s="383">
        <v>87</v>
      </c>
      <c r="P683" s="383">
        <v>5</v>
      </c>
    </row>
    <row r="684" spans="1:17" ht="13.2">
      <c r="A684" s="83" t="s">
        <v>394</v>
      </c>
      <c r="B684" s="386" t="str">
        <f>HYPERLINK("https://uva.onlinejudge.org/index.php?option=onlinejudge&amp;page=show_problem&amp;problem=654","UVA 713")</f>
        <v>UVA 713</v>
      </c>
      <c r="C684" s="159"/>
      <c r="D684" s="159"/>
      <c r="E684" s="159"/>
      <c r="F684" s="159"/>
      <c r="G684" s="159"/>
      <c r="H684" s="160"/>
      <c r="I684" s="57">
        <f t="shared" si="10"/>
        <v>0</v>
      </c>
      <c r="J684" s="62"/>
      <c r="K684" s="56"/>
      <c r="L684" s="62"/>
      <c r="M684" s="545"/>
      <c r="N684" s="383" t="s">
        <v>1607</v>
      </c>
      <c r="O684" s="383">
        <v>87</v>
      </c>
      <c r="P684" s="383">
        <v>5</v>
      </c>
    </row>
    <row r="685" spans="1:17" ht="13.2">
      <c r="A685" s="83" t="s">
        <v>417</v>
      </c>
      <c r="B685" s="386" t="str">
        <f>HYPERLINK("http://codeforces.com/contest/476/problem/B","CF476-D2-B")</f>
        <v>CF476-D2-B</v>
      </c>
      <c r="C685" s="159"/>
      <c r="D685" s="159"/>
      <c r="E685" s="159"/>
      <c r="F685" s="159"/>
      <c r="G685" s="159"/>
      <c r="H685" s="160"/>
      <c r="I685" s="57">
        <f t="shared" si="10"/>
        <v>0</v>
      </c>
      <c r="J685" s="62"/>
      <c r="K685" s="56"/>
      <c r="L685" s="159"/>
      <c r="M685" s="404"/>
      <c r="N685" s="399" t="s">
        <v>1632</v>
      </c>
      <c r="O685" s="399">
        <v>87</v>
      </c>
      <c r="P685" s="383">
        <v>5</v>
      </c>
      <c r="Q685" s="37" t="s">
        <v>1224</v>
      </c>
    </row>
    <row r="686" spans="1:17" ht="13.2">
      <c r="A686" s="83"/>
      <c r="B686" s="386" t="str">
        <f>HYPERLINK("https://codeforces.com/contest/1051/problem/B", "CF1051-D2-B")</f>
        <v>CF1051-D2-B</v>
      </c>
      <c r="C686" s="159"/>
      <c r="D686" s="159"/>
      <c r="E686" s="159"/>
      <c r="F686" s="159"/>
      <c r="G686" s="159"/>
      <c r="H686" s="160"/>
      <c r="I686" s="57">
        <f t="shared" si="10"/>
        <v>0</v>
      </c>
      <c r="J686" s="102"/>
      <c r="K686" s="101"/>
      <c r="L686" s="159"/>
      <c r="M686" s="404"/>
      <c r="N686" s="383" t="s">
        <v>1633</v>
      </c>
      <c r="O686" s="383">
        <v>87</v>
      </c>
      <c r="P686" s="399">
        <v>5</v>
      </c>
    </row>
    <row r="687" spans="1:17" ht="13.2">
      <c r="A687" s="83" t="s">
        <v>424</v>
      </c>
      <c r="B687" s="386" t="str">
        <f>HYPERLINK("http://codeforces.com/contest/148/problem/B","CF148-D2-B")</f>
        <v>CF148-D2-B</v>
      </c>
      <c r="C687" s="159"/>
      <c r="D687" s="159"/>
      <c r="E687" s="159"/>
      <c r="F687" s="159"/>
      <c r="G687" s="159"/>
      <c r="H687" s="160"/>
      <c r="I687" s="57">
        <f t="shared" si="10"/>
        <v>0</v>
      </c>
      <c r="J687" s="62"/>
      <c r="K687" s="56"/>
      <c r="L687" s="159"/>
      <c r="M687" s="229"/>
      <c r="N687" s="383" t="s">
        <v>1638</v>
      </c>
      <c r="O687" s="383">
        <v>89</v>
      </c>
      <c r="P687" s="399">
        <v>5</v>
      </c>
      <c r="Q687" s="37" t="s">
        <v>1226</v>
      </c>
    </row>
    <row r="688" spans="1:17" ht="13.2">
      <c r="A688" s="83" t="s">
        <v>748</v>
      </c>
      <c r="B688" s="386" t="str">
        <f>HYPERLINK("http://codeforces.com/contest/675/problem/B","CF675-D2-B")</f>
        <v>CF675-D2-B</v>
      </c>
      <c r="C688" s="159"/>
      <c r="D688" s="159"/>
      <c r="E688" s="159"/>
      <c r="F688" s="159"/>
      <c r="G688" s="159"/>
      <c r="H688" s="160"/>
      <c r="I688" s="57">
        <f t="shared" si="10"/>
        <v>0</v>
      </c>
      <c r="J688" s="62"/>
      <c r="K688" s="56"/>
      <c r="L688" s="96"/>
      <c r="M688" s="545"/>
      <c r="N688" s="383" t="s">
        <v>1641</v>
      </c>
      <c r="O688" s="383">
        <v>89</v>
      </c>
      <c r="P688" s="399">
        <v>5</v>
      </c>
      <c r="Q688" s="37" t="s">
        <v>1226</v>
      </c>
    </row>
    <row r="689" spans="1:17" ht="13.2">
      <c r="A689" s="83" t="s">
        <v>385</v>
      </c>
      <c r="B689" s="386" t="str">
        <f>HYPERLINK("http://codeforces.com/contest/463/problem/B","CF463-D2-B")</f>
        <v>CF463-D2-B</v>
      </c>
      <c r="C689" s="159"/>
      <c r="D689" s="159"/>
      <c r="E689" s="159"/>
      <c r="F689" s="159"/>
      <c r="G689" s="159"/>
      <c r="H689" s="160"/>
      <c r="I689" s="57">
        <f t="shared" si="10"/>
        <v>0</v>
      </c>
      <c r="J689" s="62"/>
      <c r="K689" s="56"/>
      <c r="L689" s="159"/>
      <c r="M689" s="399"/>
      <c r="N689" s="383" t="s">
        <v>1642</v>
      </c>
      <c r="O689" s="383">
        <v>89</v>
      </c>
      <c r="P689" s="399">
        <v>5</v>
      </c>
      <c r="Q689" s="37" t="s">
        <v>1226</v>
      </c>
    </row>
    <row r="690" spans="1:17" ht="13.2">
      <c r="A690" s="83" t="s">
        <v>622</v>
      </c>
      <c r="B690" s="386" t="str">
        <f>HYPERLINK("http://codeforces.com/contest/230/problem/B","CF230-D2-B")</f>
        <v>CF230-D2-B</v>
      </c>
      <c r="C690" s="159"/>
      <c r="D690" s="159"/>
      <c r="E690" s="159"/>
      <c r="F690" s="159"/>
      <c r="G690" s="159"/>
      <c r="H690" s="160"/>
      <c r="I690" s="57">
        <f t="shared" si="10"/>
        <v>0</v>
      </c>
      <c r="J690" s="62"/>
      <c r="K690" s="56"/>
      <c r="L690" s="159"/>
      <c r="M690" s="399"/>
      <c r="N690" s="383" t="s">
        <v>1650</v>
      </c>
      <c r="O690" s="383">
        <v>95</v>
      </c>
      <c r="P690" s="399">
        <v>5</v>
      </c>
    </row>
    <row r="691" spans="1:17" ht="13.2">
      <c r="A691" s="83"/>
      <c r="B691" s="386" t="str">
        <f>HYPERLINK("https://www.codechef.com/problems/GCDMOD", "CODECHEF GCDMOD")</f>
        <v>CODECHEF GCDMOD</v>
      </c>
      <c r="C691" s="159"/>
      <c r="D691" s="159"/>
      <c r="E691" s="159"/>
      <c r="F691" s="159"/>
      <c r="G691" s="159"/>
      <c r="H691" s="160"/>
      <c r="I691" s="57">
        <f t="shared" si="10"/>
        <v>0</v>
      </c>
      <c r="J691" s="102"/>
      <c r="K691" s="101"/>
      <c r="L691" s="159"/>
      <c r="M691" s="406"/>
      <c r="N691" s="383" t="s">
        <v>1651</v>
      </c>
      <c r="O691" s="383">
        <v>95</v>
      </c>
      <c r="P691" s="383">
        <v>5</v>
      </c>
      <c r="Q691" s="543"/>
    </row>
    <row r="692" spans="1:17" ht="13.2">
      <c r="A692" s="83" t="s">
        <v>619</v>
      </c>
      <c r="B692" s="386" t="str">
        <f>HYPERLINK("http://codeforces.com/contest/534/problem/C","CF534-D2-C")</f>
        <v>CF534-D2-C</v>
      </c>
      <c r="C692" s="159"/>
      <c r="D692" s="159"/>
      <c r="E692" s="159"/>
      <c r="F692" s="159"/>
      <c r="G692" s="159"/>
      <c r="H692" s="160"/>
      <c r="I692" s="57">
        <f t="shared" si="10"/>
        <v>0</v>
      </c>
      <c r="J692" s="62"/>
      <c r="K692" s="56"/>
      <c r="L692" s="159"/>
      <c r="M692" s="403" t="str">
        <f>HYPERLINK("https://pastebin.com/WHzEMUew","Sol")</f>
        <v>Sol</v>
      </c>
      <c r="N692" s="383" t="s">
        <v>1654</v>
      </c>
      <c r="O692" s="383">
        <v>98</v>
      </c>
      <c r="P692" s="383">
        <v>5</v>
      </c>
      <c r="Q692" s="37" t="s">
        <v>1224</v>
      </c>
    </row>
    <row r="693" spans="1:17" ht="13.2">
      <c r="A693" s="83"/>
      <c r="B693" s="386" t="str">
        <f>HYPERLINK("https://codeforces.com/contest/1059/problem/C","CF1059-D2-C")</f>
        <v>CF1059-D2-C</v>
      </c>
      <c r="C693" s="159"/>
      <c r="D693" s="159"/>
      <c r="E693" s="159"/>
      <c r="F693" s="159"/>
      <c r="G693" s="159"/>
      <c r="H693" s="160"/>
      <c r="I693" s="57">
        <f t="shared" si="10"/>
        <v>0</v>
      </c>
      <c r="J693" s="102"/>
      <c r="K693" s="101"/>
      <c r="L693" s="96"/>
      <c r="M693" s="399"/>
      <c r="N693" s="383" t="s">
        <v>1656</v>
      </c>
      <c r="O693" s="383">
        <v>99</v>
      </c>
      <c r="P693" s="383">
        <v>5</v>
      </c>
      <c r="Q693" s="37" t="s">
        <v>1226</v>
      </c>
    </row>
    <row r="694" spans="1:17" ht="13.2">
      <c r="A694" s="83" t="s">
        <v>928</v>
      </c>
      <c r="B694" s="386" t="str">
        <f>HYPERLINK("https://uva.onlinejudge.org/index.php?option=com_onlinejudge&amp;Itemid=8&amp;page=show_problem&amp;problem=1647","UVA 10706")</f>
        <v>UVA 10706</v>
      </c>
      <c r="C694" s="159"/>
      <c r="D694" s="159"/>
      <c r="E694" s="159"/>
      <c r="F694" s="159"/>
      <c r="G694" s="159"/>
      <c r="H694" s="160"/>
      <c r="I694" s="57">
        <f t="shared" si="10"/>
        <v>0</v>
      </c>
      <c r="J694" s="102"/>
      <c r="K694" s="101"/>
      <c r="L694" s="159"/>
      <c r="M694" s="545"/>
      <c r="N694" s="383" t="s">
        <v>1658</v>
      </c>
      <c r="O694" s="383">
        <v>99</v>
      </c>
      <c r="P694" s="383">
        <v>5</v>
      </c>
      <c r="Q694" s="543"/>
    </row>
    <row r="695" spans="1:17" ht="13.2">
      <c r="A695" s="83" t="s">
        <v>967</v>
      </c>
      <c r="B695" s="386" t="str">
        <f>HYPERLINK("http://codeforces.com/contest/376/problem/C","CF376-D2-C")</f>
        <v>CF376-D2-C</v>
      </c>
      <c r="C695" s="159"/>
      <c r="D695" s="159"/>
      <c r="E695" s="159"/>
      <c r="F695" s="159"/>
      <c r="G695" s="159"/>
      <c r="H695" s="160"/>
      <c r="I695" s="57">
        <f t="shared" si="10"/>
        <v>0</v>
      </c>
      <c r="J695" s="102"/>
      <c r="K695" s="101"/>
      <c r="L695" s="159"/>
      <c r="M695" s="404"/>
      <c r="N695" s="383" t="s">
        <v>1639</v>
      </c>
      <c r="O695" s="383">
        <v>109</v>
      </c>
      <c r="P695" s="383">
        <v>5</v>
      </c>
      <c r="Q695" s="543"/>
    </row>
    <row r="696" spans="1:17" ht="13.2">
      <c r="A696" s="83" t="s">
        <v>660</v>
      </c>
      <c r="B696" s="386" t="str">
        <f>HYPERLINK("https://uva.onlinejudge.org/index.php?option=com_onlinejudge&amp;Itemid=8&amp;page=show_problem&amp;problem=1917","UVA 10976")</f>
        <v>UVA 10976</v>
      </c>
      <c r="C696" s="159"/>
      <c r="D696" s="159"/>
      <c r="E696" s="159"/>
      <c r="F696" s="159"/>
      <c r="G696" s="159"/>
      <c r="H696" s="160"/>
      <c r="I696" s="57">
        <f t="shared" si="10"/>
        <v>0</v>
      </c>
      <c r="J696" s="62"/>
      <c r="K696" s="56"/>
      <c r="L696" s="159"/>
      <c r="M696" s="404"/>
      <c r="N696" s="383" t="s">
        <v>1682</v>
      </c>
      <c r="O696" s="383">
        <v>113</v>
      </c>
      <c r="P696" s="383">
        <v>5</v>
      </c>
      <c r="Q696" s="37" t="s">
        <v>1251</v>
      </c>
    </row>
    <row r="697" spans="1:17" ht="13.2">
      <c r="A697" s="83" t="s">
        <v>918</v>
      </c>
      <c r="B697" s="386" t="str">
        <f>HYPERLINK("http://codeforces.com/contest/186/problem/C","CF186-D2-C")</f>
        <v>CF186-D2-C</v>
      </c>
      <c r="C697" s="159"/>
      <c r="D697" s="159"/>
      <c r="E697" s="159"/>
      <c r="F697" s="159"/>
      <c r="G697" s="159"/>
      <c r="H697" s="160"/>
      <c r="I697" s="57">
        <f t="shared" si="10"/>
        <v>0</v>
      </c>
      <c r="J697" s="102"/>
      <c r="K697" s="101"/>
      <c r="L697" s="159"/>
      <c r="M697" s="403" t="str">
        <f>HYPERLINK("https://github.com/SpeedOfMagic/CompetitiveProgramming/blob/master/CodeforcesGym/CF101864-GYM-A.cpp","Sol")</f>
        <v>Sol</v>
      </c>
      <c r="N697" s="383" t="s">
        <v>1683</v>
      </c>
      <c r="O697" s="383">
        <v>113</v>
      </c>
      <c r="P697" s="383">
        <v>5</v>
      </c>
      <c r="Q697" s="37" t="s">
        <v>1224</v>
      </c>
    </row>
    <row r="698" spans="1:17" ht="13.2">
      <c r="A698" s="83" t="s">
        <v>600</v>
      </c>
      <c r="B698" s="386" t="str">
        <f>HYPERLINK("http://codeforces.com/contest/424/problem/C","CF424-D2-C")</f>
        <v>CF424-D2-C</v>
      </c>
      <c r="C698" s="159"/>
      <c r="D698" s="159"/>
      <c r="E698" s="159"/>
      <c r="F698" s="159"/>
      <c r="G698" s="159"/>
      <c r="H698" s="160"/>
      <c r="I698" s="57">
        <f t="shared" si="10"/>
        <v>0</v>
      </c>
      <c r="J698" s="62"/>
      <c r="K698" s="56"/>
      <c r="L698" s="159"/>
      <c r="M698" s="399"/>
      <c r="N698" s="383" t="s">
        <v>1684</v>
      </c>
      <c r="O698" s="383">
        <v>113</v>
      </c>
      <c r="P698" s="383">
        <v>5</v>
      </c>
      <c r="Q698" s="37" t="s">
        <v>1224</v>
      </c>
    </row>
    <row r="699" spans="1:17" ht="13.2">
      <c r="A699" s="83" t="s">
        <v>567</v>
      </c>
      <c r="B699" s="386" t="str">
        <f>HYPERLINK("http://codeforces.com/contest/588/problem/B","CF588-D2-B")</f>
        <v>CF588-D2-B</v>
      </c>
      <c r="C699" s="159"/>
      <c r="D699" s="159"/>
      <c r="E699" s="159"/>
      <c r="F699" s="159"/>
      <c r="G699" s="159"/>
      <c r="H699" s="160"/>
      <c r="I699" s="57">
        <f t="shared" si="10"/>
        <v>0</v>
      </c>
      <c r="J699" s="62"/>
      <c r="K699" s="56"/>
      <c r="L699" s="159"/>
      <c r="M699" s="237" t="str">
        <f>HYPERLINK("https://github.com/VAMPIER000001/CompetitiveProgramming/blob/master/UVA/V-124/UVA%2012461.Cpp","Sol")</f>
        <v>Sol</v>
      </c>
      <c r="N699" s="383" t="s">
        <v>1685</v>
      </c>
      <c r="O699" s="383">
        <v>113</v>
      </c>
      <c r="P699" s="383">
        <v>5</v>
      </c>
      <c r="Q699" s="37" t="s">
        <v>1220</v>
      </c>
    </row>
    <row r="700" spans="1:17" ht="13.2">
      <c r="A700" s="83" t="s">
        <v>205</v>
      </c>
      <c r="B700" s="386" t="str">
        <f>HYPERLINK("https://uva.onlinejudge.org/index.php?option=com_onlinejudge&amp;Itemid=8&amp;page=show_problem&amp;problem=1051","UVA 10110")</f>
        <v>UVA 10110</v>
      </c>
      <c r="C700" s="159"/>
      <c r="D700" s="159"/>
      <c r="E700" s="159"/>
      <c r="F700" s="159"/>
      <c r="G700" s="159"/>
      <c r="H700" s="160"/>
      <c r="I700" s="57">
        <f t="shared" si="10"/>
        <v>0</v>
      </c>
      <c r="J700" s="102"/>
      <c r="K700" s="56"/>
      <c r="L700" s="102"/>
      <c r="M700" s="399"/>
      <c r="N700" s="383" t="s">
        <v>1703</v>
      </c>
      <c r="O700" s="383">
        <v>114</v>
      </c>
      <c r="P700" s="383">
        <v>5</v>
      </c>
      <c r="Q700" s="37" t="s">
        <v>1226</v>
      </c>
    </row>
    <row r="701" spans="1:17" ht="13.2">
      <c r="A701" s="83" t="s">
        <v>722</v>
      </c>
      <c r="B701" s="386" t="str">
        <f>HYPERLINK("https://uva.onlinejudge.org/index.php?option=com_onlinejudge&amp;Itemid=8&amp;page=show_problem&amp;problem=49","UVA 113")</f>
        <v>UVA 113</v>
      </c>
      <c r="C701" s="159"/>
      <c r="D701" s="159"/>
      <c r="E701" s="159"/>
      <c r="F701" s="159"/>
      <c r="G701" s="159"/>
      <c r="H701" s="160"/>
      <c r="I701" s="57">
        <f t="shared" si="10"/>
        <v>0</v>
      </c>
      <c r="J701" s="62"/>
      <c r="K701" s="56"/>
      <c r="L701" s="159"/>
      <c r="M701" s="404"/>
      <c r="N701" s="399" t="s">
        <v>1704</v>
      </c>
      <c r="O701" s="383">
        <v>114</v>
      </c>
      <c r="P701" s="383">
        <v>5</v>
      </c>
      <c r="Q701" s="37" t="s">
        <v>1226</v>
      </c>
    </row>
    <row r="702" spans="1:17" ht="13.2">
      <c r="A702" s="83" t="s">
        <v>591</v>
      </c>
      <c r="B702" s="386" t="str">
        <f>HYPERLINK("http://codeforces.com/contest/71/problem/C","CF71-D2-C")</f>
        <v>CF71-D2-C</v>
      </c>
      <c r="C702" s="159"/>
      <c r="D702" s="159"/>
      <c r="E702" s="159"/>
      <c r="F702" s="159"/>
      <c r="G702" s="159"/>
      <c r="H702" s="160"/>
      <c r="I702" s="57">
        <f t="shared" si="10"/>
        <v>0</v>
      </c>
      <c r="J702" s="62"/>
      <c r="K702" s="56"/>
      <c r="L702" s="159"/>
      <c r="M702" s="389" t="str">
        <f>HYPERLINK("https://www.youtube.com/watch?v=KS9POnQMfmY","Video Solution - Dr Mostafa Saad")</f>
        <v>Video Solution - Dr Mostafa Saad</v>
      </c>
      <c r="N702" s="383" t="s">
        <v>1716</v>
      </c>
      <c r="O702" s="383">
        <v>118</v>
      </c>
      <c r="P702" s="383">
        <v>5</v>
      </c>
      <c r="Q702" s="37" t="s">
        <v>1226</v>
      </c>
    </row>
    <row r="703" spans="1:17" ht="13.2">
      <c r="A703" s="83" t="s">
        <v>563</v>
      </c>
      <c r="B703" s="386" t="str">
        <f>HYPERLINK("http://codeforces.com/contest/304/problem/C","CF304-D2-C")</f>
        <v>CF304-D2-C</v>
      </c>
      <c r="C703" s="159"/>
      <c r="D703" s="159"/>
      <c r="E703" s="159"/>
      <c r="F703" s="159"/>
      <c r="G703" s="159"/>
      <c r="H703" s="160"/>
      <c r="I703" s="57">
        <f t="shared" si="10"/>
        <v>0</v>
      </c>
      <c r="J703" s="102"/>
      <c r="K703" s="101"/>
      <c r="L703" s="159"/>
      <c r="M703" s="404"/>
      <c r="N703" s="383" t="s">
        <v>1717</v>
      </c>
      <c r="O703" s="383">
        <v>118</v>
      </c>
      <c r="P703" s="383">
        <v>5</v>
      </c>
      <c r="Q703" s="37" t="s">
        <v>1224</v>
      </c>
    </row>
    <row r="704" spans="1:17" ht="13.2">
      <c r="A704" s="83" t="s">
        <v>590</v>
      </c>
      <c r="B704" s="386" t="str">
        <f>HYPERLINK("http://codeforces.com/contest/577/problem/C","CF577-D2-C")</f>
        <v>CF577-D2-C</v>
      </c>
      <c r="C704" s="159"/>
      <c r="D704" s="159"/>
      <c r="E704" s="159"/>
      <c r="F704" s="159"/>
      <c r="G704" s="159"/>
      <c r="H704" s="160"/>
      <c r="I704" s="57">
        <f t="shared" si="10"/>
        <v>0</v>
      </c>
      <c r="J704" s="62"/>
      <c r="K704" s="56"/>
      <c r="L704" s="159"/>
      <c r="M704" s="399" t="s">
        <v>883</v>
      </c>
      <c r="N704" s="383" t="s">
        <v>1720</v>
      </c>
      <c r="O704" s="383">
        <v>122</v>
      </c>
      <c r="P704" s="383">
        <v>5</v>
      </c>
      <c r="Q704" s="37" t="s">
        <v>1226</v>
      </c>
    </row>
    <row r="705" spans="1:17" ht="13.2">
      <c r="A705" s="83"/>
      <c r="B705" s="143" t="str">
        <f>HYPERLINK("https://codeforces.com/contest/1239/problem/A","CF1239-D1-A")</f>
        <v>CF1239-D1-A</v>
      </c>
      <c r="C705" s="159"/>
      <c r="D705" s="159"/>
      <c r="E705" s="159"/>
      <c r="F705" s="159"/>
      <c r="G705" s="159"/>
      <c r="H705" s="160"/>
      <c r="I705" s="57">
        <f t="shared" si="10"/>
        <v>0</v>
      </c>
      <c r="J705" s="62"/>
      <c r="K705" s="56"/>
      <c r="L705" s="159"/>
      <c r="M705" s="399"/>
      <c r="N705" s="383" t="s">
        <v>1721</v>
      </c>
      <c r="O705" s="383">
        <v>122</v>
      </c>
      <c r="P705" s="383">
        <v>5</v>
      </c>
      <c r="Q705" s="37" t="s">
        <v>1226</v>
      </c>
    </row>
    <row r="706" spans="1:17" ht="13.2">
      <c r="A706" s="83" t="s">
        <v>1012</v>
      </c>
      <c r="B706" s="386" t="str">
        <f>HYPERLINK("https://uva.onlinejudge.org/index.php?option=com_onlinejudge&amp;Itemid=8&amp;page=show_problem&amp;problem=966","UVA 10025")</f>
        <v>UVA 10025</v>
      </c>
      <c r="C706" s="159"/>
      <c r="D706" s="159"/>
      <c r="E706" s="159"/>
      <c r="F706" s="159"/>
      <c r="G706" s="159"/>
      <c r="H706" s="160"/>
      <c r="I706" s="57">
        <f t="shared" si="10"/>
        <v>0</v>
      </c>
      <c r="J706" s="62"/>
      <c r="K706" s="56"/>
      <c r="L706" s="159"/>
      <c r="M706" s="403" t="str">
        <f>HYPERLINK("https://github.com/AliOsm/CompetitiveProgramming/blob/master/SPOJ/BRCKTS%20-%20Brackets.cpp","Sol")</f>
        <v>Sol</v>
      </c>
      <c r="N706" s="383" t="s">
        <v>1735</v>
      </c>
      <c r="O706" s="383">
        <v>125</v>
      </c>
      <c r="P706" s="383">
        <v>5</v>
      </c>
      <c r="Q706" s="37" t="s">
        <v>1226</v>
      </c>
    </row>
    <row r="707" spans="1:17" ht="13.2">
      <c r="A707" s="83" t="s">
        <v>1622</v>
      </c>
      <c r="B707" s="386" t="str">
        <f>HYPERLINK("http://codeforces.com/contest/334/problem/C","CF334-D2-C")</f>
        <v>CF334-D2-C</v>
      </c>
      <c r="C707" s="159"/>
      <c r="D707" s="159"/>
      <c r="E707" s="159"/>
      <c r="F707" s="159"/>
      <c r="G707" s="159"/>
      <c r="H707" s="160"/>
      <c r="I707" s="57">
        <f t="shared" si="10"/>
        <v>0</v>
      </c>
      <c r="J707" s="62"/>
      <c r="K707" s="56"/>
      <c r="L707" s="159"/>
      <c r="M707" s="293" t="str">
        <f>HYPERLINK("https://github.com/AliOsm/CompetitiveProgramming/blob/master/SPOJ/GSS1%20-%20Can%20you%20answer%20these%20queries%20I.cpp","Sol")</f>
        <v>Sol</v>
      </c>
      <c r="N707" s="383" t="s">
        <v>1736</v>
      </c>
      <c r="O707" s="383">
        <v>125</v>
      </c>
      <c r="P707" s="383">
        <v>5</v>
      </c>
      <c r="Q707" s="37" t="s">
        <v>1226</v>
      </c>
    </row>
    <row r="708" spans="1:17" ht="13.2">
      <c r="A708" s="83" t="s">
        <v>671</v>
      </c>
      <c r="B708" s="386" t="str">
        <f>HYPERLINK("http://codeforces.com/contest/834/problem/C","CF834-D2-C")</f>
        <v>CF834-D2-C</v>
      </c>
      <c r="C708" s="159"/>
      <c r="D708" s="159"/>
      <c r="E708" s="159"/>
      <c r="F708" s="159"/>
      <c r="G708" s="159"/>
      <c r="H708" s="160"/>
      <c r="I708" s="57">
        <f t="shared" si="10"/>
        <v>0</v>
      </c>
      <c r="J708" s="62"/>
      <c r="K708" s="56"/>
      <c r="L708" s="159"/>
      <c r="M708" s="403" t="str">
        <f>HYPERLINK("https://github.com/Emsawy/CompetitiveProgramming/blob/master/UVA/12299.cpp","See sscanf and sprintf usage")</f>
        <v>See sscanf and sprintf usage</v>
      </c>
      <c r="N708" s="383" t="s">
        <v>1737</v>
      </c>
      <c r="O708" s="383">
        <v>125</v>
      </c>
      <c r="P708" s="383">
        <v>5</v>
      </c>
      <c r="Q708" s="37" t="s">
        <v>1226</v>
      </c>
    </row>
    <row r="709" spans="1:17" ht="13.2">
      <c r="A709" s="83" t="s">
        <v>604</v>
      </c>
      <c r="B709" s="386" t="str">
        <f>HYPERLINK("http://codeforces.com/contest/353/problem/C","CF353-D2-C")</f>
        <v>CF353-D2-C</v>
      </c>
      <c r="C709" s="159"/>
      <c r="D709" s="159"/>
      <c r="E709" s="159"/>
      <c r="F709" s="159"/>
      <c r="G709" s="159"/>
      <c r="H709" s="160"/>
      <c r="I709" s="57">
        <f t="shared" si="10"/>
        <v>0</v>
      </c>
      <c r="J709" s="62"/>
      <c r="K709" s="56"/>
      <c r="L709" s="159"/>
      <c r="M709" s="293" t="str">
        <f>HYPERLINK("https://github.com/AliOsm/CompetitiveProgramming/blob/master/SPOJ/ANDROUND%20-%20AND%20Rounds.cpp","Sol")</f>
        <v>Sol</v>
      </c>
      <c r="N709" s="383" t="s">
        <v>1726</v>
      </c>
      <c r="O709" s="383">
        <v>125</v>
      </c>
      <c r="P709" s="383">
        <v>5</v>
      </c>
      <c r="Q709" s="37" t="s">
        <v>1224</v>
      </c>
    </row>
    <row r="710" spans="1:17" ht="13.2">
      <c r="A710" s="83" t="s">
        <v>1132</v>
      </c>
      <c r="B710" s="386" t="str">
        <f>HYPERLINK("http://codeforces.com/contest/716/problem/C","CF716-D2-C")</f>
        <v>CF716-D2-C</v>
      </c>
      <c r="C710" s="159"/>
      <c r="D710" s="159"/>
      <c r="E710" s="159"/>
      <c r="F710" s="159"/>
      <c r="G710" s="159"/>
      <c r="H710" s="160"/>
      <c r="I710" s="57">
        <f t="shared" si="10"/>
        <v>0</v>
      </c>
      <c r="J710" s="62"/>
      <c r="K710" s="56"/>
      <c r="L710" s="405"/>
      <c r="M710" s="403" t="str">
        <f>HYPERLINK("https://github.com/hosamk92/CompetitiveProgramming/blob/master/UVA/UVA%2011402.cpp","Sol")</f>
        <v>Sol</v>
      </c>
      <c r="N710" s="383" t="s">
        <v>1738</v>
      </c>
      <c r="O710" s="383">
        <v>125</v>
      </c>
      <c r="P710" s="383">
        <v>5</v>
      </c>
      <c r="Q710" s="37" t="s">
        <v>1224</v>
      </c>
    </row>
    <row r="711" spans="1:17" ht="13.2">
      <c r="A711" s="83" t="s">
        <v>989</v>
      </c>
      <c r="B711" s="386" t="str">
        <f>HYPERLINK("http://codeforces.com/contest/680/problem/C","CF680-D2-C")</f>
        <v>CF680-D2-C</v>
      </c>
      <c r="C711" s="159"/>
      <c r="D711" s="159"/>
      <c r="E711" s="159"/>
      <c r="F711" s="159"/>
      <c r="G711" s="159"/>
      <c r="H711" s="160"/>
      <c r="I711" s="57">
        <f t="shared" ref="I711:I774" si="11">SUM(E711:H711)</f>
        <v>0</v>
      </c>
      <c r="J711" s="102"/>
      <c r="K711" s="101"/>
      <c r="L711" s="159"/>
      <c r="M711" s="399"/>
      <c r="N711" s="383" t="s">
        <v>1739</v>
      </c>
      <c r="O711" s="383">
        <v>125</v>
      </c>
      <c r="P711" s="383">
        <v>5</v>
      </c>
      <c r="Q711" s="37" t="s">
        <v>1224</v>
      </c>
    </row>
    <row r="712" spans="1:17" ht="13.2">
      <c r="A712" s="83"/>
      <c r="B712" s="386" t="str">
        <f>HYPERLINK("http://codeforces.com/contest/1040/problem/D","CF1040-D2-D")</f>
        <v>CF1040-D2-D</v>
      </c>
      <c r="C712" s="159"/>
      <c r="D712" s="159"/>
      <c r="E712" s="159"/>
      <c r="F712" s="159"/>
      <c r="G712" s="159"/>
      <c r="H712" s="160"/>
      <c r="I712" s="57">
        <f t="shared" si="11"/>
        <v>0</v>
      </c>
      <c r="J712" s="102"/>
      <c r="K712" s="101"/>
      <c r="L712" s="159"/>
      <c r="M712" s="403" t="str">
        <f>HYPERLINK("https://github.com/mostafa-saad/MyCompetitiveProgramming/blob/master/PKU/PKU_2374.txt","Sol")</f>
        <v>Sol</v>
      </c>
      <c r="N712" s="383" t="s">
        <v>1740</v>
      </c>
      <c r="O712" s="383">
        <v>125</v>
      </c>
      <c r="P712" s="383">
        <v>5</v>
      </c>
      <c r="Q712" s="37" t="s">
        <v>1220</v>
      </c>
    </row>
    <row r="713" spans="1:17" ht="13.2">
      <c r="A713" s="83" t="s">
        <v>986</v>
      </c>
      <c r="B713" s="386" t="str">
        <f>HYPERLINK("http://codeforces.com/contest/451/problem/D","CF451-D2-D")</f>
        <v>CF451-D2-D</v>
      </c>
      <c r="C713" s="159"/>
      <c r="D713" s="159"/>
      <c r="E713" s="159"/>
      <c r="F713" s="159"/>
      <c r="G713" s="159"/>
      <c r="H713" s="160"/>
      <c r="I713" s="57">
        <f t="shared" si="11"/>
        <v>0</v>
      </c>
      <c r="J713" s="62"/>
      <c r="K713" s="56"/>
      <c r="L713" s="159"/>
      <c r="M713" s="441"/>
      <c r="N713" s="383" t="s">
        <v>1741</v>
      </c>
      <c r="O713" s="383">
        <v>125</v>
      </c>
      <c r="P713" s="383">
        <v>5</v>
      </c>
      <c r="Q713" s="37" t="s">
        <v>1220</v>
      </c>
    </row>
    <row r="714" spans="1:17" ht="13.2">
      <c r="A714" s="83" t="s">
        <v>900</v>
      </c>
      <c r="B714" s="386" t="str">
        <f>HYPERLINK("http://codeforces.com/contest/535/problem/C","CF535-D2-C")</f>
        <v>CF535-D2-C</v>
      </c>
      <c r="C714" s="159"/>
      <c r="D714" s="159"/>
      <c r="E714" s="159"/>
      <c r="F714" s="159"/>
      <c r="G714" s="159"/>
      <c r="H714" s="160"/>
      <c r="I714" s="57">
        <f t="shared" si="11"/>
        <v>0</v>
      </c>
      <c r="J714" s="62"/>
      <c r="K714" s="56"/>
      <c r="L714" s="159"/>
      <c r="M714" s="404"/>
      <c r="N714" s="383" t="s">
        <v>1757</v>
      </c>
      <c r="O714" s="383">
        <v>130</v>
      </c>
      <c r="P714" s="383">
        <v>5</v>
      </c>
      <c r="Q714" s="37" t="s">
        <v>1226</v>
      </c>
    </row>
    <row r="715" spans="1:17" ht="13.2">
      <c r="A715" s="83" t="s">
        <v>950</v>
      </c>
      <c r="B715" s="386" t="str">
        <f>HYPERLINK("http://codeforces.com/contest/701/problem/D","CF701-D2-D")</f>
        <v>CF701-D2-D</v>
      </c>
      <c r="C715" s="159"/>
      <c r="D715" s="159"/>
      <c r="E715" s="159"/>
      <c r="F715" s="159"/>
      <c r="G715" s="159"/>
      <c r="H715" s="160"/>
      <c r="I715" s="57">
        <f t="shared" si="11"/>
        <v>0</v>
      </c>
      <c r="J715" s="102"/>
      <c r="K715" s="101"/>
      <c r="L715" s="159"/>
      <c r="M715" s="404"/>
      <c r="N715" s="383" t="s">
        <v>1758</v>
      </c>
      <c r="O715" s="383">
        <v>130</v>
      </c>
      <c r="P715" s="383">
        <v>5</v>
      </c>
      <c r="Q715" s="37" t="s">
        <v>1226</v>
      </c>
    </row>
    <row r="716" spans="1:17" ht="13.2">
      <c r="A716" s="83"/>
      <c r="B716" s="386" t="str">
        <f>HYPERLINK("http://codeforces.com/problemset/problem/955/C","CF955-D2-C")</f>
        <v>CF955-D2-C</v>
      </c>
      <c r="C716" s="159"/>
      <c r="D716" s="159"/>
      <c r="E716" s="159"/>
      <c r="F716" s="159"/>
      <c r="G716" s="159"/>
      <c r="H716" s="160"/>
      <c r="I716" s="57">
        <f t="shared" si="11"/>
        <v>0</v>
      </c>
      <c r="J716" s="62"/>
      <c r="K716" s="56"/>
      <c r="L716" s="159"/>
      <c r="M716" s="545"/>
      <c r="N716" s="383" t="s">
        <v>1759</v>
      </c>
      <c r="O716" s="383">
        <v>135</v>
      </c>
      <c r="P716" s="383">
        <v>5</v>
      </c>
      <c r="Q716" s="37" t="s">
        <v>1224</v>
      </c>
    </row>
    <row r="717" spans="1:17" ht="13.2">
      <c r="A717" s="83"/>
      <c r="B717" s="386" t="str">
        <f>HYPERLINK("http://codeforces.com/contest/45/problem/D","CF45-D12-D")</f>
        <v>CF45-D12-D</v>
      </c>
      <c r="C717" s="159"/>
      <c r="D717" s="159"/>
      <c r="E717" s="159"/>
      <c r="F717" s="159"/>
      <c r="G717" s="159"/>
      <c r="H717" s="160"/>
      <c r="I717" s="57">
        <f t="shared" si="11"/>
        <v>0</v>
      </c>
      <c r="J717" s="62"/>
      <c r="K717" s="56"/>
      <c r="L717" s="159"/>
      <c r="M717" s="406"/>
      <c r="N717" s="383" t="s">
        <v>1766</v>
      </c>
      <c r="O717" s="383">
        <v>138</v>
      </c>
      <c r="P717" s="383">
        <v>5</v>
      </c>
      <c r="Q717" s="37" t="s">
        <v>1226</v>
      </c>
    </row>
    <row r="718" spans="1:17" ht="13.2">
      <c r="A718" s="83" t="s">
        <v>1131</v>
      </c>
      <c r="B718" s="386" t="str">
        <f>HYPERLINK("http://codeforces.com/contest/322/problem/C","CF322-D2-C")</f>
        <v>CF322-D2-C</v>
      </c>
      <c r="C718" s="159"/>
      <c r="D718" s="159"/>
      <c r="E718" s="159"/>
      <c r="F718" s="159"/>
      <c r="G718" s="159"/>
      <c r="H718" s="160"/>
      <c r="I718" s="57">
        <f t="shared" si="11"/>
        <v>0</v>
      </c>
      <c r="J718" s="62"/>
      <c r="K718" s="56"/>
      <c r="L718" s="405"/>
      <c r="M718" s="401"/>
      <c r="N718" s="383" t="s">
        <v>1767</v>
      </c>
      <c r="O718" s="383">
        <v>138</v>
      </c>
      <c r="P718" s="383">
        <v>5</v>
      </c>
      <c r="Q718" s="37" t="s">
        <v>1224</v>
      </c>
    </row>
    <row r="719" spans="1:17" ht="13.2">
      <c r="A719" s="83" t="s">
        <v>637</v>
      </c>
      <c r="B719" s="386" t="str">
        <f>HYPERLINK("http://codeforces.com/contest/499/problem/C","CF499-D2-C")</f>
        <v>CF499-D2-C</v>
      </c>
      <c r="C719" s="159"/>
      <c r="D719" s="159"/>
      <c r="E719" s="159"/>
      <c r="F719" s="159"/>
      <c r="G719" s="159"/>
      <c r="H719" s="160"/>
      <c r="I719" s="57">
        <f t="shared" si="11"/>
        <v>0</v>
      </c>
      <c r="J719" s="102"/>
      <c r="K719" s="101"/>
      <c r="L719" s="159"/>
      <c r="M719" s="403" t="str">
        <f>HYPERLINK("https://github.com/MohamedNabil97/CompetitiveProgramming/blob/master/CodeForces/CF368-D2-D.cpp","Sol")</f>
        <v>Sol</v>
      </c>
      <c r="N719" s="383" t="s">
        <v>1768</v>
      </c>
      <c r="O719" s="383">
        <v>138</v>
      </c>
      <c r="P719" s="383">
        <v>5</v>
      </c>
      <c r="Q719" s="37" t="s">
        <v>1224</v>
      </c>
    </row>
    <row r="720" spans="1:17" ht="13.2">
      <c r="A720" s="83" t="s">
        <v>797</v>
      </c>
      <c r="B720" s="386" t="str">
        <f>HYPERLINK("http://codeforces.com/contest/199/problem/C","CF199-D2-C")</f>
        <v>CF199-D2-C</v>
      </c>
      <c r="C720" s="159"/>
      <c r="D720" s="159"/>
      <c r="E720" s="159"/>
      <c r="F720" s="159"/>
      <c r="G720" s="159"/>
      <c r="H720" s="160"/>
      <c r="I720" s="57">
        <f t="shared" si="11"/>
        <v>0</v>
      </c>
      <c r="J720" s="102"/>
      <c r="K720" s="101"/>
      <c r="L720" s="159"/>
      <c r="M720" s="402"/>
      <c r="N720" s="383" t="s">
        <v>1767</v>
      </c>
      <c r="O720" s="383">
        <v>138</v>
      </c>
      <c r="P720" s="383">
        <v>5</v>
      </c>
    </row>
    <row r="721" spans="1:17" ht="13.2">
      <c r="A721" s="83" t="s">
        <v>798</v>
      </c>
      <c r="B721" s="386" t="str">
        <f>HYPERLINK("http://codeforces.com/contest/520/problem/C","CF520-D2-C")</f>
        <v>CF520-D2-C</v>
      </c>
      <c r="C721" s="159"/>
      <c r="D721" s="159"/>
      <c r="E721" s="159"/>
      <c r="F721" s="159"/>
      <c r="G721" s="159"/>
      <c r="H721" s="160"/>
      <c r="I721" s="57">
        <f t="shared" si="11"/>
        <v>0</v>
      </c>
      <c r="J721" s="102"/>
      <c r="K721" s="101"/>
      <c r="L721" s="159"/>
      <c r="M721" s="402"/>
      <c r="N721" s="383" t="s">
        <v>1769</v>
      </c>
      <c r="O721" s="383">
        <v>138</v>
      </c>
      <c r="P721" s="383">
        <v>5</v>
      </c>
    </row>
    <row r="722" spans="1:17" ht="13.2">
      <c r="A722" s="83" t="s">
        <v>729</v>
      </c>
      <c r="B722" s="386" t="str">
        <f>HYPERLINK("http://codeforces.com/contest/451/problem/C","CF451-D2-C")</f>
        <v>CF451-D2-C</v>
      </c>
      <c r="C722" s="159"/>
      <c r="D722" s="159"/>
      <c r="E722" s="159"/>
      <c r="F722" s="159"/>
      <c r="G722" s="159"/>
      <c r="H722" s="160"/>
      <c r="I722" s="57">
        <f t="shared" si="11"/>
        <v>0</v>
      </c>
      <c r="J722" s="62"/>
      <c r="K722" s="56"/>
      <c r="L722" s="96"/>
      <c r="M722" s="169"/>
      <c r="N722" s="383" t="s">
        <v>1244</v>
      </c>
      <c r="O722" s="383">
        <v>1</v>
      </c>
      <c r="P722" s="383">
        <v>5.25</v>
      </c>
      <c r="Q722" s="37" t="s">
        <v>1226</v>
      </c>
    </row>
    <row r="723" spans="1:17" ht="13.2">
      <c r="A723" s="83" t="s">
        <v>988</v>
      </c>
      <c r="B723" s="386" t="str">
        <f>HYPERLINK("http://codeforces.com/contest/195/problem/D","CF195-D2-D")</f>
        <v>CF195-D2-D</v>
      </c>
      <c r="C723" s="159"/>
      <c r="D723" s="159"/>
      <c r="E723" s="159"/>
      <c r="F723" s="159"/>
      <c r="G723" s="159"/>
      <c r="H723" s="160"/>
      <c r="I723" s="57">
        <f t="shared" si="11"/>
        <v>0</v>
      </c>
      <c r="J723" s="62"/>
      <c r="K723" s="56"/>
      <c r="L723" s="159"/>
      <c r="M723" s="545"/>
      <c r="N723" s="383" t="s">
        <v>1424</v>
      </c>
      <c r="O723" s="383">
        <v>47</v>
      </c>
      <c r="P723" s="383">
        <v>5.25</v>
      </c>
      <c r="Q723" s="37" t="s">
        <v>1226</v>
      </c>
    </row>
    <row r="724" spans="1:17" ht="13.2">
      <c r="A724" s="83"/>
      <c r="B724" s="386" t="str">
        <f>HYPERLINK("http://codeforces.com/problemset/problem/1016/D","CF1016-D12-D")</f>
        <v>CF1016-D12-D</v>
      </c>
      <c r="C724" s="159"/>
      <c r="D724" s="159"/>
      <c r="E724" s="159"/>
      <c r="F724" s="159"/>
      <c r="G724" s="159"/>
      <c r="H724" s="160"/>
      <c r="I724" s="57">
        <f t="shared" si="11"/>
        <v>0</v>
      </c>
      <c r="J724" s="102"/>
      <c r="K724" s="101"/>
      <c r="L724" s="159"/>
      <c r="M724" s="545"/>
      <c r="N724" s="383" t="s">
        <v>1466</v>
      </c>
      <c r="O724" s="383">
        <v>57</v>
      </c>
      <c r="P724" s="383">
        <v>5.25</v>
      </c>
      <c r="Q724" s="37" t="s">
        <v>1224</v>
      </c>
    </row>
    <row r="725" spans="1:17" ht="13.2">
      <c r="A725" s="83" t="s">
        <v>892</v>
      </c>
      <c r="B725" s="386" t="str">
        <f>HYPERLINK("http://codeforces.com/contest/151/problem/D","CF151-D2-D")</f>
        <v>CF151-D2-D</v>
      </c>
      <c r="C725" s="159"/>
      <c r="D725" s="159"/>
      <c r="E725" s="159"/>
      <c r="F725" s="159"/>
      <c r="G725" s="159"/>
      <c r="H725" s="160"/>
      <c r="I725" s="57">
        <f t="shared" si="11"/>
        <v>0</v>
      </c>
      <c r="J725" s="62"/>
      <c r="K725" s="56"/>
      <c r="L725" s="159"/>
      <c r="M725" s="406"/>
      <c r="N725" s="399" t="s">
        <v>1507</v>
      </c>
      <c r="O725" s="383">
        <v>65</v>
      </c>
      <c r="P725" s="383">
        <v>5.25</v>
      </c>
      <c r="Q725" s="37" t="s">
        <v>1224</v>
      </c>
    </row>
    <row r="726" spans="1:17" ht="13.2">
      <c r="A726" s="83" t="s">
        <v>1184</v>
      </c>
      <c r="B726" s="386" t="str">
        <f>HYPERLINK("http://codeforces.com/contest/9/problem/D","CF9-D2-D")</f>
        <v>CF9-D2-D</v>
      </c>
      <c r="C726" s="159"/>
      <c r="D726" s="159"/>
      <c r="E726" s="159"/>
      <c r="F726" s="159"/>
      <c r="G726" s="159"/>
      <c r="H726" s="160"/>
      <c r="I726" s="57">
        <f t="shared" si="11"/>
        <v>0</v>
      </c>
      <c r="J726" s="102"/>
      <c r="K726" s="101"/>
      <c r="L726" s="405"/>
      <c r="M726" s="293" t="str">
        <f>HYPERLINK("https://github.com/OmarMekkawy/Problems-Solved-Codes/blob/master/CodeForces/189D.cpp","Sol")</f>
        <v>Sol</v>
      </c>
      <c r="N726" s="383" t="s">
        <v>1515</v>
      </c>
      <c r="O726" s="383">
        <v>68</v>
      </c>
      <c r="P726" s="383">
        <v>5.25</v>
      </c>
      <c r="Q726" s="37" t="s">
        <v>1251</v>
      </c>
    </row>
    <row r="727" spans="1:17" ht="13.2">
      <c r="A727" s="83" t="s">
        <v>1032</v>
      </c>
      <c r="B727" s="386" t="str">
        <f>HYPERLINK("https://uva.onlinejudge.org/index.php?option=com_onlinejudge&amp;Itemid=8&amp;page=show_problem&amp;problem=62","UVA 126")</f>
        <v>UVA 126</v>
      </c>
      <c r="C727" s="159"/>
      <c r="D727" s="159"/>
      <c r="E727" s="159"/>
      <c r="F727" s="159"/>
      <c r="G727" s="159"/>
      <c r="H727" s="160"/>
      <c r="I727" s="57">
        <f t="shared" si="11"/>
        <v>0</v>
      </c>
      <c r="J727" s="62"/>
      <c r="K727" s="56"/>
      <c r="L727" s="405"/>
      <c r="M727" s="293" t="str">
        <f>HYPERLINK("https://github.com/abdullaAshraf/Problem-Solving/blob/master/UVA/11506.cpp","Sol")</f>
        <v>Sol</v>
      </c>
      <c r="N727" s="383" t="s">
        <v>1534</v>
      </c>
      <c r="O727" s="383">
        <v>74</v>
      </c>
      <c r="P727" s="383">
        <v>5.25</v>
      </c>
      <c r="Q727" s="37" t="s">
        <v>1226</v>
      </c>
    </row>
    <row r="728" spans="1:17" ht="13.2">
      <c r="A728" s="83" t="s">
        <v>629</v>
      </c>
      <c r="B728" s="386" t="str">
        <f>HYPERLINK("https://uva.onlinejudge.org/index.php?option=com_onlinejudge&amp;Itemid=8&amp;page=show_problem&amp;problem=64","UVA 128")</f>
        <v>UVA 128</v>
      </c>
      <c r="C728" s="159"/>
      <c r="D728" s="159"/>
      <c r="E728" s="159"/>
      <c r="F728" s="159"/>
      <c r="G728" s="159"/>
      <c r="H728" s="160"/>
      <c r="I728" s="57">
        <f t="shared" si="11"/>
        <v>0</v>
      </c>
      <c r="J728" s="62"/>
      <c r="K728" s="56"/>
      <c r="L728" s="159"/>
      <c r="M728" s="406"/>
      <c r="N728" s="383" t="s">
        <v>1537</v>
      </c>
      <c r="O728" s="383">
        <v>76</v>
      </c>
      <c r="P728" s="383">
        <v>5.25</v>
      </c>
    </row>
    <row r="729" spans="1:17" ht="13.2">
      <c r="A729" s="83" t="s">
        <v>1204</v>
      </c>
      <c r="B729" s="386" t="str">
        <f>HYPERLINK("http://codeforces.com/contest/352/problem/D","CF352-D2-D")</f>
        <v>CF352-D2-D</v>
      </c>
      <c r="C729" s="159"/>
      <c r="D729" s="159"/>
      <c r="E729" s="159"/>
      <c r="F729" s="159"/>
      <c r="G729" s="159"/>
      <c r="H729" s="160"/>
      <c r="I729" s="57">
        <f t="shared" si="11"/>
        <v>0</v>
      </c>
      <c r="J729" s="62"/>
      <c r="K729" s="56"/>
      <c r="L729" s="159"/>
      <c r="M729" s="386" t="str">
        <f>HYPERLINK("https://github.com/SpeedOfMagic/CompetitiveProgramming/blob/master/CodeforcesGym/CF101187-GYM-F.cpp","Sol")</f>
        <v>Sol</v>
      </c>
      <c r="N729" s="383" t="s">
        <v>1593</v>
      </c>
      <c r="O729" s="383">
        <v>86</v>
      </c>
      <c r="P729" s="383">
        <v>5.25</v>
      </c>
      <c r="Q729" s="37" t="s">
        <v>1224</v>
      </c>
    </row>
    <row r="730" spans="1:17" ht="13.2">
      <c r="A730" s="83" t="s">
        <v>735</v>
      </c>
      <c r="B730" s="386" t="str">
        <f>HYPERLINK("http://codeforces.com/contest/84/problem/B","CF84-D2-B")</f>
        <v>CF84-D2-B</v>
      </c>
      <c r="C730" s="159"/>
      <c r="D730" s="159"/>
      <c r="E730" s="159"/>
      <c r="F730" s="159"/>
      <c r="G730" s="159"/>
      <c r="H730" s="160"/>
      <c r="I730" s="57">
        <f t="shared" si="11"/>
        <v>0</v>
      </c>
      <c r="J730" s="62"/>
      <c r="K730" s="56"/>
      <c r="L730" s="159"/>
      <c r="M730" s="406"/>
      <c r="N730" s="383" t="s">
        <v>1634</v>
      </c>
      <c r="O730" s="383">
        <v>87</v>
      </c>
      <c r="P730" s="399">
        <v>5.25</v>
      </c>
      <c r="Q730" s="37" t="s">
        <v>1226</v>
      </c>
    </row>
    <row r="731" spans="1:17" ht="13.2">
      <c r="A731" s="83" t="s">
        <v>438</v>
      </c>
      <c r="B731" s="386" t="str">
        <f>HYPERLINK("http://codeforces.com/contest/617/problem/B","CF617-D2-B")</f>
        <v>CF617-D2-B</v>
      </c>
      <c r="C731" s="159"/>
      <c r="D731" s="159"/>
      <c r="E731" s="159"/>
      <c r="F731" s="159"/>
      <c r="G731" s="159"/>
      <c r="H731" s="160"/>
      <c r="I731" s="57">
        <f t="shared" si="11"/>
        <v>0</v>
      </c>
      <c r="J731" s="62"/>
      <c r="K731" s="56"/>
      <c r="L731" s="159"/>
      <c r="M731" s="293" t="str">
        <f>HYPERLINK("https://github.com/VAMPIER000001/CompetitiveProgramming/blob/master/UVA/V-113/UVA%2011346.cpp","Sol")</f>
        <v>Sol</v>
      </c>
      <c r="N731" s="383" t="s">
        <v>1686</v>
      </c>
      <c r="O731" s="383">
        <v>113</v>
      </c>
      <c r="P731" s="399">
        <v>5.25</v>
      </c>
      <c r="Q731" s="37" t="s">
        <v>1226</v>
      </c>
    </row>
    <row r="732" spans="1:17" ht="13.2">
      <c r="A732" s="83" t="s">
        <v>406</v>
      </c>
      <c r="B732" s="386" t="str">
        <f>HYPERLINK("http://codeforces.com/contest/79/problem/B","CF79-D12-B")</f>
        <v>CF79-D12-B</v>
      </c>
      <c r="C732" s="159"/>
      <c r="D732" s="159"/>
      <c r="E732" s="159"/>
      <c r="F732" s="159"/>
      <c r="G732" s="159"/>
      <c r="H732" s="160"/>
      <c r="I732" s="57">
        <f t="shared" si="11"/>
        <v>0</v>
      </c>
      <c r="J732" s="62"/>
      <c r="K732" s="56"/>
      <c r="L732" s="159"/>
      <c r="M732" s="545"/>
      <c r="N732" s="399" t="s">
        <v>1755</v>
      </c>
      <c r="O732" s="399">
        <v>130</v>
      </c>
      <c r="P732" s="383">
        <v>5.25</v>
      </c>
      <c r="Q732" s="37" t="s">
        <v>1224</v>
      </c>
    </row>
    <row r="733" spans="1:17" ht="13.2">
      <c r="A733" s="83" t="s">
        <v>578</v>
      </c>
      <c r="B733" s="386" t="str">
        <f>HYPERLINK("http://codeforces.com/contest/131/problem/C","CF131-D2-C")</f>
        <v>CF131-D2-C</v>
      </c>
      <c r="C733" s="159"/>
      <c r="D733" s="159"/>
      <c r="E733" s="159"/>
      <c r="F733" s="159"/>
      <c r="G733" s="159"/>
      <c r="H733" s="160"/>
      <c r="I733" s="57">
        <f t="shared" si="11"/>
        <v>0</v>
      </c>
      <c r="J733" s="102"/>
      <c r="K733" s="101"/>
      <c r="L733" s="159"/>
      <c r="M733" s="403" t="str">
        <f>HYPERLINK("https://github.com/ahmed-osama-iv/CompetitiveProgramming/blob/master/LiveArchive/8015.cpp","Sol")</f>
        <v>Sol</v>
      </c>
      <c r="N733" s="383" t="s">
        <v>1759</v>
      </c>
      <c r="O733" s="383">
        <v>135</v>
      </c>
      <c r="P733" s="383">
        <v>5.25</v>
      </c>
      <c r="Q733" s="37" t="s">
        <v>1251</v>
      </c>
    </row>
    <row r="734" spans="1:17" ht="13.2">
      <c r="A734" s="83" t="s">
        <v>1029</v>
      </c>
      <c r="B734" s="386" t="str">
        <f>HYPERLINK("http://codeforces.com/contest/152/problem/C","CF152-D2-C")</f>
        <v>CF152-D2-C</v>
      </c>
      <c r="C734" s="159"/>
      <c r="D734" s="159"/>
      <c r="E734" s="159"/>
      <c r="F734" s="159"/>
      <c r="G734" s="159"/>
      <c r="H734" s="160"/>
      <c r="I734" s="57">
        <f t="shared" si="11"/>
        <v>0</v>
      </c>
      <c r="J734" s="102"/>
      <c r="K734" s="101"/>
      <c r="L734" s="159"/>
      <c r="M734" s="401"/>
      <c r="N734" s="383" t="s">
        <v>1265</v>
      </c>
      <c r="O734" s="383">
        <v>5</v>
      </c>
      <c r="P734" s="383">
        <v>5.5</v>
      </c>
      <c r="Q734" s="37" t="s">
        <v>1226</v>
      </c>
    </row>
    <row r="735" spans="1:17" ht="13.2">
      <c r="A735" s="83" t="s">
        <v>208</v>
      </c>
      <c r="B735" s="386" t="str">
        <f>HYPERLINK("https://uva.onlinejudge.org/index.php?option=onlinejudge&amp;page=show_problem&amp;problem=2172","UVA 11231")</f>
        <v>UVA 11231</v>
      </c>
      <c r="C735" s="159"/>
      <c r="D735" s="159"/>
      <c r="E735" s="159"/>
      <c r="F735" s="159"/>
      <c r="G735" s="159"/>
      <c r="H735" s="160"/>
      <c r="I735" s="57">
        <f t="shared" si="11"/>
        <v>0</v>
      </c>
      <c r="J735" s="102"/>
      <c r="K735" s="56"/>
      <c r="L735" s="102"/>
      <c r="M735" s="293" t="str">
        <f>HYPERLINK("https://github.com/MedoN11/CompetitiveProgramming/blob/master/CodeForces/CF621-D2-D-Complex.cpp","Sol")</f>
        <v>Sol</v>
      </c>
      <c r="N735" s="383" t="s">
        <v>1266</v>
      </c>
      <c r="O735" s="383">
        <v>5</v>
      </c>
      <c r="P735" s="383">
        <v>5.5</v>
      </c>
      <c r="Q735" s="37" t="s">
        <v>1224</v>
      </c>
    </row>
    <row r="736" spans="1:17" ht="13.2">
      <c r="A736" s="83"/>
      <c r="B736" s="386" t="str">
        <f>HYPERLINK("http://codeforces.com/contest/758/problem/C","CF758-D2-C")</f>
        <v>CF758-D2-C</v>
      </c>
      <c r="C736" s="159"/>
      <c r="D736" s="159"/>
      <c r="E736" s="159"/>
      <c r="F736" s="159"/>
      <c r="G736" s="159"/>
      <c r="H736" s="160"/>
      <c r="I736" s="57">
        <f t="shared" si="11"/>
        <v>0</v>
      </c>
      <c r="J736" s="62"/>
      <c r="K736" s="56"/>
      <c r="L736" s="96"/>
      <c r="M736" s="404"/>
      <c r="N736" s="383" t="s">
        <v>1267</v>
      </c>
      <c r="O736" s="383">
        <v>5</v>
      </c>
      <c r="P736" s="383">
        <v>5.5</v>
      </c>
      <c r="Q736" s="37" t="s">
        <v>1224</v>
      </c>
    </row>
    <row r="737" spans="1:17" ht="13.2">
      <c r="A737" s="83"/>
      <c r="B737" s="386" t="str">
        <f>HYPERLINK("http://codeforces.com/contest/459/problem/C","CF459-D2-C")</f>
        <v>CF459-D2-C</v>
      </c>
      <c r="C737" s="159"/>
      <c r="D737" s="159"/>
      <c r="E737" s="159"/>
      <c r="F737" s="159"/>
      <c r="G737" s="159"/>
      <c r="H737" s="160"/>
      <c r="I737" s="57">
        <f t="shared" si="11"/>
        <v>0</v>
      </c>
      <c r="J737" s="102"/>
      <c r="K737" s="101"/>
      <c r="L737" s="159"/>
      <c r="M737" s="406"/>
      <c r="N737" s="383" t="s">
        <v>1268</v>
      </c>
      <c r="O737" s="383">
        <v>5</v>
      </c>
      <c r="P737" s="383">
        <v>5.5</v>
      </c>
      <c r="Q737" s="37" t="s">
        <v>1224</v>
      </c>
    </row>
    <row r="738" spans="1:17" ht="13.2">
      <c r="A738" s="83"/>
      <c r="B738" s="386" t="str">
        <f>HYPERLINK("https://www.hackerrank.com/challenges/ajourney","HACKR ajourney")</f>
        <v>HACKR ajourney</v>
      </c>
      <c r="C738" s="159"/>
      <c r="D738" s="159"/>
      <c r="E738" s="159"/>
      <c r="F738" s="159"/>
      <c r="G738" s="159"/>
      <c r="H738" s="160"/>
      <c r="I738" s="57">
        <f t="shared" si="11"/>
        <v>0</v>
      </c>
      <c r="J738" s="102"/>
      <c r="K738" s="101"/>
      <c r="L738" s="405"/>
      <c r="M738" s="399"/>
      <c r="N738" s="383" t="s">
        <v>1269</v>
      </c>
      <c r="O738" s="383">
        <v>5</v>
      </c>
      <c r="P738" s="383">
        <v>5.5</v>
      </c>
      <c r="Q738" s="37" t="s">
        <v>1226</v>
      </c>
    </row>
    <row r="739" spans="1:17" ht="13.2">
      <c r="A739" s="83" t="s">
        <v>808</v>
      </c>
      <c r="B739" s="386" t="str">
        <f>HYPERLINK("http://codeforces.com/contest/294/problem/C","CF294-D2-C")</f>
        <v>CF294-D2-C</v>
      </c>
      <c r="C739" s="159"/>
      <c r="D739" s="159"/>
      <c r="E739" s="159"/>
      <c r="F739" s="159"/>
      <c r="G739" s="159"/>
      <c r="H739" s="160"/>
      <c r="I739" s="57">
        <f t="shared" si="11"/>
        <v>0</v>
      </c>
      <c r="J739" s="96"/>
      <c r="K739" s="159"/>
      <c r="L739" s="159"/>
      <c r="M739" s="293" t="str">
        <f>HYPERLINK("https://github.com/mostafa-saad/MyCompetitiveProgramming/blob/master/SPOJ/SPOJ_ABA12E.txt","Sol")</f>
        <v>Sol</v>
      </c>
      <c r="N739" s="383" t="s">
        <v>1280</v>
      </c>
      <c r="O739" s="383">
        <v>6</v>
      </c>
      <c r="P739" s="383">
        <v>5.5</v>
      </c>
      <c r="Q739" s="37" t="s">
        <v>1226</v>
      </c>
    </row>
    <row r="740" spans="1:17" ht="13.2">
      <c r="A740" s="83"/>
      <c r="B740" s="386" t="str">
        <f>HYPERLINK("http://codeforces.com/problemset/problem/869/C","CF869-D2-C")</f>
        <v>CF869-D2-C</v>
      </c>
      <c r="C740" s="159"/>
      <c r="D740" s="159"/>
      <c r="E740" s="159"/>
      <c r="F740" s="159"/>
      <c r="G740" s="159"/>
      <c r="H740" s="160"/>
      <c r="I740" s="57">
        <f t="shared" si="11"/>
        <v>0</v>
      </c>
      <c r="J740" s="102"/>
      <c r="K740" s="101"/>
      <c r="L740" s="159"/>
      <c r="M740" s="404"/>
      <c r="N740" s="383" t="s">
        <v>1282</v>
      </c>
      <c r="O740" s="383">
        <v>8</v>
      </c>
      <c r="P740" s="383">
        <v>5.5</v>
      </c>
      <c r="Q740" s="37" t="s">
        <v>1224</v>
      </c>
    </row>
    <row r="741" spans="1:17" ht="13.2">
      <c r="A741" s="83" t="s">
        <v>868</v>
      </c>
      <c r="B741" s="386" t="str">
        <f>HYPERLINK("http://codeforces.com/contest/340/problem/C","CF340-D2-C")</f>
        <v>CF340-D2-C</v>
      </c>
      <c r="C741" s="159"/>
      <c r="D741" s="159"/>
      <c r="E741" s="159"/>
      <c r="F741" s="159"/>
      <c r="G741" s="159"/>
      <c r="H741" s="160"/>
      <c r="I741" s="57">
        <f t="shared" si="11"/>
        <v>0</v>
      </c>
      <c r="J741" s="102"/>
      <c r="K741" s="101"/>
      <c r="L741" s="159"/>
      <c r="M741" s="83"/>
      <c r="N741" s="383" t="s">
        <v>1294</v>
      </c>
      <c r="O741" s="383">
        <v>9</v>
      </c>
      <c r="P741" s="383">
        <v>5.5</v>
      </c>
      <c r="Q741" s="37" t="s">
        <v>1226</v>
      </c>
    </row>
    <row r="742" spans="1:17" ht="13.2">
      <c r="A742" s="83" t="s">
        <v>566</v>
      </c>
      <c r="B742" s="386" t="str">
        <f>HYPERLINK("http://codeforces.com/contest/371/problem/B","CF371-D2-B")</f>
        <v>CF371-D2-B</v>
      </c>
      <c r="C742" s="159"/>
      <c r="D742" s="159"/>
      <c r="E742" s="159"/>
      <c r="F742" s="159"/>
      <c r="G742" s="159"/>
      <c r="H742" s="160"/>
      <c r="I742" s="57">
        <f t="shared" si="11"/>
        <v>0</v>
      </c>
      <c r="J742" s="102"/>
      <c r="K742" s="101"/>
      <c r="L742" s="159"/>
      <c r="M742" s="406"/>
      <c r="N742" s="383" t="s">
        <v>1295</v>
      </c>
      <c r="O742" s="383">
        <v>9</v>
      </c>
      <c r="P742" s="399">
        <v>5.5</v>
      </c>
      <c r="Q742" s="37" t="s">
        <v>1224</v>
      </c>
    </row>
    <row r="743" spans="1:17" ht="13.2">
      <c r="A743" s="83" t="s">
        <v>964</v>
      </c>
      <c r="B743" s="386" t="str">
        <f>HYPERLINK("https://uva.onlinejudge.org/index.php?option=com_onlinejudge&amp;Itemid=8&amp;page=show_problem&amp;problem=89","UVA 153")</f>
        <v>UVA 153</v>
      </c>
      <c r="C743" s="159"/>
      <c r="D743" s="159"/>
      <c r="E743" s="159"/>
      <c r="F743" s="159"/>
      <c r="G743" s="159"/>
      <c r="H743" s="160"/>
      <c r="I743" s="57">
        <f t="shared" si="11"/>
        <v>0</v>
      </c>
      <c r="J743" s="102"/>
      <c r="K743" s="101"/>
      <c r="L743" s="159"/>
      <c r="M743" s="293" t="str">
        <f>HYPERLINK("http://qkxue.net/info/113260/UVA-Boxes-Line-12657","Sol")</f>
        <v>Sol</v>
      </c>
      <c r="N743" s="383" t="s">
        <v>1296</v>
      </c>
      <c r="O743" s="383">
        <v>9</v>
      </c>
      <c r="P743" s="383">
        <v>5.5</v>
      </c>
      <c r="Q743" s="37" t="s">
        <v>1220</v>
      </c>
    </row>
    <row r="744" spans="1:17" ht="13.2">
      <c r="A744" s="83" t="s">
        <v>641</v>
      </c>
      <c r="B744" s="386" t="str">
        <f>HYPERLINK("https://uva.onlinejudge.org/index.php?option=com_onlinejudge&amp;Itemid=8&amp;page=show_problem&amp;problem=524","UVA 583")</f>
        <v>UVA 583</v>
      </c>
      <c r="C744" s="159"/>
      <c r="D744" s="159"/>
      <c r="E744" s="159"/>
      <c r="F744" s="159"/>
      <c r="G744" s="159"/>
      <c r="H744" s="160"/>
      <c r="I744" s="57">
        <f t="shared" si="11"/>
        <v>0</v>
      </c>
      <c r="J744" s="62"/>
      <c r="K744" s="56"/>
      <c r="L744" s="159"/>
      <c r="M744" s="395"/>
      <c r="N744" s="383" t="s">
        <v>1319</v>
      </c>
      <c r="O744" s="383">
        <v>10</v>
      </c>
      <c r="P744" s="383">
        <v>5.5</v>
      </c>
      <c r="Q744" s="37" t="s">
        <v>1251</v>
      </c>
    </row>
    <row r="745" spans="1:17" ht="13.2">
      <c r="A745" s="83" t="s">
        <v>439</v>
      </c>
      <c r="B745" s="386" t="str">
        <f>HYPERLINK("http://codeforces.com/contest/236/problem/B","CF236-D2-B")</f>
        <v>CF236-D2-B</v>
      </c>
      <c r="C745" s="159"/>
      <c r="D745" s="159"/>
      <c r="E745" s="159"/>
      <c r="F745" s="159"/>
      <c r="G745" s="159"/>
      <c r="H745" s="160"/>
      <c r="I745" s="57">
        <f t="shared" si="11"/>
        <v>0</v>
      </c>
      <c r="J745" s="62"/>
      <c r="K745" s="56"/>
      <c r="L745" s="159"/>
      <c r="M745" s="545"/>
      <c r="N745" s="383" t="s">
        <v>1320</v>
      </c>
      <c r="O745" s="383">
        <v>10</v>
      </c>
      <c r="P745" s="383">
        <v>5.5</v>
      </c>
      <c r="Q745" s="37" t="s">
        <v>1226</v>
      </c>
    </row>
    <row r="746" spans="1:17" ht="13.2">
      <c r="A746" s="83" t="s">
        <v>642</v>
      </c>
      <c r="B746" s="386" t="str">
        <f>HYPERLINK("https://uva.onlinejudge.org/index.php?option=com_onlinejudge&amp;Itemid=8&amp;page=show_problem&amp;problem=1431","UVA 10490")</f>
        <v>UVA 10490</v>
      </c>
      <c r="C746" s="159"/>
      <c r="D746" s="159"/>
      <c r="E746" s="159"/>
      <c r="F746" s="159"/>
      <c r="G746" s="159"/>
      <c r="H746" s="160"/>
      <c r="I746" s="57">
        <f t="shared" si="11"/>
        <v>0</v>
      </c>
      <c r="J746" s="62"/>
      <c r="K746" s="56"/>
      <c r="L746" s="159"/>
      <c r="M746" s="406"/>
      <c r="N746" s="383" t="s">
        <v>1321</v>
      </c>
      <c r="O746" s="383">
        <v>10</v>
      </c>
      <c r="P746" s="383">
        <v>5.5</v>
      </c>
      <c r="Q746" s="37" t="s">
        <v>1226</v>
      </c>
    </row>
    <row r="747" spans="1:17" ht="13.2">
      <c r="A747" s="83" t="s">
        <v>644</v>
      </c>
      <c r="B747" s="386" t="str">
        <f>HYPERLINK("https://uva.onlinejudge.org/index.php?option=com_onlinejudge&amp;Itemid=8&amp;page=show_problem&amp;problem=457","UVA 516")</f>
        <v>UVA 516</v>
      </c>
      <c r="C747" s="159"/>
      <c r="D747" s="159"/>
      <c r="E747" s="159"/>
      <c r="F747" s="159"/>
      <c r="G747" s="159"/>
      <c r="H747" s="160"/>
      <c r="I747" s="57">
        <f t="shared" si="11"/>
        <v>0</v>
      </c>
      <c r="J747" s="62"/>
      <c r="K747" s="56"/>
      <c r="L747" s="159"/>
      <c r="M747" s="403" t="str">
        <f>HYPERLINK("https://github.com/mostafa-saad/MyCompetitiveProgramming/blob/master/UVA/UVA_348.txt","Sol")</f>
        <v>Sol</v>
      </c>
      <c r="N747" s="383" t="s">
        <v>1322</v>
      </c>
      <c r="O747" s="383">
        <v>10</v>
      </c>
      <c r="P747" s="383">
        <v>5.5</v>
      </c>
      <c r="Q747" s="37" t="s">
        <v>1226</v>
      </c>
    </row>
    <row r="748" spans="1:17" ht="13.2">
      <c r="A748" s="83" t="s">
        <v>643</v>
      </c>
      <c r="B748" s="386" t="str">
        <f>HYPERLINK("https://uva.onlinejudge.org/index.php?option=onlinejudge&amp;page=show_problem&amp;problem=1563","UVA 10622")</f>
        <v>UVA 10622</v>
      </c>
      <c r="C748" s="159"/>
      <c r="D748" s="159"/>
      <c r="E748" s="159"/>
      <c r="F748" s="159"/>
      <c r="G748" s="159"/>
      <c r="H748" s="160"/>
      <c r="I748" s="57">
        <f t="shared" si="11"/>
        <v>0</v>
      </c>
      <c r="J748" s="62"/>
      <c r="K748" s="56"/>
      <c r="L748" s="159"/>
      <c r="M748" s="399"/>
      <c r="N748" s="383" t="s">
        <v>1323</v>
      </c>
      <c r="O748" s="383">
        <v>10</v>
      </c>
      <c r="P748" s="383">
        <v>5.5</v>
      </c>
      <c r="Q748" s="37" t="s">
        <v>1226</v>
      </c>
    </row>
    <row r="749" spans="1:17" ht="13.2">
      <c r="A749" s="83" t="s">
        <v>659</v>
      </c>
      <c r="B749" s="386" t="str">
        <f>HYPERLINK("https://uva.onlinejudge.org/index.php?option=onlinejudge&amp;Itemid=8&amp;page=show_problem&amp;problem=1080","UVA 10139")</f>
        <v>UVA 10139</v>
      </c>
      <c r="C749" s="159"/>
      <c r="D749" s="159"/>
      <c r="E749" s="159"/>
      <c r="F749" s="159"/>
      <c r="G749" s="159"/>
      <c r="H749" s="160"/>
      <c r="I749" s="57">
        <f t="shared" si="11"/>
        <v>0</v>
      </c>
      <c r="J749" s="62"/>
      <c r="K749" s="56"/>
      <c r="L749" s="159"/>
      <c r="M749" s="545"/>
      <c r="N749" s="383" t="s">
        <v>1324</v>
      </c>
      <c r="O749" s="383">
        <v>10</v>
      </c>
      <c r="P749" s="383">
        <v>5.5</v>
      </c>
      <c r="Q749" s="37" t="s">
        <v>1226</v>
      </c>
    </row>
    <row r="750" spans="1:17" ht="13.2">
      <c r="A750" s="83"/>
      <c r="B750" s="386" t="str">
        <f>HYPERLINK("http://codeforces.com/contest/1047/problem/C","CF1047-D2-C")</f>
        <v>CF1047-D2-C</v>
      </c>
      <c r="C750" s="159"/>
      <c r="D750" s="159"/>
      <c r="E750" s="159"/>
      <c r="F750" s="159"/>
      <c r="G750" s="159"/>
      <c r="H750" s="160"/>
      <c r="I750" s="57">
        <f t="shared" si="11"/>
        <v>0</v>
      </c>
      <c r="J750" s="62"/>
      <c r="K750" s="56"/>
      <c r="L750" s="96"/>
      <c r="M750" s="545"/>
      <c r="N750" s="383" t="s">
        <v>1325</v>
      </c>
      <c r="O750" s="383">
        <v>10</v>
      </c>
      <c r="P750" s="383">
        <v>5.5</v>
      </c>
      <c r="Q750" s="37" t="s">
        <v>1224</v>
      </c>
    </row>
    <row r="751" spans="1:17" ht="13.2">
      <c r="A751" s="83" t="s">
        <v>1111</v>
      </c>
      <c r="B751" s="386" t="str">
        <f>HYPERLINK("https://uva.onlinejudge.org/index.php?option=onlinejudge&amp;page=show_problem&amp;problem=488","UVA 547")</f>
        <v>UVA 547</v>
      </c>
      <c r="C751" s="159"/>
      <c r="D751" s="159"/>
      <c r="E751" s="159"/>
      <c r="F751" s="159"/>
      <c r="G751" s="159"/>
      <c r="H751" s="160"/>
      <c r="I751" s="57">
        <f t="shared" si="11"/>
        <v>0</v>
      </c>
      <c r="J751" s="62"/>
      <c r="K751" s="56"/>
      <c r="L751" s="405"/>
      <c r="M751" s="403" t="str">
        <f>HYPERLINK("https://github.com/osamahatem/CompetitiveProgramming/blob/master/Codeforces/149D.%20Coloring%20Brackets.cpp","Sol")</f>
        <v>Sol</v>
      </c>
      <c r="N751" s="383" t="s">
        <v>1326</v>
      </c>
      <c r="O751" s="383">
        <v>10</v>
      </c>
      <c r="P751" s="383">
        <v>5.5</v>
      </c>
      <c r="Q751" s="37" t="s">
        <v>1224</v>
      </c>
    </row>
    <row r="752" spans="1:17" ht="13.2">
      <c r="A752" s="83"/>
      <c r="B752" s="83" t="s">
        <v>979</v>
      </c>
      <c r="C752" s="159"/>
      <c r="D752" s="159"/>
      <c r="E752" s="159"/>
      <c r="F752" s="159"/>
      <c r="G752" s="159"/>
      <c r="H752" s="160"/>
      <c r="I752" s="57">
        <f t="shared" si="11"/>
        <v>0</v>
      </c>
      <c r="J752" s="102"/>
      <c r="K752" s="101"/>
      <c r="L752" s="159"/>
      <c r="M752" s="406"/>
      <c r="N752" s="383" t="s">
        <v>1319</v>
      </c>
      <c r="O752" s="383">
        <v>10</v>
      </c>
      <c r="P752" s="383">
        <v>5.5</v>
      </c>
      <c r="Q752" s="37" t="s">
        <v>1224</v>
      </c>
    </row>
    <row r="753" spans="1:17" ht="13.2">
      <c r="A753" s="83" t="s">
        <v>1135</v>
      </c>
      <c r="B753" s="386" t="str">
        <f>HYPERLINK("https://uva.onlinejudge.org/index.php?option=onlinejudge&amp;page=show_problem&amp;problem=2322","UVA 11347")</f>
        <v>UVA 11347</v>
      </c>
      <c r="C753" s="159"/>
      <c r="D753" s="159"/>
      <c r="E753" s="159"/>
      <c r="F753" s="159"/>
      <c r="G753" s="159"/>
      <c r="H753" s="160"/>
      <c r="I753" s="57">
        <f t="shared" si="11"/>
        <v>0</v>
      </c>
      <c r="J753" s="62"/>
      <c r="K753" s="56"/>
      <c r="L753" s="405"/>
      <c r="M753" s="545"/>
      <c r="N753" s="383" t="s">
        <v>1334</v>
      </c>
      <c r="O753" s="383">
        <v>13</v>
      </c>
      <c r="P753" s="383">
        <v>5.5</v>
      </c>
      <c r="Q753" s="37" t="s">
        <v>1226</v>
      </c>
    </row>
    <row r="754" spans="1:17" ht="13.2">
      <c r="A754" s="83"/>
      <c r="B754" s="386" t="str">
        <f>HYPERLINK("http://codeforces.com/problemset/problem/1033/D", "CF1033-D12-D")</f>
        <v>CF1033-D12-D</v>
      </c>
      <c r="C754" s="159"/>
      <c r="D754" s="159"/>
      <c r="E754" s="159"/>
      <c r="F754" s="159"/>
      <c r="G754" s="159"/>
      <c r="H754" s="160"/>
      <c r="I754" s="57">
        <f t="shared" si="11"/>
        <v>0</v>
      </c>
      <c r="J754" s="102"/>
      <c r="K754" s="101"/>
      <c r="L754" s="159"/>
      <c r="M754" s="293" t="str">
        <f>HYPERLINK("https://github.com/mostafa-saad/MyCompetitiveProgramming/blob/master/UVA/UVA_10111.txt","Sol")</f>
        <v>Sol</v>
      </c>
      <c r="N754" s="383" t="s">
        <v>1354</v>
      </c>
      <c r="O754" s="383">
        <v>23</v>
      </c>
      <c r="P754" s="383">
        <v>5.5</v>
      </c>
      <c r="Q754" s="37" t="s">
        <v>1226</v>
      </c>
    </row>
    <row r="755" spans="1:17" ht="13.2">
      <c r="A755" s="83" t="s">
        <v>1207</v>
      </c>
      <c r="B755" s="386" t="str">
        <f>HYPERLINK("http://codeforces.com/contest/688/problem/D","CF688-D2-D")</f>
        <v>CF688-D2-D</v>
      </c>
      <c r="C755" s="159"/>
      <c r="D755" s="159"/>
      <c r="E755" s="159"/>
      <c r="F755" s="159"/>
      <c r="G755" s="159"/>
      <c r="H755" s="160"/>
      <c r="I755" s="57">
        <f t="shared" si="11"/>
        <v>0</v>
      </c>
      <c r="J755" s="102"/>
      <c r="K755" s="101"/>
      <c r="L755" s="159"/>
      <c r="M755" s="293" t="str">
        <f>HYPERLINK("https://github.com/VAMPIER000001/CompetitiveProgramming/blob/master/UVA/V-110/UVA%2011021.cpp","Sol")</f>
        <v>Sol</v>
      </c>
      <c r="N755" s="383" t="s">
        <v>1362</v>
      </c>
      <c r="O755" s="383">
        <v>29</v>
      </c>
      <c r="P755" s="383">
        <v>5.5</v>
      </c>
      <c r="Q755" s="37" t="s">
        <v>1226</v>
      </c>
    </row>
    <row r="756" spans="1:17" ht="13.2">
      <c r="A756" s="83" t="s">
        <v>1139</v>
      </c>
      <c r="B756" s="386" t="str">
        <f>HYPERLINK("http://www.spoj.com/problems/PROOT/","SPOJ PROOT")</f>
        <v>SPOJ PROOT</v>
      </c>
      <c r="C756" s="159"/>
      <c r="D756" s="159"/>
      <c r="E756" s="159"/>
      <c r="F756" s="159"/>
      <c r="G756" s="159"/>
      <c r="H756" s="160"/>
      <c r="I756" s="57">
        <f t="shared" si="11"/>
        <v>0</v>
      </c>
      <c r="J756" s="62"/>
      <c r="K756" s="56"/>
      <c r="L756" s="405"/>
      <c r="M756" s="293" t="str">
        <f>HYPERLINK("https://github.com/MichaelMounir12/CompetitiveProgramming/blob/478ef4641bab747e4fd63fffdff7d55287242921/PKU/PKU_2096.cpp","Sol")</f>
        <v>Sol</v>
      </c>
      <c r="N756" s="383" t="s">
        <v>1363</v>
      </c>
      <c r="O756" s="383">
        <v>29</v>
      </c>
      <c r="P756" s="383">
        <v>5.5</v>
      </c>
      <c r="Q756" s="37" t="s">
        <v>1224</v>
      </c>
    </row>
    <row r="757" spans="1:17" ht="13.2">
      <c r="A757" s="83"/>
      <c r="B757" s="83" t="s">
        <v>872</v>
      </c>
      <c r="C757" s="159"/>
      <c r="D757" s="159"/>
      <c r="E757" s="159"/>
      <c r="F757" s="159"/>
      <c r="G757" s="159"/>
      <c r="H757" s="160"/>
      <c r="I757" s="57">
        <f t="shared" si="11"/>
        <v>0</v>
      </c>
      <c r="J757" s="62"/>
      <c r="K757" s="56"/>
      <c r="L757" s="159"/>
      <c r="M757" s="399"/>
      <c r="N757" s="383" t="s">
        <v>1369</v>
      </c>
      <c r="O757" s="383">
        <v>32</v>
      </c>
      <c r="P757" s="383">
        <v>5.5</v>
      </c>
      <c r="Q757" s="37" t="s">
        <v>1224</v>
      </c>
    </row>
    <row r="758" spans="1:17" ht="13.2">
      <c r="A758" s="83" t="s">
        <v>392</v>
      </c>
      <c r="B758" s="386" t="str">
        <f>HYPERLINK("https://uva.onlinejudge.org/index.php?option=onlinejudge&amp;page=show_problem&amp;problem=305","UVA 369")</f>
        <v>UVA 369</v>
      </c>
      <c r="C758" s="159"/>
      <c r="D758" s="159"/>
      <c r="E758" s="159"/>
      <c r="F758" s="159"/>
      <c r="G758" s="159"/>
      <c r="H758" s="160"/>
      <c r="I758" s="57">
        <f t="shared" si="11"/>
        <v>0</v>
      </c>
      <c r="J758" s="62"/>
      <c r="K758" s="56"/>
      <c r="L758" s="159"/>
      <c r="M758" s="169" t="str">
        <f>HYPERLINK("https://www.youtube.com/watch?v=NTxsccxXCW0","Video Solution - Eng Ayman Salah")</f>
        <v>Video Solution - Eng Ayman Salah</v>
      </c>
      <c r="N758" s="383" t="s">
        <v>1365</v>
      </c>
      <c r="O758" s="383">
        <v>32</v>
      </c>
      <c r="P758" s="383">
        <v>5.5</v>
      </c>
    </row>
    <row r="759" spans="1:17" ht="13.2">
      <c r="A759" s="83" t="s">
        <v>393</v>
      </c>
      <c r="B759" s="386" t="str">
        <f>HYPERLINK("https://uva.onlinejudge.org/index.php?option=onlinejudge&amp;page=show_problem&amp;problem=353","UVA 412")</f>
        <v>UVA 412</v>
      </c>
      <c r="C759" s="159"/>
      <c r="D759" s="159"/>
      <c r="E759" s="159"/>
      <c r="F759" s="159"/>
      <c r="G759" s="159"/>
      <c r="H759" s="160"/>
      <c r="I759" s="57">
        <f t="shared" si="11"/>
        <v>0</v>
      </c>
      <c r="J759" s="62"/>
      <c r="K759" s="56"/>
      <c r="L759" s="159"/>
      <c r="M759" s="403" t="str">
        <f>HYPERLINK("https://github.com/abdullaAshraf/Problem-Solving/blob/master/UVA/1626.cpp","Sol")</f>
        <v>Sol</v>
      </c>
      <c r="N759" s="383" t="s">
        <v>1365</v>
      </c>
      <c r="O759" s="383">
        <v>32</v>
      </c>
      <c r="P759" s="383">
        <v>5.5</v>
      </c>
    </row>
    <row r="760" spans="1:17" ht="13.2">
      <c r="A760" s="83" t="s">
        <v>579</v>
      </c>
      <c r="B760" s="386" t="str">
        <f>HYPERLINK("http://codeforces.com/contest/88/problem/C","CF88-D2-C")</f>
        <v>CF88-D2-C</v>
      </c>
      <c r="C760" s="159"/>
      <c r="D760" s="159"/>
      <c r="E760" s="159"/>
      <c r="F760" s="159"/>
      <c r="G760" s="159"/>
      <c r="H760" s="160"/>
      <c r="I760" s="57">
        <f t="shared" si="11"/>
        <v>0</v>
      </c>
      <c r="J760" s="102"/>
      <c r="K760" s="101"/>
      <c r="L760" s="159"/>
      <c r="M760" s="400" t="str">
        <f>HYPERLINK("https://github.com/mostafa-saad/MyCompetitiveProgramming/blob/master/SPOJ/SPOJ_FISHES.txt","Sol")</f>
        <v>Sol</v>
      </c>
      <c r="N760" s="383" t="s">
        <v>1374</v>
      </c>
      <c r="O760" s="383">
        <v>36</v>
      </c>
      <c r="P760" s="383">
        <v>5.5</v>
      </c>
      <c r="Q760" s="37" t="s">
        <v>1226</v>
      </c>
    </row>
    <row r="761" spans="1:17" ht="13.2">
      <c r="A761" s="83" t="s">
        <v>572</v>
      </c>
      <c r="B761" s="386" t="str">
        <f>HYPERLINK("https://uva.onlinejudge.org/index.php?option=onlinejudge&amp;page=show_problem&amp;problem=1658","UVA 10717")</f>
        <v>UVA 10717</v>
      </c>
      <c r="C761" s="159"/>
      <c r="D761" s="159"/>
      <c r="E761" s="159"/>
      <c r="F761" s="159"/>
      <c r="G761" s="159"/>
      <c r="H761" s="160"/>
      <c r="I761" s="57">
        <f t="shared" si="11"/>
        <v>0</v>
      </c>
      <c r="J761" s="62"/>
      <c r="K761" s="56"/>
      <c r="L761" s="159"/>
      <c r="M761" s="406"/>
      <c r="N761" s="383" t="s">
        <v>1377</v>
      </c>
      <c r="O761" s="383">
        <v>37</v>
      </c>
      <c r="P761" s="383">
        <v>5.5</v>
      </c>
      <c r="Q761" s="37" t="s">
        <v>1251</v>
      </c>
    </row>
    <row r="762" spans="1:17" ht="13.2">
      <c r="A762" s="83" t="s">
        <v>811</v>
      </c>
      <c r="B762" s="386" t="str">
        <f>HYPERLINK("http://codeforces.com/contest/592/problem/C","CF592-D2-C")</f>
        <v>CF592-D2-C</v>
      </c>
      <c r="C762" s="159"/>
      <c r="D762" s="159"/>
      <c r="E762" s="159"/>
      <c r="F762" s="159"/>
      <c r="G762" s="159"/>
      <c r="H762" s="160"/>
      <c r="I762" s="57">
        <f t="shared" si="11"/>
        <v>0</v>
      </c>
      <c r="J762" s="102"/>
      <c r="K762" s="101"/>
      <c r="L762" s="159"/>
      <c r="M762" s="400" t="str">
        <f>HYPERLINK("https://github.com/magdy-hasan/competitive-programming/blob/master/Other/ZOJ%20Get%20Sauce.cpp","Sol")</f>
        <v>Sol</v>
      </c>
      <c r="N762" s="383" t="s">
        <v>1378</v>
      </c>
      <c r="O762" s="383">
        <v>37</v>
      </c>
      <c r="P762" s="383">
        <v>5.5</v>
      </c>
      <c r="Q762" s="37" t="s">
        <v>1251</v>
      </c>
    </row>
    <row r="763" spans="1:17" ht="13.2">
      <c r="A763" s="83" t="s">
        <v>943</v>
      </c>
      <c r="B763" s="386" t="str">
        <f>HYPERLINK("https://uva.onlinejudge.org/index.php?option=onlinejudge&amp;page=show_problem&amp;problem=1833","UVA 10892")</f>
        <v>UVA 10892</v>
      </c>
      <c r="C763" s="159"/>
      <c r="D763" s="159"/>
      <c r="E763" s="159"/>
      <c r="F763" s="159"/>
      <c r="G763" s="159"/>
      <c r="H763" s="160"/>
      <c r="I763" s="57">
        <f t="shared" si="11"/>
        <v>0</v>
      </c>
      <c r="J763" s="96"/>
      <c r="K763" s="159"/>
      <c r="L763" s="159"/>
      <c r="M763" s="403" t="str">
        <f>HYPERLINK("http://codeforces.com/contest/337/submission/38413425","Sol")</f>
        <v>Sol</v>
      </c>
      <c r="N763" s="383" t="s">
        <v>1382</v>
      </c>
      <c r="O763" s="383">
        <v>38</v>
      </c>
      <c r="P763" s="383">
        <v>5.5</v>
      </c>
      <c r="Q763" s="37" t="s">
        <v>1251</v>
      </c>
    </row>
    <row r="764" spans="1:17" ht="13.2">
      <c r="A764" s="83" t="s">
        <v>617</v>
      </c>
      <c r="B764" s="386" t="str">
        <f>HYPERLINK("http://codeforces.com/contest/344/problem/C","CF344-D2-C")</f>
        <v>CF344-D2-C</v>
      </c>
      <c r="C764" s="159"/>
      <c r="D764" s="159"/>
      <c r="E764" s="159"/>
      <c r="F764" s="159"/>
      <c r="G764" s="159"/>
      <c r="H764" s="160"/>
      <c r="I764" s="57">
        <f t="shared" si="11"/>
        <v>0</v>
      </c>
      <c r="J764" s="102"/>
      <c r="K764" s="101"/>
      <c r="L764" s="159"/>
      <c r="M764" s="545"/>
      <c r="N764" s="383" t="s">
        <v>1381</v>
      </c>
      <c r="O764" s="383">
        <v>38</v>
      </c>
      <c r="P764" s="383">
        <v>5.5</v>
      </c>
      <c r="Q764" s="37" t="s">
        <v>1224</v>
      </c>
    </row>
    <row r="765" spans="1:17" ht="13.2">
      <c r="A765" s="83" t="s">
        <v>954</v>
      </c>
      <c r="B765" s="386" t="str">
        <f>HYPERLINK("http://codeforces.com/contest/236/problem/C","CF236-D2-C")</f>
        <v>CF236-D2-C</v>
      </c>
      <c r="C765" s="159"/>
      <c r="D765" s="159"/>
      <c r="E765" s="159"/>
      <c r="F765" s="159"/>
      <c r="G765" s="159"/>
      <c r="H765" s="160"/>
      <c r="I765" s="57">
        <f t="shared" si="11"/>
        <v>0</v>
      </c>
      <c r="J765" s="102"/>
      <c r="K765" s="101"/>
      <c r="L765" s="159"/>
      <c r="M765" s="293" t="str">
        <f>HYPERLINK("https://github.com/MeGaCrazy/CompetitiveProgramming/blob/2a3c686ba85081a14c9df160224fc1659f7f93ab/Timus/TIMUS_1362.cpp","Sol")</f>
        <v>Sol</v>
      </c>
      <c r="N765" s="383" t="s">
        <v>1383</v>
      </c>
      <c r="O765" s="383">
        <v>38</v>
      </c>
      <c r="P765" s="383">
        <v>5.5</v>
      </c>
      <c r="Q765" s="37" t="s">
        <v>1224</v>
      </c>
    </row>
    <row r="766" spans="1:17" ht="13.2">
      <c r="A766" s="83"/>
      <c r="B766" s="386" t="str">
        <f>HYPERLINK("http://codeforces.com/contest/1010/problem/C","CF1010-D1-C")</f>
        <v>CF1010-D1-C</v>
      </c>
      <c r="C766" s="159"/>
      <c r="D766" s="159"/>
      <c r="E766" s="159"/>
      <c r="F766" s="159"/>
      <c r="G766" s="159"/>
      <c r="H766" s="160"/>
      <c r="I766" s="57">
        <f t="shared" si="11"/>
        <v>0</v>
      </c>
      <c r="J766" s="102"/>
      <c r="K766" s="101"/>
      <c r="L766" s="159"/>
      <c r="M766" s="403" t="str">
        <f>HYPERLINK("https://github.com/SpeedOfMagic/CompetitiveProgramming/blob/master/CodeforcesGym/CF101864-GYM-L.cpp","Sol")</f>
        <v>Sol</v>
      </c>
      <c r="N766" s="383" t="s">
        <v>1411</v>
      </c>
      <c r="O766" s="383">
        <v>45</v>
      </c>
      <c r="P766" s="383">
        <v>5.5</v>
      </c>
      <c r="Q766" s="37" t="s">
        <v>1226</v>
      </c>
    </row>
    <row r="767" spans="1:17" ht="13.2">
      <c r="A767" s="83"/>
      <c r="B767" s="386" t="str">
        <f>HYPERLINK("https://beta.atcoder.jp/contests/agc026/tasks/agc026_b","AtCoder026-AGC-B")</f>
        <v>AtCoder026-AGC-B</v>
      </c>
      <c r="C767" s="159"/>
      <c r="D767" s="159"/>
      <c r="E767" s="159"/>
      <c r="F767" s="159"/>
      <c r="G767" s="159"/>
      <c r="H767" s="160"/>
      <c r="I767" s="57">
        <f t="shared" si="11"/>
        <v>0</v>
      </c>
      <c r="J767" s="96"/>
      <c r="K767" s="159"/>
      <c r="L767" s="405"/>
      <c r="M767" s="406"/>
      <c r="N767" s="383" t="s">
        <v>1412</v>
      </c>
      <c r="O767" s="383">
        <v>45</v>
      </c>
      <c r="P767" s="383">
        <v>5.5</v>
      </c>
      <c r="Q767" s="37" t="s">
        <v>1224</v>
      </c>
    </row>
    <row r="768" spans="1:17" ht="13.2">
      <c r="A768" s="83"/>
      <c r="B768" s="386" t="str">
        <f>HYPERLINK("https://www.spoj.com/problems/EASYMATH/","SPOJ EASYMATH")</f>
        <v>SPOJ EASYMATH</v>
      </c>
      <c r="C768" s="159"/>
      <c r="D768" s="159"/>
      <c r="E768" s="159"/>
      <c r="F768" s="159"/>
      <c r="G768" s="159"/>
      <c r="H768" s="160"/>
      <c r="I768" s="57">
        <f t="shared" si="11"/>
        <v>0</v>
      </c>
      <c r="J768" s="102"/>
      <c r="K768" s="56"/>
      <c r="L768" s="102"/>
      <c r="M768" s="293" t="str">
        <f>HYPERLINK("https://github.com/arvindr9/CompetitiveProgramming/blob/master/Hackerrank/HACKR%20house-location.cpp","Sol")</f>
        <v>Sol</v>
      </c>
      <c r="N768" s="383" t="s">
        <v>1425</v>
      </c>
      <c r="O768" s="383">
        <v>47</v>
      </c>
      <c r="P768" s="383">
        <v>5.5</v>
      </c>
      <c r="Q768" s="37" t="s">
        <v>1226</v>
      </c>
    </row>
    <row r="769" spans="1:17" ht="13.2">
      <c r="A769" s="83" t="s">
        <v>571</v>
      </c>
      <c r="B769" s="386" t="str">
        <f>HYPERLINK("http://codeforces.com/contest/371/problem/C","CF371-D2-C")</f>
        <v>CF371-D2-C</v>
      </c>
      <c r="C769" s="159"/>
      <c r="D769" s="159"/>
      <c r="E769" s="159"/>
      <c r="F769" s="159"/>
      <c r="G769" s="159"/>
      <c r="H769" s="160"/>
      <c r="I769" s="57">
        <f t="shared" si="11"/>
        <v>0</v>
      </c>
      <c r="J769" s="62"/>
      <c r="K769" s="56"/>
      <c r="L769" s="159"/>
      <c r="M769" s="403" t="str">
        <f>HYPERLINK("https://github.com/OmarHashim/Competitive-Programming/blob/master/UVA/10180.cpp","Sol")</f>
        <v>Sol</v>
      </c>
      <c r="N769" s="383" t="s">
        <v>1426</v>
      </c>
      <c r="O769" s="383">
        <v>47</v>
      </c>
      <c r="P769" s="383">
        <v>5.5</v>
      </c>
      <c r="Q769" s="37" t="s">
        <v>1224</v>
      </c>
    </row>
    <row r="770" spans="1:17" ht="13.2">
      <c r="A770" s="83" t="s">
        <v>570</v>
      </c>
      <c r="B770" s="386" t="str">
        <f>HYPERLINK("https://uva.onlinejudge.org/index.php?option=onlinejudge&amp;page=show_problem&amp;problem=1266","UVA 10325")</f>
        <v>UVA 10325</v>
      </c>
      <c r="C770" s="159"/>
      <c r="D770" s="159"/>
      <c r="E770" s="159"/>
      <c r="F770" s="159"/>
      <c r="G770" s="159"/>
      <c r="H770" s="160"/>
      <c r="I770" s="57">
        <f t="shared" si="11"/>
        <v>0</v>
      </c>
      <c r="J770" s="62"/>
      <c r="K770" s="56"/>
      <c r="L770" s="159"/>
      <c r="M770" s="403" t="str">
        <f>HYPERLINK("https://github.com/mostafa-saad/MyCompetitiveProgramming/blob/master/UVA/UVA_137.txt","Sol")</f>
        <v>Sol</v>
      </c>
      <c r="N770" s="383" t="s">
        <v>1446</v>
      </c>
      <c r="O770" s="383">
        <v>49</v>
      </c>
      <c r="P770" s="383">
        <v>5.5</v>
      </c>
      <c r="Q770" s="37" t="s">
        <v>1226</v>
      </c>
    </row>
    <row r="771" spans="1:17" ht="13.2">
      <c r="A771" s="83"/>
      <c r="B771" s="386" t="str">
        <f>HYPERLINK("https://codeforces.com/gym/101933/problem/K","CF101933-GYM-K")</f>
        <v>CF101933-GYM-K</v>
      </c>
      <c r="C771" s="159"/>
      <c r="D771" s="159"/>
      <c r="E771" s="159"/>
      <c r="F771" s="159"/>
      <c r="G771" s="159"/>
      <c r="H771" s="160"/>
      <c r="I771" s="57">
        <f t="shared" si="11"/>
        <v>0</v>
      </c>
      <c r="J771" s="62"/>
      <c r="K771" s="56"/>
      <c r="L771" s="159"/>
      <c r="M771" s="395"/>
      <c r="N771" s="383" t="s">
        <v>1461</v>
      </c>
      <c r="O771" s="383">
        <v>55</v>
      </c>
      <c r="P771" s="383">
        <v>5.5</v>
      </c>
      <c r="Q771" s="37" t="s">
        <v>1229</v>
      </c>
    </row>
    <row r="772" spans="1:17" ht="13.2">
      <c r="A772" s="83"/>
      <c r="B772" s="386" t="str">
        <f>HYPERLINK("http://codeforces.com/contest/372/problem/B","CF372-D1-B")</f>
        <v>CF372-D1-B</v>
      </c>
      <c r="C772" s="159"/>
      <c r="D772" s="159"/>
      <c r="E772" s="159"/>
      <c r="F772" s="159"/>
      <c r="G772" s="159"/>
      <c r="H772" s="160"/>
      <c r="I772" s="57">
        <f t="shared" si="11"/>
        <v>0</v>
      </c>
      <c r="J772" s="62"/>
      <c r="K772" s="56"/>
      <c r="L772" s="159"/>
      <c r="M772" s="402"/>
      <c r="N772" s="383" t="s">
        <v>1462</v>
      </c>
      <c r="O772" s="383">
        <v>55</v>
      </c>
      <c r="P772" s="383">
        <v>5.5</v>
      </c>
      <c r="Q772" s="37" t="s">
        <v>1226</v>
      </c>
    </row>
    <row r="773" spans="1:17" ht="13.2">
      <c r="A773" s="83"/>
      <c r="B773" s="83" t="s">
        <v>981</v>
      </c>
      <c r="C773" s="159"/>
      <c r="D773" s="159"/>
      <c r="E773" s="159"/>
      <c r="F773" s="159"/>
      <c r="G773" s="159"/>
      <c r="H773" s="160"/>
      <c r="I773" s="57">
        <f t="shared" si="11"/>
        <v>0</v>
      </c>
      <c r="J773" s="62"/>
      <c r="K773" s="56"/>
      <c r="L773" s="159"/>
      <c r="M773" s="406"/>
      <c r="N773" s="383" t="s">
        <v>1463</v>
      </c>
      <c r="O773" s="383">
        <v>55</v>
      </c>
      <c r="P773" s="383">
        <v>5.5</v>
      </c>
      <c r="Q773" s="37" t="s">
        <v>1226</v>
      </c>
    </row>
    <row r="774" spans="1:17" ht="13.2">
      <c r="A774" s="83"/>
      <c r="B774" s="386" t="str">
        <f>HYPERLINK("https://codeforces.com/gym/101992/problem/D","CF101992-GYM-D")</f>
        <v>CF101992-GYM-D</v>
      </c>
      <c r="C774" s="159"/>
      <c r="D774" s="159"/>
      <c r="E774" s="159"/>
      <c r="F774" s="159"/>
      <c r="G774" s="159"/>
      <c r="H774" s="160"/>
      <c r="I774" s="57">
        <f t="shared" si="11"/>
        <v>0</v>
      </c>
      <c r="J774" s="62"/>
      <c r="K774" s="56"/>
      <c r="L774" s="159"/>
      <c r="M774" s="406"/>
      <c r="N774" s="383" t="s">
        <v>1456</v>
      </c>
      <c r="O774" s="383">
        <v>55</v>
      </c>
      <c r="P774" s="383">
        <v>5.5</v>
      </c>
      <c r="Q774" s="37" t="s">
        <v>1226</v>
      </c>
    </row>
    <row r="775" spans="1:17" ht="13.2">
      <c r="A775" s="83" t="s">
        <v>961</v>
      </c>
      <c r="B775" s="386" t="str">
        <f>HYPERLINK("https://uva.onlinejudge.org/index.php?option=com_onlinejudge&amp;Itemid=8&amp;page=show_problem&amp;problem=668","UVA 727")</f>
        <v>UVA 727</v>
      </c>
      <c r="C775" s="159"/>
      <c r="D775" s="159"/>
      <c r="E775" s="159"/>
      <c r="F775" s="159"/>
      <c r="G775" s="159"/>
      <c r="H775" s="160"/>
      <c r="I775" s="57">
        <f t="shared" ref="I775:I838" si="12">SUM(E775:H775)</f>
        <v>0</v>
      </c>
      <c r="J775" s="96"/>
      <c r="K775" s="159"/>
      <c r="L775" s="159"/>
      <c r="M775" s="293" t="str">
        <f>HYPERLINK("https://github.com/jebouin/CompetitiveProgramming/blob/master/UVA/UVA%2010982.cpp","Sol")</f>
        <v>Sol</v>
      </c>
      <c r="N775" s="383" t="s">
        <v>1464</v>
      </c>
      <c r="O775" s="383">
        <v>55</v>
      </c>
      <c r="P775" s="383">
        <v>5.5</v>
      </c>
      <c r="Q775" s="37" t="s">
        <v>1226</v>
      </c>
    </row>
    <row r="776" spans="1:17" ht="13.2">
      <c r="A776" s="83" t="s">
        <v>462</v>
      </c>
      <c r="B776" s="386" t="str">
        <f>HYPERLINK("http://acm.timus.ru/problem.aspx?space=1&amp;num=1349","TIMUS 1349")</f>
        <v>TIMUS 1349</v>
      </c>
      <c r="C776" s="159"/>
      <c r="D776" s="159"/>
      <c r="E776" s="159"/>
      <c r="F776" s="159"/>
      <c r="G776" s="159"/>
      <c r="H776" s="160"/>
      <c r="I776" s="57">
        <f t="shared" si="12"/>
        <v>0</v>
      </c>
      <c r="J776" s="62"/>
      <c r="K776" s="56"/>
      <c r="L776" s="62"/>
      <c r="M776" s="406"/>
      <c r="N776" s="383" t="s">
        <v>1454</v>
      </c>
      <c r="O776" s="383">
        <v>55</v>
      </c>
      <c r="P776" s="383">
        <v>5.5</v>
      </c>
      <c r="Q776" s="37" t="s">
        <v>1226</v>
      </c>
    </row>
    <row r="777" spans="1:17" ht="13.2">
      <c r="A777" s="83" t="s">
        <v>584</v>
      </c>
      <c r="B777" s="386" t="str">
        <f>HYPERLINK("https://uva.onlinejudge.org/index.php?option=onlinejudge&amp;page=show_problem&amp;problem=1243","UVA 10302")</f>
        <v>UVA 10302</v>
      </c>
      <c r="C777" s="159"/>
      <c r="D777" s="159"/>
      <c r="E777" s="159"/>
      <c r="F777" s="159"/>
      <c r="G777" s="159"/>
      <c r="H777" s="160"/>
      <c r="I777" s="57">
        <f t="shared" si="12"/>
        <v>0</v>
      </c>
      <c r="J777" s="62"/>
      <c r="K777" s="56"/>
      <c r="L777" s="159"/>
      <c r="M777" s="399"/>
      <c r="N777" s="383" t="s">
        <v>1475</v>
      </c>
      <c r="O777" s="383">
        <v>57</v>
      </c>
      <c r="P777" s="383">
        <v>5.5</v>
      </c>
      <c r="Q777" s="37" t="s">
        <v>1224</v>
      </c>
    </row>
    <row r="778" spans="1:17" ht="13.2">
      <c r="A778" s="83"/>
      <c r="B778" s="386" t="str">
        <f>HYPERLINK("https://www.hackerrank.com/contests/infinitum18/challenges/tower-3-coloring","HACKR tower-3-coloring")</f>
        <v>HACKR tower-3-coloring</v>
      </c>
      <c r="C778" s="159"/>
      <c r="D778" s="159"/>
      <c r="E778" s="159"/>
      <c r="F778" s="159"/>
      <c r="G778" s="159"/>
      <c r="H778" s="160"/>
      <c r="I778" s="57">
        <f t="shared" si="12"/>
        <v>0</v>
      </c>
      <c r="J778" s="62"/>
      <c r="K778" s="56"/>
      <c r="L778" s="159"/>
      <c r="M778" s="417" t="str">
        <f>HYPERLINK("https://www.geeksforgeeks.org/0-1-bfs-shortest-path-binary-graph/","Learn 0/1 BFS")</f>
        <v>Learn 0/1 BFS</v>
      </c>
      <c r="N778" s="383" t="s">
        <v>1476</v>
      </c>
      <c r="O778" s="383">
        <v>57</v>
      </c>
      <c r="P778" s="383">
        <v>5.5</v>
      </c>
      <c r="Q778" s="37" t="s">
        <v>1224</v>
      </c>
    </row>
    <row r="779" spans="1:17" ht="13.2">
      <c r="A779" s="83" t="s">
        <v>586</v>
      </c>
      <c r="B779" s="386" t="str">
        <f>HYPERLINK("https://uva.onlinejudge.org/index.php?option=onlinejudge&amp;page=show_problem&amp;problem=1450","UVA 10509")</f>
        <v>UVA 10509</v>
      </c>
      <c r="C779" s="159"/>
      <c r="D779" s="159"/>
      <c r="E779" s="159"/>
      <c r="F779" s="159"/>
      <c r="G779" s="159"/>
      <c r="H779" s="160"/>
      <c r="I779" s="57">
        <f t="shared" si="12"/>
        <v>0</v>
      </c>
      <c r="J779" s="62"/>
      <c r="K779" s="56"/>
      <c r="L779" s="159"/>
      <c r="M779" s="406"/>
      <c r="N779" s="383" t="s">
        <v>1477</v>
      </c>
      <c r="O779" s="383">
        <v>57</v>
      </c>
      <c r="P779" s="383">
        <v>5.5</v>
      </c>
      <c r="Q779" s="37" t="s">
        <v>1220</v>
      </c>
    </row>
    <row r="780" spans="1:17" ht="13.2">
      <c r="A780" s="83" t="s">
        <v>585</v>
      </c>
      <c r="B780" s="386" t="str">
        <f>HYPERLINK("https://uva.onlinejudge.org/index.php?option=com_onlinejudge&amp;Itemid=8&amp;page=show_problem&amp;problem=439","UVA 498")</f>
        <v>UVA 498</v>
      </c>
      <c r="C780" s="159"/>
      <c r="D780" s="159"/>
      <c r="E780" s="159"/>
      <c r="F780" s="159"/>
      <c r="G780" s="159"/>
      <c r="H780" s="160"/>
      <c r="I780" s="57">
        <f t="shared" si="12"/>
        <v>0</v>
      </c>
      <c r="J780" s="62"/>
      <c r="K780" s="56"/>
      <c r="L780" s="159"/>
      <c r="M780" s="545"/>
      <c r="N780" s="383" t="s">
        <v>1486</v>
      </c>
      <c r="O780" s="383">
        <v>60</v>
      </c>
      <c r="P780" s="383">
        <v>5.5</v>
      </c>
      <c r="Q780" s="37" t="s">
        <v>1226</v>
      </c>
    </row>
    <row r="781" spans="1:17" ht="13.2">
      <c r="A781" s="83" t="s">
        <v>605</v>
      </c>
      <c r="B781" s="386" t="str">
        <f>HYPERLINK("http://codeforces.com/contest/450/problem/B","CF450-D2-B")</f>
        <v>CF450-D2-B</v>
      </c>
      <c r="C781" s="159"/>
      <c r="D781" s="159"/>
      <c r="E781" s="159"/>
      <c r="F781" s="159"/>
      <c r="G781" s="159"/>
      <c r="H781" s="160"/>
      <c r="I781" s="57">
        <f t="shared" si="12"/>
        <v>0</v>
      </c>
      <c r="J781" s="62"/>
      <c r="K781" s="56"/>
      <c r="L781" s="159"/>
      <c r="M781" s="404"/>
      <c r="N781" s="383" t="s">
        <v>1480</v>
      </c>
      <c r="O781" s="383">
        <v>60</v>
      </c>
      <c r="P781" s="399">
        <v>5.5</v>
      </c>
    </row>
    <row r="782" spans="1:17" ht="13.2">
      <c r="A782" s="83" t="s">
        <v>887</v>
      </c>
      <c r="B782" s="386" t="str">
        <f>HYPERLINK("https://uva.onlinejudge.org/index.php?option=com_onlinejudge&amp;Itemid=8&amp;page=show_problem&amp;problem=407","UVA 466")</f>
        <v>UVA 466</v>
      </c>
      <c r="C782" s="159"/>
      <c r="D782" s="159"/>
      <c r="E782" s="159"/>
      <c r="F782" s="159"/>
      <c r="G782" s="159"/>
      <c r="H782" s="160"/>
      <c r="I782" s="57">
        <f t="shared" si="12"/>
        <v>0</v>
      </c>
      <c r="J782" s="102"/>
      <c r="K782" s="102"/>
      <c r="L782" s="96"/>
      <c r="M782" s="404"/>
      <c r="N782" s="383" t="s">
        <v>1480</v>
      </c>
      <c r="O782" s="383">
        <v>60</v>
      </c>
      <c r="P782" s="383">
        <v>5.5</v>
      </c>
      <c r="Q782" s="543"/>
    </row>
    <row r="783" spans="1:17" ht="13.2">
      <c r="A783" s="83" t="s">
        <v>746</v>
      </c>
      <c r="B783" s="386" t="str">
        <f>HYPERLINK("http://codeforces.com/contest/202/problem/C","CF202-D2-C")</f>
        <v>CF202-D2-C</v>
      </c>
      <c r="C783" s="159"/>
      <c r="D783" s="159"/>
      <c r="E783" s="159"/>
      <c r="F783" s="159"/>
      <c r="G783" s="159"/>
      <c r="H783" s="160"/>
      <c r="I783" s="57">
        <f t="shared" si="12"/>
        <v>0</v>
      </c>
      <c r="J783" s="62"/>
      <c r="K783" s="56"/>
      <c r="L783" s="96"/>
      <c r="M783" s="402"/>
      <c r="N783" s="383" t="s">
        <v>1487</v>
      </c>
      <c r="O783" s="383">
        <v>60</v>
      </c>
      <c r="P783" s="383">
        <v>5.5</v>
      </c>
    </row>
    <row r="784" spans="1:17" ht="13.2">
      <c r="A784" s="83" t="s">
        <v>1106</v>
      </c>
      <c r="B784" s="386" t="str">
        <f>HYPERLINK("http://www.spoj.com/problems/DCEPC12E","SPOJ DCEPC12E")</f>
        <v>SPOJ DCEPC12E</v>
      </c>
      <c r="C784" s="159"/>
      <c r="D784" s="159"/>
      <c r="E784" s="159"/>
      <c r="F784" s="159"/>
      <c r="G784" s="159"/>
      <c r="H784" s="160"/>
      <c r="I784" s="57">
        <f t="shared" si="12"/>
        <v>0</v>
      </c>
      <c r="J784" s="62"/>
      <c r="K784" s="56"/>
      <c r="L784" s="405"/>
      <c r="M784" s="293" t="str">
        <f>HYPERLINK("https://github.com/ilyesG/Competitive-Programming/blob/master/UVA/UVA%2012047.cpp","Sol")</f>
        <v>Sol</v>
      </c>
      <c r="N784" s="383" t="s">
        <v>1502</v>
      </c>
      <c r="O784" s="383">
        <v>64</v>
      </c>
      <c r="P784" s="383">
        <v>5.5</v>
      </c>
      <c r="Q784" s="37" t="s">
        <v>1226</v>
      </c>
    </row>
    <row r="785" spans="1:17" ht="13.2">
      <c r="A785" s="83" t="s">
        <v>207</v>
      </c>
      <c r="B785" s="386" t="str">
        <f>HYPERLINK("https://uva.onlinejudge.org/index.php?option=onlinejudge&amp;page=show_problem&amp;problem=349","UVA 408")</f>
        <v>UVA 408</v>
      </c>
      <c r="C785" s="159"/>
      <c r="D785" s="159"/>
      <c r="E785" s="159"/>
      <c r="F785" s="159"/>
      <c r="G785" s="159"/>
      <c r="H785" s="160"/>
      <c r="I785" s="57">
        <f t="shared" si="12"/>
        <v>0</v>
      </c>
      <c r="J785" s="102"/>
      <c r="K785" s="56"/>
      <c r="L785" s="102"/>
      <c r="M785" s="293" t="str">
        <f>HYPERLINK("https://ideone.com/x8zpRc","Sol - read the statement clarification")</f>
        <v>Sol - read the statement clarification</v>
      </c>
      <c r="N785" s="383" t="s">
        <v>1506</v>
      </c>
      <c r="O785" s="383">
        <v>64</v>
      </c>
      <c r="P785" s="383">
        <v>5.5</v>
      </c>
      <c r="Q785" s="37" t="s">
        <v>1226</v>
      </c>
    </row>
    <row r="786" spans="1:17" ht="13.2">
      <c r="A786" s="83" t="s">
        <v>976</v>
      </c>
      <c r="B786" s="386" t="str">
        <f>HYPERLINK("https://uva.onlinejudge.org/index.php?option=onlinejudge&amp;page=show_problem&amp;problem=2096","UVA 11155")</f>
        <v>UVA 11155</v>
      </c>
      <c r="C786" s="159"/>
      <c r="D786" s="159"/>
      <c r="E786" s="159"/>
      <c r="F786" s="159"/>
      <c r="G786" s="159"/>
      <c r="H786" s="160"/>
      <c r="I786" s="57">
        <f t="shared" si="12"/>
        <v>0</v>
      </c>
      <c r="J786" s="62"/>
      <c r="K786" s="56"/>
      <c r="L786" s="159"/>
      <c r="M786" s="403" t="str">
        <f>HYPERLINK("https://github.com/BRAINOOO/CompetitiveProgramming/blob/master/UVA/V-116/UVA%2011635.Cpp","Sol")</f>
        <v>Sol</v>
      </c>
      <c r="N786" s="383" t="s">
        <v>1502</v>
      </c>
      <c r="O786" s="383">
        <v>64</v>
      </c>
      <c r="P786" s="383">
        <v>5.5</v>
      </c>
    </row>
    <row r="787" spans="1:17" ht="13.2">
      <c r="A787" s="83" t="s">
        <v>801</v>
      </c>
      <c r="B787" s="386" t="str">
        <f>HYPERLINK("http://codeforces.com/contest/337/problem/C","CF337-D2-C")</f>
        <v>CF337-D2-C</v>
      </c>
      <c r="C787" s="159"/>
      <c r="D787" s="159"/>
      <c r="E787" s="159"/>
      <c r="F787" s="159"/>
      <c r="G787" s="159"/>
      <c r="H787" s="160"/>
      <c r="I787" s="57">
        <f t="shared" si="12"/>
        <v>0</v>
      </c>
      <c r="J787" s="62"/>
      <c r="K787" s="56"/>
      <c r="L787" s="159"/>
      <c r="M787" s="406"/>
      <c r="N787" s="383" t="s">
        <v>1510</v>
      </c>
      <c r="O787" s="383">
        <v>65</v>
      </c>
      <c r="P787" s="383">
        <v>5.5</v>
      </c>
      <c r="Q787" s="37" t="s">
        <v>1224</v>
      </c>
    </row>
    <row r="788" spans="1:17" ht="13.2">
      <c r="A788" s="83" t="s">
        <v>662</v>
      </c>
      <c r="B788" s="386" t="str">
        <f>HYPERLINK("https://uva.onlinejudge.org/index.php?option=onlinejudge&amp;page=show_problem&amp;problem=1432","UVA 10491")</f>
        <v>UVA 10491</v>
      </c>
      <c r="C788" s="159"/>
      <c r="D788" s="159"/>
      <c r="E788" s="159"/>
      <c r="F788" s="159"/>
      <c r="G788" s="159"/>
      <c r="H788" s="160"/>
      <c r="I788" s="57">
        <f t="shared" si="12"/>
        <v>0</v>
      </c>
      <c r="J788" s="62"/>
      <c r="K788" s="56"/>
      <c r="L788" s="159"/>
      <c r="M788" s="403" t="str">
        <f>HYPERLINK("https://github.com/abdullaAshraf/Problem-Solving/blob/master/UVA/10987.cpp","Sol")</f>
        <v>Sol</v>
      </c>
      <c r="N788" s="383" t="s">
        <v>1517</v>
      </c>
      <c r="O788" s="383">
        <v>68</v>
      </c>
      <c r="P788" s="383">
        <v>5.5</v>
      </c>
      <c r="Q788" s="37" t="s">
        <v>1251</v>
      </c>
    </row>
    <row r="789" spans="1:17" ht="13.2">
      <c r="A789" s="83" t="s">
        <v>663</v>
      </c>
      <c r="B789" s="386" t="str">
        <f>HYPERLINK("https://uva.onlinejudge.org/index.php?option=com_onlinejudge&amp;Itemid=8&amp;page=show_problem&amp;problem=997","UVA 10056")</f>
        <v>UVA 10056</v>
      </c>
      <c r="C789" s="159"/>
      <c r="D789" s="159"/>
      <c r="E789" s="159"/>
      <c r="F789" s="159"/>
      <c r="G789" s="159"/>
      <c r="H789" s="160"/>
      <c r="I789" s="57">
        <f t="shared" si="12"/>
        <v>0</v>
      </c>
      <c r="J789" s="62"/>
      <c r="K789" s="56"/>
      <c r="L789" s="159"/>
      <c r="M789" s="389" t="str">
        <f>HYPERLINK("https://www.youtube.com/watch?v=OWlJ8chpit0","Video Solution - Dr Mostafa Saad")</f>
        <v>Video Solution - Dr Mostafa Saad</v>
      </c>
      <c r="N789" s="383" t="s">
        <v>1518</v>
      </c>
      <c r="O789" s="383">
        <v>68</v>
      </c>
      <c r="P789" s="383">
        <v>5.5</v>
      </c>
      <c r="Q789" s="37" t="s">
        <v>1224</v>
      </c>
    </row>
    <row r="790" spans="1:17" ht="13.2">
      <c r="A790" s="83"/>
      <c r="B790" s="386" t="str">
        <f>HYPERLINK("https://www.hackerrank.com/challenges/sherlock-and-probability","HACKR sherlock-and-probability")</f>
        <v>HACKR sherlock-and-probability</v>
      </c>
      <c r="C790" s="159"/>
      <c r="D790" s="159"/>
      <c r="E790" s="159"/>
      <c r="F790" s="159"/>
      <c r="G790" s="159"/>
      <c r="H790" s="160"/>
      <c r="I790" s="57">
        <f t="shared" si="12"/>
        <v>0</v>
      </c>
      <c r="J790" s="102"/>
      <c r="K790" s="101"/>
      <c r="L790" s="159"/>
      <c r="M790" s="293" t="str">
        <f>HYPERLINK("https://github.com/BRAINOOOO/CompetitiveProgramming/blob/d60a5d1364a8f6aba3cd785c1e5d7825bf3818bc/UVA/UVA%20563.Cpp","Sol")</f>
        <v>Sol</v>
      </c>
      <c r="N790" s="383" t="s">
        <v>1522</v>
      </c>
      <c r="O790" s="383">
        <v>71</v>
      </c>
      <c r="P790" s="383">
        <v>5.5</v>
      </c>
      <c r="Q790" s="37" t="s">
        <v>1251</v>
      </c>
    </row>
    <row r="791" spans="1:17" ht="13.2">
      <c r="A791" s="83" t="s">
        <v>665</v>
      </c>
      <c r="B791" s="386" t="str">
        <f>HYPERLINK("https://uva.onlinejudge.org/index.php?option=com_onlinejudge&amp;Itemid=8&amp;page=show_problem&amp;problem=2122","UVA 11181")</f>
        <v>UVA 11181</v>
      </c>
      <c r="C791" s="159"/>
      <c r="D791" s="159"/>
      <c r="E791" s="159"/>
      <c r="F791" s="159"/>
      <c r="G791" s="159"/>
      <c r="H791" s="160"/>
      <c r="I791" s="57">
        <f t="shared" si="12"/>
        <v>0</v>
      </c>
      <c r="J791" s="62"/>
      <c r="K791" s="56"/>
      <c r="L791" s="159"/>
      <c r="M791" s="403" t="str">
        <f>HYPERLINK("https://github.com/mostafa-saad/MyCompetitiveProgramming/blob/master/SPOJ/SPOJ_IM.txt","Sol")</f>
        <v>Sol</v>
      </c>
      <c r="N791" s="383" t="s">
        <v>1523</v>
      </c>
      <c r="O791" s="383">
        <v>71</v>
      </c>
      <c r="P791" s="383">
        <v>5.5</v>
      </c>
      <c r="Q791" s="37" t="s">
        <v>1224</v>
      </c>
    </row>
    <row r="792" spans="1:17" ht="13.2">
      <c r="A792" s="83" t="s">
        <v>666</v>
      </c>
      <c r="B792" s="386" t="str">
        <f>HYPERLINK("https://uva.onlinejudge.org/index.php?option=com_onlinejudge&amp;Itemid=8&amp;page=show_problem&amp;problem=2675","UVA 11628")</f>
        <v>UVA 11628</v>
      </c>
      <c r="C792" s="159"/>
      <c r="D792" s="159"/>
      <c r="E792" s="159"/>
      <c r="F792" s="159"/>
      <c r="G792" s="159"/>
      <c r="H792" s="160"/>
      <c r="I792" s="57">
        <f t="shared" si="12"/>
        <v>0</v>
      </c>
      <c r="J792" s="62"/>
      <c r="K792" s="56"/>
      <c r="L792" s="159"/>
      <c r="M792" s="403" t="str">
        <f>HYPERLINK("https://github.com/BRAINOOOO/CompetitiveProgramming/blob/master/UVA/V-7/UVA%20753.Cpp","Sol")</f>
        <v>Sol</v>
      </c>
      <c r="N792" s="383" t="s">
        <v>1524</v>
      </c>
      <c r="O792" s="383">
        <v>71</v>
      </c>
      <c r="P792" s="383">
        <v>5.5</v>
      </c>
      <c r="Q792" s="37" t="s">
        <v>1224</v>
      </c>
    </row>
    <row r="793" spans="1:17" ht="13.2">
      <c r="A793" s="83" t="s">
        <v>987</v>
      </c>
      <c r="B793" s="386" t="str">
        <f>HYPERLINK("http://codeforces.com/contest/186/problem/D","CF186-D2-D")</f>
        <v>CF186-D2-D</v>
      </c>
      <c r="C793" s="159"/>
      <c r="D793" s="159"/>
      <c r="E793" s="159"/>
      <c r="F793" s="159"/>
      <c r="G793" s="159"/>
      <c r="H793" s="160"/>
      <c r="I793" s="57">
        <f t="shared" si="12"/>
        <v>0</v>
      </c>
      <c r="J793" s="62"/>
      <c r="K793" s="56"/>
      <c r="L793" s="159"/>
      <c r="M793" s="403" t="str">
        <f>HYPERLINK("https://github.com/ilyesG/Competitive-Programming/blob/master/UVA/UVA%201194.cpp","Sol")</f>
        <v>Sol</v>
      </c>
      <c r="N793" s="383" t="s">
        <v>1528</v>
      </c>
      <c r="O793" s="383">
        <v>72</v>
      </c>
      <c r="P793" s="383">
        <v>5.5</v>
      </c>
      <c r="Q793" s="37" t="s">
        <v>1251</v>
      </c>
    </row>
    <row r="794" spans="1:17" ht="13.2">
      <c r="A794" s="83"/>
      <c r="B794" s="386" t="str">
        <f>HYPERLINK("http://codeforces.com/gym/101864/problem/A","CF101864-GYM-A")</f>
        <v>CF101864-GYM-A</v>
      </c>
      <c r="C794" s="159"/>
      <c r="D794" s="159"/>
      <c r="E794" s="159"/>
      <c r="F794" s="159"/>
      <c r="G794" s="159"/>
      <c r="H794" s="160"/>
      <c r="I794" s="57">
        <f t="shared" si="12"/>
        <v>0</v>
      </c>
      <c r="J794" s="62"/>
      <c r="K794" s="56"/>
      <c r="L794" s="405"/>
      <c r="M794" s="403" t="str">
        <f>HYPERLINK("https://github.com/mostafa-saad/MyCompetitiveProgramming/blob/master/UVA/UVA_10349.txt","Sol - 2 ways")</f>
        <v>Sol - 2 ways</v>
      </c>
      <c r="N794" s="383" t="s">
        <v>1529</v>
      </c>
      <c r="O794" s="383">
        <v>72</v>
      </c>
      <c r="P794" s="383">
        <v>5.5</v>
      </c>
      <c r="Q794" s="37" t="s">
        <v>1226</v>
      </c>
    </row>
    <row r="795" spans="1:17" ht="13.2">
      <c r="A795" s="83"/>
      <c r="B795" s="83" t="s">
        <v>1020</v>
      </c>
      <c r="C795" s="159"/>
      <c r="D795" s="159"/>
      <c r="E795" s="159"/>
      <c r="F795" s="159"/>
      <c r="G795" s="159"/>
      <c r="H795" s="160"/>
      <c r="I795" s="57">
        <f t="shared" si="12"/>
        <v>0</v>
      </c>
      <c r="J795" s="96"/>
      <c r="K795" s="159"/>
      <c r="L795" s="405"/>
      <c r="M795" s="403" t="str">
        <f>HYPERLINK("https://github.com/mostafa-saad/MyCompetitiveProgramming/blob/master/UVA/UVA_11159.txt","Sol")</f>
        <v>Sol</v>
      </c>
      <c r="N795" s="383" t="s">
        <v>1530</v>
      </c>
      <c r="O795" s="383">
        <v>72</v>
      </c>
      <c r="P795" s="383">
        <v>5.5</v>
      </c>
      <c r="Q795" s="37" t="s">
        <v>1226</v>
      </c>
    </row>
    <row r="796" spans="1:17" ht="13.2">
      <c r="A796" s="83" t="s">
        <v>667</v>
      </c>
      <c r="B796" s="386" t="str">
        <f>HYPERLINK("https://uva.onlinejudge.org/index.php?option=com_onlinejudge&amp;Itemid=8&amp;page=show_problem&amp;problem=3904","UVA 12461")</f>
        <v>UVA 12461</v>
      </c>
      <c r="C796" s="159"/>
      <c r="D796" s="159"/>
      <c r="E796" s="159"/>
      <c r="F796" s="159"/>
      <c r="G796" s="159"/>
      <c r="H796" s="160"/>
      <c r="I796" s="57">
        <f t="shared" si="12"/>
        <v>0</v>
      </c>
      <c r="J796" s="62"/>
      <c r="K796" s="56"/>
      <c r="L796" s="159"/>
      <c r="M796" s="403" t="str">
        <f>HYPERLINK("https://github.com/MohamedNabil97/CompetitiveProgramming/blob/master/TopCoder/SRM447-D1-500.cpp","Don't use DP. Check it later in editorial. Sol")</f>
        <v>Don't use DP. Check it later in editorial. Sol</v>
      </c>
      <c r="N796" s="383" t="s">
        <v>1535</v>
      </c>
      <c r="O796" s="383">
        <v>74</v>
      </c>
      <c r="P796" s="383">
        <v>5.5</v>
      </c>
      <c r="Q796" s="37" t="s">
        <v>1226</v>
      </c>
    </row>
    <row r="797" spans="1:17" ht="13.2">
      <c r="A797" s="83" t="s">
        <v>1175</v>
      </c>
      <c r="B797" s="386" t="str">
        <f>HYPERLINK("https://uva.onlinejudge.org/index.php?option=onlinejudge&amp;page=show_problem&amp;problem=2321","UVa 11346")</f>
        <v>UVa 11346</v>
      </c>
      <c r="C797" s="159"/>
      <c r="D797" s="159"/>
      <c r="E797" s="159"/>
      <c r="F797" s="159"/>
      <c r="G797" s="159"/>
      <c r="H797" s="160"/>
      <c r="I797" s="57">
        <f t="shared" si="12"/>
        <v>0</v>
      </c>
      <c r="J797" s="96"/>
      <c r="K797" s="159"/>
      <c r="L797" s="159"/>
      <c r="M797" s="406"/>
      <c r="N797" s="383" t="s">
        <v>1547</v>
      </c>
      <c r="O797" s="383">
        <v>77</v>
      </c>
      <c r="P797" s="383">
        <v>5.5</v>
      </c>
      <c r="Q797" s="37" t="s">
        <v>1224</v>
      </c>
    </row>
    <row r="798" spans="1:17" ht="13.2">
      <c r="A798" s="83"/>
      <c r="B798" s="83" t="s">
        <v>1058</v>
      </c>
      <c r="C798" s="159"/>
      <c r="D798" s="159"/>
      <c r="E798" s="159"/>
      <c r="F798" s="159"/>
      <c r="G798" s="159"/>
      <c r="H798" s="160"/>
      <c r="I798" s="57">
        <f t="shared" si="12"/>
        <v>0</v>
      </c>
      <c r="J798" s="102"/>
      <c r="K798" s="101"/>
      <c r="L798" s="159"/>
      <c r="M798" s="293" t="str">
        <f>HYPERLINK("https://github.com/abdullaAshraf/Problem-Solving/blob/master/UVA/12167.cpp","Sol")</f>
        <v>Sol</v>
      </c>
      <c r="N798" s="383" t="s">
        <v>1544</v>
      </c>
      <c r="O798" s="383">
        <v>77</v>
      </c>
      <c r="P798" s="383">
        <v>5.5</v>
      </c>
      <c r="Q798" s="543"/>
    </row>
    <row r="799" spans="1:17" ht="13.2">
      <c r="A799" s="83"/>
      <c r="B799" s="386" t="str">
        <f>HYPERLINK("http://codeforces.com/contest/26/problem/D","CF26-D12-D")</f>
        <v>CF26-D12-D</v>
      </c>
      <c r="C799" s="159"/>
      <c r="D799" s="159"/>
      <c r="E799" s="159"/>
      <c r="F799" s="159"/>
      <c r="G799" s="159"/>
      <c r="H799" s="160"/>
      <c r="I799" s="57">
        <f t="shared" si="12"/>
        <v>0</v>
      </c>
      <c r="J799" s="102"/>
      <c r="K799" s="101"/>
      <c r="L799" s="159"/>
      <c r="M799" s="399"/>
      <c r="N799" s="383" t="s">
        <v>1581</v>
      </c>
      <c r="O799" s="383">
        <v>84</v>
      </c>
      <c r="P799" s="383">
        <v>5.5</v>
      </c>
      <c r="Q799" s="37" t="s">
        <v>1226</v>
      </c>
    </row>
    <row r="800" spans="1:17" ht="13.2">
      <c r="A800" s="83"/>
      <c r="B800" s="386" t="str">
        <f>HYPERLINK("http://codeforces.com/problemset/problem/442/B","CF442-D1-B")</f>
        <v>CF442-D1-B</v>
      </c>
      <c r="C800" s="159"/>
      <c r="D800" s="159"/>
      <c r="E800" s="159"/>
      <c r="F800" s="159"/>
      <c r="G800" s="159"/>
      <c r="H800" s="160"/>
      <c r="I800" s="57">
        <f t="shared" si="12"/>
        <v>0</v>
      </c>
      <c r="J800" s="102"/>
      <c r="K800" s="101"/>
      <c r="L800" s="159"/>
      <c r="M800" s="401"/>
      <c r="N800" s="383" t="s">
        <v>1563</v>
      </c>
      <c r="O800" s="383">
        <v>84</v>
      </c>
      <c r="P800" s="383">
        <v>5.5</v>
      </c>
      <c r="Q800" s="37" t="s">
        <v>1226</v>
      </c>
    </row>
    <row r="801" spans="1:17" ht="13.2">
      <c r="A801" s="83"/>
      <c r="B801" s="83" t="s">
        <v>1092</v>
      </c>
      <c r="C801" s="159"/>
      <c r="D801" s="159"/>
      <c r="E801" s="159"/>
      <c r="F801" s="159"/>
      <c r="G801" s="159"/>
      <c r="H801" s="160"/>
      <c r="I801" s="57">
        <f t="shared" si="12"/>
        <v>0</v>
      </c>
      <c r="J801" s="62"/>
      <c r="K801" s="56"/>
      <c r="L801" s="159"/>
      <c r="M801" s="404"/>
      <c r="N801" s="383" t="s">
        <v>1582</v>
      </c>
      <c r="O801" s="383">
        <v>84</v>
      </c>
      <c r="P801" s="383">
        <v>5.5</v>
      </c>
      <c r="Q801" s="37" t="s">
        <v>1226</v>
      </c>
    </row>
    <row r="802" spans="1:17" ht="13.2">
      <c r="A802" s="83"/>
      <c r="B802" s="386" t="str">
        <f>HYPERLINK("http://codeforces.com/contest/513/problem/C","CF513-D12-C")</f>
        <v>CF513-D12-C</v>
      </c>
      <c r="C802" s="159"/>
      <c r="D802" s="159"/>
      <c r="E802" s="159"/>
      <c r="F802" s="159"/>
      <c r="G802" s="159"/>
      <c r="H802" s="160"/>
      <c r="I802" s="57">
        <f t="shared" si="12"/>
        <v>0</v>
      </c>
      <c r="J802" s="96"/>
      <c r="K802" s="159"/>
      <c r="L802" s="405"/>
      <c r="M802" s="404"/>
      <c r="N802" s="383" t="s">
        <v>1583</v>
      </c>
      <c r="O802" s="383">
        <v>84</v>
      </c>
      <c r="P802" s="383">
        <v>5.5</v>
      </c>
      <c r="Q802" s="37" t="s">
        <v>1226</v>
      </c>
    </row>
    <row r="803" spans="1:17" ht="13.2">
      <c r="A803" s="83"/>
      <c r="B803" s="83" t="s">
        <v>1057</v>
      </c>
      <c r="C803" s="159"/>
      <c r="D803" s="159"/>
      <c r="E803" s="159"/>
      <c r="F803" s="159"/>
      <c r="G803" s="159"/>
      <c r="H803" s="160"/>
      <c r="I803" s="57">
        <f t="shared" si="12"/>
        <v>0</v>
      </c>
      <c r="J803" s="102"/>
      <c r="K803" s="101"/>
      <c r="L803" s="159"/>
      <c r="M803" s="406"/>
      <c r="N803" s="383" t="s">
        <v>1584</v>
      </c>
      <c r="O803" s="383">
        <v>84</v>
      </c>
      <c r="P803" s="383">
        <v>5.5</v>
      </c>
      <c r="Q803" s="37" t="s">
        <v>1226</v>
      </c>
    </row>
    <row r="804" spans="1:17" ht="13.2">
      <c r="A804" s="83"/>
      <c r="B804" s="83" t="s">
        <v>599</v>
      </c>
      <c r="C804" s="159"/>
      <c r="D804" s="159"/>
      <c r="E804" s="159"/>
      <c r="F804" s="159"/>
      <c r="G804" s="159"/>
      <c r="H804" s="160"/>
      <c r="I804" s="57">
        <f t="shared" si="12"/>
        <v>0</v>
      </c>
      <c r="J804" s="62"/>
      <c r="K804" s="56"/>
      <c r="L804" s="159"/>
      <c r="M804" s="406" t="s">
        <v>1096</v>
      </c>
      <c r="N804" s="383" t="s">
        <v>1585</v>
      </c>
      <c r="O804" s="383">
        <v>84</v>
      </c>
      <c r="P804" s="383">
        <v>5.5</v>
      </c>
      <c r="Q804" s="37" t="s">
        <v>1224</v>
      </c>
    </row>
    <row r="805" spans="1:17" ht="13.2">
      <c r="A805" s="83"/>
      <c r="B805" s="386" t="str">
        <f>HYPERLINK("http://codeforces.com/contest/163/problem/C","CF163-D12-C")</f>
        <v>CF163-D12-C</v>
      </c>
      <c r="C805" s="159"/>
      <c r="D805" s="159"/>
      <c r="E805" s="159"/>
      <c r="F805" s="159"/>
      <c r="G805" s="159"/>
      <c r="H805" s="160"/>
      <c r="I805" s="57">
        <f t="shared" si="12"/>
        <v>0</v>
      </c>
      <c r="J805" s="102"/>
      <c r="K805" s="101"/>
      <c r="L805" s="159"/>
      <c r="M805" s="404"/>
      <c r="N805" s="383" t="s">
        <v>1586</v>
      </c>
      <c r="O805" s="383">
        <v>84</v>
      </c>
      <c r="P805" s="383">
        <v>5.5</v>
      </c>
      <c r="Q805" s="37" t="s">
        <v>1224</v>
      </c>
    </row>
    <row r="806" spans="1:17" ht="13.2">
      <c r="A806" s="83"/>
      <c r="B806" s="386" t="str">
        <f>HYPERLINK("http://codeforces.com/contest/110/problem/D","CF110-D2-D")</f>
        <v>CF110-D2-D</v>
      </c>
      <c r="C806" s="159"/>
      <c r="D806" s="159"/>
      <c r="E806" s="159"/>
      <c r="F806" s="159"/>
      <c r="G806" s="159"/>
      <c r="H806" s="160"/>
      <c r="I806" s="57">
        <f t="shared" si="12"/>
        <v>0</v>
      </c>
      <c r="J806" s="102"/>
      <c r="K806" s="101"/>
      <c r="L806" s="159"/>
      <c r="M806" s="293" t="str">
        <f>HYPERLINK("https://github.com/BRAINOOOO/CompetitiveProgramming/blob/3057480d3a311cc86a6d64546655a9bb4017cbd6/CF/CF101149-GYM-G.Cpp","Sol")</f>
        <v>Sol</v>
      </c>
      <c r="N806" s="383" t="s">
        <v>1587</v>
      </c>
      <c r="O806" s="383">
        <v>84</v>
      </c>
      <c r="P806" s="383">
        <v>5.5</v>
      </c>
      <c r="Q806" s="37" t="s">
        <v>1220</v>
      </c>
    </row>
    <row r="807" spans="1:17" ht="13.2">
      <c r="A807" s="83" t="s">
        <v>822</v>
      </c>
      <c r="B807" s="386" t="str">
        <f>HYPERLINK("https://uva.onlinejudge.org/index.php?option=com_onlinejudge&amp;Itemid=8&amp;page=show_problem&amp;problem=1718","UVA 10777")</f>
        <v>UVA 10777</v>
      </c>
      <c r="C807" s="159"/>
      <c r="D807" s="159"/>
      <c r="E807" s="159"/>
      <c r="F807" s="159"/>
      <c r="G807" s="159"/>
      <c r="H807" s="160"/>
      <c r="I807" s="57">
        <f t="shared" si="12"/>
        <v>0</v>
      </c>
      <c r="J807" s="62"/>
      <c r="K807" s="56"/>
      <c r="L807" s="159"/>
      <c r="M807" s="399"/>
      <c r="N807" s="383" t="s">
        <v>1588</v>
      </c>
      <c r="O807" s="383">
        <v>84</v>
      </c>
      <c r="P807" s="383">
        <v>5.5</v>
      </c>
    </row>
    <row r="808" spans="1:17" ht="13.2">
      <c r="A808" s="83"/>
      <c r="B808" s="83" t="s">
        <v>723</v>
      </c>
      <c r="C808" s="159"/>
      <c r="D808" s="159"/>
      <c r="E808" s="159"/>
      <c r="F808" s="159"/>
      <c r="G808" s="159"/>
      <c r="H808" s="160"/>
      <c r="I808" s="57">
        <f t="shared" si="12"/>
        <v>0</v>
      </c>
      <c r="J808" s="62"/>
      <c r="K808" s="56"/>
      <c r="L808" s="159"/>
      <c r="M808" s="406"/>
      <c r="N808" s="383" t="s">
        <v>1606</v>
      </c>
      <c r="O808" s="383">
        <v>86</v>
      </c>
      <c r="P808" s="383">
        <v>5.5</v>
      </c>
      <c r="Q808" s="37" t="s">
        <v>1224</v>
      </c>
    </row>
    <row r="809" spans="1:17" ht="13.2">
      <c r="A809" s="83"/>
      <c r="B809" s="386" t="str">
        <f>HYPERLINK("http://codeforces.com/contest/839/problem/C","CF839-D2-C")</f>
        <v>CF839-D2-C</v>
      </c>
      <c r="C809" s="159"/>
      <c r="D809" s="159"/>
      <c r="E809" s="159"/>
      <c r="F809" s="159"/>
      <c r="G809" s="159"/>
      <c r="H809" s="160"/>
      <c r="I809" s="57">
        <f t="shared" si="12"/>
        <v>0</v>
      </c>
      <c r="J809" s="62"/>
      <c r="K809" s="56"/>
      <c r="L809" s="159"/>
      <c r="M809" s="229"/>
      <c r="N809" s="415" t="s">
        <v>1635</v>
      </c>
      <c r="O809" s="383">
        <v>87</v>
      </c>
      <c r="P809" s="383">
        <v>5.5</v>
      </c>
      <c r="Q809" s="37" t="s">
        <v>1251</v>
      </c>
    </row>
    <row r="810" spans="1:17" ht="13.2">
      <c r="A810" s="83"/>
      <c r="B810" s="386" t="str">
        <f>HYPERLINK("https://www.hackerrank.com/challenges/lazy-sorting","HACKR lazy-sorting")</f>
        <v>HACKR lazy-sorting</v>
      </c>
      <c r="C810" s="159"/>
      <c r="D810" s="159"/>
      <c r="E810" s="159"/>
      <c r="F810" s="159"/>
      <c r="G810" s="159"/>
      <c r="H810" s="160"/>
      <c r="I810" s="57">
        <f t="shared" si="12"/>
        <v>0</v>
      </c>
      <c r="J810" s="62"/>
      <c r="K810" s="56"/>
      <c r="L810" s="159"/>
      <c r="M810" s="406"/>
      <c r="N810" s="383" t="s">
        <v>1636</v>
      </c>
      <c r="O810" s="383">
        <v>87</v>
      </c>
      <c r="P810" s="383">
        <v>5.5</v>
      </c>
      <c r="Q810" s="37" t="s">
        <v>1224</v>
      </c>
    </row>
    <row r="811" spans="1:17" ht="13.2">
      <c r="A811" s="83" t="s">
        <v>933</v>
      </c>
      <c r="B811" s="386" t="str">
        <f>HYPERLINK("http://codeforces.com/contest/443/problem/D","CF443-D2-D")</f>
        <v>CF443-D2-D</v>
      </c>
      <c r="C811" s="159"/>
      <c r="D811" s="159"/>
      <c r="E811" s="159"/>
      <c r="F811" s="159"/>
      <c r="G811" s="159"/>
      <c r="H811" s="160"/>
      <c r="I811" s="57">
        <f t="shared" si="12"/>
        <v>0</v>
      </c>
      <c r="J811" s="102"/>
      <c r="K811" s="101"/>
      <c r="L811" s="405"/>
      <c r="M811" s="403" t="str">
        <f>HYPERLINK("https://github.com/abdullaAshraf/Problem-Solving/blob/master/UVA/126.cpp","Sol")</f>
        <v>Sol</v>
      </c>
      <c r="N811" s="383" t="s">
        <v>1607</v>
      </c>
      <c r="O811" s="383">
        <v>87</v>
      </c>
      <c r="P811" s="383">
        <v>5.5</v>
      </c>
      <c r="Q811" s="543"/>
    </row>
    <row r="812" spans="1:17" ht="13.2">
      <c r="A812" s="83" t="s">
        <v>728</v>
      </c>
      <c r="B812" s="386" t="str">
        <f>HYPERLINK("http://codeforces.com/contest/621/problem/C","CF621-D2-C")</f>
        <v>CF621-D2-C</v>
      </c>
      <c r="C812" s="159"/>
      <c r="D812" s="159"/>
      <c r="E812" s="159"/>
      <c r="F812" s="159"/>
      <c r="G812" s="159"/>
      <c r="H812" s="160"/>
      <c r="I812" s="57">
        <f t="shared" si="12"/>
        <v>0</v>
      </c>
      <c r="J812" s="62"/>
      <c r="K812" s="56"/>
      <c r="L812" s="96"/>
      <c r="M812" s="169" t="str">
        <f>HYPERLINK("https://www.youtube.com/watch?v=ifTqIif9WJg","Video Solution - Eng Moaz Rashad")</f>
        <v>Video Solution - Eng Moaz Rashad</v>
      </c>
      <c r="N812" s="383" t="s">
        <v>1607</v>
      </c>
      <c r="O812" s="383">
        <v>87</v>
      </c>
      <c r="P812" s="383">
        <v>5.5</v>
      </c>
    </row>
    <row r="813" spans="1:17" ht="13.2">
      <c r="A813" s="83" t="s">
        <v>1701</v>
      </c>
      <c r="B813" s="386" t="str">
        <f>HYPERLINK("http://codeforces.com/contest/454/problem/C","CF454-D2-C")</f>
        <v>CF454-D2-C</v>
      </c>
      <c r="C813" s="159"/>
      <c r="D813" s="159"/>
      <c r="E813" s="159"/>
      <c r="F813" s="159"/>
      <c r="G813" s="159"/>
      <c r="H813" s="160"/>
      <c r="I813" s="57">
        <f t="shared" si="12"/>
        <v>0</v>
      </c>
      <c r="J813" s="62"/>
      <c r="K813" s="56"/>
      <c r="L813" s="159"/>
      <c r="M813" s="252" t="str">
        <f>HYPERLINK("https://www.youtube.com/watch?v=xB6St1GAKUg","Video Solution - Dr Mostafa Saad")</f>
        <v>Video Solution - Dr Mostafa Saad</v>
      </c>
      <c r="N813" s="383" t="s">
        <v>1638</v>
      </c>
      <c r="O813" s="383">
        <v>89</v>
      </c>
      <c r="P813" s="383">
        <v>5.5</v>
      </c>
      <c r="Q813" s="37" t="s">
        <v>1251</v>
      </c>
    </row>
    <row r="814" spans="1:17" ht="13.2">
      <c r="A814" s="83"/>
      <c r="B814" s="386" t="str">
        <f>HYPERLINK("https://www.hackerrank.com/challenges/vertical-sticks","HACKR vertical-sticks")</f>
        <v>HACKR vertical-sticks</v>
      </c>
      <c r="C814" s="159"/>
      <c r="D814" s="159"/>
      <c r="E814" s="159"/>
      <c r="F814" s="159"/>
      <c r="G814" s="159"/>
      <c r="H814" s="160"/>
      <c r="I814" s="57">
        <f t="shared" si="12"/>
        <v>0</v>
      </c>
      <c r="J814" s="102"/>
      <c r="K814" s="101"/>
      <c r="L814" s="159"/>
      <c r="M814" s="169"/>
      <c r="N814" s="383" t="s">
        <v>1643</v>
      </c>
      <c r="O814" s="383">
        <v>89</v>
      </c>
      <c r="P814" s="383">
        <v>5.5</v>
      </c>
      <c r="Q814" s="37" t="s">
        <v>1226</v>
      </c>
    </row>
    <row r="815" spans="1:17" ht="13.2">
      <c r="A815" s="83"/>
      <c r="B815" s="83" t="s">
        <v>823</v>
      </c>
      <c r="C815" s="159"/>
      <c r="D815" s="159"/>
      <c r="E815" s="159"/>
      <c r="F815" s="159"/>
      <c r="G815" s="159"/>
      <c r="H815" s="160"/>
      <c r="I815" s="57">
        <f t="shared" si="12"/>
        <v>0</v>
      </c>
      <c r="J815" s="62"/>
      <c r="K815" s="56"/>
      <c r="L815" s="159"/>
      <c r="M815" s="229"/>
      <c r="N815" s="383" t="s">
        <v>1644</v>
      </c>
      <c r="O815" s="383">
        <v>89</v>
      </c>
      <c r="P815" s="383">
        <v>5.5</v>
      </c>
      <c r="Q815" s="37" t="s">
        <v>1220</v>
      </c>
    </row>
    <row r="816" spans="1:17" ht="13.2">
      <c r="A816" s="83"/>
      <c r="B816" s="83" t="s">
        <v>1176</v>
      </c>
      <c r="C816" s="159"/>
      <c r="D816" s="159"/>
      <c r="E816" s="159"/>
      <c r="F816" s="159"/>
      <c r="G816" s="159"/>
      <c r="H816" s="160"/>
      <c r="I816" s="57">
        <f t="shared" si="12"/>
        <v>0</v>
      </c>
      <c r="J816" s="96"/>
      <c r="K816" s="159"/>
      <c r="L816" s="159"/>
      <c r="M816" s="238"/>
      <c r="N816" s="383" t="s">
        <v>1647</v>
      </c>
      <c r="O816" s="383">
        <v>95</v>
      </c>
      <c r="P816" s="383">
        <v>5.5</v>
      </c>
      <c r="Q816" s="37" t="s">
        <v>1226</v>
      </c>
    </row>
    <row r="817" spans="1:17" ht="13.2">
      <c r="A817" s="83"/>
      <c r="B817" s="386" t="str">
        <f>HYPERLINK("http://codeforces.com/contest/500/problem/D","CF500-D12-D")</f>
        <v>CF500-D12-D</v>
      </c>
      <c r="C817" s="159"/>
      <c r="D817" s="159"/>
      <c r="E817" s="159"/>
      <c r="F817" s="159"/>
      <c r="G817" s="159"/>
      <c r="H817" s="160"/>
      <c r="I817" s="57">
        <f t="shared" si="12"/>
        <v>0</v>
      </c>
      <c r="J817" s="102"/>
      <c r="K817" s="101"/>
      <c r="L817" s="159"/>
      <c r="M817" s="406"/>
      <c r="N817" s="383" t="s">
        <v>1660</v>
      </c>
      <c r="O817" s="383">
        <v>99</v>
      </c>
      <c r="P817" s="383">
        <v>5.5</v>
      </c>
      <c r="Q817" s="37" t="s">
        <v>1220</v>
      </c>
    </row>
    <row r="818" spans="1:17" ht="13.2">
      <c r="A818" s="83"/>
      <c r="B818" s="386" t="str">
        <f>HYPERLINK("http://codeforces.com/contest/280/problem/C","CF280-D1-C")</f>
        <v>CF280-D1-C</v>
      </c>
      <c r="C818" s="159"/>
      <c r="D818" s="159"/>
      <c r="E818" s="159"/>
      <c r="F818" s="159"/>
      <c r="G818" s="159"/>
      <c r="H818" s="160"/>
      <c r="I818" s="57">
        <f t="shared" si="12"/>
        <v>0</v>
      </c>
      <c r="J818" s="102"/>
      <c r="K818" s="101"/>
      <c r="L818" s="159"/>
      <c r="M818" s="404"/>
      <c r="N818" s="383" t="s">
        <v>1676</v>
      </c>
      <c r="O818" s="383">
        <v>109</v>
      </c>
      <c r="P818" s="383">
        <v>5.5</v>
      </c>
      <c r="Q818" s="37" t="s">
        <v>1226</v>
      </c>
    </row>
    <row r="819" spans="1:17" ht="13.2">
      <c r="A819" s="83" t="s">
        <v>1000</v>
      </c>
      <c r="B819" s="386" t="str">
        <f>HYPERLINK("http://codeforces.com/contest/268/problem/E","CF268-D2-E")</f>
        <v>CF268-D2-E</v>
      </c>
      <c r="C819" s="159"/>
      <c r="D819" s="159"/>
      <c r="E819" s="159"/>
      <c r="F819" s="159"/>
      <c r="G819" s="159"/>
      <c r="H819" s="160"/>
      <c r="I819" s="57">
        <f t="shared" si="12"/>
        <v>0</v>
      </c>
      <c r="J819" s="102"/>
      <c r="K819" s="101"/>
      <c r="L819" s="405"/>
      <c r="M819" s="399"/>
      <c r="N819" s="383" t="s">
        <v>1687</v>
      </c>
      <c r="O819" s="383">
        <v>113</v>
      </c>
      <c r="P819" s="383">
        <v>5.5</v>
      </c>
      <c r="Q819" s="37"/>
    </row>
    <row r="820" spans="1:17" ht="13.2">
      <c r="A820" s="83" t="s">
        <v>391</v>
      </c>
      <c r="B820" s="386" t="str">
        <f>HYPERLINK("https://uva.onlinejudge.org/index.php?option=onlinejudge&amp;page=show_problem&amp;problem=310","UVA 374")</f>
        <v>UVA 374</v>
      </c>
      <c r="C820" s="159"/>
      <c r="D820" s="159"/>
      <c r="E820" s="159"/>
      <c r="F820" s="159"/>
      <c r="G820" s="159"/>
      <c r="H820" s="160"/>
      <c r="I820" s="57">
        <f t="shared" si="12"/>
        <v>0</v>
      </c>
      <c r="J820" s="62"/>
      <c r="K820" s="56"/>
      <c r="L820" s="159"/>
      <c r="M820" s="293" t="str">
        <f>HYPERLINK("https://github.com/mostafa-saad/MyCompetitiveProgramming/blob/master/Codeforces/CF26-D12-D.txt","Sol - must read")</f>
        <v>Sol - must read</v>
      </c>
      <c r="N820" s="383" t="s">
        <v>1688</v>
      </c>
      <c r="O820" s="383">
        <v>113</v>
      </c>
      <c r="P820" s="383">
        <v>5.5</v>
      </c>
      <c r="Q820" s="37" t="s">
        <v>1226</v>
      </c>
    </row>
    <row r="821" spans="1:17" ht="13.2">
      <c r="A821" s="83" t="s">
        <v>568</v>
      </c>
      <c r="B821" s="386" t="str">
        <f>HYPERLINK("https://uva.onlinejudge.org/index.php?option=onlinejudge&amp;page=show_problem&amp;problem=1335","UVA 10394")</f>
        <v>UVA 10394</v>
      </c>
      <c r="C821" s="159"/>
      <c r="D821" s="159"/>
      <c r="E821" s="159"/>
      <c r="F821" s="159"/>
      <c r="G821" s="159"/>
      <c r="H821" s="160"/>
      <c r="I821" s="57">
        <f t="shared" si="12"/>
        <v>0</v>
      </c>
      <c r="J821" s="62"/>
      <c r="K821" s="56"/>
      <c r="L821" s="159"/>
      <c r="M821" s="545"/>
      <c r="N821" s="383" t="s">
        <v>1689</v>
      </c>
      <c r="O821" s="383">
        <v>113</v>
      </c>
      <c r="P821" s="383">
        <v>5.5</v>
      </c>
      <c r="Q821" s="37" t="s">
        <v>1226</v>
      </c>
    </row>
    <row r="822" spans="1:17" ht="13.2">
      <c r="A822" s="83" t="s">
        <v>816</v>
      </c>
      <c r="B822" s="386" t="str">
        <f>HYPERLINK("https://uva.onlinejudge.org/index.php?option=com_onlinejudge&amp;Itemid=8&amp;page=show_problem&amp;problem=825","UVA 884")</f>
        <v>UVA 884</v>
      </c>
      <c r="C822" s="159"/>
      <c r="D822" s="159"/>
      <c r="E822" s="159"/>
      <c r="F822" s="159"/>
      <c r="G822" s="159"/>
      <c r="H822" s="160"/>
      <c r="I822" s="57">
        <f t="shared" si="12"/>
        <v>0</v>
      </c>
      <c r="J822" s="62"/>
      <c r="K822" s="56"/>
      <c r="L822" s="159"/>
      <c r="M822" s="406"/>
      <c r="N822" s="383" t="s">
        <v>1690</v>
      </c>
      <c r="O822" s="383">
        <v>113</v>
      </c>
      <c r="P822" s="383">
        <v>5.5</v>
      </c>
    </row>
    <row r="823" spans="1:17" ht="13.2">
      <c r="A823" s="83" t="s">
        <v>1168</v>
      </c>
      <c r="B823" s="386" t="str">
        <f>HYPERLINK("http://www.spoj.com/problems/PSYCHON/","SPOJ PSYCHON")</f>
        <v>SPOJ PSYCHON</v>
      </c>
      <c r="C823" s="159"/>
      <c r="D823" s="159"/>
      <c r="E823" s="159"/>
      <c r="F823" s="159"/>
      <c r="G823" s="159"/>
      <c r="H823" s="160"/>
      <c r="I823" s="57">
        <f t="shared" si="12"/>
        <v>0</v>
      </c>
      <c r="J823" s="62"/>
      <c r="K823" s="56"/>
      <c r="L823" s="405"/>
      <c r="M823" s="545"/>
      <c r="N823" s="383" t="s">
        <v>1700</v>
      </c>
      <c r="O823" s="383">
        <v>114</v>
      </c>
      <c r="P823" s="383">
        <v>5.5</v>
      </c>
      <c r="Q823" s="37" t="s">
        <v>1224</v>
      </c>
    </row>
    <row r="824" spans="1:17" ht="13.2">
      <c r="A824" s="83" t="s">
        <v>569</v>
      </c>
      <c r="B824" s="386" t="str">
        <f>HYPERLINK("https://uva.onlinejudge.org/index.php?option=onlinejudge&amp;page=show_problem&amp;problem=1109","UVA 10168")</f>
        <v>UVA 10168</v>
      </c>
      <c r="C824" s="159"/>
      <c r="D824" s="159"/>
      <c r="E824" s="159"/>
      <c r="F824" s="159"/>
      <c r="G824" s="159"/>
      <c r="H824" s="160"/>
      <c r="I824" s="57">
        <f t="shared" si="12"/>
        <v>0</v>
      </c>
      <c r="J824" s="62"/>
      <c r="K824" s="56"/>
      <c r="L824" s="159"/>
      <c r="M824" s="399"/>
      <c r="N824" s="383" t="s">
        <v>1697</v>
      </c>
      <c r="O824" s="383">
        <v>114</v>
      </c>
      <c r="P824" s="383">
        <v>5.5</v>
      </c>
      <c r="Q824" s="37" t="s">
        <v>1224</v>
      </c>
    </row>
    <row r="825" spans="1:17" ht="13.2">
      <c r="A825" s="83" t="s">
        <v>764</v>
      </c>
      <c r="B825" s="386" t="str">
        <f>HYPERLINK("http://codeforces.com/contest/569/problem/C","CF569-D2-C")</f>
        <v>CF569-D2-C</v>
      </c>
      <c r="C825" s="159"/>
      <c r="D825" s="159"/>
      <c r="E825" s="159"/>
      <c r="F825" s="159"/>
      <c r="G825" s="159"/>
      <c r="H825" s="160"/>
      <c r="I825" s="57">
        <f t="shared" si="12"/>
        <v>0</v>
      </c>
      <c r="J825" s="62"/>
      <c r="K825" s="56"/>
      <c r="L825" s="96"/>
      <c r="M825" s="406"/>
      <c r="N825" s="383" t="s">
        <v>1712</v>
      </c>
      <c r="O825" s="383">
        <v>117</v>
      </c>
      <c r="P825" s="383">
        <v>5.5</v>
      </c>
      <c r="Q825" s="37" t="s">
        <v>1224</v>
      </c>
    </row>
    <row r="826" spans="1:17" ht="13.2">
      <c r="A826" s="83" t="s">
        <v>755</v>
      </c>
      <c r="B826" s="386" t="str">
        <f>HYPERLINK("https://uva.onlinejudge.org/index.php?option=onlinejudge&amp;page=show_problem&amp;problem=1425","UVA 10484")</f>
        <v>UVA 10484</v>
      </c>
      <c r="C826" s="159"/>
      <c r="D826" s="159"/>
      <c r="E826" s="159"/>
      <c r="F826" s="159"/>
      <c r="G826" s="159"/>
      <c r="H826" s="160"/>
      <c r="I826" s="57">
        <f t="shared" si="12"/>
        <v>0</v>
      </c>
      <c r="J826" s="62"/>
      <c r="K826" s="56"/>
      <c r="L826" s="96"/>
      <c r="M826" s="293" t="str">
        <f>HYPERLINK("https://github.com/abdullaAshraf/Problem-Solving/blob/master/UVA/10742.cpp","Sol")</f>
        <v>Sol</v>
      </c>
      <c r="N826" s="383" t="s">
        <v>1713</v>
      </c>
      <c r="O826" s="383">
        <v>117</v>
      </c>
      <c r="P826" s="383">
        <v>5.5</v>
      </c>
      <c r="Q826" s="543"/>
    </row>
    <row r="827" spans="1:17" ht="13.2">
      <c r="A827" s="83"/>
      <c r="B827" s="83" t="s">
        <v>1119</v>
      </c>
      <c r="C827" s="159"/>
      <c r="D827" s="159"/>
      <c r="E827" s="159"/>
      <c r="F827" s="159"/>
      <c r="G827" s="159"/>
      <c r="H827" s="160"/>
      <c r="I827" s="57">
        <f t="shared" si="12"/>
        <v>0</v>
      </c>
      <c r="J827" s="96"/>
      <c r="K827" s="159"/>
      <c r="L827" s="405"/>
      <c r="M827" s="293" t="str">
        <f>HYPERLINK("https://github.com/BRAINOOOO/CompetitiveProgramming/blob/master/UVA/V-104/UVA%2010419.Cpp","Sol")</f>
        <v>Sol</v>
      </c>
      <c r="N827" s="383" t="s">
        <v>1714</v>
      </c>
      <c r="O827" s="383">
        <v>117</v>
      </c>
      <c r="P827" s="383">
        <v>5.5</v>
      </c>
      <c r="Q827" s="543"/>
    </row>
    <row r="828" spans="1:17" ht="13.2">
      <c r="A828" s="83" t="s">
        <v>1190</v>
      </c>
      <c r="B828" s="386" t="str">
        <f>HYPERLINK("https://uva.onlinejudge.org/index.php?option=com_onlinejudge&amp;Itemid=8&amp;page=show_problem&amp;problem=1683","UVA 10742")</f>
        <v>UVA 10742</v>
      </c>
      <c r="C828" s="159"/>
      <c r="D828" s="159"/>
      <c r="E828" s="159"/>
      <c r="F828" s="159"/>
      <c r="G828" s="159"/>
      <c r="H828" s="160"/>
      <c r="I828" s="57">
        <f t="shared" si="12"/>
        <v>0</v>
      </c>
      <c r="J828" s="62"/>
      <c r="K828" s="56"/>
      <c r="L828" s="405"/>
      <c r="M828" s="293" t="str">
        <f>HYPERLINK("https://github.com/osamahatem/CompetitiveProgramming/blob/master/Codeforces/359D.%20Pair%20of%20Numbers.cpp","Sol")</f>
        <v>Sol</v>
      </c>
      <c r="N828" s="383" t="s">
        <v>1722</v>
      </c>
      <c r="O828" s="383">
        <v>122</v>
      </c>
      <c r="P828" s="383">
        <v>5.5</v>
      </c>
      <c r="Q828" s="37" t="s">
        <v>1224</v>
      </c>
    </row>
    <row r="829" spans="1:17" ht="13.2">
      <c r="A829" s="83" t="s">
        <v>1163</v>
      </c>
      <c r="B829" s="386" t="str">
        <f>HYPERLINK("https://uva.onlinejudge.org/index.php?option=com_onlinejudge&amp;Itemid=8&amp;page=show_problem&amp;problem=1360","UVA 10419")</f>
        <v>UVA 10419</v>
      </c>
      <c r="C829" s="159"/>
      <c r="D829" s="159"/>
      <c r="E829" s="159"/>
      <c r="F829" s="159"/>
      <c r="G829" s="159"/>
      <c r="H829" s="160"/>
      <c r="I829" s="57">
        <f t="shared" si="12"/>
        <v>0</v>
      </c>
      <c r="J829" s="62"/>
      <c r="K829" s="56"/>
      <c r="L829" s="405"/>
      <c r="M829" s="406"/>
      <c r="N829" s="383" t="s">
        <v>1742</v>
      </c>
      <c r="O829" s="383">
        <v>125</v>
      </c>
      <c r="P829" s="383">
        <v>5.5</v>
      </c>
      <c r="Q829" s="37" t="s">
        <v>1229</v>
      </c>
    </row>
    <row r="830" spans="1:17" ht="13.2">
      <c r="A830" s="83" t="s">
        <v>589</v>
      </c>
      <c r="B830" s="386" t="str">
        <f>HYPERLINK("http://codeforces.com/contest/227/problem/C","CF227-D2-C")</f>
        <v>CF227-D2-C</v>
      </c>
      <c r="C830" s="159"/>
      <c r="D830" s="159"/>
      <c r="E830" s="159"/>
      <c r="F830" s="159"/>
      <c r="G830" s="159"/>
      <c r="H830" s="160"/>
      <c r="I830" s="57">
        <f t="shared" si="12"/>
        <v>0</v>
      </c>
      <c r="J830" s="62"/>
      <c r="K830" s="56"/>
      <c r="L830" s="159"/>
      <c r="M830" s="403" t="str">
        <f>HYPERLINK("https://github.com/MichaelMounir12/CompetitiveProgramming/blob/9c6e99fc3a2583209a313ddd617a07ac294024e9/SPOJ/SPOJ_SEGSQRSS.cpp","Sol")</f>
        <v>Sol</v>
      </c>
      <c r="N830" s="383" t="s">
        <v>1743</v>
      </c>
      <c r="O830" s="383">
        <v>125</v>
      </c>
      <c r="P830" s="383">
        <v>5.5</v>
      </c>
      <c r="Q830" s="37" t="s">
        <v>1251</v>
      </c>
    </row>
    <row r="831" spans="1:17" ht="13.2">
      <c r="A831" s="83" t="s">
        <v>762</v>
      </c>
      <c r="B831" s="386" t="str">
        <f>HYPERLINK("http://codeforces.com/contest/476/problem/C","CF476-D2-C")</f>
        <v>CF476-D2-C</v>
      </c>
      <c r="C831" s="159"/>
      <c r="D831" s="159"/>
      <c r="E831" s="159"/>
      <c r="F831" s="159"/>
      <c r="G831" s="159"/>
      <c r="H831" s="160"/>
      <c r="I831" s="57">
        <f t="shared" si="12"/>
        <v>0</v>
      </c>
      <c r="J831" s="62"/>
      <c r="K831" s="56"/>
      <c r="L831" s="96"/>
      <c r="M831" s="404"/>
      <c r="N831" s="383" t="s">
        <v>1744</v>
      </c>
      <c r="O831" s="383">
        <v>125</v>
      </c>
      <c r="P831" s="383">
        <v>5.5</v>
      </c>
      <c r="Q831" s="37" t="s">
        <v>1226</v>
      </c>
    </row>
    <row r="832" spans="1:17" ht="13.2">
      <c r="A832" s="83"/>
      <c r="B832" s="386" t="str">
        <f>HYPERLINK("http://codeforces.com/contest/201/problem/B","CF201-D1-B")</f>
        <v>CF201-D1-B</v>
      </c>
      <c r="C832" s="159"/>
      <c r="D832" s="159"/>
      <c r="E832" s="159"/>
      <c r="F832" s="159"/>
      <c r="G832" s="159"/>
      <c r="H832" s="160"/>
      <c r="I832" s="57">
        <f t="shared" si="12"/>
        <v>0</v>
      </c>
      <c r="J832" s="62"/>
      <c r="K832" s="56"/>
      <c r="L832" s="159"/>
      <c r="M832" s="403" t="str">
        <f>HYPERLINK("https://github.com/abdullaAshraf/Problem-Solving/blob/master/SPOJ/GSS4.cpp","Sol")</f>
        <v>Sol</v>
      </c>
      <c r="N832" s="383" t="s">
        <v>1745</v>
      </c>
      <c r="O832" s="383">
        <v>125</v>
      </c>
      <c r="P832" s="383">
        <v>5.5</v>
      </c>
      <c r="Q832" s="37" t="s">
        <v>1224</v>
      </c>
    </row>
    <row r="833" spans="1:17" ht="13.2">
      <c r="A833" s="83" t="s">
        <v>1183</v>
      </c>
      <c r="B833" s="386" t="str">
        <f>HYPERLINK("http://codeforces.com/contest/599/problem/D","CF599-D2-D")</f>
        <v>CF599-D2-D</v>
      </c>
      <c r="C833" s="159"/>
      <c r="D833" s="159"/>
      <c r="E833" s="159"/>
      <c r="F833" s="159"/>
      <c r="G833" s="159"/>
      <c r="H833" s="160"/>
      <c r="I833" s="57">
        <f t="shared" si="12"/>
        <v>0</v>
      </c>
      <c r="J833" s="102"/>
      <c r="K833" s="101"/>
      <c r="L833" s="405"/>
      <c r="M833" s="403" t="str">
        <f>HYPERLINK("https://github.com/mostafa-saad/MyCompetitiveProgramming/blob/master/UVA/UVA_1232.txt","Sol")</f>
        <v>Sol</v>
      </c>
      <c r="N833" s="383" t="s">
        <v>1746</v>
      </c>
      <c r="O833" s="383">
        <v>125</v>
      </c>
      <c r="P833" s="383">
        <v>5.5</v>
      </c>
      <c r="Q833" s="543"/>
    </row>
    <row r="834" spans="1:17" ht="13.2">
      <c r="A834" s="83" t="s">
        <v>1164</v>
      </c>
      <c r="B834" s="386" t="str">
        <f>HYPERLINK("http://www.spoj.com/problems/HISTOGRA/","SPOJ HISTOGRA")</f>
        <v>SPOJ HISTOGRA</v>
      </c>
      <c r="C834" s="159"/>
      <c r="D834" s="159"/>
      <c r="E834" s="159"/>
      <c r="F834" s="159"/>
      <c r="G834" s="159"/>
      <c r="H834" s="160"/>
      <c r="I834" s="57">
        <f t="shared" si="12"/>
        <v>0</v>
      </c>
      <c r="J834" s="62"/>
      <c r="K834" s="56"/>
      <c r="L834" s="405"/>
      <c r="M834" s="545"/>
      <c r="N834" s="383" t="s">
        <v>1755</v>
      </c>
      <c r="O834" s="383">
        <v>130</v>
      </c>
      <c r="P834" s="383">
        <v>5.5</v>
      </c>
      <c r="Q834" s="37" t="s">
        <v>1226</v>
      </c>
    </row>
    <row r="835" spans="1:17" ht="13.2">
      <c r="A835" s="83" t="s">
        <v>882</v>
      </c>
      <c r="B835" s="386" t="str">
        <f>HYPERLINK("http://codeforces.com/problemset/problem/514/D","CF514-D2-D")</f>
        <v>CF514-D2-D</v>
      </c>
      <c r="C835" s="159"/>
      <c r="D835" s="159"/>
      <c r="E835" s="159"/>
      <c r="F835" s="159"/>
      <c r="G835" s="159"/>
      <c r="H835" s="160"/>
      <c r="I835" s="57">
        <f t="shared" si="12"/>
        <v>0</v>
      </c>
      <c r="J835" s="405"/>
      <c r="K835" s="405"/>
      <c r="L835" s="96"/>
      <c r="M835" s="545"/>
      <c r="N835" s="383" t="s">
        <v>1755</v>
      </c>
      <c r="O835" s="383">
        <v>130</v>
      </c>
      <c r="P835" s="383">
        <v>5.5</v>
      </c>
      <c r="Q835" s="37" t="s">
        <v>1224</v>
      </c>
    </row>
    <row r="836" spans="1:17" ht="13.2">
      <c r="A836" s="83" t="s">
        <v>1015</v>
      </c>
      <c r="B836" s="386" t="str">
        <f>HYPERLINK("http://codeforces.com/contest/689/problem/D","CF689-D2-D")</f>
        <v>CF689-D2-D</v>
      </c>
      <c r="C836" s="159"/>
      <c r="D836" s="159"/>
      <c r="E836" s="159"/>
      <c r="F836" s="159"/>
      <c r="G836" s="159"/>
      <c r="H836" s="160"/>
      <c r="I836" s="57">
        <f t="shared" si="12"/>
        <v>0</v>
      </c>
      <c r="J836" s="96"/>
      <c r="K836" s="159"/>
      <c r="L836" s="405"/>
      <c r="M836" s="545"/>
      <c r="N836" s="383" t="s">
        <v>1755</v>
      </c>
      <c r="O836" s="383">
        <v>130</v>
      </c>
      <c r="P836" s="383">
        <v>5.5</v>
      </c>
      <c r="Q836" s="37" t="s">
        <v>1220</v>
      </c>
    </row>
    <row r="837" spans="1:17" ht="13.2">
      <c r="A837" s="83" t="s">
        <v>1172</v>
      </c>
      <c r="B837" s="386" t="str">
        <f>HYPERLINK("http://codeforces.com/contest/359/problem/D","CF359-D2-D")</f>
        <v>CF359-D2-D</v>
      </c>
      <c r="C837" s="159"/>
      <c r="D837" s="159"/>
      <c r="E837" s="159"/>
      <c r="F837" s="159"/>
      <c r="G837" s="159"/>
      <c r="H837" s="160"/>
      <c r="I837" s="57">
        <f t="shared" si="12"/>
        <v>0</v>
      </c>
      <c r="J837" s="96"/>
      <c r="K837" s="159"/>
      <c r="L837" s="405"/>
      <c r="M837" s="400" t="str">
        <f>HYPERLINK("https://github.com/Huvok/CompetitiveProgramming/blob/master/UVA/11475.cpp", "Sol")</f>
        <v>Sol</v>
      </c>
      <c r="N837" s="383" t="s">
        <v>1755</v>
      </c>
      <c r="O837" s="383">
        <v>130</v>
      </c>
      <c r="P837" s="383">
        <v>5.5</v>
      </c>
      <c r="Q837" s="37"/>
    </row>
    <row r="838" spans="1:17" ht="13.2">
      <c r="A838" s="83" t="s">
        <v>1188</v>
      </c>
      <c r="B838" s="386" t="str">
        <f>HYPERLINK("http://codeforces.com/contest/895/problem/C","CF448-D2-C")</f>
        <v>CF448-D2-C</v>
      </c>
      <c r="C838" s="159"/>
      <c r="D838" s="159"/>
      <c r="E838" s="159"/>
      <c r="F838" s="159"/>
      <c r="G838" s="159"/>
      <c r="H838" s="160"/>
      <c r="I838" s="57">
        <f t="shared" si="12"/>
        <v>0</v>
      </c>
      <c r="J838" s="102"/>
      <c r="K838" s="101"/>
      <c r="L838" s="405"/>
      <c r="M838" s="399"/>
      <c r="N838" s="383" t="s">
        <v>1761</v>
      </c>
      <c r="O838" s="383">
        <v>135</v>
      </c>
      <c r="P838" s="383">
        <v>5.5</v>
      </c>
      <c r="Q838" s="37" t="s">
        <v>1226</v>
      </c>
    </row>
    <row r="839" spans="1:17" ht="13.2">
      <c r="A839" s="83" t="s">
        <v>874</v>
      </c>
      <c r="B839" s="386" t="str">
        <f>HYPERLINK("https://icpcarchive.ecs.baylor.edu/index.php?option=com_onlinejudge&amp;Itemid=8&amp;page=show_problem&amp;problem=192","LIVEARCHIVE 2191")</f>
        <v>LIVEARCHIVE 2191</v>
      </c>
      <c r="C839" s="159"/>
      <c r="D839" s="159"/>
      <c r="E839" s="159"/>
      <c r="F839" s="159"/>
      <c r="G839" s="159"/>
      <c r="H839" s="160"/>
      <c r="I839" s="57">
        <f t="shared" ref="I839:I901" si="13">SUM(E839:H839)</f>
        <v>0</v>
      </c>
      <c r="J839" s="62"/>
      <c r="K839" s="56"/>
      <c r="L839" s="159"/>
      <c r="M839" s="399"/>
      <c r="N839" s="383" t="s">
        <v>1759</v>
      </c>
      <c r="O839" s="383">
        <v>135</v>
      </c>
      <c r="P839" s="383">
        <v>5.5</v>
      </c>
      <c r="Q839" s="37" t="s">
        <v>1226</v>
      </c>
    </row>
    <row r="840" spans="1:17" ht="13.2">
      <c r="A840" s="83" t="s">
        <v>873</v>
      </c>
      <c r="B840" s="386" t="str">
        <f>HYPERLINK("https://uva.onlinejudge.org/index.php?option=com_onlinejudge&amp;Itemid=8&amp;page=show_problem&amp;problem=3977","UVA 12532")</f>
        <v>UVA 12532</v>
      </c>
      <c r="C840" s="159"/>
      <c r="D840" s="159"/>
      <c r="E840" s="159"/>
      <c r="F840" s="159"/>
      <c r="G840" s="159"/>
      <c r="H840" s="160"/>
      <c r="I840" s="57">
        <f t="shared" si="13"/>
        <v>0</v>
      </c>
      <c r="J840" s="62"/>
      <c r="K840" s="56"/>
      <c r="L840" s="159"/>
      <c r="M840" s="403" t="str">
        <f>HYPERLINK("https://github.com/HosamEissa/Competitive-programming-/blob/master/ACM-ICPC%20Live%20Archive/4682.cpp","Sol")</f>
        <v>Sol</v>
      </c>
      <c r="N840" s="383" t="s">
        <v>1759</v>
      </c>
      <c r="O840" s="383">
        <v>135</v>
      </c>
      <c r="P840" s="383">
        <v>5.5</v>
      </c>
      <c r="Q840" s="37"/>
    </row>
    <row r="841" spans="1:17" ht="13.2">
      <c r="A841" s="83" t="s">
        <v>875</v>
      </c>
      <c r="B841" s="386" t="str">
        <f>HYPERLINK("http://www.spoj.com/problems/CDC12_H","SPOJ CDC12_H")</f>
        <v>SPOJ CDC12_H</v>
      </c>
      <c r="C841" s="159"/>
      <c r="D841" s="159"/>
      <c r="E841" s="159"/>
      <c r="F841" s="159"/>
      <c r="G841" s="159"/>
      <c r="H841" s="160"/>
      <c r="I841" s="57">
        <f t="shared" si="13"/>
        <v>0</v>
      </c>
      <c r="J841" s="102"/>
      <c r="K841" s="101"/>
      <c r="L841" s="159"/>
      <c r="M841" s="399"/>
      <c r="N841" s="383" t="s">
        <v>1759</v>
      </c>
      <c r="O841" s="383">
        <v>135</v>
      </c>
      <c r="P841" s="383">
        <v>5.5</v>
      </c>
      <c r="Q841" s="37"/>
    </row>
    <row r="842" spans="1:17" ht="13.2">
      <c r="A842" s="83" t="s">
        <v>1191</v>
      </c>
      <c r="B842" s="386" t="str">
        <f>HYPERLINK("http://www.spoj.com/problems/MULTQ3/","SPOJ MULTQ3")</f>
        <v>SPOJ MULTQ3</v>
      </c>
      <c r="C842" s="159"/>
      <c r="D842" s="159"/>
      <c r="E842" s="159"/>
      <c r="F842" s="159"/>
      <c r="G842" s="159"/>
      <c r="H842" s="160"/>
      <c r="I842" s="57">
        <f t="shared" si="13"/>
        <v>0</v>
      </c>
      <c r="J842" s="96"/>
      <c r="K842" s="159"/>
      <c r="L842" s="405"/>
      <c r="M842" s="403" t="str">
        <f>HYPERLINK("https://github.com/abdullaAshraf/Problem-Solving/blob/master/CodeForces/CF224-D2-D.cpp","Sol")</f>
        <v>Sol</v>
      </c>
      <c r="N842" s="383" t="s">
        <v>1767</v>
      </c>
      <c r="O842" s="383">
        <v>138</v>
      </c>
      <c r="P842" s="383">
        <v>5.5</v>
      </c>
      <c r="Q842" s="37" t="s">
        <v>1226</v>
      </c>
    </row>
    <row r="843" spans="1:17" ht="13.2">
      <c r="A843" s="83" t="s">
        <v>877</v>
      </c>
      <c r="B843" s="386" t="str">
        <f>HYPERLINK("http://www.spoj.com/problems/HORRIBLE","SPOJ HORRIBLE")</f>
        <v>SPOJ HORRIBLE</v>
      </c>
      <c r="C843" s="159"/>
      <c r="D843" s="159"/>
      <c r="E843" s="159"/>
      <c r="F843" s="159"/>
      <c r="G843" s="159"/>
      <c r="H843" s="160"/>
      <c r="I843" s="57">
        <f t="shared" si="13"/>
        <v>0</v>
      </c>
      <c r="J843" s="96"/>
      <c r="K843" s="159"/>
      <c r="L843" s="159"/>
      <c r="M843" s="401"/>
      <c r="N843" s="383" t="s">
        <v>1763</v>
      </c>
      <c r="O843" s="383">
        <v>138</v>
      </c>
      <c r="P843" s="383">
        <v>5.5</v>
      </c>
      <c r="Q843" s="37" t="s">
        <v>1224</v>
      </c>
    </row>
    <row r="844" spans="1:17" ht="13.2">
      <c r="A844" s="83" t="s">
        <v>876</v>
      </c>
      <c r="B844" s="386" t="str">
        <f>HYPERLINK("http://www.spoj.com/problems/CNTPRIME","SPOJ CNTPRIME")</f>
        <v>SPOJ CNTPRIME</v>
      </c>
      <c r="C844" s="159"/>
      <c r="D844" s="159"/>
      <c r="E844" s="159"/>
      <c r="F844" s="159"/>
      <c r="G844" s="159"/>
      <c r="H844" s="160"/>
      <c r="I844" s="57">
        <f t="shared" si="13"/>
        <v>0</v>
      </c>
      <c r="J844" s="102"/>
      <c r="K844" s="101"/>
      <c r="L844" s="159"/>
      <c r="M844" s="406"/>
      <c r="N844" s="383" t="s">
        <v>1770</v>
      </c>
      <c r="O844" s="383">
        <v>138</v>
      </c>
      <c r="P844" s="383">
        <v>5.5</v>
      </c>
      <c r="Q844" s="37" t="s">
        <v>1224</v>
      </c>
    </row>
    <row r="845" spans="1:17" ht="13.2">
      <c r="A845" s="83" t="s">
        <v>888</v>
      </c>
      <c r="B845" s="386" t="str">
        <f>HYPERLINK("http://www.spoj.com/problems/KGSS/","SPOJ KGSS")</f>
        <v>SPOJ KGSS</v>
      </c>
      <c r="C845" s="159"/>
      <c r="D845" s="159"/>
      <c r="E845" s="159"/>
      <c r="F845" s="159"/>
      <c r="G845" s="159"/>
      <c r="H845" s="160"/>
      <c r="I845" s="57">
        <f t="shared" si="13"/>
        <v>0</v>
      </c>
      <c r="J845" s="62"/>
      <c r="K845" s="56"/>
      <c r="L845" s="159"/>
      <c r="M845" s="545"/>
      <c r="N845" s="383" t="s">
        <v>1771</v>
      </c>
      <c r="O845" s="383">
        <v>138</v>
      </c>
      <c r="P845" s="383">
        <v>5.5</v>
      </c>
      <c r="Q845" s="543"/>
    </row>
    <row r="846" spans="1:17" ht="13.2">
      <c r="A846" s="83" t="s">
        <v>880</v>
      </c>
      <c r="B846" s="386" t="str">
        <f>HYPERLINK("http://www.spoj.com/problems/CITY2/","SPOJ CITY2")</f>
        <v>SPOJ CITY2</v>
      </c>
      <c r="C846" s="159"/>
      <c r="D846" s="159"/>
      <c r="E846" s="159"/>
      <c r="F846" s="159"/>
      <c r="G846" s="159"/>
      <c r="H846" s="160"/>
      <c r="I846" s="57">
        <f t="shared" si="13"/>
        <v>0</v>
      </c>
      <c r="J846" s="62"/>
      <c r="K846" s="56"/>
      <c r="L846" s="405"/>
      <c r="M846" s="293" t="str">
        <f>HYPERLINK("https://github.com/SpeedOfMagic/CompetitiveProgramming/blob/master/CodeforcesGym/CF101589-GYM-F.cpp","Sol")</f>
        <v>Sol</v>
      </c>
      <c r="N846" s="383" t="s">
        <v>1218</v>
      </c>
      <c r="O846" s="383">
        <v>1</v>
      </c>
      <c r="P846" s="383">
        <v>5.75</v>
      </c>
      <c r="Q846" s="543"/>
    </row>
    <row r="847" spans="1:17" ht="13.2">
      <c r="A847" s="83" t="s">
        <v>930</v>
      </c>
      <c r="B847" s="386" t="str">
        <f>HYPERLINK("http://www.spoj.com/problems/HELPR2D2","SPOJ HELPR2D2")</f>
        <v>SPOJ HELPR2D2</v>
      </c>
      <c r="C847" s="159"/>
      <c r="D847" s="159"/>
      <c r="E847" s="159"/>
      <c r="F847" s="159"/>
      <c r="G847" s="159"/>
      <c r="H847" s="160"/>
      <c r="I847" s="57">
        <f t="shared" si="13"/>
        <v>0</v>
      </c>
      <c r="J847" s="96"/>
      <c r="K847" s="159"/>
      <c r="L847" s="159"/>
      <c r="M847" s="395"/>
      <c r="N847" s="383" t="s">
        <v>1327</v>
      </c>
      <c r="O847" s="383">
        <v>10</v>
      </c>
      <c r="P847" s="383">
        <v>5.75</v>
      </c>
      <c r="Q847" s="37" t="s">
        <v>1251</v>
      </c>
    </row>
    <row r="848" spans="1:17" ht="13.2">
      <c r="A848" s="83" t="s">
        <v>878</v>
      </c>
      <c r="B848" s="386" t="str">
        <f>HYPERLINK("http://www.spoj.com/problems/LITE/","SPOJ LITE")</f>
        <v>SPOJ LITE</v>
      </c>
      <c r="C848" s="159"/>
      <c r="D848" s="159"/>
      <c r="E848" s="159"/>
      <c r="F848" s="159"/>
      <c r="G848" s="159"/>
      <c r="H848" s="160"/>
      <c r="I848" s="57">
        <f t="shared" si="13"/>
        <v>0</v>
      </c>
      <c r="J848" s="62"/>
      <c r="K848" s="56"/>
      <c r="L848" s="159"/>
      <c r="M848" s="545"/>
      <c r="N848" s="383" t="s">
        <v>1328</v>
      </c>
      <c r="O848" s="383">
        <v>10</v>
      </c>
      <c r="P848" s="383">
        <v>5.75</v>
      </c>
      <c r="Q848" s="37" t="s">
        <v>1226</v>
      </c>
    </row>
    <row r="849" spans="1:17" ht="13.2">
      <c r="A849" s="83" t="s">
        <v>879</v>
      </c>
      <c r="B849" s="386" t="str">
        <f>HYPERLINK("http://codeforces.com/contest/52/problem/C","CF52-D12-C")</f>
        <v>CF52-D12-C</v>
      </c>
      <c r="C849" s="159"/>
      <c r="D849" s="159"/>
      <c r="E849" s="159"/>
      <c r="F849" s="159"/>
      <c r="G849" s="159"/>
      <c r="H849" s="160"/>
      <c r="I849" s="57">
        <f t="shared" si="13"/>
        <v>0</v>
      </c>
      <c r="J849" s="102"/>
      <c r="K849" s="102"/>
      <c r="L849" s="96"/>
      <c r="M849" s="293" t="str">
        <f>HYPERLINK("https://github.com/mostafa-saad/MyCompetitiveProgramming/blob/master/UVA/UVA_1218.txt","Sol")</f>
        <v>Sol</v>
      </c>
      <c r="N849" s="383" t="s">
        <v>1384</v>
      </c>
      <c r="O849" s="383">
        <v>38</v>
      </c>
      <c r="P849" s="383">
        <v>5.75</v>
      </c>
      <c r="Q849" s="37" t="s">
        <v>1224</v>
      </c>
    </row>
    <row r="850" spans="1:17" ht="13.2">
      <c r="A850" s="83" t="s">
        <v>885</v>
      </c>
      <c r="B850" s="386" t="str">
        <f>HYPERLINK("http://www.spoj.com/problems/BRCKTS","SPOJ BRCKTS")</f>
        <v>SPOJ BRCKTS</v>
      </c>
      <c r="C850" s="159"/>
      <c r="D850" s="159"/>
      <c r="E850" s="159"/>
      <c r="F850" s="159"/>
      <c r="G850" s="159"/>
      <c r="H850" s="160"/>
      <c r="I850" s="57">
        <f t="shared" si="13"/>
        <v>0</v>
      </c>
      <c r="J850" s="102"/>
      <c r="K850" s="102"/>
      <c r="L850" s="96"/>
      <c r="M850" s="403" t="str">
        <f>HYPERLINK("https://github.com/VAMPIER000001/CompetitiveProgramming/blob/master/UVA/V-7/UVA%20707.Cpp","Sol")</f>
        <v>Sol</v>
      </c>
      <c r="N850" s="383" t="s">
        <v>1488</v>
      </c>
      <c r="O850" s="383">
        <v>60</v>
      </c>
      <c r="P850" s="383">
        <v>5.75</v>
      </c>
      <c r="Q850" s="543"/>
    </row>
    <row r="851" spans="1:17" ht="13.2">
      <c r="A851" s="83" t="s">
        <v>907</v>
      </c>
      <c r="B851" s="386" t="str">
        <f>HYPERLINK("http://www.spoj.com/problems/GSS1/","SPOJ GSS1")</f>
        <v>SPOJ GSS1</v>
      </c>
      <c r="C851" s="159"/>
      <c r="D851" s="159"/>
      <c r="E851" s="159"/>
      <c r="F851" s="159"/>
      <c r="G851" s="159"/>
      <c r="H851" s="160"/>
      <c r="I851" s="57">
        <f t="shared" si="13"/>
        <v>0</v>
      </c>
      <c r="J851" s="102"/>
      <c r="K851" s="101"/>
      <c r="L851" s="416"/>
      <c r="M851" s="406"/>
      <c r="N851" s="383" t="s">
        <v>1507</v>
      </c>
      <c r="O851" s="383">
        <v>65</v>
      </c>
      <c r="P851" s="383">
        <v>5.75</v>
      </c>
      <c r="Q851" s="37" t="s">
        <v>1226</v>
      </c>
    </row>
    <row r="852" spans="1:17" ht="13.2">
      <c r="A852" s="83" t="s">
        <v>881</v>
      </c>
      <c r="B852" s="386" t="str">
        <f>HYPERLINK("https://uva.onlinejudge.org/index.php?option=com_onlinejudge&amp;Itemid=8&amp;page=show_problem&amp;problem=3720","UVA 12299")</f>
        <v>UVA 12299</v>
      </c>
      <c r="C852" s="159"/>
      <c r="D852" s="159"/>
      <c r="E852" s="159"/>
      <c r="F852" s="159"/>
      <c r="G852" s="159"/>
      <c r="H852" s="160"/>
      <c r="I852" s="57">
        <f t="shared" si="13"/>
        <v>0</v>
      </c>
      <c r="J852" s="62"/>
      <c r="K852" s="56"/>
      <c r="L852" s="405"/>
      <c r="M852" s="293" t="str">
        <f>HYPERLINK("https://github.com/mostafa-saad/MyCompetitiveProgramming/blob/master/TopCoder/SRM608-D2-1000.txt","Sol")</f>
        <v>Sol</v>
      </c>
      <c r="N852" s="383" t="s">
        <v>1548</v>
      </c>
      <c r="O852" s="383"/>
      <c r="P852" s="383">
        <v>5.75</v>
      </c>
      <c r="Q852" s="543"/>
    </row>
    <row r="853" spans="1:17" ht="13.2">
      <c r="A853" s="83" t="s">
        <v>1142</v>
      </c>
      <c r="B853" s="386" t="str">
        <f>HYPERLINK("http://www.spoj.com/problems/ANDROUND","SPOJ ANDROUND")</f>
        <v>SPOJ ANDROUND</v>
      </c>
      <c r="C853" s="159"/>
      <c r="D853" s="159"/>
      <c r="E853" s="159"/>
      <c r="F853" s="159"/>
      <c r="G853" s="159"/>
      <c r="H853" s="160"/>
      <c r="I853" s="57">
        <f t="shared" si="13"/>
        <v>0</v>
      </c>
      <c r="J853" s="62"/>
      <c r="K853" s="56"/>
      <c r="L853" s="405"/>
      <c r="M853" s="545"/>
      <c r="N853" s="383" t="s">
        <v>1665</v>
      </c>
      <c r="O853" s="383">
        <v>101</v>
      </c>
      <c r="P853" s="383">
        <v>5.75</v>
      </c>
      <c r="Q853" s="543" t="s">
        <v>1224</v>
      </c>
    </row>
    <row r="854" spans="1:17" ht="13.2">
      <c r="A854" s="83" t="s">
        <v>884</v>
      </c>
      <c r="B854" s="386" t="str">
        <f>HYPERLINK("https://uva.onlinejudge.org/index.php?option=com_onlinejudge&amp;Itemid=8&amp;page=show_problem&amp;problem=2397","UVA 11402")</f>
        <v>UVA 11402</v>
      </c>
      <c r="C854" s="159"/>
      <c r="D854" s="159"/>
      <c r="E854" s="159"/>
      <c r="F854" s="159"/>
      <c r="G854" s="159"/>
      <c r="H854" s="160"/>
      <c r="I854" s="57">
        <f t="shared" si="13"/>
        <v>0</v>
      </c>
      <c r="J854" s="102"/>
      <c r="K854" s="102"/>
      <c r="L854" s="96"/>
      <c r="M854" s="403" t="str">
        <f>HYPERLINK("https://github.com/mostafa-saad/MyCompetitiveProgramming/blob/master/SPOJ/SPOJ_ORDERS.txt","Sol")</f>
        <v>Sol</v>
      </c>
      <c r="N854" s="383" t="s">
        <v>1747</v>
      </c>
      <c r="O854" s="383">
        <v>125</v>
      </c>
      <c r="P854" s="383">
        <v>5.75</v>
      </c>
      <c r="Q854" s="37" t="s">
        <v>1226</v>
      </c>
    </row>
    <row r="855" spans="1:17" ht="13.2">
      <c r="A855" s="83" t="s">
        <v>886</v>
      </c>
      <c r="B855" s="386" t="str">
        <f>HYPERLINK("http://codeforces.com/contest/460/problem/C","CF460-D2-C")</f>
        <v>CF460-D2-C</v>
      </c>
      <c r="C855" s="159"/>
      <c r="D855" s="159"/>
      <c r="E855" s="159"/>
      <c r="F855" s="159"/>
      <c r="G855" s="159"/>
      <c r="H855" s="160"/>
      <c r="I855" s="57">
        <f t="shared" si="13"/>
        <v>0</v>
      </c>
      <c r="J855" s="102"/>
      <c r="K855" s="102"/>
      <c r="L855" s="96"/>
      <c r="M855" s="404"/>
      <c r="N855" s="383" t="s">
        <v>1245</v>
      </c>
      <c r="O855" s="383">
        <v>1</v>
      </c>
      <c r="P855" s="383">
        <v>6</v>
      </c>
      <c r="Q855" s="37" t="s">
        <v>1226</v>
      </c>
    </row>
    <row r="856" spans="1:17" ht="26.4">
      <c r="A856" s="83" t="s">
        <v>1074</v>
      </c>
      <c r="B856" s="386" t="str">
        <f>HYPERLINK("http://poj.org/problem?id=2374","PKU 2374")</f>
        <v>PKU 2374</v>
      </c>
      <c r="C856" s="159"/>
      <c r="D856" s="159"/>
      <c r="E856" s="159"/>
      <c r="F856" s="159"/>
      <c r="G856" s="159"/>
      <c r="H856" s="160"/>
      <c r="I856" s="57">
        <f t="shared" si="13"/>
        <v>0</v>
      </c>
      <c r="J856" s="102"/>
      <c r="K856" s="101"/>
      <c r="L856" s="405"/>
      <c r="M856" s="293" t="str">
        <f>HYPERLINK("https://github.com/mostafa-saad/MyCompetitiveProgramming/blob/master/SPOJ/SPOJ_MSE07E.txt","Read SPOJ users' comments about IO. See here sol")</f>
        <v>Read SPOJ users' comments about IO. See here sol</v>
      </c>
      <c r="N856" s="383" t="s">
        <v>1281</v>
      </c>
      <c r="O856" s="383">
        <v>6</v>
      </c>
      <c r="P856" s="383">
        <v>6</v>
      </c>
      <c r="Q856" s="37" t="s">
        <v>1226</v>
      </c>
    </row>
    <row r="857" spans="1:17" ht="13.2">
      <c r="A857" s="83"/>
      <c r="B857" s="386" t="str">
        <f>HYPERLINK("https://codeforces.com/problemset/problem/61/E","CF61-D2-E")</f>
        <v>CF61-D2-E</v>
      </c>
      <c r="C857" s="159"/>
      <c r="D857" s="159"/>
      <c r="E857" s="159"/>
      <c r="F857" s="159"/>
      <c r="G857" s="159"/>
      <c r="H857" s="160"/>
      <c r="I857" s="57">
        <f t="shared" si="13"/>
        <v>0</v>
      </c>
      <c r="J857" s="62"/>
      <c r="K857" s="56"/>
      <c r="L857" s="159"/>
      <c r="M857" s="293" t="str">
        <f>HYPERLINK("https://github.com/AbdelrahmanRamadan/competitive-programming/blob/master/UVA/11234%20-%20Expressions.cpp","Sol")</f>
        <v>Sol</v>
      </c>
      <c r="N857" s="383" t="s">
        <v>1297</v>
      </c>
      <c r="O857" s="383">
        <v>9</v>
      </c>
      <c r="P857" s="383">
        <v>6</v>
      </c>
      <c r="Q857" s="37" t="s">
        <v>1224</v>
      </c>
    </row>
    <row r="858" spans="1:17" ht="13.2">
      <c r="A858" s="83" t="s">
        <v>908</v>
      </c>
      <c r="B858" s="386" t="str">
        <f>HYPERLINK("http://www.spoj.com/problems/GSS3/","SPOJ GSS3")</f>
        <v>SPOJ GSS3</v>
      </c>
      <c r="C858" s="159"/>
      <c r="D858" s="159"/>
      <c r="E858" s="159"/>
      <c r="F858" s="159"/>
      <c r="G858" s="159"/>
      <c r="H858" s="160"/>
      <c r="I858" s="57">
        <f t="shared" si="13"/>
        <v>0</v>
      </c>
      <c r="J858" s="102"/>
      <c r="K858" s="101"/>
      <c r="L858" s="159"/>
      <c r="M858" s="545"/>
      <c r="N858" s="383" t="s">
        <v>1329</v>
      </c>
      <c r="O858" s="383">
        <v>10</v>
      </c>
      <c r="P858" s="383">
        <v>6</v>
      </c>
      <c r="Q858" s="37" t="s">
        <v>1224</v>
      </c>
    </row>
    <row r="859" spans="1:17" ht="13.2">
      <c r="A859" s="83" t="s">
        <v>1016</v>
      </c>
      <c r="B859" s="386" t="str">
        <f>HYPERLINK("http://www.spoj.com/problems/SEGSQRSS","SPOJ SEGSQRSS")</f>
        <v>SPOJ SEGSQRSS</v>
      </c>
      <c r="C859" s="159"/>
      <c r="D859" s="159"/>
      <c r="E859" s="159"/>
      <c r="F859" s="159"/>
      <c r="G859" s="159"/>
      <c r="H859" s="160"/>
      <c r="I859" s="57">
        <f t="shared" si="13"/>
        <v>0</v>
      </c>
      <c r="J859" s="62"/>
      <c r="K859" s="56"/>
      <c r="L859" s="405"/>
      <c r="M859" s="403" t="str">
        <f>HYPERLINK("https://github.com/SaraElkadi/competitive-programming-/blob/master/UVA/11284.cpp","Sol")</f>
        <v>Sol</v>
      </c>
      <c r="N859" s="383" t="s">
        <v>1335</v>
      </c>
      <c r="O859" s="383">
        <v>13</v>
      </c>
      <c r="P859" s="383">
        <v>6</v>
      </c>
      <c r="Q859" s="543"/>
    </row>
    <row r="860" spans="1:17" ht="13.2">
      <c r="A860" s="83"/>
      <c r="B860" s="386" t="str">
        <f>HYPERLINK("http://codeforces.com/contest/380/problem/C","CF380-D1-C")</f>
        <v>CF380-D1-C</v>
      </c>
      <c r="C860" s="159"/>
      <c r="D860" s="159"/>
      <c r="E860" s="159"/>
      <c r="F860" s="159"/>
      <c r="G860" s="159"/>
      <c r="H860" s="160"/>
      <c r="I860" s="57">
        <f t="shared" si="13"/>
        <v>0</v>
      </c>
      <c r="J860" s="62"/>
      <c r="K860" s="56"/>
      <c r="L860" s="159"/>
      <c r="M860" s="293" t="str">
        <f>HYPERLINK("https://github.com/VAMPIER000001/CompetitiveProgramming/blob/master/UVA/V-111/UVA%2011176.cpp","Sol")</f>
        <v>Sol</v>
      </c>
      <c r="N860" s="383" t="s">
        <v>1356</v>
      </c>
      <c r="O860" s="383">
        <v>29</v>
      </c>
      <c r="P860" s="383">
        <v>6</v>
      </c>
      <c r="Q860" s="543"/>
    </row>
    <row r="861" spans="1:17" ht="13.2">
      <c r="A861" s="83" t="s">
        <v>1196</v>
      </c>
      <c r="B861" s="386" t="str">
        <f>HYPERLINK("http://www.spoj.com/problems/GSS4","SPOJ GSS4")</f>
        <v>SPOJ GSS4</v>
      </c>
      <c r="C861" s="159"/>
      <c r="D861" s="159"/>
      <c r="E861" s="159"/>
      <c r="F861" s="159"/>
      <c r="G861" s="159"/>
      <c r="H861" s="160"/>
      <c r="I861" s="57">
        <f t="shared" si="13"/>
        <v>0</v>
      </c>
      <c r="J861" s="62"/>
      <c r="K861" s="56"/>
      <c r="L861" s="405"/>
      <c r="M861" s="545"/>
      <c r="N861" s="383" t="s">
        <v>1370</v>
      </c>
      <c r="O861" s="383">
        <v>32</v>
      </c>
      <c r="P861" s="383">
        <v>6</v>
      </c>
      <c r="Q861" s="37" t="s">
        <v>1251</v>
      </c>
    </row>
    <row r="862" spans="1:17" ht="13.2">
      <c r="A862" s="83" t="s">
        <v>998</v>
      </c>
      <c r="B862" s="386" t="str">
        <f>HYPERLINK("https://uva.onlinejudge.org/index.php?option=com_onlinejudge&amp;Itemid=8&amp;page=show_problem&amp;problem=3673","UVA 1232")</f>
        <v>UVA 1232</v>
      </c>
      <c r="C862" s="159"/>
      <c r="D862" s="159"/>
      <c r="E862" s="159"/>
      <c r="F862" s="159"/>
      <c r="G862" s="159"/>
      <c r="H862" s="160"/>
      <c r="I862" s="57">
        <f t="shared" si="13"/>
        <v>0</v>
      </c>
      <c r="J862" s="102"/>
      <c r="K862" s="101"/>
      <c r="L862" s="405"/>
      <c r="M862" s="403" t="str">
        <f>HYPERLINK("https://github.com/mostafa-saad/MyCompetitiveProgramming/blob/master/UVA/UVA_11648.txt", "Sol")</f>
        <v>Sol</v>
      </c>
      <c r="N862" s="383" t="s">
        <v>1413</v>
      </c>
      <c r="O862" s="383">
        <v>45</v>
      </c>
      <c r="P862" s="383">
        <v>6</v>
      </c>
      <c r="Q862" s="37" t="s">
        <v>1224</v>
      </c>
    </row>
    <row r="863" spans="1:17" ht="13.2">
      <c r="A863" s="83" t="s">
        <v>999</v>
      </c>
      <c r="B863" s="386" t="str">
        <f>HYPERLINK("http://www.spoj.com/problems/ORDERS/","SPOJ ORDERS")</f>
        <v>SPOJ ORDERS</v>
      </c>
      <c r="C863" s="159"/>
      <c r="D863" s="159"/>
      <c r="E863" s="159"/>
      <c r="F863" s="159"/>
      <c r="G863" s="159"/>
      <c r="H863" s="160"/>
      <c r="I863" s="57">
        <f t="shared" si="13"/>
        <v>0</v>
      </c>
      <c r="J863" s="102"/>
      <c r="K863" s="101"/>
      <c r="L863" s="405"/>
      <c r="M863" s="403" t="str">
        <f>HYPERLINK("https://github.com/mostafa-saad/MyCompetitiveProgramming/blob/master/UVA/UVA_1333.txt","Sol - Text/Background Clarification")</f>
        <v>Sol - Text/Background Clarification</v>
      </c>
      <c r="N863" s="383" t="s">
        <v>1414</v>
      </c>
      <c r="O863" s="383">
        <v>45</v>
      </c>
      <c r="P863" s="383">
        <v>6</v>
      </c>
      <c r="Q863" s="37" t="s">
        <v>1220</v>
      </c>
    </row>
    <row r="864" spans="1:17" ht="13.2">
      <c r="A864" s="83"/>
      <c r="B864" s="83" t="s">
        <v>1178</v>
      </c>
      <c r="C864" s="159"/>
      <c r="D864" s="159"/>
      <c r="E864" s="159"/>
      <c r="F864" s="159"/>
      <c r="G864" s="159"/>
      <c r="H864" s="160"/>
      <c r="I864" s="57">
        <f t="shared" si="13"/>
        <v>0</v>
      </c>
      <c r="J864" s="96"/>
      <c r="K864" s="159"/>
      <c r="L864" s="159"/>
      <c r="M864" s="403" t="str">
        <f>HYPERLINK("https://github.com/mostafa-saad/MyCompetitiveProgramming/blob/master/UVA/588.cpp","Use polygon cut")</f>
        <v>Use polygon cut</v>
      </c>
      <c r="N864" s="383" t="s">
        <v>1450</v>
      </c>
      <c r="O864" s="383">
        <v>53</v>
      </c>
      <c r="P864" s="383">
        <v>6</v>
      </c>
      <c r="Q864" s="37" t="s">
        <v>1229</v>
      </c>
    </row>
    <row r="865" spans="1:17" ht="13.2">
      <c r="A865" s="83"/>
      <c r="B865" s="83" t="s">
        <v>1005</v>
      </c>
      <c r="C865" s="159"/>
      <c r="D865" s="159"/>
      <c r="E865" s="159"/>
      <c r="F865" s="159"/>
      <c r="G865" s="159"/>
      <c r="H865" s="160"/>
      <c r="I865" s="57">
        <f t="shared" si="13"/>
        <v>0</v>
      </c>
      <c r="J865" s="62"/>
      <c r="K865" s="56"/>
      <c r="L865" s="159"/>
      <c r="M865" s="406"/>
      <c r="N865" s="383" t="s">
        <v>1478</v>
      </c>
      <c r="O865" s="383">
        <v>57</v>
      </c>
      <c r="P865" s="383">
        <v>6</v>
      </c>
      <c r="Q865" s="37" t="s">
        <v>1224</v>
      </c>
    </row>
    <row r="866" spans="1:17" ht="13.2">
      <c r="A866" s="83" t="s">
        <v>412</v>
      </c>
      <c r="B866" s="83" t="s">
        <v>413</v>
      </c>
      <c r="C866" s="159"/>
      <c r="D866" s="159"/>
      <c r="E866" s="159"/>
      <c r="F866" s="159"/>
      <c r="G866" s="159"/>
      <c r="H866" s="160"/>
      <c r="I866" s="57">
        <f t="shared" si="13"/>
        <v>0</v>
      </c>
      <c r="J866" s="62"/>
      <c r="K866" s="56"/>
      <c r="L866" s="159"/>
      <c r="M866" s="293" t="str">
        <f>HYPERLINK("https://github.com/AbdelrahmanRamadan/competitive-programming/blob/master/Codeforces/CF707-D2-D.cpp","Sol")</f>
        <v>Sol</v>
      </c>
      <c r="N866" s="383" t="s">
        <v>1489</v>
      </c>
      <c r="O866" s="383">
        <v>60</v>
      </c>
      <c r="P866" s="383">
        <v>6</v>
      </c>
      <c r="Q866" s="37" t="s">
        <v>1226</v>
      </c>
    </row>
    <row r="867" spans="1:17" ht="13.2">
      <c r="A867" s="83" t="s">
        <v>396</v>
      </c>
      <c r="B867" s="386" t="str">
        <f>HYPERLINK("http://acm.timus.ru/problem.aspx?space=1&amp;num=1607","TIMUS 1607")</f>
        <v>TIMUS 1607</v>
      </c>
      <c r="C867" s="159"/>
      <c r="D867" s="159"/>
      <c r="E867" s="159"/>
      <c r="F867" s="159"/>
      <c r="G867" s="159"/>
      <c r="H867" s="160"/>
      <c r="I867" s="57">
        <f t="shared" si="13"/>
        <v>0</v>
      </c>
      <c r="J867" s="62"/>
      <c r="K867" s="56"/>
      <c r="L867" s="62"/>
      <c r="M867" s="293" t="str">
        <f>HYPERLINK("https://github.com/MohamedNabil97/CompetitiveProgramming/blob/master/CodeForces/CF604-D2-D.cpp","Sol")</f>
        <v>Sol</v>
      </c>
      <c r="N867" s="383" t="s">
        <v>1490</v>
      </c>
      <c r="O867" s="383">
        <v>60</v>
      </c>
      <c r="P867" s="383">
        <v>6</v>
      </c>
      <c r="Q867" s="37" t="s">
        <v>1224</v>
      </c>
    </row>
    <row r="868" spans="1:17" ht="13.2">
      <c r="A868" s="83" t="s">
        <v>613</v>
      </c>
      <c r="B868" s="386" t="str">
        <f>HYPERLINK("https://uva.onlinejudge.org/index.php?option=com_onlinejudge&amp;Itemid=8&amp;page=show_problem&amp;problem=37","UVA 101")</f>
        <v>UVA 101</v>
      </c>
      <c r="C868" s="159"/>
      <c r="D868" s="159"/>
      <c r="E868" s="159"/>
      <c r="F868" s="159"/>
      <c r="G868" s="159"/>
      <c r="H868" s="160"/>
      <c r="I868" s="57">
        <f t="shared" si="13"/>
        <v>0</v>
      </c>
      <c r="J868" s="62"/>
      <c r="K868" s="56"/>
      <c r="L868" s="159"/>
      <c r="M868" s="403" t="str">
        <f>HYPERLINK("https://github.com/BRAINOOOO/CompetitiveProgramming/blob/master/CF/CF812-D2-D","Sol")</f>
        <v>Sol</v>
      </c>
      <c r="N868" s="383" t="s">
        <v>1501</v>
      </c>
      <c r="O868" s="383">
        <v>63</v>
      </c>
      <c r="P868" s="383">
        <v>6</v>
      </c>
      <c r="Q868" s="37" t="s">
        <v>1251</v>
      </c>
    </row>
    <row r="869" spans="1:17" ht="13.2">
      <c r="A869" s="83" t="s">
        <v>970</v>
      </c>
      <c r="B869" s="386" t="str">
        <f>HYPERLINK("http://poj.org/problem?id=3461","PKU 3461")</f>
        <v>PKU 3461</v>
      </c>
      <c r="C869" s="159"/>
      <c r="D869" s="159"/>
      <c r="E869" s="159"/>
      <c r="F869" s="159"/>
      <c r="G869" s="159"/>
      <c r="H869" s="160"/>
      <c r="I869" s="57">
        <f t="shared" si="13"/>
        <v>0</v>
      </c>
      <c r="J869" s="62"/>
      <c r="K869" s="56"/>
      <c r="L869" s="159"/>
      <c r="M869" s="293" t="str">
        <f>HYPERLINK("https://github.com/mostafa-saad/MyCompetitiveProgramming/blob/master/UVA/UVA_12125.txt","Sol")</f>
        <v>Sol</v>
      </c>
      <c r="N869" s="383" t="s">
        <v>1520</v>
      </c>
      <c r="O869" s="383">
        <v>71</v>
      </c>
      <c r="P869" s="383">
        <v>6</v>
      </c>
    </row>
    <row r="870" spans="1:17" ht="13.2">
      <c r="A870" s="83" t="s">
        <v>971</v>
      </c>
      <c r="B870" s="386" t="str">
        <f>HYPERLINK("http://www.spoj.com/problems/NHAY","SPOJ NHAY")</f>
        <v>SPOJ NHAY</v>
      </c>
      <c r="C870" s="159"/>
      <c r="D870" s="159"/>
      <c r="E870" s="159"/>
      <c r="F870" s="159"/>
      <c r="G870" s="159"/>
      <c r="H870" s="160"/>
      <c r="I870" s="57">
        <f t="shared" si="13"/>
        <v>0</v>
      </c>
      <c r="J870" s="62"/>
      <c r="K870" s="56"/>
      <c r="L870" s="159"/>
      <c r="M870" s="403" t="str">
        <f>HYPERLINK("https://github.com/BRAINOOOO/CompetitiveProgramming/blob/master/UVA/V-121/UVA%2012168.Cpp","Sol")</f>
        <v>Sol</v>
      </c>
      <c r="N870" s="383" t="s">
        <v>1531</v>
      </c>
      <c r="O870" s="383">
        <v>72</v>
      </c>
      <c r="P870" s="383">
        <v>6</v>
      </c>
      <c r="Q870" s="37" t="s">
        <v>1226</v>
      </c>
    </row>
    <row r="871" spans="1:17" ht="13.2">
      <c r="A871" s="83" t="s">
        <v>972</v>
      </c>
      <c r="B871" s="386" t="str">
        <f>HYPERLINK("http://www.spoj.com/problems/TESSER/","SPOJ TESSER")</f>
        <v>SPOJ TESSER</v>
      </c>
      <c r="C871" s="159"/>
      <c r="D871" s="159"/>
      <c r="E871" s="159"/>
      <c r="F871" s="159"/>
      <c r="G871" s="159"/>
      <c r="H871" s="160"/>
      <c r="I871" s="57">
        <f t="shared" si="13"/>
        <v>0</v>
      </c>
      <c r="J871" s="62"/>
      <c r="K871" s="56"/>
      <c r="L871" s="159"/>
      <c r="M871" s="293" t="str">
        <f>HYPERLINK("https://github.com/BRAINOOOO/CompetitiveProgramming/blob/master/Spoj/SPOJ%20QUEST4.Cpp","Sol")</f>
        <v>Sol</v>
      </c>
      <c r="N871" s="383" t="s">
        <v>1525</v>
      </c>
      <c r="O871" s="383">
        <v>72</v>
      </c>
      <c r="P871" s="383">
        <v>6</v>
      </c>
      <c r="Q871" s="37" t="s">
        <v>1224</v>
      </c>
    </row>
    <row r="872" spans="1:17" ht="13.2">
      <c r="A872" s="83" t="s">
        <v>973</v>
      </c>
      <c r="B872" s="386" t="str">
        <f>HYPERLINK("http://www.spoj.com/problems/PERIOD/","SPOJ PERIOD")</f>
        <v>SPOJ PERIOD</v>
      </c>
      <c r="C872" s="159"/>
      <c r="D872" s="159"/>
      <c r="E872" s="159"/>
      <c r="F872" s="159"/>
      <c r="G872" s="159"/>
      <c r="H872" s="160"/>
      <c r="I872" s="57">
        <f t="shared" si="13"/>
        <v>0</v>
      </c>
      <c r="J872" s="62"/>
      <c r="K872" s="56"/>
      <c r="L872" s="405"/>
      <c r="M872" s="293" t="str">
        <f>HYPERLINK("https://github.com/BRAINOOOO/CompetitiveProgramming/blob/master/UVA/V-6/UVA%20663.Cpp","Sol")</f>
        <v>Sol</v>
      </c>
      <c r="N872" s="383" t="s">
        <v>1525</v>
      </c>
      <c r="O872" s="383">
        <v>72</v>
      </c>
      <c r="P872" s="383">
        <v>6</v>
      </c>
      <c r="Q872" s="37" t="s">
        <v>1220</v>
      </c>
    </row>
    <row r="873" spans="1:17" ht="13.2">
      <c r="A873" s="83" t="s">
        <v>974</v>
      </c>
      <c r="B873" s="386" t="str">
        <f>HYPERLINK("http://codeforces.com/contest/432/problem/D","CF432-D2-D")</f>
        <v>CF432-D2-D</v>
      </c>
      <c r="C873" s="159"/>
      <c r="D873" s="159"/>
      <c r="E873" s="159"/>
      <c r="F873" s="159"/>
      <c r="G873" s="159"/>
      <c r="H873" s="160"/>
      <c r="I873" s="57">
        <f t="shared" si="13"/>
        <v>0</v>
      </c>
      <c r="J873" s="62"/>
      <c r="K873" s="56"/>
      <c r="L873" s="159"/>
      <c r="M873" s="293" t="str">
        <f>HYPERLINK("https://github.com/Huvok/CompetitiveProgramming/blob/master/SPOJ/COCONUTS.cpp","Sol")</f>
        <v>Sol</v>
      </c>
      <c r="N873" s="383" t="s">
        <v>1536</v>
      </c>
      <c r="O873" s="383">
        <v>74</v>
      </c>
      <c r="P873" s="383">
        <v>6</v>
      </c>
      <c r="Q873" s="37" t="s">
        <v>1226</v>
      </c>
    </row>
    <row r="874" spans="1:17" ht="13.2">
      <c r="A874" s="83" t="s">
        <v>975</v>
      </c>
      <c r="B874" s="386" t="str">
        <f>HYPERLINK("http://codeforces.com/contest/535/problem/D","CF535-D2-D")</f>
        <v>CF535-D2-D</v>
      </c>
      <c r="C874" s="159"/>
      <c r="D874" s="159"/>
      <c r="E874" s="159"/>
      <c r="F874" s="159"/>
      <c r="G874" s="159"/>
      <c r="H874" s="160"/>
      <c r="I874" s="57">
        <f t="shared" si="13"/>
        <v>0</v>
      </c>
      <c r="J874" s="62"/>
      <c r="K874" s="56"/>
      <c r="L874" s="159"/>
      <c r="M874" s="406"/>
      <c r="N874" s="383" t="s">
        <v>1543</v>
      </c>
      <c r="O874" s="383">
        <v>76</v>
      </c>
      <c r="P874" s="383">
        <v>6</v>
      </c>
      <c r="Q874" s="543"/>
    </row>
    <row r="875" spans="1:17" ht="13.2">
      <c r="A875" s="83"/>
      <c r="B875" s="386" t="str">
        <f>HYPERLINK("https://codeforces.com/contest/1147/problem/B", "CF1147-D1-B")</f>
        <v>CF1147-D1-B</v>
      </c>
      <c r="C875" s="159"/>
      <c r="D875" s="159"/>
      <c r="E875" s="159"/>
      <c r="F875" s="159"/>
      <c r="G875" s="159"/>
      <c r="H875" s="160"/>
      <c r="I875" s="57">
        <f t="shared" si="13"/>
        <v>0</v>
      </c>
      <c r="J875" s="102"/>
      <c r="K875" s="101"/>
      <c r="L875" s="159"/>
      <c r="M875" s="406"/>
      <c r="N875" s="383" t="s">
        <v>1549</v>
      </c>
      <c r="O875" s="383">
        <v>77</v>
      </c>
      <c r="P875" s="383">
        <v>6</v>
      </c>
      <c r="Q875" s="37" t="s">
        <v>1226</v>
      </c>
    </row>
    <row r="876" spans="1:17" ht="13.2">
      <c r="A876" s="83" t="s">
        <v>1200</v>
      </c>
      <c r="B876" s="386" t="str">
        <f>HYPERLINK("http://codeforces.com/contest/631/problem/D","CF631-D2-D")</f>
        <v>CF631-D2-D</v>
      </c>
      <c r="C876" s="159"/>
      <c r="D876" s="159"/>
      <c r="E876" s="159"/>
      <c r="F876" s="159"/>
      <c r="G876" s="159"/>
      <c r="H876" s="160"/>
      <c r="I876" s="57">
        <f t="shared" si="13"/>
        <v>0</v>
      </c>
      <c r="J876" s="102"/>
      <c r="K876" s="101"/>
      <c r="L876" s="159"/>
      <c r="M876" s="399"/>
      <c r="N876" s="383" t="s">
        <v>1589</v>
      </c>
      <c r="O876" s="383">
        <v>84</v>
      </c>
      <c r="P876" s="383">
        <v>6</v>
      </c>
      <c r="Q876" s="37" t="s">
        <v>1226</v>
      </c>
    </row>
    <row r="877" spans="1:17" ht="13.2">
      <c r="A877" s="83"/>
      <c r="B877" s="386" t="str">
        <f>HYPERLINK("https://codeforces.com/contest/1138/problem/D","CF1138-D2-D")</f>
        <v>CF1138-D2-D</v>
      </c>
      <c r="C877" s="159"/>
      <c r="D877" s="159"/>
      <c r="E877" s="159"/>
      <c r="F877" s="159"/>
      <c r="G877" s="159"/>
      <c r="H877" s="160"/>
      <c r="I877" s="57">
        <f t="shared" si="13"/>
        <v>0</v>
      </c>
      <c r="J877" s="102"/>
      <c r="K877" s="101"/>
      <c r="L877" s="159"/>
      <c r="M877" s="406"/>
      <c r="N877" s="383" t="s">
        <v>1590</v>
      </c>
      <c r="O877" s="383">
        <v>84</v>
      </c>
      <c r="P877" s="383">
        <v>6</v>
      </c>
      <c r="Q877" s="37" t="s">
        <v>1226</v>
      </c>
    </row>
    <row r="878" spans="1:17" ht="13.2">
      <c r="A878" s="83"/>
      <c r="B878" s="386" t="str">
        <f>HYPERLINK("https://www.facebook.com/hackercup/problem/1153996538071503/", "FbHkrCup 18-RQ-C")</f>
        <v>FbHkrCup 18-RQ-C</v>
      </c>
      <c r="C878" s="159"/>
      <c r="D878" s="159"/>
      <c r="E878" s="159"/>
      <c r="F878" s="159"/>
      <c r="G878" s="159"/>
      <c r="H878" s="160"/>
      <c r="I878" s="57">
        <f t="shared" si="13"/>
        <v>0</v>
      </c>
      <c r="J878" s="102"/>
      <c r="K878" s="101"/>
      <c r="L878" s="159"/>
      <c r="M878" s="406"/>
      <c r="N878" s="383" t="s">
        <v>1591</v>
      </c>
      <c r="O878" s="383">
        <v>84</v>
      </c>
      <c r="P878" s="383">
        <v>6</v>
      </c>
      <c r="Q878" s="37" t="s">
        <v>1224</v>
      </c>
    </row>
    <row r="879" spans="1:17" ht="13.2">
      <c r="A879" s="83"/>
      <c r="B879" s="83" t="s">
        <v>1122</v>
      </c>
      <c r="C879" s="159"/>
      <c r="D879" s="159"/>
      <c r="E879" s="159"/>
      <c r="F879" s="159"/>
      <c r="G879" s="159"/>
      <c r="H879" s="160"/>
      <c r="I879" s="57">
        <f t="shared" si="13"/>
        <v>0</v>
      </c>
      <c r="J879" s="102"/>
      <c r="K879" s="101"/>
      <c r="L879" s="159"/>
      <c r="M879" s="545"/>
      <c r="N879" s="383" t="s">
        <v>1592</v>
      </c>
      <c r="O879" s="383">
        <v>84</v>
      </c>
      <c r="P879" s="383">
        <v>6</v>
      </c>
      <c r="Q879" s="543"/>
    </row>
    <row r="880" spans="1:17" ht="13.2">
      <c r="A880" s="83" t="s">
        <v>957</v>
      </c>
      <c r="B880" s="386" t="str">
        <f>HYPERLINK("http://www.spoj.com/problems/PHONELST/","SPOJ PHONELST")</f>
        <v>SPOJ PHONELST</v>
      </c>
      <c r="C880" s="159"/>
      <c r="D880" s="159"/>
      <c r="E880" s="159"/>
      <c r="F880" s="159"/>
      <c r="G880" s="159"/>
      <c r="H880" s="160"/>
      <c r="I880" s="57">
        <f t="shared" si="13"/>
        <v>0</v>
      </c>
      <c r="J880" s="102"/>
      <c r="K880" s="101"/>
      <c r="L880" s="159"/>
      <c r="M880" s="403" t="str">
        <f>HYPERLINK("https://github.com/BRAINOOOO/CompetitiveProgramming/blob/0577cb43f4a000eca9870ccc375c95381224aed1/CF/CF352-D2-D","Sol")</f>
        <v>Sol</v>
      </c>
      <c r="N880" s="383" t="s">
        <v>1637</v>
      </c>
      <c r="O880" s="383">
        <v>87</v>
      </c>
      <c r="P880" s="383">
        <v>6</v>
      </c>
      <c r="Q880" s="37" t="s">
        <v>1226</v>
      </c>
    </row>
    <row r="881" spans="1:17" ht="13.2">
      <c r="A881" s="83" t="s">
        <v>958</v>
      </c>
      <c r="B881" s="386" t="str">
        <f>HYPERLINK("https://uva.onlinejudge.org/index.php?option=com_onlinejudge&amp;Itemid=8&amp;page=show_problem&amp;problem=3971","UVA 12526")</f>
        <v>UVA 12526</v>
      </c>
      <c r="C881" s="159"/>
      <c r="D881" s="159"/>
      <c r="E881" s="159"/>
      <c r="F881" s="159"/>
      <c r="G881" s="159"/>
      <c r="H881" s="160"/>
      <c r="I881" s="57">
        <f t="shared" si="13"/>
        <v>0</v>
      </c>
      <c r="J881" s="102"/>
      <c r="K881" s="101"/>
      <c r="L881" s="159"/>
      <c r="M881" s="401"/>
      <c r="N881" s="383" t="s">
        <v>1652</v>
      </c>
      <c r="O881" s="383">
        <v>95</v>
      </c>
      <c r="P881" s="383">
        <v>6</v>
      </c>
      <c r="Q881" s="37" t="s">
        <v>1251</v>
      </c>
    </row>
    <row r="882" spans="1:17" ht="13.2">
      <c r="A882" s="83" t="s">
        <v>956</v>
      </c>
      <c r="B882" s="386" t="str">
        <f>HYPERLINK("https://uva.onlinejudge.org/index.php?option=com_onlinejudge&amp;Itemid=8&amp;page=show_problem&amp;problem=4331","UVA 1556")</f>
        <v>UVA 1556</v>
      </c>
      <c r="C882" s="159"/>
      <c r="D882" s="159"/>
      <c r="E882" s="159"/>
      <c r="F882" s="159"/>
      <c r="G882" s="159"/>
      <c r="H882" s="160"/>
      <c r="I882" s="57">
        <f t="shared" si="13"/>
        <v>0</v>
      </c>
      <c r="J882" s="102"/>
      <c r="K882" s="101"/>
      <c r="L882" s="159"/>
      <c r="M882" s="293" t="str">
        <f>HYPERLINK("https://github.com/dasannagariraja/CompetitiveProgramming/blob/master/AtCoder/AtCoder026-AGC-B.cpp","Sol")</f>
        <v>Sol</v>
      </c>
      <c r="N882" s="383" t="s">
        <v>1661</v>
      </c>
      <c r="O882" s="383">
        <v>99</v>
      </c>
      <c r="P882" s="383">
        <v>6</v>
      </c>
      <c r="Q882" s="37" t="s">
        <v>1226</v>
      </c>
    </row>
    <row r="883" spans="1:17" ht="13.2">
      <c r="A883" s="83" t="s">
        <v>955</v>
      </c>
      <c r="B883" s="386" t="str">
        <f>HYPERLINK("http://www.spoj.com/problems/DICT/","SPOJ DICT")</f>
        <v>SPOJ DICT</v>
      </c>
      <c r="C883" s="159"/>
      <c r="D883" s="159"/>
      <c r="E883" s="159"/>
      <c r="F883" s="159"/>
      <c r="G883" s="159"/>
      <c r="H883" s="160"/>
      <c r="I883" s="57">
        <f t="shared" si="13"/>
        <v>0</v>
      </c>
      <c r="J883" s="102"/>
      <c r="K883" s="101"/>
      <c r="L883" s="159"/>
      <c r="M883" s="420" t="str">
        <f>HYPERLINK("https://github.com/mostafa-saad/MyCompetitiveProgramming/blob/master/SPOJ/SPOJ_MSKYCODE.txt","Sol")</f>
        <v>Sol</v>
      </c>
      <c r="N883" s="383" t="s">
        <v>1665</v>
      </c>
      <c r="O883" s="383">
        <v>101</v>
      </c>
      <c r="P883" s="383">
        <v>6</v>
      </c>
      <c r="Q883" s="543" t="s">
        <v>1226</v>
      </c>
    </row>
    <row r="884" spans="1:17" ht="13.2">
      <c r="A884" s="83" t="s">
        <v>959</v>
      </c>
      <c r="B884" s="386" t="str">
        <f>HYPERLINK("http://codeforces.com/contest/706/problem/D","CF706-D2-D")</f>
        <v>CF706-D2-D</v>
      </c>
      <c r="C884" s="159"/>
      <c r="D884" s="159"/>
      <c r="E884" s="159"/>
      <c r="F884" s="159"/>
      <c r="G884" s="159"/>
      <c r="H884" s="160"/>
      <c r="I884" s="57">
        <f t="shared" si="13"/>
        <v>0</v>
      </c>
      <c r="J884" s="102"/>
      <c r="K884" s="101"/>
      <c r="L884" s="159"/>
      <c r="M884" s="420" t="str">
        <f>HYPERLINK("https://ideone.com/bDMQGD","Sol")</f>
        <v>Sol</v>
      </c>
      <c r="N884" s="383" t="s">
        <v>1665</v>
      </c>
      <c r="O884" s="383">
        <v>101</v>
      </c>
      <c r="P884" s="383">
        <v>6</v>
      </c>
      <c r="Q884" s="543" t="s">
        <v>1226</v>
      </c>
    </row>
    <row r="885" spans="1:17" ht="13.2">
      <c r="A885" s="83"/>
      <c r="B885" s="83" t="s">
        <v>982</v>
      </c>
      <c r="C885" s="159"/>
      <c r="D885" s="159"/>
      <c r="E885" s="159"/>
      <c r="F885" s="159"/>
      <c r="G885" s="159"/>
      <c r="H885" s="160"/>
      <c r="I885" s="57">
        <f t="shared" si="13"/>
        <v>0</v>
      </c>
      <c r="J885" s="102"/>
      <c r="K885" s="101"/>
      <c r="L885" s="159"/>
      <c r="M885" s="403" t="str">
        <f>HYPERLINK("https://github.com/aabdelzaher/Competitive-Programming/blob/master/Codeforces/CF513-D12-C.java","Sol")</f>
        <v>Sol</v>
      </c>
      <c r="N885" s="383" t="s">
        <v>1691</v>
      </c>
      <c r="O885" s="383">
        <v>113</v>
      </c>
      <c r="P885" s="383">
        <v>6</v>
      </c>
      <c r="Q885" s="37" t="s">
        <v>1226</v>
      </c>
    </row>
    <row r="886" spans="1:17" ht="13.2">
      <c r="A886" s="83"/>
      <c r="B886" s="386" t="str">
        <f>HYPERLINK("http://codeforces.com/contest/842/problem/D","CF842-D2-D")</f>
        <v>CF842-D2-D</v>
      </c>
      <c r="C886" s="159"/>
      <c r="D886" s="159"/>
      <c r="E886" s="159"/>
      <c r="F886" s="159"/>
      <c r="G886" s="159"/>
      <c r="H886" s="160"/>
      <c r="I886" s="57">
        <f t="shared" si="13"/>
        <v>0</v>
      </c>
      <c r="J886" s="102"/>
      <c r="K886" s="101"/>
      <c r="L886" s="159"/>
      <c r="M886" s="403" t="str">
        <f>HYPERLINK("https://github.com/aboodJAD/CompetitiveProgramming/blob/master/UVA/UVA%20557.cpp","Sol")</f>
        <v>Sol</v>
      </c>
      <c r="N886" s="383" t="s">
        <v>1692</v>
      </c>
      <c r="O886" s="383">
        <v>113</v>
      </c>
      <c r="P886" s="383">
        <v>6</v>
      </c>
      <c r="Q886" s="543"/>
    </row>
    <row r="887" spans="1:17" ht="13.2">
      <c r="A887" s="83"/>
      <c r="B887" s="386" t="str">
        <f>HYPERLINK("https://codeforces.com/contest/665/problem/E","CF665-D12-E")</f>
        <v>CF665-D12-E</v>
      </c>
      <c r="C887" s="159"/>
      <c r="D887" s="159"/>
      <c r="E887" s="159"/>
      <c r="F887" s="159"/>
      <c r="G887" s="159"/>
      <c r="H887" s="160"/>
      <c r="I887" s="57">
        <f t="shared" si="13"/>
        <v>0</v>
      </c>
      <c r="J887" s="102"/>
      <c r="K887" s="101"/>
      <c r="L887" s="159"/>
      <c r="M887" s="403" t="str">
        <f>HYPERLINK("https://stackoverflow.com/questions/25281005/calculating-probability-for-funprob","Sol")</f>
        <v>Sol</v>
      </c>
      <c r="N887" s="383" t="s">
        <v>1693</v>
      </c>
      <c r="O887" s="383">
        <v>113</v>
      </c>
      <c r="P887" s="383">
        <v>6</v>
      </c>
      <c r="Q887" s="543"/>
    </row>
    <row r="888" spans="1:17" ht="13.2">
      <c r="A888" s="83"/>
      <c r="B888" s="83" t="s">
        <v>1762</v>
      </c>
      <c r="C888" s="159"/>
      <c r="D888" s="159"/>
      <c r="E888" s="159"/>
      <c r="F888" s="159"/>
      <c r="G888" s="159"/>
      <c r="H888" s="160"/>
      <c r="I888" s="57">
        <f t="shared" si="13"/>
        <v>0</v>
      </c>
      <c r="J888" s="102"/>
      <c r="K888" s="101"/>
      <c r="L888" s="159"/>
      <c r="M888" s="545"/>
      <c r="N888" s="383" t="s">
        <v>1705</v>
      </c>
      <c r="O888" s="383">
        <v>114</v>
      </c>
      <c r="P888" s="383">
        <v>6</v>
      </c>
      <c r="Q888" s="37" t="s">
        <v>1226</v>
      </c>
    </row>
    <row r="889" spans="1:17" ht="13.2">
      <c r="A889" s="83"/>
      <c r="B889" s="386" t="str">
        <f>HYPERLINK("http://codeforces.com/contest/455/problem/B","CF455-D1-B")</f>
        <v>CF455-D1-B</v>
      </c>
      <c r="C889" s="159"/>
      <c r="D889" s="159"/>
      <c r="E889" s="159"/>
      <c r="F889" s="159"/>
      <c r="G889" s="159"/>
      <c r="H889" s="160"/>
      <c r="I889" s="57">
        <f t="shared" si="13"/>
        <v>0</v>
      </c>
      <c r="J889" s="102"/>
      <c r="K889" s="101"/>
      <c r="L889" s="159"/>
      <c r="M889" s="403" t="str">
        <f>HYPERLINK("https://github.com/3agwa/CompetitiveProgramming/blob/master/CodeForces/CF268-D2-E.cpp","Sol")</f>
        <v>Sol</v>
      </c>
      <c r="N889" s="383" t="s">
        <v>1706</v>
      </c>
      <c r="O889" s="383">
        <v>114</v>
      </c>
      <c r="P889" s="383">
        <v>6</v>
      </c>
      <c r="Q889" s="37" t="s">
        <v>1226</v>
      </c>
    </row>
    <row r="890" spans="1:17" ht="13.2">
      <c r="A890" s="83" t="s">
        <v>902</v>
      </c>
      <c r="B890" s="386" t="str">
        <f>HYPERLINK("http://codeforces.com/contest/216/problem/D","CF216-D2-D")</f>
        <v>CF216-D2-D</v>
      </c>
      <c r="C890" s="159"/>
      <c r="D890" s="159"/>
      <c r="E890" s="159"/>
      <c r="F890" s="159"/>
      <c r="G890" s="159"/>
      <c r="H890" s="160"/>
      <c r="I890" s="57">
        <f t="shared" si="13"/>
        <v>0</v>
      </c>
      <c r="J890" s="102"/>
      <c r="K890" s="101"/>
      <c r="L890" s="159"/>
      <c r="M890" s="406"/>
      <c r="N890" s="383" t="s">
        <v>1718</v>
      </c>
      <c r="O890" s="383">
        <v>118</v>
      </c>
      <c r="P890" s="383">
        <v>6</v>
      </c>
      <c r="Q890" s="37" t="s">
        <v>1224</v>
      </c>
    </row>
    <row r="891" spans="1:17" ht="13.2">
      <c r="A891" s="83" t="s">
        <v>603</v>
      </c>
      <c r="B891" s="386" t="str">
        <f>HYPERLINK("http://codeforces.com/contest/252/problem/C","CF252-D2-C")</f>
        <v>CF252-D2-C</v>
      </c>
      <c r="C891" s="159"/>
      <c r="D891" s="159"/>
      <c r="E891" s="159"/>
      <c r="F891" s="159"/>
      <c r="G891" s="159"/>
      <c r="H891" s="160"/>
      <c r="I891" s="57">
        <f t="shared" si="13"/>
        <v>0</v>
      </c>
      <c r="J891" s="62"/>
      <c r="K891" s="56"/>
      <c r="L891" s="159"/>
      <c r="M891" s="293" t="str">
        <f>HYPERLINK("https://github.com/mostafa-saad/MyCompetitiveProgramming/blob/master/SPOJ/SPOJ_IOPC1207.txt","Sol")</f>
        <v>Sol</v>
      </c>
      <c r="N891" s="383" t="s">
        <v>1748</v>
      </c>
      <c r="O891" s="383">
        <v>125</v>
      </c>
      <c r="P891" s="383">
        <v>6</v>
      </c>
      <c r="Q891" s="37" t="s">
        <v>1226</v>
      </c>
    </row>
    <row r="892" spans="1:17" ht="13.2">
      <c r="A892" s="83" t="s">
        <v>759</v>
      </c>
      <c r="B892" s="386" t="str">
        <f>HYPERLINK("http://codeforces.com/contest/155/problem/C","CF155-D2-C")</f>
        <v>CF155-D2-C</v>
      </c>
      <c r="C892" s="159"/>
      <c r="D892" s="159"/>
      <c r="E892" s="159"/>
      <c r="F892" s="159"/>
      <c r="G892" s="159"/>
      <c r="H892" s="160"/>
      <c r="I892" s="57">
        <f t="shared" si="13"/>
        <v>0</v>
      </c>
      <c r="J892" s="102"/>
      <c r="K892" s="101"/>
      <c r="L892" s="96"/>
      <c r="M892" s="293" t="str">
        <f>HYPERLINK("https://github.com/MedoN11/CompetitiveProgramming/blob/master/SPOJ/BRCKTS2.cpp","Sol")</f>
        <v>Sol</v>
      </c>
      <c r="N892" s="383" t="s">
        <v>1749</v>
      </c>
      <c r="O892" s="383">
        <v>125</v>
      </c>
      <c r="P892" s="383">
        <v>6</v>
      </c>
      <c r="Q892" s="37" t="s">
        <v>1226</v>
      </c>
    </row>
    <row r="893" spans="1:17" ht="13.2">
      <c r="A893" s="83"/>
      <c r="B893" s="386" t="str">
        <f>HYPERLINK("http://codeforces.com/contest/1043/problem/D","CF1043-D12-D")</f>
        <v>CF1043-D12-D</v>
      </c>
      <c r="C893" s="159"/>
      <c r="D893" s="159"/>
      <c r="E893" s="159"/>
      <c r="F893" s="159"/>
      <c r="G893" s="159"/>
      <c r="H893" s="160"/>
      <c r="I893" s="57">
        <f t="shared" si="13"/>
        <v>0</v>
      </c>
      <c r="J893" s="62"/>
      <c r="K893" s="56"/>
      <c r="L893" s="159"/>
      <c r="M893" s="293" t="str">
        <f>HYPERLINK("https://github.com/thackerhelik/UVA/blob/master/11997.cpp","Sol")</f>
        <v>Sol</v>
      </c>
      <c r="N893" s="383" t="s">
        <v>1298</v>
      </c>
      <c r="O893" s="383">
        <v>9</v>
      </c>
      <c r="P893" s="383">
        <v>6.25</v>
      </c>
      <c r="Q893" s="37" t="s">
        <v>1251</v>
      </c>
    </row>
    <row r="894" spans="1:17" ht="13.2">
      <c r="A894" s="83"/>
      <c r="B894" s="386" t="str">
        <f>HYPERLINK("https://www.codechef.com/ACMIND18/problems/REDCGAME","CODECHEF REDCGAME")</f>
        <v>CODECHEF REDCGAME</v>
      </c>
      <c r="C894" s="159"/>
      <c r="D894" s="159"/>
      <c r="E894" s="159"/>
      <c r="F894" s="159"/>
      <c r="G894" s="159"/>
      <c r="H894" s="160"/>
      <c r="I894" s="57">
        <f t="shared" si="13"/>
        <v>0</v>
      </c>
      <c r="J894" s="102"/>
      <c r="K894" s="101"/>
      <c r="L894" s="159"/>
      <c r="M894" s="399"/>
      <c r="N894" s="383" t="s">
        <v>1344</v>
      </c>
      <c r="O894" s="383">
        <v>18</v>
      </c>
      <c r="P894" s="383">
        <v>6.25</v>
      </c>
      <c r="Q894" s="37" t="s">
        <v>1251</v>
      </c>
    </row>
    <row r="895" spans="1:17" ht="13.2">
      <c r="A895" s="83" t="s">
        <v>1041</v>
      </c>
      <c r="B895" s="386" t="str">
        <f>HYPERLINK("http://codeforces.com/contest/368/problem/D","CF368-D2-D")</f>
        <v>CF368-D2-D</v>
      </c>
      <c r="C895" s="159"/>
      <c r="D895" s="159"/>
      <c r="E895" s="159"/>
      <c r="F895" s="159"/>
      <c r="G895" s="159"/>
      <c r="H895" s="160"/>
      <c r="I895" s="57">
        <f t="shared" si="13"/>
        <v>0</v>
      </c>
      <c r="J895" s="96"/>
      <c r="K895" s="159"/>
      <c r="L895" s="405"/>
      <c r="M895" s="293" t="str">
        <f>HYPERLINK("https://github.com/abdullaAshraf/Problem-Solving/blob/master/UVA/104.cpp","Sol")</f>
        <v>Sol</v>
      </c>
      <c r="N895" s="383" t="s">
        <v>1515</v>
      </c>
      <c r="O895" s="383">
        <v>68</v>
      </c>
      <c r="P895" s="383">
        <v>6.25</v>
      </c>
      <c r="Q895" s="37" t="s">
        <v>1224</v>
      </c>
    </row>
    <row r="896" spans="1:17" ht="13.2">
      <c r="A896" s="83" t="s">
        <v>904</v>
      </c>
      <c r="B896" s="386" t="str">
        <f>HYPERLINK("http://codeforces.com/contest/676/problem/C","CF676-D2-C")</f>
        <v>CF676-D2-C</v>
      </c>
      <c r="C896" s="159"/>
      <c r="D896" s="159"/>
      <c r="E896" s="159"/>
      <c r="F896" s="159"/>
      <c r="G896" s="159"/>
      <c r="H896" s="160"/>
      <c r="I896" s="57">
        <f t="shared" si="13"/>
        <v>0</v>
      </c>
      <c r="J896" s="102"/>
      <c r="K896" s="101"/>
      <c r="L896" s="159"/>
      <c r="M896" s="293" t="str">
        <f>HYPERLINK("https://github.com/yazanKabbany/CompetitiveProgramming/blob/master/Topcoder/SRM465-D1-500.cpp","Sol")</f>
        <v>Sol</v>
      </c>
      <c r="N896" s="383" t="s">
        <v>1536</v>
      </c>
      <c r="O896" s="383">
        <v>74</v>
      </c>
      <c r="P896" s="383">
        <v>6.25</v>
      </c>
      <c r="Q896" s="37" t="s">
        <v>1226</v>
      </c>
    </row>
    <row r="897" spans="1:17" ht="13.2">
      <c r="A897" s="83" t="s">
        <v>782</v>
      </c>
      <c r="B897" s="386" t="str">
        <f>HYPERLINK("http://codeforces.com/contest/231/problem/C","CF231-D2-C")</f>
        <v>CF231-D2-C</v>
      </c>
      <c r="C897" s="159"/>
      <c r="D897" s="159"/>
      <c r="E897" s="159"/>
      <c r="F897" s="159"/>
      <c r="G897" s="159"/>
      <c r="H897" s="160"/>
      <c r="I897" s="57">
        <f t="shared" si="13"/>
        <v>0</v>
      </c>
      <c r="J897" s="102"/>
      <c r="K897" s="101"/>
      <c r="L897" s="159"/>
      <c r="M897" s="406"/>
      <c r="N897" s="383" t="s">
        <v>1550</v>
      </c>
      <c r="O897" s="383">
        <v>77</v>
      </c>
      <c r="P897" s="383">
        <v>6.25</v>
      </c>
      <c r="Q897" s="37"/>
    </row>
    <row r="898" spans="1:17" ht="13.2">
      <c r="A898" s="83" t="s">
        <v>1003</v>
      </c>
      <c r="B898" s="386" t="str">
        <f>HYPERLINK("http://codeforces.com/contest/224/problem/D","CF224-D2-D")</f>
        <v>CF224-D2-D</v>
      </c>
      <c r="C898" s="159"/>
      <c r="D898" s="159"/>
      <c r="E898" s="159"/>
      <c r="F898" s="159"/>
      <c r="G898" s="159"/>
      <c r="H898" s="160"/>
      <c r="I898" s="57">
        <f t="shared" si="13"/>
        <v>0</v>
      </c>
      <c r="J898" s="62"/>
      <c r="K898" s="56"/>
      <c r="L898" s="159"/>
      <c r="M898" s="406"/>
      <c r="N898" s="383" t="s">
        <v>1551</v>
      </c>
      <c r="O898" s="383">
        <v>77</v>
      </c>
      <c r="P898" s="383">
        <v>6.25</v>
      </c>
      <c r="Q898" s="37" t="s">
        <v>1229</v>
      </c>
    </row>
    <row r="899" spans="1:17" ht="13.2">
      <c r="A899" s="83" t="s">
        <v>903</v>
      </c>
      <c r="B899" s="386" t="str">
        <f>HYPERLINK("http://codeforces.com/contest/334/problem/D","CF334-D2-D")</f>
        <v>CF334-D2-D</v>
      </c>
      <c r="C899" s="159"/>
      <c r="D899" s="159"/>
      <c r="E899" s="159"/>
      <c r="F899" s="159"/>
      <c r="G899" s="159"/>
      <c r="H899" s="160"/>
      <c r="I899" s="57">
        <f t="shared" si="13"/>
        <v>0</v>
      </c>
      <c r="J899" s="102"/>
      <c r="K899" s="101"/>
      <c r="L899" s="159"/>
      <c r="M899" s="293" t="str">
        <f>HYPERLINK("http://zobayer.blogspot.com/2010/02/primitive-root.html","Sol")</f>
        <v>Sol</v>
      </c>
      <c r="N899" s="383" t="s">
        <v>1653</v>
      </c>
      <c r="O899" s="383">
        <v>95</v>
      </c>
      <c r="P899" s="383">
        <v>6.25</v>
      </c>
      <c r="Q899" s="37" t="s">
        <v>1251</v>
      </c>
    </row>
    <row r="900" spans="1:17" ht="13.2">
      <c r="A900" s="83"/>
      <c r="B900" s="386" t="str">
        <f>HYPERLINK("http://codeforces.com/contest/309/problem/B","CF309-D12-B")</f>
        <v>CF309-D12-B</v>
      </c>
      <c r="C900" s="159"/>
      <c r="D900" s="159"/>
      <c r="E900" s="159"/>
      <c r="F900" s="159"/>
      <c r="G900" s="159"/>
      <c r="H900" s="160"/>
      <c r="I900" s="57">
        <f t="shared" si="13"/>
        <v>0</v>
      </c>
      <c r="J900" s="62"/>
      <c r="K900" s="56"/>
      <c r="L900" s="405"/>
      <c r="M900" s="545"/>
      <c r="N900" s="383" t="s">
        <v>1678</v>
      </c>
      <c r="O900" s="383">
        <v>113</v>
      </c>
      <c r="P900" s="383">
        <v>6.25</v>
      </c>
      <c r="Q900" s="543"/>
    </row>
    <row r="901" spans="1:17" ht="13.2">
      <c r="A901" s="83" t="s">
        <v>1151</v>
      </c>
      <c r="B901" s="386" t="str">
        <f>HYPERLINK("http://codeforces.com/contest/281/problem/D","CF281-D2-D")</f>
        <v>CF281-D2-D</v>
      </c>
      <c r="C901" s="159"/>
      <c r="D901" s="159"/>
      <c r="E901" s="159"/>
      <c r="F901" s="159"/>
      <c r="G901" s="159"/>
      <c r="H901" s="160"/>
      <c r="I901" s="57">
        <f t="shared" si="13"/>
        <v>0</v>
      </c>
      <c r="J901" s="96"/>
      <c r="K901" s="159"/>
      <c r="L901" s="405"/>
      <c r="M901" s="401"/>
      <c r="N901" s="383" t="s">
        <v>1694</v>
      </c>
      <c r="O901" s="383">
        <v>113</v>
      </c>
      <c r="P901" s="383">
        <v>6.25</v>
      </c>
    </row>
    <row r="902" spans="1:17" ht="13.2">
      <c r="A902" s="421"/>
      <c r="B902" s="421"/>
      <c r="C902" s="422"/>
      <c r="D902" s="422"/>
      <c r="E902" s="422"/>
      <c r="F902" s="422"/>
      <c r="G902" s="422"/>
      <c r="H902" s="423"/>
      <c r="I902" s="424"/>
      <c r="J902" s="425"/>
      <c r="K902" s="426"/>
      <c r="L902" s="425"/>
      <c r="M902" s="427"/>
      <c r="N902" s="428"/>
      <c r="O902" s="429"/>
      <c r="P902" s="430"/>
      <c r="Q902" s="431"/>
    </row>
    <row r="903" spans="1:17" ht="13.2">
      <c r="A903" s="29"/>
      <c r="B903" s="29"/>
      <c r="C903" s="29"/>
      <c r="D903" s="29"/>
      <c r="E903" s="29"/>
      <c r="F903" s="29"/>
      <c r="G903" s="641" t="s">
        <v>1772</v>
      </c>
      <c r="H903" s="620"/>
      <c r="I903" s="620"/>
      <c r="J903" s="620"/>
      <c r="K903" s="641" t="s">
        <v>1773</v>
      </c>
      <c r="L903" s="620"/>
      <c r="M903" s="641" t="s">
        <v>1774</v>
      </c>
      <c r="N903" s="620"/>
      <c r="O903" s="432"/>
      <c r="P903" s="433"/>
      <c r="Q903" s="26"/>
    </row>
    <row r="904" spans="1:17" ht="13.2">
      <c r="A904" s="644" t="s">
        <v>1775</v>
      </c>
      <c r="B904" s="620"/>
      <c r="C904" s="29"/>
      <c r="D904" s="29"/>
      <c r="E904" s="29"/>
      <c r="F904" s="29"/>
      <c r="G904" s="434"/>
      <c r="H904" s="401"/>
      <c r="I904" s="435"/>
      <c r="K904" s="35">
        <v>1</v>
      </c>
      <c r="L904" s="35"/>
      <c r="M904" s="647" t="str">
        <f>HYPERLINK("https://www.youtube.com/watch?v=fd0Ebfa_mJ0","Watch - Approaching Problem Statement ")</f>
        <v xml:space="preserve">Watch - Approaching Problem Statement </v>
      </c>
      <c r="N904" s="620"/>
      <c r="O904" s="436"/>
      <c r="P904" s="433"/>
      <c r="Q904" s="26"/>
    </row>
    <row r="905" spans="1:17" ht="13.2">
      <c r="A905" s="620"/>
      <c r="B905" s="620"/>
      <c r="C905" s="29"/>
      <c r="D905" s="29"/>
      <c r="E905" s="29"/>
      <c r="F905" s="29"/>
      <c r="G905" s="437"/>
      <c r="H905" s="401"/>
      <c r="I905" s="435"/>
      <c r="K905" s="35">
        <v>2</v>
      </c>
      <c r="L905" s="35"/>
      <c r="M905" s="648" t="str">
        <f>HYPERLINK("https://www.youtube.com/watch?v=olcmPKZNqnM","Watch - Thinking - On papers Not on PC ")</f>
        <v xml:space="preserve">Watch - Thinking - On papers Not on PC </v>
      </c>
      <c r="N905" s="620"/>
      <c r="O905" s="436"/>
      <c r="P905" s="262"/>
    </row>
    <row r="906" spans="1:17" ht="13.2">
      <c r="A906" s="620"/>
      <c r="B906" s="620"/>
      <c r="C906" s="29"/>
      <c r="D906" s="29"/>
      <c r="E906" s="29"/>
      <c r="F906" s="29"/>
      <c r="G906" s="434"/>
      <c r="H906" s="401"/>
      <c r="I906" s="435"/>
      <c r="K906" s="35">
        <v>3</v>
      </c>
      <c r="L906" s="35"/>
      <c r="M906" s="647" t="str">
        <f>HYPERLINK("https://www.youtube.com/watch?v=EQzmtn4PzYQ","Watch - Measuring Algorithms Perfromance - 1")</f>
        <v>Watch - Measuring Algorithms Perfromance - 1</v>
      </c>
      <c r="N906" s="620"/>
      <c r="O906" s="436"/>
      <c r="P906" s="438"/>
    </row>
    <row r="907" spans="1:17" ht="13.2">
      <c r="A907" s="620"/>
      <c r="B907" s="620"/>
      <c r="C907" s="29"/>
      <c r="D907" s="29"/>
      <c r="E907" s="29"/>
      <c r="F907" s="29"/>
      <c r="G907" s="434"/>
      <c r="H907" s="401"/>
      <c r="I907" s="435"/>
      <c r="K907" s="35">
        <v>4</v>
      </c>
      <c r="L907" s="35"/>
      <c r="M907" s="649" t="str">
        <f>HYPERLINK("https://www.youtube.com/watch?v=Syx2qDjj7TE","Watch - Elementary Math - Introduction")</f>
        <v>Watch - Elementary Math - Introduction</v>
      </c>
      <c r="N907" s="620"/>
      <c r="O907" s="438"/>
      <c r="P907" s="438"/>
    </row>
    <row r="908" spans="1:17" ht="13.2">
      <c r="A908" s="620"/>
      <c r="B908" s="620"/>
      <c r="C908" s="29"/>
      <c r="D908" s="29"/>
      <c r="E908" s="29"/>
      <c r="F908" s="29"/>
      <c r="G908" s="439">
        <v>109</v>
      </c>
      <c r="H908" s="401"/>
      <c r="I908" s="435"/>
      <c r="K908" s="35">
        <v>5</v>
      </c>
      <c r="L908" s="35"/>
      <c r="M908" s="650" t="str">
        <f>HYPERLINK("https://www.youtube.com/watch?v=9sqvjnvuLtY","Watch - Number Theory - Modular Arithmatic")</f>
        <v>Watch - Number Theory - Modular Arithmatic</v>
      </c>
      <c r="N908" s="620"/>
      <c r="O908" s="441"/>
      <c r="P908" s="441"/>
    </row>
    <row r="909" spans="1:17" ht="13.2">
      <c r="A909" s="620"/>
      <c r="B909" s="620"/>
      <c r="C909" s="29"/>
      <c r="D909" s="29"/>
      <c r="E909" s="29"/>
      <c r="F909" s="29"/>
      <c r="G909" s="439" t="s">
        <v>1776</v>
      </c>
      <c r="H909" s="401"/>
      <c r="I909" s="435"/>
      <c r="K909" s="35">
        <v>6</v>
      </c>
      <c r="L909" s="35"/>
      <c r="M909" s="650" t="str">
        <f>HYPERLINK("https://www.youtube.com/watch?v=sr6WgCLcgVM","Watch - Combinatorics - Counting Principles")</f>
        <v>Watch - Combinatorics - Counting Principles</v>
      </c>
      <c r="N909" s="620"/>
      <c r="O909" s="262"/>
      <c r="P909" s="262"/>
    </row>
    <row r="910" spans="1:17" ht="13.2">
      <c r="A910" s="620"/>
      <c r="B910" s="620"/>
      <c r="C910" s="29"/>
      <c r="D910" s="29"/>
      <c r="E910" s="29"/>
      <c r="F910" s="29"/>
      <c r="G910" s="437"/>
      <c r="H910" s="401"/>
      <c r="I910" s="435"/>
      <c r="K910" s="35">
        <v>7</v>
      </c>
      <c r="L910" s="35"/>
      <c r="M910" s="651" t="str">
        <f>HYPERLINK("https://www.youtube.com/watch?v=jzfcfQVBtKA","Watch - Graph Theory - Intro")</f>
        <v>Watch - Graph Theory - Intro</v>
      </c>
      <c r="N910" s="620"/>
      <c r="O910" s="443"/>
      <c r="P910" s="443"/>
    </row>
    <row r="911" spans="1:17" ht="13.2">
      <c r="A911" s="620"/>
      <c r="B911" s="620"/>
      <c r="C911" s="29"/>
      <c r="D911" s="29"/>
      <c r="E911" s="29"/>
      <c r="F911" s="29"/>
      <c r="G911" s="444" t="s">
        <v>1777</v>
      </c>
      <c r="H911" s="401"/>
      <c r="I911" s="435"/>
      <c r="K911" s="35">
        <v>8</v>
      </c>
      <c r="L911" s="35"/>
      <c r="M911" s="651" t="str">
        <f>HYPERLINK("https://www.youtube.com/watch?v=9DP0X2xlPCo","Watch - Graph Theory - DFS")</f>
        <v>Watch - Graph Theory - DFS</v>
      </c>
      <c r="N911" s="620"/>
      <c r="O911" s="438"/>
      <c r="P911" s="438"/>
    </row>
    <row r="912" spans="1:17" ht="13.2">
      <c r="A912" s="620"/>
      <c r="B912" s="620"/>
      <c r="C912" s="29"/>
      <c r="D912" s="29"/>
      <c r="E912" s="29"/>
      <c r="F912" s="29"/>
      <c r="G912" s="444">
        <v>45</v>
      </c>
      <c r="H912" s="401"/>
      <c r="I912" s="435"/>
      <c r="K912" s="35">
        <v>9</v>
      </c>
      <c r="L912" s="35"/>
      <c r="M912" s="648" t="str">
        <f>HYPERLINK("https://www.youtube.com/watch?v=XhVmgLXYvuQ","Watch - Computational Geometry - Intro")</f>
        <v>Watch - Computational Geometry - Intro</v>
      </c>
      <c r="N912" s="620"/>
      <c r="O912" s="262"/>
      <c r="P912" s="262"/>
    </row>
    <row r="913" spans="1:17" ht="13.2">
      <c r="A913" s="620"/>
      <c r="B913" s="620"/>
      <c r="C913" s="29"/>
      <c r="D913" s="29"/>
      <c r="E913" s="29"/>
      <c r="F913" s="29"/>
      <c r="G913" s="444">
        <v>45</v>
      </c>
      <c r="H913" s="401"/>
      <c r="I913" s="435"/>
      <c r="K913" s="35">
        <v>10</v>
      </c>
      <c r="L913" s="35"/>
      <c r="M913" s="648" t="str">
        <f>HYPERLINK("https://www.youtube.com/watch?v=2CUN12WrNr4","Watch - Computational Geometry - Point and Vector")</f>
        <v>Watch - Computational Geometry - Point and Vector</v>
      </c>
      <c r="N913" s="620"/>
      <c r="O913" s="445"/>
      <c r="P913" s="433"/>
      <c r="Q913" s="26"/>
    </row>
    <row r="914" spans="1:17" ht="13.2">
      <c r="A914" s="620"/>
      <c r="B914" s="620"/>
      <c r="C914" s="29"/>
      <c r="D914" s="29"/>
      <c r="E914" s="29"/>
      <c r="F914" s="29"/>
      <c r="G914" s="439">
        <v>6</v>
      </c>
      <c r="H914" s="401"/>
      <c r="I914" s="435"/>
      <c r="K914" s="35">
        <v>11</v>
      </c>
      <c r="L914" s="35"/>
      <c r="M914" s="647" t="str">
        <f>HYPERLINK("https://www.youtube.com/watch?v=2G7RzlxTNPo","Watch - Search Techniques - Binary Search")</f>
        <v>Watch - Search Techniques - Binary Search</v>
      </c>
      <c r="N914" s="620"/>
      <c r="O914" s="446"/>
      <c r="P914" s="92"/>
      <c r="Q914" s="26"/>
    </row>
    <row r="915" spans="1:17" ht="13.2">
      <c r="A915" s="620"/>
      <c r="B915" s="620"/>
      <c r="C915" s="29"/>
      <c r="D915" s="29"/>
      <c r="E915" s="29"/>
      <c r="F915" s="29"/>
      <c r="G915" s="434"/>
      <c r="H915" s="401"/>
      <c r="I915" s="435"/>
      <c r="K915" s="35">
        <v>12</v>
      </c>
      <c r="L915" s="35"/>
      <c r="M915" s="642" t="str">
        <f>HYPERLINK("https://www.youtube.com/watch?v=x1rCxxKfFbM","Watch - Thinking - Problem Simplification ")</f>
        <v xml:space="preserve">Watch - Thinking - Problem Simplification </v>
      </c>
      <c r="N915" s="620"/>
      <c r="O915" s="446"/>
      <c r="P915" s="92"/>
      <c r="Q915" s="26"/>
    </row>
    <row r="916" spans="1:17" ht="13.2">
      <c r="A916" s="620"/>
      <c r="B916" s="620"/>
      <c r="C916" s="29"/>
      <c r="D916" s="29"/>
      <c r="E916" s="29"/>
      <c r="F916" s="29"/>
      <c r="G916" s="437"/>
      <c r="H916" s="401"/>
      <c r="I916" s="435"/>
      <c r="K916" s="35">
        <v>13</v>
      </c>
      <c r="L916" s="35"/>
      <c r="M916" s="642" t="str">
        <f>HYPERLINK("https://www.youtube.com/watch?v=7z1498LTCgg","Watch - Thinking - Brainstorm - Rank - Approach ")</f>
        <v xml:space="preserve">Watch - Thinking - Brainstorm - Rank - Approach </v>
      </c>
      <c r="N916" s="620"/>
      <c r="O916" s="262"/>
      <c r="P916" s="262"/>
    </row>
    <row r="917" spans="1:17" ht="13.2">
      <c r="A917" s="620"/>
      <c r="B917" s="620"/>
      <c r="C917" s="29"/>
      <c r="D917" s="29"/>
      <c r="E917" s="29"/>
      <c r="F917" s="29"/>
      <c r="G917" s="437"/>
      <c r="H917" s="401"/>
      <c r="I917" s="435"/>
      <c r="K917" s="35">
        <v>14</v>
      </c>
      <c r="L917" s="35"/>
      <c r="M917" s="643" t="str">
        <f>HYPERLINK("https://www.youtube.com/watch?v=KAS83uXf_8s&amp;list=PLPt2dINI2MIZPFq6HyUB1Uhxdh1UDnZMS","Study STL")</f>
        <v>Study STL</v>
      </c>
      <c r="N917" s="620"/>
      <c r="O917" s="262"/>
      <c r="P917" s="262"/>
    </row>
    <row r="918" spans="1:17" ht="13.2">
      <c r="A918" s="620"/>
      <c r="B918" s="620"/>
      <c r="C918" s="29"/>
      <c r="D918" s="29"/>
      <c r="E918" s="29"/>
      <c r="F918" s="29"/>
      <c r="G918" s="439" t="s">
        <v>1776</v>
      </c>
      <c r="H918" s="401"/>
      <c r="I918" s="435"/>
      <c r="K918" s="35">
        <v>15</v>
      </c>
      <c r="L918" s="35"/>
      <c r="M918" s="639" t="str">
        <f>HYPERLINK("https://www.youtube.com/watch?v=9wvqNeX_JnI","Watch - Combinatorics - Permutations and Combinations - 1")</f>
        <v>Watch - Combinatorics - Permutations and Combinations - 1</v>
      </c>
      <c r="N918" s="620"/>
      <c r="O918" s="438"/>
      <c r="P918" s="438"/>
    </row>
    <row r="919" spans="1:17" ht="13.2">
      <c r="A919" s="620"/>
      <c r="B919" s="620"/>
      <c r="C919" s="29"/>
      <c r="D919" s="29"/>
      <c r="E919" s="29"/>
      <c r="F919" s="29"/>
      <c r="G919" s="439" t="s">
        <v>1776</v>
      </c>
      <c r="H919" s="401"/>
      <c r="I919" s="435"/>
      <c r="K919" s="35">
        <v>16</v>
      </c>
      <c r="L919" s="35"/>
      <c r="M919" s="639" t="str">
        <f>HYPERLINK("https://www.youtube.com/watch?v=8V_xhaPpjmM","Watch - Combinatorics - Permutations and Combinations - 2")</f>
        <v>Watch - Combinatorics - Permutations and Combinations - 2</v>
      </c>
      <c r="N919" s="620"/>
      <c r="O919" s="165"/>
      <c r="P919" s="165"/>
    </row>
    <row r="920" spans="1:17" ht="13.2">
      <c r="A920" s="620"/>
      <c r="B920" s="620"/>
      <c r="C920" s="29"/>
      <c r="D920" s="29"/>
      <c r="E920" s="29"/>
      <c r="F920" s="29"/>
      <c r="G920" s="437"/>
      <c r="H920" s="401"/>
      <c r="I920" s="435"/>
      <c r="K920" s="35">
        <v>17</v>
      </c>
      <c r="L920" s="35"/>
      <c r="M920" s="645" t="str">
        <f>HYPERLINK("https://www.youtube.com/watch?v=tKGztXjnnuA","Watch - Training-Secrets of Success")</f>
        <v>Watch - Training-Secrets of Success</v>
      </c>
      <c r="N920" s="620"/>
      <c r="O920" s="165"/>
      <c r="P920" s="165"/>
    </row>
    <row r="921" spans="1:17" ht="13.2">
      <c r="A921" s="83"/>
      <c r="B921" s="83"/>
      <c r="C921" s="29"/>
      <c r="D921" s="29"/>
      <c r="E921" s="29"/>
      <c r="F921" s="29"/>
      <c r="G921" s="437"/>
      <c r="H921" s="401"/>
      <c r="I921" s="435"/>
      <c r="K921" s="35">
        <v>18</v>
      </c>
      <c r="L921" s="35"/>
      <c r="M921" s="447" t="str">
        <f>HYPERLINK("https://www.youtube.com/watch?v=tKGztXjnnuA","Watch - Training-Secrets of Success")</f>
        <v>Watch - Training-Secrets of Success</v>
      </c>
      <c r="N921" s="448"/>
      <c r="O921" s="165"/>
      <c r="P921" s="165"/>
    </row>
    <row r="922" spans="1:17" ht="13.2">
      <c r="A922" s="83"/>
      <c r="B922" s="83"/>
      <c r="C922" s="29"/>
      <c r="D922" s="29"/>
      <c r="E922" s="29"/>
      <c r="F922" s="29"/>
      <c r="G922" s="444">
        <v>99</v>
      </c>
      <c r="H922" s="401"/>
      <c r="I922" s="435"/>
      <c r="K922" s="35">
        <v>19</v>
      </c>
      <c r="L922" s="35"/>
      <c r="M922" s="639" t="str">
        <f>HYPERLINK("https://www.youtube.com/watch?v=YklnFXpq0ZE","Watch - Number Theory - Fib, GCD, LCM, Pow")</f>
        <v>Watch - Number Theory - Fib, GCD, LCM, Pow</v>
      </c>
      <c r="N922" s="620"/>
      <c r="O922" s="165"/>
      <c r="P922" s="165"/>
    </row>
    <row r="923" spans="1:17" ht="13.2">
      <c r="A923" s="29"/>
      <c r="B923" s="29"/>
      <c r="C923" s="29"/>
      <c r="D923" s="29"/>
      <c r="E923" s="29"/>
      <c r="F923" s="29"/>
      <c r="G923" s="434"/>
      <c r="H923" s="401"/>
      <c r="I923" s="435"/>
      <c r="K923" s="35">
        <v>20</v>
      </c>
      <c r="L923" s="35"/>
      <c r="M923" s="654" t="str">
        <f>HYPERLINK("https://www.youtube.com/watch?v=hqOqr6vFPp8","Watch - Prefix Sum")</f>
        <v>Watch - Prefix Sum</v>
      </c>
      <c r="N923" s="620"/>
      <c r="O923" s="165"/>
      <c r="P923" s="449"/>
      <c r="Q923" s="26"/>
    </row>
    <row r="924" spans="1:17" ht="13.2">
      <c r="A924" s="83"/>
      <c r="B924" s="83"/>
      <c r="C924" s="29"/>
      <c r="D924" s="29"/>
      <c r="E924" s="29"/>
      <c r="F924" s="29"/>
      <c r="G924" s="444">
        <v>57</v>
      </c>
      <c r="H924" s="401"/>
      <c r="I924" s="435"/>
      <c r="K924" s="35">
        <v>21</v>
      </c>
      <c r="L924" s="35"/>
      <c r="M924" s="639" t="str">
        <f>HYPERLINK("https://www.youtube.com/watch?v=COB1GHq0YwY","Watch - Graph Theory - BFS")</f>
        <v>Watch - Graph Theory - BFS</v>
      </c>
      <c r="N924" s="620"/>
      <c r="O924" s="165"/>
      <c r="P924" s="66"/>
    </row>
    <row r="925" spans="1:17" ht="13.2">
      <c r="A925" s="83"/>
      <c r="B925" s="83"/>
      <c r="C925" s="29"/>
      <c r="D925" s="29"/>
      <c r="E925" s="29"/>
      <c r="F925" s="29"/>
      <c r="G925" s="439"/>
      <c r="H925" s="401"/>
      <c r="I925" s="435"/>
      <c r="K925" s="35">
        <v>22</v>
      </c>
      <c r="L925" s="35"/>
      <c r="M925" s="162" t="str">
        <f>HYPERLINK("https://www.youtube.com/watch?v=hyk46UmJPS4&amp;list=PLPt2dINI2MIZPFq6HyUB1Uhxdh1UDnZMS&amp;index=22","Review - Recursion")</f>
        <v>Review - Recursion</v>
      </c>
      <c r="N925" s="162"/>
      <c r="O925" s="165"/>
      <c r="P925" s="440"/>
    </row>
    <row r="926" spans="1:17" ht="13.2">
      <c r="A926" s="83"/>
      <c r="B926" s="83"/>
      <c r="C926" s="29"/>
      <c r="D926" s="29"/>
      <c r="E926" s="29"/>
      <c r="F926" s="29"/>
      <c r="G926" s="444">
        <v>10</v>
      </c>
      <c r="H926" s="401"/>
      <c r="I926" s="435"/>
      <c r="K926" s="35">
        <v>23</v>
      </c>
      <c r="L926" s="35"/>
      <c r="M926" s="645" t="str">
        <f>HYPERLINK("https://www.youtube.com/watch?v=gFdP6X4CyKU","Watch - DP - intro 1")</f>
        <v>Watch - DP - intro 1</v>
      </c>
      <c r="N926" s="620"/>
      <c r="O926" s="165"/>
      <c r="P926" s="165"/>
    </row>
    <row r="927" spans="1:17" ht="13.2">
      <c r="A927" s="83"/>
      <c r="B927" s="83"/>
      <c r="C927" s="29"/>
      <c r="D927" s="29"/>
      <c r="E927" s="29"/>
      <c r="F927" s="29"/>
      <c r="G927" s="444">
        <v>10</v>
      </c>
      <c r="H927" s="401"/>
      <c r="I927" s="435"/>
      <c r="K927" s="35">
        <v>24</v>
      </c>
      <c r="L927" s="35"/>
      <c r="M927" s="645" t="str">
        <f>HYPERLINK("https://www.youtube.com/watch?v=1j3srLj-C5Q","Watch - DP - intro 2")</f>
        <v>Watch - DP - intro 2</v>
      </c>
      <c r="N927" s="620"/>
      <c r="O927" s="165"/>
      <c r="P927" s="165"/>
    </row>
    <row r="928" spans="1:17" ht="13.2">
      <c r="A928" s="83"/>
      <c r="B928" s="83"/>
      <c r="C928" s="29"/>
      <c r="D928" s="29"/>
      <c r="E928" s="29"/>
      <c r="F928" s="29"/>
      <c r="G928" s="444">
        <v>45</v>
      </c>
      <c r="H928" s="401"/>
      <c r="I928" s="435"/>
      <c r="K928" s="35">
        <v>25</v>
      </c>
      <c r="L928" s="35"/>
      <c r="M928" s="639" t="str">
        <f>HYPERLINK("https://www.youtube.com/watch?v=dcMtSmWHLP4","Watch - Computational Geometry - Complex Number and 2D Point")</f>
        <v>Watch - Computational Geometry - Complex Number and 2D Point</v>
      </c>
      <c r="N928" s="620"/>
      <c r="O928" s="165"/>
      <c r="P928" s="165"/>
    </row>
    <row r="929" spans="1:16" ht="13.2">
      <c r="A929" s="83"/>
      <c r="B929" s="83"/>
      <c r="C929" s="29"/>
      <c r="D929" s="29"/>
      <c r="E929" s="29"/>
      <c r="F929" s="29"/>
      <c r="G929" s="444">
        <v>48</v>
      </c>
      <c r="H929" s="401"/>
      <c r="I929" s="435"/>
      <c r="K929" s="35">
        <v>26</v>
      </c>
      <c r="L929" s="35"/>
      <c r="M929" s="639" t="str">
        <f>HYPERLINK("https://www.youtube.com/watch?v=1Vi2h7dKdEQ","Watch - Computational Geometry - Lines and Distances")</f>
        <v>Watch - Computational Geometry - Lines and Distances</v>
      </c>
      <c r="N929" s="620"/>
      <c r="O929" s="165"/>
      <c r="P929" s="165"/>
    </row>
    <row r="930" spans="1:16" ht="13.2">
      <c r="A930" s="83"/>
      <c r="B930" s="83"/>
      <c r="C930" s="29"/>
      <c r="D930" s="29"/>
      <c r="E930" s="29"/>
      <c r="F930" s="29"/>
      <c r="G930" s="437"/>
      <c r="H930" s="401"/>
      <c r="I930" s="435"/>
      <c r="K930" s="35">
        <v>27</v>
      </c>
      <c r="L930" s="35"/>
      <c r="M930" s="646" t="str">
        <f>HYPERLINK("https://www.youtube.com/watch?v=WTr12dK2Se0","Watch - Focused and Diffused Thinking")</f>
        <v>Watch - Focused and Diffused Thinking</v>
      </c>
      <c r="N930" s="620"/>
      <c r="O930" s="165"/>
      <c r="P930" s="67"/>
    </row>
    <row r="931" spans="1:16" ht="13.2">
      <c r="A931" s="83"/>
      <c r="B931" s="83"/>
      <c r="C931" s="29"/>
      <c r="D931" s="29"/>
      <c r="E931" s="29"/>
      <c r="F931" s="29"/>
      <c r="G931" s="444" t="s">
        <v>1778</v>
      </c>
      <c r="H931" s="401"/>
      <c r="I931" s="435"/>
      <c r="K931" s="35">
        <v>28</v>
      </c>
      <c r="L931" s="35"/>
      <c r="M931" s="639" t="str">
        <f>HYPERLINK("https://www.youtube.com/watch?v=HQ5ANfzSDn0","Watch - Graph Theory - MST - Kruskal")</f>
        <v>Watch - Graph Theory - MST - Kruskal</v>
      </c>
      <c r="N931" s="620"/>
      <c r="O931" s="165"/>
      <c r="P931" s="165"/>
    </row>
    <row r="932" spans="1:16" ht="13.2">
      <c r="A932" s="83"/>
      <c r="B932" s="83"/>
      <c r="C932" s="29"/>
      <c r="D932" s="29"/>
      <c r="E932" s="29"/>
      <c r="F932" s="29"/>
      <c r="G932" s="444">
        <v>84</v>
      </c>
      <c r="H932" s="401"/>
      <c r="I932" s="435"/>
      <c r="K932" s="35">
        <v>29</v>
      </c>
      <c r="L932" s="35"/>
      <c r="M932" s="652" t="str">
        <f>HYPERLINK("https://www.youtube.com/watch?v=iXxP_liQklk","Watch - Intro to Greedy")</f>
        <v>Watch - Intro to Greedy</v>
      </c>
      <c r="N932" s="620"/>
      <c r="O932" s="165"/>
      <c r="P932" s="165"/>
    </row>
    <row r="933" spans="1:16" ht="13.2">
      <c r="A933" s="83"/>
      <c r="B933" s="83"/>
      <c r="C933" s="29"/>
      <c r="D933" s="29"/>
      <c r="E933" s="29"/>
      <c r="F933" s="29"/>
      <c r="G933" s="437"/>
      <c r="H933" s="401"/>
      <c r="I933" s="435"/>
      <c r="K933" s="35">
        <v>30</v>
      </c>
      <c r="L933" s="35"/>
      <c r="M933" s="642" t="str">
        <f>HYPERLINK("https://www.youtube.com/watch?v=Tm_Vlkv4mOo","Watch - Thinking - Concretely - Symbolically - Pictorially ")</f>
        <v xml:space="preserve">Watch - Thinking - Concretely - Symbolically - Pictorially </v>
      </c>
      <c r="N933" s="620"/>
      <c r="O933" s="165"/>
      <c r="P933" s="67"/>
    </row>
    <row r="934" spans="1:16" ht="13.2">
      <c r="A934" s="83"/>
      <c r="B934" s="83"/>
      <c r="C934" s="29"/>
      <c r="D934" s="29"/>
      <c r="E934" s="29"/>
      <c r="F934" s="29"/>
      <c r="G934" s="437"/>
      <c r="H934" s="401"/>
      <c r="I934" s="435"/>
      <c r="K934" s="35">
        <v>31</v>
      </c>
      <c r="L934" s="35"/>
      <c r="M934" s="639" t="str">
        <f>HYPERLINK("https://www.youtube.com/watch?v=6Fx8T_NBA7Q","Watch - Thinking - Problem Constraints ")</f>
        <v xml:space="preserve">Watch - Thinking - Problem Constraints </v>
      </c>
      <c r="N934" s="620"/>
      <c r="O934" s="165"/>
      <c r="P934" s="262"/>
    </row>
    <row r="935" spans="1:16" ht="13.2">
      <c r="A935" s="83"/>
      <c r="B935" s="83"/>
      <c r="C935" s="29"/>
      <c r="D935" s="29"/>
      <c r="E935" s="29"/>
      <c r="F935" s="29"/>
      <c r="G935" s="444">
        <v>117</v>
      </c>
      <c r="H935" s="401"/>
      <c r="I935" s="435"/>
      <c r="K935" s="35">
        <v>32</v>
      </c>
      <c r="L935" s="35"/>
      <c r="M935" s="639" t="str">
        <f>HYPERLINK("https://www.youtube.com/watch?v=VZBfW08ECgA","Watch - Number Theory - Primes")</f>
        <v>Watch - Number Theory - Primes</v>
      </c>
      <c r="N935" s="620"/>
      <c r="O935" s="165"/>
      <c r="P935" s="165"/>
    </row>
    <row r="936" spans="1:16" ht="13.2">
      <c r="A936" s="83"/>
      <c r="B936" s="83"/>
      <c r="C936" s="29"/>
      <c r="D936" s="29"/>
      <c r="E936" s="29"/>
      <c r="F936" s="29"/>
      <c r="G936" s="437"/>
      <c r="H936" s="401"/>
      <c r="I936" s="435"/>
      <c r="K936" s="35">
        <v>33</v>
      </c>
      <c r="L936" s="35"/>
      <c r="M936" s="639" t="str">
        <f>HYPERLINK("https://www.youtube.com/watch?v=jxvaNAthWRI","Watch - Algebra - Number Bases and Polynomials")</f>
        <v>Watch - Algebra - Number Bases and Polynomials</v>
      </c>
      <c r="N936" s="620"/>
      <c r="O936" s="165"/>
      <c r="P936" s="161"/>
    </row>
    <row r="937" spans="1:16" ht="13.2">
      <c r="A937" s="83"/>
      <c r="B937" s="83"/>
      <c r="C937" s="29"/>
      <c r="D937" s="29"/>
      <c r="E937" s="29"/>
      <c r="F937" s="29"/>
      <c r="G937" s="437"/>
      <c r="H937" s="401"/>
      <c r="I937" s="435"/>
      <c r="K937" s="35">
        <v>34</v>
      </c>
      <c r="L937" s="35"/>
      <c r="M937" s="639" t="str">
        <f>HYPERLINK("https://www.youtube.com/watch?v=O2SPaQXYHFc","Watch - Algebra - Patterns in Sequences")</f>
        <v>Watch - Algebra - Patterns in Sequences</v>
      </c>
      <c r="N937" s="620"/>
      <c r="O937" s="165"/>
      <c r="P937" s="165"/>
    </row>
    <row r="938" spans="1:16" ht="13.2">
      <c r="A938" s="83"/>
      <c r="B938" s="83"/>
      <c r="C938" s="29"/>
      <c r="D938" s="29"/>
      <c r="E938" s="29"/>
      <c r="F938" s="29"/>
      <c r="G938" s="444">
        <v>118</v>
      </c>
      <c r="H938" s="401"/>
      <c r="I938" s="435"/>
      <c r="K938" s="35">
        <v>35</v>
      </c>
      <c r="L938" s="35"/>
      <c r="M938" s="639" t="str">
        <f>HYPERLINK("https://www.youtube.com/watch?v=xY8To84R87Y","Watch - Algebra - Summations")</f>
        <v>Watch - Algebra - Summations</v>
      </c>
      <c r="N938" s="620"/>
      <c r="O938" s="165"/>
      <c r="P938" s="161"/>
    </row>
    <row r="939" spans="1:16" ht="13.2">
      <c r="A939" s="83"/>
      <c r="B939" s="83"/>
      <c r="C939" s="29"/>
      <c r="D939" s="29"/>
      <c r="E939" s="29"/>
      <c r="F939" s="29"/>
      <c r="G939" s="437"/>
      <c r="H939" s="401"/>
      <c r="I939" s="435"/>
      <c r="K939" s="35">
        <v>36</v>
      </c>
      <c r="L939" s="35"/>
      <c r="M939" s="639" t="str">
        <f>HYPERLINK("https://www.youtube.com/watch?v=OcqD14kI3Wk","Watch - Algebra - Basic Matrix Operations")</f>
        <v>Watch - Algebra - Basic Matrix Operations</v>
      </c>
      <c r="N939" s="620"/>
      <c r="O939" s="165"/>
      <c r="P939" s="161"/>
    </row>
    <row r="940" spans="1:16" ht="13.2">
      <c r="A940" s="83"/>
      <c r="B940" s="83"/>
      <c r="C940" s="29"/>
      <c r="D940" s="29"/>
      <c r="E940" s="29"/>
      <c r="F940" s="29"/>
      <c r="G940" s="437"/>
      <c r="H940" s="401"/>
      <c r="I940" s="435"/>
      <c r="K940" s="35">
        <v>37</v>
      </c>
      <c r="L940" s="35"/>
      <c r="M940" s="639" t="str">
        <f>HYPERLINK("https://www.youtube.com/watch?v=F0hmrbOW8nw","Watch - Thinking - Problem Abstraction ")</f>
        <v xml:space="preserve">Watch - Thinking - Problem Abstraction </v>
      </c>
      <c r="N940" s="620"/>
      <c r="O940" s="165"/>
      <c r="P940" s="165"/>
    </row>
    <row r="941" spans="1:16" ht="13.2">
      <c r="A941" s="83"/>
      <c r="B941" s="83"/>
      <c r="C941" s="29"/>
      <c r="D941" s="29"/>
      <c r="E941" s="29"/>
      <c r="F941" s="29"/>
      <c r="G941" s="450"/>
      <c r="H941" s="401"/>
      <c r="I941" s="435"/>
      <c r="K941" s="35">
        <v>38</v>
      </c>
      <c r="L941" s="35"/>
      <c r="M941" s="639" t="str">
        <f>HYPERLINK("https://www.youtube.com/watch?v=0wlc8Rhyybo","Watch - Thinking - Problem Reverse")</f>
        <v>Watch - Thinking - Problem Reverse</v>
      </c>
      <c r="N941" s="620"/>
      <c r="O941" s="165"/>
      <c r="P941" s="442"/>
    </row>
    <row r="942" spans="1:16" ht="13.2">
      <c r="A942" s="83"/>
      <c r="B942" s="83"/>
      <c r="C942" s="29"/>
      <c r="D942" s="29"/>
      <c r="E942" s="29"/>
      <c r="F942" s="29"/>
      <c r="G942" s="444">
        <v>3</v>
      </c>
      <c r="H942" s="401"/>
      <c r="I942" s="435"/>
      <c r="K942" s="35">
        <v>39</v>
      </c>
      <c r="L942" s="35"/>
      <c r="M942" s="642" t="str">
        <f>HYPERLINK("https://www.youtube.com/watch?v=hLXVhRzqq18","Watch - Search Techniques - Backtracking")</f>
        <v>Watch - Search Techniques - Backtracking</v>
      </c>
      <c r="N942" s="620"/>
      <c r="O942" s="165"/>
      <c r="P942" s="167"/>
    </row>
    <row r="943" spans="1:16" ht="13.2">
      <c r="A943" s="83"/>
      <c r="B943" s="83"/>
      <c r="C943" s="29"/>
      <c r="D943" s="29"/>
      <c r="E943" s="29"/>
      <c r="F943" s="29"/>
      <c r="G943" s="437"/>
      <c r="H943" s="401"/>
      <c r="I943" s="435"/>
      <c r="K943" s="35">
        <v>40</v>
      </c>
      <c r="L943" s="35"/>
      <c r="M943" s="162" t="str">
        <f>HYPERLINK("https://www.youtube.com/watch?v=ldwGf-iVsdU&amp;t=2s&amp;list=PLPt2dINI2MIZPFq6HyUB1Uhxdh1UDnZMS","Review bitmasking")</f>
        <v>Review bitmasking</v>
      </c>
      <c r="N943" s="448"/>
      <c r="O943" s="165"/>
      <c r="P943" s="165"/>
    </row>
    <row r="944" spans="1:16" ht="13.2">
      <c r="A944" s="83"/>
      <c r="B944" s="83"/>
      <c r="C944" s="29"/>
      <c r="D944" s="29"/>
      <c r="E944" s="29"/>
      <c r="F944" s="29"/>
      <c r="G944" s="451">
        <v>10</v>
      </c>
      <c r="H944" s="401"/>
      <c r="I944" s="435"/>
      <c r="K944" s="35">
        <v>41</v>
      </c>
      <c r="L944" s="35"/>
      <c r="M944" s="642" t="str">
        <f>HYPERLINK("https://www.youtube.com/watch?v=vAqaki1BhS0","Watch - DP - Subset Style")</f>
        <v>Watch - DP - Subset Style</v>
      </c>
      <c r="N944" s="620"/>
      <c r="O944" s="165"/>
      <c r="P944" s="442"/>
    </row>
    <row r="945" spans="1:17" ht="13.2">
      <c r="A945" s="83"/>
      <c r="B945" s="83"/>
      <c r="C945" s="29"/>
      <c r="D945" s="29"/>
      <c r="E945" s="29"/>
      <c r="F945" s="29"/>
      <c r="G945" s="444">
        <v>32</v>
      </c>
      <c r="H945" s="401"/>
      <c r="I945" s="435"/>
      <c r="K945" s="35">
        <v>42</v>
      </c>
      <c r="L945" s="35"/>
      <c r="M945" s="642" t="str">
        <f>HYPERLINK("https://www.youtube.com/watch?v=bDlAqeWsKsg","Watch - DP - Consecutive Ranges Style")</f>
        <v>Watch - DP - Consecutive Ranges Style</v>
      </c>
      <c r="N945" s="620"/>
      <c r="O945" s="165"/>
      <c r="P945" s="165"/>
    </row>
    <row r="946" spans="1:17" ht="13.2">
      <c r="A946" s="83"/>
      <c r="B946" s="83"/>
      <c r="C946" s="29"/>
      <c r="D946" s="29"/>
      <c r="E946" s="29"/>
      <c r="F946" s="29"/>
      <c r="G946" s="444">
        <v>32</v>
      </c>
      <c r="H946" s="401"/>
      <c r="I946" s="435"/>
      <c r="K946" s="35">
        <v>43</v>
      </c>
      <c r="L946" s="35"/>
      <c r="M946" s="642" t="str">
        <f>HYPERLINK("https://www.youtube.com/watch?v=b4AC2jGNGEM","Watch - DP - Nested Ranges Style")</f>
        <v>Watch - DP - Nested Ranges Style</v>
      </c>
      <c r="N946" s="620"/>
      <c r="O946" s="165"/>
      <c r="P946" s="441"/>
    </row>
    <row r="947" spans="1:17" ht="13.2">
      <c r="A947" s="83"/>
      <c r="B947" s="83"/>
      <c r="C947" s="29"/>
      <c r="D947" s="29"/>
      <c r="E947" s="29"/>
      <c r="F947" s="29"/>
      <c r="G947" s="444">
        <v>32</v>
      </c>
      <c r="H947" s="401"/>
      <c r="I947" s="435"/>
      <c r="K947" s="35">
        <v>44</v>
      </c>
      <c r="L947" s="35"/>
      <c r="M947" s="639" t="str">
        <f>HYPERLINK("https://www.youtube.com/watch?v=pJbeTrSKl3Y","Watch - DP - General Ranges Style")</f>
        <v>Watch - DP - General Ranges Style</v>
      </c>
      <c r="N947" s="620"/>
      <c r="O947" s="165"/>
      <c r="P947" s="448"/>
    </row>
    <row r="948" spans="1:17" ht="13.2">
      <c r="A948" s="83"/>
      <c r="B948" s="83"/>
      <c r="C948" s="29"/>
      <c r="D948" s="29"/>
      <c r="E948" s="29"/>
      <c r="F948" s="29"/>
      <c r="G948" s="437"/>
      <c r="H948" s="401"/>
      <c r="I948" s="435"/>
      <c r="K948" s="35">
        <v>45</v>
      </c>
      <c r="L948" s="35"/>
      <c r="M948" s="639" t="str">
        <f>HYPERLINK("https://www.youtube.com/watch?v=5zILiqyQ2ts","Watch - Thinking - Incrementally")</f>
        <v>Watch - Thinking - Incrementally</v>
      </c>
      <c r="N948" s="620"/>
      <c r="O948" s="165"/>
      <c r="P948" s="165"/>
    </row>
    <row r="949" spans="1:17" ht="13.2">
      <c r="A949" s="83"/>
      <c r="B949" s="83"/>
      <c r="C949" s="29"/>
      <c r="D949" s="29"/>
      <c r="E949" s="29"/>
      <c r="F949" s="29"/>
      <c r="G949" s="437"/>
      <c r="H949" s="401"/>
      <c r="I949" s="435"/>
      <c r="K949" s="35">
        <v>46</v>
      </c>
      <c r="L949" s="35"/>
      <c r="M949" s="639" t="str">
        <f>HYPERLINK("https://www.youtube.com/watch?v=9fwHOeebIgc","Watch - Thinking - Problem Domain re-interpretation")</f>
        <v>Watch - Thinking - Problem Domain re-interpretation</v>
      </c>
      <c r="N949" s="620"/>
      <c r="O949" s="165"/>
      <c r="P949" s="165"/>
    </row>
    <row r="950" spans="1:17" ht="13.2">
      <c r="A950" s="83"/>
      <c r="B950" s="83"/>
      <c r="C950" s="29"/>
      <c r="D950" s="29"/>
      <c r="E950" s="29"/>
      <c r="F950" s="29"/>
      <c r="G950" s="444">
        <v>95</v>
      </c>
      <c r="H950" s="401"/>
      <c r="I950" s="435"/>
      <c r="K950" s="35">
        <v>47</v>
      </c>
      <c r="L950" s="35"/>
      <c r="M950" s="639" t="str">
        <f>HYPERLINK("https://www.youtube.com/watch?v=-5ApOQDhBtU","Watch - Number Theory - Factorization")</f>
        <v>Watch - Number Theory - Factorization</v>
      </c>
      <c r="N950" s="620"/>
      <c r="O950" s="165"/>
      <c r="P950" s="165"/>
    </row>
    <row r="951" spans="1:17" ht="13.2">
      <c r="A951" s="83"/>
      <c r="B951" s="83"/>
      <c r="C951" s="29"/>
      <c r="D951" s="29"/>
      <c r="E951" s="29"/>
      <c r="F951" s="29"/>
      <c r="G951" s="439">
        <v>113</v>
      </c>
      <c r="H951" s="401"/>
      <c r="I951" s="435"/>
      <c r="K951" s="35">
        <v>48</v>
      </c>
      <c r="L951" s="35"/>
      <c r="M951" s="653" t="str">
        <f>HYPERLINK("https://www.youtube.com/playlist?list=PLC58778F28211FA19","Watch - Probability - First 9 videos")</f>
        <v>Watch - Probability - First 9 videos</v>
      </c>
      <c r="N951" s="620"/>
      <c r="O951" s="165"/>
      <c r="P951" s="440"/>
    </row>
    <row r="952" spans="1:17" ht="13.2">
      <c r="A952" s="83"/>
      <c r="B952" s="83"/>
      <c r="C952" s="29"/>
      <c r="D952" s="29"/>
      <c r="E952" s="29"/>
      <c r="F952" s="29"/>
      <c r="G952" s="437"/>
      <c r="H952" s="401"/>
      <c r="I952" s="435"/>
      <c r="K952" s="35">
        <v>49</v>
      </c>
      <c r="L952" s="35"/>
      <c r="M952" s="639" t="str">
        <f>HYPERLINK("https://www.youtube.com/watch?v=YUIwEX8UEN0","Watch - Thinking - Search Space and Output Analysis")</f>
        <v>Watch - Thinking - Search Space and Output Analysis</v>
      </c>
      <c r="N952" s="620"/>
      <c r="O952" s="165"/>
      <c r="P952" s="165"/>
      <c r="Q952" s="165"/>
    </row>
    <row r="953" spans="1:17" ht="13.2">
      <c r="A953" s="83"/>
      <c r="B953" s="83"/>
      <c r="C953" s="29"/>
      <c r="D953" s="29"/>
      <c r="E953" s="29"/>
      <c r="F953" s="29"/>
      <c r="G953" s="437"/>
      <c r="H953" s="401"/>
      <c r="I953" s="435"/>
      <c r="K953" s="35">
        <v>50</v>
      </c>
      <c r="L953" s="35"/>
      <c r="M953" s="642" t="str">
        <f>HYPERLINK("https://www.youtube.com/watch?v=TP8QXP6PBqM","Watch - Thinking - Observations Discovery ")</f>
        <v xml:space="preserve">Watch - Thinking - Observations Discovery </v>
      </c>
      <c r="N953" s="620"/>
      <c r="O953" s="165"/>
      <c r="P953" s="441"/>
      <c r="Q953" s="441"/>
    </row>
    <row r="954" spans="1:17" ht="13.2">
      <c r="A954" s="83"/>
      <c r="B954" s="83"/>
      <c r="C954" s="29"/>
      <c r="D954" s="29"/>
      <c r="E954" s="29"/>
      <c r="F954" s="29"/>
      <c r="G954" s="444">
        <v>41</v>
      </c>
      <c r="H954" s="401"/>
      <c r="I954" s="435"/>
      <c r="K954" s="35">
        <v>51</v>
      </c>
      <c r="L954" s="35"/>
      <c r="M954" s="642" t="str">
        <f>HYPERLINK("https://www.youtube.com/watch?v=rdUs4FGkgRo","Watch - Game Theory - Intro")</f>
        <v>Watch - Game Theory - Intro</v>
      </c>
      <c r="N954" s="620"/>
      <c r="O954" s="165"/>
      <c r="P954" s="452"/>
      <c r="Q954" s="452"/>
    </row>
    <row r="955" spans="1:17" ht="13.2">
      <c r="A955" s="83"/>
      <c r="B955" s="83"/>
      <c r="C955" s="29"/>
      <c r="D955" s="29"/>
      <c r="E955" s="29"/>
      <c r="F955" s="29"/>
      <c r="G955" s="437"/>
      <c r="H955" s="401"/>
      <c r="I955" s="435"/>
      <c r="K955" s="35">
        <v>52</v>
      </c>
      <c r="L955" s="35"/>
      <c r="M955" s="642" t="str">
        <f>HYPERLINK("https://www.youtube.com/watch?v=fT4JZU5hO58","Watch - Thinking - Misc - Solution Verification - Implementation")</f>
        <v>Watch - Thinking - Misc - Solution Verification - Implementation</v>
      </c>
      <c r="N955" s="620"/>
      <c r="O955" s="165"/>
      <c r="P955" s="161"/>
      <c r="Q955" s="161"/>
    </row>
    <row r="956" spans="1:17" ht="13.2">
      <c r="A956" s="83"/>
      <c r="B956" s="83"/>
      <c r="C956" s="29"/>
      <c r="D956" s="29"/>
      <c r="E956" s="29"/>
      <c r="F956" s="29"/>
      <c r="G956" s="453">
        <v>64</v>
      </c>
      <c r="H956" s="401"/>
      <c r="I956" s="435"/>
      <c r="K956" s="35">
        <v>53</v>
      </c>
      <c r="L956" s="35"/>
      <c r="M956" s="645" t="str">
        <f>HYPERLINK("https://www.youtube.com/watch?v=6GzxGabB5MI","Watch - Graph Theory - Dijkstra")</f>
        <v>Watch - Graph Theory - Dijkstra</v>
      </c>
      <c r="N956" s="620"/>
      <c r="O956" s="165"/>
      <c r="P956" s="66"/>
      <c r="Q956" s="66"/>
    </row>
    <row r="957" spans="1:17" ht="13.2">
      <c r="A957" s="83"/>
      <c r="B957" s="83"/>
      <c r="C957" s="29"/>
      <c r="D957" s="29"/>
      <c r="E957" s="29"/>
      <c r="F957" s="29"/>
      <c r="G957" s="444">
        <v>48</v>
      </c>
      <c r="H957" s="401"/>
      <c r="I957" s="435"/>
      <c r="K957" s="35">
        <v>54</v>
      </c>
      <c r="L957" s="35"/>
      <c r="M957" s="639" t="str">
        <f>HYPERLINK("https://www.youtube.com/watch?v=k5fDfC9vfWM","Watch - Computational Geometry - Lines Intersections")</f>
        <v>Watch - Computational Geometry - Lines Intersections</v>
      </c>
      <c r="N957" s="620"/>
      <c r="O957" s="165"/>
      <c r="P957" s="161"/>
      <c r="Q957" s="161"/>
    </row>
    <row r="958" spans="1:17" ht="13.2">
      <c r="A958" s="83"/>
      <c r="B958" s="83"/>
      <c r="C958" s="29"/>
      <c r="D958" s="29"/>
      <c r="E958" s="29"/>
      <c r="F958" s="29"/>
      <c r="G958" s="444">
        <v>47</v>
      </c>
      <c r="H958" s="401"/>
      <c r="I958" s="435"/>
      <c r="K958" s="35">
        <v>55</v>
      </c>
      <c r="L958" s="35"/>
      <c r="M958" s="639" t="str">
        <f>HYPERLINK("https://www.youtube.com/watch?v=Fa69kqT9NPY","Watch - Computational Geometry - Circles")</f>
        <v>Watch - Computational Geometry - Circles</v>
      </c>
      <c r="N958" s="620"/>
      <c r="O958" s="165"/>
      <c r="P958" s="441"/>
      <c r="Q958" s="441"/>
    </row>
    <row r="959" spans="1:17" ht="13.2">
      <c r="A959" s="83"/>
      <c r="B959" s="83"/>
      <c r="C959" s="29"/>
      <c r="D959" s="29"/>
      <c r="E959" s="29"/>
      <c r="F959" s="29"/>
      <c r="G959" s="437"/>
      <c r="H959" s="401"/>
      <c r="I959" s="435"/>
      <c r="K959" s="35">
        <v>56</v>
      </c>
      <c r="L959" s="35"/>
      <c r="M959" s="642" t="str">
        <f>HYPERLINK("https://www.youtube.com/watch?v=uKSLJw0ZUd8","Watch - Thinking - Error Inspection - History - Contest Strategy ")</f>
        <v xml:space="preserve">Watch - Thinking - Error Inspection - History - Contest Strategy </v>
      </c>
      <c r="N959" s="620"/>
      <c r="O959" s="165"/>
      <c r="P959" s="165"/>
    </row>
    <row r="960" spans="1:17" ht="13.2">
      <c r="A960" s="83"/>
      <c r="B960" s="83"/>
      <c r="C960" s="29"/>
      <c r="D960" s="29"/>
      <c r="E960" s="29"/>
      <c r="F960" s="29"/>
      <c r="G960" s="444">
        <v>15</v>
      </c>
      <c r="H960" s="401"/>
      <c r="I960" s="435"/>
      <c r="K960" s="35">
        <v>57</v>
      </c>
      <c r="L960" s="35"/>
      <c r="M960" s="639" t="str">
        <f>HYPERLINK("https://www.youtube.com/watch?v=s3IGwpJwCTA","Watch - DP - Building Output")</f>
        <v>Watch - DP - Building Output</v>
      </c>
      <c r="N960" s="620"/>
      <c r="O960" s="165"/>
      <c r="P960" s="165"/>
    </row>
    <row r="961" spans="1:17" ht="13.2">
      <c r="A961" s="83"/>
      <c r="B961" s="83"/>
      <c r="C961" s="29"/>
      <c r="D961" s="29"/>
      <c r="E961" s="29"/>
      <c r="F961" s="29"/>
      <c r="G961" s="444">
        <v>18</v>
      </c>
      <c r="H961" s="401"/>
      <c r="I961" s="435"/>
      <c r="K961" s="35">
        <v>58</v>
      </c>
      <c r="L961" s="35"/>
      <c r="M961" s="639" t="str">
        <f>HYPERLINK("https://www.youtube.com/watch?v=lE09Ss_Sy0A","Watch - DP - Counting")</f>
        <v>Watch - DP - Counting</v>
      </c>
      <c r="N961" s="620"/>
      <c r="O961" s="165"/>
      <c r="P961" s="66"/>
    </row>
    <row r="962" spans="1:17" ht="13.2">
      <c r="A962" s="83"/>
      <c r="B962" s="83"/>
      <c r="C962" s="29"/>
      <c r="D962" s="29"/>
      <c r="E962" s="29"/>
      <c r="F962" s="29"/>
      <c r="G962" s="437"/>
      <c r="H962" s="401"/>
      <c r="I962" s="435"/>
      <c r="K962" s="35">
        <v>59</v>
      </c>
      <c r="L962" s="35"/>
      <c r="M962" s="639" t="str">
        <f>HYPERLINK("https://www.youtube.com/watch?v=f_lt366qTZc","Watch - Thinking - Let's Put All Together ")</f>
        <v xml:space="preserve">Watch - Thinking - Let's Put All Together </v>
      </c>
      <c r="N962" s="620"/>
      <c r="O962" s="165"/>
      <c r="P962" s="161"/>
      <c r="Q962" s="161"/>
    </row>
    <row r="963" spans="1:17" ht="13.2">
      <c r="A963" s="83"/>
      <c r="B963" s="83"/>
      <c r="C963" s="29"/>
      <c r="D963" s="29"/>
      <c r="E963" s="29"/>
      <c r="F963" s="29"/>
      <c r="G963" s="444">
        <v>37</v>
      </c>
      <c r="H963" s="401"/>
      <c r="I963" s="435"/>
      <c r="K963" s="35">
        <v>60</v>
      </c>
      <c r="L963" s="35"/>
      <c r="M963" s="639" t="str">
        <f>HYPERLINK("https://www.youtube.com/watch?v=PrXbn8-zw14","Watch - DP - Table Method")</f>
        <v>Watch - DP - Table Method</v>
      </c>
      <c r="N963" s="620"/>
      <c r="O963" s="165"/>
      <c r="P963" s="161"/>
      <c r="Q963" s="161"/>
    </row>
    <row r="964" spans="1:17" ht="13.2">
      <c r="A964" s="83"/>
      <c r="B964" s="83"/>
      <c r="C964" s="29"/>
      <c r="D964" s="29"/>
      <c r="E964" s="29"/>
      <c r="F964" s="29"/>
      <c r="G964" s="444">
        <v>68</v>
      </c>
      <c r="H964" s="401"/>
      <c r="I964" s="435"/>
      <c r="K964" s="35">
        <v>61</v>
      </c>
      <c r="L964" s="35"/>
      <c r="M964" s="639" t="str">
        <f>HYPERLINK("https://www.youtube.com/watch?v=ZIJLCVn4KzQ","Watch - Graph Theory - Floyd Warshal")</f>
        <v>Watch - Graph Theory - Floyd Warshal</v>
      </c>
      <c r="N964" s="620"/>
      <c r="O964" s="165"/>
      <c r="P964" s="165"/>
      <c r="Q964" s="165"/>
    </row>
    <row r="965" spans="1:17" ht="13.2">
      <c r="A965" s="83"/>
      <c r="B965" s="83"/>
      <c r="C965" s="29"/>
      <c r="D965" s="29"/>
      <c r="E965" s="29"/>
      <c r="F965" s="29"/>
      <c r="G965" s="437"/>
      <c r="H965" s="401"/>
      <c r="I965" s="435"/>
      <c r="K965" s="35">
        <v>62</v>
      </c>
      <c r="L965" s="35"/>
      <c r="M965" s="639" t="str">
        <f>HYPERLINK("https://www.youtube.com/watch?v=ZNYQrKpR42g","Watch - Measuring Algorithms Perfromance - 2")</f>
        <v>Watch - Measuring Algorithms Perfromance - 2</v>
      </c>
      <c r="N965" s="620"/>
      <c r="O965" s="165"/>
      <c r="P965" s="165"/>
      <c r="Q965" s="165"/>
    </row>
    <row r="966" spans="1:17" ht="13.2">
      <c r="A966" s="83"/>
      <c r="B966" s="83"/>
      <c r="C966" s="29"/>
      <c r="D966" s="29"/>
      <c r="E966" s="29"/>
      <c r="F966" s="29"/>
      <c r="G966" s="444">
        <v>62</v>
      </c>
      <c r="H966" s="401"/>
      <c r="I966" s="435"/>
      <c r="K966" s="35">
        <v>63</v>
      </c>
      <c r="L966" s="35"/>
      <c r="M966" s="654" t="str">
        <f>HYPERLINK("https://www.youtube.com/watch?v=RASvnfG2SSE","Watch - Graph Theory - Tree Diameter and Isomorphism")</f>
        <v>Watch - Graph Theory - Tree Diameter and Isomorphism</v>
      </c>
      <c r="N966" s="620"/>
      <c r="O966" s="165"/>
      <c r="P966" s="161"/>
      <c r="Q966" s="161"/>
    </row>
    <row r="967" spans="1:17" ht="13.2">
      <c r="A967" s="83"/>
      <c r="B967" s="83"/>
      <c r="C967" s="29"/>
      <c r="D967" s="29"/>
      <c r="E967" s="29"/>
      <c r="F967" s="29"/>
      <c r="G967" s="444">
        <v>114</v>
      </c>
      <c r="H967" s="401"/>
      <c r="I967" s="435"/>
      <c r="K967" s="35">
        <v>64</v>
      </c>
      <c r="L967" s="35"/>
      <c r="M967" s="175" t="str">
        <f>HYPERLINK("https://www.youtube.com/watch?v=j__Kredt7vY","Watch Video - Expected Value")</f>
        <v>Watch Video - Expected Value</v>
      </c>
      <c r="N967" s="441"/>
      <c r="O967" s="165"/>
      <c r="P967" s="161"/>
      <c r="Q967" s="161"/>
    </row>
    <row r="968" spans="1:17" ht="13.2">
      <c r="A968" s="83"/>
      <c r="B968" s="83"/>
      <c r="C968" s="29"/>
      <c r="D968" s="29"/>
      <c r="E968" s="29"/>
      <c r="F968" s="29"/>
      <c r="G968" s="444" t="s">
        <v>1779</v>
      </c>
      <c r="H968" s="401"/>
      <c r="I968" s="435"/>
      <c r="K968" s="35">
        <v>65</v>
      </c>
      <c r="L968" s="35"/>
      <c r="M968" s="655" t="str">
        <f>HYPERLINK("https://www.youtube.com/watch?v=OLu5oskGGqw&amp;list=PLPt2dINI2MIZX2EtY81WI-lDkvhKziLKM&amp;index=11","Watch - Data Structures - Segment Tree (2 vid)")</f>
        <v>Watch - Data Structures - Segment Tree (2 vid)</v>
      </c>
      <c r="N968" s="620"/>
      <c r="O968" s="165"/>
      <c r="P968" s="67"/>
      <c r="Q968" s="67"/>
    </row>
    <row r="969" spans="1:17" ht="13.2">
      <c r="A969" s="83"/>
      <c r="B969" s="83"/>
      <c r="C969" s="29"/>
      <c r="D969" s="29"/>
      <c r="E969" s="29"/>
      <c r="F969" s="29"/>
      <c r="G969" s="444">
        <v>38</v>
      </c>
      <c r="H969" s="401"/>
      <c r="I969" s="435"/>
      <c r="K969" s="35">
        <v>66</v>
      </c>
      <c r="L969" s="35"/>
      <c r="M969" s="284" t="str">
        <f>HYPERLINK("https://codeforces.com/blog/entry/20935","Reading: DP on Trees")</f>
        <v>Reading: DP on Trees</v>
      </c>
      <c r="N969" s="448"/>
      <c r="O969" s="165"/>
      <c r="P969" s="165"/>
      <c r="Q969" s="165"/>
    </row>
    <row r="970" spans="1:17" ht="13.2">
      <c r="A970" s="83"/>
      <c r="B970" s="83"/>
      <c r="C970" s="29"/>
      <c r="D970" s="29"/>
      <c r="E970" s="29"/>
      <c r="F970" s="29"/>
      <c r="G970" s="444">
        <v>138</v>
      </c>
      <c r="H970" s="401"/>
      <c r="I970" s="435"/>
      <c r="K970" s="35">
        <v>67</v>
      </c>
      <c r="L970" s="35"/>
      <c r="M970" s="656" t="str">
        <f>HYPERLINK("https://www.youtube.com/watch?v=n-Xwrr8RFQ0","Watch - Two pointers technique")</f>
        <v>Watch - Two pointers technique</v>
      </c>
      <c r="N970" s="620"/>
      <c r="O970" s="165"/>
      <c r="P970" s="165"/>
      <c r="Q970" s="165"/>
    </row>
    <row r="971" spans="1:17" ht="13.2">
      <c r="A971" s="83"/>
      <c r="B971" s="83"/>
      <c r="C971" s="29"/>
      <c r="D971" s="29"/>
      <c r="E971" s="29"/>
      <c r="F971" s="29"/>
      <c r="G971" s="444">
        <v>29</v>
      </c>
      <c r="H971" s="401"/>
      <c r="I971" s="435"/>
      <c r="K971" s="35">
        <v>68</v>
      </c>
      <c r="L971" s="35"/>
      <c r="M971" s="657" t="str">
        <f>HYPERLINK("https://www.youtube.com/watch?v=nv6Z6n02Oi0","Watch - DP - Probability")</f>
        <v>Watch - DP - Probability</v>
      </c>
      <c r="N971" s="620"/>
      <c r="O971" s="165"/>
      <c r="P971" s="165"/>
      <c r="Q971" s="165"/>
    </row>
    <row r="972" spans="1:17" ht="13.2">
      <c r="A972" s="83"/>
      <c r="B972" s="83"/>
      <c r="C972" s="29"/>
      <c r="D972" s="29"/>
      <c r="E972" s="29"/>
      <c r="F972" s="29"/>
      <c r="G972" s="444">
        <v>11</v>
      </c>
      <c r="H972" s="401"/>
      <c r="I972" s="435"/>
      <c r="K972" s="35">
        <v>69</v>
      </c>
      <c r="L972" s="35"/>
      <c r="M972" s="657" t="str">
        <f>HYPERLINK("https://www.youtube.com/watch?v=8aATaY9sdeE&amp;index=10&amp;list=PLPt2dINI2MIattDutu7IOAMlUuLeN8k2p&amp;t=3s","Watch - DP - Masks (2 vid)")</f>
        <v>Watch - DP - Masks (2 vid)</v>
      </c>
      <c r="N972" s="620"/>
      <c r="O972" s="165"/>
      <c r="P972" s="165"/>
      <c r="Q972" s="165"/>
    </row>
    <row r="973" spans="1:17" ht="13.2">
      <c r="A973" s="83"/>
      <c r="B973" s="83"/>
      <c r="C973" s="29"/>
      <c r="D973" s="29"/>
      <c r="E973" s="29"/>
      <c r="F973" s="29"/>
      <c r="G973" s="444">
        <v>135</v>
      </c>
      <c r="H973" s="401"/>
      <c r="I973" s="435"/>
      <c r="K973" s="35">
        <v>70</v>
      </c>
      <c r="L973" s="35"/>
      <c r="M973" s="657" t="str">
        <f>HYPERLINK("https://www.youtube.com/watch?v=IGaJWl0jPY4","Watch - String Processing - Trie")</f>
        <v>Watch - String Processing - Trie</v>
      </c>
      <c r="N973" s="620"/>
      <c r="O973" s="165"/>
      <c r="P973" s="161"/>
      <c r="Q973" s="161"/>
    </row>
    <row r="974" spans="1:17" ht="13.2">
      <c r="A974" s="83"/>
      <c r="B974" s="83"/>
      <c r="C974" s="29"/>
      <c r="D974" s="29"/>
      <c r="E974" s="29"/>
      <c r="F974" s="29"/>
      <c r="G974" s="444">
        <v>36</v>
      </c>
      <c r="H974" s="401"/>
      <c r="I974" s="435"/>
      <c r="K974" s="35">
        <v>71</v>
      </c>
      <c r="L974" s="35"/>
      <c r="M974" s="654" t="str">
        <f>HYPERLINK("https://www.youtube.com/watch?v=t-52tQ3vEgo","Watch - DP - Sub-rectangle style")</f>
        <v>Watch - DP - Sub-rectangle style</v>
      </c>
      <c r="N974" s="620"/>
      <c r="O974" s="165"/>
      <c r="P974" s="165"/>
      <c r="Q974" s="165"/>
    </row>
    <row r="975" spans="1:17" ht="13.2">
      <c r="A975" s="83"/>
      <c r="B975" s="83"/>
      <c r="C975" s="29"/>
      <c r="D975" s="29"/>
      <c r="E975" s="29"/>
      <c r="F975" s="29"/>
      <c r="G975" s="444">
        <v>130</v>
      </c>
      <c r="H975" s="401"/>
      <c r="I975" s="435"/>
      <c r="K975" s="35">
        <v>72</v>
      </c>
      <c r="L975" s="35"/>
      <c r="M975" s="655" t="str">
        <f>HYPERLINK("https://www.youtube.com/watch?v=vjxLlFTKhrU&amp;index=2&amp;list=PLPt2dINI2MIYrtHBahPW16S-Wz9wx24Nc","Watch - String Processing - KMP (2 vid)")</f>
        <v>Watch - String Processing - KMP (2 vid)</v>
      </c>
      <c r="N975" s="620"/>
      <c r="O975" s="165"/>
      <c r="P975" s="167"/>
      <c r="Q975" s="167"/>
    </row>
    <row r="976" spans="1:17" ht="13.2">
      <c r="A976" s="83"/>
      <c r="B976" s="83"/>
      <c r="C976" s="29"/>
      <c r="D976" s="29"/>
      <c r="E976" s="29"/>
      <c r="F976" s="29"/>
      <c r="G976" s="439">
        <v>23</v>
      </c>
      <c r="H976" s="401"/>
      <c r="I976" s="435"/>
      <c r="K976" s="35">
        <v>73</v>
      </c>
      <c r="L976" s="35"/>
      <c r="M976" s="655" t="str">
        <f>HYPERLINK("https://www.youtube.com/watch?v=X-cMRvuTGuM&amp;list=PLPt2dINI2MIattDutu7IOAMlUuLeN8k2p&amp;index=19","Watch - DP - Games (2 vid)")</f>
        <v>Watch - DP - Games (2 vid)</v>
      </c>
      <c r="N976" s="620"/>
      <c r="O976" s="165"/>
      <c r="P976" s="454"/>
      <c r="Q976" s="454"/>
    </row>
    <row r="977" spans="1:17" ht="13.2">
      <c r="A977" s="29"/>
      <c r="B977" s="29"/>
      <c r="C977" s="29"/>
      <c r="D977" s="29"/>
      <c r="E977" s="29"/>
      <c r="F977" s="29"/>
      <c r="G977" s="439">
        <v>49</v>
      </c>
      <c r="H977" s="401"/>
      <c r="I977" s="435"/>
      <c r="K977" s="35">
        <v>74</v>
      </c>
      <c r="L977" s="35"/>
      <c r="M977" s="658" t="str">
        <f>HYPERLINK("https://www.youtube.com/watch?v=OnysyxVPPD0","Watch - Computational Geometry - Simple and Convex Polygons")</f>
        <v>Watch - Computational Geometry - Simple and Convex Polygons</v>
      </c>
      <c r="N977" s="620"/>
      <c r="O977" s="165"/>
      <c r="P977" s="433"/>
      <c r="Q977" s="29"/>
    </row>
    <row r="978" spans="1:17" ht="13.2">
      <c r="A978" s="83"/>
      <c r="B978" s="83"/>
      <c r="C978" s="29"/>
      <c r="D978" s="29"/>
      <c r="E978" s="29"/>
      <c r="F978" s="29"/>
      <c r="G978" s="444">
        <v>49</v>
      </c>
      <c r="H978" s="401"/>
      <c r="I978" s="435"/>
      <c r="K978" s="35">
        <v>75</v>
      </c>
      <c r="L978" s="35"/>
      <c r="M978" s="659" t="str">
        <f>HYPERLINK("http://w.youtube.com/watch?v=Cce_O7EKv2Y","Watch - Computational Geometry - Polygon Area - Centroid - Cut")</f>
        <v>Watch - Computational Geometry - Polygon Area - Centroid - Cut</v>
      </c>
      <c r="N978" s="620"/>
      <c r="O978" s="165"/>
      <c r="P978" s="165"/>
    </row>
    <row r="979" spans="1:17" ht="13.2">
      <c r="A979" s="83"/>
      <c r="B979" s="83"/>
      <c r="C979" s="29"/>
      <c r="D979" s="29"/>
      <c r="E979" s="29"/>
      <c r="F979" s="29"/>
      <c r="G979" s="444">
        <v>49</v>
      </c>
      <c r="H979" s="401"/>
      <c r="I979" s="435"/>
      <c r="K979" s="35">
        <v>76</v>
      </c>
      <c r="L979" s="35"/>
      <c r="M979" s="660" t="str">
        <f>HYPERLINK("https://www.youtube.com/watch?v=I5A6OYH1yuM","Watch - Computational Geometry - Point in polygon")</f>
        <v>Watch - Computational Geometry - Point in polygon</v>
      </c>
      <c r="N979" s="620"/>
      <c r="O979" s="165"/>
      <c r="P979" s="165"/>
    </row>
    <row r="980" spans="1:17" ht="13.2">
      <c r="A980" s="83"/>
      <c r="B980" s="83"/>
      <c r="C980" s="29"/>
      <c r="D980" s="29"/>
      <c r="E980" s="29"/>
      <c r="F980" s="29"/>
      <c r="G980" s="444" t="s">
        <v>1780</v>
      </c>
      <c r="H980" s="401"/>
      <c r="I980" s="435"/>
      <c r="K980" s="35">
        <v>77</v>
      </c>
      <c r="L980" s="35"/>
      <c r="M980" s="655" t="str">
        <f>HYPERLINK("https://www.youtube.com/watch?v=QuOiEwefssM&amp;t=2s&amp;list=PLPt2dINI2MIb4OXlJ_EEwIDV9WVUpRQ5K&amp;index=16","Watch - Graph Theory - Maximum Flow (2 vid)")</f>
        <v>Watch - Graph Theory - Maximum Flow (2 vid)</v>
      </c>
      <c r="N980" s="620"/>
      <c r="O980" s="165"/>
      <c r="P980" s="165"/>
    </row>
    <row r="981" spans="1:17" ht="13.2">
      <c r="A981" s="83"/>
      <c r="B981" s="83"/>
      <c r="C981" s="29"/>
      <c r="D981" s="29"/>
      <c r="E981" s="29"/>
      <c r="F981" s="29"/>
      <c r="G981" s="444">
        <v>77</v>
      </c>
      <c r="H981" s="401"/>
      <c r="I981" s="435"/>
      <c r="K981" s="35">
        <v>78</v>
      </c>
      <c r="L981" s="35"/>
      <c r="M981" s="655" t="str">
        <f>HYPERLINK("https://www.youtube.com/watch?v=xVMe4JSEQo0&amp;index=14&amp;list=PLPt2dINI2MIb4OXlJ_EEwIDV9WVUpRQ5K","Watch - Graph Theory - SCC (2 vid)")</f>
        <v>Watch - Graph Theory - SCC (2 vid)</v>
      </c>
      <c r="N981" s="620"/>
      <c r="O981" s="165"/>
      <c r="P981" s="165"/>
    </row>
  </sheetData>
  <sortState xmlns:xlrd2="http://schemas.microsoft.com/office/spreadsheetml/2017/richdata2" ref="M8:Q901">
    <sortCondition ref="P307:P901"/>
  </sortState>
  <mergeCells count="80">
    <mergeCell ref="M922:N922"/>
    <mergeCell ref="M923:N923"/>
    <mergeCell ref="M924:N924"/>
    <mergeCell ref="M926:N926"/>
    <mergeCell ref="M927:N927"/>
    <mergeCell ref="M981:N981"/>
    <mergeCell ref="M973:N973"/>
    <mergeCell ref="M974:N974"/>
    <mergeCell ref="M975:N975"/>
    <mergeCell ref="M976:N976"/>
    <mergeCell ref="M977:N977"/>
    <mergeCell ref="M978:N978"/>
    <mergeCell ref="M979:N979"/>
    <mergeCell ref="M968:N968"/>
    <mergeCell ref="M970:N970"/>
    <mergeCell ref="M971:N971"/>
    <mergeCell ref="M972:N972"/>
    <mergeCell ref="M980:N980"/>
    <mergeCell ref="M962:N962"/>
    <mergeCell ref="M963:N963"/>
    <mergeCell ref="M964:N964"/>
    <mergeCell ref="M965:N965"/>
    <mergeCell ref="M966:N966"/>
    <mergeCell ref="M957:N957"/>
    <mergeCell ref="M958:N958"/>
    <mergeCell ref="M959:N959"/>
    <mergeCell ref="M960:N960"/>
    <mergeCell ref="M961:N961"/>
    <mergeCell ref="M952:N952"/>
    <mergeCell ref="M953:N953"/>
    <mergeCell ref="M954:N954"/>
    <mergeCell ref="M955:N955"/>
    <mergeCell ref="M956:N956"/>
    <mergeCell ref="M947:N947"/>
    <mergeCell ref="M948:N948"/>
    <mergeCell ref="M949:N949"/>
    <mergeCell ref="M950:N950"/>
    <mergeCell ref="M951:N951"/>
    <mergeCell ref="M941:N941"/>
    <mergeCell ref="M942:N942"/>
    <mergeCell ref="M944:N944"/>
    <mergeCell ref="M945:N945"/>
    <mergeCell ref="M946:N946"/>
    <mergeCell ref="M936:N936"/>
    <mergeCell ref="M937:N937"/>
    <mergeCell ref="M938:N938"/>
    <mergeCell ref="M939:N939"/>
    <mergeCell ref="M940:N940"/>
    <mergeCell ref="M931:N931"/>
    <mergeCell ref="M932:N932"/>
    <mergeCell ref="M933:N933"/>
    <mergeCell ref="M934:N934"/>
    <mergeCell ref="M935:N935"/>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18:N918"/>
    <mergeCell ref="M919:N919"/>
    <mergeCell ref="C3:M3"/>
    <mergeCell ref="C4:M4"/>
    <mergeCell ref="C5:M5"/>
    <mergeCell ref="G903:J903"/>
    <mergeCell ref="K903:L903"/>
    <mergeCell ref="M903:N903"/>
    <mergeCell ref="M915:N915"/>
    <mergeCell ref="M916:N916"/>
    <mergeCell ref="M917:N917"/>
  </mergeCells>
  <conditionalFormatting sqref="K7:K981 M903">
    <cfRule type="cellIs" dxfId="103" priority="1" operator="equal">
      <formula>"No"</formula>
    </cfRule>
  </conditionalFormatting>
  <conditionalFormatting sqref="K7:K981 M903">
    <cfRule type="cellIs" dxfId="102" priority="2" operator="equal">
      <formula>"no"</formula>
    </cfRule>
  </conditionalFormatting>
  <conditionalFormatting sqref="K7:K981 M903">
    <cfRule type="cellIs" dxfId="101" priority="3" operator="equal">
      <formula>"NO"</formula>
    </cfRule>
  </conditionalFormatting>
  <conditionalFormatting sqref="C3:C981 D244">
    <cfRule type="cellIs" dxfId="100" priority="4" operator="equal">
      <formula>"AC"</formula>
    </cfRule>
  </conditionalFormatting>
  <conditionalFormatting sqref="C3:C981 D244">
    <cfRule type="containsText" dxfId="99" priority="5" operator="containsText" text="WA">
      <formula>NOT(ISERROR(SEARCH(("WA"),(C3))))</formula>
    </cfRule>
  </conditionalFormatting>
  <conditionalFormatting sqref="C3:C981">
    <cfRule type="containsText" dxfId="98" priority="6" operator="containsText" text="WA">
      <formula>NOT(ISERROR(SEARCH(("WA"),(C3))))</formula>
    </cfRule>
  </conditionalFormatting>
  <conditionalFormatting sqref="C3:C981 D244">
    <cfRule type="containsText" dxfId="97" priority="7" operator="containsText" text="TLE">
      <formula>NOT(ISERROR(SEARCH(("TLE"),(C3))))</formula>
    </cfRule>
  </conditionalFormatting>
  <conditionalFormatting sqref="C3:C981">
    <cfRule type="containsText" dxfId="96" priority="8" operator="containsText" text="TLE">
      <formula>NOT(ISERROR(SEARCH(("TLE"),(C3))))</formula>
    </cfRule>
  </conditionalFormatting>
  <conditionalFormatting sqref="C3:C981 D244">
    <cfRule type="containsText" dxfId="95" priority="9" operator="containsText" text="RTE">
      <formula>NOT(ISERROR(SEARCH(("RTE"),(C3))))</formula>
    </cfRule>
  </conditionalFormatting>
  <conditionalFormatting sqref="C3:C981">
    <cfRule type="containsText" dxfId="94" priority="10" operator="containsText" text="RTE">
      <formula>NOT(ISERROR(SEARCH(("RTE"),(C3))))</formula>
    </cfRule>
  </conditionalFormatting>
  <conditionalFormatting sqref="C3:C981 D244">
    <cfRule type="containsText" dxfId="93" priority="11" operator="containsText" text="CS">
      <formula>NOT(ISERROR(SEARCH(("CS"),(C3))))</formula>
    </cfRule>
  </conditionalFormatting>
  <conditionalFormatting sqref="C3:C981">
    <cfRule type="containsText" dxfId="92" priority="12" operator="containsText" text="CS">
      <formula>NOT(ISERROR(SEARCH(("CS"),(C3))))</formula>
    </cfRule>
  </conditionalFormatting>
  <hyperlinks>
    <hyperlink ref="M100" r:id="rId1" xr:uid="{00000000-0004-0000-0900-000000000000}"/>
    <hyperlink ref="M306" r:id="rId2" xr:uid="{00000000-0004-0000-0900-000001000000}"/>
    <hyperlink ref="M216" r:id="rId3" xr:uid="{00000000-0004-0000-0900-000002000000}"/>
    <hyperlink ref="M279" r:id="rId4" xr:uid="{00000000-0004-0000-0900-000003000000}"/>
    <hyperlink ref="M504" r:id="rId5" xr:uid="{00000000-0004-0000-0900-000004000000}"/>
    <hyperlink ref="M385" r:id="rId6" xr:uid="{00000000-0004-0000-0900-000005000000}"/>
    <hyperlink ref="M252" r:id="rId7" xr:uid="{00000000-0004-0000-0900-000006000000}"/>
    <hyperlink ref="B605" r:id="rId8" xr:uid="{00000000-0004-0000-0900-000007000000}"/>
    <hyperlink ref="M520" r:id="rId9" xr:uid="{00000000-0004-0000-0900-000008000000}"/>
    <hyperlink ref="M274" r:id="rId10" xr:uid="{00000000-0004-0000-0900-000009000000}"/>
  </hyperlinks>
  <pageMargins left="0.7" right="0.7" top="0.75" bottom="0.75" header="0.3" footer="0.3"/>
  <legacyDrawing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tint="0.34998626667073579"/>
    <outlinePr summaryBelow="0" summaryRight="0"/>
  </sheetPr>
  <dimension ref="A1:M250"/>
  <sheetViews>
    <sheetView workbookViewId="0">
      <pane ySplit="2" topLeftCell="A238" activePane="bottomLeft" state="frozen"/>
      <selection pane="bottomLeft" activeCell="G111" sqref="G111"/>
    </sheetView>
  </sheetViews>
  <sheetFormatPr defaultColWidth="17.33203125" defaultRowHeight="15.75" customHeight="1"/>
  <cols>
    <col min="1" max="1" width="13.44140625" customWidth="1"/>
    <col min="2" max="2" width="15.33203125" customWidth="1"/>
    <col min="3" max="3" width="6.88671875" customWidth="1"/>
    <col min="4" max="4" width="8.109375" customWidth="1"/>
    <col min="5" max="5" width="8.44140625" customWidth="1"/>
    <col min="6" max="6" width="8.6640625" customWidth="1"/>
    <col min="7" max="7" width="10" customWidth="1"/>
    <col min="8" max="9" width="8.5546875" customWidth="1"/>
    <col min="10" max="12" width="10" customWidth="1"/>
    <col min="13" max="13" width="74.88671875" customWidth="1"/>
  </cols>
  <sheetData>
    <row r="1" spans="1:13" ht="15.75" customHeight="1">
      <c r="A1" s="42" t="s">
        <v>135</v>
      </c>
      <c r="B1" s="43" t="s">
        <v>136</v>
      </c>
      <c r="C1" s="44" t="s">
        <v>137</v>
      </c>
      <c r="D1" s="45" t="s">
        <v>138</v>
      </c>
      <c r="E1" s="45" t="s">
        <v>139</v>
      </c>
      <c r="F1" s="44" t="s">
        <v>140</v>
      </c>
      <c r="G1" s="45" t="s">
        <v>141</v>
      </c>
      <c r="H1" s="45" t="s">
        <v>142</v>
      </c>
      <c r="I1" s="45" t="s">
        <v>143</v>
      </c>
      <c r="J1" s="44" t="s">
        <v>144</v>
      </c>
      <c r="K1" s="44" t="s">
        <v>145</v>
      </c>
      <c r="L1" s="44" t="s">
        <v>146</v>
      </c>
      <c r="M1" s="46" t="s">
        <v>147</v>
      </c>
    </row>
    <row r="2" spans="1:13" ht="15.75" customHeight="1">
      <c r="A2" s="47"/>
      <c r="B2" s="48" t="s">
        <v>148</v>
      </c>
      <c r="C2" s="49">
        <f>COUNTIF(C3:C10520, "AC")</f>
        <v>3</v>
      </c>
      <c r="D2" s="50" t="e">
        <f ca="1">ROUND(SUMPRODUCT(D3:D10520,INT(EQ(C3:C10520, "AC")))/MAX(1, C2),1)</f>
        <v>#NAME?</v>
      </c>
      <c r="E2" s="50" t="e">
        <f ca="1">ROUND(SUMPRODUCT(E3:E10542,INT(EQ(C3:C10542, "AC")))/MAX(1, C2),0)</f>
        <v>#NAME?</v>
      </c>
      <c r="F2" s="50" t="e">
        <f ca="1">ROUND(SUMPRODUCT(F3:F10545,INT(EQ(C3:C10545, "AC")))/MAX(1, C2),0)</f>
        <v>#NAME?</v>
      </c>
      <c r="G2" s="50" t="e">
        <f ca="1">ROUND(SUMPRODUCT(G3:G10545,INT(EQ(C3:C10545, "AC")))/MAX(1, C2),0)</f>
        <v>#NAME?</v>
      </c>
      <c r="H2" s="50" t="e">
        <f ca="1">ROUND(SUMPRODUCT(H3:H10545,INT(EQ(C3:C10545, "AC")))/MAX(1, C2),0)</f>
        <v>#NAME?</v>
      </c>
      <c r="I2" s="50" t="e">
        <f ca="1">ROUND(SUMPRODUCT(I3:I10517,INT(EQ(C3:C10517, "AC")))/MAX(1, C2),0)</f>
        <v>#NAME?</v>
      </c>
      <c r="J2" s="50" t="e">
        <f ca="1">ROUND(SUMPRODUCT(J3:J10515,INT(EQ(C3:C10515, "AC")))/MAX(1, C2),1)</f>
        <v>#NAME?</v>
      </c>
      <c r="K2" s="50" t="e">
        <f ca="1">SUMPRODUCT(EQ(K3:K10520, "YES"),INT(EQ(C3:C10545, "AC")))</f>
        <v>#NAME?</v>
      </c>
      <c r="L2" s="51">
        <f ca="1">IFERROR(__xludf.DUMMYFUNCTION("COUNTA(FILTER(C3:C10012, NOT(REGEXMATCH(C3:C10012, ""AC""))))"),2)</f>
        <v>2</v>
      </c>
      <c r="M2" s="52">
        <f ca="1">IFERROR(__xludf.DUMMYFUNCTION("COUNTA(FILTER(C3:C10006, NOT(REGEXMATCH(C3:C10006, ""AC""))))"),2)</f>
        <v>2</v>
      </c>
    </row>
    <row r="3" spans="1:13" ht="66" customHeight="1">
      <c r="A3" s="53" t="s">
        <v>149</v>
      </c>
      <c r="B3" s="54" t="s">
        <v>150</v>
      </c>
      <c r="C3" s="55" t="s">
        <v>151</v>
      </c>
      <c r="D3" s="56">
        <v>5</v>
      </c>
      <c r="E3" s="56">
        <v>4</v>
      </c>
      <c r="F3" s="56">
        <v>8</v>
      </c>
      <c r="G3" s="56">
        <v>6</v>
      </c>
      <c r="H3" s="56">
        <v>32</v>
      </c>
      <c r="I3" s="57">
        <f t="shared" ref="I3:I29" si="0">SUM(E3:H3)</f>
        <v>50</v>
      </c>
      <c r="J3" s="57">
        <v>2</v>
      </c>
      <c r="K3" s="56" t="s">
        <v>152</v>
      </c>
      <c r="L3" s="56" t="s">
        <v>153</v>
      </c>
      <c r="M3" s="58" t="s">
        <v>154</v>
      </c>
    </row>
    <row r="4" spans="1:13" ht="81" customHeight="1">
      <c r="A4" s="53" t="s">
        <v>155</v>
      </c>
      <c r="B4" s="54" t="s">
        <v>156</v>
      </c>
      <c r="C4" s="55" t="s">
        <v>151</v>
      </c>
      <c r="D4" s="56">
        <v>1</v>
      </c>
      <c r="E4" s="56">
        <v>5</v>
      </c>
      <c r="F4" s="56">
        <v>10</v>
      </c>
      <c r="G4" s="56">
        <v>35</v>
      </c>
      <c r="H4" s="56">
        <v>20</v>
      </c>
      <c r="I4" s="57">
        <f t="shared" si="0"/>
        <v>70</v>
      </c>
      <c r="J4" s="57">
        <v>2</v>
      </c>
      <c r="K4" s="56" t="s">
        <v>157</v>
      </c>
      <c r="L4" s="56" t="s">
        <v>158</v>
      </c>
      <c r="M4" s="59" t="s">
        <v>159</v>
      </c>
    </row>
    <row r="5" spans="1:13" ht="15.75" customHeight="1">
      <c r="A5" s="53" t="s">
        <v>160</v>
      </c>
      <c r="B5" s="54" t="s">
        <v>161</v>
      </c>
      <c r="C5" s="55" t="s">
        <v>151</v>
      </c>
      <c r="D5" s="56">
        <v>1</v>
      </c>
      <c r="E5" s="56">
        <v>5</v>
      </c>
      <c r="F5" s="56">
        <v>20</v>
      </c>
      <c r="G5" s="56">
        <v>4</v>
      </c>
      <c r="H5" s="56">
        <v>1</v>
      </c>
      <c r="I5" s="57">
        <f t="shared" si="0"/>
        <v>30</v>
      </c>
      <c r="J5" s="57">
        <v>2</v>
      </c>
      <c r="K5" s="56" t="s">
        <v>152</v>
      </c>
      <c r="L5" s="56" t="s">
        <v>162</v>
      </c>
      <c r="M5" s="59" t="s">
        <v>163</v>
      </c>
    </row>
    <row r="6" spans="1:13" ht="15.75" customHeight="1">
      <c r="A6" s="53" t="s">
        <v>164</v>
      </c>
      <c r="B6" s="54" t="s">
        <v>165</v>
      </c>
      <c r="C6" s="60" t="s">
        <v>166</v>
      </c>
      <c r="D6" s="57">
        <v>5</v>
      </c>
      <c r="E6" s="57">
        <v>4</v>
      </c>
      <c r="F6" s="57">
        <v>25</v>
      </c>
      <c r="G6" s="57">
        <v>20</v>
      </c>
      <c r="H6" s="56">
        <v>2</v>
      </c>
      <c r="I6" s="57">
        <f t="shared" si="0"/>
        <v>51</v>
      </c>
      <c r="J6" s="56">
        <v>7</v>
      </c>
      <c r="K6" s="56" t="s">
        <v>167</v>
      </c>
      <c r="L6" s="56" t="s">
        <v>153</v>
      </c>
      <c r="M6" s="59" t="s">
        <v>168</v>
      </c>
    </row>
    <row r="7" spans="1:13" ht="15.75" customHeight="1">
      <c r="A7" s="53" t="s">
        <v>169</v>
      </c>
      <c r="B7" s="54" t="s">
        <v>170</v>
      </c>
      <c r="C7" s="61" t="s">
        <v>171</v>
      </c>
      <c r="D7" s="56">
        <v>6</v>
      </c>
      <c r="E7" s="56">
        <v>5</v>
      </c>
      <c r="F7" s="56">
        <v>30</v>
      </c>
      <c r="G7" s="56">
        <v>25</v>
      </c>
      <c r="H7" s="56">
        <v>31</v>
      </c>
      <c r="I7" s="57">
        <f t="shared" si="0"/>
        <v>91</v>
      </c>
      <c r="J7" s="56">
        <v>9</v>
      </c>
      <c r="K7" s="56"/>
      <c r="L7" s="56"/>
      <c r="M7" s="53" t="s">
        <v>172</v>
      </c>
    </row>
    <row r="8" spans="1:13" ht="15.75" customHeight="1">
      <c r="A8" s="53"/>
      <c r="B8" s="54"/>
      <c r="C8" s="48"/>
      <c r="D8" s="62"/>
      <c r="E8" s="62"/>
      <c r="F8" s="62"/>
      <c r="G8" s="62"/>
      <c r="H8" s="57"/>
      <c r="I8" s="57">
        <f t="shared" si="0"/>
        <v>0</v>
      </c>
      <c r="J8" s="62"/>
      <c r="K8" s="56"/>
      <c r="L8" s="62"/>
      <c r="M8" s="63"/>
    </row>
    <row r="9" spans="1:13" ht="15.75" customHeight="1">
      <c r="A9" s="64"/>
      <c r="B9" s="65"/>
      <c r="C9" s="48"/>
      <c r="D9" s="62"/>
      <c r="E9" s="62"/>
      <c r="F9" s="62"/>
      <c r="G9" s="62"/>
      <c r="H9" s="57"/>
      <c r="I9" s="57">
        <f t="shared" si="0"/>
        <v>0</v>
      </c>
      <c r="J9" s="62"/>
      <c r="K9" s="56"/>
      <c r="L9" s="62"/>
      <c r="M9" s="66" t="str">
        <f>HYPERLINK("https://www.youtube.com/watch?v=fd0Ebfa_mJ0","Watch - Approaching Problem Statement ")</f>
        <v xml:space="preserve">Watch - Approaching Problem Statement </v>
      </c>
    </row>
    <row r="10" spans="1:13" ht="15.75" customHeight="1">
      <c r="A10" s="64"/>
      <c r="B10" s="65"/>
      <c r="C10" s="48"/>
      <c r="D10" s="62"/>
      <c r="E10" s="62"/>
      <c r="F10" s="62"/>
      <c r="G10" s="62"/>
      <c r="H10" s="57"/>
      <c r="I10" s="57">
        <f t="shared" si="0"/>
        <v>0</v>
      </c>
      <c r="J10" s="62"/>
      <c r="K10" s="56"/>
      <c r="L10" s="62"/>
      <c r="M10" s="67" t="str">
        <f>HYPERLINK("https://www.youtube.com/watch?v=olcmPKZNqnM","Watch - Thinking - On papers Not on PC ")</f>
        <v xml:space="preserve">Watch - Thinking - On papers Not on PC </v>
      </c>
    </row>
    <row r="11" spans="1:13" ht="15.75" customHeight="1">
      <c r="A11" s="68" t="s">
        <v>173</v>
      </c>
      <c r="B11" s="69" t="str">
        <f>HYPERLINK("http://codeforces.com/contest/677/problem/A","CF677-D2-A")</f>
        <v>CF677-D2-A</v>
      </c>
      <c r="C11" s="48"/>
      <c r="D11" s="62"/>
      <c r="E11" s="62"/>
      <c r="F11" s="62"/>
      <c r="G11" s="62"/>
      <c r="H11" s="57"/>
      <c r="I11" s="57">
        <f t="shared" si="0"/>
        <v>0</v>
      </c>
      <c r="J11" s="62"/>
      <c r="K11" s="56"/>
      <c r="L11" s="62"/>
      <c r="M11" s="70" t="str">
        <f>HYPERLINK("http://codeforces.com/contest/677/submission/18185361","C++ Solution Example")</f>
        <v>C++ Solution Example</v>
      </c>
    </row>
    <row r="12" spans="1:13" ht="15.75" customHeight="1">
      <c r="A12" s="68" t="s">
        <v>174</v>
      </c>
      <c r="B12" s="69" t="str">
        <f>HYPERLINK("http://codeforces.com/contest/734/problem/A","CF734-D2-A")</f>
        <v>CF734-D2-A</v>
      </c>
      <c r="C12" s="48"/>
      <c r="D12" s="62"/>
      <c r="E12" s="62"/>
      <c r="F12" s="62"/>
      <c r="G12" s="62"/>
      <c r="H12" s="57"/>
      <c r="I12" s="57">
        <f t="shared" si="0"/>
        <v>0</v>
      </c>
      <c r="J12" s="62"/>
      <c r="K12" s="56"/>
      <c r="L12" s="62"/>
      <c r="M12" s="71" t="str">
        <f>HYPERLINK("http://codeforces.com/blog/entry/48397","This is from Round 379. Here is the editorial")</f>
        <v>This is from Round 379. Here is the editorial</v>
      </c>
    </row>
    <row r="13" spans="1:13" ht="15.75" customHeight="1">
      <c r="A13" s="68"/>
      <c r="B13" s="72"/>
      <c r="C13" s="48"/>
      <c r="D13" s="62"/>
      <c r="E13" s="62"/>
      <c r="F13" s="62"/>
      <c r="G13" s="62"/>
      <c r="H13" s="57"/>
      <c r="I13" s="57">
        <f t="shared" si="0"/>
        <v>0</v>
      </c>
      <c r="J13" s="62"/>
      <c r="K13" s="56"/>
      <c r="L13" s="62"/>
      <c r="M13" s="73" t="s">
        <v>175</v>
      </c>
    </row>
    <row r="14" spans="1:13" ht="15.75" customHeight="1">
      <c r="A14" s="68"/>
      <c r="B14" s="74"/>
      <c r="C14" s="48"/>
      <c r="D14" s="62"/>
      <c r="E14" s="62"/>
      <c r="F14" s="62"/>
      <c r="G14" s="62"/>
      <c r="H14" s="57"/>
      <c r="I14" s="57">
        <f t="shared" si="0"/>
        <v>0</v>
      </c>
      <c r="J14" s="62"/>
      <c r="K14" s="56"/>
      <c r="L14" s="62"/>
      <c r="M14" s="75" t="s">
        <v>176</v>
      </c>
    </row>
    <row r="15" spans="1:13" ht="15.75" customHeight="1">
      <c r="A15" s="68"/>
      <c r="B15" s="74"/>
      <c r="C15" s="48"/>
      <c r="D15" s="62"/>
      <c r="E15" s="62"/>
      <c r="F15" s="62"/>
      <c r="G15" s="62"/>
      <c r="H15" s="57"/>
      <c r="I15" s="57">
        <f t="shared" si="0"/>
        <v>0</v>
      </c>
      <c r="J15" s="62"/>
      <c r="K15" s="56"/>
      <c r="L15" s="62"/>
      <c r="M15" s="75"/>
    </row>
    <row r="16" spans="1:13" ht="15.75" customHeight="1">
      <c r="A16" s="68" t="s">
        <v>177</v>
      </c>
      <c r="B16" s="76" t="str">
        <f>HYPERLINK("codeforces.com/contest/791/problem/A","CF791-D2-A")</f>
        <v>CF791-D2-A</v>
      </c>
      <c r="C16" s="48"/>
      <c r="D16" s="62"/>
      <c r="E16" s="62"/>
      <c r="F16" s="62"/>
      <c r="G16" s="62"/>
      <c r="H16" s="57"/>
      <c r="I16" s="57">
        <f t="shared" si="0"/>
        <v>0</v>
      </c>
      <c r="J16" s="62"/>
      <c r="K16" s="56"/>
      <c r="L16" s="62"/>
      <c r="M16" s="77" t="str">
        <f>HYPERLINK("https://www.youtube.com/watch?v=t05qYeiWGGc","Video Solution - Eng Youssef El Ghareeb")</f>
        <v>Video Solution - Eng Youssef El Ghareeb</v>
      </c>
    </row>
    <row r="17" spans="1:13" ht="15.75" customHeight="1">
      <c r="A17" s="68" t="s">
        <v>178</v>
      </c>
      <c r="B17" s="69" t="str">
        <f>HYPERLINK("http://codeforces.com/contest/231/problem/A","CF231-D2-A")</f>
        <v>CF231-D2-A</v>
      </c>
      <c r="C17" s="48"/>
      <c r="D17" s="62"/>
      <c r="E17" s="62"/>
      <c r="F17" s="62"/>
      <c r="G17" s="62"/>
      <c r="H17" s="57"/>
      <c r="I17" s="57">
        <f t="shared" si="0"/>
        <v>0</v>
      </c>
      <c r="J17" s="62"/>
      <c r="K17" s="56"/>
      <c r="L17" s="62"/>
      <c r="M17" s="77" t="str">
        <f>HYPERLINK("https://www.youtube.com/watch?v=P73Mv_GG_PY","Video Solution - Eng Youssef Ali")</f>
        <v>Video Solution - Eng Youssef Ali</v>
      </c>
    </row>
    <row r="18" spans="1:13" ht="15.75" customHeight="1">
      <c r="A18" s="68" t="s">
        <v>179</v>
      </c>
      <c r="B18" s="69" t="str">
        <f>HYPERLINK("http://codeforces.com/contest/263/problem/A","CF263-D2-A")</f>
        <v>CF263-D2-A</v>
      </c>
      <c r="C18" s="48"/>
      <c r="D18" s="62"/>
      <c r="E18" s="62"/>
      <c r="F18" s="62"/>
      <c r="G18" s="62"/>
      <c r="H18" s="57"/>
      <c r="I18" s="57">
        <f t="shared" si="0"/>
        <v>0</v>
      </c>
      <c r="J18" s="62"/>
      <c r="K18" s="56"/>
      <c r="L18" s="62"/>
      <c r="M18" s="78" t="str">
        <f>HYPERLINK("https://www.youtube.com/watch?v=FU4thrvEvKg","Video Solution - Eng Samed Hajajla")</f>
        <v>Video Solution - Eng Samed Hajajla</v>
      </c>
    </row>
    <row r="19" spans="1:13" ht="15.75" customHeight="1">
      <c r="A19" s="79" t="s">
        <v>180</v>
      </c>
      <c r="B19" s="80" t="str">
        <f>HYPERLINK("http://codeforces.com/contest/405/problem/A","CF405-D2-A")</f>
        <v>CF405-D2-A</v>
      </c>
      <c r="C19" s="48"/>
      <c r="D19" s="62"/>
      <c r="E19" s="62"/>
      <c r="F19" s="62"/>
      <c r="G19" s="62"/>
      <c r="H19" s="57"/>
      <c r="I19" s="57">
        <f t="shared" si="0"/>
        <v>0</v>
      </c>
      <c r="J19" s="26"/>
      <c r="K19" s="56"/>
      <c r="L19" s="26"/>
      <c r="M19" s="81" t="str">
        <f>HYPERLINK("https://www.youtube.com/watch?v=HNe9QW-1MJI","Video Solution - Eng John Gamal")</f>
        <v>Video Solution - Eng John Gamal</v>
      </c>
    </row>
    <row r="20" spans="1:13" ht="15.75" customHeight="1">
      <c r="A20" s="79" t="s">
        <v>181</v>
      </c>
      <c r="B20" s="80" t="str">
        <f>HYPERLINK("http://codeforces.com/contest/112/problem/A","CF112-D2-A")</f>
        <v>CF112-D2-A</v>
      </c>
      <c r="C20" s="48"/>
      <c r="D20" s="62"/>
      <c r="E20" s="62"/>
      <c r="F20" s="62"/>
      <c r="G20" s="62"/>
      <c r="H20" s="57"/>
      <c r="I20" s="57">
        <f t="shared" si="0"/>
        <v>0</v>
      </c>
      <c r="J20" s="26"/>
      <c r="K20" s="56"/>
      <c r="L20" s="26"/>
      <c r="M20" s="82" t="str">
        <f>HYPERLINK("https://www.youtube.com/watch?v=Sp4zWrDvGrk","Video Solution - Solver to be (Java)")</f>
        <v>Video Solution - Solver to be (Java)</v>
      </c>
    </row>
    <row r="21" spans="1:13" ht="15.75" customHeight="1">
      <c r="A21" s="79" t="s">
        <v>182</v>
      </c>
      <c r="B21" s="80" t="str">
        <f>HYPERLINK("http://codeforces.com/contest/236/problem/A","CF236-D2-A")</f>
        <v>CF236-D2-A</v>
      </c>
      <c r="C21" s="48"/>
      <c r="D21" s="62"/>
      <c r="E21" s="62"/>
      <c r="F21" s="62"/>
      <c r="G21" s="62"/>
      <c r="H21" s="57"/>
      <c r="I21" s="57">
        <f t="shared" si="0"/>
        <v>0</v>
      </c>
      <c r="J21" s="26"/>
      <c r="K21" s="56"/>
      <c r="L21" s="26"/>
      <c r="M21" s="82" t="str">
        <f>HYPERLINK("https://www.youtube.com/watch?v=AOOmuJXMyHQ","Video Solution - Solver to be (Java)")</f>
        <v>Video Solution - Solver to be (Java)</v>
      </c>
    </row>
    <row r="22" spans="1:13" ht="15.75" customHeight="1">
      <c r="A22" s="83" t="s">
        <v>183</v>
      </c>
      <c r="B22" s="84" t="str">
        <f>HYPERLINK("http://codeforces.com/contest/59/problem/A","CF59-D2-A")</f>
        <v>CF59-D2-A</v>
      </c>
      <c r="C22" s="48"/>
      <c r="D22" s="62"/>
      <c r="E22" s="62"/>
      <c r="F22" s="62"/>
      <c r="G22" s="62"/>
      <c r="H22" s="57"/>
      <c r="I22" s="57">
        <f t="shared" si="0"/>
        <v>0</v>
      </c>
      <c r="J22" s="26"/>
      <c r="K22" s="56"/>
      <c r="L22" s="26"/>
      <c r="M22" s="82" t="str">
        <f>HYPERLINK("https://www.youtube.com/watch?v=gW8YOQbMdDI","Video Solution - Solver to be (Java)")</f>
        <v>Video Solution - Solver to be (Java)</v>
      </c>
    </row>
    <row r="23" spans="1:13" ht="15.75" customHeight="1">
      <c r="A23" s="79" t="s">
        <v>184</v>
      </c>
      <c r="B23" s="80" t="str">
        <f>HYPERLINK("http://codeforces.com/contest/344/problem/A","CF344-D2-A")</f>
        <v>CF344-D2-A</v>
      </c>
      <c r="C23" s="48"/>
      <c r="D23" s="62"/>
      <c r="E23" s="62"/>
      <c r="F23" s="62"/>
      <c r="G23" s="62"/>
      <c r="H23" s="57"/>
      <c r="I23" s="57">
        <f t="shared" si="0"/>
        <v>0</v>
      </c>
      <c r="J23" s="26"/>
      <c r="K23" s="56"/>
      <c r="L23" s="26"/>
      <c r="M23" s="85" t="str">
        <f>HYPERLINK("https://www.youtube.com/watch?v=7o7lZTKFzp0","Video Solution - Solver to be (Java)")</f>
        <v>Video Solution - Solver to be (Java)</v>
      </c>
    </row>
    <row r="24" spans="1:13" ht="15.75" customHeight="1">
      <c r="A24" s="86" t="s">
        <v>185</v>
      </c>
      <c r="B24" s="87" t="str">
        <f>HYPERLINK("http://codeforces.com/contest/381/problem/A","CF381-D2-A")</f>
        <v>CF381-D2-A</v>
      </c>
      <c r="C24" s="48"/>
      <c r="D24" s="62"/>
      <c r="E24" s="62"/>
      <c r="F24" s="62"/>
      <c r="G24" s="62"/>
      <c r="H24" s="57"/>
      <c r="I24" s="57">
        <f t="shared" si="0"/>
        <v>0</v>
      </c>
      <c r="J24" s="26"/>
      <c r="K24" s="56"/>
      <c r="L24" s="26"/>
      <c r="M24" s="88" t="str">
        <f>HYPERLINK("https://www.youtube.com/watch?v=XgJ0DS3r_KE","Video Solution - Solver to be (Java)")</f>
        <v>Video Solution - Solver to be (Java)</v>
      </c>
    </row>
    <row r="25" spans="1:13" ht="15.75" customHeight="1">
      <c r="A25" s="68" t="s">
        <v>186</v>
      </c>
      <c r="B25" s="69" t="str">
        <f>HYPERLINK("http://codeforces.com/contest/266/problem/A","CF266-D2-A")</f>
        <v>CF266-D2-A</v>
      </c>
      <c r="C25" s="48"/>
      <c r="D25" s="62"/>
      <c r="E25" s="62"/>
      <c r="F25" s="62"/>
      <c r="G25" s="62"/>
      <c r="H25" s="57"/>
      <c r="I25" s="57">
        <f t="shared" si="0"/>
        <v>0</v>
      </c>
      <c r="J25" s="62"/>
      <c r="K25" s="56"/>
      <c r="L25" s="62"/>
      <c r="M25" s="77" t="str">
        <f>HYPERLINK("https://www.youtube.com/watch?v=3akdDnmPwOY&amp;feature=youtu.be","Video Solution - Eng Ahmead Raafat (Python)")</f>
        <v>Video Solution - Eng Ahmead Raafat (Python)</v>
      </c>
    </row>
    <row r="26" spans="1:13" ht="15.75" customHeight="1">
      <c r="A26" s="68" t="s">
        <v>187</v>
      </c>
      <c r="B26" s="69" t="str">
        <f>HYPERLINK("http://codeforces.com/contest/427/problem/A","CF427-D2-A")</f>
        <v>CF427-D2-A</v>
      </c>
      <c r="C26" s="48"/>
      <c r="D26" s="62"/>
      <c r="E26" s="62"/>
      <c r="F26" s="62"/>
      <c r="G26" s="62"/>
      <c r="H26" s="57"/>
      <c r="I26" s="57">
        <f t="shared" si="0"/>
        <v>0</v>
      </c>
      <c r="J26" s="62"/>
      <c r="K26" s="56"/>
      <c r="L26" s="62"/>
      <c r="M26" s="77" t="str">
        <f>HYPERLINK("https://www.youtube.com/watch?v=PECOLs3YWR0&amp;feature=youtu.be","Video Solution - Eng Ahmead Raafat (Python)")</f>
        <v>Video Solution - Eng Ahmead Raafat (Python)</v>
      </c>
    </row>
    <row r="27" spans="1:13" ht="15.75" customHeight="1">
      <c r="A27" s="89" t="s">
        <v>188</v>
      </c>
      <c r="B27" s="69" t="str">
        <f>HYPERLINK("http://codeforces.com/contest/431/problem/A","CF431-D2-A")</f>
        <v>CF431-D2-A</v>
      </c>
      <c r="C27" s="48"/>
      <c r="D27" s="62"/>
      <c r="E27" s="62"/>
      <c r="F27" s="62"/>
      <c r="G27" s="62"/>
      <c r="H27" s="57"/>
      <c r="I27" s="57">
        <f t="shared" si="0"/>
        <v>0</v>
      </c>
      <c r="J27" s="62"/>
      <c r="K27" s="56"/>
      <c r="L27" s="62"/>
      <c r="M27" s="77" t="str">
        <f>HYPERLINK("https://www.youtube.com/watch?v=mJYiMoX4t0k","Video Solution - Eng Ahmead Raafat (Python)")</f>
        <v>Video Solution - Eng Ahmead Raafat (Python)</v>
      </c>
    </row>
    <row r="28" spans="1:13" ht="15.75" customHeight="1">
      <c r="A28" s="89" t="s">
        <v>189</v>
      </c>
      <c r="B28" s="69" t="str">
        <f>HYPERLINK("http://codeforces.com/contest/731/problem/A","CF731-D2-A")</f>
        <v>CF731-D2-A</v>
      </c>
      <c r="C28" s="48"/>
      <c r="D28" s="62"/>
      <c r="E28" s="62"/>
      <c r="F28" s="62"/>
      <c r="G28" s="62"/>
      <c r="H28" s="57"/>
      <c r="I28" s="57">
        <f t="shared" si="0"/>
        <v>0</v>
      </c>
      <c r="J28" s="62"/>
      <c r="K28" s="56"/>
      <c r="L28" s="62"/>
      <c r="M28" s="77" t="str">
        <f>HYPERLINK("https://www.youtube.com/watch?v=pBhXYZKAFTM","Video Solution - Eng Yahia Ashraf")</f>
        <v>Video Solution - Eng Yahia Ashraf</v>
      </c>
    </row>
    <row r="29" spans="1:13" ht="15.75" customHeight="1">
      <c r="A29" s="89" t="s">
        <v>190</v>
      </c>
      <c r="B29" s="69" t="str">
        <f>HYPERLINK("http://codeforces.com/contest/268/problem/A","CF268-D2-A")</f>
        <v>CF268-D2-A</v>
      </c>
      <c r="C29" s="48"/>
      <c r="D29" s="62"/>
      <c r="E29" s="62"/>
      <c r="F29" s="62"/>
      <c r="G29" s="62"/>
      <c r="H29" s="57"/>
      <c r="I29" s="57">
        <f t="shared" si="0"/>
        <v>0</v>
      </c>
      <c r="J29" s="62"/>
      <c r="K29" s="56"/>
      <c r="L29" s="62"/>
      <c r="M29" s="77" t="str">
        <f>HYPERLINK("https://www.youtube.com/watch?v=lFt2GuQtmSs","Video Solution - Eng Yahia Ashraf")</f>
        <v>Video Solution - Eng Yahia Ashraf</v>
      </c>
    </row>
    <row r="30" spans="1:13" ht="15.75" customHeight="1">
      <c r="A30" s="90"/>
      <c r="B30" s="91"/>
      <c r="C30" s="48"/>
      <c r="D30" s="62"/>
      <c r="E30" s="62"/>
      <c r="F30" s="62"/>
      <c r="G30" s="62"/>
      <c r="H30" s="57"/>
      <c r="I30" s="57"/>
      <c r="J30" s="62"/>
      <c r="K30" s="56"/>
      <c r="L30" s="62"/>
      <c r="M30" s="66"/>
    </row>
    <row r="31" spans="1:13" ht="15.75" customHeight="1">
      <c r="A31" s="90"/>
      <c r="B31" s="91"/>
      <c r="C31" s="48"/>
      <c r="D31" s="62"/>
      <c r="E31" s="62"/>
      <c r="F31" s="62"/>
      <c r="G31" s="62"/>
      <c r="H31" s="57"/>
      <c r="I31" s="57">
        <f t="shared" ref="I31:I44" si="1">SUM(E31:H31)</f>
        <v>0</v>
      </c>
      <c r="J31" s="62"/>
      <c r="K31" s="56"/>
      <c r="L31" s="62"/>
      <c r="M31" s="67" t="str">
        <f>HYPERLINK("https://www.youtube.com/watch?v=Syx2qDjj7TE","Watch - Elementary Math - Introduction")</f>
        <v>Watch - Elementary Math - Introduction</v>
      </c>
    </row>
    <row r="32" spans="1:13" ht="15.75" customHeight="1">
      <c r="A32" s="79" t="s">
        <v>191</v>
      </c>
      <c r="B32" s="80" t="str">
        <f>HYPERLINK("http://codeforces.com/contest/732/problem/A","CF732-D2-A")</f>
        <v>CF732-D2-A</v>
      </c>
      <c r="C32" s="92"/>
      <c r="D32" s="93"/>
      <c r="E32" s="93"/>
      <c r="F32" s="93"/>
      <c r="G32" s="93"/>
      <c r="H32" s="92"/>
      <c r="I32" s="57">
        <f t="shared" si="1"/>
        <v>0</v>
      </c>
      <c r="J32" s="93"/>
      <c r="K32" s="92"/>
      <c r="L32" s="93"/>
      <c r="M32" s="81" t="str">
        <f>HYPERLINK("https://www.youtube.com/watch?v=jKOSPuoplz0","Video Solution - Eng Yahia Ashraf")</f>
        <v>Video Solution - Eng Yahia Ashraf</v>
      </c>
    </row>
    <row r="33" spans="1:13" ht="13.2">
      <c r="A33" s="79" t="s">
        <v>192</v>
      </c>
      <c r="B33" s="80" t="str">
        <f>HYPERLINK("http://codeforces.com/contest/228/problem/A","CF228-D2-A")</f>
        <v>CF228-D2-A</v>
      </c>
      <c r="C33" s="92"/>
      <c r="D33" s="93"/>
      <c r="E33" s="93"/>
      <c r="F33" s="93"/>
      <c r="G33" s="93"/>
      <c r="H33" s="92"/>
      <c r="I33" s="57">
        <f t="shared" si="1"/>
        <v>0</v>
      </c>
      <c r="J33" s="93"/>
      <c r="K33" s="92"/>
      <c r="L33" s="93"/>
      <c r="M33" s="81" t="str">
        <f>HYPERLINK("https://www.youtube.com/watch?v=O0zvnXeQis4&amp;app=desktop#_=_","Video Solution - Eng Ahmead Raafat (Python)")</f>
        <v>Video Solution - Eng Ahmead Raafat (Python)</v>
      </c>
    </row>
    <row r="34" spans="1:13" ht="13.2">
      <c r="A34" s="79" t="s">
        <v>193</v>
      </c>
      <c r="B34" s="80" t="str">
        <f>HYPERLINK("http://codeforces.com/contest/265/problem/A","CF265-D2-A")</f>
        <v>CF265-D2-A</v>
      </c>
      <c r="C34" s="92"/>
      <c r="D34" s="93"/>
      <c r="E34" s="93"/>
      <c r="F34" s="93"/>
      <c r="G34" s="93"/>
      <c r="H34" s="92"/>
      <c r="I34" s="57">
        <f t="shared" si="1"/>
        <v>0</v>
      </c>
      <c r="J34" s="93"/>
      <c r="K34" s="92"/>
      <c r="L34" s="93"/>
      <c r="M34" s="81" t="str">
        <f>HYPERLINK("https://www.youtube.com/watch?v=ol_mjArjBCk","Video Solution - Eng Ahmead Raafat (Python)")</f>
        <v>Video Solution - Eng Ahmead Raafat (Python)</v>
      </c>
    </row>
    <row r="35" spans="1:13" ht="13.2">
      <c r="A35" s="94" t="s">
        <v>194</v>
      </c>
      <c r="B35" s="95" t="str">
        <f>HYPERLINK("http://codeforces.com/contest/9/problem/A","CF9-D2-A")</f>
        <v>CF9-D2-A</v>
      </c>
      <c r="C35" s="48"/>
      <c r="D35" s="62"/>
      <c r="E35" s="62"/>
      <c r="F35" s="62"/>
      <c r="G35" s="62"/>
      <c r="H35" s="57"/>
      <c r="I35" s="57">
        <f t="shared" si="1"/>
        <v>0</v>
      </c>
      <c r="J35" s="96"/>
      <c r="K35" s="56"/>
      <c r="L35" s="26"/>
      <c r="M35" s="81" t="str">
        <f>HYPERLINK("https://www.youtube.com/watch?v=5T1yiz9-jZo","Video Solution - Eng Muntaser Abukadeja")</f>
        <v>Video Solution - Eng Muntaser Abukadeja</v>
      </c>
    </row>
    <row r="36" spans="1:13" ht="13.2">
      <c r="A36" s="97" t="s">
        <v>195</v>
      </c>
      <c r="B36" s="98" t="str">
        <f>HYPERLINK("http://codeforces.com/contest/294/problem/A","CF294-D2-A")</f>
        <v>CF294-D2-A</v>
      </c>
      <c r="C36" s="48"/>
      <c r="D36" s="62"/>
      <c r="E36" s="62"/>
      <c r="F36" s="62"/>
      <c r="G36" s="62"/>
      <c r="H36" s="57"/>
      <c r="I36" s="57">
        <f t="shared" si="1"/>
        <v>0</v>
      </c>
      <c r="J36" s="96"/>
      <c r="K36" s="56"/>
      <c r="L36" s="26"/>
      <c r="M36" s="81" t="str">
        <f>HYPERLINK("https://www.youtube.com/watch?v=GOuclkVCvRI","Video Solution - Dr Mostafa Saad")</f>
        <v>Video Solution - Dr Mostafa Saad</v>
      </c>
    </row>
    <row r="37" spans="1:13" ht="13.2">
      <c r="A37" s="86" t="s">
        <v>196</v>
      </c>
      <c r="B37" s="87" t="str">
        <f>HYPERLINK("http://codeforces.com/contest/709/problem/A","CF709-D2-A")</f>
        <v>CF709-D2-A</v>
      </c>
      <c r="C37" s="48"/>
      <c r="D37" s="62"/>
      <c r="E37" s="62"/>
      <c r="F37" s="62"/>
      <c r="G37" s="62"/>
      <c r="H37" s="57"/>
      <c r="I37" s="57">
        <f t="shared" si="1"/>
        <v>0</v>
      </c>
      <c r="J37" s="96"/>
      <c r="K37" s="56"/>
      <c r="L37" s="26"/>
      <c r="M37" s="88" t="str">
        <f>HYPERLINK("https://www.youtube.com/watch?v=fPcKGZ_e8G0","Video Solution - Solver to be (Java)")</f>
        <v>Video Solution - Solver to be (Java)</v>
      </c>
    </row>
    <row r="38" spans="1:13" ht="13.2">
      <c r="A38" s="99" t="s">
        <v>197</v>
      </c>
      <c r="B38" s="100" t="str">
        <f>HYPERLINK("http://codeforces.com/contest/799/problem/A","CF799-D2-A")</f>
        <v>CF799-D2-A</v>
      </c>
      <c r="C38" s="48"/>
      <c r="D38" s="62"/>
      <c r="E38" s="62"/>
      <c r="F38" s="62"/>
      <c r="G38" s="62"/>
      <c r="H38" s="57"/>
      <c r="I38" s="57">
        <f t="shared" si="1"/>
        <v>0</v>
      </c>
      <c r="J38" s="96"/>
      <c r="K38" s="56"/>
      <c r="L38" s="26"/>
      <c r="M38" s="88" t="str">
        <f>HYPERLINK("https://www.youtube.com/watch?v=uyEL9f8pxlM","Video Solution - Solver to be (Java)")</f>
        <v>Video Solution - Solver to be (Java)</v>
      </c>
    </row>
    <row r="39" spans="1:13" ht="13.2">
      <c r="A39" s="94" t="s">
        <v>198</v>
      </c>
      <c r="B39" s="95" t="str">
        <f>HYPERLINK("http://codeforces.com/contest/443/problem/A","CF443-D2-A")</f>
        <v>CF443-D2-A</v>
      </c>
      <c r="C39" s="48"/>
      <c r="D39" s="62"/>
      <c r="E39" s="62"/>
      <c r="F39" s="62"/>
      <c r="G39" s="62"/>
      <c r="H39" s="57"/>
      <c r="I39" s="57">
        <f t="shared" si="1"/>
        <v>0</v>
      </c>
      <c r="J39" s="96"/>
      <c r="K39" s="56"/>
      <c r="L39" s="26"/>
      <c r="M39" s="85" t="str">
        <f>HYPERLINK("https://www.youtube.com/watch?v=YXuljSnZaTY","Video Solution - Solver to be (Java)")</f>
        <v>Video Solution - Solver to be (Java)</v>
      </c>
    </row>
    <row r="40" spans="1:13" ht="13.2">
      <c r="A40" s="79" t="s">
        <v>199</v>
      </c>
      <c r="B40" s="80" t="str">
        <f>HYPERLINK("http://codeforces.com/contest/71/problem/A","CF71-D2-A")</f>
        <v>CF71-D2-A</v>
      </c>
      <c r="C40" s="48"/>
      <c r="D40" s="62"/>
      <c r="E40" s="62"/>
      <c r="F40" s="62"/>
      <c r="G40" s="62"/>
      <c r="H40" s="57"/>
      <c r="I40" s="57">
        <f t="shared" si="1"/>
        <v>0</v>
      </c>
      <c r="J40" s="96"/>
      <c r="K40" s="56"/>
      <c r="L40" s="26"/>
      <c r="M40" s="82" t="str">
        <f>HYPERLINK("https://www.youtube.com/watch?v=yuebR81LyXE","Video Solution - Solver to be (Java)")</f>
        <v>Video Solution - Solver to be (Java)</v>
      </c>
    </row>
    <row r="41" spans="1:13" ht="13.2">
      <c r="A41" s="79" t="s">
        <v>200</v>
      </c>
      <c r="B41" s="80" t="str">
        <f>HYPERLINK("http://codeforces.com/contest/686/problem/A","CF686-D2-A")</f>
        <v>CF686-D2-A</v>
      </c>
      <c r="C41" s="48"/>
      <c r="D41" s="62"/>
      <c r="E41" s="62"/>
      <c r="F41" s="62"/>
      <c r="G41" s="62"/>
      <c r="H41" s="57"/>
      <c r="I41" s="57">
        <f t="shared" si="1"/>
        <v>0</v>
      </c>
      <c r="J41" s="96"/>
      <c r="K41" s="56"/>
      <c r="L41" s="26"/>
      <c r="M41" s="82" t="str">
        <f>HYPERLINK("https://www.youtube.com/watch?v=Alipj6tJKKI","Video Solution - Solver to be (Java)")</f>
        <v>Video Solution - Solver to be (Java)</v>
      </c>
    </row>
    <row r="42" spans="1:13" ht="13.2">
      <c r="A42" s="83" t="s">
        <v>201</v>
      </c>
      <c r="B42" s="84" t="str">
        <f>HYPERLINK("http://codeforces.com/contest/339/problem/A","CF339-D2-A")</f>
        <v>CF339-D2-A</v>
      </c>
      <c r="C42" s="48"/>
      <c r="D42" s="62"/>
      <c r="E42" s="62"/>
      <c r="F42" s="62"/>
      <c r="G42" s="62"/>
      <c r="H42" s="57"/>
      <c r="I42" s="57">
        <f t="shared" si="1"/>
        <v>0</v>
      </c>
      <c r="J42" s="96"/>
      <c r="K42" s="56"/>
      <c r="L42" s="26"/>
      <c r="M42" s="82" t="str">
        <f>HYPERLINK("https://www.youtube.com/watch?v=NLsyJpkFMz4","Video Solution - Solver to be (Java)")</f>
        <v>Video Solution - Solver to be (Java)</v>
      </c>
    </row>
    <row r="43" spans="1:13" ht="13.2">
      <c r="A43" s="86" t="s">
        <v>202</v>
      </c>
      <c r="B43" s="87" t="str">
        <f>HYPERLINK("http://codeforces.com/contest/490/problem/A","CF490-D2-A")</f>
        <v>CF490-D2-A</v>
      </c>
      <c r="C43" s="101"/>
      <c r="D43" s="102"/>
      <c r="E43" s="102"/>
      <c r="F43" s="102"/>
      <c r="G43" s="102"/>
      <c r="H43" s="103"/>
      <c r="I43" s="57">
        <f t="shared" si="1"/>
        <v>0</v>
      </c>
      <c r="J43" s="96"/>
      <c r="K43" s="56"/>
      <c r="L43" s="26"/>
      <c r="M43" s="104" t="str">
        <f>HYPERLINK("https://www.youtube.com/watch?v=2jJA1PCOrgg","Video Solution - Eng Muntaser Abukadeja")</f>
        <v>Video Solution - Eng Muntaser Abukadeja</v>
      </c>
    </row>
    <row r="44" spans="1:13" ht="13.2">
      <c r="A44" s="105" t="s">
        <v>203</v>
      </c>
      <c r="B44" s="106" t="str">
        <f>HYPERLINK("http://codeforces.com/contest/770/problem/A","CF770-D2-A")</f>
        <v>CF770-D2-A</v>
      </c>
      <c r="C44" s="48"/>
      <c r="D44" s="62"/>
      <c r="E44" s="62"/>
      <c r="F44" s="62"/>
      <c r="G44" s="62"/>
      <c r="H44" s="57"/>
      <c r="I44" s="57">
        <f t="shared" si="1"/>
        <v>0</v>
      </c>
      <c r="J44" s="96"/>
      <c r="K44" s="56"/>
      <c r="L44" s="26"/>
      <c r="M44" s="107"/>
    </row>
    <row r="45" spans="1:13" ht="13.2">
      <c r="A45" s="92"/>
      <c r="B45" s="93"/>
      <c r="C45" s="48"/>
      <c r="D45" s="62"/>
      <c r="E45" s="62"/>
      <c r="F45" s="62"/>
      <c r="G45" s="62"/>
      <c r="H45" s="57"/>
      <c r="I45" s="57"/>
      <c r="J45" s="93"/>
      <c r="K45" s="56"/>
      <c r="L45" s="93"/>
      <c r="M45" s="107"/>
    </row>
    <row r="46" spans="1:13" ht="13.2">
      <c r="A46" s="92"/>
      <c r="B46" s="93"/>
      <c r="C46" s="48"/>
      <c r="D46" s="62"/>
      <c r="E46" s="62"/>
      <c r="F46" s="62"/>
      <c r="G46" s="62"/>
      <c r="H46" s="57"/>
      <c r="I46" s="57">
        <f>SUM(E46:H46)</f>
        <v>0</v>
      </c>
      <c r="J46" s="93"/>
      <c r="K46" s="56"/>
      <c r="L46" s="93"/>
      <c r="M46" s="107" t="str">
        <f>HYPERLINK("https://www.youtube.com/watch?v=9sqvjnvuLtY","Watch - Number Theory - Modular Arithmatic")</f>
        <v>Watch - Number Theory - Modular Arithmatic</v>
      </c>
    </row>
    <row r="47" spans="1:13" ht="13.2">
      <c r="A47" s="92"/>
      <c r="B47" s="93"/>
      <c r="C47" s="48"/>
      <c r="D47" s="62"/>
      <c r="E47" s="62"/>
      <c r="F47" s="62"/>
      <c r="G47" s="62"/>
      <c r="H47" s="57"/>
      <c r="I47" s="57">
        <f>SUM(E47:H47)</f>
        <v>0</v>
      </c>
      <c r="J47" s="93"/>
      <c r="K47" s="56"/>
      <c r="L47" s="93"/>
      <c r="M47" s="107" t="str">
        <f>HYPERLINK("https://www.youtube.com/watch?v=sr6WgCLcgVM","Watch - Combinatorics - Counting Principles")</f>
        <v>Watch - Combinatorics - Counting Principles</v>
      </c>
    </row>
    <row r="48" spans="1:13" ht="13.2">
      <c r="A48" s="92"/>
      <c r="B48" s="93"/>
      <c r="C48" s="48"/>
      <c r="D48" s="62"/>
      <c r="E48" s="62"/>
      <c r="F48" s="62"/>
      <c r="G48" s="62"/>
      <c r="H48" s="57"/>
      <c r="I48" s="57"/>
      <c r="J48" s="93"/>
      <c r="K48" s="56"/>
      <c r="L48" s="93"/>
      <c r="M48" s="108" t="s">
        <v>204</v>
      </c>
    </row>
    <row r="49" spans="1:13" ht="13.2">
      <c r="A49" s="109" t="s">
        <v>205</v>
      </c>
      <c r="B49" s="110" t="str">
        <f>HYPERLINK("https://uva.onlinejudge.org/index.php?option=com_onlinejudge&amp;Itemid=8&amp;page=show_problem&amp;problem=1051","UVA 10110")</f>
        <v>UVA 10110</v>
      </c>
      <c r="C49" s="455" t="s">
        <v>1781</v>
      </c>
      <c r="D49" s="62"/>
      <c r="E49" s="62"/>
      <c r="F49" s="62"/>
      <c r="G49" s="62"/>
      <c r="H49" s="57"/>
      <c r="I49" s="57">
        <f t="shared" ref="I49:I120" si="2">SUM(E49:H49)</f>
        <v>0</v>
      </c>
      <c r="J49" s="93"/>
      <c r="K49" s="56"/>
      <c r="L49" s="93"/>
      <c r="M49" s="111" t="str">
        <f>HYPERLINK("https://www.youtube.com/watch?v=6unjJwXC5gI&amp;feature=youtu.be","Video Solution - Eng Amr Saud")</f>
        <v>Video Solution - Eng Amr Saud</v>
      </c>
    </row>
    <row r="50" spans="1:13" ht="13.2">
      <c r="A50" s="109" t="s">
        <v>206</v>
      </c>
      <c r="B50" s="110" t="str">
        <f>HYPERLINK("https://uva.onlinejudge.org/index.php?option=com_onlinejudge&amp;Itemid=8&amp;page=show_problem&amp;problem=1047","UVA 10106")</f>
        <v>UVA 10106</v>
      </c>
      <c r="C50" s="48"/>
      <c r="D50" s="62"/>
      <c r="E50" s="62"/>
      <c r="F50" s="62"/>
      <c r="G50" s="62"/>
      <c r="H50" s="57"/>
      <c r="I50" s="57">
        <f t="shared" si="2"/>
        <v>0</v>
      </c>
      <c r="J50" s="93"/>
      <c r="K50" s="56"/>
      <c r="L50" s="93"/>
      <c r="M50" s="111" t="str">
        <f>HYPERLINK("https://www.youtube.com/watch?v=KNd6eqRpWqE","Video Solution - Eng Youssef El Ghareeb. Don't solve using big integer")</f>
        <v>Video Solution - Eng Youssef El Ghareeb. Don't solve using big integer</v>
      </c>
    </row>
    <row r="51" spans="1:13" ht="13.2">
      <c r="A51" s="109" t="s">
        <v>207</v>
      </c>
      <c r="B51" s="110" t="str">
        <f>HYPERLINK("https://uva.onlinejudge.org/index.php?option=onlinejudge&amp;page=show_problem&amp;problem=349","UVA 408")</f>
        <v>UVA 408</v>
      </c>
      <c r="C51" s="48"/>
      <c r="D51" s="62"/>
      <c r="E51" s="62"/>
      <c r="F51" s="62"/>
      <c r="G51" s="62"/>
      <c r="H51" s="57"/>
      <c r="I51" s="57">
        <f t="shared" si="2"/>
        <v>0</v>
      </c>
      <c r="J51" s="93"/>
      <c r="K51" s="56"/>
      <c r="L51" s="93"/>
      <c r="M51" s="77" t="str">
        <f>HYPERLINK("https://www.youtube.com/watch?v=VmL4PQIZ-6c","Video Solution - Eng Yahia Ashraf")</f>
        <v>Video Solution - Eng Yahia Ashraf</v>
      </c>
    </row>
    <row r="52" spans="1:13" ht="13.2">
      <c r="A52" s="109" t="s">
        <v>208</v>
      </c>
      <c r="B52" s="110" t="str">
        <f>HYPERLINK("https://uva.onlinejudge.org/index.php?option=onlinejudge&amp;page=show_problem&amp;problem=2172","UVA 11231")</f>
        <v>UVA 11231</v>
      </c>
      <c r="C52" s="48"/>
      <c r="D52" s="62"/>
      <c r="E52" s="62"/>
      <c r="F52" s="62"/>
      <c r="G52" s="62"/>
      <c r="H52" s="57"/>
      <c r="I52" s="57">
        <f t="shared" si="2"/>
        <v>0</v>
      </c>
      <c r="J52" s="93"/>
      <c r="K52" s="56"/>
      <c r="L52" s="93"/>
      <c r="M52" s="111" t="str">
        <f>HYPERLINK("https://www.youtube.com/watch?v=UNUD8qp33ic&amp;feature=youtu.be","Video Solution - Eng Amr Saud")</f>
        <v>Video Solution - Eng Amr Saud</v>
      </c>
    </row>
    <row r="53" spans="1:13" ht="26.4">
      <c r="A53" s="109"/>
      <c r="B53" s="112" t="str">
        <f>HYPERLINK("https://www.spoj.com/problems/EASYMATH/","SPOJ EASYMATH")</f>
        <v>SPOJ EASYMATH</v>
      </c>
      <c r="C53" s="456" t="s">
        <v>1781</v>
      </c>
      <c r="D53" s="62"/>
      <c r="E53" s="62"/>
      <c r="F53" s="62"/>
      <c r="G53" s="62"/>
      <c r="H53" s="57"/>
      <c r="I53" s="57">
        <f t="shared" si="2"/>
        <v>0</v>
      </c>
      <c r="J53" s="93"/>
      <c r="K53" s="56"/>
      <c r="L53" s="93"/>
      <c r="M53" s="113" t="str">
        <f>HYPERLINK("https://github.com/Emsawy/CompetitiveProgramming/blob/master/SPOJ/EASYMATH.cpp","Sol")</f>
        <v>Sol</v>
      </c>
    </row>
    <row r="54" spans="1:13" ht="13.2">
      <c r="A54" s="114" t="s">
        <v>209</v>
      </c>
      <c r="B54" s="115" t="str">
        <f>HYPERLINK("https://uva.onlinejudge.org/index.php?option=onlinejudge&amp;page=show_problem&amp;problem=3300","UVA 12148")</f>
        <v>UVA 12148</v>
      </c>
      <c r="C54" s="48"/>
      <c r="D54" s="62"/>
      <c r="E54" s="62"/>
      <c r="F54" s="62"/>
      <c r="G54" s="62"/>
      <c r="H54" s="57"/>
      <c r="I54" s="116">
        <f t="shared" si="2"/>
        <v>0</v>
      </c>
      <c r="J54" s="93"/>
      <c r="K54" s="56"/>
      <c r="L54" s="93"/>
      <c r="M54" s="113" t="str">
        <f>HYPERLINK("https://github.com/juanplopes/icpc/blob/master/uva/12148.cpp","Learn Calender Leap Year")</f>
        <v>Learn Calender Leap Year</v>
      </c>
    </row>
    <row r="55" spans="1:13" ht="13.2">
      <c r="A55" s="105"/>
      <c r="B55" s="106"/>
      <c r="C55" s="48"/>
      <c r="D55" s="62"/>
      <c r="E55" s="62"/>
      <c r="F55" s="62"/>
      <c r="G55" s="62"/>
      <c r="H55" s="57"/>
      <c r="I55" s="57">
        <f t="shared" si="2"/>
        <v>0</v>
      </c>
      <c r="J55" s="26"/>
      <c r="K55" s="56"/>
      <c r="L55" s="26"/>
      <c r="M55" s="117"/>
    </row>
    <row r="56" spans="1:13" ht="13.2">
      <c r="A56" s="79" t="s">
        <v>210</v>
      </c>
      <c r="B56" s="80" t="str">
        <f>HYPERLINK("http://codeforces.com/contest/136/problem/A","CF136-D2-A")</f>
        <v>CF136-D2-A</v>
      </c>
      <c r="C56" s="92"/>
      <c r="D56" s="93"/>
      <c r="E56" s="93"/>
      <c r="F56" s="93"/>
      <c r="G56" s="93"/>
      <c r="H56" s="103"/>
      <c r="I56" s="57">
        <f t="shared" si="2"/>
        <v>0</v>
      </c>
      <c r="J56" s="26"/>
      <c r="K56" s="56"/>
      <c r="L56" s="26"/>
      <c r="M56" s="118" t="str">
        <f>HYPERLINK("https://www.youtube.com/watch?v=MduaJDmo7RU","Video Solution - Eng Ahmed Rafaat (Python)")</f>
        <v>Video Solution - Eng Ahmed Rafaat (Python)</v>
      </c>
    </row>
    <row r="57" spans="1:13" ht="13.2">
      <c r="A57" s="86" t="s">
        <v>211</v>
      </c>
      <c r="B57" s="87" t="str">
        <f>HYPERLINK("http://codeforces.com/contest/567/problem/A","CF567-D2-A")</f>
        <v>CF567-D2-A</v>
      </c>
      <c r="C57" s="92"/>
      <c r="D57" s="93"/>
      <c r="E57" s="93"/>
      <c r="F57" s="93"/>
      <c r="G57" s="93"/>
      <c r="H57" s="103"/>
      <c r="I57" s="57">
        <f t="shared" si="2"/>
        <v>0</v>
      </c>
      <c r="J57" s="26"/>
      <c r="K57" s="56"/>
      <c r="L57" s="26"/>
      <c r="M57" s="118" t="str">
        <f>HYPERLINK("https://www.youtube.com/watch?v=gc4BEAw0pbs&amp;feature=youtu.be","Video Solution - Eng Ahmed Rafaat (Python)")</f>
        <v>Video Solution - Eng Ahmed Rafaat (Python)</v>
      </c>
    </row>
    <row r="58" spans="1:13" ht="13.2">
      <c r="A58" s="105" t="s">
        <v>212</v>
      </c>
      <c r="B58" s="106" t="str">
        <f>HYPERLINK("http://codeforces.com/contest/766/problem/A","CF766-D2-A")</f>
        <v>CF766-D2-A</v>
      </c>
      <c r="C58" s="48"/>
      <c r="D58" s="62"/>
      <c r="E58" s="62"/>
      <c r="F58" s="62"/>
      <c r="G58" s="62"/>
      <c r="H58" s="57"/>
      <c r="I58" s="57">
        <f t="shared" si="2"/>
        <v>0</v>
      </c>
      <c r="J58" s="26"/>
      <c r="K58" s="56"/>
      <c r="L58" s="26"/>
      <c r="M58" s="82" t="str">
        <f>HYPERLINK("https://www.youtube.com/watch?v=nq66DIFAyhs","Video Solution - Solver to be (Java)")</f>
        <v>Video Solution - Solver to be (Java)</v>
      </c>
    </row>
    <row r="59" spans="1:13" ht="13.2">
      <c r="A59" s="119" t="s">
        <v>213</v>
      </c>
      <c r="B59" s="120" t="str">
        <f>HYPERLINK("http://codeforces.com/problemset/problem/767/A","CF767-D2-A")</f>
        <v>CF767-D2-A</v>
      </c>
      <c r="C59" s="48"/>
      <c r="D59" s="62"/>
      <c r="E59" s="62"/>
      <c r="F59" s="62"/>
      <c r="G59" s="62"/>
      <c r="H59" s="57"/>
      <c r="I59" s="57">
        <f t="shared" si="2"/>
        <v>0</v>
      </c>
      <c r="J59" s="93"/>
      <c r="K59" s="56"/>
      <c r="L59" s="93"/>
      <c r="M59" s="117"/>
    </row>
    <row r="60" spans="1:13" ht="13.2">
      <c r="A60" s="119" t="s">
        <v>214</v>
      </c>
      <c r="B60" s="120" t="str">
        <f>HYPERLINK("http://codeforces.com/contest/768/problem/A","CF768-D2-A")</f>
        <v>CF768-D2-A</v>
      </c>
      <c r="C60" s="48"/>
      <c r="D60" s="62"/>
      <c r="E60" s="62"/>
      <c r="F60" s="62"/>
      <c r="G60" s="62"/>
      <c r="H60" s="57"/>
      <c r="I60" s="57">
        <f t="shared" si="2"/>
        <v>0</v>
      </c>
      <c r="J60" s="93"/>
      <c r="K60" s="56"/>
      <c r="L60" s="93"/>
      <c r="M60" s="82" t="str">
        <f>HYPERLINK("https://www.youtube.com/watch?v=4vBmYmqOoIk","Video Solution - Solver to be (Java)")</f>
        <v>Video Solution - Solver to be (Java)</v>
      </c>
    </row>
    <row r="61" spans="1:13" ht="13.2">
      <c r="A61" s="79" t="s">
        <v>215</v>
      </c>
      <c r="B61" s="80" t="str">
        <f>HYPERLINK("http://codeforces.com/contest/520/problem/A","CF520-D2-A")</f>
        <v>CF520-D2-A</v>
      </c>
      <c r="C61" s="48"/>
      <c r="D61" s="62"/>
      <c r="E61" s="62"/>
      <c r="F61" s="62"/>
      <c r="G61" s="62"/>
      <c r="H61" s="57"/>
      <c r="I61" s="57">
        <f t="shared" si="2"/>
        <v>0</v>
      </c>
      <c r="J61" s="93"/>
      <c r="K61" s="56"/>
      <c r="L61" s="93"/>
      <c r="M61" s="104" t="str">
        <f>HYPERLINK("https://www.youtube.com/watch?v=TrHCzh7bPRo","Video Solution - Solver to be (Java)")</f>
        <v>Video Solution - Solver to be (Java)</v>
      </c>
    </row>
    <row r="62" spans="1:13" ht="13.2">
      <c r="A62" s="86" t="s">
        <v>216</v>
      </c>
      <c r="B62" s="87" t="str">
        <f>HYPERLINK("http://codeforces.com/contest/160/problem/A","CF160-D2-A")</f>
        <v>CF160-D2-A</v>
      </c>
      <c r="C62" s="92"/>
      <c r="D62" s="93"/>
      <c r="E62" s="93"/>
      <c r="F62" s="93"/>
      <c r="G62" s="93"/>
      <c r="H62" s="103"/>
      <c r="I62" s="57">
        <f t="shared" si="2"/>
        <v>0</v>
      </c>
      <c r="J62" s="26"/>
      <c r="K62" s="56"/>
      <c r="L62" s="26"/>
      <c r="M62" s="104" t="str">
        <f>HYPERLINK("https://www.youtube.com/watch?v=V6fh3b50nX8","Video Solution - Solver to be (Java)")</f>
        <v>Video Solution - Solver to be (Java)</v>
      </c>
    </row>
    <row r="63" spans="1:13" ht="13.2">
      <c r="A63" s="86" t="s">
        <v>217</v>
      </c>
      <c r="B63" s="87" t="str">
        <f>HYPERLINK("http://codeforces.com/contest/474/problem/A","CF474-D2-A")</f>
        <v>CF474-D2-A</v>
      </c>
      <c r="C63" s="92"/>
      <c r="D63" s="93"/>
      <c r="E63" s="93"/>
      <c r="F63" s="93"/>
      <c r="G63" s="93"/>
      <c r="H63" s="92"/>
      <c r="I63" s="57">
        <f t="shared" si="2"/>
        <v>0</v>
      </c>
      <c r="J63" s="26"/>
      <c r="K63" s="92"/>
      <c r="L63" s="26"/>
      <c r="M63" s="104" t="str">
        <f>HYPERLINK("https://www.youtube.com/watch?v=oFIiCpVI3Ck","Video Solution - Solver to be (Java)")</f>
        <v>Video Solution - Solver to be (Java)</v>
      </c>
    </row>
    <row r="64" spans="1:13" ht="13.2">
      <c r="A64" s="26"/>
      <c r="B64" s="26"/>
      <c r="C64" s="48"/>
      <c r="D64" s="62"/>
      <c r="E64" s="62"/>
      <c r="F64" s="62"/>
      <c r="G64" s="62"/>
      <c r="H64" s="57"/>
      <c r="I64" s="57">
        <f t="shared" si="2"/>
        <v>0</v>
      </c>
      <c r="J64" s="26"/>
      <c r="K64" s="56"/>
      <c r="L64" s="26"/>
      <c r="M64" s="121"/>
    </row>
    <row r="65" spans="1:13" ht="13.2">
      <c r="A65" s="26"/>
      <c r="B65" s="26"/>
      <c r="C65" s="48"/>
      <c r="D65" s="62"/>
      <c r="E65" s="62"/>
      <c r="F65" s="62"/>
      <c r="G65" s="62"/>
      <c r="H65" s="57"/>
      <c r="I65" s="57">
        <f t="shared" si="2"/>
        <v>0</v>
      </c>
      <c r="J65" s="26"/>
      <c r="K65" s="56"/>
      <c r="L65" s="26"/>
      <c r="M65" s="121" t="str">
        <f>HYPERLINK("https://www.youtube.com/watch?v=jzfcfQVBtKA","Watch - Graph Theory - Intro")</f>
        <v>Watch - Graph Theory - Intro</v>
      </c>
    </row>
    <row r="66" spans="1:13" ht="13.2">
      <c r="A66" s="26"/>
      <c r="B66" s="26"/>
      <c r="C66" s="48"/>
      <c r="D66" s="62"/>
      <c r="E66" s="62"/>
      <c r="F66" s="62"/>
      <c r="G66" s="62"/>
      <c r="H66" s="57"/>
      <c r="I66" s="57">
        <f t="shared" si="2"/>
        <v>0</v>
      </c>
      <c r="J66" s="26"/>
      <c r="K66" s="56"/>
      <c r="L66" s="26"/>
      <c r="M66" s="121" t="str">
        <f>HYPERLINK("https://www.youtube.com/watch?v=9DP0X2xlPCo","Watch - Graph Theory - DFS")</f>
        <v>Watch - Graph Theory - DFS</v>
      </c>
    </row>
    <row r="67" spans="1:13" ht="13.2">
      <c r="A67" s="122" t="s">
        <v>218</v>
      </c>
      <c r="B67" s="25" t="str">
        <f>HYPERLINK("https://uva.onlinejudge.org/index.php?option=onlinejudge&amp;page=show_problem&amp;problem=288","UVA 352")</f>
        <v>UVA 352</v>
      </c>
      <c r="C67" s="456" t="s">
        <v>1781</v>
      </c>
      <c r="D67" s="62"/>
      <c r="E67" s="62"/>
      <c r="F67" s="62"/>
      <c r="G67" s="62"/>
      <c r="H67" s="57"/>
      <c r="I67" s="57">
        <f t="shared" si="2"/>
        <v>0</v>
      </c>
      <c r="J67" s="26"/>
      <c r="K67" s="56"/>
      <c r="L67" s="26"/>
      <c r="M67" s="104" t="str">
        <f>HYPERLINK("https://www.youtube.com/watch?v=-nRiMjHEIUg","Video Solution - Eng Mohamed Nasser")</f>
        <v>Video Solution - Eng Mohamed Nasser</v>
      </c>
    </row>
    <row r="68" spans="1:13" ht="13.2">
      <c r="A68" s="122" t="s">
        <v>219</v>
      </c>
      <c r="B68" s="25" t="str">
        <f>HYPERLINK("https://uva.onlinejudge.org/index.php?option=onlinejudge&amp;page=show_problem&amp;problem=1393","UVA 10452")</f>
        <v>UVA 10452</v>
      </c>
      <c r="C68" s="48" t="s">
        <v>1782</v>
      </c>
      <c r="D68" s="62"/>
      <c r="E68" s="62"/>
      <c r="F68" s="62"/>
      <c r="G68" s="62"/>
      <c r="H68" s="57"/>
      <c r="I68" s="57">
        <f t="shared" si="2"/>
        <v>0</v>
      </c>
      <c r="J68" s="26"/>
      <c r="K68" s="56"/>
      <c r="L68" s="26"/>
      <c r="M68" s="104" t="str">
        <f>HYPERLINK("https://www.youtube.com/watch?v=HtaczlDLylk","Video Solution - Eng Ayman Salah")</f>
        <v>Video Solution - Eng Ayman Salah</v>
      </c>
    </row>
    <row r="69" spans="1:13" ht="13.2">
      <c r="A69" s="122" t="s">
        <v>220</v>
      </c>
      <c r="B69" s="25" t="str">
        <f>HYPERLINK("https://uva.onlinejudge.org/index.php?option=com_onlinejudge&amp;Itemid=8&amp;page=show_problem&amp;problem=3104","UVA 11953")</f>
        <v>UVA 11953</v>
      </c>
      <c r="C69" s="48" t="s">
        <v>1781</v>
      </c>
      <c r="D69" s="62"/>
      <c r="E69" s="62"/>
      <c r="F69" s="62"/>
      <c r="G69" s="62"/>
      <c r="H69" s="57"/>
      <c r="I69" s="57">
        <f t="shared" si="2"/>
        <v>0</v>
      </c>
      <c r="J69" s="26"/>
      <c r="K69" s="56"/>
      <c r="L69" s="26"/>
      <c r="M69" s="104" t="str">
        <f>HYPERLINK("https://www.youtube.com/watch?v=nvPucDrmErI","Video Solution - Eng Aya Elymany")</f>
        <v>Video Solution - Eng Aya Elymany</v>
      </c>
    </row>
    <row r="70" spans="1:13" ht="13.2">
      <c r="A70" s="26"/>
      <c r="B70" s="26"/>
      <c r="C70" s="48"/>
      <c r="D70" s="62"/>
      <c r="E70" s="62"/>
      <c r="F70" s="62"/>
      <c r="G70" s="62"/>
      <c r="H70" s="57"/>
      <c r="I70" s="57">
        <f t="shared" si="2"/>
        <v>0</v>
      </c>
      <c r="J70" s="26"/>
      <c r="K70" s="56"/>
      <c r="L70" s="26"/>
      <c r="M70" s="123" t="str">
        <f>HYPERLINK("https://en.wikipedia.org/wiki/Bipartite_graph","Read definition of: Bipartite graph")</f>
        <v>Read definition of: Bipartite graph</v>
      </c>
    </row>
    <row r="71" spans="1:13" ht="13.2">
      <c r="A71" s="122" t="s">
        <v>221</v>
      </c>
      <c r="B71" s="25" t="str">
        <f>HYPERLINK("http://codeforces.com/contest/216/problem/B","CF216-D2-B")</f>
        <v>CF216-D2-B</v>
      </c>
      <c r="C71" s="456" t="s">
        <v>1782</v>
      </c>
      <c r="D71" s="62"/>
      <c r="E71" s="62"/>
      <c r="F71" s="62"/>
      <c r="G71" s="62"/>
      <c r="H71" s="57"/>
      <c r="I71" s="57">
        <f t="shared" si="2"/>
        <v>0</v>
      </c>
      <c r="J71" s="26"/>
      <c r="K71" s="56"/>
      <c r="L71" s="26"/>
      <c r="M71" s="104" t="str">
        <f>HYPERLINK("https://www.youtube.com/watch?v=O4rahDYs9-c","Video Solution - Dr Mostafa Saad")</f>
        <v>Video Solution - Dr Mostafa Saad</v>
      </c>
    </row>
    <row r="72" spans="1:13" ht="26.4">
      <c r="A72" s="124" t="s">
        <v>222</v>
      </c>
      <c r="B72" s="125" t="str">
        <f>HYPERLINK("http://www.spoj.com/problems/MAKETREE/","SPOJ MAKETREE")</f>
        <v>SPOJ MAKETREE</v>
      </c>
      <c r="C72" s="48" t="s">
        <v>1783</v>
      </c>
      <c r="D72" s="62"/>
      <c r="E72" s="62"/>
      <c r="F72" s="62"/>
      <c r="G72" s="62"/>
      <c r="H72" s="57"/>
      <c r="I72" s="57">
        <f t="shared" si="2"/>
        <v>0</v>
      </c>
      <c r="J72" s="26"/>
      <c r="K72" s="56"/>
      <c r="L72" s="26"/>
      <c r="M72" s="77" t="str">
        <f>HYPERLINK("https://www.youtube.com/watch?v=Rmi_2e6gt5M","Video Solution - Eng Yahia Ashraf")</f>
        <v>Video Solution - Eng Yahia Ashraf</v>
      </c>
    </row>
    <row r="73" spans="1:13" ht="26.4">
      <c r="A73" s="124" t="s">
        <v>223</v>
      </c>
      <c r="B73" s="125" t="str">
        <f>HYPERLINK("https://uva.onlinejudge.org/index.php?option=onlinejudge&amp;page=show_problem&amp;problem=1246","UVA 10305")</f>
        <v>UVA 10305</v>
      </c>
      <c r="C73" s="48" t="s">
        <v>1783</v>
      </c>
      <c r="D73" s="62"/>
      <c r="E73" s="62"/>
      <c r="F73" s="62"/>
      <c r="G73" s="62"/>
      <c r="H73" s="57"/>
      <c r="I73" s="57">
        <f t="shared" si="2"/>
        <v>0</v>
      </c>
      <c r="J73" s="26"/>
      <c r="K73" s="56"/>
      <c r="L73" s="26"/>
      <c r="M73" s="77" t="str">
        <f>HYPERLINK("https://www.youtube.com/watch?v=4t-4ZC8BRj8","Video Solution - Eng Yahia Ashraf")</f>
        <v>Video Solution - Eng Yahia Ashraf</v>
      </c>
    </row>
    <row r="74" spans="1:13" ht="13.2">
      <c r="A74" s="126"/>
      <c r="B74" s="80"/>
      <c r="C74" s="48"/>
      <c r="D74" s="62"/>
      <c r="E74" s="62"/>
      <c r="F74" s="62"/>
      <c r="G74" s="62"/>
      <c r="H74" s="57"/>
      <c r="I74" s="57">
        <f t="shared" si="2"/>
        <v>0</v>
      </c>
      <c r="J74" s="93"/>
      <c r="K74" s="56"/>
      <c r="L74" s="93"/>
      <c r="M74" s="92"/>
    </row>
    <row r="75" spans="1:13" ht="13.2">
      <c r="A75" s="86" t="s">
        <v>224</v>
      </c>
      <c r="B75" s="87" t="str">
        <f>HYPERLINK("http://codeforces.com/contest/318/problem/A","CF318-D2-A")</f>
        <v>CF318-D2-A</v>
      </c>
      <c r="C75" s="48"/>
      <c r="D75" s="62"/>
      <c r="E75" s="62"/>
      <c r="F75" s="62"/>
      <c r="G75" s="62"/>
      <c r="H75" s="57"/>
      <c r="I75" s="57">
        <f t="shared" si="2"/>
        <v>0</v>
      </c>
      <c r="J75" s="93"/>
      <c r="K75" s="56"/>
      <c r="L75" s="93"/>
      <c r="M75" s="111" t="str">
        <f>HYPERLINK("https://www.youtube.com/watch?v=w7gZx99Efzs&amp;feature=youtu.be","Video Solution - Eng Muntaser Abukadeja")</f>
        <v>Video Solution - Eng Muntaser Abukadeja</v>
      </c>
    </row>
    <row r="76" spans="1:13" ht="13.2">
      <c r="A76" s="86" t="s">
        <v>225</v>
      </c>
      <c r="B76" s="87" t="str">
        <f>HYPERLINK("http://codeforces.com/contest/469/problem/A","CF469-D2-A")</f>
        <v>CF469-D2-A</v>
      </c>
      <c r="C76" s="92"/>
      <c r="D76" s="93"/>
      <c r="E76" s="93"/>
      <c r="F76" s="93"/>
      <c r="G76" s="93"/>
      <c r="H76" s="103"/>
      <c r="I76" s="57">
        <f t="shared" si="2"/>
        <v>0</v>
      </c>
      <c r="J76" s="26"/>
      <c r="K76" s="56"/>
      <c r="L76" s="26"/>
      <c r="M76" s="104" t="str">
        <f>HYPERLINK("https://www.youtube.com/watch?v=MVHuUdj_CWo","Video Solution - Solver to be (Java)")</f>
        <v>Video Solution - Solver to be (Java)</v>
      </c>
    </row>
    <row r="77" spans="1:13" ht="13.2">
      <c r="A77" s="119" t="s">
        <v>226</v>
      </c>
      <c r="B77" s="120" t="str">
        <f>HYPERLINK("http://codeforces.com/contest/807/problem/A","CF807-D2-A")</f>
        <v>CF807-D2-A</v>
      </c>
      <c r="C77" s="48"/>
      <c r="D77" s="62"/>
      <c r="E77" s="62"/>
      <c r="F77" s="62"/>
      <c r="G77" s="62"/>
      <c r="H77" s="57"/>
      <c r="I77" s="57">
        <f t="shared" si="2"/>
        <v>0</v>
      </c>
      <c r="J77" s="26"/>
      <c r="K77" s="56"/>
      <c r="L77" s="26"/>
      <c r="M77" s="82" t="str">
        <f>HYPERLINK("https://www.youtube.com/watch?v=PU-Lg0gs6kY","Video Solution - Solver to be (Java)")</f>
        <v>Video Solution - Solver to be (Java)</v>
      </c>
    </row>
    <row r="78" spans="1:13" ht="13.2">
      <c r="A78" s="79" t="s">
        <v>227</v>
      </c>
      <c r="B78" s="80" t="str">
        <f>HYPERLINK("http://codeforces.com/contest/584/problem/A","CF584-D2-A")</f>
        <v>CF584-D2-A</v>
      </c>
      <c r="C78" s="48"/>
      <c r="D78" s="62"/>
      <c r="E78" s="62"/>
      <c r="F78" s="62"/>
      <c r="G78" s="62"/>
      <c r="H78" s="57"/>
      <c r="I78" s="57">
        <f t="shared" si="2"/>
        <v>0</v>
      </c>
      <c r="J78" s="26"/>
      <c r="K78" s="56"/>
      <c r="L78" s="26"/>
      <c r="M78" s="82" t="str">
        <f>HYPERLINK("https://www.youtube.com/watch?v=U3bX6kIGDG8","Video Solution - Solver to be (Java)")</f>
        <v>Video Solution - Solver to be (Java)</v>
      </c>
    </row>
    <row r="79" spans="1:13" ht="13.2">
      <c r="A79" s="83" t="s">
        <v>228</v>
      </c>
      <c r="B79" s="84" t="str">
        <f>HYPERLINK("http://codeforces.com/contest/43/problem/A","CF43-D2-A")</f>
        <v>CF43-D2-A</v>
      </c>
      <c r="C79" s="48"/>
      <c r="D79" s="62"/>
      <c r="E79" s="62"/>
      <c r="F79" s="62"/>
      <c r="G79" s="62"/>
      <c r="H79" s="57"/>
      <c r="I79" s="57">
        <f t="shared" si="2"/>
        <v>0</v>
      </c>
      <c r="J79" s="26"/>
      <c r="K79" s="56"/>
      <c r="L79" s="26"/>
      <c r="M79" s="82" t="str">
        <f>HYPERLINK("https://www.youtube.com/watch?v=fUOco0Vz584&amp;feature=youtu.be","Video Solution - Eng Belal Abdulnasser (Python)")</f>
        <v>Video Solution - Eng Belal Abdulnasser (Python)</v>
      </c>
    </row>
    <row r="80" spans="1:13" ht="13.2">
      <c r="A80" s="83" t="s">
        <v>229</v>
      </c>
      <c r="B80" s="84" t="str">
        <f>HYPERLINK("http://codeforces.com/contest/707/problem/A","CF707-D2-A")</f>
        <v>CF707-D2-A</v>
      </c>
      <c r="C80" s="48"/>
      <c r="D80" s="62"/>
      <c r="E80" s="62"/>
      <c r="F80" s="62"/>
      <c r="G80" s="62"/>
      <c r="H80" s="57"/>
      <c r="I80" s="57">
        <f t="shared" si="2"/>
        <v>0</v>
      </c>
      <c r="J80" s="26"/>
      <c r="K80" s="56"/>
      <c r="L80" s="26"/>
      <c r="M80" s="82" t="str">
        <f>HYPERLINK("https://www.youtube.com/watch?v=cCraOn4wjAs","Video Solution - Solver to be (Java)")</f>
        <v>Video Solution - Solver to be (Java)</v>
      </c>
    </row>
    <row r="81" spans="1:13" ht="13.2">
      <c r="A81" s="83" t="s">
        <v>230</v>
      </c>
      <c r="B81" s="84" t="str">
        <f>HYPERLINK("http://codeforces.com/contest/208/problem/A","CF208-D2-A")</f>
        <v>CF208-D2-A</v>
      </c>
      <c r="C81" s="48"/>
      <c r="D81" s="62"/>
      <c r="E81" s="62"/>
      <c r="F81" s="62"/>
      <c r="G81" s="62"/>
      <c r="H81" s="57"/>
      <c r="I81" s="57">
        <f t="shared" si="2"/>
        <v>0</v>
      </c>
      <c r="J81" s="26"/>
      <c r="K81" s="56"/>
      <c r="L81" s="26"/>
      <c r="M81" s="82" t="str">
        <f>HYPERLINK("https://www.youtube.com/watch?v=M4umpd8utSA","Video Solution - Solver to be (Java)")</f>
        <v>Video Solution - Solver to be (Java)</v>
      </c>
    </row>
    <row r="82" spans="1:13" ht="13.2">
      <c r="A82" s="127" t="s">
        <v>231</v>
      </c>
      <c r="B82" s="87" t="str">
        <f>HYPERLINK("http://codeforces.com/contest/404/problem/A","CF404-D2-A")</f>
        <v>CF404-D2-A</v>
      </c>
      <c r="C82" s="92"/>
      <c r="D82" s="93"/>
      <c r="E82" s="93"/>
      <c r="F82" s="93"/>
      <c r="G82" s="93"/>
      <c r="H82" s="92"/>
      <c r="I82" s="57">
        <f t="shared" si="2"/>
        <v>0</v>
      </c>
      <c r="J82" s="26"/>
      <c r="K82" s="92"/>
      <c r="L82" s="26"/>
      <c r="M82" s="128" t="str">
        <f>HYPERLINK("https://www.youtube.com/watch?v=vLEXMm860gQ","Video Solution - Solver to be (Java)")</f>
        <v>Video Solution - Solver to be (Java)</v>
      </c>
    </row>
    <row r="83" spans="1:13" ht="13.2">
      <c r="A83" s="127" t="s">
        <v>232</v>
      </c>
      <c r="B83" s="87" t="str">
        <f>HYPERLINK("http://codeforces.com/contest/742/problem/A","CF742-D2-A")</f>
        <v>CF742-D2-A</v>
      </c>
      <c r="C83" s="92"/>
      <c r="D83" s="93"/>
      <c r="E83" s="93"/>
      <c r="F83" s="93"/>
      <c r="G83" s="93"/>
      <c r="H83" s="92"/>
      <c r="I83" s="57">
        <f t="shared" si="2"/>
        <v>0</v>
      </c>
      <c r="J83" s="26"/>
      <c r="K83" s="92"/>
      <c r="L83" s="26"/>
      <c r="M83" s="128" t="str">
        <f>HYPERLINK("https://www.youtube.com/watch?v=kdJGLjKy54o","Video Solution - Solver to be (Java)")</f>
        <v>Video Solution - Solver to be (Java)</v>
      </c>
    </row>
    <row r="84" spans="1:13" ht="13.2">
      <c r="A84" s="127" t="s">
        <v>233</v>
      </c>
      <c r="B84" s="87" t="str">
        <f>HYPERLINK("http://codeforces.com/contest/486/problem/A","CF486-D2-A")</f>
        <v>CF486-D2-A</v>
      </c>
      <c r="C84" s="92"/>
      <c r="D84" s="93"/>
      <c r="E84" s="93"/>
      <c r="F84" s="93"/>
      <c r="G84" s="93"/>
      <c r="H84" s="92"/>
      <c r="I84" s="57">
        <f t="shared" si="2"/>
        <v>0</v>
      </c>
      <c r="J84" s="26"/>
      <c r="K84" s="92"/>
      <c r="L84" s="26"/>
      <c r="M84" s="128" t="str">
        <f>HYPERLINK("https://www.youtube.com/watch?v=IByiomshI2o","Video Solution - Solver to be (Java)")</f>
        <v>Video Solution - Solver to be (Java)</v>
      </c>
    </row>
    <row r="85" spans="1:13" ht="13.2">
      <c r="A85" s="127" t="s">
        <v>234</v>
      </c>
      <c r="B85" s="87" t="str">
        <f>HYPERLINK("http://codeforces.com/contest/1/problem/A","CF1-D12-A")</f>
        <v>CF1-D12-A</v>
      </c>
      <c r="C85" s="92"/>
      <c r="D85" s="93"/>
      <c r="E85" s="93"/>
      <c r="F85" s="93"/>
      <c r="G85" s="93"/>
      <c r="H85" s="92"/>
      <c r="I85" s="57">
        <f t="shared" si="2"/>
        <v>0</v>
      </c>
      <c r="J85" s="26"/>
      <c r="K85" s="92"/>
      <c r="L85" s="26"/>
      <c r="M85" s="128" t="str">
        <f>HYPERLINK("https://www.youtube.com/watch?v=C5qZwZYPMJY","Video Solution - Solver to be (Java)")</f>
        <v>Video Solution - Solver to be (Java)</v>
      </c>
    </row>
    <row r="86" spans="1:13" ht="13.2">
      <c r="A86" s="127" t="s">
        <v>235</v>
      </c>
      <c r="B86" s="87" t="str">
        <f>HYPERLINK("http://codeforces.com/contest/785/problem/A","CF785-D2-A")</f>
        <v>CF785-D2-A</v>
      </c>
      <c r="C86" s="92"/>
      <c r="D86" s="93"/>
      <c r="E86" s="93"/>
      <c r="F86" s="93"/>
      <c r="G86" s="93"/>
      <c r="H86" s="92"/>
      <c r="I86" s="57">
        <f t="shared" si="2"/>
        <v>0</v>
      </c>
      <c r="J86" s="26"/>
      <c r="K86" s="92"/>
      <c r="L86" s="26"/>
      <c r="M86" s="128" t="str">
        <f>HYPERLINK("https://www.youtube.com/watch?v=PgEnG308Hf4","Video Solution - Solver to be (Java)")</f>
        <v>Video Solution - Solver to be (Java)</v>
      </c>
    </row>
    <row r="87" spans="1:13" ht="13.2">
      <c r="A87" s="127" t="s">
        <v>236</v>
      </c>
      <c r="B87" s="87" t="str">
        <f>HYPERLINK("http://codeforces.com/contest/80/problem/A","CF80-D2-A")</f>
        <v>CF80-D2-A</v>
      </c>
      <c r="C87" s="92"/>
      <c r="D87" s="93"/>
      <c r="E87" s="93"/>
      <c r="F87" s="93"/>
      <c r="G87" s="93"/>
      <c r="H87" s="92"/>
      <c r="I87" s="57">
        <f t="shared" si="2"/>
        <v>0</v>
      </c>
      <c r="J87" s="26"/>
      <c r="K87" s="92"/>
      <c r="L87" s="26"/>
      <c r="M87" s="128" t="str">
        <f>HYPERLINK("https://www.youtube.com/watch?v=eBT7tgXcd2I","Video Solution - Solver to be (Java)")</f>
        <v>Video Solution - Solver to be (Java)</v>
      </c>
    </row>
    <row r="88" spans="1:13" ht="13.2">
      <c r="A88" s="126" t="s">
        <v>237</v>
      </c>
      <c r="B88" s="80" t="str">
        <f>HYPERLINK("http://codeforces.com/contest/483/problem/A","CF483-D2-A")</f>
        <v>CF483-D2-A</v>
      </c>
      <c r="C88" s="92"/>
      <c r="D88" s="93"/>
      <c r="E88" s="93"/>
      <c r="F88" s="93"/>
      <c r="G88" s="93"/>
      <c r="H88" s="92"/>
      <c r="I88" s="57">
        <f t="shared" si="2"/>
        <v>0</v>
      </c>
      <c r="J88" s="93"/>
      <c r="K88" s="92"/>
      <c r="L88" s="93"/>
      <c r="M88" s="128" t="str">
        <f>HYPERLINK("https://www.youtube.com/watch?v=hWzHWVd9jI8","Video Solution - Solver to be (Java)")</f>
        <v>Video Solution - Solver to be (Java)</v>
      </c>
    </row>
    <row r="89" spans="1:13" ht="13.2">
      <c r="A89" s="129"/>
      <c r="B89" s="130"/>
      <c r="C89" s="48"/>
      <c r="D89" s="62"/>
      <c r="E89" s="62"/>
      <c r="F89" s="62"/>
      <c r="G89" s="62"/>
      <c r="H89" s="57"/>
      <c r="I89" s="57">
        <f t="shared" si="2"/>
        <v>0</v>
      </c>
      <c r="J89" s="62"/>
      <c r="K89" s="56"/>
      <c r="L89" s="62"/>
      <c r="M89" s="67"/>
    </row>
    <row r="90" spans="1:13" ht="13.2">
      <c r="A90" s="93"/>
      <c r="B90" s="93"/>
      <c r="C90" s="92"/>
      <c r="D90" s="93"/>
      <c r="E90" s="93"/>
      <c r="F90" s="93"/>
      <c r="G90" s="93"/>
      <c r="H90" s="92"/>
      <c r="I90" s="57">
        <f t="shared" si="2"/>
        <v>0</v>
      </c>
      <c r="J90" s="93"/>
      <c r="K90" s="92"/>
      <c r="L90" s="93"/>
      <c r="M90" s="131" t="str">
        <f>HYPERLINK("https://www.youtube.com/watch?v=EQzmtn4PzYQ","Watch - Measuring Algorithms Perfromance - 1")</f>
        <v>Watch - Measuring Algorithms Perfromance - 1</v>
      </c>
    </row>
    <row r="91" spans="1:13" ht="13.2">
      <c r="A91" s="129"/>
      <c r="B91" s="130"/>
      <c r="C91" s="48"/>
      <c r="D91" s="62"/>
      <c r="E91" s="62"/>
      <c r="F91" s="62"/>
      <c r="G91" s="62"/>
      <c r="H91" s="57"/>
      <c r="I91" s="57">
        <f t="shared" si="2"/>
        <v>0</v>
      </c>
      <c r="J91" s="62"/>
      <c r="K91" s="56"/>
      <c r="L91" s="62"/>
      <c r="M91" s="67" t="str">
        <f>HYPERLINK("https://www.youtube.com/watch?v=XhVmgLXYvuQ","Watch - Computational Geometry - Intro")</f>
        <v>Watch - Computational Geometry - Intro</v>
      </c>
    </row>
    <row r="92" spans="1:13" ht="13.2">
      <c r="A92" s="132"/>
      <c r="B92" s="133"/>
      <c r="C92" s="48"/>
      <c r="D92" s="62"/>
      <c r="E92" s="62"/>
      <c r="F92" s="62"/>
      <c r="G92" s="62"/>
      <c r="H92" s="57"/>
      <c r="I92" s="57">
        <f t="shared" si="2"/>
        <v>0</v>
      </c>
      <c r="J92" s="62"/>
      <c r="K92" s="56"/>
      <c r="L92" s="62"/>
      <c r="M92" s="67" t="str">
        <f>HYPERLINK("https://www.youtube.com/watch?v=2CUN12WrNr4","Watch - Computational Geometry - Point and Vector")</f>
        <v>Watch - Computational Geometry - Point and Vector</v>
      </c>
    </row>
    <row r="93" spans="1:13" ht="13.2">
      <c r="A93" s="134" t="s">
        <v>238</v>
      </c>
      <c r="B93" s="135" t="str">
        <f>HYPERLINK("http://codeforces.com/contest/127/problem/A","CF127-D2-A")</f>
        <v>CF127-D2-A</v>
      </c>
      <c r="C93" s="48"/>
      <c r="D93" s="62"/>
      <c r="E93" s="62"/>
      <c r="F93" s="62"/>
      <c r="G93" s="62"/>
      <c r="H93" s="57"/>
      <c r="I93" s="57">
        <f t="shared" si="2"/>
        <v>0</v>
      </c>
      <c r="J93" s="26"/>
      <c r="K93" s="56"/>
      <c r="L93" s="26"/>
      <c r="M93" s="26"/>
    </row>
    <row r="94" spans="1:13" ht="13.2">
      <c r="A94" s="134" t="s">
        <v>239</v>
      </c>
      <c r="B94" s="135" t="str">
        <f>HYPERLINK("https://uva.onlinejudge.org/index.php?option=onlinejudge&amp;page=show_problem&amp;problem=417","UVA 476")</f>
        <v>UVA 476</v>
      </c>
      <c r="C94" s="48"/>
      <c r="D94" s="62"/>
      <c r="E94" s="62"/>
      <c r="F94" s="62"/>
      <c r="G94" s="62"/>
      <c r="H94" s="57"/>
      <c r="I94" s="57">
        <f t="shared" si="2"/>
        <v>0</v>
      </c>
      <c r="J94" s="136"/>
      <c r="K94" s="56"/>
      <c r="L94" s="136"/>
      <c r="M94" s="132"/>
    </row>
    <row r="95" spans="1:13" ht="13.2">
      <c r="A95" s="134" t="s">
        <v>240</v>
      </c>
      <c r="B95" s="135" t="str">
        <f>HYPERLINK("https://uva.onlinejudge.org/index.php?option=onlinejudge&amp;page=show_problem&amp;problem=401","UVA 460")</f>
        <v>UVA 460</v>
      </c>
      <c r="C95" s="48"/>
      <c r="D95" s="62"/>
      <c r="E95" s="62"/>
      <c r="F95" s="62"/>
      <c r="G95" s="62"/>
      <c r="H95" s="57"/>
      <c r="I95" s="57">
        <f t="shared" si="2"/>
        <v>0</v>
      </c>
      <c r="J95" s="136"/>
      <c r="K95" s="56"/>
      <c r="L95" s="136"/>
      <c r="M95" s="137" t="str">
        <f>HYPERLINK("https://www.youtube.com/watch?v=NOZxcOu25Iw","Video Solution - Eng Muntaser Abukadeja")</f>
        <v>Video Solution - Eng Muntaser Abukadeja</v>
      </c>
    </row>
    <row r="96" spans="1:13" ht="13.2">
      <c r="A96" s="134" t="s">
        <v>241</v>
      </c>
      <c r="B96" s="135" t="str">
        <f>HYPERLINK("http://codeforces.com/contest/270/problem/A","CF270-D2-A")</f>
        <v>CF270-D2-A</v>
      </c>
      <c r="C96" s="48"/>
      <c r="D96" s="62"/>
      <c r="E96" s="62"/>
      <c r="F96" s="62"/>
      <c r="G96" s="62"/>
      <c r="H96" s="57"/>
      <c r="I96" s="57">
        <f t="shared" si="2"/>
        <v>0</v>
      </c>
      <c r="J96" s="26"/>
      <c r="K96" s="56"/>
      <c r="L96" s="26"/>
      <c r="M96" s="138" t="str">
        <f>HYPERLINK("https://www.youtube.com/watch?v=ShgpJWttyxw","Video Solution - Eng Omar Ashraf")</f>
        <v>Video Solution - Eng Omar Ashraf</v>
      </c>
    </row>
    <row r="97" spans="1:13" ht="13.2">
      <c r="A97" s="134" t="s">
        <v>242</v>
      </c>
      <c r="B97" s="135" t="str">
        <f>HYPERLINK("http://codeforces.com/contest/667/problem/A","CF667-D2-A")</f>
        <v>CF667-D2-A</v>
      </c>
      <c r="C97" s="48"/>
      <c r="D97" s="62"/>
      <c r="E97" s="62"/>
      <c r="F97" s="62"/>
      <c r="G97" s="62"/>
      <c r="H97" s="57"/>
      <c r="I97" s="57">
        <f t="shared" si="2"/>
        <v>0</v>
      </c>
      <c r="J97" s="26"/>
      <c r="K97" s="56"/>
      <c r="L97" s="26"/>
      <c r="M97" s="26"/>
    </row>
    <row r="98" spans="1:13" ht="13.2">
      <c r="A98" s="134" t="s">
        <v>243</v>
      </c>
      <c r="B98" s="135" t="str">
        <f>HYPERLINK("https://uva.onlinejudge.org/index.php?option=onlinejudge&amp;page=show_problem&amp;problem=1183","UVA 10242")</f>
        <v>UVA 10242</v>
      </c>
      <c r="C98" s="48"/>
      <c r="D98" s="62"/>
      <c r="E98" s="62"/>
      <c r="F98" s="62"/>
      <c r="G98" s="62"/>
      <c r="H98" s="57"/>
      <c r="I98" s="57">
        <f t="shared" si="2"/>
        <v>0</v>
      </c>
      <c r="J98" s="136"/>
      <c r="K98" s="56"/>
      <c r="L98" s="136"/>
      <c r="M98" s="137" t="str">
        <f>HYPERLINK("https://www.youtube.com/watch?v=QkYkuhUHMQA&amp;feature=youtu.be","Video Solution - Eng Magdy Hasan")</f>
        <v>Video Solution - Eng Magdy Hasan</v>
      </c>
    </row>
    <row r="99" spans="1:13" ht="13.2">
      <c r="A99" s="132"/>
      <c r="B99" s="133"/>
      <c r="C99" s="48"/>
      <c r="D99" s="62"/>
      <c r="E99" s="62"/>
      <c r="F99" s="62"/>
      <c r="G99" s="62"/>
      <c r="H99" s="57"/>
      <c r="I99" s="57">
        <f t="shared" si="2"/>
        <v>0</v>
      </c>
      <c r="J99" s="136"/>
      <c r="K99" s="56"/>
      <c r="L99" s="136"/>
      <c r="M99" s="132"/>
    </row>
    <row r="100" spans="1:13" ht="13.2">
      <c r="A100" s="89" t="s">
        <v>244</v>
      </c>
      <c r="B100" s="69" t="str">
        <f>HYPERLINK("http://codeforces.com/contest/365/problem/A","CF365-D2-A")</f>
        <v>CF365-D2-A</v>
      </c>
      <c r="C100" s="48"/>
      <c r="D100" s="62"/>
      <c r="E100" s="62"/>
      <c r="F100" s="62"/>
      <c r="G100" s="62"/>
      <c r="H100" s="57"/>
      <c r="I100" s="57">
        <f t="shared" si="2"/>
        <v>0</v>
      </c>
      <c r="J100" s="136"/>
      <c r="K100" s="56"/>
      <c r="L100" s="136"/>
      <c r="M100" s="137" t="str">
        <f>HYPERLINK("https://www.youtube.com/watch?v=W5SLLnni1KM&amp;feature=youtu.be","Video Solution - Eng Muntaser Abukadeja")</f>
        <v>Video Solution - Eng Muntaser Abukadeja</v>
      </c>
    </row>
    <row r="101" spans="1:13" ht="13.2">
      <c r="A101" s="89" t="s">
        <v>245</v>
      </c>
      <c r="B101" s="69" t="str">
        <f>HYPERLINK("http://codeforces.com/contest/225/problem/A","CF225-D2-A")</f>
        <v>CF225-D2-A</v>
      </c>
      <c r="C101" s="48"/>
      <c r="D101" s="62"/>
      <c r="E101" s="62"/>
      <c r="F101" s="62"/>
      <c r="G101" s="62"/>
      <c r="H101" s="57"/>
      <c r="I101" s="57">
        <f t="shared" si="2"/>
        <v>0</v>
      </c>
      <c r="J101" s="136"/>
      <c r="K101" s="56"/>
      <c r="L101" s="136"/>
      <c r="M101" s="137" t="str">
        <f>HYPERLINK("https://www.youtube.com/watch?v=AU4cdWZrKNA&amp;feature=youtu.be","Video Solution - Eng Muntaser Abukadeja")</f>
        <v>Video Solution - Eng Muntaser Abukadeja</v>
      </c>
    </row>
    <row r="102" spans="1:13" ht="13.2">
      <c r="A102" s="89" t="s">
        <v>246</v>
      </c>
      <c r="B102" s="69" t="str">
        <f>HYPERLINK("http://codeforces.com/contest/682/problem/A","CF682-D2-A")</f>
        <v>CF682-D2-A</v>
      </c>
      <c r="C102" s="48"/>
      <c r="D102" s="62"/>
      <c r="E102" s="62"/>
      <c r="F102" s="62"/>
      <c r="G102" s="62"/>
      <c r="H102" s="57"/>
      <c r="I102" s="57">
        <f t="shared" si="2"/>
        <v>0</v>
      </c>
      <c r="J102" s="136"/>
      <c r="K102" s="56"/>
      <c r="L102" s="136"/>
      <c r="M102" s="137" t="str">
        <f>HYPERLINK("https://www.youtube.com/watch?v=05ZIXw2G4Pw&amp;feature=youtu.be","Video Solution - Eng John Gamal")</f>
        <v>Video Solution - Eng John Gamal</v>
      </c>
    </row>
    <row r="103" spans="1:13" ht="13.2">
      <c r="A103" s="89" t="s">
        <v>247</v>
      </c>
      <c r="B103" s="69" t="str">
        <f>HYPERLINK("http://codeforces.com/contest/218/problem/A","CF218-D2-A")</f>
        <v>CF218-D2-A</v>
      </c>
      <c r="C103" s="48"/>
      <c r="D103" s="62"/>
      <c r="E103" s="62"/>
      <c r="F103" s="62"/>
      <c r="G103" s="62"/>
      <c r="H103" s="57"/>
      <c r="I103" s="57">
        <f t="shared" si="2"/>
        <v>0</v>
      </c>
      <c r="J103" s="136"/>
      <c r="K103" s="56"/>
      <c r="L103" s="136"/>
      <c r="M103" s="137" t="str">
        <f>HYPERLINK("https://www.youtube.com/watch?v=qmGhxFPv5GI&amp;feature=youtu.be","Video Solution - Eng John Gamal")</f>
        <v>Video Solution - Eng John Gamal</v>
      </c>
    </row>
    <row r="104" spans="1:13" ht="13.2">
      <c r="A104" s="89" t="s">
        <v>248</v>
      </c>
      <c r="B104" s="69" t="str">
        <f>HYPERLINK("http://codeforces.com/contest/143/problem/A","CF143-D2-A")</f>
        <v>CF143-D2-A</v>
      </c>
      <c r="C104" s="48"/>
      <c r="D104" s="62"/>
      <c r="E104" s="62"/>
      <c r="F104" s="62"/>
      <c r="G104" s="62"/>
      <c r="H104" s="57"/>
      <c r="I104" s="57">
        <f t="shared" si="2"/>
        <v>0</v>
      </c>
      <c r="J104" s="136"/>
      <c r="K104" s="56"/>
      <c r="L104" s="136"/>
      <c r="M104" s="137" t="str">
        <f>HYPERLINK("https://www.youtube.com/watch?v=cmMkGSMHTKE","Video Solution - Eng John Gamal")</f>
        <v>Video Solution - Eng John Gamal</v>
      </c>
    </row>
    <row r="105" spans="1:13" ht="13.2">
      <c r="A105" s="89" t="s">
        <v>249</v>
      </c>
      <c r="B105" s="69" t="str">
        <f>HYPERLINK("http://codeforces.com/contest/514/problem/A","CF514-D2-A")</f>
        <v>CF514-D2-A</v>
      </c>
      <c r="C105" s="48"/>
      <c r="D105" s="62"/>
      <c r="E105" s="62"/>
      <c r="F105" s="62"/>
      <c r="G105" s="62"/>
      <c r="H105" s="57"/>
      <c r="I105" s="57">
        <f t="shared" si="2"/>
        <v>0</v>
      </c>
      <c r="J105" s="136"/>
      <c r="K105" s="56"/>
      <c r="L105" s="136"/>
      <c r="M105" s="137" t="str">
        <f>HYPERLINK("https://www.youtube.com/watch?v=wU51frCexTY&amp;feature=youtu.be","Video Solution - Eng Muntaser Abukadeja")</f>
        <v>Video Solution - Eng Muntaser Abukadeja</v>
      </c>
    </row>
    <row r="106" spans="1:13" ht="13.2">
      <c r="A106" s="89" t="s">
        <v>250</v>
      </c>
      <c r="B106" s="69" t="str">
        <f>HYPERLINK("http://codeforces.com/contest/382/problem/A","CF382-D2-A")</f>
        <v>CF382-D2-A</v>
      </c>
      <c r="C106" s="48"/>
      <c r="D106" s="62"/>
      <c r="E106" s="62"/>
      <c r="F106" s="62"/>
      <c r="G106" s="62"/>
      <c r="H106" s="57"/>
      <c r="I106" s="57">
        <f t="shared" si="2"/>
        <v>0</v>
      </c>
      <c r="J106" s="136"/>
      <c r="K106" s="56"/>
      <c r="L106" s="136"/>
      <c r="M106" s="78" t="str">
        <f>HYPERLINK("https://www.youtube.com/watch?v=6xkV-GeRs2o&amp;feature=youtu.be","Video Solution - Eng Samed Hajajla")</f>
        <v>Video Solution - Eng Samed Hajajla</v>
      </c>
    </row>
    <row r="107" spans="1:13" ht="13.2">
      <c r="A107" s="89" t="s">
        <v>251</v>
      </c>
      <c r="B107" s="69" t="str">
        <f>HYPERLINK("http://codeforces.com/contest/699/problem/A","CF699-D2-A")</f>
        <v>CF699-D2-A</v>
      </c>
      <c r="C107" s="48"/>
      <c r="D107" s="62"/>
      <c r="E107" s="62"/>
      <c r="F107" s="62"/>
      <c r="G107" s="62"/>
      <c r="H107" s="57"/>
      <c r="I107" s="57">
        <f t="shared" si="2"/>
        <v>0</v>
      </c>
      <c r="J107" s="136"/>
      <c r="K107" s="56"/>
      <c r="L107" s="136"/>
      <c r="M107" s="137" t="str">
        <f>HYPERLINK("https://www.youtube.com/watch?v=2xSkHmA5z8s","Video Solution - Eng Samed Hajajla")</f>
        <v>Video Solution - Eng Samed Hajajla</v>
      </c>
    </row>
    <row r="108" spans="1:13" ht="13.2">
      <c r="A108" s="97" t="s">
        <v>252</v>
      </c>
      <c r="B108" s="139" t="str">
        <f>HYPERLINK("http://codeforces.com/contest/289/problem/A","CF289-D2-A")</f>
        <v>CF289-D2-A</v>
      </c>
      <c r="C108" s="48"/>
      <c r="D108" s="62"/>
      <c r="E108" s="62"/>
      <c r="F108" s="62"/>
      <c r="G108" s="62"/>
      <c r="H108" s="57"/>
      <c r="I108" s="57">
        <f t="shared" si="2"/>
        <v>0</v>
      </c>
      <c r="J108" s="26"/>
      <c r="K108" s="56"/>
      <c r="L108" s="26"/>
      <c r="M108" s="140" t="str">
        <f>HYPERLINK("https://www.youtube.com/watch?v=EjH3kDiEpS0","Video Solution - Dr Mostafa Saad")</f>
        <v>Video Solution - Dr Mostafa Saad</v>
      </c>
    </row>
    <row r="109" spans="1:13" ht="13.2">
      <c r="A109" s="97" t="s">
        <v>253</v>
      </c>
      <c r="B109" s="139" t="str">
        <f>HYPERLINK("http://codeforces.com/contest/287/problem/A","CF287-D2-A")</f>
        <v>CF287-D2-A</v>
      </c>
      <c r="C109" s="48"/>
      <c r="D109" s="62"/>
      <c r="E109" s="62"/>
      <c r="F109" s="62"/>
      <c r="G109" s="62"/>
      <c r="H109" s="57"/>
      <c r="I109" s="57">
        <f t="shared" si="2"/>
        <v>0</v>
      </c>
      <c r="J109" s="26"/>
      <c r="K109" s="56"/>
      <c r="L109" s="26"/>
      <c r="M109" s="140" t="str">
        <f>HYPERLINK("https://www.youtube.com/watch?v=n7uY7HC4XIM","Video Solution - Dr Mostafa Saad")</f>
        <v>Video Solution - Dr Mostafa Saad</v>
      </c>
    </row>
    <row r="110" spans="1:13" ht="13.2">
      <c r="A110" s="97" t="s">
        <v>254</v>
      </c>
      <c r="B110" s="139" t="str">
        <f>HYPERLINK("http://codeforces.com/contest/296/problem/A","CF296-D2-A")</f>
        <v>CF296-D2-A</v>
      </c>
      <c r="C110" s="48"/>
      <c r="D110" s="62"/>
      <c r="E110" s="62"/>
      <c r="F110" s="62"/>
      <c r="G110" s="62"/>
      <c r="H110" s="57"/>
      <c r="I110" s="57">
        <f t="shared" si="2"/>
        <v>0</v>
      </c>
      <c r="J110" s="26"/>
      <c r="K110" s="56"/>
      <c r="L110" s="26"/>
      <c r="M110" s="140" t="str">
        <f>HYPERLINK("https://www.youtube.com/watch?v=kdgWBRPqMfo","Video Solution - Dr Mostafa Saad")</f>
        <v>Video Solution - Dr Mostafa Saad</v>
      </c>
    </row>
    <row r="111" spans="1:13" ht="13.2">
      <c r="A111" s="97" t="s">
        <v>255</v>
      </c>
      <c r="B111" s="139" t="str">
        <f>HYPERLINK("http://codeforces.com/contest/298/problem/A","CF298-D2-A")</f>
        <v>CF298-D2-A</v>
      </c>
      <c r="C111" s="48"/>
      <c r="D111" s="62"/>
      <c r="E111" s="62"/>
      <c r="F111" s="62"/>
      <c r="G111" s="62"/>
      <c r="H111" s="57"/>
      <c r="I111" s="57">
        <f t="shared" si="2"/>
        <v>0</v>
      </c>
      <c r="J111" s="26"/>
      <c r="K111" s="56"/>
      <c r="L111" s="26"/>
      <c r="M111" s="140" t="str">
        <f>HYPERLINK("https://www.youtube.com/watch?v=oX_hPHnYgMA","Video Solution - Dr Mostafa Saad")</f>
        <v>Video Solution - Dr Mostafa Saad</v>
      </c>
    </row>
    <row r="112" spans="1:13" ht="13.2">
      <c r="A112" s="141" t="s">
        <v>256</v>
      </c>
      <c r="B112" s="142" t="str">
        <f>HYPERLINK("http://codeforces.com/contest/579/problem/A","CF579-D2-A")</f>
        <v>CF579-D2-A</v>
      </c>
      <c r="C112" s="48"/>
      <c r="D112" s="62"/>
      <c r="E112" s="62"/>
      <c r="F112" s="62"/>
      <c r="G112" s="62"/>
      <c r="H112" s="57"/>
      <c r="I112" s="57">
        <f t="shared" si="2"/>
        <v>0</v>
      </c>
      <c r="J112" s="26"/>
      <c r="K112" s="56"/>
      <c r="L112" s="26"/>
      <c r="M112" s="118" t="str">
        <f>HYPERLINK("https://www.youtube.com/watch?v=UWMDrh1shXg","Video Solution - Eng Ahmed Rafaat (Python)")</f>
        <v>Video Solution - Eng Ahmed Rafaat (Python)</v>
      </c>
    </row>
    <row r="113" spans="1:13" ht="13.2">
      <c r="A113" s="141" t="s">
        <v>257</v>
      </c>
      <c r="B113" s="142" t="str">
        <f>HYPERLINK("https://codeforces.com/contest/1204/problem/A","CF1204-D2-A")</f>
        <v>CF1204-D2-A</v>
      </c>
      <c r="C113" s="48"/>
      <c r="D113" s="62"/>
      <c r="E113" s="62"/>
      <c r="F113" s="62"/>
      <c r="G113" s="62"/>
      <c r="H113" s="57"/>
      <c r="I113" s="57">
        <f t="shared" si="2"/>
        <v>0</v>
      </c>
      <c r="J113" s="26"/>
      <c r="K113" s="56"/>
      <c r="L113" s="26"/>
      <c r="M113" s="137" t="str">
        <f>HYPERLINK("https://www.youtube.com/watch?v=4ITr6GaZP","Video Solution - Dr Mostafa Saad")</f>
        <v>Video Solution - Dr Mostafa Saad</v>
      </c>
    </row>
    <row r="114" spans="1:13" ht="13.2">
      <c r="A114" s="141" t="s">
        <v>258</v>
      </c>
      <c r="B114" s="143" t="str">
        <f>HYPERLINK("https://codeforces.com/contest/1237/problem/A","CF1237-D12-A")</f>
        <v>CF1237-D12-A</v>
      </c>
      <c r="C114" s="48"/>
      <c r="D114" s="62"/>
      <c r="E114" s="62"/>
      <c r="F114" s="62"/>
      <c r="G114" s="62"/>
      <c r="H114" s="57"/>
      <c r="I114" s="57">
        <f t="shared" si="2"/>
        <v>0</v>
      </c>
      <c r="J114" s="26"/>
      <c r="K114" s="56"/>
      <c r="L114" s="26"/>
      <c r="M114" s="144"/>
    </row>
    <row r="115" spans="1:13" ht="13.2">
      <c r="A115" s="132"/>
      <c r="B115" s="133"/>
      <c r="C115" s="48"/>
      <c r="D115" s="62"/>
      <c r="E115" s="62"/>
      <c r="F115" s="62"/>
      <c r="G115" s="62"/>
      <c r="H115" s="57"/>
      <c r="I115" s="57">
        <f t="shared" si="2"/>
        <v>0</v>
      </c>
      <c r="J115" s="136"/>
      <c r="K115" s="56"/>
      <c r="L115" s="136"/>
      <c r="M115" s="66"/>
    </row>
    <row r="116" spans="1:13" ht="13.2">
      <c r="A116" s="132"/>
      <c r="B116" s="133"/>
      <c r="C116" s="48"/>
      <c r="D116" s="62"/>
      <c r="E116" s="62"/>
      <c r="F116" s="62"/>
      <c r="G116" s="62"/>
      <c r="H116" s="57"/>
      <c r="I116" s="57">
        <f t="shared" si="2"/>
        <v>0</v>
      </c>
      <c r="J116" s="136"/>
      <c r="K116" s="56"/>
      <c r="L116" s="136"/>
      <c r="M116" s="66" t="str">
        <f>HYPERLINK("https://www.youtube.com/watch?v=2G7RzlxTNPo","Watch - Search Techniques - Binary Search")</f>
        <v>Watch - Search Techniques - Binary Search</v>
      </c>
    </row>
    <row r="117" spans="1:13" ht="13.2">
      <c r="A117" s="145" t="s">
        <v>259</v>
      </c>
      <c r="B117" s="110" t="str">
        <f>HYPERLINK("https://uva.onlinejudge.org/index.php?option=com_onlinejudge&amp;Itemid=8&amp;page=show_problem&amp;problem=1552","UVA 10611")</f>
        <v>UVA 10611</v>
      </c>
      <c r="C117" s="48" t="s">
        <v>1781</v>
      </c>
      <c r="D117" s="62"/>
      <c r="E117" s="62"/>
      <c r="F117" s="62"/>
      <c r="G117" s="62"/>
      <c r="H117" s="57"/>
      <c r="I117" s="57">
        <f t="shared" si="2"/>
        <v>0</v>
      </c>
      <c r="J117" s="26"/>
      <c r="K117" s="56"/>
      <c r="L117" s="26"/>
      <c r="M117" s="111" t="str">
        <f>HYPERLINK("https://www.youtube.com/watch?v=OsfeunBJFzw","Video Solution - Eng Ayman Salah")</f>
        <v>Video Solution - Eng Ayman Salah</v>
      </c>
    </row>
    <row r="118" spans="1:13" ht="13.2">
      <c r="A118" s="134" t="s">
        <v>260</v>
      </c>
      <c r="B118" s="146" t="str">
        <f>HYPERLINK("http://codeforces.com/contest/287/problem/B","CF287-D2-B")</f>
        <v>CF287-D2-B</v>
      </c>
      <c r="C118" s="48" t="s">
        <v>1784</v>
      </c>
      <c r="D118" s="62"/>
      <c r="E118" s="62"/>
      <c r="F118" s="62"/>
      <c r="G118" s="62"/>
      <c r="H118" s="57"/>
      <c r="I118" s="57">
        <f t="shared" si="2"/>
        <v>0</v>
      </c>
      <c r="J118" s="136"/>
      <c r="K118" s="56"/>
      <c r="L118" s="136"/>
      <c r="M118" s="137" t="str">
        <f>HYPERLINK("https://www.youtube.com/watch?v=mhrz7F01Vqs","Video Solution - Dr Mostafa Saad")</f>
        <v>Video Solution - Dr Mostafa Saad</v>
      </c>
    </row>
    <row r="119" spans="1:13" ht="13.2">
      <c r="A119" s="147" t="s">
        <v>261</v>
      </c>
      <c r="B119" s="148" t="str">
        <f>HYPERLINK("https://codeforces.com/contest/165/problem/B","CF165-D2-B")</f>
        <v>CF165-D2-B</v>
      </c>
      <c r="C119" s="48" t="s">
        <v>1781</v>
      </c>
      <c r="D119" s="62"/>
      <c r="E119" s="62"/>
      <c r="F119" s="62"/>
      <c r="G119" s="62"/>
      <c r="H119" s="57"/>
      <c r="I119" s="57">
        <f t="shared" si="2"/>
        <v>0</v>
      </c>
      <c r="J119" s="26"/>
      <c r="K119" s="56"/>
      <c r="L119" s="26"/>
      <c r="M119" s="75"/>
    </row>
    <row r="120" spans="1:13" ht="13.2">
      <c r="A120" s="134" t="s">
        <v>262</v>
      </c>
      <c r="B120" s="135" t="str">
        <f>HYPERLINK("http://www.spoj.com/problems/AGGRCOW/","SPOJ AGGRCOW")</f>
        <v>SPOJ AGGRCOW</v>
      </c>
      <c r="C120" s="48" t="s">
        <v>1781</v>
      </c>
      <c r="D120" s="62"/>
      <c r="E120" s="62"/>
      <c r="F120" s="62"/>
      <c r="G120" s="62"/>
      <c r="H120" s="57"/>
      <c r="I120" s="57">
        <f t="shared" si="2"/>
        <v>0</v>
      </c>
      <c r="J120" s="26"/>
      <c r="K120" s="56"/>
      <c r="L120" s="26"/>
      <c r="M120" s="77" t="str">
        <f>HYPERLINK("https://www.youtube.com/watch?v=2R9L6mVal9U","Video Solution - Eng Youssef El Ghareeb")</f>
        <v>Video Solution - Eng Youssef El Ghareeb</v>
      </c>
    </row>
    <row r="121" spans="1:13" ht="13.2">
      <c r="A121" s="149"/>
      <c r="B121" s="150"/>
      <c r="C121" s="151"/>
      <c r="D121" s="152"/>
      <c r="E121" s="152"/>
      <c r="F121" s="152"/>
      <c r="G121" s="152"/>
      <c r="H121" s="153"/>
      <c r="I121" s="153">
        <f>SUM(E121:G121)</f>
        <v>0</v>
      </c>
      <c r="J121" s="152"/>
      <c r="K121" s="152"/>
      <c r="L121" s="152"/>
      <c r="M121" s="149"/>
    </row>
    <row r="122" spans="1:13" ht="13.2">
      <c r="A122" s="90"/>
      <c r="B122" s="91"/>
      <c r="C122" s="48"/>
      <c r="D122" s="661" t="s">
        <v>263</v>
      </c>
      <c r="E122" s="620"/>
      <c r="F122" s="620"/>
      <c r="G122" s="620"/>
      <c r="H122" s="57"/>
      <c r="I122" s="57">
        <f>SUM(E122:G122)</f>
        <v>0</v>
      </c>
      <c r="J122" s="662" t="s">
        <v>264</v>
      </c>
      <c r="K122" s="620"/>
      <c r="L122" s="620"/>
      <c r="M122" s="620"/>
    </row>
    <row r="123" spans="1:13" ht="13.2">
      <c r="A123" s="149"/>
      <c r="B123" s="150"/>
      <c r="C123" s="151"/>
      <c r="D123" s="152"/>
      <c r="E123" s="152"/>
      <c r="F123" s="152"/>
      <c r="G123" s="152"/>
      <c r="H123" s="153"/>
      <c r="I123" s="153">
        <f>SUM(E123:G123)</f>
        <v>0</v>
      </c>
      <c r="J123" s="152"/>
      <c r="K123" s="152"/>
      <c r="L123" s="152"/>
      <c r="M123" s="149"/>
    </row>
    <row r="124" spans="1:13" ht="13.2">
      <c r="A124" s="86" t="s">
        <v>265</v>
      </c>
      <c r="B124" s="87" t="str">
        <f>HYPERLINK("http://codeforces.com/contest/281/problem/A","CF281-D2-A")</f>
        <v>CF281-D2-A</v>
      </c>
      <c r="C124" s="92"/>
      <c r="D124" s="93"/>
      <c r="E124" s="93"/>
      <c r="F124" s="93"/>
      <c r="G124" s="93"/>
      <c r="H124" s="92"/>
      <c r="I124" s="57">
        <f t="shared" ref="I124:I250" si="3">SUM(E124:H124)</f>
        <v>0</v>
      </c>
      <c r="J124" s="26"/>
      <c r="K124" s="92"/>
      <c r="L124" s="26"/>
      <c r="M124" s="85" t="str">
        <f>HYPERLINK("https://www.youtube.com/watch?v=GctpZIJ8xBA","Video Solution - Solver to be (Java)")</f>
        <v>Video Solution - Solver to be (Java)</v>
      </c>
    </row>
    <row r="125" spans="1:13" ht="13.2">
      <c r="A125" s="86" t="s">
        <v>266</v>
      </c>
      <c r="B125" s="87" t="str">
        <f>HYPERLINK("http://codeforces.com/contest/158/problem/A","CF158-D12-A")</f>
        <v>CF158-D12-A</v>
      </c>
      <c r="C125" s="92"/>
      <c r="D125" s="93"/>
      <c r="E125" s="93"/>
      <c r="F125" s="93"/>
      <c r="G125" s="93"/>
      <c r="H125" s="92"/>
      <c r="I125" s="57">
        <f t="shared" si="3"/>
        <v>0</v>
      </c>
      <c r="J125" s="26"/>
      <c r="K125" s="92"/>
      <c r="L125" s="26"/>
      <c r="M125" s="104" t="str">
        <f>HYPERLINK("https://www.youtube.com/watch?v=jwF2F5D8j9o","Video Solution - Solver to be (Java)")</f>
        <v>Video Solution - Solver to be (Java)</v>
      </c>
    </row>
    <row r="126" spans="1:13" ht="13.2">
      <c r="A126" s="86" t="s">
        <v>267</v>
      </c>
      <c r="B126" s="87" t="str">
        <f>HYPERLINK("http://codeforces.com/contest/69/problem/A","CF69-D2-A")</f>
        <v>CF69-D2-A</v>
      </c>
      <c r="C126" s="92"/>
      <c r="D126" s="93"/>
      <c r="E126" s="93"/>
      <c r="F126" s="93"/>
      <c r="G126" s="93"/>
      <c r="H126" s="92"/>
      <c r="I126" s="57">
        <f t="shared" si="3"/>
        <v>0</v>
      </c>
      <c r="J126" s="26"/>
      <c r="K126" s="92"/>
      <c r="L126" s="26"/>
      <c r="M126" s="104" t="str">
        <f>HYPERLINK("https://www.youtube.com/watch?v=L8pMTIq7DFM","Video Solution - Solver to be (Java)")</f>
        <v>Video Solution - Solver to be (Java)</v>
      </c>
    </row>
    <row r="127" spans="1:13" ht="13.2">
      <c r="A127" s="86" t="s">
        <v>268</v>
      </c>
      <c r="B127" s="87" t="str">
        <f>HYPERLINK("http://codeforces.com/contest/282/problem/A","CF282-D2-A")</f>
        <v>CF282-D2-A</v>
      </c>
      <c r="C127" s="29"/>
      <c r="D127" s="26"/>
      <c r="E127" s="26"/>
      <c r="F127" s="26"/>
      <c r="G127" s="26"/>
      <c r="H127" s="29"/>
      <c r="I127" s="57">
        <f t="shared" si="3"/>
        <v>0</v>
      </c>
      <c r="J127" s="26"/>
      <c r="K127" s="92"/>
      <c r="L127" s="26"/>
      <c r="M127" s="104" t="str">
        <f>HYPERLINK("https://www.youtube.com/watch?v=5TyT1RIv3wM","Video Solution - Solver to be (Java)")</f>
        <v>Video Solution - Solver to be (Java)</v>
      </c>
    </row>
    <row r="128" spans="1:13" ht="13.2">
      <c r="A128" s="86" t="s">
        <v>269</v>
      </c>
      <c r="B128" s="87" t="str">
        <f>HYPERLINK("http://codeforces.com/contest/556/problem/A","CF556-D2-A")</f>
        <v>CF556-D2-A</v>
      </c>
      <c r="C128" s="92"/>
      <c r="D128" s="93"/>
      <c r="E128" s="93"/>
      <c r="F128" s="93"/>
      <c r="G128" s="93"/>
      <c r="H128" s="92"/>
      <c r="I128" s="57">
        <f t="shared" si="3"/>
        <v>0</v>
      </c>
      <c r="J128" s="26"/>
      <c r="K128" s="92"/>
      <c r="L128" s="26"/>
      <c r="M128" s="104" t="str">
        <f>HYPERLINK("https://www.youtube.com/watch?v=rud5ZbfjBxg","Video Solution - Solver to be (Java)")</f>
        <v>Video Solution - Solver to be (Java)</v>
      </c>
    </row>
    <row r="129" spans="1:13" ht="13.2">
      <c r="A129" s="86" t="s">
        <v>270</v>
      </c>
      <c r="B129" s="87" t="str">
        <f>HYPERLINK("http://codeforces.com/contest/41/problem/A","CF41-D2-A")</f>
        <v>CF41-D2-A</v>
      </c>
      <c r="C129" s="92"/>
      <c r="D129" s="93"/>
      <c r="E129" s="93"/>
      <c r="F129" s="93"/>
      <c r="G129" s="93"/>
      <c r="H129" s="92"/>
      <c r="I129" s="57">
        <f t="shared" si="3"/>
        <v>0</v>
      </c>
      <c r="J129" s="26"/>
      <c r="K129" s="92"/>
      <c r="L129" s="26"/>
      <c r="M129" s="104" t="str">
        <f>HYPERLINK("https://www.youtube.com/watch?v=2rXyyB_2zX8","Video Solution - Solver to be (Java)")</f>
        <v>Video Solution - Solver to be (Java)</v>
      </c>
    </row>
    <row r="130" spans="1:13" ht="13.2">
      <c r="A130" s="86" t="s">
        <v>271</v>
      </c>
      <c r="B130" s="87" t="str">
        <f>HYPERLINK("http://codeforces.com/contest/118/problem/A","CF118-D2-A")</f>
        <v>CF118-D2-A</v>
      </c>
      <c r="C130" s="92"/>
      <c r="D130" s="93"/>
      <c r="E130" s="93"/>
      <c r="F130" s="93"/>
      <c r="G130" s="93"/>
      <c r="H130" s="92"/>
      <c r="I130" s="57">
        <f t="shared" si="3"/>
        <v>0</v>
      </c>
      <c r="J130" s="26"/>
      <c r="K130" s="92"/>
      <c r="L130" s="26"/>
      <c r="M130" s="104" t="str">
        <f>HYPERLINK("https://www.youtube.com/watch?v=fiYo2lKksN0","Video Solution - Solver to be (Java)")</f>
        <v>Video Solution - Solver to be (Java)</v>
      </c>
    </row>
    <row r="131" spans="1:13" ht="13.2">
      <c r="A131" s="79" t="s">
        <v>272</v>
      </c>
      <c r="B131" s="80" t="str">
        <f>HYPERLINK("http://codeforces.com/contest/456/problem/A","CF456-D2-A")</f>
        <v>CF456-D2-A</v>
      </c>
      <c r="C131" s="92"/>
      <c r="D131" s="93"/>
      <c r="E131" s="93"/>
      <c r="F131" s="93"/>
      <c r="G131" s="93"/>
      <c r="H131" s="92"/>
      <c r="I131" s="57">
        <f t="shared" si="3"/>
        <v>0</v>
      </c>
      <c r="J131" s="93"/>
      <c r="K131" s="92"/>
      <c r="L131" s="93"/>
      <c r="M131" s="104" t="str">
        <f>HYPERLINK("https://www.youtube.com/watch?v=_Ab4PUC2vMk","Video Solution - Solver to be (Java)")</f>
        <v>Video Solution - Solver to be (Java)</v>
      </c>
    </row>
    <row r="132" spans="1:13" ht="13.2">
      <c r="A132" s="68" t="s">
        <v>273</v>
      </c>
      <c r="B132" s="142" t="str">
        <f>HYPERLINK("http://codeforces.com/contest/950/problem/A","CF950-D2-A")</f>
        <v>CF950-D2-A</v>
      </c>
      <c r="C132" s="48"/>
      <c r="D132" s="62"/>
      <c r="E132" s="62"/>
      <c r="F132" s="62"/>
      <c r="G132" s="62"/>
      <c r="H132" s="57"/>
      <c r="I132" s="57">
        <f t="shared" si="3"/>
        <v>0</v>
      </c>
      <c r="J132" s="154"/>
      <c r="K132" s="56"/>
      <c r="L132" s="154"/>
      <c r="M132" s="137" t="str">
        <f>HYPERLINK("https://www.youtube.com/watch?v=YQ48TRf4-T8&amp;feature=youtu.be","Video Solution - Eng Hossam Yehia")</f>
        <v>Video Solution - Eng Hossam Yehia</v>
      </c>
    </row>
    <row r="133" spans="1:13" ht="13.2">
      <c r="A133" s="68" t="s">
        <v>274</v>
      </c>
      <c r="B133" s="155" t="str">
        <f>HYPERLINK("http://codeforces.com/contest/467/problem/A","CF467-D2-A")</f>
        <v>CF467-D2-A</v>
      </c>
      <c r="C133" s="48"/>
      <c r="D133" s="62"/>
      <c r="E133" s="62"/>
      <c r="F133" s="62"/>
      <c r="G133" s="62"/>
      <c r="H133" s="57"/>
      <c r="I133" s="57">
        <f t="shared" si="3"/>
        <v>0</v>
      </c>
      <c r="J133" s="154"/>
      <c r="K133" s="56"/>
      <c r="L133" s="154"/>
      <c r="M133" s="118" t="str">
        <f>HYPERLINK("https://www.youtube.com/watch?v=ueGooXZFeTE","Video Solution - Eng Ahmed Rafaat (Python)")</f>
        <v>Video Solution - Eng Ahmed Rafaat (Python)</v>
      </c>
    </row>
    <row r="134" spans="1:13" ht="13.2">
      <c r="A134" s="68" t="s">
        <v>275</v>
      </c>
      <c r="B134" s="155" t="str">
        <f>HYPERLINK("http://codeforces.com/contest/581/problem/A","CF581-D2-A")</f>
        <v>CF581-D2-A</v>
      </c>
      <c r="C134" s="48"/>
      <c r="D134" s="62"/>
      <c r="E134" s="62"/>
      <c r="F134" s="62"/>
      <c r="G134" s="62"/>
      <c r="H134" s="57"/>
      <c r="I134" s="57">
        <f t="shared" si="3"/>
        <v>0</v>
      </c>
      <c r="J134" s="154"/>
      <c r="K134" s="56"/>
      <c r="L134" s="154"/>
      <c r="M134" s="90"/>
    </row>
    <row r="135" spans="1:13" ht="13.2">
      <c r="A135" s="68" t="s">
        <v>276</v>
      </c>
      <c r="B135" s="155" t="str">
        <f>HYPERLINK("http://codeforces.com/contest/510/problem/A","CF510-D2-A")</f>
        <v>CF510-D2-A</v>
      </c>
      <c r="C135" s="48"/>
      <c r="D135" s="62"/>
      <c r="E135" s="62"/>
      <c r="F135" s="62"/>
      <c r="G135" s="62"/>
      <c r="H135" s="57"/>
      <c r="I135" s="57">
        <f t="shared" si="3"/>
        <v>0</v>
      </c>
      <c r="J135" s="154"/>
      <c r="K135" s="56"/>
      <c r="L135" s="154"/>
      <c r="M135" s="90"/>
    </row>
    <row r="136" spans="1:13" ht="13.2">
      <c r="A136" s="68" t="s">
        <v>277</v>
      </c>
      <c r="B136" s="155" t="str">
        <f>HYPERLINK("http://codeforces.com/contest/723/problem/A","CF723-D2-A")</f>
        <v>CF723-D2-A</v>
      </c>
      <c r="C136" s="48"/>
      <c r="D136" s="62"/>
      <c r="E136" s="62"/>
      <c r="F136" s="62"/>
      <c r="G136" s="62"/>
      <c r="H136" s="57"/>
      <c r="I136" s="57">
        <f t="shared" si="3"/>
        <v>0</v>
      </c>
      <c r="J136" s="154"/>
      <c r="K136" s="56"/>
      <c r="L136" s="154"/>
      <c r="M136" s="90"/>
    </row>
    <row r="137" spans="1:13" ht="13.2">
      <c r="A137" s="68" t="s">
        <v>278</v>
      </c>
      <c r="B137" s="155" t="str">
        <f>HYPERLINK("http://codeforces.com/contest/617/problem/A","CF617-D2-A")</f>
        <v>CF617-D2-A</v>
      </c>
      <c r="C137" s="48"/>
      <c r="D137" s="62"/>
      <c r="E137" s="62"/>
      <c r="F137" s="62"/>
      <c r="G137" s="62"/>
      <c r="H137" s="57"/>
      <c r="I137" s="57">
        <f t="shared" si="3"/>
        <v>0</v>
      </c>
      <c r="J137" s="154"/>
      <c r="K137" s="56"/>
      <c r="L137" s="154"/>
      <c r="M137" s="90"/>
    </row>
    <row r="138" spans="1:13" ht="13.2">
      <c r="A138" s="68" t="s">
        <v>279</v>
      </c>
      <c r="B138" s="155" t="str">
        <f>HYPERLINK("http://codeforces.com/contest/255/problem/A","CF255-D2-A")</f>
        <v>CF255-D2-A</v>
      </c>
      <c r="C138" s="48"/>
      <c r="D138" s="62"/>
      <c r="E138" s="62"/>
      <c r="F138" s="62"/>
      <c r="G138" s="62"/>
      <c r="H138" s="57"/>
      <c r="I138" s="57">
        <f t="shared" si="3"/>
        <v>0</v>
      </c>
      <c r="J138" s="154"/>
      <c r="K138" s="56"/>
      <c r="L138" s="154"/>
      <c r="M138" s="90"/>
    </row>
    <row r="139" spans="1:13" ht="13.2">
      <c r="A139" s="68" t="s">
        <v>280</v>
      </c>
      <c r="B139" s="155" t="str">
        <f>HYPERLINK("http://codeforces.com/contest/61/problem/A","CF61-D2-A")</f>
        <v>CF61-D2-A</v>
      </c>
      <c r="C139" s="48"/>
      <c r="D139" s="62"/>
      <c r="E139" s="62"/>
      <c r="F139" s="62"/>
      <c r="G139" s="62"/>
      <c r="H139" s="57"/>
      <c r="I139" s="57">
        <f t="shared" si="3"/>
        <v>0</v>
      </c>
      <c r="J139" s="154"/>
      <c r="K139" s="56"/>
      <c r="L139" s="154"/>
      <c r="M139" s="90"/>
    </row>
    <row r="140" spans="1:13" ht="13.2">
      <c r="A140" s="68" t="s">
        <v>281</v>
      </c>
      <c r="B140" s="155" t="str">
        <f>HYPERLINK("http://codeforces.com/contest/454/problem/A","CF454-D2-A")</f>
        <v>CF454-D2-A</v>
      </c>
      <c r="C140" s="48"/>
      <c r="D140" s="62"/>
      <c r="E140" s="62"/>
      <c r="F140" s="62"/>
      <c r="G140" s="62"/>
      <c r="H140" s="57"/>
      <c r="I140" s="57">
        <f t="shared" si="3"/>
        <v>0</v>
      </c>
      <c r="J140" s="154"/>
      <c r="K140" s="56"/>
      <c r="L140" s="154"/>
      <c r="M140" s="90"/>
    </row>
    <row r="141" spans="1:13" ht="13.2">
      <c r="A141" s="68" t="s">
        <v>282</v>
      </c>
      <c r="B141" s="155" t="str">
        <f>HYPERLINK("http://codeforces.com/contest/721/problem/A","CF721-D2-A")</f>
        <v>CF721-D2-A</v>
      </c>
      <c r="C141" s="48"/>
      <c r="D141" s="62"/>
      <c r="E141" s="62"/>
      <c r="F141" s="62"/>
      <c r="G141" s="62"/>
      <c r="H141" s="57"/>
      <c r="I141" s="57">
        <f t="shared" si="3"/>
        <v>0</v>
      </c>
      <c r="J141" s="154"/>
      <c r="K141" s="56"/>
      <c r="L141" s="154"/>
      <c r="M141" s="90"/>
    </row>
    <row r="142" spans="1:13" ht="13.2">
      <c r="A142" s="68" t="s">
        <v>283</v>
      </c>
      <c r="B142" s="155" t="str">
        <f>HYPERLINK("http://codeforces.com/contest/546/problem/A","CF546-D2-A")</f>
        <v>CF546-D2-A</v>
      </c>
      <c r="C142" s="48"/>
      <c r="D142" s="62"/>
      <c r="E142" s="62"/>
      <c r="F142" s="62"/>
      <c r="G142" s="62"/>
      <c r="H142" s="57"/>
      <c r="I142" s="57">
        <f t="shared" si="3"/>
        <v>0</v>
      </c>
      <c r="J142" s="154"/>
      <c r="K142" s="56"/>
      <c r="L142" s="154"/>
      <c r="M142" s="90"/>
    </row>
    <row r="143" spans="1:13" ht="13.2">
      <c r="A143" s="68"/>
      <c r="B143" s="133"/>
      <c r="C143" s="48"/>
      <c r="D143" s="62"/>
      <c r="E143" s="62"/>
      <c r="F143" s="62"/>
      <c r="G143" s="62"/>
      <c r="H143" s="57"/>
      <c r="I143" s="57">
        <f t="shared" si="3"/>
        <v>0</v>
      </c>
      <c r="J143" s="154"/>
      <c r="K143" s="56"/>
      <c r="L143" s="154"/>
      <c r="M143" s="90"/>
    </row>
    <row r="144" spans="1:13" ht="13.2">
      <c r="A144" s="68" t="s">
        <v>284</v>
      </c>
      <c r="B144" s="155" t="str">
        <f>HYPERLINK("http://codeforces.com/contest/711/problem/A","CF711-D2-A")</f>
        <v>CF711-D2-A</v>
      </c>
      <c r="C144" s="48"/>
      <c r="D144" s="62"/>
      <c r="E144" s="62"/>
      <c r="F144" s="62"/>
      <c r="G144" s="62"/>
      <c r="H144" s="57"/>
      <c r="I144" s="57">
        <f t="shared" si="3"/>
        <v>0</v>
      </c>
      <c r="J144" s="154"/>
      <c r="K144" s="56"/>
      <c r="L144" s="154"/>
      <c r="M144" s="90"/>
    </row>
    <row r="145" spans="1:13" ht="13.2">
      <c r="A145" s="126" t="s">
        <v>285</v>
      </c>
      <c r="B145" s="80" t="str">
        <f>HYPERLINK("http://codeforces.com/contest/129/problem/A","CF129-D2-A")</f>
        <v>CF129-D2-A</v>
      </c>
      <c r="C145" s="48"/>
      <c r="D145" s="62"/>
      <c r="E145" s="62"/>
      <c r="F145" s="62"/>
      <c r="G145" s="62"/>
      <c r="H145" s="57"/>
      <c r="I145" s="57">
        <f t="shared" si="3"/>
        <v>0</v>
      </c>
      <c r="J145" s="154"/>
      <c r="K145" s="56"/>
      <c r="L145" s="154"/>
      <c r="M145" s="90"/>
    </row>
    <row r="146" spans="1:13" ht="13.2">
      <c r="A146" s="89" t="s">
        <v>286</v>
      </c>
      <c r="B146" s="69" t="str">
        <f>HYPERLINK("http://codeforces.com/contest/22/problem/A","CF22-D2-A")</f>
        <v>CF22-D2-A</v>
      </c>
      <c r="C146" s="48"/>
      <c r="D146" s="62"/>
      <c r="E146" s="62"/>
      <c r="F146" s="62"/>
      <c r="G146" s="62"/>
      <c r="H146" s="57"/>
      <c r="I146" s="57">
        <f t="shared" si="3"/>
        <v>0</v>
      </c>
      <c r="J146" s="154"/>
      <c r="K146" s="56"/>
      <c r="L146" s="154"/>
      <c r="M146" s="90"/>
    </row>
    <row r="147" spans="1:13" ht="13.2">
      <c r="A147" s="89" t="s">
        <v>287</v>
      </c>
      <c r="B147" s="69" t="str">
        <f>HYPERLINK("http://codeforces.com/contest/110/problem/A","CF110-D2-A")</f>
        <v>CF110-D2-A</v>
      </c>
      <c r="C147" s="48"/>
      <c r="D147" s="62"/>
      <c r="E147" s="62"/>
      <c r="F147" s="62"/>
      <c r="G147" s="62"/>
      <c r="H147" s="57"/>
      <c r="I147" s="57">
        <f t="shared" si="3"/>
        <v>0</v>
      </c>
      <c r="J147" s="154"/>
      <c r="K147" s="56"/>
      <c r="L147" s="154"/>
      <c r="M147" s="90"/>
    </row>
    <row r="148" spans="1:13" ht="13.2">
      <c r="A148" s="68" t="s">
        <v>288</v>
      </c>
      <c r="B148" s="155" t="str">
        <f>HYPERLINK("http://codeforces.com/contest/378/problem/A","CF378-D2-A")</f>
        <v>CF378-D2-A</v>
      </c>
      <c r="C148" s="48"/>
      <c r="D148" s="62"/>
      <c r="E148" s="62"/>
      <c r="F148" s="62"/>
      <c r="G148" s="62"/>
      <c r="H148" s="57"/>
      <c r="I148" s="57">
        <f t="shared" si="3"/>
        <v>0</v>
      </c>
      <c r="J148" s="154"/>
      <c r="K148" s="56"/>
      <c r="L148" s="154"/>
      <c r="M148" s="90"/>
    </row>
    <row r="149" spans="1:13" ht="13.2">
      <c r="A149" s="89" t="s">
        <v>289</v>
      </c>
      <c r="B149" s="69" t="str">
        <f>HYPERLINK("http://codeforces.com/contest/681/problem/A","CF681-D2-A")</f>
        <v>CF681-D2-A</v>
      </c>
      <c r="C149" s="48"/>
      <c r="D149" s="62"/>
      <c r="E149" s="62"/>
      <c r="F149" s="62"/>
      <c r="G149" s="62"/>
      <c r="H149" s="57"/>
      <c r="I149" s="57">
        <f t="shared" si="3"/>
        <v>0</v>
      </c>
      <c r="J149" s="154"/>
      <c r="K149" s="56"/>
      <c r="L149" s="154"/>
      <c r="M149" s="90"/>
    </row>
    <row r="150" spans="1:13" ht="13.2">
      <c r="A150" s="68" t="s">
        <v>290</v>
      </c>
      <c r="B150" s="155" t="str">
        <f>HYPERLINK("http://codeforces.com/contest/271/problem/A","CF271-D2-A")</f>
        <v>CF271-D2-A</v>
      </c>
      <c r="C150" s="48"/>
      <c r="D150" s="62"/>
      <c r="E150" s="62"/>
      <c r="F150" s="62"/>
      <c r="G150" s="62"/>
      <c r="H150" s="57"/>
      <c r="I150" s="57">
        <f t="shared" si="3"/>
        <v>0</v>
      </c>
      <c r="J150" s="154"/>
      <c r="K150" s="56"/>
      <c r="L150" s="154"/>
      <c r="M150" s="90"/>
    </row>
    <row r="151" spans="1:13" ht="13.2">
      <c r="A151" s="68" t="s">
        <v>291</v>
      </c>
      <c r="B151" s="155" t="str">
        <f>HYPERLINK("http://codeforces.com/contest/629/problem/A","CF629-D2-A")</f>
        <v>CF629-D2-A</v>
      </c>
      <c r="C151" s="48"/>
      <c r="D151" s="62"/>
      <c r="E151" s="62"/>
      <c r="F151" s="62"/>
      <c r="G151" s="62"/>
      <c r="H151" s="57"/>
      <c r="I151" s="57">
        <f t="shared" si="3"/>
        <v>0</v>
      </c>
      <c r="J151" s="154"/>
      <c r="K151" s="56"/>
      <c r="L151" s="154"/>
      <c r="M151" s="90"/>
    </row>
    <row r="152" spans="1:13" ht="13.2">
      <c r="A152" s="68" t="s">
        <v>292</v>
      </c>
      <c r="B152" s="155" t="str">
        <f>HYPERLINK("http://codeforces.com/contest/415/problem/A","CF415-D2-A")</f>
        <v>CF415-D2-A</v>
      </c>
      <c r="C152" s="48"/>
      <c r="D152" s="62"/>
      <c r="E152" s="62"/>
      <c r="F152" s="62"/>
      <c r="G152" s="62"/>
      <c r="H152" s="57"/>
      <c r="I152" s="57">
        <f t="shared" si="3"/>
        <v>0</v>
      </c>
      <c r="J152" s="154"/>
      <c r="K152" s="56"/>
      <c r="L152" s="154"/>
      <c r="M152" s="90"/>
    </row>
    <row r="153" spans="1:13" ht="13.2">
      <c r="A153" s="68" t="s">
        <v>293</v>
      </c>
      <c r="B153" s="155" t="str">
        <f>HYPERLINK("http://codeforces.com/contest/47/problem/A","CF47-D2-A")</f>
        <v>CF47-D2-A</v>
      </c>
      <c r="C153" s="48"/>
      <c r="D153" s="62"/>
      <c r="E153" s="62"/>
      <c r="F153" s="62"/>
      <c r="G153" s="62"/>
      <c r="H153" s="57"/>
      <c r="I153" s="57">
        <f t="shared" si="3"/>
        <v>0</v>
      </c>
      <c r="J153" s="154"/>
      <c r="K153" s="56"/>
      <c r="L153" s="154"/>
      <c r="M153" s="93"/>
    </row>
    <row r="154" spans="1:13" ht="13.2">
      <c r="A154" s="68"/>
      <c r="B154" s="133"/>
      <c r="C154" s="48"/>
      <c r="D154" s="62"/>
      <c r="E154" s="62"/>
      <c r="F154" s="62"/>
      <c r="G154" s="62"/>
      <c r="H154" s="57"/>
      <c r="I154" s="57">
        <f t="shared" si="3"/>
        <v>0</v>
      </c>
      <c r="J154" s="154"/>
      <c r="K154" s="56"/>
      <c r="L154" s="154"/>
      <c r="M154" s="93"/>
    </row>
    <row r="155" spans="1:13" ht="13.2">
      <c r="A155" s="68" t="s">
        <v>294</v>
      </c>
      <c r="B155" s="155" t="str">
        <f>HYPERLINK("http://codeforces.com/contest/262/problem/A","CF262-D2-A")</f>
        <v>CF262-D2-A</v>
      </c>
      <c r="C155" s="48"/>
      <c r="D155" s="62"/>
      <c r="E155" s="62"/>
      <c r="F155" s="62"/>
      <c r="G155" s="62"/>
      <c r="H155" s="57"/>
      <c r="I155" s="57">
        <f t="shared" si="3"/>
        <v>0</v>
      </c>
      <c r="J155" s="154"/>
      <c r="K155" s="56"/>
      <c r="L155" s="154"/>
      <c r="M155" s="90"/>
    </row>
    <row r="156" spans="1:13" ht="13.2">
      <c r="A156" s="68" t="s">
        <v>295</v>
      </c>
      <c r="B156" s="155" t="str">
        <f>HYPERLINK("http://codeforces.com/contest/84/problem/A","CF84-D2-A")</f>
        <v>CF84-D2-A</v>
      </c>
      <c r="C156" s="48"/>
      <c r="D156" s="62"/>
      <c r="E156" s="62"/>
      <c r="F156" s="62"/>
      <c r="G156" s="62"/>
      <c r="H156" s="57"/>
      <c r="I156" s="57">
        <f t="shared" si="3"/>
        <v>0</v>
      </c>
      <c r="J156" s="154"/>
      <c r="K156" s="56"/>
      <c r="L156" s="154"/>
      <c r="M156" s="93"/>
    </row>
    <row r="157" spans="1:13" ht="13.2">
      <c r="A157" s="68" t="s">
        <v>296</v>
      </c>
      <c r="B157" s="155" t="str">
        <f>HYPERLINK("http://codeforces.com/contest/361/problem/A","CF361-D2-A")</f>
        <v>CF361-D2-A</v>
      </c>
      <c r="C157" s="48"/>
      <c r="D157" s="62"/>
      <c r="E157" s="62"/>
      <c r="F157" s="62"/>
      <c r="G157" s="62"/>
      <c r="H157" s="57"/>
      <c r="I157" s="57">
        <f t="shared" si="3"/>
        <v>0</v>
      </c>
      <c r="J157" s="154"/>
      <c r="K157" s="56"/>
      <c r="L157" s="154"/>
      <c r="M157" s="93"/>
    </row>
    <row r="158" spans="1:13" ht="13.2">
      <c r="A158" s="68" t="s">
        <v>297</v>
      </c>
      <c r="B158" s="155" t="str">
        <f>HYPERLINK("http://codeforces.com/contest/701/problem/A","CF701-D2-A")</f>
        <v>CF701-D2-A</v>
      </c>
      <c r="C158" s="48"/>
      <c r="D158" s="62"/>
      <c r="E158" s="62"/>
      <c r="F158" s="62"/>
      <c r="G158" s="62"/>
      <c r="H158" s="57"/>
      <c r="I158" s="57">
        <f t="shared" si="3"/>
        <v>0</v>
      </c>
      <c r="J158" s="154"/>
      <c r="K158" s="56"/>
      <c r="L158" s="154"/>
      <c r="M158" s="93"/>
    </row>
    <row r="159" spans="1:13" ht="13.2">
      <c r="A159" s="68" t="s">
        <v>298</v>
      </c>
      <c r="B159" s="155" t="str">
        <f>HYPERLINK("http://codeforces.com/contest/591/problem/A","CF591-D2-A")</f>
        <v>CF591-D2-A</v>
      </c>
      <c r="C159" s="48"/>
      <c r="D159" s="62"/>
      <c r="E159" s="62"/>
      <c r="F159" s="62"/>
      <c r="G159" s="62"/>
      <c r="H159" s="57"/>
      <c r="I159" s="57">
        <f t="shared" si="3"/>
        <v>0</v>
      </c>
      <c r="J159" s="154"/>
      <c r="K159" s="56"/>
      <c r="L159" s="154"/>
      <c r="M159" s="93"/>
    </row>
    <row r="160" spans="1:13" ht="13.2">
      <c r="A160" s="68" t="s">
        <v>299</v>
      </c>
      <c r="B160" s="155" t="str">
        <f>HYPERLINK("http://codeforces.com/contest/540/problem/A","CF540-D2-A")</f>
        <v>CF540-D2-A</v>
      </c>
      <c r="C160" s="48"/>
      <c r="D160" s="62"/>
      <c r="E160" s="62"/>
      <c r="F160" s="62"/>
      <c r="G160" s="62"/>
      <c r="H160" s="57"/>
      <c r="I160" s="57">
        <f t="shared" si="3"/>
        <v>0</v>
      </c>
      <c r="J160" s="154"/>
      <c r="K160" s="56"/>
      <c r="L160" s="154"/>
      <c r="M160" s="93"/>
    </row>
    <row r="161" spans="1:13" ht="13.2">
      <c r="A161" s="68" t="s">
        <v>300</v>
      </c>
      <c r="B161" s="155" t="str">
        <f>HYPERLINK("http://codeforces.com/contest/672/problem/A","CF672-D2-A")</f>
        <v>CF672-D2-A</v>
      </c>
      <c r="C161" s="48"/>
      <c r="D161" s="62"/>
      <c r="E161" s="62"/>
      <c r="F161" s="62"/>
      <c r="G161" s="62"/>
      <c r="H161" s="57"/>
      <c r="I161" s="57">
        <f t="shared" si="3"/>
        <v>0</v>
      </c>
      <c r="J161" s="154"/>
      <c r="K161" s="56"/>
      <c r="L161" s="154"/>
      <c r="M161" s="93"/>
    </row>
    <row r="162" spans="1:13" ht="13.2">
      <c r="A162" s="79" t="s">
        <v>301</v>
      </c>
      <c r="B162" s="80" t="str">
        <f>HYPERLINK("http://codeforces.com/contest/151/problem/A","CF151-D2-A")</f>
        <v>CF151-D2-A</v>
      </c>
      <c r="C162" s="48"/>
      <c r="D162" s="62"/>
      <c r="E162" s="62"/>
      <c r="F162" s="62"/>
      <c r="G162" s="62"/>
      <c r="H162" s="57"/>
      <c r="I162" s="57">
        <f t="shared" si="3"/>
        <v>0</v>
      </c>
      <c r="J162" s="154"/>
      <c r="K162" s="56"/>
      <c r="L162" s="154"/>
      <c r="M162" s="93"/>
    </row>
    <row r="163" spans="1:13" ht="13.2">
      <c r="A163" s="79" t="s">
        <v>302</v>
      </c>
      <c r="B163" s="80" t="str">
        <f>HYPERLINK("http://codeforces.com/contest/384/problem/A","CF384-D2-A")</f>
        <v>CF384-D2-A</v>
      </c>
      <c r="C163" s="48"/>
      <c r="D163" s="62"/>
      <c r="E163" s="62"/>
      <c r="F163" s="62"/>
      <c r="G163" s="62"/>
      <c r="H163" s="57"/>
      <c r="I163" s="57">
        <f t="shared" si="3"/>
        <v>0</v>
      </c>
      <c r="J163" s="154"/>
      <c r="K163" s="56"/>
      <c r="L163" s="154"/>
      <c r="M163" s="93"/>
    </row>
    <row r="164" spans="1:13" ht="13.2">
      <c r="A164" s="68" t="s">
        <v>303</v>
      </c>
      <c r="B164" s="155" t="str">
        <f>HYPERLINK("http://codeforces.com/contest/551/problem/A","CF551-D2-A")</f>
        <v>CF551-D2-A</v>
      </c>
      <c r="C164" s="48"/>
      <c r="D164" s="62"/>
      <c r="E164" s="62"/>
      <c r="F164" s="62"/>
      <c r="G164" s="62"/>
      <c r="H164" s="57"/>
      <c r="I164" s="57">
        <f t="shared" si="3"/>
        <v>0</v>
      </c>
      <c r="J164" s="154"/>
      <c r="K164" s="56"/>
      <c r="L164" s="154"/>
      <c r="M164" s="90"/>
    </row>
    <row r="165" spans="1:13" ht="13.2">
      <c r="A165" s="68"/>
      <c r="B165" s="133"/>
      <c r="C165" s="48"/>
      <c r="D165" s="62"/>
      <c r="E165" s="62"/>
      <c r="F165" s="62"/>
      <c r="G165" s="62"/>
      <c r="H165" s="57"/>
      <c r="I165" s="57">
        <f t="shared" si="3"/>
        <v>0</v>
      </c>
      <c r="J165" s="154"/>
      <c r="K165" s="56"/>
      <c r="L165" s="154"/>
      <c r="M165" s="90"/>
    </row>
    <row r="166" spans="1:13" ht="13.2">
      <c r="A166" s="79" t="s">
        <v>304</v>
      </c>
      <c r="B166" s="80" t="str">
        <f>HYPERLINK("http://codeforces.com/contest/278/problem/A","CF278-D2-A")</f>
        <v>CF278-D2-A</v>
      </c>
      <c r="C166" s="48"/>
      <c r="D166" s="62"/>
      <c r="E166" s="62"/>
      <c r="F166" s="62"/>
      <c r="G166" s="62"/>
      <c r="H166" s="57"/>
      <c r="I166" s="57">
        <f t="shared" si="3"/>
        <v>0</v>
      </c>
      <c r="J166" s="154"/>
      <c r="K166" s="56"/>
      <c r="L166" s="154"/>
      <c r="M166" s="90"/>
    </row>
    <row r="167" spans="1:13" ht="13.2">
      <c r="A167" s="68" t="s">
        <v>305</v>
      </c>
      <c r="B167" s="155" t="str">
        <f>HYPERLINK("http://codeforces.com/contest/599/problem/A","CF599-D2-A")</f>
        <v>CF599-D2-A</v>
      </c>
      <c r="C167" s="48"/>
      <c r="D167" s="62"/>
      <c r="E167" s="62"/>
      <c r="F167" s="62"/>
      <c r="G167" s="62"/>
      <c r="H167" s="57"/>
      <c r="I167" s="57">
        <f t="shared" si="3"/>
        <v>0</v>
      </c>
      <c r="J167" s="154"/>
      <c r="K167" s="56"/>
      <c r="L167" s="154"/>
      <c r="M167" s="90"/>
    </row>
    <row r="168" spans="1:13" ht="13.2">
      <c r="A168" s="68" t="s">
        <v>306</v>
      </c>
      <c r="B168" s="155" t="str">
        <f>HYPERLINK("http://codeforces.com/contest/432/problem/A","CF432-D2-A")</f>
        <v>CF432-D2-A</v>
      </c>
      <c r="C168" s="48"/>
      <c r="D168" s="62"/>
      <c r="E168" s="62"/>
      <c r="F168" s="62"/>
      <c r="G168" s="62"/>
      <c r="H168" s="57"/>
      <c r="I168" s="57">
        <f t="shared" si="3"/>
        <v>0</v>
      </c>
      <c r="J168" s="154"/>
      <c r="K168" s="56"/>
      <c r="L168" s="154"/>
      <c r="M168" s="90"/>
    </row>
    <row r="169" spans="1:13" ht="13.2">
      <c r="A169" s="68" t="s">
        <v>307</v>
      </c>
      <c r="B169" s="155" t="str">
        <f>HYPERLINK("http://codeforces.com/contest/492/problem/A","CF492-D2-A")</f>
        <v>CF492-D2-A</v>
      </c>
      <c r="C169" s="48"/>
      <c r="D169" s="62"/>
      <c r="E169" s="62"/>
      <c r="F169" s="62"/>
      <c r="G169" s="62"/>
      <c r="H169" s="57"/>
      <c r="I169" s="57">
        <f t="shared" si="3"/>
        <v>0</v>
      </c>
      <c r="J169" s="154"/>
      <c r="K169" s="56"/>
      <c r="L169" s="154"/>
      <c r="M169" s="90"/>
    </row>
    <row r="170" spans="1:13" ht="13.2">
      <c r="A170" s="79" t="s">
        <v>308</v>
      </c>
      <c r="B170" s="80" t="str">
        <f>HYPERLINK("http://codeforces.com/contest/148/problem/A","CF148-D2-A")</f>
        <v>CF148-D2-A</v>
      </c>
      <c r="C170" s="48"/>
      <c r="D170" s="62"/>
      <c r="E170" s="62"/>
      <c r="F170" s="62"/>
      <c r="G170" s="62"/>
      <c r="H170" s="57"/>
      <c r="I170" s="57">
        <f t="shared" si="3"/>
        <v>0</v>
      </c>
      <c r="J170" s="154"/>
      <c r="K170" s="56"/>
      <c r="L170" s="154"/>
      <c r="M170" s="90"/>
    </row>
    <row r="171" spans="1:13" ht="13.2">
      <c r="A171" s="68" t="s">
        <v>309</v>
      </c>
      <c r="B171" s="155" t="str">
        <f>HYPERLINK("http://codeforces.com/contest/330/problem/A","CF330-D2-A")</f>
        <v>CF330-D2-A</v>
      </c>
      <c r="C171" s="48"/>
      <c r="D171" s="62"/>
      <c r="E171" s="62"/>
      <c r="F171" s="62"/>
      <c r="G171" s="62"/>
      <c r="H171" s="57"/>
      <c r="I171" s="57">
        <f t="shared" si="3"/>
        <v>0</v>
      </c>
      <c r="J171" s="154"/>
      <c r="K171" s="56"/>
      <c r="L171" s="154"/>
      <c r="M171" s="90"/>
    </row>
    <row r="172" spans="1:13" ht="13.2">
      <c r="A172" s="79" t="s">
        <v>310</v>
      </c>
      <c r="B172" s="80" t="str">
        <f>HYPERLINK("http://codeforces.com/contest/16/problem/A","CF16-D2-A")</f>
        <v>CF16-D2-A</v>
      </c>
      <c r="C172" s="48"/>
      <c r="D172" s="62"/>
      <c r="E172" s="62"/>
      <c r="F172" s="62"/>
      <c r="G172" s="62"/>
      <c r="H172" s="57"/>
      <c r="I172" s="57">
        <f t="shared" si="3"/>
        <v>0</v>
      </c>
      <c r="J172" s="154"/>
      <c r="K172" s="56"/>
      <c r="L172" s="154"/>
      <c r="M172" s="26"/>
    </row>
    <row r="173" spans="1:13" ht="13.2">
      <c r="A173" s="68" t="s">
        <v>311</v>
      </c>
      <c r="B173" s="155" t="str">
        <f>HYPERLINK("http://codeforces.com/contest/248/problem/A","CF248-D2-A")</f>
        <v>CF248-D2-A</v>
      </c>
      <c r="C173" s="48"/>
      <c r="D173" s="62"/>
      <c r="E173" s="62"/>
      <c r="F173" s="62"/>
      <c r="G173" s="62"/>
      <c r="H173" s="57"/>
      <c r="I173" s="57">
        <f t="shared" si="3"/>
        <v>0</v>
      </c>
      <c r="J173" s="154"/>
      <c r="K173" s="56"/>
      <c r="L173" s="154"/>
      <c r="M173" s="26"/>
    </row>
    <row r="174" spans="1:13" ht="13.2">
      <c r="A174" s="68" t="s">
        <v>312</v>
      </c>
      <c r="B174" s="155" t="str">
        <f>HYPERLINK("http://codeforces.com/contest/363/problem/A","CF363-D2-A")</f>
        <v>CF363-D2-A</v>
      </c>
      <c r="C174" s="48"/>
      <c r="D174" s="62"/>
      <c r="E174" s="62"/>
      <c r="F174" s="62"/>
      <c r="G174" s="62"/>
      <c r="H174" s="57"/>
      <c r="I174" s="57">
        <f t="shared" si="3"/>
        <v>0</v>
      </c>
      <c r="J174" s="154"/>
      <c r="K174" s="56"/>
      <c r="L174" s="154"/>
      <c r="M174" s="26"/>
    </row>
    <row r="175" spans="1:13" ht="13.2">
      <c r="A175" s="68"/>
      <c r="B175" s="133"/>
      <c r="C175" s="48"/>
      <c r="D175" s="62"/>
      <c r="E175" s="62"/>
      <c r="F175" s="62"/>
      <c r="G175" s="62"/>
      <c r="H175" s="57"/>
      <c r="I175" s="57">
        <f t="shared" si="3"/>
        <v>0</v>
      </c>
      <c r="J175" s="154"/>
      <c r="K175" s="56"/>
      <c r="L175" s="154"/>
      <c r="M175" s="26"/>
    </row>
    <row r="176" spans="1:13" ht="13.2">
      <c r="A176" s="79" t="s">
        <v>313</v>
      </c>
      <c r="B176" s="80" t="str">
        <f>HYPERLINK("http://codeforces.com/contest/141/problem/A","CF141-D2-A")</f>
        <v>CF141-D2-A</v>
      </c>
      <c r="C176" s="48"/>
      <c r="D176" s="62"/>
      <c r="E176" s="62"/>
      <c r="F176" s="62"/>
      <c r="G176" s="62"/>
      <c r="H176" s="57"/>
      <c r="I176" s="57">
        <f t="shared" si="3"/>
        <v>0</v>
      </c>
      <c r="J176" s="154"/>
      <c r="K176" s="56"/>
      <c r="L176" s="154"/>
      <c r="M176" s="26"/>
    </row>
    <row r="177" spans="1:13" ht="13.2">
      <c r="A177" s="68" t="s">
        <v>314</v>
      </c>
      <c r="B177" s="155" t="str">
        <f>HYPERLINK("http://codeforces.com/contest/275/problem/A","CF275-D2-A")</f>
        <v>CF275-D2-A</v>
      </c>
      <c r="C177" s="48"/>
      <c r="D177" s="62"/>
      <c r="E177" s="62"/>
      <c r="F177" s="62"/>
      <c r="G177" s="62"/>
      <c r="H177" s="57"/>
      <c r="I177" s="57">
        <f t="shared" si="3"/>
        <v>0</v>
      </c>
      <c r="J177" s="154"/>
      <c r="K177" s="56"/>
      <c r="L177" s="154"/>
      <c r="M177" s="26"/>
    </row>
    <row r="178" spans="1:13" ht="13.2">
      <c r="A178" s="68" t="s">
        <v>315</v>
      </c>
      <c r="B178" s="155" t="str">
        <f>HYPERLINK("http://codeforces.com/contest/276/problem/A","CF276-D2-A")</f>
        <v>CF276-D2-A</v>
      </c>
      <c r="C178" s="48"/>
      <c r="D178" s="62"/>
      <c r="E178" s="62"/>
      <c r="F178" s="62"/>
      <c r="G178" s="62"/>
      <c r="H178" s="57"/>
      <c r="I178" s="57">
        <f t="shared" si="3"/>
        <v>0</v>
      </c>
      <c r="J178" s="154"/>
      <c r="K178" s="56"/>
      <c r="L178" s="154"/>
      <c r="M178" s="90"/>
    </row>
    <row r="179" spans="1:13" ht="13.2">
      <c r="A179" s="68" t="s">
        <v>316</v>
      </c>
      <c r="B179" s="155" t="str">
        <f>HYPERLINK("http://codeforces.com/contest/588/problem/A","CF588-D2-A")</f>
        <v>CF588-D2-A</v>
      </c>
      <c r="C179" s="48"/>
      <c r="D179" s="62"/>
      <c r="E179" s="62"/>
      <c r="F179" s="62"/>
      <c r="G179" s="62"/>
      <c r="H179" s="57"/>
      <c r="I179" s="57">
        <f t="shared" si="3"/>
        <v>0</v>
      </c>
      <c r="J179" s="154"/>
      <c r="K179" s="56"/>
      <c r="L179" s="154"/>
      <c r="M179" s="90"/>
    </row>
    <row r="180" spans="1:13" ht="13.2">
      <c r="A180" s="68" t="s">
        <v>317</v>
      </c>
      <c r="B180" s="155" t="str">
        <f>HYPERLINK("http://codeforces.com/contest/401/problem/A","CF401-D2-A")</f>
        <v>CF401-D2-A</v>
      </c>
      <c r="C180" s="48"/>
      <c r="D180" s="62"/>
      <c r="E180" s="62"/>
      <c r="F180" s="62"/>
      <c r="G180" s="62"/>
      <c r="H180" s="57"/>
      <c r="I180" s="57">
        <f t="shared" si="3"/>
        <v>0</v>
      </c>
      <c r="J180" s="154"/>
      <c r="K180" s="56"/>
      <c r="L180" s="154"/>
      <c r="M180" s="90"/>
    </row>
    <row r="181" spans="1:13" ht="13.2">
      <c r="A181" s="68" t="s">
        <v>318</v>
      </c>
      <c r="B181" s="155" t="str">
        <f>HYPERLINK("http://codeforces.com/contest/424/problem/A","CF424-D2-A")</f>
        <v>CF424-D2-A</v>
      </c>
      <c r="C181" s="48"/>
      <c r="D181" s="62"/>
      <c r="E181" s="62"/>
      <c r="F181" s="62"/>
      <c r="G181" s="62"/>
      <c r="H181" s="57"/>
      <c r="I181" s="57">
        <f t="shared" si="3"/>
        <v>0</v>
      </c>
      <c r="J181" s="154"/>
      <c r="K181" s="56"/>
      <c r="L181" s="154"/>
      <c r="M181" s="90"/>
    </row>
    <row r="182" spans="1:13" ht="13.2">
      <c r="A182" s="68" t="s">
        <v>319</v>
      </c>
      <c r="B182" s="155" t="str">
        <f>HYPERLINK("http://codeforces.com/contest/144/problem/A","CF144-D2-A")</f>
        <v>CF144-D2-A</v>
      </c>
      <c r="C182" s="48"/>
      <c r="D182" s="62"/>
      <c r="E182" s="62"/>
      <c r="F182" s="62"/>
      <c r="G182" s="62"/>
      <c r="H182" s="57"/>
      <c r="I182" s="57">
        <f t="shared" si="3"/>
        <v>0</v>
      </c>
      <c r="J182" s="154"/>
      <c r="K182" s="56"/>
      <c r="L182" s="154"/>
      <c r="M182" s="90"/>
    </row>
    <row r="183" spans="1:13" ht="13.2">
      <c r="A183" s="68" t="s">
        <v>320</v>
      </c>
      <c r="B183" s="155" t="str">
        <f>HYPERLINK("http://codeforces.com/contest/63/problem/A","CF63-D2-A")</f>
        <v>CF63-D2-A</v>
      </c>
      <c r="C183" s="48"/>
      <c r="D183" s="62"/>
      <c r="E183" s="62"/>
      <c r="F183" s="62"/>
      <c r="G183" s="62"/>
      <c r="H183" s="57"/>
      <c r="I183" s="57">
        <f t="shared" si="3"/>
        <v>0</v>
      </c>
      <c r="J183" s="154"/>
      <c r="K183" s="56"/>
      <c r="L183" s="154"/>
      <c r="M183" s="90"/>
    </row>
    <row r="184" spans="1:13" ht="13.2">
      <c r="A184" s="68" t="s">
        <v>321</v>
      </c>
      <c r="B184" s="155" t="str">
        <f>HYPERLINK("http://codeforces.com/contest/202/problem/A","CF202-D2-A")</f>
        <v>CF202-D2-A</v>
      </c>
      <c r="C184" s="48"/>
      <c r="D184" s="62"/>
      <c r="E184" s="62"/>
      <c r="F184" s="62"/>
      <c r="G184" s="62"/>
      <c r="H184" s="57"/>
      <c r="I184" s="57">
        <f t="shared" si="3"/>
        <v>0</v>
      </c>
      <c r="J184" s="154"/>
      <c r="K184" s="56"/>
      <c r="L184" s="154"/>
      <c r="M184" s="90"/>
    </row>
    <row r="185" spans="1:13" ht="13.2">
      <c r="A185" s="68" t="s">
        <v>322</v>
      </c>
      <c r="B185" s="155" t="str">
        <f>HYPERLINK("http://codeforces.com/contest/334/problem/A","CF334-D2-A")</f>
        <v>CF334-D2-A</v>
      </c>
      <c r="C185" s="48"/>
      <c r="D185" s="62"/>
      <c r="E185" s="62"/>
      <c r="F185" s="62"/>
      <c r="G185" s="62"/>
      <c r="H185" s="57"/>
      <c r="I185" s="57">
        <f t="shared" si="3"/>
        <v>0</v>
      </c>
      <c r="J185" s="154"/>
      <c r="K185" s="56"/>
      <c r="L185" s="154"/>
      <c r="M185" s="90"/>
    </row>
    <row r="186" spans="1:13" ht="13.2">
      <c r="A186" s="68"/>
      <c r="B186" s="133"/>
      <c r="C186" s="48"/>
      <c r="D186" s="62"/>
      <c r="E186" s="62"/>
      <c r="F186" s="62"/>
      <c r="G186" s="62"/>
      <c r="H186" s="57"/>
      <c r="I186" s="57">
        <f t="shared" si="3"/>
        <v>0</v>
      </c>
      <c r="J186" s="154"/>
      <c r="K186" s="56"/>
      <c r="L186" s="154"/>
      <c r="M186" s="90"/>
    </row>
    <row r="187" spans="1:13" ht="13.2">
      <c r="A187" s="86" t="s">
        <v>323</v>
      </c>
      <c r="B187" s="87" t="str">
        <f>HYPERLINK("http://codeforces.com/contest/451/problem/A","CF451-D2-A")</f>
        <v>CF451-D2-A</v>
      </c>
      <c r="C187" s="48"/>
      <c r="D187" s="62"/>
      <c r="E187" s="62"/>
      <c r="F187" s="62"/>
      <c r="G187" s="62"/>
      <c r="H187" s="57"/>
      <c r="I187" s="57">
        <f t="shared" si="3"/>
        <v>0</v>
      </c>
      <c r="J187" s="154"/>
      <c r="K187" s="56"/>
      <c r="L187" s="154"/>
      <c r="M187" s="90"/>
    </row>
    <row r="188" spans="1:13" ht="13.2">
      <c r="A188" s="86" t="s">
        <v>324</v>
      </c>
      <c r="B188" s="87" t="str">
        <f>HYPERLINK("http://codeforces.com/contest/460/problem/A","CF460-D2-A")</f>
        <v>CF460-D2-A</v>
      </c>
      <c r="C188" s="48"/>
      <c r="D188" s="62"/>
      <c r="E188" s="62"/>
      <c r="F188" s="62"/>
      <c r="G188" s="62"/>
      <c r="H188" s="57"/>
      <c r="I188" s="57">
        <f t="shared" si="3"/>
        <v>0</v>
      </c>
      <c r="J188" s="154"/>
      <c r="K188" s="56"/>
      <c r="L188" s="154"/>
      <c r="M188" s="90"/>
    </row>
    <row r="189" spans="1:13" ht="13.2">
      <c r="A189" s="68" t="s">
        <v>325</v>
      </c>
      <c r="B189" s="155" t="str">
        <f>HYPERLINK("http://codeforces.com/contest/272/problem/A","CF272-D2-A")</f>
        <v>CF272-D2-A</v>
      </c>
      <c r="C189" s="48"/>
      <c r="D189" s="62"/>
      <c r="E189" s="62"/>
      <c r="F189" s="62"/>
      <c r="G189" s="62"/>
      <c r="H189" s="57"/>
      <c r="I189" s="57">
        <f t="shared" si="3"/>
        <v>0</v>
      </c>
      <c r="J189" s="154"/>
      <c r="K189" s="56"/>
      <c r="L189" s="154"/>
      <c r="M189" s="90"/>
    </row>
    <row r="190" spans="1:13" ht="13.2">
      <c r="A190" s="68" t="s">
        <v>326</v>
      </c>
      <c r="B190" s="155" t="str">
        <f>HYPERLINK("http://codeforces.com/contest/676/problem/A","CF676-D2-A")</f>
        <v>CF676-D2-A</v>
      </c>
      <c r="C190" s="48"/>
      <c r="D190" s="62"/>
      <c r="E190" s="62"/>
      <c r="F190" s="62"/>
      <c r="G190" s="62"/>
      <c r="H190" s="57"/>
      <c r="I190" s="57">
        <f t="shared" si="3"/>
        <v>0</v>
      </c>
      <c r="J190" s="154"/>
      <c r="K190" s="56"/>
      <c r="L190" s="154"/>
      <c r="M190" s="90"/>
    </row>
    <row r="191" spans="1:13" ht="13.2">
      <c r="A191" s="86" t="s">
        <v>327</v>
      </c>
      <c r="B191" s="87" t="str">
        <f>HYPERLINK("http://codeforces.com/contest/545/problem/A","CF545-D2-A")</f>
        <v>CF545-D2-A</v>
      </c>
      <c r="C191" s="48"/>
      <c r="D191" s="62"/>
      <c r="E191" s="62"/>
      <c r="F191" s="62"/>
      <c r="G191" s="62"/>
      <c r="H191" s="57"/>
      <c r="I191" s="57">
        <f t="shared" si="3"/>
        <v>0</v>
      </c>
      <c r="J191" s="154"/>
      <c r="K191" s="56"/>
      <c r="L191" s="154"/>
      <c r="M191" s="90"/>
    </row>
    <row r="192" spans="1:13" ht="13.2">
      <c r="A192" s="68" t="s">
        <v>328</v>
      </c>
      <c r="B192" s="155" t="str">
        <f>HYPERLINK("http://codeforces.com/contest/447/problem/A","CF447-D2-A")</f>
        <v>CF447-D2-A</v>
      </c>
      <c r="C192" s="48"/>
      <c r="D192" s="62"/>
      <c r="E192" s="62"/>
      <c r="F192" s="62"/>
      <c r="G192" s="62"/>
      <c r="H192" s="57"/>
      <c r="I192" s="57">
        <f t="shared" si="3"/>
        <v>0</v>
      </c>
      <c r="J192" s="154"/>
      <c r="K192" s="56"/>
      <c r="L192" s="154"/>
      <c r="M192" s="90"/>
    </row>
    <row r="193" spans="1:13" ht="13.2">
      <c r="A193" s="86" t="s">
        <v>329</v>
      </c>
      <c r="B193" s="87" t="str">
        <f>HYPERLINK("http://codeforces.com/contest/133/problem/A","CF133-D2-A")</f>
        <v>CF133-D2-A</v>
      </c>
      <c r="C193" s="48"/>
      <c r="D193" s="62"/>
      <c r="E193" s="62"/>
      <c r="F193" s="62"/>
      <c r="G193" s="62"/>
      <c r="H193" s="57"/>
      <c r="I193" s="57">
        <f t="shared" si="3"/>
        <v>0</v>
      </c>
      <c r="J193" s="154"/>
      <c r="K193" s="56"/>
      <c r="L193" s="154"/>
      <c r="M193" s="90"/>
    </row>
    <row r="194" spans="1:13" ht="13.2">
      <c r="A194" s="86" t="s">
        <v>330</v>
      </c>
      <c r="B194" s="87" t="str">
        <f>HYPERLINK("http://codeforces.com/contest/670/problem/A","CF670-D2-A")</f>
        <v>CF670-D2-A</v>
      </c>
      <c r="C194" s="48"/>
      <c r="D194" s="62"/>
      <c r="E194" s="62"/>
      <c r="F194" s="62"/>
      <c r="G194" s="62"/>
      <c r="H194" s="57"/>
      <c r="I194" s="57">
        <f t="shared" si="3"/>
        <v>0</v>
      </c>
      <c r="J194" s="154"/>
      <c r="K194" s="56"/>
      <c r="L194" s="154"/>
      <c r="M194" s="90"/>
    </row>
    <row r="195" spans="1:13" ht="13.2">
      <c r="A195" s="68" t="s">
        <v>331</v>
      </c>
      <c r="B195" s="155" t="str">
        <f>HYPERLINK("http://codeforces.com/contest/244/problem/A","CF244-D2-A")</f>
        <v>CF244-D2-A</v>
      </c>
      <c r="C195" s="48"/>
      <c r="D195" s="62"/>
      <c r="E195" s="62"/>
      <c r="F195" s="62"/>
      <c r="G195" s="62"/>
      <c r="H195" s="57"/>
      <c r="I195" s="57">
        <f t="shared" si="3"/>
        <v>0</v>
      </c>
      <c r="J195" s="154"/>
      <c r="K195" s="56"/>
      <c r="L195" s="154"/>
      <c r="M195" s="90"/>
    </row>
    <row r="196" spans="1:13" ht="13.2">
      <c r="A196" s="86" t="s">
        <v>332</v>
      </c>
      <c r="B196" s="87" t="str">
        <f>HYPERLINK("http://codeforces.com/contest/78/problem/A","CF78-D2-A")</f>
        <v>CF78-D2-A</v>
      </c>
      <c r="C196" s="48"/>
      <c r="D196" s="62"/>
      <c r="E196" s="62"/>
      <c r="F196" s="62"/>
      <c r="G196" s="62"/>
      <c r="H196" s="57"/>
      <c r="I196" s="57">
        <f t="shared" si="3"/>
        <v>0</v>
      </c>
      <c r="J196" s="154"/>
      <c r="K196" s="56"/>
      <c r="L196" s="154"/>
      <c r="M196" s="90"/>
    </row>
    <row r="197" spans="1:13" ht="13.2">
      <c r="A197" s="86"/>
      <c r="B197" s="87"/>
      <c r="C197" s="48"/>
      <c r="D197" s="62"/>
      <c r="E197" s="62"/>
      <c r="F197" s="62"/>
      <c r="G197" s="62"/>
      <c r="H197" s="57"/>
      <c r="I197" s="57">
        <f t="shared" si="3"/>
        <v>0</v>
      </c>
      <c r="J197" s="154"/>
      <c r="K197" s="56"/>
      <c r="L197" s="154"/>
      <c r="M197" s="90"/>
    </row>
    <row r="198" spans="1:13" ht="13.2">
      <c r="A198" s="68" t="s">
        <v>333</v>
      </c>
      <c r="B198" s="155" t="str">
        <f>HYPERLINK("http://codeforces.com/contest/214/problem/A","CF214-D2-A")</f>
        <v>CF214-D2-A</v>
      </c>
      <c r="C198" s="48"/>
      <c r="D198" s="62"/>
      <c r="E198" s="62"/>
      <c r="F198" s="62"/>
      <c r="G198" s="62"/>
      <c r="H198" s="57"/>
      <c r="I198" s="57">
        <f t="shared" si="3"/>
        <v>0</v>
      </c>
      <c r="J198" s="154"/>
      <c r="K198" s="56"/>
      <c r="L198" s="154"/>
      <c r="M198" s="90"/>
    </row>
    <row r="199" spans="1:13" ht="13.2">
      <c r="A199" s="86" t="s">
        <v>334</v>
      </c>
      <c r="B199" s="87" t="str">
        <f>HYPERLINK("http://codeforces.com/contest/25/problem/A","CF25-D2-A")</f>
        <v>CF25-D2-A</v>
      </c>
      <c r="C199" s="48"/>
      <c r="D199" s="62"/>
      <c r="E199" s="62"/>
      <c r="F199" s="62"/>
      <c r="G199" s="62"/>
      <c r="H199" s="57"/>
      <c r="I199" s="57">
        <f t="shared" si="3"/>
        <v>0</v>
      </c>
      <c r="J199" s="154"/>
      <c r="K199" s="56"/>
      <c r="L199" s="154"/>
      <c r="M199" s="90"/>
    </row>
    <row r="200" spans="1:13" ht="13.2">
      <c r="A200" s="68" t="s">
        <v>335</v>
      </c>
      <c r="B200" s="155" t="str">
        <f>HYPERLINK("http://codeforces.com/contest/501/problem/A","CF501-D2-A")</f>
        <v>CF501-D2-A</v>
      </c>
      <c r="C200" s="48"/>
      <c r="D200" s="62"/>
      <c r="E200" s="62"/>
      <c r="F200" s="62"/>
      <c r="G200" s="62"/>
      <c r="H200" s="57"/>
      <c r="I200" s="57">
        <f t="shared" si="3"/>
        <v>0</v>
      </c>
      <c r="J200" s="154"/>
      <c r="K200" s="56"/>
      <c r="L200" s="154"/>
      <c r="M200" s="90"/>
    </row>
    <row r="201" spans="1:13" ht="13.2">
      <c r="A201" s="86" t="s">
        <v>336</v>
      </c>
      <c r="B201" s="87" t="str">
        <f>HYPERLINK("http://codeforces.com/contest/94/problem/A","CF94-D2-A")</f>
        <v>CF94-D2-A</v>
      </c>
      <c r="C201" s="48"/>
      <c r="D201" s="62"/>
      <c r="E201" s="62"/>
      <c r="F201" s="62"/>
      <c r="G201" s="62"/>
      <c r="H201" s="57"/>
      <c r="I201" s="57">
        <f t="shared" si="3"/>
        <v>0</v>
      </c>
      <c r="J201" s="154"/>
      <c r="K201" s="56"/>
      <c r="L201" s="154"/>
      <c r="M201" s="90"/>
    </row>
    <row r="202" spans="1:13" ht="13.2">
      <c r="A202" s="68" t="s">
        <v>337</v>
      </c>
      <c r="B202" s="155" t="str">
        <f>HYPERLINK("http://codeforces.com/contest/369/problem/A","CF369-D2-A")</f>
        <v>CF369-D2-A</v>
      </c>
      <c r="C202" s="48"/>
      <c r="D202" s="62"/>
      <c r="E202" s="62"/>
      <c r="F202" s="62"/>
      <c r="G202" s="62"/>
      <c r="H202" s="57"/>
      <c r="I202" s="57">
        <f t="shared" si="3"/>
        <v>0</v>
      </c>
      <c r="J202" s="154"/>
      <c r="K202" s="56"/>
      <c r="L202" s="154"/>
      <c r="M202" s="90"/>
    </row>
    <row r="203" spans="1:13" ht="13.2">
      <c r="A203" s="86" t="s">
        <v>338</v>
      </c>
      <c r="B203" s="87" t="str">
        <f>HYPERLINK("http://codeforces.com/contest/496/problem/A","CF496-D2-A")</f>
        <v>CF496-D2-A</v>
      </c>
      <c r="C203" s="48"/>
      <c r="D203" s="62"/>
      <c r="E203" s="62"/>
      <c r="F203" s="62"/>
      <c r="G203" s="62"/>
      <c r="H203" s="57"/>
      <c r="I203" s="57">
        <f t="shared" si="3"/>
        <v>0</v>
      </c>
      <c r="J203" s="154"/>
      <c r="K203" s="56"/>
      <c r="L203" s="154"/>
      <c r="M203" s="90"/>
    </row>
    <row r="204" spans="1:13" ht="13.2">
      <c r="A204" s="68" t="s">
        <v>339</v>
      </c>
      <c r="B204" s="155" t="str">
        <f>HYPERLINK("http://codeforces.com/contest/221/problem/A","CF221-D2-A")</f>
        <v>CF221-D2-A</v>
      </c>
      <c r="C204" s="48"/>
      <c r="D204" s="62"/>
      <c r="E204" s="62"/>
      <c r="F204" s="62"/>
      <c r="G204" s="62"/>
      <c r="H204" s="57"/>
      <c r="I204" s="57">
        <f t="shared" si="3"/>
        <v>0</v>
      </c>
      <c r="J204" s="154"/>
      <c r="K204" s="56"/>
      <c r="L204" s="154"/>
      <c r="M204" s="90"/>
    </row>
    <row r="205" spans="1:13" ht="13.2">
      <c r="A205" s="68" t="s">
        <v>340</v>
      </c>
      <c r="B205" s="155" t="str">
        <f>HYPERLINK("http://codeforces.com/contest/373/problem/A","CF373-D2-A")</f>
        <v>CF373-D2-A</v>
      </c>
      <c r="C205" s="48"/>
      <c r="D205" s="62"/>
      <c r="E205" s="62"/>
      <c r="F205" s="62"/>
      <c r="G205" s="62"/>
      <c r="H205" s="57"/>
      <c r="I205" s="57">
        <f t="shared" si="3"/>
        <v>0</v>
      </c>
      <c r="J205" s="154"/>
      <c r="K205" s="56"/>
      <c r="L205" s="154"/>
      <c r="M205" s="90"/>
    </row>
    <row r="206" spans="1:13" ht="13.2">
      <c r="A206" s="68" t="s">
        <v>341</v>
      </c>
      <c r="B206" s="155" t="str">
        <f>HYPERLINK("http://codeforces.com/contest/14/problem/A","CF14-D2-A")</f>
        <v>CF14-D2-A</v>
      </c>
      <c r="C206" s="48"/>
      <c r="D206" s="62"/>
      <c r="E206" s="62"/>
      <c r="F206" s="62"/>
      <c r="G206" s="62"/>
      <c r="H206" s="57"/>
      <c r="I206" s="57">
        <f t="shared" si="3"/>
        <v>0</v>
      </c>
      <c r="J206" s="154"/>
      <c r="K206" s="56"/>
      <c r="L206" s="154"/>
      <c r="M206" s="90"/>
    </row>
    <row r="207" spans="1:13" ht="13.2">
      <c r="A207" s="68" t="s">
        <v>342</v>
      </c>
      <c r="B207" s="155" t="str">
        <f>HYPERLINK("http://codeforces.com/contest/580/problem/A","CF580-D2-A")</f>
        <v>CF580-D2-A</v>
      </c>
      <c r="C207" s="48"/>
      <c r="D207" s="62"/>
      <c r="E207" s="62"/>
      <c r="F207" s="62"/>
      <c r="G207" s="62"/>
      <c r="H207" s="57"/>
      <c r="I207" s="57">
        <f t="shared" si="3"/>
        <v>0</v>
      </c>
      <c r="J207" s="154"/>
      <c r="K207" s="56"/>
      <c r="L207" s="154"/>
      <c r="M207" s="90"/>
    </row>
    <row r="208" spans="1:13" ht="13.2">
      <c r="A208" s="68"/>
      <c r="B208" s="133"/>
      <c r="C208" s="48"/>
      <c r="D208" s="62"/>
      <c r="E208" s="62"/>
      <c r="F208" s="62"/>
      <c r="G208" s="62"/>
      <c r="H208" s="57"/>
      <c r="I208" s="57">
        <f t="shared" si="3"/>
        <v>0</v>
      </c>
      <c r="J208" s="154"/>
      <c r="K208" s="56"/>
      <c r="L208" s="154"/>
      <c r="M208" s="90"/>
    </row>
    <row r="209" spans="1:13" ht="13.2">
      <c r="A209" s="68" t="s">
        <v>343</v>
      </c>
      <c r="B209" s="155" t="str">
        <f>HYPERLINK("http://codeforces.com/contest/313/problem/A","CF313-D2-A")</f>
        <v>CF313-D2-A</v>
      </c>
      <c r="C209" s="48"/>
      <c r="D209" s="62"/>
      <c r="E209" s="62"/>
      <c r="F209" s="62"/>
      <c r="G209" s="62"/>
      <c r="H209" s="57"/>
      <c r="I209" s="57">
        <f t="shared" si="3"/>
        <v>0</v>
      </c>
      <c r="J209" s="154"/>
      <c r="K209" s="56"/>
      <c r="L209" s="154"/>
      <c r="M209" s="90"/>
    </row>
    <row r="210" spans="1:13" ht="13.2">
      <c r="A210" s="68" t="s">
        <v>344</v>
      </c>
      <c r="B210" s="155" t="str">
        <f>HYPERLINK("http://codeforces.com/contest/604/problem/A","CF604-D2-A")</f>
        <v>CF604-D2-A</v>
      </c>
      <c r="C210" s="48"/>
      <c r="D210" s="62"/>
      <c r="E210" s="62"/>
      <c r="F210" s="62"/>
      <c r="G210" s="62"/>
      <c r="H210" s="57"/>
      <c r="I210" s="57">
        <f t="shared" si="3"/>
        <v>0</v>
      </c>
      <c r="J210" s="154"/>
      <c r="K210" s="56"/>
      <c r="L210" s="154"/>
      <c r="M210" s="90"/>
    </row>
    <row r="211" spans="1:13" ht="13.2">
      <c r="A211" s="68" t="s">
        <v>345</v>
      </c>
      <c r="B211" s="155" t="str">
        <f>HYPERLINK("http://codeforces.com/contest/34/problem/A","CF34-D2-A")</f>
        <v>CF34-D2-A</v>
      </c>
      <c r="C211" s="48"/>
      <c r="D211" s="62"/>
      <c r="E211" s="62"/>
      <c r="F211" s="62"/>
      <c r="G211" s="62"/>
      <c r="H211" s="57"/>
      <c r="I211" s="57">
        <f t="shared" si="3"/>
        <v>0</v>
      </c>
      <c r="J211" s="154"/>
      <c r="K211" s="56"/>
      <c r="L211" s="154"/>
      <c r="M211" s="90"/>
    </row>
    <row r="212" spans="1:13" ht="13.2">
      <c r="A212" s="68" t="s">
        <v>346</v>
      </c>
      <c r="B212" s="155" t="str">
        <f>HYPERLINK("http://codeforces.com/contest/146/problem/A","CF146-D2-A")</f>
        <v>CF146-D2-A</v>
      </c>
      <c r="C212" s="48"/>
      <c r="D212" s="62"/>
      <c r="E212" s="62"/>
      <c r="F212" s="62"/>
      <c r="G212" s="62"/>
      <c r="H212" s="57"/>
      <c r="I212" s="57">
        <f t="shared" si="3"/>
        <v>0</v>
      </c>
      <c r="J212" s="154"/>
      <c r="K212" s="56"/>
      <c r="L212" s="154"/>
      <c r="M212" s="90"/>
    </row>
    <row r="213" spans="1:13" ht="13.2">
      <c r="A213" s="68" t="s">
        <v>347</v>
      </c>
      <c r="B213" s="155" t="str">
        <f>HYPERLINK("http://codeforces.com/contest/58/problem/A","CF58-D2-A")</f>
        <v>CF58-D2-A</v>
      </c>
      <c r="C213" s="48"/>
      <c r="D213" s="62"/>
      <c r="E213" s="62"/>
      <c r="F213" s="62"/>
      <c r="G213" s="62"/>
      <c r="H213" s="57"/>
      <c r="I213" s="57">
        <f t="shared" si="3"/>
        <v>0</v>
      </c>
      <c r="J213" s="154"/>
      <c r="K213" s="56"/>
      <c r="L213" s="154"/>
      <c r="M213" s="90"/>
    </row>
    <row r="214" spans="1:13" ht="13.2">
      <c r="A214" s="68" t="s">
        <v>348</v>
      </c>
      <c r="B214" s="155" t="str">
        <f>HYPERLINK("http://codeforces.com/contest/387/problem/A","CF387-D2-A")</f>
        <v>CF387-D2-A</v>
      </c>
      <c r="C214" s="48"/>
      <c r="D214" s="62"/>
      <c r="E214" s="62"/>
      <c r="F214" s="62"/>
      <c r="G214" s="62"/>
      <c r="H214" s="57"/>
      <c r="I214" s="57">
        <f t="shared" si="3"/>
        <v>0</v>
      </c>
      <c r="J214" s="154"/>
      <c r="K214" s="56"/>
      <c r="L214" s="154"/>
      <c r="M214" s="90"/>
    </row>
    <row r="215" spans="1:13" ht="13.2">
      <c r="A215" s="68" t="s">
        <v>349</v>
      </c>
      <c r="B215" s="155" t="str">
        <f>HYPERLINK("http://codeforces.com/contest/735/problem/A","CF735-D2-A")</f>
        <v>CF735-D2-A</v>
      </c>
      <c r="C215" s="48"/>
      <c r="D215" s="62"/>
      <c r="E215" s="62"/>
      <c r="F215" s="62"/>
      <c r="G215" s="62"/>
      <c r="H215" s="57"/>
      <c r="I215" s="57">
        <f t="shared" si="3"/>
        <v>0</v>
      </c>
      <c r="J215" s="154"/>
      <c r="K215" s="56"/>
      <c r="L215" s="154"/>
      <c r="M215" s="90"/>
    </row>
    <row r="216" spans="1:13" ht="13.2">
      <c r="A216" s="86" t="s">
        <v>350</v>
      </c>
      <c r="B216" s="87" t="str">
        <f>HYPERLINK("http://codeforces.com/contest/124/problem/A","CF124-D2-A")</f>
        <v>CF124-D2-A</v>
      </c>
      <c r="C216" s="48"/>
      <c r="D216" s="62"/>
      <c r="E216" s="62"/>
      <c r="F216" s="62"/>
      <c r="G216" s="62"/>
      <c r="H216" s="57"/>
      <c r="I216" s="57">
        <f t="shared" si="3"/>
        <v>0</v>
      </c>
      <c r="J216" s="154"/>
      <c r="K216" s="56"/>
      <c r="L216" s="154"/>
      <c r="M216" s="90"/>
    </row>
    <row r="217" spans="1:13" ht="13.2">
      <c r="A217" s="68" t="s">
        <v>351</v>
      </c>
      <c r="B217" s="155" t="str">
        <f>HYPERLINK("http://codeforces.com/contest/359/problem/A","CF359-D2-A")</f>
        <v>CF359-D2-A</v>
      </c>
      <c r="C217" s="48"/>
      <c r="D217" s="62"/>
      <c r="E217" s="62"/>
      <c r="F217" s="62"/>
      <c r="G217" s="62"/>
      <c r="H217" s="57"/>
      <c r="I217" s="57">
        <f t="shared" si="3"/>
        <v>0</v>
      </c>
      <c r="J217" s="154"/>
      <c r="K217" s="56"/>
      <c r="L217" s="154"/>
      <c r="M217" s="90"/>
    </row>
    <row r="218" spans="1:13" ht="13.2">
      <c r="A218" s="68" t="s">
        <v>352</v>
      </c>
      <c r="B218" s="155" t="str">
        <f>HYPERLINK("http://codeforces.com/contest/535/problem/A","CF535-D2-A")</f>
        <v>CF535-D2-A</v>
      </c>
      <c r="C218" s="48"/>
      <c r="D218" s="62"/>
      <c r="E218" s="62"/>
      <c r="F218" s="62"/>
      <c r="G218" s="62"/>
      <c r="H218" s="57"/>
      <c r="I218" s="57">
        <f t="shared" si="3"/>
        <v>0</v>
      </c>
      <c r="J218" s="154"/>
      <c r="K218" s="56"/>
      <c r="L218" s="154"/>
      <c r="M218" s="90"/>
    </row>
    <row r="219" spans="1:13" ht="13.2">
      <c r="A219" s="68"/>
      <c r="B219" s="133"/>
      <c r="C219" s="48"/>
      <c r="D219" s="62"/>
      <c r="E219" s="62"/>
      <c r="F219" s="62"/>
      <c r="G219" s="62"/>
      <c r="H219" s="57"/>
      <c r="I219" s="57">
        <f t="shared" si="3"/>
        <v>0</v>
      </c>
      <c r="J219" s="154"/>
      <c r="K219" s="56"/>
      <c r="L219" s="154"/>
      <c r="M219" s="90"/>
    </row>
    <row r="220" spans="1:13" ht="13.2">
      <c r="A220" s="68" t="s">
        <v>353</v>
      </c>
      <c r="B220" s="155" t="str">
        <f>HYPERLINK("http://codeforces.com/contest/4/problem/A","CF4-D2-A")</f>
        <v>CF4-D2-A</v>
      </c>
      <c r="C220" s="48"/>
      <c r="D220" s="62"/>
      <c r="E220" s="62"/>
      <c r="F220" s="62"/>
      <c r="G220" s="62"/>
      <c r="H220" s="57"/>
      <c r="I220" s="57">
        <f t="shared" si="3"/>
        <v>0</v>
      </c>
      <c r="J220" s="154"/>
      <c r="K220" s="56"/>
      <c r="L220" s="154"/>
      <c r="M220" s="90"/>
    </row>
    <row r="221" spans="1:13" ht="13.2">
      <c r="A221" s="68" t="s">
        <v>354</v>
      </c>
      <c r="B221" s="155" t="str">
        <f>HYPERLINK("http://codeforces.com/contest/195/problem/A","CF195-D2-A")</f>
        <v>CF195-D2-A</v>
      </c>
      <c r="C221" s="48"/>
      <c r="D221" s="62"/>
      <c r="E221" s="62"/>
      <c r="F221" s="62"/>
      <c r="G221" s="62"/>
      <c r="H221" s="57"/>
      <c r="I221" s="57">
        <f t="shared" si="3"/>
        <v>0</v>
      </c>
      <c r="J221" s="154"/>
      <c r="K221" s="56"/>
      <c r="L221" s="154"/>
      <c r="M221" s="90"/>
    </row>
    <row r="222" spans="1:13" ht="13.2">
      <c r="A222" s="68" t="s">
        <v>355</v>
      </c>
      <c r="B222" s="155" t="str">
        <f>HYPERLINK("http://codeforces.com/contest/478/problem/A","CF478-D2-A")</f>
        <v>CF478-D2-A</v>
      </c>
      <c r="C222" s="48"/>
      <c r="D222" s="62"/>
      <c r="E222" s="62"/>
      <c r="F222" s="62"/>
      <c r="G222" s="62"/>
      <c r="H222" s="57"/>
      <c r="I222" s="57">
        <f t="shared" si="3"/>
        <v>0</v>
      </c>
      <c r="J222" s="154"/>
      <c r="K222" s="56"/>
      <c r="L222" s="154"/>
      <c r="M222" s="90"/>
    </row>
    <row r="223" spans="1:13" ht="13.2">
      <c r="A223" s="68" t="s">
        <v>356</v>
      </c>
      <c r="B223" s="155" t="str">
        <f>HYPERLINK("http://codeforces.com/contest/608/problem/A","CF608-D2-A")</f>
        <v>CF608-D2-A</v>
      </c>
      <c r="C223" s="48"/>
      <c r="D223" s="62"/>
      <c r="E223" s="62"/>
      <c r="F223" s="62"/>
      <c r="G223" s="62"/>
      <c r="H223" s="57"/>
      <c r="I223" s="57">
        <f t="shared" si="3"/>
        <v>0</v>
      </c>
      <c r="J223" s="154"/>
      <c r="K223" s="56"/>
      <c r="L223" s="154"/>
      <c r="M223" s="90"/>
    </row>
    <row r="224" spans="1:13" ht="13.2">
      <c r="A224" s="68" t="s">
        <v>357</v>
      </c>
      <c r="B224" s="155" t="str">
        <f>HYPERLINK("http://codeforces.com/contest/435/problem/A","CF435-D2-A")</f>
        <v>CF435-D2-A</v>
      </c>
      <c r="C224" s="48"/>
      <c r="D224" s="62"/>
      <c r="E224" s="62"/>
      <c r="F224" s="62"/>
      <c r="G224" s="62"/>
      <c r="H224" s="57"/>
      <c r="I224" s="57">
        <f t="shared" si="3"/>
        <v>0</v>
      </c>
      <c r="J224" s="154"/>
      <c r="K224" s="56"/>
      <c r="L224" s="154"/>
      <c r="M224" s="90"/>
    </row>
    <row r="225" spans="1:13" ht="13.2">
      <c r="A225" s="68" t="s">
        <v>358</v>
      </c>
      <c r="B225" s="155" t="str">
        <f>HYPERLINK("http://codeforces.com/contest/215/problem/A","CF215-D2-A")</f>
        <v>CF215-D2-A</v>
      </c>
      <c r="C225" s="48"/>
      <c r="D225" s="62"/>
      <c r="E225" s="62"/>
      <c r="F225" s="62"/>
      <c r="G225" s="62"/>
      <c r="H225" s="57"/>
      <c r="I225" s="57">
        <f t="shared" si="3"/>
        <v>0</v>
      </c>
      <c r="J225" s="154"/>
      <c r="K225" s="56"/>
      <c r="L225" s="154"/>
      <c r="M225" s="90"/>
    </row>
    <row r="226" spans="1:13" ht="13.2">
      <c r="A226" s="68" t="s">
        <v>359</v>
      </c>
      <c r="B226" s="155" t="str">
        <f>HYPERLINK("http://codeforces.com/contest/205/problem/A","CF205-D2-A")</f>
        <v>CF205-D2-A</v>
      </c>
      <c r="C226" s="48"/>
      <c r="D226" s="62"/>
      <c r="E226" s="62"/>
      <c r="F226" s="62"/>
      <c r="G226" s="62"/>
      <c r="H226" s="57"/>
      <c r="I226" s="57">
        <f t="shared" si="3"/>
        <v>0</v>
      </c>
      <c r="J226" s="154"/>
      <c r="K226" s="56"/>
      <c r="L226" s="154"/>
      <c r="M226" s="90"/>
    </row>
    <row r="227" spans="1:13" ht="13.2">
      <c r="A227" s="68" t="s">
        <v>360</v>
      </c>
      <c r="B227" s="155" t="str">
        <f>HYPERLINK("http://codeforces.com/contest/507/problem/A","CF507-D2-A")</f>
        <v>CF507-D2-A</v>
      </c>
      <c r="C227" s="48"/>
      <c r="D227" s="62"/>
      <c r="E227" s="62"/>
      <c r="F227" s="62"/>
      <c r="G227" s="62"/>
      <c r="H227" s="57"/>
      <c r="I227" s="57">
        <f t="shared" si="3"/>
        <v>0</v>
      </c>
      <c r="J227" s="154"/>
      <c r="K227" s="56"/>
      <c r="L227" s="154"/>
      <c r="M227" s="90"/>
    </row>
    <row r="228" spans="1:13" ht="13.2">
      <c r="A228" s="68" t="s">
        <v>361</v>
      </c>
      <c r="B228" s="155" t="str">
        <f>HYPERLINK("http://codeforces.com/contest/152/problem/A","CF152-D2-A")</f>
        <v>CF152-D2-A</v>
      </c>
      <c r="C228" s="48"/>
      <c r="D228" s="62"/>
      <c r="E228" s="62"/>
      <c r="F228" s="62"/>
      <c r="G228" s="62"/>
      <c r="H228" s="57"/>
      <c r="I228" s="57">
        <f t="shared" si="3"/>
        <v>0</v>
      </c>
      <c r="J228" s="154"/>
      <c r="K228" s="56"/>
      <c r="L228" s="154"/>
      <c r="M228" s="90"/>
    </row>
    <row r="229" spans="1:13" ht="13.2">
      <c r="A229" s="68" t="s">
        <v>362</v>
      </c>
      <c r="B229" s="155" t="str">
        <f>HYPERLINK("http://codeforces.com/contest/137/problem/A","CF137-D2-A")</f>
        <v>CF137-D2-A</v>
      </c>
      <c r="C229" s="48"/>
      <c r="D229" s="62"/>
      <c r="E229" s="62"/>
      <c r="F229" s="62"/>
      <c r="G229" s="62"/>
      <c r="H229" s="57"/>
      <c r="I229" s="57">
        <f t="shared" si="3"/>
        <v>0</v>
      </c>
      <c r="J229" s="154"/>
      <c r="K229" s="56"/>
      <c r="L229" s="154"/>
      <c r="M229" s="90"/>
    </row>
    <row r="230" spans="1:13" ht="13.2">
      <c r="A230" s="68"/>
      <c r="B230" s="133"/>
      <c r="C230" s="48"/>
      <c r="D230" s="62"/>
      <c r="E230" s="62"/>
      <c r="F230" s="62"/>
      <c r="G230" s="62"/>
      <c r="H230" s="57"/>
      <c r="I230" s="57">
        <f t="shared" si="3"/>
        <v>0</v>
      </c>
      <c r="J230" s="154"/>
      <c r="K230" s="56"/>
      <c r="L230" s="154"/>
      <c r="M230" s="90"/>
    </row>
    <row r="231" spans="1:13" ht="13.2">
      <c r="A231" s="68" t="s">
        <v>363</v>
      </c>
      <c r="B231" s="155" t="str">
        <f>HYPERLINK("http://codeforces.com/contest/149/problem/A","CF149-D2-A")</f>
        <v>CF149-D2-A</v>
      </c>
      <c r="C231" s="48"/>
      <c r="D231" s="62"/>
      <c r="E231" s="62"/>
      <c r="F231" s="62"/>
      <c r="G231" s="62"/>
      <c r="H231" s="57"/>
      <c r="I231" s="57">
        <f t="shared" si="3"/>
        <v>0</v>
      </c>
      <c r="J231" s="154"/>
      <c r="K231" s="56"/>
      <c r="L231" s="154"/>
      <c r="M231" s="90"/>
    </row>
    <row r="232" spans="1:13" ht="13.2">
      <c r="A232" s="86" t="s">
        <v>364</v>
      </c>
      <c r="B232" s="87" t="str">
        <f>HYPERLINK("http://codeforces.com/contest/515/problem/A","CF515-D2-A")</f>
        <v>CF515-D2-A</v>
      </c>
      <c r="C232" s="48"/>
      <c r="D232" s="62"/>
      <c r="E232" s="62"/>
      <c r="F232" s="62"/>
      <c r="G232" s="62"/>
      <c r="H232" s="57"/>
      <c r="I232" s="57">
        <f t="shared" si="3"/>
        <v>0</v>
      </c>
      <c r="J232" s="154"/>
      <c r="K232" s="56"/>
      <c r="L232" s="154"/>
      <c r="M232" s="90"/>
    </row>
    <row r="233" spans="1:13" ht="13.2">
      <c r="A233" s="86" t="s">
        <v>365</v>
      </c>
      <c r="B233" s="87" t="str">
        <f>HYPERLINK("http://codeforces.com/contest/577/problem/A","CF577-D2-A")</f>
        <v>CF577-D2-A</v>
      </c>
      <c r="C233" s="48"/>
      <c r="D233" s="62"/>
      <c r="E233" s="62"/>
      <c r="F233" s="62"/>
      <c r="G233" s="62"/>
      <c r="H233" s="57"/>
      <c r="I233" s="57">
        <f t="shared" si="3"/>
        <v>0</v>
      </c>
      <c r="J233" s="154"/>
      <c r="K233" s="56"/>
      <c r="L233" s="154"/>
      <c r="M233" s="90"/>
    </row>
    <row r="234" spans="1:13" ht="13.2">
      <c r="A234" s="68" t="s">
        <v>366</v>
      </c>
      <c r="B234" s="155" t="str">
        <f>HYPERLINK("http://codeforces.com/contest/534/problem/A","CF534-D2-A")</f>
        <v>CF534-D2-A</v>
      </c>
      <c r="C234" s="48"/>
      <c r="D234" s="62"/>
      <c r="E234" s="62"/>
      <c r="F234" s="62"/>
      <c r="G234" s="62"/>
      <c r="H234" s="57"/>
      <c r="I234" s="57">
        <f t="shared" si="3"/>
        <v>0</v>
      </c>
      <c r="J234" s="154"/>
      <c r="K234" s="56"/>
      <c r="L234" s="154"/>
      <c r="M234" s="90"/>
    </row>
    <row r="235" spans="1:13" ht="13.2">
      <c r="A235" s="68" t="s">
        <v>367</v>
      </c>
      <c r="B235" s="155" t="str">
        <f>HYPERLINK("http://codeforces.com/contest/586/problem/A","CF586-D2-A")</f>
        <v>CF586-D2-A</v>
      </c>
      <c r="C235" s="48"/>
      <c r="D235" s="62"/>
      <c r="E235" s="62"/>
      <c r="F235" s="62"/>
      <c r="G235" s="62"/>
      <c r="H235" s="57"/>
      <c r="I235" s="57">
        <f t="shared" si="3"/>
        <v>0</v>
      </c>
      <c r="J235" s="154"/>
      <c r="K235" s="56"/>
      <c r="L235" s="154"/>
      <c r="M235" s="90"/>
    </row>
    <row r="236" spans="1:13" ht="13.2">
      <c r="A236" s="68" t="s">
        <v>368</v>
      </c>
      <c r="B236" s="155" t="str">
        <f>HYPERLINK("http://codeforces.com/contest/631/problem/A","CF631-D2-A")</f>
        <v>CF631-D2-A</v>
      </c>
      <c r="C236" s="48"/>
      <c r="D236" s="62"/>
      <c r="E236" s="62"/>
      <c r="F236" s="62"/>
      <c r="G236" s="62"/>
      <c r="H236" s="57"/>
      <c r="I236" s="57">
        <f t="shared" si="3"/>
        <v>0</v>
      </c>
      <c r="J236" s="154"/>
      <c r="K236" s="56"/>
      <c r="L236" s="154"/>
      <c r="M236" s="90"/>
    </row>
    <row r="237" spans="1:13" ht="13.2">
      <c r="A237" s="68" t="s">
        <v>369</v>
      </c>
      <c r="B237" s="155" t="str">
        <f>HYPERLINK("http://codeforces.com/contest/122/problem/A","CF122-D2-A")</f>
        <v>CF122-D2-A</v>
      </c>
      <c r="C237" s="48"/>
      <c r="D237" s="62"/>
      <c r="E237" s="62"/>
      <c r="F237" s="62"/>
      <c r="G237" s="62"/>
      <c r="H237" s="57"/>
      <c r="I237" s="57">
        <f t="shared" si="3"/>
        <v>0</v>
      </c>
      <c r="J237" s="154"/>
      <c r="K237" s="56"/>
      <c r="L237" s="154"/>
      <c r="M237" s="90"/>
    </row>
    <row r="238" spans="1:13" ht="13.2">
      <c r="A238" s="68" t="s">
        <v>370</v>
      </c>
      <c r="B238" s="155" t="str">
        <f>HYPERLINK("http://codeforces.com/contest/462/problem/A","CF462-D2-A")</f>
        <v>CF462-D2-A</v>
      </c>
      <c r="C238" s="48"/>
      <c r="D238" s="62"/>
      <c r="E238" s="62"/>
      <c r="F238" s="62"/>
      <c r="G238" s="62"/>
      <c r="H238" s="57"/>
      <c r="I238" s="57">
        <f t="shared" si="3"/>
        <v>0</v>
      </c>
      <c r="J238" s="154"/>
      <c r="K238" s="56"/>
      <c r="L238" s="154"/>
      <c r="M238" s="90"/>
    </row>
    <row r="239" spans="1:13" ht="13.2">
      <c r="A239" s="68" t="s">
        <v>371</v>
      </c>
      <c r="B239" s="155" t="str">
        <f>HYPERLINK("http://codeforces.com/contest/355/problem/A","CF355-D2-A")</f>
        <v>CF355-D2-A</v>
      </c>
      <c r="C239" s="48"/>
      <c r="D239" s="62"/>
      <c r="E239" s="62"/>
      <c r="F239" s="62"/>
      <c r="G239" s="62"/>
      <c r="H239" s="57"/>
      <c r="I239" s="57">
        <f t="shared" si="3"/>
        <v>0</v>
      </c>
      <c r="J239" s="154"/>
      <c r="K239" s="56"/>
      <c r="L239" s="154"/>
      <c r="M239" s="90"/>
    </row>
    <row r="240" spans="1:13" ht="13.2">
      <c r="A240" s="68" t="s">
        <v>372</v>
      </c>
      <c r="B240" s="155" t="str">
        <f>HYPERLINK("http://codeforces.com/contest/224/problem/A","CF224-D2-A")</f>
        <v>CF224-D2-A</v>
      </c>
      <c r="C240" s="48"/>
      <c r="D240" s="62"/>
      <c r="E240" s="62"/>
      <c r="F240" s="62"/>
      <c r="G240" s="62"/>
      <c r="H240" s="57"/>
      <c r="I240" s="57">
        <f t="shared" si="3"/>
        <v>0</v>
      </c>
      <c r="J240" s="154"/>
      <c r="K240" s="56"/>
      <c r="L240" s="154"/>
      <c r="M240" s="90"/>
    </row>
    <row r="241" spans="1:13" ht="13.2">
      <c r="A241" s="68"/>
      <c r="B241" s="133"/>
      <c r="C241" s="48"/>
      <c r="D241" s="62"/>
      <c r="E241" s="62"/>
      <c r="F241" s="62"/>
      <c r="G241" s="62"/>
      <c r="H241" s="57"/>
      <c r="I241" s="57">
        <f t="shared" si="3"/>
        <v>0</v>
      </c>
      <c r="J241" s="154"/>
      <c r="K241" s="56"/>
      <c r="L241" s="154"/>
      <c r="M241" s="90"/>
    </row>
    <row r="242" spans="1:13" ht="13.2">
      <c r="A242" s="68" t="s">
        <v>373</v>
      </c>
      <c r="B242" s="155" t="str">
        <f>HYPERLINK("http://codeforces.com/contest/357/problem/A","CF357-D2-A")</f>
        <v>CF357-D2-A</v>
      </c>
      <c r="C242" s="48"/>
      <c r="D242" s="62"/>
      <c r="E242" s="62"/>
      <c r="F242" s="62"/>
      <c r="G242" s="62"/>
      <c r="H242" s="57"/>
      <c r="I242" s="57">
        <f t="shared" si="3"/>
        <v>0</v>
      </c>
      <c r="J242" s="154"/>
      <c r="K242" s="56"/>
      <c r="L242" s="154"/>
      <c r="M242" s="90"/>
    </row>
    <row r="243" spans="1:13" ht="13.2">
      <c r="A243" s="68" t="s">
        <v>374</v>
      </c>
      <c r="B243" s="155" t="str">
        <f>HYPERLINK("http://codeforces.com/contest/651/problem/A","CF651-D2-A")</f>
        <v>CF651-D2-A</v>
      </c>
      <c r="C243" s="48"/>
      <c r="D243" s="62"/>
      <c r="E243" s="62"/>
      <c r="F243" s="62"/>
      <c r="G243" s="62"/>
      <c r="H243" s="57"/>
      <c r="I243" s="57">
        <f t="shared" si="3"/>
        <v>0</v>
      </c>
      <c r="J243" s="154"/>
      <c r="K243" s="56"/>
      <c r="L243" s="154"/>
      <c r="M243" s="90"/>
    </row>
    <row r="244" spans="1:13" ht="13.2">
      <c r="A244" s="68" t="s">
        <v>375</v>
      </c>
      <c r="B244" s="155" t="str">
        <f>HYPERLINK("http://codeforces.com/contest/300/problem/A","CF300-D2-A")</f>
        <v>CF300-D2-A</v>
      </c>
      <c r="C244" s="48"/>
      <c r="D244" s="62"/>
      <c r="E244" s="62"/>
      <c r="F244" s="62"/>
      <c r="G244" s="62"/>
      <c r="H244" s="57"/>
      <c r="I244" s="57">
        <f t="shared" si="3"/>
        <v>0</v>
      </c>
      <c r="J244" s="154"/>
      <c r="K244" s="56"/>
      <c r="L244" s="154"/>
      <c r="M244" s="90"/>
    </row>
    <row r="245" spans="1:13" ht="13.2">
      <c r="A245" s="86" t="s">
        <v>376</v>
      </c>
      <c r="B245" s="87" t="str">
        <f>HYPERLINK("http://codeforces.com/contest/659/problem/A","CF659-D2-A")</f>
        <v>CF659-D2-A</v>
      </c>
      <c r="C245" s="48"/>
      <c r="D245" s="62"/>
      <c r="E245" s="62"/>
      <c r="F245" s="62"/>
      <c r="G245" s="62"/>
      <c r="H245" s="57"/>
      <c r="I245" s="57">
        <f t="shared" si="3"/>
        <v>0</v>
      </c>
      <c r="J245" s="154"/>
      <c r="K245" s="56"/>
      <c r="L245" s="154"/>
      <c r="M245" s="90"/>
    </row>
    <row r="246" spans="1:13" ht="13.2">
      <c r="A246" s="68" t="s">
        <v>377</v>
      </c>
      <c r="B246" s="155" t="str">
        <f>HYPERLINK("http://codeforces.com/contest/558/problem/A","CF558-D2-A")</f>
        <v>CF558-D2-A</v>
      </c>
      <c r="C246" s="48"/>
      <c r="D246" s="62"/>
      <c r="E246" s="62"/>
      <c r="F246" s="62"/>
      <c r="G246" s="62"/>
      <c r="H246" s="57"/>
      <c r="I246" s="57">
        <f t="shared" si="3"/>
        <v>0</v>
      </c>
      <c r="J246" s="154"/>
      <c r="K246" s="56"/>
      <c r="L246" s="154"/>
      <c r="M246" s="90"/>
    </row>
    <row r="247" spans="1:13" ht="13.2">
      <c r="A247" s="68" t="s">
        <v>378</v>
      </c>
      <c r="B247" s="155" t="str">
        <f>HYPERLINK("http://codeforces.com/contest/53/problem/A","CF53-D2-A")</f>
        <v>CF53-D2-A</v>
      </c>
      <c r="C247" s="48"/>
      <c r="D247" s="62"/>
      <c r="E247" s="62"/>
      <c r="F247" s="62"/>
      <c r="G247" s="62"/>
      <c r="H247" s="57"/>
      <c r="I247" s="57">
        <f t="shared" si="3"/>
        <v>0</v>
      </c>
      <c r="J247" s="154"/>
      <c r="K247" s="56"/>
      <c r="L247" s="154"/>
      <c r="M247" s="90"/>
    </row>
    <row r="248" spans="1:13" ht="13.2">
      <c r="A248" s="68" t="s">
        <v>379</v>
      </c>
      <c r="B248" s="155" t="str">
        <f>HYPERLINK("http://codeforces.com/contest/495/problem/A","CF495-D2-A")</f>
        <v>CF495-D2-A</v>
      </c>
      <c r="C248" s="48"/>
      <c r="D248" s="62"/>
      <c r="E248" s="62"/>
      <c r="F248" s="62"/>
      <c r="G248" s="62"/>
      <c r="H248" s="57"/>
      <c r="I248" s="57">
        <f t="shared" si="3"/>
        <v>0</v>
      </c>
      <c r="J248" s="154"/>
      <c r="K248" s="56"/>
      <c r="L248" s="154"/>
      <c r="M248" s="90"/>
    </row>
    <row r="249" spans="1:13" ht="13.2">
      <c r="A249" s="68" t="s">
        <v>380</v>
      </c>
      <c r="B249" s="155" t="str">
        <f>HYPERLINK("http://codeforces.com/contest/525/problem/A","CF525-D2-A")</f>
        <v>CF525-D2-A</v>
      </c>
      <c r="C249" s="48"/>
      <c r="D249" s="62"/>
      <c r="E249" s="62"/>
      <c r="F249" s="62"/>
      <c r="G249" s="62"/>
      <c r="H249" s="57"/>
      <c r="I249" s="57">
        <f t="shared" si="3"/>
        <v>0</v>
      </c>
      <c r="J249" s="154"/>
      <c r="K249" s="56"/>
      <c r="L249" s="154"/>
      <c r="M249" s="90"/>
    </row>
    <row r="250" spans="1:13" ht="13.2">
      <c r="A250" s="68" t="s">
        <v>381</v>
      </c>
      <c r="B250" s="155" t="str">
        <f>HYPERLINK("http://codeforces.com/contest/75/problem/A","CF75-D2-A")</f>
        <v>CF75-D2-A</v>
      </c>
      <c r="C250" s="48"/>
      <c r="D250" s="62"/>
      <c r="E250" s="62"/>
      <c r="F250" s="62"/>
      <c r="G250" s="62"/>
      <c r="H250" s="57"/>
      <c r="I250" s="57">
        <f t="shared" si="3"/>
        <v>0</v>
      </c>
      <c r="J250" s="154"/>
      <c r="K250" s="56"/>
      <c r="L250" s="154"/>
      <c r="M250" s="90"/>
    </row>
  </sheetData>
  <mergeCells count="2">
    <mergeCell ref="D122:G122"/>
    <mergeCell ref="J122:M122"/>
  </mergeCells>
  <conditionalFormatting sqref="C3:C286">
    <cfRule type="cellIs" dxfId="91" priority="1" operator="equal">
      <formula>"AC"</formula>
    </cfRule>
  </conditionalFormatting>
  <conditionalFormatting sqref="C3:C286">
    <cfRule type="containsText" dxfId="90" priority="2" operator="containsText" text="WA">
      <formula>NOT(ISERROR(SEARCH(("WA"),(C3))))</formula>
    </cfRule>
  </conditionalFormatting>
  <conditionalFormatting sqref="C3:C286">
    <cfRule type="containsText" dxfId="89" priority="3" operator="containsText" text="WA">
      <formula>NOT(ISERROR(SEARCH(("WA"),(C3))))</formula>
    </cfRule>
  </conditionalFormatting>
  <conditionalFormatting sqref="C3:C286">
    <cfRule type="containsText" dxfId="88" priority="4" operator="containsText" text="TLE">
      <formula>NOT(ISERROR(SEARCH(("TLE"),(C3))))</formula>
    </cfRule>
  </conditionalFormatting>
  <conditionalFormatting sqref="C3:C286">
    <cfRule type="containsText" dxfId="87" priority="5" operator="containsText" text="TLE">
      <formula>NOT(ISERROR(SEARCH(("TLE"),(C3))))</formula>
    </cfRule>
  </conditionalFormatting>
  <conditionalFormatting sqref="C3:C286">
    <cfRule type="containsText" dxfId="86" priority="6" operator="containsText" text="RTE">
      <formula>NOT(ISERROR(SEARCH(("RTE"),(C3))))</formula>
    </cfRule>
  </conditionalFormatting>
  <conditionalFormatting sqref="C3:C286">
    <cfRule type="containsText" dxfId="85" priority="7" operator="containsText" text="RTE">
      <formula>NOT(ISERROR(SEARCH(("RTE"),(C3))))</formula>
    </cfRule>
  </conditionalFormatting>
  <conditionalFormatting sqref="C3:C286">
    <cfRule type="containsText" dxfId="84" priority="8" operator="containsText" text="CS">
      <formula>NOT(ISERROR(SEARCH(("CS"),(C3))))</formula>
    </cfRule>
  </conditionalFormatting>
  <conditionalFormatting sqref="C3:C286">
    <cfRule type="containsText" dxfId="83" priority="9" operator="containsText" text="CS">
      <formula>NOT(ISERROR(SEARCH(("CS"),(C3))))</formula>
    </cfRule>
  </conditionalFormatting>
  <conditionalFormatting sqref="K3:K120 K124:K250">
    <cfRule type="cellIs" dxfId="82" priority="10" operator="equal">
      <formula>"No"</formula>
    </cfRule>
  </conditionalFormatting>
  <conditionalFormatting sqref="K3:K120 K124:K250">
    <cfRule type="cellIs" dxfId="81" priority="11" operator="equal">
      <formula>"no"</formula>
    </cfRule>
  </conditionalFormatting>
  <conditionalFormatting sqref="K3:K120 K124:K250">
    <cfRule type="cellIs" dxfId="80" priority="12" operator="equal">
      <formula>"NO"</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1" tint="0.34998626667073579"/>
    <outlinePr summaryBelow="0" summaryRight="0"/>
  </sheetPr>
  <dimension ref="A1:M218"/>
  <sheetViews>
    <sheetView workbookViewId="0">
      <pane ySplit="2" topLeftCell="A3" activePane="bottomLeft" state="frozen"/>
      <selection pane="bottomLeft" activeCell="M5" sqref="M5"/>
    </sheetView>
  </sheetViews>
  <sheetFormatPr defaultColWidth="17.33203125" defaultRowHeight="15.75" customHeight="1"/>
  <cols>
    <col min="1" max="1" width="16" customWidth="1"/>
    <col min="2" max="2" width="17.109375" customWidth="1"/>
    <col min="3" max="3" width="45.109375" customWidth="1"/>
    <col min="4" max="4" width="7.33203125" customWidth="1"/>
    <col min="5" max="5" width="8.44140625" customWidth="1"/>
    <col min="6" max="6" width="8.6640625" customWidth="1"/>
    <col min="7" max="7" width="10" customWidth="1"/>
    <col min="8" max="9" width="8.5546875" customWidth="1"/>
    <col min="10" max="12" width="10" customWidth="1"/>
    <col min="13" max="13" width="79.5546875" customWidth="1"/>
  </cols>
  <sheetData>
    <row r="1" spans="1:13" ht="15.75" customHeight="1">
      <c r="A1" s="156"/>
      <c r="B1" s="43" t="s">
        <v>136</v>
      </c>
      <c r="C1" s="44" t="s">
        <v>137</v>
      </c>
      <c r="D1" s="45" t="s">
        <v>138</v>
      </c>
      <c r="E1" s="45" t="s">
        <v>139</v>
      </c>
      <c r="F1" s="44" t="s">
        <v>140</v>
      </c>
      <c r="G1" s="45" t="s">
        <v>141</v>
      </c>
      <c r="H1" s="45" t="s">
        <v>142</v>
      </c>
      <c r="I1" s="45" t="s">
        <v>143</v>
      </c>
      <c r="J1" s="44" t="s">
        <v>144</v>
      </c>
      <c r="K1" s="44" t="s">
        <v>145</v>
      </c>
      <c r="L1" s="44" t="s">
        <v>146</v>
      </c>
      <c r="M1" s="46" t="s">
        <v>147</v>
      </c>
    </row>
    <row r="2" spans="1:13" ht="15.75" customHeight="1">
      <c r="A2" s="157"/>
      <c r="B2" s="158" t="s">
        <v>148</v>
      </c>
      <c r="C2" s="49">
        <f>COUNTIF(C3:C10479, "AC")</f>
        <v>0</v>
      </c>
      <c r="D2" s="50" t="e">
        <f ca="1">ROUND(SUMPRODUCT(D3:D10479,INT(EQ(C3:C10479, "AC")))/MAX(1, C2),1)</f>
        <v>#NAME?</v>
      </c>
      <c r="E2" s="50" t="e">
        <f ca="1">ROUND(SUMPRODUCT(E3:E10501,INT(EQ(C3:C10501, "AC")))/MAX(1, C2),0)</f>
        <v>#NAME?</v>
      </c>
      <c r="F2" s="50" t="e">
        <f ca="1">ROUND(SUMPRODUCT(F3:F10504,INT(EQ(C3:C10504, "AC")))/MAX(1, C2),0)</f>
        <v>#NAME?</v>
      </c>
      <c r="G2" s="50" t="e">
        <f ca="1">ROUND(SUMPRODUCT(G3:G10504,INT(EQ(C3:C10504, "AC")))/MAX(1, C2),0)</f>
        <v>#NAME?</v>
      </c>
      <c r="H2" s="50" t="e">
        <f ca="1">ROUND(SUMPRODUCT(H3:H10504,INT(EQ(C3:C10504, "AC")))/MAX(1, C2),0)</f>
        <v>#NAME?</v>
      </c>
      <c r="I2" s="50" t="e">
        <f ca="1">ROUND(SUMPRODUCT(I3:I10476,INT(EQ(C3:C10476, "AC")))/MAX(1, C2),0)</f>
        <v>#NAME?</v>
      </c>
      <c r="J2" s="50" t="e">
        <f ca="1">ROUND(SUMPRODUCT(J3:J10474,INT(EQ(C3:C10474, "AC")))/MAX(1, C2),1)</f>
        <v>#NAME?</v>
      </c>
      <c r="K2" s="50" t="e">
        <f ca="1">SUMPRODUCT(EQ(K3:K10479, "YES"),INT(EQ(C3:C10504, "AC")))</f>
        <v>#NAME?</v>
      </c>
      <c r="L2" s="51">
        <f ca="1">IFERROR(__xludf.DUMMYFUNCTION("COUNTA(FILTER(C3:C9971, NOT(REGEXMATCH(C3:C9971, ""AC""))))"),0)</f>
        <v>0</v>
      </c>
      <c r="M2" s="52">
        <f ca="1">IFERROR(__xludf.DUMMYFUNCTION("COUNTA(FILTER(C3:C9965, NOT(REGEXMATCH(C3:C9965, ""AC""))))"),0)</f>
        <v>0</v>
      </c>
    </row>
    <row r="3" spans="1:13" ht="15.75" customHeight="1">
      <c r="A3" s="127"/>
      <c r="B3" s="26"/>
      <c r="C3" s="159"/>
      <c r="D3" s="159"/>
      <c r="E3" s="159"/>
      <c r="F3" s="159"/>
      <c r="G3" s="159"/>
      <c r="H3" s="160"/>
      <c r="I3" s="57">
        <f t="shared" ref="I3:I55" si="0">SUM(E3:H3)</f>
        <v>0</v>
      </c>
      <c r="J3" s="62"/>
      <c r="K3" s="56"/>
      <c r="L3" s="159"/>
      <c r="M3" s="161" t="str">
        <f>HYPERLINK("https://www.youtube.com/watch?v=x1rCxxKfFbM","Watch - Thinking - Problem Simplification ")</f>
        <v xml:space="preserve">Watch - Thinking - Problem Simplification </v>
      </c>
    </row>
    <row r="4" spans="1:13" ht="15.75" customHeight="1">
      <c r="A4" s="127"/>
      <c r="B4" s="26"/>
      <c r="C4" s="159"/>
      <c r="D4" s="159"/>
      <c r="E4" s="159"/>
      <c r="F4" s="159"/>
      <c r="G4" s="159"/>
      <c r="H4" s="160"/>
      <c r="I4" s="57">
        <f t="shared" si="0"/>
        <v>0</v>
      </c>
      <c r="J4" s="62"/>
      <c r="K4" s="56"/>
      <c r="L4" s="159"/>
      <c r="M4" s="161" t="str">
        <f>HYPERLINK("https://www.youtube.com/watch?v=7z1498LTCgg","Watch - Thinking - Brainstorm - Rank - Approach ")</f>
        <v xml:space="preserve">Watch - Thinking - Brainstorm - Rank - Approach </v>
      </c>
    </row>
    <row r="5" spans="1:13" ht="15.75" customHeight="1">
      <c r="A5" s="127"/>
      <c r="B5" s="26"/>
      <c r="C5" s="159"/>
      <c r="D5" s="159"/>
      <c r="E5" s="159"/>
      <c r="F5" s="159"/>
      <c r="G5" s="159"/>
      <c r="H5" s="160"/>
      <c r="I5" s="57">
        <f t="shared" si="0"/>
        <v>0</v>
      </c>
      <c r="J5" s="62"/>
      <c r="K5" s="56"/>
      <c r="L5" s="159"/>
      <c r="M5" s="162" t="str">
        <f>HYPERLINK("https://www.youtube.com/watch?v=KAS83uXf_8s&amp;list=PLPt2dINI2MIZPFq6HyUB1Uhxdh1UDnZMS","Study STL (You may study data structures if found hard)")</f>
        <v>Study STL (You may study data structures if found hard)</v>
      </c>
    </row>
    <row r="6" spans="1:13" ht="15.75" customHeight="1">
      <c r="A6" s="163"/>
      <c r="B6" s="164"/>
      <c r="C6" s="159"/>
      <c r="D6" s="159"/>
      <c r="E6" s="159"/>
      <c r="F6" s="159"/>
      <c r="G6" s="159"/>
      <c r="H6" s="160"/>
      <c r="I6" s="57">
        <f t="shared" si="0"/>
        <v>0</v>
      </c>
      <c r="J6" s="62"/>
      <c r="K6" s="56"/>
      <c r="L6" s="159"/>
      <c r="M6" s="165" t="str">
        <f>HYPERLINK("https://www.youtube.com/watch?v=9wvqNeX_JnI","Watch - Combinatorics - Permutations and Combinations - 1")</f>
        <v>Watch - Combinatorics - Permutations and Combinations - 1</v>
      </c>
    </row>
    <row r="7" spans="1:13" ht="15.75" customHeight="1">
      <c r="A7" s="163"/>
      <c r="B7" s="164"/>
      <c r="C7" s="159"/>
      <c r="D7" s="159"/>
      <c r="E7" s="159"/>
      <c r="F7" s="159"/>
      <c r="G7" s="159"/>
      <c r="H7" s="160"/>
      <c r="I7" s="57">
        <f t="shared" si="0"/>
        <v>0</v>
      </c>
      <c r="J7" s="62"/>
      <c r="K7" s="56"/>
      <c r="L7" s="159"/>
      <c r="M7" s="165" t="str">
        <f>HYPERLINK("https://www.youtube.com/watch?v=8V_xhaPpjmM","Watch - Combinatorics - Permutations and Combinations - 2")</f>
        <v>Watch - Combinatorics - Permutations and Combinations - 2</v>
      </c>
    </row>
    <row r="8" spans="1:13" ht="15.75" customHeight="1">
      <c r="A8" s="166" t="s">
        <v>382</v>
      </c>
      <c r="B8" s="40" t="str">
        <f>HYPERLINK("http://codeforces.com/contest/66/problem/B","CF66-D2-B")</f>
        <v>CF66-D2-B</v>
      </c>
      <c r="C8" s="159"/>
      <c r="D8" s="159"/>
      <c r="E8" s="159"/>
      <c r="F8" s="159"/>
      <c r="G8" s="159"/>
      <c r="H8" s="160"/>
      <c r="I8" s="57">
        <f t="shared" si="0"/>
        <v>0</v>
      </c>
      <c r="J8" s="62"/>
      <c r="K8" s="56"/>
      <c r="L8" s="159"/>
      <c r="M8" s="82" t="str">
        <f>HYPERLINK("https://www.youtube.com/watch?v=XRgCL-gVU7M&amp;feature=youtu.be","Video Solution - Eng Muntaser Abukadeja")</f>
        <v>Video Solution - Eng Muntaser Abukadeja</v>
      </c>
    </row>
    <row r="9" spans="1:13" ht="15.75" customHeight="1">
      <c r="A9" s="166" t="s">
        <v>383</v>
      </c>
      <c r="B9" s="40" t="str">
        <f>HYPERLINK("http://codeforces.com/contest/680/problem/B","CF680-D2-B")</f>
        <v>CF680-D2-B</v>
      </c>
      <c r="C9" s="159"/>
      <c r="D9" s="159"/>
      <c r="E9" s="159"/>
      <c r="F9" s="159"/>
      <c r="G9" s="159"/>
      <c r="H9" s="160"/>
      <c r="I9" s="57">
        <f t="shared" si="0"/>
        <v>0</v>
      </c>
      <c r="J9" s="62"/>
      <c r="K9" s="56"/>
      <c r="L9" s="159"/>
      <c r="M9" s="82" t="str">
        <f>HYPERLINK("https://www.youtube.com/watch?v=oKRNtI-ZI5g&amp;feature=youtu.be","Video Solution - Eng Muntaser Abukadeja")</f>
        <v>Video Solution - Eng Muntaser Abukadeja</v>
      </c>
    </row>
    <row r="10" spans="1:13" ht="15.75" customHeight="1">
      <c r="A10" s="166" t="s">
        <v>384</v>
      </c>
      <c r="B10" s="40" t="str">
        <f>HYPERLINK("http://codeforces.com/contest/16/problem/B","CF16-D2-B")</f>
        <v>CF16-D2-B</v>
      </c>
      <c r="C10" s="159"/>
      <c r="D10" s="159"/>
      <c r="E10" s="159"/>
      <c r="F10" s="159"/>
      <c r="G10" s="159"/>
      <c r="H10" s="160"/>
      <c r="I10" s="57">
        <f t="shared" si="0"/>
        <v>0</v>
      </c>
      <c r="J10" s="62"/>
      <c r="K10" s="56"/>
      <c r="L10" s="159"/>
      <c r="M10" s="82" t="str">
        <f>HYPERLINK("https://www.youtube.com/watch?v=eDg_yuWBS8o&amp;feature=youtu.be","Video Solution - Eng Muntaser Abukadeja")</f>
        <v>Video Solution - Eng Muntaser Abukadeja</v>
      </c>
    </row>
    <row r="11" spans="1:13" ht="15.75" customHeight="1">
      <c r="A11" s="166" t="s">
        <v>385</v>
      </c>
      <c r="B11" s="40" t="str">
        <f>HYPERLINK("http://codeforces.com/contest/463/problem/B","CF463-D2-B")</f>
        <v>CF463-D2-B</v>
      </c>
      <c r="C11" s="159"/>
      <c r="D11" s="159"/>
      <c r="E11" s="159"/>
      <c r="F11" s="159"/>
      <c r="G11" s="159"/>
      <c r="H11" s="160"/>
      <c r="I11" s="57">
        <f t="shared" si="0"/>
        <v>0</v>
      </c>
      <c r="J11" s="62"/>
      <c r="K11" s="56"/>
      <c r="L11" s="159"/>
      <c r="M11" s="82" t="str">
        <f>HYPERLINK("https://www.youtube.com/watch?v=c6X5U5HATAA","Video Solution - Eng Muntaser Abukadeja")</f>
        <v>Video Solution - Eng Muntaser Abukadeja</v>
      </c>
    </row>
    <row r="12" spans="1:13" ht="15.75" customHeight="1">
      <c r="A12" s="166" t="s">
        <v>386</v>
      </c>
      <c r="B12" s="40" t="str">
        <f>HYPERLINK("http://codeforces.com/contest/102/problem/B","CF102-D2-B")</f>
        <v>CF102-D2-B</v>
      </c>
      <c r="C12" s="159"/>
      <c r="D12" s="159"/>
      <c r="E12" s="159"/>
      <c r="F12" s="159"/>
      <c r="G12" s="159"/>
      <c r="H12" s="160"/>
      <c r="I12" s="57">
        <f t="shared" si="0"/>
        <v>0</v>
      </c>
      <c r="J12" s="62"/>
      <c r="K12" s="56"/>
      <c r="L12" s="159"/>
      <c r="M12" s="82" t="str">
        <f>HYPERLINK("https://www.youtube.com/watch?v=_qdIm9Yj9_U","Video Solution - Eng Muntaser Abukadeja")</f>
        <v>Video Solution - Eng Muntaser Abukadeja</v>
      </c>
    </row>
    <row r="13" spans="1:13" ht="15.75" customHeight="1">
      <c r="A13" s="166" t="s">
        <v>387</v>
      </c>
      <c r="B13" s="40" t="str">
        <f>HYPERLINK("http://codeforces.com/contest/47/problem/B","CF47-D2-B")</f>
        <v>CF47-D2-B</v>
      </c>
      <c r="C13" s="159"/>
      <c r="D13" s="159"/>
      <c r="E13" s="159"/>
      <c r="F13" s="159"/>
      <c r="G13" s="159"/>
      <c r="H13" s="160"/>
      <c r="I13" s="57">
        <f t="shared" si="0"/>
        <v>0</v>
      </c>
      <c r="J13" s="62"/>
      <c r="K13" s="56"/>
      <c r="L13" s="159"/>
      <c r="M13" s="82" t="str">
        <f>HYPERLINK("https://www.youtube.com/watch?v=lvK0ZlpWeEY&amp;feature=youtu.be","Video Solution - Eng Samed Hajajla")</f>
        <v>Video Solution - Eng Samed Hajajla</v>
      </c>
    </row>
    <row r="14" spans="1:13" ht="15.75" customHeight="1">
      <c r="A14" s="166" t="s">
        <v>388</v>
      </c>
      <c r="B14" s="40" t="str">
        <f>HYPERLINK("http://codeforces.com/contest/227/problem/B","CF227-D2-B")</f>
        <v>CF227-D2-B</v>
      </c>
      <c r="C14" s="159"/>
      <c r="D14" s="159"/>
      <c r="E14" s="159"/>
      <c r="F14" s="159"/>
      <c r="G14" s="159"/>
      <c r="H14" s="160"/>
      <c r="I14" s="57">
        <f t="shared" si="0"/>
        <v>0</v>
      </c>
      <c r="J14" s="62"/>
      <c r="K14" s="56"/>
      <c r="L14" s="159"/>
      <c r="M14" s="82" t="str">
        <f>HYPERLINK("https://www.youtube.com/watch?v=76gg4S0A2nk","Video Solution - Eng Abanob Ashraf")</f>
        <v>Video Solution - Eng Abanob Ashraf</v>
      </c>
    </row>
    <row r="15" spans="1:13" ht="15.75" customHeight="1">
      <c r="A15" s="166" t="s">
        <v>389</v>
      </c>
      <c r="B15" s="40" t="str">
        <f>HYPERLINK("http://codeforces.com/contest/78/problem/B","CF78-D2-B")</f>
        <v>CF78-D2-B</v>
      </c>
      <c r="C15" s="159"/>
      <c r="D15" s="159"/>
      <c r="E15" s="159"/>
      <c r="F15" s="159"/>
      <c r="G15" s="159"/>
      <c r="H15" s="160"/>
      <c r="I15" s="57">
        <f t="shared" si="0"/>
        <v>0</v>
      </c>
      <c r="J15" s="62"/>
      <c r="K15" s="56"/>
      <c r="L15" s="159"/>
      <c r="M15" s="82" t="str">
        <f>HYPERLINK("https://www.youtube.com/watch?v=rJN_rI2xiV4","Video Solution - Eng Abanob Ashraf")</f>
        <v>Video Solution - Eng Abanob Ashraf</v>
      </c>
    </row>
    <row r="16" spans="1:13" ht="15.75" customHeight="1">
      <c r="A16" s="86" t="s">
        <v>390</v>
      </c>
      <c r="B16" s="87" t="str">
        <f>HYPERLINK("http://codeforces.com/contest/746/problem/B","CF746-D2-B")</f>
        <v>CF746-D2-B</v>
      </c>
      <c r="C16" s="159"/>
      <c r="D16" s="159"/>
      <c r="E16" s="159"/>
      <c r="F16" s="159"/>
      <c r="G16" s="159"/>
      <c r="H16" s="160"/>
      <c r="I16" s="57">
        <f t="shared" si="0"/>
        <v>0</v>
      </c>
      <c r="J16" s="62"/>
      <c r="K16" s="56"/>
      <c r="L16" s="159"/>
      <c r="M16" s="82" t="str">
        <f>HYPERLINK("https://www.youtube.com/watch?v=FI5HvI9SQtA","Video Solution - Solver to be (Java)")</f>
        <v>Video Solution - Solver to be (Java)</v>
      </c>
    </row>
    <row r="17" spans="1:13" ht="15.75" customHeight="1">
      <c r="A17" s="163"/>
      <c r="B17" s="164"/>
      <c r="C17" s="159"/>
      <c r="D17" s="159"/>
      <c r="E17" s="159"/>
      <c r="F17" s="159"/>
      <c r="G17" s="159"/>
      <c r="H17" s="160"/>
      <c r="I17" s="57">
        <f t="shared" si="0"/>
        <v>0</v>
      </c>
      <c r="J17" s="62"/>
      <c r="K17" s="56"/>
      <c r="L17" s="159"/>
      <c r="M17" s="167" t="str">
        <f>HYPERLINK("https://www.youtube.com/watch?v=tKGztXjnnuA","Watch - Training-Secrets of Success")</f>
        <v>Watch - Training-Secrets of Success</v>
      </c>
    </row>
    <row r="18" spans="1:13" ht="15.75" customHeight="1">
      <c r="A18" s="163"/>
      <c r="B18" s="164"/>
      <c r="C18" s="159"/>
      <c r="D18" s="159"/>
      <c r="E18" s="159"/>
      <c r="F18" s="159"/>
      <c r="G18" s="159"/>
      <c r="H18" s="160"/>
      <c r="I18" s="57">
        <f t="shared" si="0"/>
        <v>0</v>
      </c>
      <c r="J18" s="62"/>
      <c r="K18" s="56"/>
      <c r="L18" s="159"/>
      <c r="M18" s="167" t="str">
        <f>HYPERLINK("https://www.youtube.com/watch?v=6QS_Cup1YoI","Revise Stack/Queue datastructure concepts. Learn using STL")</f>
        <v>Revise Stack/Queue datastructure concepts. Learn using STL</v>
      </c>
    </row>
    <row r="19" spans="1:13" ht="15.75" customHeight="1">
      <c r="A19" s="163"/>
      <c r="B19" s="164"/>
      <c r="C19" s="159"/>
      <c r="D19" s="159"/>
      <c r="E19" s="159"/>
      <c r="F19" s="159"/>
      <c r="G19" s="159"/>
      <c r="H19" s="160"/>
      <c r="I19" s="57">
        <f t="shared" si="0"/>
        <v>0</v>
      </c>
      <c r="J19" s="62"/>
      <c r="K19" s="56"/>
      <c r="L19" s="159"/>
      <c r="M19" s="165" t="str">
        <f>HYPERLINK("https://www.youtube.com/watch?v=YklnFXpq0ZE","Watch - Number Theory - Fib, GCD, LCM, Pow")</f>
        <v>Watch - Number Theory - Fib, GCD, LCM, Pow</v>
      </c>
    </row>
    <row r="20" spans="1:13" ht="15.75" customHeight="1">
      <c r="A20" s="122" t="s">
        <v>391</v>
      </c>
      <c r="B20" s="168" t="str">
        <f>HYPERLINK("https://uva.onlinejudge.org/index.php?option=onlinejudge&amp;page=show_problem&amp;problem=310","UVA 374")</f>
        <v>UVA 374</v>
      </c>
      <c r="C20" s="159" t="s">
        <v>1781</v>
      </c>
      <c r="D20" s="159"/>
      <c r="E20" s="159"/>
      <c r="F20" s="159"/>
      <c r="G20" s="159"/>
      <c r="H20" s="160"/>
      <c r="I20" s="57">
        <f t="shared" si="0"/>
        <v>0</v>
      </c>
      <c r="J20" s="62"/>
      <c r="K20" s="56"/>
      <c r="L20" s="159"/>
      <c r="M20" s="127"/>
    </row>
    <row r="21" spans="1:13" ht="15.75" customHeight="1">
      <c r="A21" s="122" t="s">
        <v>392</v>
      </c>
      <c r="B21" s="25" t="str">
        <f>HYPERLINK("https://uva.onlinejudge.org/index.php?option=onlinejudge&amp;page=show_problem&amp;problem=305","UVA 369")</f>
        <v>UVA 369</v>
      </c>
      <c r="C21" s="159" t="s">
        <v>1300</v>
      </c>
      <c r="D21" s="159"/>
      <c r="E21" s="159"/>
      <c r="F21" s="159"/>
      <c r="G21" s="159"/>
      <c r="H21" s="160"/>
      <c r="I21" s="57">
        <f t="shared" si="0"/>
        <v>0</v>
      </c>
      <c r="J21" s="62"/>
      <c r="K21" s="56"/>
      <c r="L21" s="159"/>
      <c r="M21" s="127"/>
    </row>
    <row r="22" spans="1:13" ht="15.75" customHeight="1">
      <c r="A22" s="122" t="s">
        <v>393</v>
      </c>
      <c r="B22" s="25" t="str">
        <f>HYPERLINK("https://uva.onlinejudge.org/index.php?option=onlinejudge&amp;page=show_problem&amp;problem=353","UVA 412")</f>
        <v>UVA 412</v>
      </c>
      <c r="C22" s="159"/>
      <c r="D22" s="159"/>
      <c r="E22" s="159"/>
      <c r="F22" s="159"/>
      <c r="G22" s="159"/>
      <c r="H22" s="160"/>
      <c r="I22" s="57">
        <f t="shared" si="0"/>
        <v>0</v>
      </c>
      <c r="J22" s="62"/>
      <c r="K22" s="56"/>
      <c r="L22" s="159"/>
      <c r="M22" s="169" t="str">
        <f>HYPERLINK("https://www.youtube.com/watch?v=NmumgTB7B9c&amp;feature=youtu.be","Video Solution - Eng Mohamed Adel")</f>
        <v>Video Solution - Eng Mohamed Adel</v>
      </c>
    </row>
    <row r="23" spans="1:13" ht="15.75" customHeight="1">
      <c r="A23" s="170" t="s">
        <v>394</v>
      </c>
      <c r="B23" s="171" t="str">
        <f>HYPERLINK("https://uva.onlinejudge.org/index.php?option=onlinejudge&amp;page=show_problem&amp;problem=654","UVA 713")</f>
        <v>UVA 713</v>
      </c>
      <c r="C23" s="48"/>
      <c r="D23" s="62"/>
      <c r="E23" s="62"/>
      <c r="F23" s="62"/>
      <c r="G23" s="62"/>
      <c r="H23" s="57"/>
      <c r="I23" s="57">
        <f t="shared" si="0"/>
        <v>0</v>
      </c>
      <c r="J23" s="62"/>
      <c r="K23" s="56"/>
      <c r="L23" s="62"/>
      <c r="M23" s="172" t="s">
        <v>395</v>
      </c>
    </row>
    <row r="24" spans="1:13" ht="15.75" customHeight="1">
      <c r="A24" s="114" t="s">
        <v>396</v>
      </c>
      <c r="B24" s="173" t="str">
        <f>HYPERLINK("http://acm.timus.ru/problem.aspx?space=1&amp;num=1607","TIMUS 1607")</f>
        <v>TIMUS 1607</v>
      </c>
      <c r="C24" s="48"/>
      <c r="D24" s="62"/>
      <c r="E24" s="62"/>
      <c r="F24" s="62"/>
      <c r="G24" s="62"/>
      <c r="H24" s="57"/>
      <c r="I24" s="57">
        <f t="shared" si="0"/>
        <v>0</v>
      </c>
      <c r="J24" s="62"/>
      <c r="K24" s="56"/>
      <c r="L24" s="62"/>
      <c r="M24" s="174" t="s">
        <v>397</v>
      </c>
    </row>
    <row r="25" spans="1:13" ht="15.75" customHeight="1">
      <c r="A25" s="114" t="s">
        <v>398</v>
      </c>
      <c r="B25" s="173" t="str">
        <f>HYPERLINK("https://icpcarchive.ecs.baylor.edu/index.php?option=com_onlinejudge&amp;Itemid=8&amp;page=show_problem&amp;problem=558","LIVEARCHIVE 2557")</f>
        <v>LIVEARCHIVE 2557</v>
      </c>
      <c r="C25" s="48"/>
      <c r="D25" s="62"/>
      <c r="E25" s="62"/>
      <c r="F25" s="62"/>
      <c r="G25" s="62"/>
      <c r="H25" s="57"/>
      <c r="I25" s="57">
        <f t="shared" si="0"/>
        <v>0</v>
      </c>
      <c r="J25" s="62"/>
      <c r="K25" s="56"/>
      <c r="L25" s="62"/>
      <c r="M25" s="78" t="str">
        <f>HYPERLINK("https://raw.githubusercontent.com/NadaAlaa/CompetitiveProgramming/master/LiveArchive/2557.cpp","Find a formula")</f>
        <v>Find a formula</v>
      </c>
    </row>
    <row r="26" spans="1:13" ht="15.75" customHeight="1">
      <c r="A26" s="114" t="s">
        <v>399</v>
      </c>
      <c r="B26" s="115" t="str">
        <f>HYPERLINK("http://codeforces.com/contest/492/problem/B","CF492-D2-B")</f>
        <v>CF492-D2-B</v>
      </c>
      <c r="C26" s="29" t="s">
        <v>1781</v>
      </c>
      <c r="D26" s="29"/>
      <c r="E26" s="29"/>
      <c r="F26" s="29"/>
      <c r="G26" s="29"/>
      <c r="H26" s="160"/>
      <c r="I26" s="57">
        <f t="shared" si="0"/>
        <v>0</v>
      </c>
      <c r="J26" s="62"/>
      <c r="K26" s="56"/>
      <c r="L26" s="29"/>
      <c r="M26" s="104" t="str">
        <f>HYPERLINK("https://www.youtube.com/watch?v=i4fMKTt8e84","Video Solution - Solver to be (Java)")</f>
        <v>Video Solution - Solver to be (Java)</v>
      </c>
    </row>
    <row r="27" spans="1:13" ht="15.75" customHeight="1">
      <c r="A27" s="163"/>
      <c r="B27" s="164"/>
      <c r="C27" s="159"/>
      <c r="D27" s="159"/>
      <c r="E27" s="159"/>
      <c r="F27" s="159"/>
      <c r="G27" s="159"/>
      <c r="H27" s="160"/>
      <c r="I27" s="57">
        <f t="shared" si="0"/>
        <v>0</v>
      </c>
      <c r="J27" s="62"/>
      <c r="K27" s="56"/>
      <c r="L27" s="159"/>
      <c r="M27" s="175" t="str">
        <f>HYPERLINK("https://www.youtube.com/watch?v=hqOqr6vFPp8","Watch - Prefix Sum")</f>
        <v>Watch - Prefix Sum</v>
      </c>
    </row>
    <row r="28" spans="1:13" ht="15.75" customHeight="1">
      <c r="A28" s="127" t="s">
        <v>400</v>
      </c>
      <c r="B28" s="168" t="str">
        <f>HYPERLINK("http://codeforces.com/contest/433/problem/B","CF433-D2-B")</f>
        <v>CF433-D2-B</v>
      </c>
      <c r="C28" s="29"/>
      <c r="D28" s="29"/>
      <c r="E28" s="29"/>
      <c r="F28" s="29"/>
      <c r="G28" s="29"/>
      <c r="H28" s="29"/>
      <c r="I28" s="103">
        <f t="shared" si="0"/>
        <v>0</v>
      </c>
      <c r="J28" s="93"/>
      <c r="K28" s="92"/>
      <c r="L28" s="29"/>
      <c r="M28" s="26"/>
    </row>
    <row r="29" spans="1:13" ht="15.75" customHeight="1">
      <c r="A29" s="86" t="s">
        <v>401</v>
      </c>
      <c r="B29" s="168" t="str">
        <f>HYPERLINK("http://codeforces.com/contest/363/problem/B","CF363-D2-B")</f>
        <v>CF363-D2-B</v>
      </c>
      <c r="C29" s="29"/>
      <c r="D29" s="29"/>
      <c r="E29" s="29"/>
      <c r="F29" s="29"/>
      <c r="G29" s="29"/>
      <c r="H29" s="29"/>
      <c r="I29" s="103">
        <f t="shared" si="0"/>
        <v>0</v>
      </c>
      <c r="J29" s="93"/>
      <c r="K29" s="92"/>
      <c r="L29" s="29"/>
      <c r="M29" s="128" t="str">
        <f>HYPERLINK("https://www.youtube.com/watch?v=uwbfFMVMYBg&amp;feature=youtu.be","Video Solution - Eng Muntaser Abukadeja")</f>
        <v>Video Solution - Eng Muntaser Abukadeja</v>
      </c>
    </row>
    <row r="30" spans="1:13" ht="15.75" customHeight="1">
      <c r="A30" s="166" t="s">
        <v>402</v>
      </c>
      <c r="B30" s="40" t="str">
        <f>HYPERLINK("http://codeforces.com/contest/6/problem/B","CF6-D2-B")</f>
        <v>CF6-D2-B</v>
      </c>
      <c r="C30" s="159"/>
      <c r="D30" s="159"/>
      <c r="E30" s="159"/>
      <c r="F30" s="159"/>
      <c r="G30" s="159"/>
      <c r="H30" s="160"/>
      <c r="I30" s="57">
        <f t="shared" si="0"/>
        <v>0</v>
      </c>
      <c r="J30" s="62"/>
      <c r="K30" s="56"/>
      <c r="L30" s="159"/>
      <c r="M30" s="82" t="str">
        <f>HYPERLINK("https://www.youtube.com/watch?v=FTM7HQahAc8&amp;feature=youtu.be","Video Solution - Eng Muntaser Abukadeja")</f>
        <v>Video Solution - Eng Muntaser Abukadeja</v>
      </c>
    </row>
    <row r="31" spans="1:13" ht="15.75" customHeight="1">
      <c r="A31" s="83" t="s">
        <v>403</v>
      </c>
      <c r="B31" s="176" t="str">
        <f>HYPERLINK("http://codeforces.com/contest/688/problem/B","CF688-D2-B")</f>
        <v>CF688-D2-B</v>
      </c>
      <c r="C31" s="29"/>
      <c r="D31" s="29"/>
      <c r="E31" s="29"/>
      <c r="F31" s="29"/>
      <c r="G31" s="29"/>
      <c r="H31" s="160"/>
      <c r="I31" s="57">
        <f t="shared" si="0"/>
        <v>0</v>
      </c>
      <c r="J31" s="62"/>
      <c r="K31" s="56"/>
      <c r="L31" s="29"/>
      <c r="M31" s="82" t="str">
        <f>HYPERLINK("https://www.youtube.com/watch?v=sy_g77hnbaA","Video Solution - Solver to be (Java)")</f>
        <v>Video Solution - Solver to be (Java)</v>
      </c>
    </row>
    <row r="32" spans="1:13" ht="15.75" customHeight="1">
      <c r="A32" s="83" t="s">
        <v>404</v>
      </c>
      <c r="B32" s="176" t="str">
        <f>HYPERLINK("http://codeforces.com/contest/451/problem/B","CF451-D2-B")</f>
        <v>CF451-D2-B</v>
      </c>
      <c r="C32" s="29"/>
      <c r="D32" s="29"/>
      <c r="E32" s="29"/>
      <c r="F32" s="29"/>
      <c r="G32" s="29"/>
      <c r="H32" s="160"/>
      <c r="I32" s="57">
        <f t="shared" si="0"/>
        <v>0</v>
      </c>
      <c r="J32" s="62"/>
      <c r="K32" s="56"/>
      <c r="L32" s="29"/>
      <c r="M32" s="82" t="str">
        <f>HYPERLINK("https://www.youtube.com/watch?v=I_WHkB7Aeeo","Video Solution - Solver to be (Java)")</f>
        <v>Video Solution - Solver to be (Java)</v>
      </c>
    </row>
    <row r="33" spans="1:13" ht="13.2">
      <c r="A33" s="105" t="s">
        <v>405</v>
      </c>
      <c r="B33" s="177" t="str">
        <f>HYPERLINK("http://codeforces.com/contest/810/problem/B","CF810-D2-B")</f>
        <v>CF810-D2-B</v>
      </c>
      <c r="C33" s="29"/>
      <c r="D33" s="29"/>
      <c r="E33" s="29"/>
      <c r="F33" s="29"/>
      <c r="G33" s="29"/>
      <c r="H33" s="160"/>
      <c r="I33" s="57">
        <f t="shared" si="0"/>
        <v>0</v>
      </c>
      <c r="J33" s="62"/>
      <c r="K33" s="56"/>
      <c r="L33" s="29"/>
      <c r="M33" s="82" t="str">
        <f>HYPERLINK("https://www.youtube.com/watch?v=cFqla_dXSBs","Video Solution - Solver to be (Java)")</f>
        <v>Video Solution - Solver to be (Java)</v>
      </c>
    </row>
    <row r="34" spans="1:13" ht="13.2">
      <c r="A34" s="83" t="s">
        <v>406</v>
      </c>
      <c r="B34" s="176" t="str">
        <f>HYPERLINK("http://codeforces.com/contest/79/problem/B","CF79-D12-B")</f>
        <v>CF79-D12-B</v>
      </c>
      <c r="C34" s="29"/>
      <c r="D34" s="29"/>
      <c r="E34" s="29"/>
      <c r="F34" s="29"/>
      <c r="G34" s="29"/>
      <c r="H34" s="160"/>
      <c r="I34" s="57">
        <f t="shared" si="0"/>
        <v>0</v>
      </c>
      <c r="J34" s="62"/>
      <c r="K34" s="56"/>
      <c r="L34" s="29"/>
      <c r="M34" s="82" t="str">
        <f>HYPERLINK("https://www.youtube.com/watch?v=QIANdSy3nQg","Video Solution - Solver to be (Java)")</f>
        <v>Video Solution - Solver to be (Java)</v>
      </c>
    </row>
    <row r="35" spans="1:13" ht="13.2">
      <c r="A35" s="83" t="s">
        <v>217</v>
      </c>
      <c r="B35" s="176" t="str">
        <f>HYPERLINK("http://codeforces.com/contest/88/problem/B","CF88-D2-B")</f>
        <v>CF88-D2-B</v>
      </c>
      <c r="C35" s="29"/>
      <c r="D35" s="29"/>
      <c r="E35" s="29"/>
      <c r="F35" s="29"/>
      <c r="G35" s="29"/>
      <c r="H35" s="160"/>
      <c r="I35" s="57">
        <f t="shared" si="0"/>
        <v>0</v>
      </c>
      <c r="J35" s="62"/>
      <c r="K35" s="56"/>
      <c r="L35" s="29"/>
      <c r="M35" s="82" t="str">
        <f>HYPERLINK("https://www.youtube.com/watch?v=IlM9o1-xgE4&amp;feature=youtu.be","Video Solution - Eng Muntaser Abukadeja")</f>
        <v>Video Solution - Eng Muntaser Abukadeja</v>
      </c>
    </row>
    <row r="36" spans="1:13" ht="13.2">
      <c r="A36" s="105" t="s">
        <v>407</v>
      </c>
      <c r="B36" s="177" t="str">
        <f>HYPERLINK("http://codeforces.com/contest/766/problem/B","CF766-D2-B")</f>
        <v>CF766-D2-B</v>
      </c>
      <c r="C36" s="29"/>
      <c r="D36" s="29"/>
      <c r="E36" s="29"/>
      <c r="F36" s="29"/>
      <c r="G36" s="29"/>
      <c r="H36" s="160"/>
      <c r="I36" s="57">
        <f t="shared" si="0"/>
        <v>0</v>
      </c>
      <c r="J36" s="62"/>
      <c r="K36" s="56"/>
      <c r="L36" s="29"/>
      <c r="M36" s="82" t="str">
        <f>HYPERLINK("https://www.youtube.com/watch?v=dCChUGZjaS4","Video Solution - Solver to be (Java)")</f>
        <v>Video Solution - Solver to be (Java)</v>
      </c>
    </row>
    <row r="37" spans="1:13" ht="13.2">
      <c r="A37" s="163"/>
      <c r="B37" s="164"/>
      <c r="C37" s="159"/>
      <c r="D37" s="159"/>
      <c r="E37" s="159"/>
      <c r="F37" s="159"/>
      <c r="G37" s="159"/>
      <c r="H37" s="160"/>
      <c r="I37" s="57">
        <f t="shared" si="0"/>
        <v>0</v>
      </c>
      <c r="J37" s="62"/>
      <c r="K37" s="56"/>
      <c r="L37" s="159"/>
      <c r="M37" s="165"/>
    </row>
    <row r="38" spans="1:13" ht="13.2">
      <c r="A38" s="163"/>
      <c r="B38" s="164"/>
      <c r="C38" s="159"/>
      <c r="D38" s="159"/>
      <c r="E38" s="159"/>
      <c r="F38" s="159"/>
      <c r="G38" s="159"/>
      <c r="H38" s="160"/>
      <c r="I38" s="57">
        <f t="shared" si="0"/>
        <v>0</v>
      </c>
      <c r="J38" s="62"/>
      <c r="K38" s="56"/>
      <c r="L38" s="159"/>
      <c r="M38" s="165" t="str">
        <f>HYPERLINK("https://www.youtube.com/watch?v=COB1GHq0YwY","Watch - Graph Theory - BFS")</f>
        <v>Watch - Graph Theory - BFS</v>
      </c>
    </row>
    <row r="39" spans="1:13" ht="13.2">
      <c r="A39" s="122" t="s">
        <v>408</v>
      </c>
      <c r="B39" s="168" t="str">
        <f>HYPERLINK("http://www.spoj.com/problems/TOE1/","SPOJ TOE1")</f>
        <v>SPOJ TOE1</v>
      </c>
      <c r="C39" s="159"/>
      <c r="D39" s="159"/>
      <c r="E39" s="159"/>
      <c r="F39" s="159"/>
      <c r="G39" s="159"/>
      <c r="H39" s="160"/>
      <c r="I39" s="57">
        <f t="shared" si="0"/>
        <v>0</v>
      </c>
      <c r="J39" s="62"/>
      <c r="K39" s="56"/>
      <c r="L39" s="159"/>
      <c r="M39" s="82" t="str">
        <f>HYPERLINK("https://www.youtube.com/watch?v=VM2c3csK3Ps","Video Solution - Eng Ayman Salah")</f>
        <v>Video Solution - Eng Ayman Salah</v>
      </c>
    </row>
    <row r="40" spans="1:13" ht="13.2">
      <c r="A40" s="122" t="s">
        <v>409</v>
      </c>
      <c r="B40" s="168" t="str">
        <f>HYPERLINK("http://www.spoj.com/problems/TOE2/","SPOJ TOE2")</f>
        <v>SPOJ TOE2</v>
      </c>
      <c r="C40" s="159" t="s">
        <v>1785</v>
      </c>
      <c r="D40" s="159"/>
      <c r="E40" s="159"/>
      <c r="F40" s="159"/>
      <c r="G40" s="159"/>
      <c r="H40" s="160"/>
      <c r="I40" s="57">
        <f t="shared" si="0"/>
        <v>0</v>
      </c>
      <c r="J40" s="62"/>
      <c r="K40" s="56"/>
      <c r="L40" s="159"/>
      <c r="M40" s="82" t="str">
        <f>HYPERLINK("https://www.youtube.com/watch?v=LleR_xaCfMY&amp;feature=youtu.be","Video Solution - Eng Essam AlNaggar")</f>
        <v>Video Solution - Eng Essam AlNaggar</v>
      </c>
    </row>
    <row r="41" spans="1:13" ht="13.2">
      <c r="A41" s="122" t="s">
        <v>410</v>
      </c>
      <c r="B41" s="168" t="str">
        <f>HYPERLINK("https://uva.onlinejudge.org/index.php?option=com_onlinejudge&amp;Itemid=8&amp;page=show_problem&amp;problem=380","UVA 439")</f>
        <v>UVA 439</v>
      </c>
      <c r="C41" s="159" t="s">
        <v>1786</v>
      </c>
      <c r="D41" s="159"/>
      <c r="E41" s="159"/>
      <c r="F41" s="159"/>
      <c r="G41" s="159"/>
      <c r="H41" s="160"/>
      <c r="I41" s="57">
        <f t="shared" si="0"/>
        <v>0</v>
      </c>
      <c r="J41" s="62"/>
      <c r="K41" s="56"/>
      <c r="L41" s="159"/>
      <c r="M41" s="82" t="str">
        <f>HYPERLINK("https://www.youtube.com/watch?v=_S7BCbISrdo&amp;feature=youtu.be","Video Solution - Eng Magdy Hasan")</f>
        <v>Video Solution - Eng Magdy Hasan</v>
      </c>
    </row>
    <row r="42" spans="1:13" ht="13.2">
      <c r="A42" s="122" t="s">
        <v>411</v>
      </c>
      <c r="B42" s="168" t="str">
        <f>HYPERLINK("http://codeforces.com/contest/242/problem/C","CF242-D2-C")</f>
        <v>CF242-D2-C</v>
      </c>
      <c r="C42" s="159"/>
      <c r="D42" s="159"/>
      <c r="E42" s="159"/>
      <c r="F42" s="159"/>
      <c r="G42" s="159"/>
      <c r="H42" s="160"/>
      <c r="I42" s="57">
        <f t="shared" si="0"/>
        <v>0</v>
      </c>
      <c r="J42" s="62"/>
      <c r="K42" s="56"/>
      <c r="L42" s="159"/>
      <c r="M42" s="82" t="str">
        <f>HYPERLINK("https://www.youtube.com/watch?v=KmxeOFQ_4Rw","Video Solution - Dr Mostafa Saad")</f>
        <v>Video Solution - Dr Mostafa Saad</v>
      </c>
    </row>
    <row r="43" spans="1:13" ht="13.2">
      <c r="A43" s="114" t="s">
        <v>412</v>
      </c>
      <c r="B43" s="178" t="s">
        <v>413</v>
      </c>
      <c r="C43" s="159"/>
      <c r="D43" s="159"/>
      <c r="E43" s="159"/>
      <c r="F43" s="159"/>
      <c r="G43" s="159"/>
      <c r="H43" s="160"/>
      <c r="I43" s="57">
        <f t="shared" si="0"/>
        <v>0</v>
      </c>
      <c r="J43" s="62"/>
      <c r="K43" s="56"/>
      <c r="L43" s="159"/>
      <c r="M43" s="82" t="str">
        <f>HYPERLINK("http://xoptutorials.com/index.php/2017/01/01/timus1638/","Can you get AC first submission")</f>
        <v>Can you get AC first submission</v>
      </c>
    </row>
    <row r="44" spans="1:13" ht="13.2">
      <c r="A44" s="114"/>
      <c r="B44" s="179" t="s">
        <v>414</v>
      </c>
      <c r="C44" s="159"/>
      <c r="D44" s="159"/>
      <c r="E44" s="159"/>
      <c r="F44" s="159"/>
      <c r="G44" s="159"/>
      <c r="H44" s="160"/>
      <c r="I44" s="57">
        <f t="shared" si="0"/>
        <v>0</v>
      </c>
      <c r="J44" s="62"/>
      <c r="K44" s="56"/>
      <c r="L44" s="159"/>
      <c r="M44" s="117"/>
    </row>
    <row r="45" spans="1:13" ht="13.2">
      <c r="A45" s="163"/>
      <c r="B45" s="179" t="s">
        <v>415</v>
      </c>
      <c r="C45" s="159" t="s">
        <v>1781</v>
      </c>
      <c r="D45" s="159"/>
      <c r="E45" s="159"/>
      <c r="F45" s="159"/>
      <c r="G45" s="159"/>
      <c r="H45" s="160"/>
      <c r="I45" s="57">
        <f t="shared" si="0"/>
        <v>0</v>
      </c>
      <c r="J45" s="62"/>
      <c r="K45" s="56"/>
      <c r="L45" s="159"/>
      <c r="M45" s="180" t="str">
        <f>HYPERLINK("https://github.com/Ownography/CP/blob/master/SPOJ%20POSTERIN", "Sol")</f>
        <v>Sol</v>
      </c>
    </row>
    <row r="46" spans="1:13" ht="13.2">
      <c r="A46" s="163"/>
      <c r="B46" s="164"/>
      <c r="C46" s="159"/>
      <c r="D46" s="159"/>
      <c r="E46" s="159"/>
      <c r="F46" s="159"/>
      <c r="G46" s="159"/>
      <c r="H46" s="160"/>
      <c r="I46" s="57">
        <f t="shared" si="0"/>
        <v>0</v>
      </c>
      <c r="J46" s="62"/>
      <c r="K46" s="56"/>
      <c r="L46" s="159"/>
      <c r="M46" s="127"/>
    </row>
    <row r="47" spans="1:13" ht="13.2">
      <c r="A47" s="166" t="s">
        <v>416</v>
      </c>
      <c r="B47" s="40" t="str">
        <f>HYPERLINK("http://codeforces.com/contest/129/problem/B","CF129-D2-B")</f>
        <v>CF129-D2-B</v>
      </c>
      <c r="C47" s="159"/>
      <c r="D47" s="159"/>
      <c r="E47" s="159"/>
      <c r="F47" s="159"/>
      <c r="G47" s="159"/>
      <c r="H47" s="160"/>
      <c r="I47" s="57">
        <f t="shared" si="0"/>
        <v>0</v>
      </c>
      <c r="J47" s="62"/>
      <c r="K47" s="56"/>
      <c r="L47" s="159"/>
      <c r="M47" s="82" t="str">
        <f>HYPERLINK("https://www.youtube.com/watch?v=si51JINxbpk&amp;feature=youtu.be","Video Solution - Eng Abanob Ashraf")</f>
        <v>Video Solution - Eng Abanob Ashraf</v>
      </c>
    </row>
    <row r="48" spans="1:13" ht="13.2">
      <c r="A48" s="166" t="s">
        <v>417</v>
      </c>
      <c r="B48" s="40" t="str">
        <f>HYPERLINK("http://codeforces.com/contest/476/problem/B","CF476-D2-B")</f>
        <v>CF476-D2-B</v>
      </c>
      <c r="C48" s="159"/>
      <c r="D48" s="159"/>
      <c r="E48" s="159"/>
      <c r="F48" s="159"/>
      <c r="G48" s="159"/>
      <c r="H48" s="160"/>
      <c r="I48" s="57">
        <f t="shared" si="0"/>
        <v>0</v>
      </c>
      <c r="J48" s="62"/>
      <c r="K48" s="56"/>
      <c r="L48" s="159"/>
      <c r="M48" s="82" t="str">
        <f>HYPERLINK("https://www.youtube.com/watch?v=uzA2fH9Ol7I&amp;feature=youtu.be","Video Solution - Eng Mohamed Adel")</f>
        <v>Video Solution - Eng Mohamed Adel</v>
      </c>
    </row>
    <row r="49" spans="1:13" ht="13.2">
      <c r="A49" s="166" t="s">
        <v>418</v>
      </c>
      <c r="B49" s="40" t="str">
        <f>HYPERLINK("http://codeforces.com/contest/469/problem/B","CF469-D2-B")</f>
        <v>CF469-D2-B</v>
      </c>
      <c r="C49" s="159"/>
      <c r="D49" s="159"/>
      <c r="E49" s="159"/>
      <c r="F49" s="159"/>
      <c r="G49" s="159"/>
      <c r="H49" s="160"/>
      <c r="I49" s="57">
        <f t="shared" si="0"/>
        <v>0</v>
      </c>
      <c r="J49" s="62"/>
      <c r="K49" s="56"/>
      <c r="L49" s="159"/>
      <c r="M49" s="82" t="str">
        <f>HYPERLINK("https://www.youtube.com/watch?v=7ns-xfWB-8g","Video Solution - Eng Mohamed Adel")</f>
        <v>Video Solution - Eng Mohamed Adel</v>
      </c>
    </row>
    <row r="50" spans="1:13" ht="13.2">
      <c r="A50" s="166" t="s">
        <v>419</v>
      </c>
      <c r="B50" s="40" t="str">
        <f>HYPERLINK("http://codeforces.com/contest/215/problem/B","CF215-D2-B")</f>
        <v>CF215-D2-B</v>
      </c>
      <c r="C50" s="159"/>
      <c r="D50" s="159"/>
      <c r="E50" s="159"/>
      <c r="F50" s="159"/>
      <c r="G50" s="159"/>
      <c r="H50" s="160"/>
      <c r="I50" s="57">
        <f t="shared" si="0"/>
        <v>0</v>
      </c>
      <c r="J50" s="62"/>
      <c r="K50" s="56"/>
      <c r="L50" s="159"/>
      <c r="M50" s="181" t="str">
        <f>HYPERLINK("https://www.youtube.com/watch?v=9PMRkDH1SAY&amp;t=4s","Video Solution - Eng Ahmed Salah")</f>
        <v>Video Solution - Eng Ahmed Salah</v>
      </c>
    </row>
    <row r="51" spans="1:13" ht="13.2">
      <c r="A51" s="166" t="s">
        <v>420</v>
      </c>
      <c r="B51" s="40" t="str">
        <f>HYPERLINK("http://codeforces.com/contest/714/problem/B","CF714-D2-B")</f>
        <v>CF714-D2-B</v>
      </c>
      <c r="C51" s="159"/>
      <c r="D51" s="159"/>
      <c r="E51" s="159"/>
      <c r="F51" s="159"/>
      <c r="G51" s="159"/>
      <c r="H51" s="160"/>
      <c r="I51" s="57">
        <f t="shared" si="0"/>
        <v>0</v>
      </c>
      <c r="J51" s="62"/>
      <c r="K51" s="56"/>
      <c r="L51" s="159"/>
      <c r="M51" s="82" t="str">
        <f>HYPERLINK("https://www.youtube.com/watch?v=aDDoryh3x_g","Video Solution - Eng Muntaser Abukadeja")</f>
        <v>Video Solution - Eng Muntaser Abukadeja</v>
      </c>
    </row>
    <row r="52" spans="1:13" ht="13.2">
      <c r="A52" s="166" t="s">
        <v>421</v>
      </c>
      <c r="B52" s="40" t="str">
        <f>HYPERLINK("http://codeforces.com/contest/400/problem/B","CF400-D2-B")</f>
        <v>CF400-D2-B</v>
      </c>
      <c r="C52" s="159"/>
      <c r="D52" s="159"/>
      <c r="E52" s="159"/>
      <c r="F52" s="159"/>
      <c r="G52" s="159"/>
      <c r="H52" s="160"/>
      <c r="I52" s="57">
        <f t="shared" si="0"/>
        <v>0</v>
      </c>
      <c r="J52" s="62"/>
      <c r="K52" s="56"/>
      <c r="L52" s="159"/>
      <c r="M52" s="82" t="str">
        <f>HYPERLINK("https://www.youtube.com/watch?v=ZWL57YYKwUM&amp;t=1s","Video Solution - Eng Mohamed Salah")</f>
        <v>Video Solution - Eng Mohamed Salah</v>
      </c>
    </row>
    <row r="53" spans="1:13" ht="13.2">
      <c r="A53" s="166" t="s">
        <v>422</v>
      </c>
      <c r="B53" s="40" t="str">
        <f>HYPERLINK("http://codeforces.com/contest/152/problem/B","CF152-D2-B")</f>
        <v>CF152-D2-B</v>
      </c>
      <c r="C53" s="159"/>
      <c r="D53" s="159"/>
      <c r="E53" s="159"/>
      <c r="F53" s="159"/>
      <c r="G53" s="159"/>
      <c r="H53" s="160"/>
      <c r="I53" s="57">
        <f t="shared" si="0"/>
        <v>0</v>
      </c>
      <c r="J53" s="62"/>
      <c r="K53" s="56"/>
      <c r="L53" s="159"/>
      <c r="M53" s="82" t="str">
        <f>HYPERLINK("https://www.youtube.com/watch?v=PNB_OSbdCpQ&amp;feature=youtu.be","Video Solution - Eng Muntaser Abukadeja")</f>
        <v>Video Solution - Eng Muntaser Abukadeja</v>
      </c>
    </row>
    <row r="54" spans="1:13" ht="13.2">
      <c r="A54" s="166" t="s">
        <v>423</v>
      </c>
      <c r="B54" s="40" t="str">
        <f>HYPERLINK("http://codeforces.com/contest/186/problem/B","CF186-D2-B")</f>
        <v>CF186-D2-B</v>
      </c>
      <c r="C54" s="159"/>
      <c r="D54" s="159"/>
      <c r="E54" s="159"/>
      <c r="F54" s="159"/>
      <c r="G54" s="159"/>
      <c r="H54" s="160"/>
      <c r="I54" s="57">
        <f t="shared" si="0"/>
        <v>0</v>
      </c>
      <c r="J54" s="62"/>
      <c r="K54" s="56"/>
      <c r="L54" s="159"/>
      <c r="M54" s="82" t="str">
        <f>HYPERLINK("https://www.youtube.com/watch?v=WdzdNdsaku4","Video Solution - Eng Mohamed Salah")</f>
        <v>Video Solution - Eng Mohamed Salah</v>
      </c>
    </row>
    <row r="55" spans="1:13" ht="13.2">
      <c r="A55" s="83" t="s">
        <v>424</v>
      </c>
      <c r="B55" s="176" t="str">
        <f>HYPERLINK("http://codeforces.com/contest/148/problem/B","CF148-D2-B")</f>
        <v>CF148-D2-B</v>
      </c>
      <c r="C55" s="159"/>
      <c r="D55" s="159"/>
      <c r="E55" s="159"/>
      <c r="F55" s="159"/>
      <c r="G55" s="159"/>
      <c r="H55" s="160"/>
      <c r="I55" s="57">
        <f t="shared" si="0"/>
        <v>0</v>
      </c>
      <c r="J55" s="62"/>
      <c r="K55" s="56"/>
      <c r="L55" s="159"/>
      <c r="M55" s="181" t="str">
        <f>HYPERLINK("https://www.youtube.com/watch?v=IVVN9u6PGJM&amp;feature=youtu.be#_=_","Video Solution - Eng Ahmed Salah")</f>
        <v>Video Solution - Eng Ahmed Salah</v>
      </c>
    </row>
    <row r="56" spans="1:13" ht="13.2">
      <c r="A56" s="163"/>
      <c r="B56" s="164"/>
      <c r="C56" s="159"/>
      <c r="D56" s="159"/>
      <c r="E56" s="159"/>
      <c r="F56" s="159"/>
      <c r="G56" s="159"/>
      <c r="H56" s="160"/>
      <c r="I56" s="57"/>
      <c r="J56" s="62"/>
      <c r="K56" s="56"/>
      <c r="L56" s="159"/>
      <c r="M56" s="162" t="s">
        <v>425</v>
      </c>
    </row>
    <row r="57" spans="1:13" ht="13.2">
      <c r="A57" s="163"/>
      <c r="B57" s="164"/>
      <c r="C57" s="159"/>
      <c r="D57" s="159"/>
      <c r="E57" s="159"/>
      <c r="F57" s="159"/>
      <c r="G57" s="159"/>
      <c r="H57" s="160"/>
      <c r="I57" s="57">
        <f>SUM(E57:H57)</f>
        <v>0</v>
      </c>
      <c r="J57" s="62"/>
      <c r="K57" s="56"/>
      <c r="L57" s="159"/>
      <c r="M57" s="162" t="s">
        <v>426</v>
      </c>
    </row>
    <row r="58" spans="1:13" ht="13.2">
      <c r="A58" s="163"/>
      <c r="B58" s="164"/>
      <c r="C58" s="159"/>
      <c r="D58" s="159"/>
      <c r="E58" s="159"/>
      <c r="F58" s="159"/>
      <c r="G58" s="159"/>
      <c r="H58" s="160"/>
      <c r="I58" s="57"/>
      <c r="J58" s="62"/>
      <c r="K58" s="56"/>
      <c r="L58" s="159"/>
      <c r="M58" s="162"/>
    </row>
    <row r="59" spans="1:13" ht="13.2">
      <c r="A59" s="163"/>
      <c r="B59" s="164"/>
      <c r="C59" s="159"/>
      <c r="D59" s="159"/>
      <c r="E59" s="159"/>
      <c r="F59" s="159"/>
      <c r="G59" s="159"/>
      <c r="H59" s="160"/>
      <c r="I59" s="57">
        <f t="shared" ref="I59:I133" si="1">SUM(E59:H59)</f>
        <v>0</v>
      </c>
      <c r="J59" s="62"/>
      <c r="K59" s="56"/>
      <c r="L59" s="159"/>
      <c r="M59" s="165" t="str">
        <f>HYPERLINK("https://www.youtube.com/watch?v=gFdP6X4CyKU","Watch - Intro to DP - 1")</f>
        <v>Watch - Intro to DP - 1</v>
      </c>
    </row>
    <row r="60" spans="1:13" ht="13.2">
      <c r="A60" s="163"/>
      <c r="B60" s="164"/>
      <c r="C60" s="159"/>
      <c r="D60" s="159"/>
      <c r="E60" s="159"/>
      <c r="F60" s="159"/>
      <c r="G60" s="159"/>
      <c r="H60" s="160"/>
      <c r="I60" s="57">
        <f t="shared" si="1"/>
        <v>0</v>
      </c>
      <c r="J60" s="62"/>
      <c r="K60" s="56"/>
      <c r="L60" s="159"/>
      <c r="M60" s="165" t="str">
        <f>HYPERLINK("https://www.youtube.com/watch?v=1j3srLj-C5Q","Watch - Intro to DP - 2")</f>
        <v>Watch - Intro to DP - 2</v>
      </c>
    </row>
    <row r="61" spans="1:13" ht="13.2">
      <c r="A61" s="122" t="s">
        <v>427</v>
      </c>
      <c r="B61" s="182" t="str">
        <f>HYPERLINK("http://codeforces.com/contest/699/problem/C","CF699-D2-C")</f>
        <v>CF699-D2-C</v>
      </c>
      <c r="C61" s="29"/>
      <c r="D61" s="29"/>
      <c r="E61" s="29"/>
      <c r="F61" s="29"/>
      <c r="G61" s="29"/>
      <c r="H61" s="160"/>
      <c r="I61" s="57">
        <f t="shared" si="1"/>
        <v>0</v>
      </c>
      <c r="J61" s="62"/>
      <c r="K61" s="56"/>
      <c r="L61" s="29"/>
      <c r="M61" s="26"/>
    </row>
    <row r="62" spans="1:13" ht="13.2">
      <c r="A62" s="122" t="s">
        <v>428</v>
      </c>
      <c r="B62" s="182" t="str">
        <f>HYPERLINK("http://codeforces.com/contest/545/problem/C","CF545-D2-C")</f>
        <v>CF545-D2-C</v>
      </c>
      <c r="C62" s="29"/>
      <c r="D62" s="29"/>
      <c r="E62" s="29"/>
      <c r="F62" s="29"/>
      <c r="G62" s="29"/>
      <c r="H62" s="160"/>
      <c r="I62" s="57">
        <f t="shared" si="1"/>
        <v>0</v>
      </c>
      <c r="J62" s="62"/>
      <c r="K62" s="56"/>
      <c r="L62" s="29"/>
      <c r="M62" s="29"/>
    </row>
    <row r="63" spans="1:13" ht="13.2">
      <c r="A63" s="122" t="s">
        <v>429</v>
      </c>
      <c r="B63" s="168" t="str">
        <f>HYPERLINK("http://codeforces.com/contest/225/problem/C","CF225-D2-C")</f>
        <v>CF225-D2-C</v>
      </c>
      <c r="C63" s="159"/>
      <c r="D63" s="159"/>
      <c r="E63" s="159"/>
      <c r="F63" s="159"/>
      <c r="G63" s="159"/>
      <c r="H63" s="160"/>
      <c r="I63" s="57">
        <f t="shared" si="1"/>
        <v>0</v>
      </c>
      <c r="J63" s="62"/>
      <c r="K63" s="56"/>
      <c r="L63" s="159"/>
      <c r="M63" s="82" t="str">
        <f>HYPERLINK("https://www.youtube.com/watch?v=O7Tja1S5IYQ","Video Solution - Dr Mostafa Saad")</f>
        <v>Video Solution - Dr Mostafa Saad</v>
      </c>
    </row>
    <row r="64" spans="1:13" ht="13.2">
      <c r="A64" s="170" t="s">
        <v>430</v>
      </c>
      <c r="B64" s="183" t="str">
        <f>HYPERLINK("https://uva.onlinejudge.org/index.php?option=onlinejudge&amp;page=show_problem&amp;problem=2035","UVA 11094")</f>
        <v>UVA 11094</v>
      </c>
      <c r="C64" s="159"/>
      <c r="D64" s="159"/>
      <c r="E64" s="159"/>
      <c r="F64" s="159"/>
      <c r="G64" s="159"/>
      <c r="H64" s="160"/>
      <c r="I64" s="57">
        <f t="shared" si="1"/>
        <v>0</v>
      </c>
      <c r="J64" s="62"/>
      <c r="K64" s="56"/>
      <c r="L64" s="159"/>
      <c r="M64" s="82" t="str">
        <f>HYPERLINK("https://www.youtube.com/watch?v=vLuFqaQ40RI","Video Solution - Eng Ayman Salah")</f>
        <v>Video Solution - Eng Ayman Salah</v>
      </c>
    </row>
    <row r="65" spans="1:13" ht="13.2">
      <c r="A65" s="170" t="s">
        <v>431</v>
      </c>
      <c r="B65" s="171" t="str">
        <f>HYPERLINK("https://uva.onlinejudge.org/index.php?option=onlinejudge&amp;page=show_problem&amp;problem=1806","UVA 10865")</f>
        <v>UVA 10865</v>
      </c>
      <c r="C65" s="29"/>
      <c r="D65" s="29"/>
      <c r="E65" s="29"/>
      <c r="F65" s="29"/>
      <c r="G65" s="29"/>
      <c r="H65" s="103"/>
      <c r="I65" s="57">
        <f t="shared" si="1"/>
        <v>0</v>
      </c>
      <c r="J65" s="62"/>
      <c r="K65" s="56"/>
      <c r="L65" s="29"/>
      <c r="M65" s="138" t="str">
        <f>HYPERLINK("https://www.youtube.com/watch?v=VZ7kCc80C6o&amp;feature=youtu.be","Video Solution - Eng Magdy Hasan")</f>
        <v>Video Solution - Eng Magdy Hasan</v>
      </c>
    </row>
    <row r="66" spans="1:13" ht="13.2">
      <c r="A66" s="114" t="s">
        <v>432</v>
      </c>
      <c r="B66" s="173" t="str">
        <f>HYPERLINK("http://acm.timus.ru/problem.aspx?space=1&amp;num=1054","TIMUS 1054")</f>
        <v>TIMUS 1054</v>
      </c>
      <c r="C66" s="29"/>
      <c r="D66" s="29"/>
      <c r="E66" s="29"/>
      <c r="F66" s="29"/>
      <c r="G66" s="29"/>
      <c r="H66" s="103"/>
      <c r="I66" s="57">
        <f t="shared" si="1"/>
        <v>0</v>
      </c>
      <c r="J66" s="62"/>
      <c r="K66" s="56"/>
      <c r="L66" s="29"/>
      <c r="M66" s="138" t="str">
        <f>HYPERLINK("https://github.com/MeGaCrazy/CompetitiveProgramming/blob/9ebf16b4239c8f58c694f2ae22c8f07d1fa70864/Timus/TIMUS_1054.cpp","Sol")</f>
        <v>Sol</v>
      </c>
    </row>
    <row r="67" spans="1:13" ht="13.2">
      <c r="A67" s="163"/>
      <c r="B67" s="164"/>
      <c r="C67" s="159"/>
      <c r="D67" s="159"/>
      <c r="E67" s="159"/>
      <c r="F67" s="159"/>
      <c r="G67" s="159"/>
      <c r="H67" s="160"/>
      <c r="I67" s="57">
        <f t="shared" si="1"/>
        <v>0</v>
      </c>
      <c r="J67" s="62"/>
      <c r="K67" s="56"/>
      <c r="L67" s="159"/>
      <c r="M67" s="127"/>
    </row>
    <row r="68" spans="1:13" ht="13.2">
      <c r="A68" s="166" t="s">
        <v>433</v>
      </c>
      <c r="B68" s="40" t="str">
        <f>HYPERLINK("http://codeforces.com/contest/262/problem/B","CF262-D2-B")</f>
        <v>CF262-D2-B</v>
      </c>
      <c r="C68" s="159"/>
      <c r="D68" s="159"/>
      <c r="E68" s="159"/>
      <c r="F68" s="159"/>
      <c r="G68" s="159"/>
      <c r="H68" s="160"/>
      <c r="I68" s="57">
        <f t="shared" si="1"/>
        <v>0</v>
      </c>
      <c r="J68" s="62"/>
      <c r="K68" s="56"/>
      <c r="L68" s="159"/>
      <c r="M68" s="82" t="str">
        <f>HYPERLINK("https://www.youtube.com/watch?v=6Ic_MPWfhEg","Video Solution - Eng Mohamed Salah")</f>
        <v>Video Solution - Eng Mohamed Salah</v>
      </c>
    </row>
    <row r="69" spans="1:13" ht="13.2">
      <c r="A69" s="166" t="s">
        <v>434</v>
      </c>
      <c r="B69" s="40" t="str">
        <f>HYPERLINK("http://codeforces.com/contest/385/problem/B","CF385-D2-B")</f>
        <v>CF385-D2-B</v>
      </c>
      <c r="C69" s="159"/>
      <c r="D69" s="159"/>
      <c r="E69" s="159"/>
      <c r="F69" s="159"/>
      <c r="G69" s="159"/>
      <c r="H69" s="160"/>
      <c r="I69" s="57">
        <f t="shared" si="1"/>
        <v>0</v>
      </c>
      <c r="J69" s="62"/>
      <c r="K69" s="56"/>
      <c r="L69" s="159"/>
      <c r="M69" s="82" t="str">
        <f>HYPERLINK("https://www.youtube.com/watch?v=hTUYMzcMuvA","Video Solution - Eng Mohamed Salah")</f>
        <v>Video Solution - Eng Mohamed Salah</v>
      </c>
    </row>
    <row r="70" spans="1:13" ht="13.2">
      <c r="A70" s="166" t="s">
        <v>435</v>
      </c>
      <c r="B70" s="40" t="str">
        <f>HYPERLINK("http://codeforces.com/contest/376/problem/B","CF376-D2-B")</f>
        <v>CF376-D2-B</v>
      </c>
      <c r="C70" s="159"/>
      <c r="D70" s="159"/>
      <c r="E70" s="159"/>
      <c r="F70" s="159"/>
      <c r="G70" s="159"/>
      <c r="H70" s="160"/>
      <c r="I70" s="57">
        <f t="shared" si="1"/>
        <v>0</v>
      </c>
      <c r="J70" s="62"/>
      <c r="K70" s="56"/>
      <c r="L70" s="159"/>
      <c r="M70" s="82" t="str">
        <f>HYPERLINK("https://www.youtube.com/watch?v=d962qNWSvas&amp;feature=youtu.be","Video Solution - Eng Abanob Ashraf")</f>
        <v>Video Solution - Eng Abanob Ashraf</v>
      </c>
    </row>
    <row r="71" spans="1:13" ht="13.2">
      <c r="A71" s="166" t="s">
        <v>436</v>
      </c>
      <c r="B71" s="40" t="str">
        <f>HYPERLINK("http://codeforces.com/contest/352/problem/B","CF352-D2-B")</f>
        <v>CF352-D2-B</v>
      </c>
      <c r="C71" s="159"/>
      <c r="D71" s="159"/>
      <c r="E71" s="159"/>
      <c r="F71" s="159"/>
      <c r="G71" s="159"/>
      <c r="H71" s="160"/>
      <c r="I71" s="57">
        <f t="shared" si="1"/>
        <v>0</v>
      </c>
      <c r="J71" s="62"/>
      <c r="K71" s="56"/>
      <c r="L71" s="159"/>
      <c r="M71" s="82" t="str">
        <f>HYPERLINK("https://www.youtube.com/watch?v=7xgzxrYuwUc","Video Solution - Eng Muntaser Abukadeja")</f>
        <v>Video Solution - Eng Muntaser Abukadeja</v>
      </c>
    </row>
    <row r="72" spans="1:13" ht="13.2">
      <c r="A72" s="166" t="s">
        <v>437</v>
      </c>
      <c r="B72" s="184" t="str">
        <f>HYPERLINK("http://codeforces.com/contest/144/problem/B","CF144-D2-B")</f>
        <v>CF144-D2-B</v>
      </c>
      <c r="C72" s="159"/>
      <c r="D72" s="159"/>
      <c r="E72" s="159"/>
      <c r="F72" s="159"/>
      <c r="G72" s="159"/>
      <c r="H72" s="160"/>
      <c r="I72" s="57">
        <f t="shared" si="1"/>
        <v>0</v>
      </c>
      <c r="J72" s="62"/>
      <c r="K72" s="56"/>
      <c r="L72" s="159"/>
      <c r="M72" s="82" t="str">
        <f>HYPERLINK("https://www.youtube.com/watch?v=9fpKWAPudyo&amp;feature=youtu.be","Video Solution - Eng Muntaser Abukadeja")</f>
        <v>Video Solution - Eng Muntaser Abukadeja</v>
      </c>
    </row>
    <row r="73" spans="1:13" ht="13.2">
      <c r="A73" s="166" t="s">
        <v>438</v>
      </c>
      <c r="B73" s="40" t="str">
        <f>HYPERLINK("http://codeforces.com/contest/617/problem/B","CF617-D2-B")</f>
        <v>CF617-D2-B</v>
      </c>
      <c r="C73" s="159"/>
      <c r="D73" s="159"/>
      <c r="E73" s="159"/>
      <c r="F73" s="159"/>
      <c r="G73" s="159"/>
      <c r="H73" s="160"/>
      <c r="I73" s="57">
        <f t="shared" si="1"/>
        <v>0</v>
      </c>
      <c r="J73" s="62"/>
      <c r="K73" s="56"/>
      <c r="L73" s="159"/>
      <c r="M73" s="82" t="str">
        <f>HYPERLINK("https://www.youtube.com/watch?v=APkfGgJJVCc","Video Solution - Eng Yahia Ashraf")</f>
        <v>Video Solution - Eng Yahia Ashraf</v>
      </c>
    </row>
    <row r="74" spans="1:13" ht="13.2">
      <c r="A74" s="166" t="s">
        <v>439</v>
      </c>
      <c r="B74" s="40" t="str">
        <f>HYPERLINK("http://codeforces.com/contest/236/problem/B","CF236-D2-B")</f>
        <v>CF236-D2-B</v>
      </c>
      <c r="C74" s="159"/>
      <c r="D74" s="159"/>
      <c r="E74" s="159"/>
      <c r="F74" s="159"/>
      <c r="G74" s="159"/>
      <c r="H74" s="160"/>
      <c r="I74" s="57">
        <f t="shared" si="1"/>
        <v>0</v>
      </c>
      <c r="J74" s="62"/>
      <c r="K74" s="56"/>
      <c r="L74" s="159"/>
      <c r="M74" s="82" t="str">
        <f>HYPERLINK("https://www.youtube.com/watch?v=Tv2JpMqQWYg","Video Solution - Eng Yahia Ashraf")</f>
        <v>Video Solution - Eng Yahia Ashraf</v>
      </c>
    </row>
    <row r="75" spans="1:13" ht="13.2">
      <c r="A75" s="86" t="s">
        <v>440</v>
      </c>
      <c r="B75" s="185" t="str">
        <f>HYPERLINK("http://codeforces.com/contest/514/problem/B","CF514-D2-B")</f>
        <v>CF514-D2-B</v>
      </c>
      <c r="C75" s="29"/>
      <c r="D75" s="29"/>
      <c r="E75" s="29"/>
      <c r="F75" s="29"/>
      <c r="G75" s="29"/>
      <c r="H75" s="160"/>
      <c r="I75" s="57">
        <f t="shared" si="1"/>
        <v>0</v>
      </c>
      <c r="J75" s="62"/>
      <c r="K75" s="56"/>
      <c r="L75" s="29"/>
      <c r="M75" s="26"/>
    </row>
    <row r="76" spans="1:13" ht="13.2">
      <c r="A76" s="86" t="s">
        <v>441</v>
      </c>
      <c r="B76" s="185" t="str">
        <f>HYPERLINK("http://codeforces.com/contest/253/problem/B","CF253-D2-B")</f>
        <v>CF253-D2-B</v>
      </c>
      <c r="C76" s="29"/>
      <c r="D76" s="29"/>
      <c r="E76" s="29"/>
      <c r="F76" s="29"/>
      <c r="G76" s="29"/>
      <c r="H76" s="160"/>
      <c r="I76" s="57">
        <f t="shared" si="1"/>
        <v>0</v>
      </c>
      <c r="J76" s="62"/>
      <c r="K76" s="56"/>
      <c r="L76" s="29"/>
      <c r="M76" s="82" t="str">
        <f>HYPERLINK("https://www.youtube.com/watch?v=ZR0IxC_xoFk","Video Solution - Eng Mohamed Salah")</f>
        <v>Video Solution - Eng Mohamed Salah</v>
      </c>
    </row>
    <row r="77" spans="1:13" ht="13.2">
      <c r="A77" s="86" t="s">
        <v>442</v>
      </c>
      <c r="B77" s="185" t="str">
        <f>HYPERLINK("http://codeforces.com/contest/520/problem/B","CF520-D2-B")</f>
        <v>CF520-D2-B</v>
      </c>
      <c r="C77" s="29"/>
      <c r="D77" s="29"/>
      <c r="E77" s="29"/>
      <c r="F77" s="29"/>
      <c r="G77" s="29"/>
      <c r="H77" s="160"/>
      <c r="I77" s="57">
        <f t="shared" si="1"/>
        <v>0</v>
      </c>
      <c r="J77" s="62"/>
      <c r="K77" s="56"/>
      <c r="L77" s="29"/>
      <c r="M77" s="82" t="str">
        <f>HYPERLINK("https://www.youtube.com/watch?v=tMsOxSRU4Sk","Video Solution - Solver to be (Java)")</f>
        <v>Video Solution - Solver to be (Java)</v>
      </c>
    </row>
    <row r="78" spans="1:13" ht="13.2">
      <c r="A78" s="163"/>
      <c r="B78" s="164"/>
      <c r="C78" s="29"/>
      <c r="D78" s="29"/>
      <c r="E78" s="29"/>
      <c r="F78" s="29"/>
      <c r="G78" s="29"/>
      <c r="H78" s="160"/>
      <c r="I78" s="57">
        <f t="shared" si="1"/>
        <v>0</v>
      </c>
      <c r="J78" s="62"/>
      <c r="K78" s="56"/>
      <c r="L78" s="159"/>
      <c r="M78" s="165"/>
    </row>
    <row r="79" spans="1:13" ht="13.2">
      <c r="A79" s="163"/>
      <c r="B79" s="164"/>
      <c r="C79" s="159"/>
      <c r="D79" s="159"/>
      <c r="E79" s="159"/>
      <c r="F79" s="159"/>
      <c r="G79" s="159"/>
      <c r="H79" s="160"/>
      <c r="I79" s="57">
        <f t="shared" si="1"/>
        <v>0</v>
      </c>
      <c r="J79" s="62"/>
      <c r="K79" s="56"/>
      <c r="L79" s="159"/>
      <c r="M79" s="165" t="str">
        <f>HYPERLINK("https://www.youtube.com/watch?v=dcMtSmWHLP4","Watch - Computational Geometry - Complex Number and 2D Point")</f>
        <v>Watch - Computational Geometry - Complex Number and 2D Point</v>
      </c>
    </row>
    <row r="80" spans="1:13" ht="13.2">
      <c r="A80" s="163"/>
      <c r="B80" s="164"/>
      <c r="C80" s="159"/>
      <c r="D80" s="159"/>
      <c r="E80" s="159"/>
      <c r="F80" s="159"/>
      <c r="G80" s="159"/>
      <c r="H80" s="160"/>
      <c r="I80" s="57">
        <f t="shared" si="1"/>
        <v>0</v>
      </c>
      <c r="J80" s="62"/>
      <c r="K80" s="56"/>
      <c r="L80" s="159"/>
      <c r="M80" s="165" t="str">
        <f>HYPERLINK("https://www.youtube.com/watch?v=1Vi2h7dKdEQ","Watch - Computational Geometry - Lines and Distances")</f>
        <v>Watch - Computational Geometry - Lines and Distances</v>
      </c>
    </row>
    <row r="81" spans="1:13" ht="13.2">
      <c r="A81" s="122" t="s">
        <v>443</v>
      </c>
      <c r="B81" s="168" t="str">
        <f>HYPERLINK("https://uva.onlinejudge.org/index.php?option=com_onlinejudge&amp;Itemid=8&amp;page=show_problem&amp;problem=314","UVA 378")</f>
        <v>UVA 378</v>
      </c>
      <c r="C81" s="159"/>
      <c r="D81" s="159"/>
      <c r="E81" s="159"/>
      <c r="F81" s="159"/>
      <c r="G81" s="159"/>
      <c r="H81" s="160"/>
      <c r="I81" s="57">
        <f t="shared" si="1"/>
        <v>0</v>
      </c>
      <c r="J81" s="62"/>
      <c r="K81" s="56"/>
      <c r="L81" s="159"/>
      <c r="M81" s="127"/>
    </row>
    <row r="82" spans="1:13" ht="13.2">
      <c r="A82" s="170" t="s">
        <v>444</v>
      </c>
      <c r="B82" s="183" t="str">
        <f>HYPERLINK("https://uva.onlinejudge.org/index.php?option=com_onlinejudge&amp;Itemid=8&amp;page=show_problem&amp;problem=1018","UVA 10077")</f>
        <v>UVA 10077</v>
      </c>
      <c r="C82" s="159"/>
      <c r="D82" s="159"/>
      <c r="E82" s="159"/>
      <c r="F82" s="159"/>
      <c r="G82" s="159"/>
      <c r="H82" s="160"/>
      <c r="I82" s="57">
        <f t="shared" si="1"/>
        <v>0</v>
      </c>
      <c r="J82" s="62"/>
      <c r="K82" s="56"/>
      <c r="L82" s="159"/>
      <c r="M82" s="127"/>
    </row>
    <row r="83" spans="1:13" ht="13.2">
      <c r="A83" s="170" t="s">
        <v>445</v>
      </c>
      <c r="B83" s="171" t="str">
        <f>HYPERLINK("http://codeforces.com/contest/505/problem/B","CF505-D2-B")</f>
        <v>CF505-D2-B</v>
      </c>
      <c r="C83" s="159"/>
      <c r="D83" s="159"/>
      <c r="E83" s="159"/>
      <c r="F83" s="159"/>
      <c r="G83" s="159"/>
      <c r="H83" s="160"/>
      <c r="I83" s="57">
        <f t="shared" si="1"/>
        <v>0</v>
      </c>
      <c r="J83" s="93"/>
      <c r="K83" s="92"/>
      <c r="L83" s="29"/>
      <c r="M83" s="186" t="str">
        <f>HYPERLINK("https://www.youtube.com/watch?v=4516VTXcDJM&amp;feature=youtu.be","Video Solution - Eng Muntaser Abukadeja")</f>
        <v>Video Solution - Eng Muntaser Abukadeja</v>
      </c>
    </row>
    <row r="84" spans="1:13" ht="13.2">
      <c r="A84" s="163"/>
      <c r="B84" s="164"/>
      <c r="C84" s="159"/>
      <c r="D84" s="159"/>
      <c r="E84" s="159"/>
      <c r="F84" s="159"/>
      <c r="G84" s="159"/>
      <c r="H84" s="160"/>
      <c r="I84" s="57">
        <f t="shared" si="1"/>
        <v>0</v>
      </c>
      <c r="J84" s="62"/>
      <c r="K84" s="56"/>
      <c r="L84" s="159"/>
      <c r="M84" s="86"/>
    </row>
    <row r="85" spans="1:13" ht="13.2">
      <c r="A85" s="166" t="s">
        <v>446</v>
      </c>
      <c r="B85" s="40" t="str">
        <f>HYPERLINK("http://codeforces.com/contest/445/problem/B","CF445-D2-B")</f>
        <v>CF445-D2-B</v>
      </c>
      <c r="C85" s="159"/>
      <c r="D85" s="159"/>
      <c r="E85" s="159"/>
      <c r="F85" s="159"/>
      <c r="G85" s="159"/>
      <c r="H85" s="160"/>
      <c r="I85" s="57">
        <f t="shared" si="1"/>
        <v>0</v>
      </c>
      <c r="J85" s="62"/>
      <c r="K85" s="56"/>
      <c r="L85" s="159"/>
      <c r="M85" s="187" t="s">
        <v>447</v>
      </c>
    </row>
    <row r="86" spans="1:13" ht="13.2">
      <c r="A86" s="166" t="s">
        <v>448</v>
      </c>
      <c r="B86" s="40" t="str">
        <f>HYPERLINK("http://codeforces.com/contest/584/problem/B","CF584-D2-B")</f>
        <v>CF584-D2-B</v>
      </c>
      <c r="C86" s="159"/>
      <c r="D86" s="159"/>
      <c r="E86" s="159"/>
      <c r="F86" s="159"/>
      <c r="G86" s="159"/>
      <c r="H86" s="160"/>
      <c r="I86" s="57">
        <f t="shared" si="1"/>
        <v>0</v>
      </c>
      <c r="J86" s="62"/>
      <c r="K86" s="56"/>
      <c r="L86" s="159"/>
      <c r="M86" s="82" t="str">
        <f>HYPERLINK("https://www.youtube.com/watch?v=-Dh_FyJiJ9Q","Video Solution - Eng Yahia Ashraf")</f>
        <v>Video Solution - Eng Yahia Ashraf</v>
      </c>
    </row>
    <row r="87" spans="1:13" ht="13.2">
      <c r="A87" s="166" t="s">
        <v>449</v>
      </c>
      <c r="B87" s="40" t="str">
        <f>HYPERLINK("http://codeforces.com/contest/448/problem/B","CF448-D2-B")</f>
        <v>CF448-D2-B</v>
      </c>
      <c r="C87" s="159"/>
      <c r="D87" s="159"/>
      <c r="E87" s="159"/>
      <c r="F87" s="159"/>
      <c r="G87" s="159"/>
      <c r="H87" s="160"/>
      <c r="I87" s="57">
        <f t="shared" si="1"/>
        <v>0</v>
      </c>
      <c r="J87" s="62"/>
      <c r="K87" s="56"/>
      <c r="L87" s="159"/>
      <c r="M87" s="82" t="str">
        <f>HYPERLINK("https://www.youtube.com/watch?v=-J0VaYdgbRc","Video Solution - Eng Mohamed Salah")</f>
        <v>Video Solution - Eng Mohamed Salah</v>
      </c>
    </row>
    <row r="88" spans="1:13" ht="13.2">
      <c r="A88" s="166" t="s">
        <v>450</v>
      </c>
      <c r="B88" s="40" t="str">
        <f>HYPERLINK("http://codeforces.com/contest/716/problem/B","CF716-D2-B")</f>
        <v>CF716-D2-B</v>
      </c>
      <c r="C88" s="159"/>
      <c r="D88" s="159"/>
      <c r="E88" s="159"/>
      <c r="F88" s="159"/>
      <c r="G88" s="159"/>
      <c r="H88" s="160"/>
      <c r="I88" s="57">
        <f t="shared" si="1"/>
        <v>0</v>
      </c>
      <c r="J88" s="62"/>
      <c r="K88" s="56"/>
      <c r="L88" s="159"/>
      <c r="M88" s="82" t="str">
        <f>HYPERLINK("https://www.youtube.com/watch?v=lu6BhwVMNhw","Video Solution - Eng Mohamed Salah")</f>
        <v>Video Solution - Eng Mohamed Salah</v>
      </c>
    </row>
    <row r="89" spans="1:13" ht="13.2">
      <c r="A89" s="166" t="s">
        <v>451</v>
      </c>
      <c r="B89" s="40" t="str">
        <f>HYPERLINK("http://codeforces.com/contest/544/problem/B","CF544-D2-B")</f>
        <v>CF544-D2-B</v>
      </c>
      <c r="C89" s="159"/>
      <c r="D89" s="159"/>
      <c r="E89" s="159"/>
      <c r="F89" s="159"/>
      <c r="G89" s="159"/>
      <c r="H89" s="160"/>
      <c r="I89" s="57">
        <f t="shared" si="1"/>
        <v>0</v>
      </c>
      <c r="J89" s="62"/>
      <c r="K89" s="56"/>
      <c r="L89" s="159"/>
      <c r="M89" s="82" t="str">
        <f>HYPERLINK("https://www.youtube.com/watch?v=7MC9PFQTlxs","Video Solution - Eng Mohamed Salah")</f>
        <v>Video Solution - Eng Mohamed Salah</v>
      </c>
    </row>
    <row r="90" spans="1:13" ht="13.2">
      <c r="A90" s="86" t="s">
        <v>452</v>
      </c>
      <c r="B90" s="185" t="str">
        <f>HYPERLINK("http://codeforces.com/contest/141/problem/B","CF141-D2-B")</f>
        <v>CF141-D2-B</v>
      </c>
      <c r="C90" s="29"/>
      <c r="D90" s="457"/>
      <c r="E90" s="29"/>
      <c r="F90" s="29"/>
      <c r="G90" s="29"/>
      <c r="H90" s="160"/>
      <c r="I90" s="57">
        <f t="shared" si="1"/>
        <v>0</v>
      </c>
      <c r="J90" s="62"/>
      <c r="K90" s="56"/>
      <c r="L90" s="29"/>
      <c r="M90" s="82" t="str">
        <f>HYPERLINK("https://www.youtube.com/watch?v=edI2c3Myaek&amp;feature=youtu.be","Video Solution - Eng Yahia Ashraf")</f>
        <v>Video Solution - Eng Yahia Ashraf</v>
      </c>
    </row>
    <row r="91" spans="1:13" ht="13.2">
      <c r="A91" s="86" t="s">
        <v>453</v>
      </c>
      <c r="B91" s="185" t="str">
        <f>HYPERLINK("http://codeforces.com/contest/369/problem/B","CF369-D2-B")</f>
        <v>CF369-D2-B</v>
      </c>
      <c r="C91" s="29"/>
      <c r="D91" s="29"/>
      <c r="E91" s="29"/>
      <c r="F91" s="29"/>
      <c r="G91" s="29"/>
      <c r="H91" s="160"/>
      <c r="I91" s="57">
        <f t="shared" si="1"/>
        <v>0</v>
      </c>
      <c r="J91" s="62"/>
      <c r="K91" s="56"/>
      <c r="L91" s="29"/>
      <c r="M91" s="82" t="str">
        <f>HYPERLINK("https://www.youtube.com/watch?v=1CHX-WYiQvA","Video Solution - Eng Yahia Ashraf")</f>
        <v>Video Solution - Eng Yahia Ashraf</v>
      </c>
    </row>
    <row r="92" spans="1:13" ht="13.2">
      <c r="A92" s="188" t="s">
        <v>454</v>
      </c>
      <c r="B92" s="189" t="str">
        <f>HYPERLINK("http://codeforces.com/contest/791/problem/B","CF791-D2-B")</f>
        <v>CF791-D2-B</v>
      </c>
      <c r="C92" s="48"/>
      <c r="D92" s="62"/>
      <c r="E92" s="62"/>
      <c r="F92" s="62"/>
      <c r="G92" s="62"/>
      <c r="H92" s="57"/>
      <c r="I92" s="57">
        <f t="shared" si="1"/>
        <v>0</v>
      </c>
      <c r="J92" s="62"/>
      <c r="K92" s="56"/>
      <c r="L92" s="62"/>
      <c r="M92" s="82" t="str">
        <f>HYPERLINK("https://www.youtube.com/watch?v=3tVJoeUE0Ag&amp;feature=youtu.be","Video Solution - Eng Mohamed Salah")</f>
        <v>Video Solution - Eng Mohamed Salah</v>
      </c>
    </row>
    <row r="93" spans="1:13" ht="13.2">
      <c r="A93" s="83" t="s">
        <v>455</v>
      </c>
      <c r="B93" s="176" t="str">
        <f>HYPERLINK("http://codeforces.com/contest/550/problem/B","CF550-D2-B")</f>
        <v>CF550-D2-B</v>
      </c>
      <c r="C93" s="48"/>
      <c r="D93" s="62"/>
      <c r="E93" s="62"/>
      <c r="F93" s="62"/>
      <c r="G93" s="62"/>
      <c r="H93" s="57"/>
      <c r="I93" s="57">
        <f t="shared" si="1"/>
        <v>0</v>
      </c>
      <c r="J93" s="62"/>
      <c r="K93" s="56"/>
      <c r="L93" s="62"/>
      <c r="M93" s="137" t="str">
        <f>HYPERLINK("https://www.youtube.com/watch?v=o5fKByvQguE","Video Solution - SolverToBe (Java)")</f>
        <v>Video Solution - SolverToBe (Java)</v>
      </c>
    </row>
    <row r="94" spans="1:13" ht="13.2">
      <c r="A94" s="163"/>
      <c r="B94" s="164"/>
      <c r="C94" s="29"/>
      <c r="D94" s="29"/>
      <c r="E94" s="29"/>
      <c r="F94" s="29"/>
      <c r="G94" s="29"/>
      <c r="H94" s="160"/>
      <c r="I94" s="57">
        <f t="shared" si="1"/>
        <v>0</v>
      </c>
      <c r="J94" s="62"/>
      <c r="K94" s="56"/>
      <c r="L94" s="159"/>
      <c r="M94" s="165"/>
    </row>
    <row r="95" spans="1:13" ht="13.2">
      <c r="A95" s="163"/>
      <c r="B95" s="164"/>
      <c r="C95" s="29"/>
      <c r="D95" s="29"/>
      <c r="E95" s="29"/>
      <c r="F95" s="29"/>
      <c r="G95" s="29"/>
      <c r="H95" s="160"/>
      <c r="I95" s="57">
        <f t="shared" si="1"/>
        <v>0</v>
      </c>
      <c r="J95" s="62"/>
      <c r="K95" s="56"/>
      <c r="L95" s="159"/>
      <c r="M95" s="67" t="str">
        <f>HYPERLINK("https://www.youtube.com/watch?v=WTr12dK2Se0","Watch - Focused and Diffused Thinking")</f>
        <v>Watch - Focused and Diffused Thinking</v>
      </c>
    </row>
    <row r="96" spans="1:13" ht="13.2">
      <c r="A96" s="163"/>
      <c r="B96" s="164"/>
      <c r="C96" s="29"/>
      <c r="D96" s="29"/>
      <c r="E96" s="29"/>
      <c r="F96" s="29"/>
      <c r="G96" s="29"/>
      <c r="H96" s="160"/>
      <c r="I96" s="57">
        <f t="shared" si="1"/>
        <v>0</v>
      </c>
      <c r="J96" s="62"/>
      <c r="K96" s="56"/>
      <c r="L96" s="159"/>
      <c r="M96" s="167" t="str">
        <f>HYPERLINK("https://www.youtube.com/watch?v=tcQky6O1em8","Watch - Graph Theory - MST - Prime")</f>
        <v>Watch - Graph Theory - MST - Prime</v>
      </c>
    </row>
    <row r="97" spans="1:13" ht="13.2">
      <c r="A97" s="163"/>
      <c r="B97" s="164"/>
      <c r="C97" s="29"/>
      <c r="D97" s="29"/>
      <c r="E97" s="29"/>
      <c r="F97" s="29"/>
      <c r="G97" s="29"/>
      <c r="H97" s="160"/>
      <c r="I97" s="57">
        <f t="shared" si="1"/>
        <v>0</v>
      </c>
      <c r="J97" s="62"/>
      <c r="K97" s="56"/>
      <c r="L97" s="159"/>
      <c r="M97" s="165" t="str">
        <f>HYPERLINK("https://www.youtube.com/watch?v=HQ5ANfzSDn0","Watch - Graph Theory - MST - Kruskal")</f>
        <v>Watch - Graph Theory - MST - Kruskal</v>
      </c>
    </row>
    <row r="98" spans="1:13" ht="14.4">
      <c r="A98" s="122" t="s">
        <v>456</v>
      </c>
      <c r="B98" s="168" t="str">
        <f>HYPERLINK("https://uva.onlinejudge.org/index.php?option=com_onlinejudge&amp;Itemid=8&amp;page=show_problem&amp;problem=1088","UVA 10147")</f>
        <v>UVA 10147</v>
      </c>
      <c r="C98" s="458" t="s">
        <v>166</v>
      </c>
      <c r="D98" s="159"/>
      <c r="E98" s="159"/>
      <c r="F98" s="159"/>
      <c r="G98" s="159"/>
      <c r="H98" s="160"/>
      <c r="I98" s="57">
        <f t="shared" si="1"/>
        <v>0</v>
      </c>
      <c r="J98" s="62"/>
      <c r="K98" s="56"/>
      <c r="L98" s="159"/>
      <c r="M98" s="138" t="str">
        <f>HYPERLINK("https://www.youtube.com/watch?v=yNkLz4OVXtI","Video Solution - Eng Mahmoud Adel")</f>
        <v>Video Solution - Eng Mahmoud Adel</v>
      </c>
    </row>
    <row r="99" spans="1:13" ht="14.4">
      <c r="A99" s="124" t="s">
        <v>457</v>
      </c>
      <c r="B99" s="168" t="str">
        <f>HYPERLINK("https://uva.onlinejudge.org/index.php?option=com_onlinejudge&amp;Itemid=8&amp;page=show_problem&amp;problem=1541","UVA 10600")</f>
        <v>UVA 10600</v>
      </c>
      <c r="C99" s="458" t="s">
        <v>1788</v>
      </c>
      <c r="D99" s="159"/>
      <c r="E99" s="159"/>
      <c r="F99" s="159"/>
      <c r="G99" s="159"/>
      <c r="H99" s="160"/>
      <c r="I99" s="57">
        <f t="shared" si="1"/>
        <v>0</v>
      </c>
      <c r="J99" s="62"/>
      <c r="K99" s="56"/>
      <c r="L99" s="159"/>
      <c r="M99" s="138" t="str">
        <f>HYPERLINK("https://www.youtube.com/watch?v=94EApxauQQE&amp;feature=youtu.be","Video Solution - Eng Moaz Rashad")</f>
        <v>Video Solution - Eng Moaz Rashad</v>
      </c>
    </row>
    <row r="100" spans="1:13" ht="13.8" customHeight="1">
      <c r="A100" s="122" t="s">
        <v>458</v>
      </c>
      <c r="B100" s="168" t="str">
        <f>HYPERLINK("https://uva.onlinejudge.org/index.php?option=onlinejudge&amp;page=show_problem&amp;problem=2498","UVA 11503")</f>
        <v>UVA 11503</v>
      </c>
      <c r="C100" s="458" t="s">
        <v>1787</v>
      </c>
      <c r="D100" s="159"/>
      <c r="E100" s="159"/>
      <c r="F100" s="159"/>
      <c r="G100" s="159"/>
      <c r="H100" s="160"/>
      <c r="I100" s="57">
        <f t="shared" si="1"/>
        <v>0</v>
      </c>
      <c r="J100" s="62"/>
      <c r="K100" s="56"/>
      <c r="L100" s="159"/>
      <c r="M100" s="138" t="str">
        <f>HYPERLINK("https://www.youtube.com/watch?v=kO_XbOt1drc","Video Solution - Eng Moaz Rashad")</f>
        <v>Video Solution - Eng Moaz Rashad</v>
      </c>
    </row>
    <row r="101" spans="1:13" ht="14.4">
      <c r="A101" s="122" t="s">
        <v>459</v>
      </c>
      <c r="B101" s="168" t="str">
        <f>HYPERLINK("https://uva.onlinejudge.org/index.php?option=com_onlinejudge&amp;Itemid=8&amp;page=show_problem&amp;problem=1310","UVA 10369")</f>
        <v>UVA 10369</v>
      </c>
      <c r="C101" s="459"/>
      <c r="D101" s="159"/>
      <c r="E101" s="159"/>
      <c r="F101" s="159"/>
      <c r="G101" s="159"/>
      <c r="H101" s="160"/>
      <c r="I101" s="116">
        <f t="shared" si="1"/>
        <v>0</v>
      </c>
      <c r="J101" s="62"/>
      <c r="K101" s="56"/>
      <c r="L101" s="159"/>
      <c r="M101" s="127"/>
    </row>
    <row r="102" spans="1:13" ht="14.4">
      <c r="A102" s="170" t="s">
        <v>460</v>
      </c>
      <c r="B102" s="171" t="str">
        <f>HYPERLINK("https://uva.onlinejudge.org/index.php?option=com_onlinejudge&amp;Itemid=8&amp;page=show_problem&amp;problem=58","UVA 122")</f>
        <v>UVA 122</v>
      </c>
      <c r="C102" s="461"/>
      <c r="D102" s="62"/>
      <c r="E102" s="62"/>
      <c r="F102" s="62"/>
      <c r="G102" s="62"/>
      <c r="H102" s="57"/>
      <c r="I102" s="57">
        <f t="shared" si="1"/>
        <v>0</v>
      </c>
      <c r="J102" s="62"/>
      <c r="K102" s="56"/>
      <c r="L102" s="62"/>
      <c r="M102" s="137" t="str">
        <f>HYPERLINK("https://www.youtube.com/watch?v=b6D-7cqN2jM","Video Solution - SolverToBe (Java)")</f>
        <v>Video Solution - SolverToBe (Java)</v>
      </c>
    </row>
    <row r="103" spans="1:13" ht="13.2">
      <c r="A103" s="114" t="s">
        <v>461</v>
      </c>
      <c r="B103" s="173" t="str">
        <f>HYPERLINK("http://acm.timus.ru/problem.aspx?space=1&amp;num=1100","TIMUS 1100")</f>
        <v>TIMUS 1100</v>
      </c>
      <c r="C103" s="48"/>
      <c r="D103" s="62"/>
      <c r="E103" s="62"/>
      <c r="F103" s="62"/>
      <c r="G103" s="62"/>
      <c r="H103" s="57"/>
      <c r="I103" s="57">
        <f t="shared" si="1"/>
        <v>0</v>
      </c>
      <c r="J103" s="62"/>
      <c r="K103" s="56"/>
      <c r="L103" s="62"/>
      <c r="M103" s="137" t="str">
        <f>HYPERLINK("https://github.com/marioyc/Online-Judge-Solutions/blob/master/Timus%20Online%20Judge/1100%20-%20Final%20Standings.cpp","Stable sort exercise")</f>
        <v>Stable sort exercise</v>
      </c>
    </row>
    <row r="104" spans="1:13" ht="14.4">
      <c r="A104" s="114" t="s">
        <v>462</v>
      </c>
      <c r="B104" s="173" t="str">
        <f>HYPERLINK("http://acm.timus.ru/problem.aspx?space=1&amp;num=1349","TIMUS 1349")</f>
        <v>TIMUS 1349</v>
      </c>
      <c r="C104" s="460" t="s">
        <v>1789</v>
      </c>
      <c r="D104" s="62"/>
      <c r="E104" s="62"/>
      <c r="F104" s="62"/>
      <c r="G104" s="62"/>
      <c r="H104" s="57"/>
      <c r="I104" s="57">
        <f t="shared" si="1"/>
        <v>0</v>
      </c>
      <c r="J104" s="62"/>
      <c r="K104" s="56"/>
      <c r="L104" s="62"/>
      <c r="M104" s="137" t="str">
        <f>HYPERLINK("http://xoptutorials.com/index.php/2017/01/01/timus1349/","Learn Fermat’s Last Theorem")</f>
        <v>Learn Fermat’s Last Theorem</v>
      </c>
    </row>
    <row r="105" spans="1:13" ht="13.2">
      <c r="A105" s="163"/>
      <c r="B105" s="164"/>
      <c r="C105" s="159"/>
      <c r="D105" s="159"/>
      <c r="E105" s="159"/>
      <c r="F105" s="159"/>
      <c r="G105" s="159"/>
      <c r="H105" s="160"/>
      <c r="I105" s="57">
        <f t="shared" si="1"/>
        <v>0</v>
      </c>
      <c r="J105" s="62"/>
      <c r="K105" s="56"/>
      <c r="L105" s="159"/>
      <c r="M105" s="127"/>
    </row>
    <row r="106" spans="1:13" ht="13.2">
      <c r="A106" s="166" t="s">
        <v>463</v>
      </c>
      <c r="B106" s="40" t="str">
        <f>HYPERLINK("http://codeforces.com/contest/415/problem/B","CF415-D2-B")</f>
        <v>CF415-D2-B</v>
      </c>
      <c r="C106" s="159"/>
      <c r="D106" s="159"/>
      <c r="E106" s="159"/>
      <c r="F106" s="159"/>
      <c r="G106" s="159"/>
      <c r="H106" s="160"/>
      <c r="I106" s="57">
        <f t="shared" si="1"/>
        <v>0</v>
      </c>
      <c r="J106" s="62"/>
      <c r="K106" s="56"/>
      <c r="L106" s="159"/>
      <c r="M106" s="138" t="str">
        <f>HYPERLINK("https://www.youtube.com/watch?v=ZNxSTHmpLGc&amp;feature=youtu.be","Video Solution - Eng Salma Yehia")</f>
        <v>Video Solution - Eng Salma Yehia</v>
      </c>
    </row>
    <row r="107" spans="1:13" ht="13.2">
      <c r="A107" s="166" t="s">
        <v>464</v>
      </c>
      <c r="B107" s="40" t="str">
        <f>HYPERLINK("http://codeforces.com/contest/602/problem/B","CF602-D2-B")</f>
        <v>CF602-D2-B</v>
      </c>
      <c r="C107" s="159"/>
      <c r="D107" s="159"/>
      <c r="E107" s="159"/>
      <c r="F107" s="159"/>
      <c r="G107" s="159"/>
      <c r="H107" s="160"/>
      <c r="I107" s="57">
        <f t="shared" si="1"/>
        <v>0</v>
      </c>
      <c r="J107" s="62"/>
      <c r="K107" s="56"/>
      <c r="L107" s="159"/>
      <c r="M107" s="138" t="str">
        <f>HYPERLINK("https://www.youtube.com/watch?v=g93nX3rLVuk#_=_","Video Solution - Eng Salma Yehia")</f>
        <v>Video Solution - Eng Salma Yehia</v>
      </c>
    </row>
    <row r="108" spans="1:13" ht="13.2">
      <c r="A108" s="166" t="s">
        <v>465</v>
      </c>
      <c r="B108" s="190" t="str">
        <f>HYPERLINK("http://codeforces.com/contest/614/problem/B","CF614-D2-B")</f>
        <v>CF614-D2-B</v>
      </c>
      <c r="C108" s="159"/>
      <c r="D108" s="159"/>
      <c r="E108" s="159"/>
      <c r="F108" s="159"/>
      <c r="G108" s="159"/>
      <c r="H108" s="160"/>
      <c r="I108" s="57">
        <f t="shared" si="1"/>
        <v>0</v>
      </c>
      <c r="J108" s="62"/>
      <c r="K108" s="56"/>
      <c r="L108" s="159"/>
      <c r="M108" s="63"/>
    </row>
    <row r="109" spans="1:13" ht="13.2">
      <c r="A109" s="166" t="s">
        <v>466</v>
      </c>
      <c r="B109" s="40" t="str">
        <f>HYPERLINK("http://codeforces.com/contest/486/problem/B","CF486-D2-B")</f>
        <v>CF486-D2-B</v>
      </c>
      <c r="C109" s="159"/>
      <c r="D109" s="159"/>
      <c r="E109" s="159"/>
      <c r="F109" s="159"/>
      <c r="G109" s="159"/>
      <c r="H109" s="160"/>
      <c r="I109" s="57">
        <f t="shared" si="1"/>
        <v>0</v>
      </c>
      <c r="J109" s="62"/>
      <c r="K109" s="56"/>
      <c r="L109" s="159"/>
      <c r="M109" s="63"/>
    </row>
    <row r="110" spans="1:13" ht="13.2">
      <c r="A110" s="166" t="s">
        <v>467</v>
      </c>
      <c r="B110" s="40" t="str">
        <f>HYPERLINK("http://codeforces.com/contest/510/problem/B","CF510-D2-B")</f>
        <v>CF510-D2-B</v>
      </c>
      <c r="C110" s="159"/>
      <c r="D110" s="159"/>
      <c r="E110" s="159"/>
      <c r="F110" s="159"/>
      <c r="G110" s="159"/>
      <c r="H110" s="160"/>
      <c r="I110" s="57">
        <f t="shared" si="1"/>
        <v>0</v>
      </c>
      <c r="J110" s="62"/>
      <c r="K110" s="56"/>
      <c r="L110" s="159"/>
      <c r="M110" s="191" t="str">
        <f>HYPERLINK("https://www.youtube.com/watch?v=LHIZzMjnG0k&amp;feature=youtu.be","Video Solution - Eng Mohamed Adel")</f>
        <v>Video Solution - Eng Mohamed Adel</v>
      </c>
    </row>
    <row r="111" spans="1:13" ht="13.2">
      <c r="A111" s="166" t="s">
        <v>468</v>
      </c>
      <c r="B111" s="40" t="str">
        <f>HYPERLINK("http://codeforces.com/contest/337/problem/B","CF337-D2-B")</f>
        <v>CF337-D2-B</v>
      </c>
      <c r="C111" s="159"/>
      <c r="D111" s="159"/>
      <c r="E111" s="159"/>
      <c r="F111" s="159"/>
      <c r="G111" s="159"/>
      <c r="H111" s="160"/>
      <c r="I111" s="57">
        <f t="shared" si="1"/>
        <v>0</v>
      </c>
      <c r="J111" s="62"/>
      <c r="K111" s="56"/>
      <c r="L111" s="159"/>
      <c r="M111" s="191" t="str">
        <f>HYPERLINK("https://www.youtube.com/watch?v=NaB4pnNbXEY","Video Solution - Eng Mohamed Adel")</f>
        <v>Video Solution - Eng Mohamed Adel</v>
      </c>
    </row>
    <row r="112" spans="1:13" ht="13.2">
      <c r="A112" s="166" t="s">
        <v>469</v>
      </c>
      <c r="B112" s="40" t="str">
        <f>HYPERLINK("http://codeforces.com/contest/493/problem/B","CF493-D2-B")</f>
        <v>CF493-D2-B</v>
      </c>
      <c r="C112" s="159"/>
      <c r="D112" s="159"/>
      <c r="E112" s="159"/>
      <c r="F112" s="159"/>
      <c r="G112" s="159"/>
      <c r="H112" s="160"/>
      <c r="I112" s="57">
        <f t="shared" si="1"/>
        <v>0</v>
      </c>
      <c r="J112" s="62"/>
      <c r="K112" s="56"/>
      <c r="L112" s="159"/>
      <c r="M112" s="63"/>
    </row>
    <row r="113" spans="1:13" ht="13.2">
      <c r="A113" s="166" t="s">
        <v>470</v>
      </c>
      <c r="B113" s="40" t="str">
        <f>HYPERLINK("http://codeforces.com/contest/608/problem/B","CF608-D2-B")</f>
        <v>CF608-D2-B</v>
      </c>
      <c r="C113" s="159"/>
      <c r="D113" s="159"/>
      <c r="E113" s="159"/>
      <c r="F113" s="159"/>
      <c r="G113" s="159"/>
      <c r="H113" s="160"/>
      <c r="I113" s="57">
        <f t="shared" si="1"/>
        <v>0</v>
      </c>
      <c r="J113" s="62"/>
      <c r="K113" s="56"/>
      <c r="L113" s="159"/>
      <c r="M113" s="63"/>
    </row>
    <row r="114" spans="1:13" ht="13.2">
      <c r="A114" s="86" t="s">
        <v>471</v>
      </c>
      <c r="B114" s="185" t="str">
        <f>HYPERLINK("http://codeforces.com/contest/621/problem/B","CF621-D2-B")</f>
        <v>CF621-D2-B</v>
      </c>
      <c r="C114" s="29"/>
      <c r="D114" s="29"/>
      <c r="E114" s="29"/>
      <c r="F114" s="29"/>
      <c r="G114" s="29"/>
      <c r="H114" s="160"/>
      <c r="I114" s="57">
        <f t="shared" si="1"/>
        <v>0</v>
      </c>
      <c r="J114" s="62"/>
      <c r="K114" s="56"/>
      <c r="L114" s="29"/>
      <c r="M114" s="192" t="str">
        <f>HYPERLINK("https://www.youtube.com/watch?v=zKne2u4DuIs&amp;feature=youtu.be","Video Solution - Eng Mahmoud Mabrok")</f>
        <v>Video Solution - Eng Mahmoud Mabrok</v>
      </c>
    </row>
    <row r="115" spans="1:13" ht="13.2">
      <c r="A115" s="166" t="s">
        <v>472</v>
      </c>
      <c r="B115" s="40" t="str">
        <f>HYPERLINK("http://codeforces.com/contest/580/problem/B","CF580-D2-B")</f>
        <v>CF580-D2-B</v>
      </c>
      <c r="C115" s="159"/>
      <c r="D115" s="159"/>
      <c r="E115" s="159"/>
      <c r="F115" s="159"/>
      <c r="G115" s="159"/>
      <c r="H115" s="160"/>
      <c r="I115" s="57">
        <f t="shared" si="1"/>
        <v>0</v>
      </c>
      <c r="J115" s="62"/>
      <c r="K115" s="56"/>
      <c r="L115" s="159"/>
      <c r="M115" s="137" t="str">
        <f>HYPERLINK("https://www.youtube.com/watch?v=kUXDNSkFECM","Video Solution - SolverToBe (Java)")</f>
        <v>Video Solution - SolverToBe (Java)</v>
      </c>
    </row>
    <row r="116" spans="1:13" ht="13.2">
      <c r="A116" s="86" t="s">
        <v>473</v>
      </c>
      <c r="B116" s="185" t="str">
        <f>HYPERLINK("http://codeforces.com/contest/535/problem/B","CF535-D2-B")</f>
        <v>CF535-D2-B</v>
      </c>
      <c r="C116" s="29"/>
      <c r="D116" s="29"/>
      <c r="E116" s="29"/>
      <c r="F116" s="29"/>
      <c r="G116" s="29"/>
      <c r="H116" s="29"/>
      <c r="I116" s="103">
        <f t="shared" si="1"/>
        <v>0</v>
      </c>
      <c r="J116" s="93"/>
      <c r="K116" s="92"/>
      <c r="L116" s="29"/>
      <c r="M116" s="82" t="str">
        <f>HYPERLINK("https://www.youtube.com/watch?v=NPVp5BntYZ4","Video Solution - Eng Abanob Ashraf")</f>
        <v>Video Solution - Eng Abanob Ashraf</v>
      </c>
    </row>
    <row r="117" spans="1:13" ht="13.2">
      <c r="A117" s="188"/>
      <c r="B117" s="111"/>
      <c r="C117" s="29"/>
      <c r="D117" s="29"/>
      <c r="E117" s="29"/>
      <c r="F117" s="29"/>
      <c r="G117" s="29"/>
      <c r="H117" s="29"/>
      <c r="I117" s="103">
        <f t="shared" si="1"/>
        <v>0</v>
      </c>
      <c r="J117" s="93"/>
      <c r="K117" s="92"/>
      <c r="L117" s="29"/>
      <c r="M117" s="117"/>
    </row>
    <row r="118" spans="1:13" ht="13.2">
      <c r="A118" s="188" t="s">
        <v>474</v>
      </c>
      <c r="B118" s="111" t="str">
        <f>HYPERLINK("http://codeforces.com/contest/1009/problem/B","CF1009-D12-B")</f>
        <v>CF1009-D12-B</v>
      </c>
      <c r="C118" s="29"/>
      <c r="D118" s="29"/>
      <c r="E118" s="29"/>
      <c r="F118" s="29"/>
      <c r="G118" s="29"/>
      <c r="H118" s="29"/>
      <c r="I118" s="103">
        <f t="shared" si="1"/>
        <v>0</v>
      </c>
      <c r="J118" s="93"/>
      <c r="K118" s="92"/>
      <c r="L118" s="29"/>
      <c r="M118" s="117"/>
    </row>
    <row r="119" spans="1:13" ht="13.2">
      <c r="A119" s="188"/>
      <c r="B119" s="137" t="str">
        <f>HYPERLINK("https://codeforces.com/contest/1030/problem/B","CF1030-D12-B")</f>
        <v>CF1030-D12-B</v>
      </c>
      <c r="C119" s="29"/>
      <c r="D119" s="29"/>
      <c r="E119" s="29"/>
      <c r="F119" s="29"/>
      <c r="G119" s="29"/>
      <c r="H119" s="29"/>
      <c r="I119" s="103">
        <f t="shared" si="1"/>
        <v>0</v>
      </c>
      <c r="J119" s="93"/>
      <c r="K119" s="92"/>
      <c r="L119" s="29"/>
      <c r="M119" s="117"/>
    </row>
    <row r="120" spans="1:13" ht="13.2">
      <c r="A120" s="188"/>
      <c r="B120" s="193" t="str">
        <f>HYPERLINK("https://codeforces.com/contest/1051/problem/B", "CF1051-D2-B")</f>
        <v>CF1051-D2-B</v>
      </c>
      <c r="C120" s="29"/>
      <c r="D120" s="29"/>
      <c r="E120" s="29"/>
      <c r="F120" s="29"/>
      <c r="G120" s="29"/>
      <c r="H120" s="29"/>
      <c r="I120" s="103">
        <f t="shared" si="1"/>
        <v>0</v>
      </c>
      <c r="J120" s="93"/>
      <c r="K120" s="92"/>
      <c r="L120" s="29"/>
      <c r="M120" s="117"/>
    </row>
    <row r="121" spans="1:13" ht="13.2">
      <c r="A121" s="188"/>
      <c r="B121" s="143" t="str">
        <f>HYPERLINK("https://codeforces.com/contest/1237/problem/B","CF1237-D12-B")</f>
        <v>CF1237-D12-B</v>
      </c>
      <c r="C121" s="29"/>
      <c r="D121" s="29"/>
      <c r="E121" s="29"/>
      <c r="F121" s="29"/>
      <c r="G121" s="29"/>
      <c r="H121" s="29"/>
      <c r="I121" s="103">
        <f t="shared" si="1"/>
        <v>0</v>
      </c>
      <c r="J121" s="93"/>
      <c r="K121" s="92"/>
      <c r="L121" s="29"/>
      <c r="M121" s="117"/>
    </row>
    <row r="122" spans="1:13" ht="13.2">
      <c r="A122" s="29"/>
      <c r="B122" s="29"/>
      <c r="C122" s="29"/>
      <c r="D122" s="29"/>
      <c r="E122" s="29"/>
      <c r="F122" s="29"/>
      <c r="G122" s="29"/>
      <c r="H122" s="160"/>
      <c r="I122" s="57">
        <f t="shared" si="1"/>
        <v>0</v>
      </c>
      <c r="J122" s="62"/>
      <c r="K122" s="56"/>
      <c r="L122" s="29"/>
      <c r="M122" s="165"/>
    </row>
    <row r="123" spans="1:13" ht="13.2">
      <c r="A123" s="29"/>
      <c r="B123" s="29"/>
      <c r="C123" s="29"/>
      <c r="D123" s="29"/>
      <c r="E123" s="29"/>
      <c r="F123" s="29"/>
      <c r="G123" s="29"/>
      <c r="H123" s="160"/>
      <c r="I123" s="57">
        <f t="shared" si="1"/>
        <v>0</v>
      </c>
      <c r="J123" s="62"/>
      <c r="K123" s="56"/>
      <c r="L123" s="29"/>
      <c r="M123" s="165" t="str">
        <f>HYPERLINK("https://www.youtube.com/watch?v=iXxP_liQklk","Watch - Intro to Greedy")</f>
        <v>Watch - Intro to Greedy</v>
      </c>
    </row>
    <row r="124" spans="1:13" ht="13.2">
      <c r="A124" s="194" t="s">
        <v>475</v>
      </c>
      <c r="B124" s="195" t="str">
        <f>HYPERLINK("http://codeforces.com/contest/282/problem/B","CF282-D2-B")</f>
        <v>CF282-D2-B</v>
      </c>
      <c r="C124" s="29"/>
      <c r="D124" s="29"/>
      <c r="E124" s="29"/>
      <c r="F124" s="29"/>
      <c r="G124" s="29"/>
      <c r="H124" s="160"/>
      <c r="I124" s="57">
        <f t="shared" si="1"/>
        <v>0</v>
      </c>
      <c r="J124" s="62"/>
      <c r="K124" s="56"/>
      <c r="L124" s="29"/>
      <c r="M124" s="26"/>
    </row>
    <row r="125" spans="1:13" ht="13.2">
      <c r="A125" s="194" t="s">
        <v>476</v>
      </c>
      <c r="B125" s="195" t="str">
        <f>HYPERLINK("http://codeforces.com/contest/435/problem/B","CF435-D2-B")</f>
        <v>CF435-D2-B</v>
      </c>
      <c r="C125" s="29"/>
      <c r="D125" s="29"/>
      <c r="E125" s="29"/>
      <c r="F125" s="29"/>
      <c r="G125" s="29"/>
      <c r="H125" s="160"/>
      <c r="I125" s="57">
        <f t="shared" si="1"/>
        <v>0</v>
      </c>
      <c r="J125" s="62"/>
      <c r="K125" s="56"/>
      <c r="L125" s="29"/>
      <c r="M125" s="82" t="str">
        <f>HYPERLINK("https://www.youtube.com/watch?v=hDsuoSTdytw&amp;feature=youtu.be","Video Solution - Eng Hossam Yehia")</f>
        <v>Video Solution - Eng Hossam Yehia</v>
      </c>
    </row>
    <row r="126" spans="1:13" ht="13.2">
      <c r="A126" s="194" t="s">
        <v>477</v>
      </c>
      <c r="B126" s="195" t="str">
        <f>HYPERLINK("http://codeforces.com/contest/276/problem/B","CF276-D2-B")</f>
        <v>CF276-D2-B</v>
      </c>
      <c r="C126" s="29"/>
      <c r="D126" s="29"/>
      <c r="E126" s="29"/>
      <c r="F126" s="29"/>
      <c r="G126" s="29"/>
      <c r="H126" s="160"/>
      <c r="I126" s="57">
        <f t="shared" si="1"/>
        <v>0</v>
      </c>
      <c r="J126" s="62"/>
      <c r="K126" s="56"/>
      <c r="L126" s="29"/>
      <c r="M126" s="82" t="str">
        <f>HYPERLINK("https://www.youtube.com/watch?v=WrpG_n0SrbY&amp;feature=youtu.be","Video Solution - Eng Hossam Yehia")</f>
        <v>Video Solution - Eng Hossam Yehia</v>
      </c>
    </row>
    <row r="127" spans="1:13" ht="13.2">
      <c r="A127" s="194" t="s">
        <v>478</v>
      </c>
      <c r="B127" s="195" t="str">
        <f>HYPERLINK("http://codeforces.com/contest/525/problem/B","CF525-D2-B")</f>
        <v>CF525-D2-B</v>
      </c>
      <c r="C127" s="29"/>
      <c r="D127" s="29"/>
      <c r="E127" s="29"/>
      <c r="F127" s="29"/>
      <c r="G127" s="29"/>
      <c r="H127" s="160"/>
      <c r="I127" s="57">
        <f t="shared" si="1"/>
        <v>0</v>
      </c>
      <c r="J127" s="62"/>
      <c r="K127" s="56"/>
      <c r="L127" s="29"/>
      <c r="M127" s="82" t="str">
        <f>HYPERLINK("https://www.youtube.com/watch?v=NPVp5BntYZ4","Video Solution - Eng Hossam Yehia")</f>
        <v>Video Solution - Eng Hossam Yehia</v>
      </c>
    </row>
    <row r="128" spans="1:13" ht="13.2">
      <c r="A128" s="194" t="s">
        <v>479</v>
      </c>
      <c r="B128" s="196" t="str">
        <f>HYPERLINK("http://codeforces.com/contest/416/problem/C","CF416-D2-C")</f>
        <v>CF416-D2-C</v>
      </c>
      <c r="C128" s="29"/>
      <c r="D128" s="29"/>
      <c r="E128" s="29"/>
      <c r="F128" s="29"/>
      <c r="G128" s="29"/>
      <c r="H128" s="160"/>
      <c r="I128" s="57">
        <f t="shared" si="1"/>
        <v>0</v>
      </c>
      <c r="J128" s="62"/>
      <c r="K128" s="56"/>
      <c r="L128" s="29"/>
      <c r="M128" s="26"/>
    </row>
    <row r="129" spans="1:13" ht="13.2">
      <c r="A129" s="194" t="s">
        <v>480</v>
      </c>
      <c r="B129" s="196" t="str">
        <f>HYPERLINK("http://codeforces.com/contest/492/problem/C","CF492-D2-C")</f>
        <v>CF492-D2-C</v>
      </c>
      <c r="C129" s="29"/>
      <c r="D129" s="29"/>
      <c r="E129" s="29"/>
      <c r="F129" s="29"/>
      <c r="G129" s="29"/>
      <c r="H129" s="160"/>
      <c r="I129" s="57">
        <f t="shared" si="1"/>
        <v>0</v>
      </c>
      <c r="J129" s="62"/>
      <c r="K129" s="56"/>
      <c r="L129" s="29"/>
      <c r="M129" s="26"/>
    </row>
    <row r="130" spans="1:13" ht="13.2">
      <c r="A130" s="170" t="s">
        <v>481</v>
      </c>
      <c r="B130" s="171" t="str">
        <f>HYPERLINK("https://uva.onlinejudge.org/index.php?option=com_onlinejudge&amp;Itemid=8&amp;page=show_problem&amp;problem=41","UVA 105")</f>
        <v>UVA 105</v>
      </c>
      <c r="C130" s="29"/>
      <c r="D130" s="29"/>
      <c r="E130" s="29"/>
      <c r="F130" s="29"/>
      <c r="G130" s="29"/>
      <c r="H130" s="160"/>
      <c r="I130" s="57">
        <f t="shared" si="1"/>
        <v>0</v>
      </c>
      <c r="J130" s="62"/>
      <c r="K130" s="56"/>
      <c r="L130" s="29"/>
      <c r="M130" s="26"/>
    </row>
    <row r="131" spans="1:13" ht="13.2">
      <c r="A131" s="170" t="s">
        <v>482</v>
      </c>
      <c r="B131" s="183" t="str">
        <f>HYPERLINK("https://uva.onlinejudge.org/index.php?option=onlinejudge&amp;page=show_problem&amp;problem=1217","UVA 10276")</f>
        <v>UVA 10276</v>
      </c>
      <c r="C131" s="159"/>
      <c r="D131" s="159"/>
      <c r="E131" s="159"/>
      <c r="F131" s="159"/>
      <c r="G131" s="159"/>
      <c r="H131" s="160"/>
      <c r="I131" s="57">
        <f t="shared" si="1"/>
        <v>0</v>
      </c>
      <c r="J131" s="62"/>
      <c r="K131" s="56"/>
      <c r="L131" s="159"/>
      <c r="M131" s="138" t="str">
        <f>HYPERLINK("https://www.youtube.com/watch?v=ygWfse3bBLI&amp;feature=youtu.be","Video Solution - Eng Mahmoud Adel")</f>
        <v>Video Solution - Eng Mahmoud Adel</v>
      </c>
    </row>
    <row r="132" spans="1:13" ht="13.2">
      <c r="A132" s="170" t="s">
        <v>483</v>
      </c>
      <c r="B132" s="183" t="str">
        <f>HYPERLINK("https://uva.onlinejudge.org/index.php?option=onlinejudge&amp;page=show_problem&amp;problem=725","UVA 784")</f>
        <v>UVA 784</v>
      </c>
      <c r="C132" s="159"/>
      <c r="D132" s="159"/>
      <c r="E132" s="159"/>
      <c r="F132" s="159"/>
      <c r="G132" s="159"/>
      <c r="H132" s="160"/>
      <c r="I132" s="57">
        <f t="shared" si="1"/>
        <v>0</v>
      </c>
      <c r="J132" s="62"/>
      <c r="K132" s="56"/>
      <c r="L132" s="159"/>
      <c r="M132" s="138" t="str">
        <f>HYPERLINK("https://www.youtube.com/watch?v=khOAL6TflhE&amp;feature=youtu.be","Video Solution - Eng Mahmoud Adel")</f>
        <v>Video Solution - Eng Mahmoud Adel</v>
      </c>
    </row>
    <row r="133" spans="1:13" ht="13.2">
      <c r="A133" s="197" t="s">
        <v>484</v>
      </c>
      <c r="B133" s="198" t="s">
        <v>485</v>
      </c>
      <c r="C133" s="159"/>
      <c r="D133" s="159"/>
      <c r="E133" s="159"/>
      <c r="F133" s="159"/>
      <c r="G133" s="159"/>
      <c r="H133" s="160"/>
      <c r="I133" s="116">
        <f t="shared" si="1"/>
        <v>0</v>
      </c>
      <c r="J133" s="62"/>
      <c r="K133" s="56"/>
      <c r="L133" s="159"/>
      <c r="M133" s="199"/>
    </row>
    <row r="134" spans="1:13" ht="13.2">
      <c r="A134" s="200"/>
      <c r="B134" s="201"/>
      <c r="C134" s="202"/>
      <c r="D134" s="202"/>
      <c r="E134" s="202"/>
      <c r="F134" s="202"/>
      <c r="G134" s="202"/>
      <c r="H134" s="203"/>
      <c r="I134" s="203">
        <f>SUM(E134:G134)</f>
        <v>0</v>
      </c>
      <c r="J134" s="202"/>
      <c r="K134" s="202"/>
      <c r="L134" s="202"/>
      <c r="M134" s="200"/>
    </row>
    <row r="135" spans="1:13" ht="13.2">
      <c r="A135" s="127"/>
      <c r="B135" s="26"/>
      <c r="C135" s="96"/>
      <c r="D135" s="663" t="s">
        <v>263</v>
      </c>
      <c r="E135" s="620"/>
      <c r="F135" s="620"/>
      <c r="G135" s="620"/>
      <c r="H135" s="160"/>
      <c r="I135" s="160">
        <f>SUM(E135:G135)</f>
        <v>0</v>
      </c>
      <c r="J135" s="662" t="s">
        <v>264</v>
      </c>
      <c r="K135" s="620"/>
      <c r="L135" s="620"/>
      <c r="M135" s="620"/>
    </row>
    <row r="136" spans="1:13" ht="13.2">
      <c r="A136" s="200"/>
      <c r="B136" s="201"/>
      <c r="C136" s="202"/>
      <c r="D136" s="202"/>
      <c r="E136" s="202"/>
      <c r="F136" s="202"/>
      <c r="G136" s="202"/>
      <c r="H136" s="203"/>
      <c r="I136" s="203">
        <f>SUM(E136:G136)</f>
        <v>0</v>
      </c>
      <c r="J136" s="202"/>
      <c r="K136" s="202"/>
      <c r="L136" s="202"/>
      <c r="M136" s="200"/>
    </row>
    <row r="137" spans="1:13" ht="13.2">
      <c r="A137" s="86" t="s">
        <v>486</v>
      </c>
      <c r="B137" s="87" t="str">
        <f>HYPERLINK("http://codeforces.com/contest/439/problem/B","CF439-D2-B")</f>
        <v>CF439-D2-B</v>
      </c>
      <c r="C137" s="29"/>
      <c r="D137" s="29"/>
      <c r="E137" s="29"/>
      <c r="F137" s="29"/>
      <c r="G137" s="29"/>
      <c r="H137" s="29"/>
      <c r="I137" s="103">
        <f t="shared" ref="I137:I218" si="2">SUM(E137:H137)</f>
        <v>0</v>
      </c>
      <c r="J137" s="93"/>
      <c r="K137" s="92"/>
      <c r="L137" s="29"/>
      <c r="M137" s="128" t="str">
        <f>HYPERLINK("https://www.youtube.com/watch?v=KoGeW-vs7VY","Video Solution - Solver to be (Java)")</f>
        <v>Video Solution - Solver to be (Java)</v>
      </c>
    </row>
    <row r="138" spans="1:13" ht="13.2">
      <c r="A138" s="86" t="s">
        <v>487</v>
      </c>
      <c r="B138" s="87" t="str">
        <f>HYPERLINK("http://codeforces.com/contest/796/problem/B","CF796-D2-B")</f>
        <v>CF796-D2-B</v>
      </c>
      <c r="C138" s="29"/>
      <c r="D138" s="29"/>
      <c r="E138" s="29"/>
      <c r="F138" s="29"/>
      <c r="G138" s="29"/>
      <c r="H138" s="29"/>
      <c r="I138" s="103">
        <f t="shared" si="2"/>
        <v>0</v>
      </c>
      <c r="J138" s="93"/>
      <c r="K138" s="92"/>
      <c r="L138" s="29"/>
      <c r="M138" s="128" t="str">
        <f>HYPERLINK("https://www.youtube.com/watch?v=sLBLgccZ3CM","Video Solution - Solver to be (Java)")</f>
        <v>Video Solution - Solver to be (Java)</v>
      </c>
    </row>
    <row r="139" spans="1:13" ht="13.2">
      <c r="A139" s="86" t="s">
        <v>488</v>
      </c>
      <c r="B139" s="87" t="str">
        <f>HYPERLINK("http://codeforces.com/contest/26/problem/B","CF26-D12-B")</f>
        <v>CF26-D12-B</v>
      </c>
      <c r="C139" s="29"/>
      <c r="D139" s="29"/>
      <c r="E139" s="29"/>
      <c r="F139" s="29"/>
      <c r="G139" s="29"/>
      <c r="H139" s="29"/>
      <c r="I139" s="103">
        <f t="shared" si="2"/>
        <v>0</v>
      </c>
      <c r="J139" s="93"/>
      <c r="K139" s="92"/>
      <c r="L139" s="29"/>
      <c r="M139" s="128" t="str">
        <f>HYPERLINK("https://www.youtube.com/watch?v=bz1ZEbzCFfU","Video Solution - Solver to be (Java)")</f>
        <v>Video Solution - Solver to be (Java)</v>
      </c>
    </row>
    <row r="140" spans="1:13" ht="13.2">
      <c r="A140" s="166" t="s">
        <v>489</v>
      </c>
      <c r="B140" s="184" t="str">
        <f>HYPERLINK("http://codeforces.com/contest/465/problem/B","CF465-D2-B")</f>
        <v>CF465-D2-B</v>
      </c>
      <c r="C140" s="159"/>
      <c r="D140" s="159"/>
      <c r="E140" s="159"/>
      <c r="F140" s="159"/>
      <c r="G140" s="159"/>
      <c r="H140" s="160"/>
      <c r="I140" s="57">
        <f t="shared" si="2"/>
        <v>0</v>
      </c>
      <c r="J140" s="62"/>
      <c r="K140" s="56"/>
      <c r="L140" s="159"/>
      <c r="M140" s="127"/>
    </row>
    <row r="141" spans="1:13" ht="13.2">
      <c r="A141" s="166" t="s">
        <v>490</v>
      </c>
      <c r="B141" s="184" t="str">
        <f>HYPERLINK("http://codeforces.com/contest/672/problem/B","CF672-D2-B")</f>
        <v>CF672-D2-B</v>
      </c>
      <c r="C141" s="159"/>
      <c r="D141" s="159"/>
      <c r="E141" s="159"/>
      <c r="F141" s="159"/>
      <c r="G141" s="159"/>
      <c r="H141" s="160"/>
      <c r="I141" s="57">
        <f t="shared" si="2"/>
        <v>0</v>
      </c>
      <c r="J141" s="62"/>
      <c r="K141" s="56"/>
      <c r="L141" s="159"/>
      <c r="M141" s="127"/>
    </row>
    <row r="142" spans="1:13" ht="13.2">
      <c r="A142" s="166" t="s">
        <v>491</v>
      </c>
      <c r="B142" s="184" t="str">
        <f>HYPERLINK("http://codeforces.com/contest/137/problem/B","CF137-D2-B")</f>
        <v>CF137-D2-B</v>
      </c>
      <c r="C142" s="159"/>
      <c r="D142" s="159"/>
      <c r="E142" s="159"/>
      <c r="F142" s="159"/>
      <c r="G142" s="159"/>
      <c r="H142" s="160"/>
      <c r="I142" s="57">
        <f t="shared" si="2"/>
        <v>0</v>
      </c>
      <c r="J142" s="62"/>
      <c r="K142" s="56"/>
      <c r="L142" s="159"/>
      <c r="M142" s="127"/>
    </row>
    <row r="143" spans="1:13" ht="13.2">
      <c r="A143" s="166" t="s">
        <v>492</v>
      </c>
      <c r="B143" s="184" t="str">
        <f>HYPERLINK("http://codeforces.com/contest/259/problem/B","CF259-D2-B")</f>
        <v>CF259-D2-B</v>
      </c>
      <c r="C143" s="159"/>
      <c r="D143" s="159"/>
      <c r="E143" s="159"/>
      <c r="F143" s="159"/>
      <c r="G143" s="159"/>
      <c r="H143" s="160"/>
      <c r="I143" s="57">
        <f t="shared" si="2"/>
        <v>0</v>
      </c>
      <c r="J143" s="62"/>
      <c r="K143" s="56"/>
      <c r="L143" s="159"/>
      <c r="M143" s="127"/>
    </row>
    <row r="144" spans="1:13" ht="13.2">
      <c r="A144" s="166" t="s">
        <v>493</v>
      </c>
      <c r="B144" s="184" t="str">
        <f>HYPERLINK("http://codeforces.com/contest/218/problem/B","CF218-D2-B")</f>
        <v>CF218-D2-B</v>
      </c>
      <c r="C144" s="159"/>
      <c r="D144" s="159"/>
      <c r="E144" s="159"/>
      <c r="F144" s="159"/>
      <c r="G144" s="159"/>
      <c r="H144" s="160"/>
      <c r="I144" s="57">
        <f t="shared" si="2"/>
        <v>0</v>
      </c>
      <c r="J144" s="62"/>
      <c r="K144" s="56"/>
      <c r="L144" s="159"/>
      <c r="M144" s="127"/>
    </row>
    <row r="145" spans="1:13" ht="13.2">
      <c r="A145" s="166" t="s">
        <v>494</v>
      </c>
      <c r="B145" s="184" t="str">
        <f>HYPERLINK("http://codeforces.com/contest/732/problem/B","CF732-D2-B")</f>
        <v>CF732-D2-B</v>
      </c>
      <c r="C145" s="159"/>
      <c r="D145" s="159"/>
      <c r="E145" s="159"/>
      <c r="F145" s="159"/>
      <c r="G145" s="159"/>
      <c r="H145" s="160"/>
      <c r="I145" s="57">
        <f t="shared" si="2"/>
        <v>0</v>
      </c>
      <c r="J145" s="62"/>
      <c r="K145" s="56"/>
      <c r="L145" s="159"/>
      <c r="M145" s="127"/>
    </row>
    <row r="146" spans="1:13" ht="13.2">
      <c r="A146" s="166" t="s">
        <v>495</v>
      </c>
      <c r="B146" s="184" t="str">
        <f>HYPERLINK("http://codeforces.com/contest/427/problem/B","CF427-D2-B")</f>
        <v>CF427-D2-B</v>
      </c>
      <c r="C146" s="159"/>
      <c r="D146" s="159"/>
      <c r="E146" s="159"/>
      <c r="F146" s="159"/>
      <c r="G146" s="159"/>
      <c r="H146" s="160"/>
      <c r="I146" s="57">
        <f t="shared" si="2"/>
        <v>0</v>
      </c>
      <c r="J146" s="62"/>
      <c r="K146" s="56"/>
      <c r="L146" s="159"/>
      <c r="M146" s="127"/>
    </row>
    <row r="147" spans="1:13" ht="13.2">
      <c r="A147" s="166" t="s">
        <v>496</v>
      </c>
      <c r="B147" s="184" t="str">
        <f>HYPERLINK("http://codeforces.com/contest/519/problem/B","CF519-D2-B")</f>
        <v>CF519-D2-B</v>
      </c>
      <c r="C147" s="159"/>
      <c r="D147" s="159"/>
      <c r="E147" s="159"/>
      <c r="F147" s="159"/>
      <c r="G147" s="159"/>
      <c r="H147" s="160"/>
      <c r="I147" s="57">
        <f t="shared" si="2"/>
        <v>0</v>
      </c>
      <c r="J147" s="62"/>
      <c r="K147" s="56"/>
      <c r="L147" s="159"/>
      <c r="M147" s="127"/>
    </row>
    <row r="148" spans="1:13" ht="13.2">
      <c r="A148" s="166" t="s">
        <v>341</v>
      </c>
      <c r="B148" s="184" t="str">
        <f>HYPERLINK("http://codeforces.com/contest/43/problem/B","CF43-D2-B")</f>
        <v>CF43-D2-B</v>
      </c>
      <c r="C148" s="159"/>
      <c r="D148" s="159"/>
      <c r="E148" s="159"/>
      <c r="F148" s="159"/>
      <c r="G148" s="159"/>
      <c r="H148" s="160"/>
      <c r="I148" s="57">
        <f t="shared" si="2"/>
        <v>0</v>
      </c>
      <c r="J148" s="62"/>
      <c r="K148" s="56"/>
      <c r="L148" s="159"/>
      <c r="M148" s="127"/>
    </row>
    <row r="149" spans="1:13" ht="13.2">
      <c r="A149" s="166" t="s">
        <v>497</v>
      </c>
      <c r="B149" s="184" t="str">
        <f>HYPERLINK("http://codeforces.com/contest/670/problem/B","CF670-D2-B")</f>
        <v>CF670-D2-B</v>
      </c>
      <c r="C149" s="159"/>
      <c r="D149" s="159"/>
      <c r="E149" s="159"/>
      <c r="F149" s="159"/>
      <c r="G149" s="159"/>
      <c r="H149" s="160"/>
      <c r="I149" s="57">
        <f t="shared" si="2"/>
        <v>0</v>
      </c>
      <c r="J149" s="62"/>
      <c r="K149" s="56"/>
      <c r="L149" s="159"/>
      <c r="M149" s="127"/>
    </row>
    <row r="150" spans="1:13" ht="13.2">
      <c r="A150" s="166"/>
      <c r="C150" s="159"/>
      <c r="D150" s="159"/>
      <c r="E150" s="159"/>
      <c r="F150" s="159"/>
      <c r="G150" s="159"/>
      <c r="H150" s="160"/>
      <c r="I150" s="57">
        <f t="shared" si="2"/>
        <v>0</v>
      </c>
      <c r="J150" s="62"/>
      <c r="K150" s="56"/>
      <c r="L150" s="159"/>
      <c r="M150" s="127"/>
    </row>
    <row r="151" spans="1:13" ht="13.2">
      <c r="A151" s="86" t="s">
        <v>498</v>
      </c>
      <c r="B151" s="87" t="str">
        <f>HYPERLINK("http://codeforces.com/contest/90/problem/B","CF90-D2-B")</f>
        <v>CF90-D2-B</v>
      </c>
      <c r="C151" s="29"/>
      <c r="D151" s="29"/>
      <c r="E151" s="29"/>
      <c r="F151" s="29"/>
      <c r="G151" s="29"/>
      <c r="H151" s="160"/>
      <c r="I151" s="57">
        <f t="shared" si="2"/>
        <v>0</v>
      </c>
      <c r="J151" s="62"/>
      <c r="K151" s="56"/>
      <c r="L151" s="29"/>
      <c r="M151" s="26"/>
    </row>
    <row r="152" spans="1:13" ht="13.2">
      <c r="A152" s="86" t="s">
        <v>499</v>
      </c>
      <c r="B152" s="87" t="str">
        <f>HYPERLINK("http://codeforces.com/contest/284/problem/B","CF284-D2-B")</f>
        <v>CF284-D2-B</v>
      </c>
      <c r="C152" s="29"/>
      <c r="D152" s="29"/>
      <c r="E152" s="29"/>
      <c r="F152" s="29"/>
      <c r="G152" s="29"/>
      <c r="H152" s="160"/>
      <c r="I152" s="57">
        <f t="shared" si="2"/>
        <v>0</v>
      </c>
      <c r="J152" s="62"/>
      <c r="K152" s="56"/>
      <c r="L152" s="29"/>
      <c r="M152" s="26"/>
    </row>
    <row r="153" spans="1:13" ht="13.2">
      <c r="A153" s="86" t="s">
        <v>500</v>
      </c>
      <c r="B153" s="87" t="str">
        <f>HYPERLINK("http://codeforces.com/contest/285/problem/B","CF285-D2-B")</f>
        <v>CF285-D2-B</v>
      </c>
      <c r="C153" s="29"/>
      <c r="D153" s="29"/>
      <c r="E153" s="29"/>
      <c r="F153" s="29"/>
      <c r="G153" s="29"/>
      <c r="H153" s="160"/>
      <c r="I153" s="57">
        <f t="shared" si="2"/>
        <v>0</v>
      </c>
      <c r="J153" s="62"/>
      <c r="K153" s="56"/>
      <c r="L153" s="29"/>
      <c r="M153" s="26"/>
    </row>
    <row r="154" spans="1:13" ht="13.2">
      <c r="A154" s="86" t="s">
        <v>501</v>
      </c>
      <c r="B154" s="87" t="str">
        <f>HYPERLINK("http://codeforces.com/contest/706/problem/B","CF706-D2-B")</f>
        <v>CF706-D2-B</v>
      </c>
      <c r="C154" s="29"/>
      <c r="D154" s="29"/>
      <c r="E154" s="29"/>
      <c r="F154" s="29"/>
      <c r="G154" s="29"/>
      <c r="H154" s="160"/>
      <c r="I154" s="57">
        <f t="shared" si="2"/>
        <v>0</v>
      </c>
      <c r="J154" s="62"/>
      <c r="K154" s="56"/>
      <c r="L154" s="29"/>
      <c r="M154" s="26"/>
    </row>
    <row r="155" spans="1:13" ht="13.2">
      <c r="A155" s="86" t="s">
        <v>502</v>
      </c>
      <c r="B155" s="87" t="str">
        <f>HYPERLINK("http://codeforces.com/contest/424/problem/B","CF424-D2-B")</f>
        <v>CF424-D2-B</v>
      </c>
      <c r="C155" s="29"/>
      <c r="D155" s="29"/>
      <c r="E155" s="29"/>
      <c r="F155" s="29"/>
      <c r="G155" s="29"/>
      <c r="H155" s="160"/>
      <c r="I155" s="57">
        <f t="shared" si="2"/>
        <v>0</v>
      </c>
      <c r="J155" s="62"/>
      <c r="K155" s="56"/>
      <c r="L155" s="29"/>
      <c r="M155" s="26"/>
    </row>
    <row r="156" spans="1:13" ht="13.2">
      <c r="A156" s="86" t="s">
        <v>503</v>
      </c>
      <c r="B156" s="87" t="str">
        <f>HYPERLINK("http://codeforces.com/contest/651/problem/B","CF651-D2-B")</f>
        <v>CF651-D2-B</v>
      </c>
      <c r="C156" s="29"/>
      <c r="D156" s="29"/>
      <c r="E156" s="29"/>
      <c r="F156" s="29"/>
      <c r="G156" s="29"/>
      <c r="H156" s="160"/>
      <c r="I156" s="57">
        <f t="shared" si="2"/>
        <v>0</v>
      </c>
      <c r="J156" s="62"/>
      <c r="K156" s="56"/>
      <c r="L156" s="29"/>
      <c r="M156" s="26"/>
    </row>
    <row r="157" spans="1:13" ht="13.2">
      <c r="A157" s="86" t="s">
        <v>504</v>
      </c>
      <c r="B157" s="87" t="str">
        <f>HYPERLINK("http://codeforces.com/contest/313/problem/B","CF313-D2-B")</f>
        <v>CF313-D2-B</v>
      </c>
      <c r="C157" s="29"/>
      <c r="D157" s="29"/>
      <c r="E157" s="29"/>
      <c r="F157" s="29"/>
      <c r="G157" s="29"/>
      <c r="H157" s="160"/>
      <c r="I157" s="57">
        <f t="shared" si="2"/>
        <v>0</v>
      </c>
      <c r="J157" s="62"/>
      <c r="K157" s="56"/>
      <c r="L157" s="29"/>
      <c r="M157" s="26"/>
    </row>
    <row r="158" spans="1:13" ht="13.2">
      <c r="A158" s="86" t="s">
        <v>505</v>
      </c>
      <c r="B158" s="87" t="str">
        <f>HYPERLINK("http://codeforces.com/contest/255/problem/B","CF255-D2-B")</f>
        <v>CF255-D2-B</v>
      </c>
      <c r="C158" s="29"/>
      <c r="D158" s="29"/>
      <c r="E158" s="29"/>
      <c r="F158" s="29"/>
      <c r="G158" s="29"/>
      <c r="H158" s="160"/>
      <c r="I158" s="57">
        <f t="shared" si="2"/>
        <v>0</v>
      </c>
      <c r="J158" s="62"/>
      <c r="K158" s="56"/>
      <c r="L158" s="29"/>
      <c r="M158" s="26"/>
    </row>
    <row r="159" spans="1:13" ht="13.2">
      <c r="A159" s="86" t="s">
        <v>506</v>
      </c>
      <c r="B159" s="87" t="str">
        <f>HYPERLINK("http://codeforces.com/contest/327/problem/B","CF327-D2-B")</f>
        <v>CF327-D2-B</v>
      </c>
      <c r="C159" s="29"/>
      <c r="D159" s="29"/>
      <c r="E159" s="29"/>
      <c r="F159" s="29"/>
      <c r="G159" s="29"/>
      <c r="H159" s="160"/>
      <c r="I159" s="57">
        <f t="shared" si="2"/>
        <v>0</v>
      </c>
      <c r="J159" s="62"/>
      <c r="K159" s="56"/>
      <c r="L159" s="29"/>
      <c r="M159" s="26"/>
    </row>
    <row r="160" spans="1:13" ht="13.2">
      <c r="A160" s="86" t="s">
        <v>507</v>
      </c>
      <c r="B160" s="87" t="str">
        <f>HYPERLINK("http://codeforces.com/contest/743/problem/B","CF743-D2-B")</f>
        <v>CF743-D2-B</v>
      </c>
      <c r="C160" s="29"/>
      <c r="D160" s="29"/>
      <c r="E160" s="29"/>
      <c r="F160" s="29"/>
      <c r="G160" s="29"/>
      <c r="H160" s="160"/>
      <c r="I160" s="57">
        <f t="shared" si="2"/>
        <v>0</v>
      </c>
      <c r="J160" s="62"/>
      <c r="K160" s="56"/>
      <c r="L160" s="29"/>
      <c r="M160" s="204"/>
    </row>
    <row r="161" spans="1:13" ht="13.2">
      <c r="A161" s="86" t="s">
        <v>508</v>
      </c>
      <c r="B161" s="87" t="str">
        <f>HYPERLINK("http://codeforces.com/contest/581/problem/B","CF581-D2-B")</f>
        <v>CF581-D2-B</v>
      </c>
      <c r="C161" s="29"/>
      <c r="D161" s="29"/>
      <c r="E161" s="29"/>
      <c r="F161" s="29"/>
      <c r="G161" s="29"/>
      <c r="H161" s="160"/>
      <c r="I161" s="57">
        <f t="shared" si="2"/>
        <v>0</v>
      </c>
      <c r="J161" s="62"/>
      <c r="K161" s="56"/>
      <c r="L161" s="29"/>
      <c r="M161" s="26"/>
    </row>
    <row r="162" spans="1:13" ht="13.2">
      <c r="A162" s="86"/>
      <c r="B162" s="87"/>
      <c r="C162" s="29"/>
      <c r="D162" s="29"/>
      <c r="E162" s="29"/>
      <c r="F162" s="29"/>
      <c r="G162" s="29"/>
      <c r="H162" s="160"/>
      <c r="I162" s="57">
        <f t="shared" si="2"/>
        <v>0</v>
      </c>
      <c r="J162" s="62"/>
      <c r="K162" s="56"/>
      <c r="L162" s="29"/>
      <c r="M162" s="26"/>
    </row>
    <row r="163" spans="1:13" ht="13.2">
      <c r="A163" s="166" t="s">
        <v>509</v>
      </c>
      <c r="B163" s="184" t="str">
        <f>HYPERLINK("http://codeforces.com/contest/63/problem/B","CF63-D2-B")</f>
        <v>CF63-D2-B</v>
      </c>
      <c r="C163" s="159"/>
      <c r="D163" s="159"/>
      <c r="E163" s="159"/>
      <c r="F163" s="159"/>
      <c r="G163" s="159"/>
      <c r="H163" s="160"/>
      <c r="I163" s="57">
        <f t="shared" si="2"/>
        <v>0</v>
      </c>
      <c r="J163" s="62"/>
      <c r="K163" s="56"/>
      <c r="L163" s="159"/>
      <c r="M163" s="127"/>
    </row>
    <row r="164" spans="1:13" ht="13.2">
      <c r="A164" s="166" t="s">
        <v>510</v>
      </c>
      <c r="B164" s="184" t="str">
        <f>HYPERLINK("http://codeforces.com/contest/629/problem/B","CF629-D2-B")</f>
        <v>CF629-D2-B</v>
      </c>
      <c r="C164" s="159"/>
      <c r="D164" s="159"/>
      <c r="E164" s="159"/>
      <c r="F164" s="159"/>
      <c r="G164" s="159"/>
      <c r="H164" s="160"/>
      <c r="I164" s="57">
        <f t="shared" si="2"/>
        <v>0</v>
      </c>
      <c r="J164" s="62"/>
      <c r="K164" s="56"/>
      <c r="L164" s="159"/>
      <c r="M164" s="127"/>
    </row>
    <row r="165" spans="1:13" ht="13.2">
      <c r="A165" s="166" t="s">
        <v>511</v>
      </c>
      <c r="B165" s="184" t="str">
        <f>HYPERLINK("http://codeforces.com/contest/596/problem/B","CF596-D2-B")</f>
        <v>CF596-D2-B</v>
      </c>
      <c r="C165" s="159"/>
      <c r="D165" s="159"/>
      <c r="E165" s="159"/>
      <c r="F165" s="159"/>
      <c r="G165" s="159"/>
      <c r="H165" s="160"/>
      <c r="I165" s="57">
        <f t="shared" si="2"/>
        <v>0</v>
      </c>
      <c r="J165" s="62"/>
      <c r="K165" s="56"/>
      <c r="L165" s="159"/>
      <c r="M165" s="127"/>
    </row>
    <row r="166" spans="1:13" ht="13.2">
      <c r="A166" s="166" t="s">
        <v>512</v>
      </c>
      <c r="B166" s="184" t="str">
        <f>HYPERLINK("http://codeforces.com/contest/723/problem/B","CF723-D2-B")</f>
        <v>CF723-D2-B</v>
      </c>
      <c r="C166" s="159"/>
      <c r="D166" s="159"/>
      <c r="E166" s="159"/>
      <c r="F166" s="159"/>
      <c r="G166" s="159"/>
      <c r="H166" s="160"/>
      <c r="I166" s="57">
        <f t="shared" si="2"/>
        <v>0</v>
      </c>
      <c r="J166" s="62"/>
      <c r="K166" s="56"/>
      <c r="L166" s="159"/>
      <c r="M166" s="127"/>
    </row>
    <row r="167" spans="1:13" ht="13.2">
      <c r="A167" s="166" t="s">
        <v>513</v>
      </c>
      <c r="B167" s="184" t="str">
        <f>HYPERLINK("http://codeforces.com/contest/431/problem/B","CF431-D2-B")</f>
        <v>CF431-D2-B</v>
      </c>
      <c r="C167" s="159"/>
      <c r="D167" s="159"/>
      <c r="E167" s="159"/>
      <c r="F167" s="159"/>
      <c r="G167" s="159"/>
      <c r="H167" s="160"/>
      <c r="I167" s="57">
        <f t="shared" si="2"/>
        <v>0</v>
      </c>
      <c r="J167" s="62"/>
      <c r="K167" s="56"/>
      <c r="L167" s="159"/>
      <c r="M167" s="127"/>
    </row>
    <row r="168" spans="1:13" ht="13.2">
      <c r="A168" s="166" t="s">
        <v>514</v>
      </c>
      <c r="B168" s="184" t="str">
        <f>HYPERLINK("http://codeforces.com/contest/501/problem/B","CF501-D2-B")</f>
        <v>CF501-D2-B</v>
      </c>
      <c r="C168" s="159"/>
      <c r="D168" s="159"/>
      <c r="E168" s="159"/>
      <c r="F168" s="159"/>
      <c r="G168" s="159"/>
      <c r="H168" s="160"/>
      <c r="I168" s="57">
        <f t="shared" si="2"/>
        <v>0</v>
      </c>
      <c r="J168" s="62"/>
      <c r="K168" s="56"/>
      <c r="L168" s="159"/>
      <c r="M168" s="127"/>
    </row>
    <row r="169" spans="1:13" ht="13.2">
      <c r="A169" s="166" t="s">
        <v>515</v>
      </c>
      <c r="B169" s="184" t="str">
        <f>HYPERLINK("http://codeforces.com/contest/667/problem/B","CF667-D2-B")</f>
        <v>CF667-D2-B</v>
      </c>
      <c r="C169" s="159"/>
      <c r="D169" s="159"/>
      <c r="E169" s="159"/>
      <c r="F169" s="159"/>
      <c r="G169" s="159"/>
      <c r="H169" s="160"/>
      <c r="I169" s="57">
        <f t="shared" si="2"/>
        <v>0</v>
      </c>
      <c r="J169" s="62"/>
      <c r="K169" s="56"/>
      <c r="L169" s="159"/>
      <c r="M169" s="127"/>
    </row>
    <row r="170" spans="1:13" ht="13.2">
      <c r="A170" s="166" t="s">
        <v>516</v>
      </c>
      <c r="B170" s="184" t="str">
        <f>HYPERLINK("http://codeforces.com/contest/136/problem/B","CF136-D2-B")</f>
        <v>CF136-D2-B</v>
      </c>
      <c r="C170" s="159"/>
      <c r="D170" s="159"/>
      <c r="E170" s="159"/>
      <c r="F170" s="159"/>
      <c r="G170" s="159"/>
      <c r="H170" s="160"/>
      <c r="I170" s="57">
        <f t="shared" si="2"/>
        <v>0</v>
      </c>
      <c r="J170" s="62"/>
      <c r="K170" s="56"/>
      <c r="L170" s="159"/>
      <c r="M170" s="127"/>
    </row>
    <row r="171" spans="1:13" ht="13.2">
      <c r="A171" s="86" t="s">
        <v>517</v>
      </c>
      <c r="B171" s="87" t="str">
        <f>HYPERLINK("http://codeforces.com/contest/189/problem/B","CF189-D2-B")</f>
        <v>CF189-D2-B</v>
      </c>
      <c r="C171" s="29"/>
      <c r="D171" s="29"/>
      <c r="E171" s="29"/>
      <c r="F171" s="29"/>
      <c r="G171" s="29"/>
      <c r="H171" s="160"/>
      <c r="I171" s="57">
        <f t="shared" si="2"/>
        <v>0</v>
      </c>
      <c r="J171" s="62"/>
      <c r="K171" s="56"/>
      <c r="L171" s="29"/>
      <c r="M171" s="26"/>
    </row>
    <row r="172" spans="1:13" ht="13.2">
      <c r="A172" s="86" t="s">
        <v>518</v>
      </c>
      <c r="B172" s="87" t="str">
        <f>HYPERLINK("http://codeforces.com/contest/459/problem/B","CF459-D2-B")</f>
        <v>CF459-D2-B</v>
      </c>
      <c r="C172" s="29"/>
      <c r="D172" s="29"/>
      <c r="E172" s="29"/>
      <c r="F172" s="29"/>
      <c r="G172" s="29"/>
      <c r="H172" s="160"/>
      <c r="I172" s="57">
        <f t="shared" si="2"/>
        <v>0</v>
      </c>
      <c r="J172" s="62"/>
      <c r="K172" s="56"/>
      <c r="L172" s="29"/>
      <c r="M172" s="26"/>
    </row>
    <row r="173" spans="1:13" ht="13.2">
      <c r="A173" s="63"/>
      <c r="C173" s="159"/>
      <c r="D173" s="159"/>
      <c r="E173" s="159"/>
      <c r="F173" s="159"/>
      <c r="G173" s="159"/>
      <c r="H173" s="160"/>
      <c r="I173" s="57">
        <f t="shared" si="2"/>
        <v>0</v>
      </c>
      <c r="J173" s="62"/>
      <c r="K173" s="56"/>
      <c r="L173" s="159"/>
      <c r="M173" s="127"/>
    </row>
    <row r="174" spans="1:13" ht="13.2">
      <c r="A174" s="166" t="s">
        <v>519</v>
      </c>
      <c r="B174" s="184" t="str">
        <f>HYPERLINK("http://codeforces.com/contest/592/problem/B","CF592-D2-B")</f>
        <v>CF592-D2-B</v>
      </c>
      <c r="C174" s="159"/>
      <c r="D174" s="159"/>
      <c r="E174" s="159"/>
      <c r="F174" s="159"/>
      <c r="G174" s="159"/>
      <c r="H174" s="160"/>
      <c r="I174" s="57">
        <f t="shared" si="2"/>
        <v>0</v>
      </c>
      <c r="J174" s="62"/>
      <c r="K174" s="56"/>
      <c r="L174" s="159"/>
      <c r="M174" s="127"/>
    </row>
    <row r="175" spans="1:13" ht="13.2">
      <c r="A175" s="166" t="s">
        <v>520</v>
      </c>
      <c r="B175" s="184" t="str">
        <f>HYPERLINK("http://codeforces.com/contest/365/problem/B","CF365-D2-B")</f>
        <v>CF365-D2-B</v>
      </c>
      <c r="C175" s="159"/>
      <c r="D175" s="159"/>
      <c r="E175" s="159"/>
      <c r="F175" s="159"/>
      <c r="G175" s="159"/>
      <c r="H175" s="160"/>
      <c r="I175" s="57">
        <f t="shared" si="2"/>
        <v>0</v>
      </c>
      <c r="J175" s="62"/>
      <c r="K175" s="56"/>
      <c r="L175" s="159"/>
      <c r="M175" s="127"/>
    </row>
    <row r="176" spans="1:13" ht="13.2">
      <c r="A176" s="166" t="s">
        <v>521</v>
      </c>
      <c r="B176" s="184" t="str">
        <f>HYPERLINK("http://codeforces.com/contest/705/problem/B","CF705-D2-B")</f>
        <v>CF705-D2-B</v>
      </c>
      <c r="C176" s="159"/>
      <c r="D176" s="159"/>
      <c r="E176" s="159"/>
      <c r="F176" s="159"/>
      <c r="G176" s="159"/>
      <c r="H176" s="160"/>
      <c r="I176" s="57">
        <f t="shared" si="2"/>
        <v>0</v>
      </c>
      <c r="J176" s="62"/>
      <c r="K176" s="56"/>
      <c r="L176" s="159"/>
      <c r="M176" s="127"/>
    </row>
    <row r="177" spans="1:13" ht="13.2">
      <c r="A177" s="166" t="s">
        <v>522</v>
      </c>
      <c r="B177" s="184" t="str">
        <f>HYPERLINK("http://codeforces.com/contest/686/problem/B","CF686-D2-B")</f>
        <v>CF686-D2-B</v>
      </c>
      <c r="C177" s="159"/>
      <c r="D177" s="159"/>
      <c r="E177" s="159"/>
      <c r="F177" s="159"/>
      <c r="G177" s="159"/>
      <c r="H177" s="160"/>
      <c r="I177" s="57">
        <f t="shared" si="2"/>
        <v>0</v>
      </c>
      <c r="J177" s="62"/>
      <c r="K177" s="56"/>
      <c r="L177" s="159"/>
      <c r="M177" s="127"/>
    </row>
    <row r="178" spans="1:13" ht="13.2">
      <c r="A178" s="166" t="s">
        <v>523</v>
      </c>
      <c r="B178" s="184" t="str">
        <f>HYPERLINK("http://codeforces.com/contest/133/problem/B","CF133-D2-B")</f>
        <v>CF133-D2-B</v>
      </c>
      <c r="C178" s="159"/>
      <c r="D178" s="159"/>
      <c r="E178" s="159"/>
      <c r="F178" s="159"/>
      <c r="G178" s="159"/>
      <c r="H178" s="160"/>
      <c r="I178" s="57">
        <f t="shared" si="2"/>
        <v>0</v>
      </c>
      <c r="J178" s="62"/>
      <c r="K178" s="56"/>
      <c r="L178" s="159"/>
      <c r="M178" s="127"/>
    </row>
    <row r="179" spans="1:13" ht="13.2">
      <c r="A179" s="166" t="s">
        <v>524</v>
      </c>
      <c r="B179" s="184" t="str">
        <f>HYPERLINK("http://codeforces.com/contest/127/problem/B","CF127-D2-B")</f>
        <v>CF127-D2-B</v>
      </c>
      <c r="C179" s="159"/>
      <c r="D179" s="159"/>
      <c r="E179" s="159"/>
      <c r="F179" s="159"/>
      <c r="G179" s="159"/>
      <c r="H179" s="160"/>
      <c r="I179" s="57">
        <f t="shared" si="2"/>
        <v>0</v>
      </c>
      <c r="J179" s="62"/>
      <c r="K179" s="56"/>
      <c r="L179" s="159"/>
      <c r="M179" s="127"/>
    </row>
    <row r="180" spans="1:13" ht="13.2">
      <c r="A180" s="166" t="s">
        <v>525</v>
      </c>
      <c r="B180" s="184" t="str">
        <f>HYPERLINK("http://codeforces.com/contest/554/problem/B","CF554-D2-B")</f>
        <v>CF554-D2-B</v>
      </c>
      <c r="C180" s="159"/>
      <c r="D180" s="159"/>
      <c r="E180" s="159"/>
      <c r="F180" s="159"/>
      <c r="G180" s="159"/>
      <c r="H180" s="160"/>
      <c r="I180" s="57">
        <f t="shared" si="2"/>
        <v>0</v>
      </c>
      <c r="J180" s="62"/>
      <c r="K180" s="56"/>
      <c r="L180" s="159"/>
      <c r="M180" s="127"/>
    </row>
    <row r="181" spans="1:13" ht="13.2">
      <c r="A181" s="166" t="s">
        <v>526</v>
      </c>
      <c r="B181" s="184" t="str">
        <f>HYPERLINK("http://codeforces.com/contest/408/problem/B","CF408-D2-B")</f>
        <v>CF408-D2-B</v>
      </c>
      <c r="C181" s="159"/>
      <c r="D181" s="159"/>
      <c r="E181" s="159"/>
      <c r="F181" s="159"/>
      <c r="G181" s="159"/>
      <c r="H181" s="160"/>
      <c r="I181" s="57">
        <f t="shared" si="2"/>
        <v>0</v>
      </c>
      <c r="J181" s="62"/>
      <c r="K181" s="56"/>
      <c r="L181" s="159"/>
      <c r="M181" s="127"/>
    </row>
    <row r="182" spans="1:13" ht="13.2">
      <c r="A182" s="166" t="s">
        <v>527</v>
      </c>
      <c r="B182" s="184" t="str">
        <f>HYPERLINK("http://codeforces.com/contest/362/problem/B","CF362-D2-B")</f>
        <v>CF362-D2-B</v>
      </c>
      <c r="C182" s="159"/>
      <c r="D182" s="159"/>
      <c r="E182" s="159"/>
      <c r="F182" s="159"/>
      <c r="G182" s="159"/>
      <c r="H182" s="160"/>
      <c r="I182" s="57">
        <f t="shared" si="2"/>
        <v>0</v>
      </c>
      <c r="J182" s="62"/>
      <c r="K182" s="56"/>
      <c r="L182" s="159"/>
      <c r="M182" s="127"/>
    </row>
    <row r="183" spans="1:13" ht="13.2">
      <c r="A183" s="166" t="s">
        <v>528</v>
      </c>
      <c r="B183" s="184" t="str">
        <f>HYPERLINK("http://codeforces.com/contest/545/problem/B","CF545-D2-B")</f>
        <v>CF545-D2-B</v>
      </c>
      <c r="C183" s="159"/>
      <c r="D183" s="159"/>
      <c r="E183" s="159"/>
      <c r="F183" s="159"/>
      <c r="G183" s="159"/>
      <c r="H183" s="160"/>
      <c r="I183" s="57">
        <f t="shared" si="2"/>
        <v>0</v>
      </c>
      <c r="J183" s="62"/>
      <c r="K183" s="56"/>
      <c r="L183" s="159"/>
      <c r="M183" s="127"/>
    </row>
    <row r="184" spans="1:13" ht="13.2">
      <c r="A184" s="86" t="s">
        <v>529</v>
      </c>
      <c r="B184" s="87" t="str">
        <f>HYPERLINK("http://codeforces.com/contest/677/problem/B","CF677-D2-B")</f>
        <v>CF677-D2-B</v>
      </c>
      <c r="C184" s="29"/>
      <c r="D184" s="29"/>
      <c r="E184" s="29"/>
      <c r="F184" s="29"/>
      <c r="G184" s="29"/>
      <c r="H184" s="160"/>
      <c r="I184" s="57">
        <f t="shared" si="2"/>
        <v>0</v>
      </c>
      <c r="J184" s="62"/>
      <c r="K184" s="56"/>
      <c r="L184" s="29"/>
      <c r="M184" s="26"/>
    </row>
    <row r="185" spans="1:13" ht="13.2">
      <c r="A185" s="86" t="s">
        <v>530</v>
      </c>
      <c r="B185" s="87" t="str">
        <f>HYPERLINK("http://codeforces.com/contest/304/problem/B","CF304-D2-B")</f>
        <v>CF304-D2-B</v>
      </c>
      <c r="C185" s="29"/>
      <c r="D185" s="29"/>
      <c r="E185" s="29"/>
      <c r="F185" s="29"/>
      <c r="G185" s="29"/>
      <c r="H185" s="160"/>
      <c r="I185" s="57">
        <f t="shared" si="2"/>
        <v>0</v>
      </c>
      <c r="J185" s="62"/>
      <c r="K185" s="56"/>
      <c r="L185" s="29"/>
      <c r="M185" s="26"/>
    </row>
    <row r="186" spans="1:13" ht="13.2">
      <c r="A186" s="86" t="s">
        <v>531</v>
      </c>
      <c r="B186" s="87" t="str">
        <f>HYPERLINK("http://codeforces.com/contest/507/problem/B","CF507-D2-B")</f>
        <v>CF507-D2-B</v>
      </c>
      <c r="C186" s="29"/>
      <c r="D186" s="29"/>
      <c r="E186" s="29"/>
      <c r="F186" s="29"/>
      <c r="G186" s="29"/>
      <c r="H186" s="160"/>
      <c r="I186" s="57">
        <f t="shared" si="2"/>
        <v>0</v>
      </c>
      <c r="J186" s="62"/>
      <c r="K186" s="56"/>
      <c r="L186" s="29"/>
      <c r="M186" s="26"/>
    </row>
    <row r="187" spans="1:13" ht="13.2">
      <c r="A187" s="86" t="s">
        <v>532</v>
      </c>
      <c r="B187" s="87" t="str">
        <f>HYPERLINK("http://codeforces.com/contest/289/problem/B","CF289-D2-B")</f>
        <v>CF289-D2-B</v>
      </c>
      <c r="C187" s="29"/>
      <c r="D187" s="29"/>
      <c r="E187" s="29"/>
      <c r="F187" s="29"/>
      <c r="G187" s="29"/>
      <c r="H187" s="160"/>
      <c r="I187" s="57">
        <f t="shared" si="2"/>
        <v>0</v>
      </c>
      <c r="J187" s="62"/>
      <c r="K187" s="56"/>
      <c r="L187" s="29"/>
      <c r="M187" s="26"/>
    </row>
    <row r="188" spans="1:13" ht="13.2">
      <c r="A188" s="63"/>
      <c r="C188" s="159"/>
      <c r="D188" s="159"/>
      <c r="E188" s="159"/>
      <c r="F188" s="159"/>
      <c r="G188" s="159"/>
      <c r="H188" s="160"/>
      <c r="I188" s="57">
        <f t="shared" si="2"/>
        <v>0</v>
      </c>
      <c r="J188" s="62"/>
      <c r="K188" s="56"/>
      <c r="L188" s="159"/>
      <c r="M188" s="127"/>
    </row>
    <row r="189" spans="1:13" ht="13.2">
      <c r="A189" s="166" t="s">
        <v>533</v>
      </c>
      <c r="B189" s="184" t="str">
        <f>HYPERLINK("http://codeforces.com/contest/387/problem/B","CF387-D2-B")</f>
        <v>CF387-D2-B</v>
      </c>
      <c r="C189" s="159"/>
      <c r="D189" s="159"/>
      <c r="E189" s="159"/>
      <c r="F189" s="159"/>
      <c r="G189" s="159"/>
      <c r="H189" s="160"/>
      <c r="I189" s="57">
        <f t="shared" si="2"/>
        <v>0</v>
      </c>
      <c r="J189" s="62"/>
      <c r="K189" s="56"/>
      <c r="L189" s="159"/>
      <c r="M189" s="127"/>
    </row>
    <row r="190" spans="1:13" ht="13.2">
      <c r="A190" s="166" t="s">
        <v>534</v>
      </c>
      <c r="B190" s="184" t="str">
        <f>HYPERLINK("http://codeforces.com/contest/740/problem/B","CF740-D2-B")</f>
        <v>CF740-D2-B</v>
      </c>
      <c r="C190" s="159"/>
      <c r="D190" s="159"/>
      <c r="E190" s="159"/>
      <c r="F190" s="159"/>
      <c r="G190" s="159"/>
      <c r="H190" s="160"/>
      <c r="I190" s="57">
        <f t="shared" si="2"/>
        <v>0</v>
      </c>
      <c r="J190" s="62"/>
      <c r="K190" s="56"/>
      <c r="L190" s="159"/>
      <c r="M190" s="127"/>
    </row>
    <row r="191" spans="1:13" ht="13.2">
      <c r="A191" s="166" t="s">
        <v>535</v>
      </c>
      <c r="B191" s="184" t="str">
        <f>HYPERLINK("http://codeforces.com/contest/735/problem/B","CF735-D2-B")</f>
        <v>CF735-D2-B</v>
      </c>
      <c r="C191" s="159"/>
      <c r="D191" s="159"/>
      <c r="E191" s="159"/>
      <c r="F191" s="159"/>
      <c r="G191" s="159"/>
      <c r="H191" s="160"/>
      <c r="I191" s="57">
        <f t="shared" si="2"/>
        <v>0</v>
      </c>
      <c r="J191" s="62"/>
      <c r="K191" s="56"/>
      <c r="L191" s="159"/>
      <c r="M191" s="127"/>
    </row>
    <row r="192" spans="1:13" ht="13.2">
      <c r="A192" s="166" t="s">
        <v>536</v>
      </c>
      <c r="B192" s="184" t="str">
        <f>HYPERLINK("http://codeforces.com/contest/104/problem/B","CF104-D2-B")</f>
        <v>CF104-D2-B</v>
      </c>
      <c r="C192" s="159"/>
      <c r="D192" s="159"/>
      <c r="E192" s="159"/>
      <c r="F192" s="159"/>
      <c r="G192" s="159"/>
      <c r="H192" s="160"/>
      <c r="I192" s="57">
        <f t="shared" si="2"/>
        <v>0</v>
      </c>
      <c r="J192" s="62"/>
      <c r="K192" s="56"/>
      <c r="L192" s="159"/>
      <c r="M192" s="127"/>
    </row>
    <row r="193" spans="1:13" ht="13.2">
      <c r="A193" s="166" t="s">
        <v>537</v>
      </c>
      <c r="B193" s="184" t="str">
        <f>HYPERLINK("http://codeforces.com/contest/701/problem/B","CF701-D2-B")</f>
        <v>CF701-D2-B</v>
      </c>
      <c r="C193" s="159"/>
      <c r="D193" s="159"/>
      <c r="E193" s="159"/>
      <c r="F193" s="159"/>
      <c r="G193" s="159"/>
      <c r="H193" s="160"/>
      <c r="I193" s="57">
        <f t="shared" si="2"/>
        <v>0</v>
      </c>
      <c r="J193" s="62"/>
      <c r="K193" s="56"/>
      <c r="L193" s="159"/>
      <c r="M193" s="127"/>
    </row>
    <row r="194" spans="1:13" ht="13.2">
      <c r="A194" s="166" t="s">
        <v>538</v>
      </c>
      <c r="B194" s="184" t="str">
        <f>HYPERLINK("http://codeforces.com/contest/552/problem/B","CF552-D2-B")</f>
        <v>CF552-D2-B</v>
      </c>
      <c r="C194" s="159"/>
      <c r="D194" s="159"/>
      <c r="E194" s="159"/>
      <c r="F194" s="159"/>
      <c r="G194" s="159"/>
      <c r="H194" s="160"/>
      <c r="I194" s="57">
        <f t="shared" si="2"/>
        <v>0</v>
      </c>
      <c r="J194" s="62"/>
      <c r="K194" s="56"/>
      <c r="L194" s="159"/>
      <c r="M194" s="127"/>
    </row>
    <row r="195" spans="1:13" ht="13.2">
      <c r="A195" s="166" t="s">
        <v>539</v>
      </c>
      <c r="B195" s="184" t="str">
        <f>HYPERLINK("http://codeforces.com/contest/474/problem/B","CF474-D2-B")</f>
        <v>CF474-D2-B</v>
      </c>
      <c r="C195" s="159"/>
      <c r="D195" s="159"/>
      <c r="E195" s="159"/>
      <c r="F195" s="159"/>
      <c r="G195" s="159"/>
      <c r="H195" s="160"/>
      <c r="I195" s="57">
        <f t="shared" si="2"/>
        <v>0</v>
      </c>
      <c r="J195" s="62"/>
      <c r="K195" s="56"/>
      <c r="L195" s="159"/>
      <c r="M195" s="127"/>
    </row>
    <row r="196" spans="1:13" ht="13.2">
      <c r="A196" s="166" t="s">
        <v>540</v>
      </c>
      <c r="B196" s="184" t="str">
        <f>HYPERLINK("http://codeforces.com/contest/59/problem/B","CF59-D2-B")</f>
        <v>CF59-D2-B</v>
      </c>
      <c r="C196" s="159"/>
      <c r="D196" s="159"/>
      <c r="E196" s="159"/>
      <c r="F196" s="159"/>
      <c r="G196" s="159"/>
      <c r="H196" s="160"/>
      <c r="I196" s="57">
        <f t="shared" si="2"/>
        <v>0</v>
      </c>
      <c r="J196" s="62"/>
      <c r="K196" s="56"/>
      <c r="L196" s="159"/>
      <c r="M196" s="127"/>
    </row>
    <row r="197" spans="1:13" ht="13.2">
      <c r="A197" s="63"/>
      <c r="C197" s="159"/>
      <c r="D197" s="159"/>
      <c r="E197" s="159"/>
      <c r="F197" s="159"/>
      <c r="G197" s="159"/>
      <c r="H197" s="160"/>
      <c r="I197" s="57">
        <f t="shared" si="2"/>
        <v>0</v>
      </c>
      <c r="J197" s="62"/>
      <c r="K197" s="56"/>
      <c r="L197" s="159"/>
      <c r="M197" s="127"/>
    </row>
    <row r="198" spans="1:13" ht="13.2">
      <c r="A198" s="166" t="s">
        <v>541</v>
      </c>
      <c r="B198" s="184" t="str">
        <f>HYPERLINK("http://codeforces.com/contest/192/problem/B","CF192-D2-B")</f>
        <v>CF192-D2-B</v>
      </c>
      <c r="C198" s="159"/>
      <c r="D198" s="159"/>
      <c r="E198" s="159"/>
      <c r="F198" s="159"/>
      <c r="G198" s="159"/>
      <c r="H198" s="160"/>
      <c r="I198" s="57">
        <f t="shared" si="2"/>
        <v>0</v>
      </c>
      <c r="J198" s="62"/>
      <c r="K198" s="56"/>
      <c r="L198" s="159"/>
      <c r="M198" s="127"/>
    </row>
    <row r="199" spans="1:13" ht="13.2">
      <c r="A199" s="166" t="s">
        <v>542</v>
      </c>
      <c r="B199" s="184" t="str">
        <f>HYPERLINK("http://codeforces.com/contest/366/problem/B","CF366-D2-B")</f>
        <v>CF366-D2-B</v>
      </c>
      <c r="C199" s="159"/>
      <c r="D199" s="159"/>
      <c r="E199" s="159"/>
      <c r="F199" s="159"/>
      <c r="G199" s="159"/>
      <c r="H199" s="160"/>
      <c r="I199" s="57">
        <f t="shared" si="2"/>
        <v>0</v>
      </c>
      <c r="J199" s="62"/>
      <c r="K199" s="56"/>
      <c r="L199" s="159"/>
      <c r="M199" s="127"/>
    </row>
    <row r="200" spans="1:13" ht="13.2">
      <c r="A200" s="166" t="s">
        <v>543</v>
      </c>
      <c r="B200" s="184" t="str">
        <f>HYPERLINK("http://codeforces.com/contest/298/problem/B","CF298-D2-B")</f>
        <v>CF298-D2-B</v>
      </c>
      <c r="C200" s="159"/>
      <c r="D200" s="159"/>
      <c r="E200" s="159"/>
      <c r="F200" s="159"/>
      <c r="G200" s="159"/>
      <c r="H200" s="160"/>
      <c r="I200" s="57">
        <f t="shared" si="2"/>
        <v>0</v>
      </c>
      <c r="J200" s="62"/>
      <c r="K200" s="56"/>
      <c r="L200" s="159"/>
      <c r="M200" s="127"/>
    </row>
    <row r="201" spans="1:13" ht="13.2">
      <c r="A201" s="166" t="s">
        <v>544</v>
      </c>
      <c r="B201" s="184" t="str">
        <f>HYPERLINK("http://codeforces.com/contest/389/problem/B","CF389-D2-B")</f>
        <v>CF389-D2-B</v>
      </c>
      <c r="C201" s="159"/>
      <c r="D201" s="159"/>
      <c r="E201" s="159"/>
      <c r="F201" s="159"/>
      <c r="G201" s="159"/>
      <c r="H201" s="160"/>
      <c r="I201" s="57">
        <f t="shared" si="2"/>
        <v>0</v>
      </c>
      <c r="J201" s="62"/>
      <c r="K201" s="56"/>
      <c r="L201" s="159"/>
      <c r="M201" s="127"/>
    </row>
    <row r="202" spans="1:13" ht="13.2">
      <c r="A202" s="166" t="s">
        <v>545</v>
      </c>
      <c r="B202" s="184" t="str">
        <f>HYPERLINK("http://codeforces.com/contest/591/problem/B","CF591-D2-B")</f>
        <v>CF591-D2-B</v>
      </c>
      <c r="C202" s="159"/>
      <c r="D202" s="159"/>
      <c r="E202" s="159"/>
      <c r="F202" s="159"/>
      <c r="G202" s="159"/>
      <c r="H202" s="160"/>
      <c r="I202" s="57">
        <f t="shared" si="2"/>
        <v>0</v>
      </c>
      <c r="J202" s="62"/>
      <c r="K202" s="56"/>
      <c r="L202" s="159"/>
      <c r="M202" s="127"/>
    </row>
    <row r="203" spans="1:13" ht="13.2">
      <c r="A203" s="166" t="s">
        <v>546</v>
      </c>
      <c r="B203" s="184" t="str">
        <f>HYPERLINK("http://codeforces.com/contest/246/problem/B","CF246-D2-B")</f>
        <v>CF246-D2-B</v>
      </c>
      <c r="C203" s="159"/>
      <c r="D203" s="159"/>
      <c r="E203" s="159"/>
      <c r="F203" s="159"/>
      <c r="G203" s="159"/>
      <c r="H203" s="160"/>
      <c r="I203" s="57">
        <f t="shared" si="2"/>
        <v>0</v>
      </c>
      <c r="J203" s="62"/>
      <c r="K203" s="56"/>
      <c r="L203" s="159"/>
      <c r="M203" s="127"/>
    </row>
    <row r="204" spans="1:13" ht="13.2">
      <c r="A204" s="166" t="s">
        <v>547</v>
      </c>
      <c r="B204" s="184" t="str">
        <f>HYPERLINK("http://codeforces.com/contest/682/problem/B","CF682-D2-B")</f>
        <v>CF682-D2-B</v>
      </c>
      <c r="C204" s="159"/>
      <c r="D204" s="159"/>
      <c r="E204" s="159"/>
      <c r="F204" s="159"/>
      <c r="G204" s="159"/>
      <c r="H204" s="160"/>
      <c r="I204" s="57">
        <f t="shared" si="2"/>
        <v>0</v>
      </c>
      <c r="J204" s="62"/>
      <c r="K204" s="56"/>
      <c r="L204" s="159"/>
      <c r="M204" s="127"/>
    </row>
    <row r="205" spans="1:13" ht="13.2">
      <c r="A205" s="166" t="s">
        <v>387</v>
      </c>
      <c r="B205" s="184" t="str">
        <f>HYPERLINK("http://codeforces.com/contest/58/problem/B","CF58-D2-B")</f>
        <v>CF58-D2-B</v>
      </c>
      <c r="C205" s="159"/>
      <c r="D205" s="159"/>
      <c r="E205" s="159"/>
      <c r="F205" s="159"/>
      <c r="G205" s="159"/>
      <c r="H205" s="160"/>
      <c r="I205" s="57">
        <f t="shared" si="2"/>
        <v>0</v>
      </c>
      <c r="J205" s="62"/>
      <c r="K205" s="56"/>
      <c r="L205" s="159"/>
      <c r="M205" s="127"/>
    </row>
    <row r="206" spans="1:13" ht="13.2">
      <c r="A206" s="166" t="s">
        <v>548</v>
      </c>
      <c r="B206" s="184" t="str">
        <f>HYPERLINK("http://codeforces.com/contest/567/problem/B","CF567-D2-B")</f>
        <v>CF567-D2-B</v>
      </c>
      <c r="C206" s="159"/>
      <c r="D206" s="159"/>
      <c r="E206" s="159"/>
      <c r="F206" s="159"/>
      <c r="G206" s="159"/>
      <c r="H206" s="160"/>
      <c r="I206" s="57">
        <f t="shared" si="2"/>
        <v>0</v>
      </c>
      <c r="J206" s="62"/>
      <c r="K206" s="56"/>
      <c r="L206" s="159"/>
      <c r="M206" s="127"/>
    </row>
    <row r="207" spans="1:13" ht="13.2">
      <c r="A207" s="166" t="s">
        <v>549</v>
      </c>
      <c r="B207" s="184" t="str">
        <f>HYPERLINK("http://codeforces.com/contest/416/problem/B","CF416-D2-B")</f>
        <v>CF416-D2-B</v>
      </c>
      <c r="C207" s="159"/>
      <c r="D207" s="159"/>
      <c r="E207" s="159"/>
      <c r="F207" s="159"/>
      <c r="G207" s="159"/>
      <c r="H207" s="160"/>
      <c r="I207" s="57">
        <f t="shared" si="2"/>
        <v>0</v>
      </c>
      <c r="J207" s="62"/>
      <c r="K207" s="56"/>
      <c r="L207" s="159"/>
      <c r="M207" s="127"/>
    </row>
    <row r="208" spans="1:13" ht="13.2">
      <c r="A208" s="63"/>
      <c r="C208" s="159"/>
      <c r="D208" s="159"/>
      <c r="E208" s="159"/>
      <c r="F208" s="159"/>
      <c r="G208" s="159"/>
      <c r="H208" s="160"/>
      <c r="I208" s="57">
        <f t="shared" si="2"/>
        <v>0</v>
      </c>
      <c r="J208" s="62"/>
      <c r="K208" s="56"/>
      <c r="L208" s="159"/>
      <c r="M208" s="127"/>
    </row>
    <row r="209" spans="1:13" ht="13.2">
      <c r="A209" s="166" t="s">
        <v>550</v>
      </c>
      <c r="B209" s="184" t="str">
        <f>HYPERLINK("http://codeforces.com/contest/489/problem/B","CF489-D2-B")</f>
        <v>CF489-D2-B</v>
      </c>
      <c r="C209" s="159"/>
      <c r="D209" s="159"/>
      <c r="E209" s="159"/>
      <c r="F209" s="159"/>
      <c r="G209" s="159"/>
      <c r="H209" s="160"/>
      <c r="I209" s="57">
        <f t="shared" si="2"/>
        <v>0</v>
      </c>
      <c r="J209" s="62"/>
      <c r="K209" s="56"/>
      <c r="L209" s="159"/>
      <c r="M209" s="127"/>
    </row>
    <row r="210" spans="1:13" ht="13.2">
      <c r="A210" s="166" t="s">
        <v>551</v>
      </c>
      <c r="B210" s="184" t="str">
        <f>HYPERLINK("http://codeforces.com/contest/478/problem/B","CF478-D2-B")</f>
        <v>CF478-D2-B</v>
      </c>
      <c r="C210" s="159"/>
      <c r="D210" s="159"/>
      <c r="E210" s="159"/>
      <c r="F210" s="159"/>
      <c r="G210" s="159"/>
      <c r="H210" s="160"/>
      <c r="I210" s="57">
        <f t="shared" si="2"/>
        <v>0</v>
      </c>
      <c r="J210" s="62"/>
      <c r="K210" s="56"/>
      <c r="L210" s="159"/>
      <c r="M210" s="127"/>
    </row>
    <row r="211" spans="1:13" ht="13.2">
      <c r="A211" s="166" t="s">
        <v>552</v>
      </c>
      <c r="B211" s="184" t="str">
        <f>HYPERLINK("http://codeforces.com/contest/94/problem/B","CF94-D2-B")</f>
        <v>CF94-D2-B</v>
      </c>
      <c r="C211" s="159"/>
      <c r="D211" s="159"/>
      <c r="E211" s="159"/>
      <c r="F211" s="159"/>
      <c r="G211" s="159"/>
      <c r="H211" s="160"/>
      <c r="I211" s="57">
        <f t="shared" si="2"/>
        <v>0</v>
      </c>
      <c r="J211" s="62"/>
      <c r="K211" s="56"/>
      <c r="L211" s="159"/>
      <c r="M211" s="127"/>
    </row>
    <row r="212" spans="1:13" ht="13.2">
      <c r="A212" s="166" t="s">
        <v>553</v>
      </c>
      <c r="B212" s="184" t="str">
        <f>HYPERLINK("http://codeforces.com/contest/625/problem/B","CF625-D2-B")</f>
        <v>CF625-D2-B</v>
      </c>
      <c r="C212" s="159"/>
      <c r="D212" s="159"/>
      <c r="E212" s="159"/>
      <c r="F212" s="159"/>
      <c r="G212" s="159"/>
      <c r="H212" s="160"/>
      <c r="I212" s="57">
        <f t="shared" si="2"/>
        <v>0</v>
      </c>
      <c r="J212" s="62"/>
      <c r="K212" s="56"/>
      <c r="L212" s="159"/>
      <c r="M212" s="127"/>
    </row>
    <row r="213" spans="1:13" ht="13.2">
      <c r="A213" s="166" t="s">
        <v>554</v>
      </c>
      <c r="B213" s="184" t="str">
        <f>HYPERLINK("http://codeforces.com/contest/330/problem/B","CF330-D2-B")</f>
        <v>CF330-D2-B</v>
      </c>
      <c r="C213" s="159"/>
      <c r="D213" s="159"/>
      <c r="E213" s="159"/>
      <c r="F213" s="159"/>
      <c r="G213" s="159"/>
      <c r="H213" s="160"/>
      <c r="I213" s="57">
        <f t="shared" si="2"/>
        <v>0</v>
      </c>
      <c r="J213" s="62"/>
      <c r="K213" s="56"/>
      <c r="L213" s="159"/>
      <c r="M213" s="127"/>
    </row>
    <row r="214" spans="1:13" ht="13.2">
      <c r="A214" s="166" t="s">
        <v>555</v>
      </c>
      <c r="B214" s="184" t="str">
        <f>HYPERLINK("http://codeforces.com/contest/92/problem/B","CF92-D2-B")</f>
        <v>CF92-D2-B</v>
      </c>
      <c r="C214" s="159"/>
      <c r="D214" s="159"/>
      <c r="E214" s="159"/>
      <c r="F214" s="159"/>
      <c r="G214" s="159"/>
      <c r="H214" s="160"/>
      <c r="I214" s="57">
        <f t="shared" si="2"/>
        <v>0</v>
      </c>
      <c r="J214" s="62"/>
      <c r="K214" s="56"/>
      <c r="L214" s="159"/>
      <c r="M214" s="127"/>
    </row>
    <row r="215" spans="1:13" ht="13.2">
      <c r="A215" s="166" t="s">
        <v>556</v>
      </c>
      <c r="B215" s="184" t="str">
        <f>HYPERLINK("http://codeforces.com/contest/4/problem/B","CF4-D2-B")</f>
        <v>CF4-D2-B</v>
      </c>
      <c r="C215" s="159"/>
      <c r="D215" s="159"/>
      <c r="E215" s="159"/>
      <c r="F215" s="159"/>
      <c r="G215" s="159"/>
      <c r="H215" s="160"/>
      <c r="I215" s="57">
        <f t="shared" si="2"/>
        <v>0</v>
      </c>
      <c r="J215" s="62"/>
      <c r="K215" s="56"/>
      <c r="L215" s="159"/>
      <c r="M215" s="127"/>
    </row>
    <row r="216" spans="1:13" ht="13.2">
      <c r="A216" s="166" t="s">
        <v>557</v>
      </c>
      <c r="B216" s="184" t="str">
        <f>HYPERLINK("http://codeforces.com/contest/9/problem/B","CF9-D2-B")</f>
        <v>CF9-D2-B</v>
      </c>
      <c r="C216" s="159"/>
      <c r="D216" s="159"/>
      <c r="E216" s="159"/>
      <c r="F216" s="159"/>
      <c r="G216" s="159"/>
      <c r="H216" s="160"/>
      <c r="I216" s="57">
        <f t="shared" si="2"/>
        <v>0</v>
      </c>
      <c r="J216" s="62"/>
      <c r="K216" s="56"/>
      <c r="L216" s="159"/>
      <c r="M216" s="127"/>
    </row>
    <row r="217" spans="1:13" ht="13.2">
      <c r="A217" s="166" t="s">
        <v>558</v>
      </c>
      <c r="B217" s="184" t="str">
        <f>HYPERLINK("http://codeforces.com/contest/508/problem/B","CF508-D2-B")</f>
        <v>CF508-D2-B</v>
      </c>
      <c r="C217" s="159"/>
      <c r="D217" s="159"/>
      <c r="E217" s="159"/>
      <c r="F217" s="159"/>
      <c r="G217" s="159"/>
      <c r="H217" s="160"/>
      <c r="I217" s="57">
        <f t="shared" si="2"/>
        <v>0</v>
      </c>
      <c r="J217" s="62"/>
      <c r="K217" s="56"/>
      <c r="L217" s="159"/>
      <c r="M217" s="127"/>
    </row>
    <row r="218" spans="1:13" ht="13.2">
      <c r="A218" s="166" t="s">
        <v>559</v>
      </c>
      <c r="B218" s="184" t="str">
        <f>HYPERLINK("http://codeforces.com/contest/151/problem/B","CF151-D2-B")</f>
        <v>CF151-D2-B</v>
      </c>
      <c r="C218" s="159"/>
      <c r="D218" s="159"/>
      <c r="E218" s="159"/>
      <c r="F218" s="159"/>
      <c r="G218" s="159"/>
      <c r="H218" s="160"/>
      <c r="I218" s="57">
        <f t="shared" si="2"/>
        <v>0</v>
      </c>
      <c r="J218" s="62"/>
      <c r="K218" s="56"/>
      <c r="L218" s="159"/>
      <c r="M218" s="127"/>
    </row>
  </sheetData>
  <mergeCells count="2">
    <mergeCell ref="D135:G135"/>
    <mergeCell ref="J135:M135"/>
  </mergeCells>
  <conditionalFormatting sqref="K3:K133 K137:K218">
    <cfRule type="cellIs" dxfId="79" priority="1" operator="equal">
      <formula>"No"</formula>
    </cfRule>
  </conditionalFormatting>
  <conditionalFormatting sqref="K3:K133 K137:K218">
    <cfRule type="cellIs" dxfId="78" priority="2" operator="equal">
      <formula>"no"</formula>
    </cfRule>
  </conditionalFormatting>
  <conditionalFormatting sqref="K3:K133 K137:K218">
    <cfRule type="cellIs" dxfId="77" priority="3" operator="equal">
      <formula>"NO"</formula>
    </cfRule>
  </conditionalFormatting>
  <conditionalFormatting sqref="C3:C218 D133 C240:C291 D90">
    <cfRule type="cellIs" dxfId="76" priority="4" operator="equal">
      <formula>"AC"</formula>
    </cfRule>
  </conditionalFormatting>
  <conditionalFormatting sqref="C3:C133 D133 C137:C218 D90">
    <cfRule type="containsText" dxfId="75" priority="5" operator="containsText" text="WA">
      <formula>NOT(ISERROR(SEARCH(("WA"),(C3))))</formula>
    </cfRule>
  </conditionalFormatting>
  <conditionalFormatting sqref="C13:C218 D133 C240:C291 D90">
    <cfRule type="containsText" dxfId="74" priority="6" operator="containsText" text="WA">
      <formula>NOT(ISERROR(SEARCH(("WA"),(C13))))</formula>
    </cfRule>
  </conditionalFormatting>
  <conditionalFormatting sqref="C3:C133 D133 C137:C218 D90">
    <cfRule type="containsText" dxfId="73" priority="7" operator="containsText" text="TLE">
      <formula>NOT(ISERROR(SEARCH(("TLE"),(C3))))</formula>
    </cfRule>
  </conditionalFormatting>
  <conditionalFormatting sqref="C13:C218 D133 C240:C291 D90">
    <cfRule type="containsText" dxfId="72" priority="8" operator="containsText" text="TLE">
      <formula>NOT(ISERROR(SEARCH(("TLE"),(C13))))</formula>
    </cfRule>
  </conditionalFormatting>
  <conditionalFormatting sqref="C3:C133 D133 C137:C218 D90">
    <cfRule type="containsText" dxfId="71" priority="9" operator="containsText" text="RTE">
      <formula>NOT(ISERROR(SEARCH(("RTE"),(C3))))</formula>
    </cfRule>
  </conditionalFormatting>
  <conditionalFormatting sqref="C13:C218 D133 C240:C291 D90">
    <cfRule type="containsText" dxfId="70" priority="10" operator="containsText" text="RTE">
      <formula>NOT(ISERROR(SEARCH(("RTE"),(C13))))</formula>
    </cfRule>
  </conditionalFormatting>
  <conditionalFormatting sqref="C3:C133 D133 C137:C218 D90">
    <cfRule type="containsText" dxfId="69" priority="11" operator="containsText" text="CS">
      <formula>NOT(ISERROR(SEARCH(("CS"),(C3))))</formula>
    </cfRule>
  </conditionalFormatting>
  <conditionalFormatting sqref="C13:C218 D133 C240:C291 D90">
    <cfRule type="containsText" dxfId="68" priority="12" operator="containsText" text="CS">
      <formula>NOT(ISERROR(SEARCH(("CS"),(C13))))</formula>
    </cfRule>
  </conditionalFormatting>
  <hyperlinks>
    <hyperlink ref="B44" r:id="rId1" xr:uid="{00000000-0004-0000-0300-000000000000}"/>
    <hyperlink ref="B45" r:id="rId2" xr:uid="{00000000-0004-0000-0300-000001000000}"/>
    <hyperlink ref="M56" r:id="rId3" xr:uid="{00000000-0004-0000-0300-000002000000}"/>
    <hyperlink ref="M57" r:id="rId4" xr:uid="{00000000-0004-0000-0300-000003000000}"/>
    <hyperlink ref="M85" r:id="rId5" xr:uid="{00000000-0004-0000-0300-000004000000}"/>
    <hyperlink ref="B133" r:id="rId6" xr:uid="{00000000-0004-0000-0300-000005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249977111117893"/>
    <outlinePr summaryBelow="0" summaryRight="0"/>
  </sheetPr>
  <dimension ref="A1:N200"/>
  <sheetViews>
    <sheetView zoomScale="93" zoomScaleNormal="100" workbookViewId="0">
      <pane xSplit="2" ySplit="2" topLeftCell="C117" activePane="bottomRight" state="frozen"/>
      <selection pane="topRight" activeCell="C1" sqref="C1"/>
      <selection pane="bottomLeft" activeCell="A3" sqref="A3"/>
      <selection pane="bottomRight" activeCell="B190" sqref="B190"/>
    </sheetView>
  </sheetViews>
  <sheetFormatPr defaultColWidth="17.33203125" defaultRowHeight="15.75" customHeight="1"/>
  <cols>
    <col min="1" max="1" width="16.33203125" customWidth="1"/>
    <col min="2" max="2" width="37.109375" customWidth="1"/>
    <col min="3" max="3" width="56.6640625" customWidth="1"/>
    <col min="4" max="4" width="7.88671875" hidden="1" customWidth="1"/>
    <col min="5" max="5" width="8.44140625" hidden="1" customWidth="1"/>
    <col min="6" max="6" width="8.6640625" hidden="1" customWidth="1"/>
    <col min="7" max="7" width="10" hidden="1" customWidth="1"/>
    <col min="8" max="9" width="8.5546875" hidden="1" customWidth="1"/>
    <col min="10" max="10" width="10" hidden="1" customWidth="1"/>
    <col min="11" max="11" width="2.21875" hidden="1" customWidth="1"/>
    <col min="12" max="12" width="43" hidden="1" customWidth="1"/>
    <col min="13" max="13" width="42.6640625" customWidth="1"/>
    <col min="14" max="14" width="58.21875" customWidth="1"/>
  </cols>
  <sheetData>
    <row r="1" spans="1:14" ht="63" customHeight="1">
      <c r="A1" s="156" t="s">
        <v>135</v>
      </c>
      <c r="B1" s="205" t="s">
        <v>136</v>
      </c>
      <c r="C1" s="44" t="s">
        <v>137</v>
      </c>
      <c r="D1" s="45" t="s">
        <v>138</v>
      </c>
      <c r="E1" s="45" t="s">
        <v>139</v>
      </c>
      <c r="F1" s="44" t="s">
        <v>140</v>
      </c>
      <c r="G1" s="45" t="s">
        <v>141</v>
      </c>
      <c r="H1" s="45" t="s">
        <v>142</v>
      </c>
      <c r="I1" s="45" t="s">
        <v>143</v>
      </c>
      <c r="J1" s="44" t="s">
        <v>144</v>
      </c>
      <c r="K1" s="44" t="s">
        <v>145</v>
      </c>
      <c r="L1" s="44" t="s">
        <v>146</v>
      </c>
      <c r="M1" s="46" t="s">
        <v>147</v>
      </c>
      <c r="N1" s="482" t="s">
        <v>10937</v>
      </c>
    </row>
    <row r="2" spans="1:14" ht="39" customHeight="1">
      <c r="A2" s="157"/>
      <c r="B2" s="206" t="s">
        <v>148</v>
      </c>
      <c r="C2" s="49">
        <f>COUNTIF(C5:C10496, "AC")</f>
        <v>0</v>
      </c>
      <c r="D2" s="50" t="e">
        <f ca="1">ROUND(SUMPRODUCT(D5:D10496,INT(EQ(C5:C10496, "AC")))/MAX(1, C2),1)</f>
        <v>#NAME?</v>
      </c>
      <c r="E2" s="50" t="e">
        <f ca="1">ROUND(SUMPRODUCT(E5:E10518,INT(EQ(C5:C10518, "AC")))/MAX(1, C2),0)</f>
        <v>#NAME?</v>
      </c>
      <c r="F2" s="50" t="e">
        <f ca="1">ROUND(SUMPRODUCT(F5:F10521,INT(EQ(C5:C10521, "AC")))/MAX(1, C2),0)</f>
        <v>#NAME?</v>
      </c>
      <c r="G2" s="50" t="e">
        <f ca="1">ROUND(SUMPRODUCT(G5:G10521,INT(EQ(C5:C10521, "AC")))/MAX(1, C2),0)</f>
        <v>#NAME?</v>
      </c>
      <c r="H2" s="50" t="e">
        <f ca="1">ROUND(SUMPRODUCT(H5:H10521,INT(EQ(C5:C10521, "AC")))/MAX(1, C2),0)</f>
        <v>#NAME?</v>
      </c>
      <c r="I2" s="50" t="e">
        <f ca="1">ROUND(SUMPRODUCT(I5:I10493,INT(EQ(C5:C10493, "AC")))/MAX(1, C2),0)</f>
        <v>#NAME?</v>
      </c>
      <c r="J2" s="50" t="e">
        <f ca="1">ROUND(SUMPRODUCT(J5:J10491,INT(EQ(C5:C10491, "AC")))/MAX(1, C2),1)</f>
        <v>#NAME?</v>
      </c>
      <c r="K2" s="50" t="e">
        <f ca="1">SUMPRODUCT(EQ(K5:K10496, "YES"),INT(EQ(C5:C10521, "AC")))</f>
        <v>#NAME?</v>
      </c>
      <c r="L2" s="51">
        <f ca="1">IFERROR(__xludf.DUMMYFUNCTION("COUNTA(FILTER(C5:C9988, NOT(REGEXMATCH(C5:C9988, ""AC""))))"),0)</f>
        <v>0</v>
      </c>
      <c r="M2" s="52">
        <f ca="1">IFERROR(__xludf.DUMMYFUNCTION("COUNTA(FILTER(C5:C9982, NOT(REGEXMATCH(C5:C9982, ""AC""))))"),0)</f>
        <v>0</v>
      </c>
    </row>
    <row r="3" spans="1:14" ht="46.2" customHeight="1">
      <c r="A3" s="166"/>
      <c r="B3" s="207"/>
      <c r="C3" s="159"/>
      <c r="D3" s="159"/>
      <c r="E3" s="159"/>
      <c r="F3" s="159"/>
      <c r="G3" s="159"/>
      <c r="H3" s="160"/>
      <c r="I3" s="57"/>
      <c r="J3" s="62"/>
      <c r="K3" s="56"/>
      <c r="L3" s="159"/>
      <c r="M3" s="117" t="s">
        <v>560</v>
      </c>
    </row>
    <row r="4" spans="1:14" ht="49.2" customHeight="1">
      <c r="A4" s="166"/>
      <c r="B4" s="207"/>
      <c r="C4" s="159"/>
      <c r="D4" s="159"/>
      <c r="E4" s="159"/>
      <c r="F4" s="159"/>
      <c r="G4" s="159"/>
      <c r="H4" s="160"/>
      <c r="I4" s="57"/>
      <c r="J4" s="62"/>
      <c r="K4" s="56"/>
      <c r="L4" s="159"/>
      <c r="M4" s="208" t="s">
        <v>561</v>
      </c>
    </row>
    <row r="5" spans="1:14" ht="15.75" customHeight="1">
      <c r="A5" s="166" t="s">
        <v>562</v>
      </c>
      <c r="B5" s="464" t="str">
        <f>HYPERLINK("http://codeforces.com/contest/515/problem/C","CF515-D2-C")</f>
        <v>CF515-D2-C</v>
      </c>
      <c r="C5" s="159"/>
      <c r="D5" s="159"/>
      <c r="E5" s="159"/>
      <c r="F5" s="159"/>
      <c r="G5" s="159"/>
      <c r="H5" s="160"/>
      <c r="I5" s="57">
        <f t="shared" ref="I5:I148" si="0">SUM(E5:H5)</f>
        <v>0</v>
      </c>
      <c r="J5" s="62"/>
      <c r="K5" s="56"/>
      <c r="L5" s="159"/>
      <c r="M5" s="463" t="s">
        <v>1790</v>
      </c>
    </row>
    <row r="6" spans="1:14" ht="15.75" customHeight="1">
      <c r="A6" s="86" t="s">
        <v>563</v>
      </c>
      <c r="B6" s="464" t="str">
        <f>HYPERLINK("http://codeforces.com/contest/304/problem/C","CF304-D2-C")</f>
        <v>CF304-D2-C</v>
      </c>
      <c r="C6" s="159"/>
      <c r="D6" s="159"/>
      <c r="E6" s="159"/>
      <c r="F6" s="159"/>
      <c r="G6" s="159"/>
      <c r="H6" s="160"/>
      <c r="I6" s="57">
        <f t="shared" si="0"/>
        <v>0</v>
      </c>
      <c r="J6" s="93"/>
      <c r="K6" s="92"/>
      <c r="L6" s="29"/>
      <c r="M6" s="462" t="s">
        <v>1791</v>
      </c>
    </row>
    <row r="7" spans="1:14" ht="15.75" customHeight="1">
      <c r="A7" s="86" t="s">
        <v>564</v>
      </c>
      <c r="B7" s="128" t="str">
        <f>HYPERLINK("http://codeforces.com/contest/546/problem/C","CF546-D2-C")</f>
        <v>CF546-D2-C</v>
      </c>
      <c r="C7" s="159"/>
      <c r="D7" s="159"/>
      <c r="E7" s="159"/>
      <c r="F7" s="159"/>
      <c r="G7" s="159"/>
      <c r="H7" s="160"/>
      <c r="I7" s="57">
        <f t="shared" si="0"/>
        <v>0</v>
      </c>
      <c r="J7" s="93"/>
      <c r="K7" s="92"/>
      <c r="L7" s="29"/>
      <c r="M7" s="29"/>
    </row>
    <row r="8" spans="1:14" ht="15.75" customHeight="1">
      <c r="A8" s="86" t="s">
        <v>565</v>
      </c>
      <c r="B8" s="128" t="str">
        <f>HYPERLINK("http://codeforces.com/contest/651/problem/C","CF651-D2-C")</f>
        <v>CF651-D2-C</v>
      </c>
      <c r="C8" s="159"/>
      <c r="D8" s="159"/>
      <c r="E8" s="159"/>
      <c r="F8" s="159"/>
      <c r="G8" s="159"/>
      <c r="H8" s="160"/>
      <c r="I8" s="57">
        <f t="shared" si="0"/>
        <v>0</v>
      </c>
      <c r="J8" s="93"/>
      <c r="K8" s="92"/>
      <c r="L8" s="29"/>
      <c r="M8" s="29"/>
    </row>
    <row r="9" spans="1:14" ht="15.75" customHeight="1">
      <c r="A9" s="86"/>
      <c r="B9" s="128"/>
      <c r="C9" s="159"/>
      <c r="D9" s="159"/>
      <c r="E9" s="159"/>
      <c r="F9" s="159"/>
      <c r="G9" s="159"/>
      <c r="H9" s="160"/>
      <c r="I9" s="57">
        <f t="shared" si="0"/>
        <v>0</v>
      </c>
      <c r="J9" s="62"/>
      <c r="K9" s="56"/>
      <c r="L9" s="29"/>
      <c r="M9" s="104"/>
    </row>
    <row r="10" spans="1:14" ht="15.75" customHeight="1">
      <c r="A10" s="63"/>
      <c r="B10" s="63"/>
      <c r="C10" s="159"/>
      <c r="D10" s="159"/>
      <c r="E10" s="159"/>
      <c r="F10" s="159"/>
      <c r="G10" s="159"/>
      <c r="H10" s="160"/>
      <c r="I10" s="57">
        <f t="shared" si="0"/>
        <v>0</v>
      </c>
      <c r="J10" s="62"/>
      <c r="K10" s="56"/>
      <c r="L10" s="159"/>
      <c r="M10" s="161" t="str">
        <f>HYPERLINK("https://www.youtube.com/watch?v=Tm_Vlkv4mOo","Watch - Thinking - Concretely - Symbolically - Pictorially ")</f>
        <v xml:space="preserve">Watch - Thinking - Concretely - Symbolically - Pictorially </v>
      </c>
    </row>
    <row r="11" spans="1:14" ht="15.75" customHeight="1">
      <c r="A11" s="63"/>
      <c r="B11" s="63"/>
      <c r="C11" s="159"/>
      <c r="D11" s="159"/>
      <c r="E11" s="159"/>
      <c r="F11" s="159"/>
      <c r="G11" s="159"/>
      <c r="H11" s="160"/>
      <c r="I11" s="57">
        <f t="shared" si="0"/>
        <v>0</v>
      </c>
      <c r="J11" s="62"/>
      <c r="K11" s="56"/>
      <c r="L11" s="159"/>
      <c r="M11" s="165" t="str">
        <f>HYPERLINK("https://www.youtube.com/watch?v=6Fx8T_NBA7Q","Watch - Thinking - Problem Constraints ")</f>
        <v xml:space="preserve">Watch - Thinking - Problem Constraints </v>
      </c>
    </row>
    <row r="12" spans="1:14" ht="15.75" customHeight="1">
      <c r="A12" s="63"/>
      <c r="B12" s="63"/>
      <c r="C12" s="159"/>
      <c r="D12" s="159"/>
      <c r="E12" s="159"/>
      <c r="F12" s="159"/>
      <c r="G12" s="159"/>
      <c r="H12" s="160"/>
      <c r="I12" s="57">
        <f t="shared" si="0"/>
        <v>0</v>
      </c>
      <c r="J12" s="62"/>
      <c r="K12" s="56"/>
      <c r="L12" s="159"/>
      <c r="M12" s="165" t="str">
        <f>HYPERLINK("https://www.youtube.com/watch?v=VZBfW08ECgA","Watch - Number Theory - Primes")</f>
        <v>Watch - Number Theory - Primes</v>
      </c>
    </row>
    <row r="13" spans="1:14" ht="15.75" customHeight="1">
      <c r="A13" s="122" t="s">
        <v>566</v>
      </c>
      <c r="B13" s="182" t="str">
        <f>HYPERLINK("http://codeforces.com/contest/371/problem/B","CF371-D2-B")</f>
        <v>CF371-D2-B</v>
      </c>
      <c r="C13" s="159"/>
      <c r="D13" s="159"/>
      <c r="E13" s="159"/>
      <c r="F13" s="159"/>
      <c r="G13" s="159"/>
      <c r="H13" s="160"/>
      <c r="I13" s="57">
        <f t="shared" si="0"/>
        <v>0</v>
      </c>
      <c r="J13" s="62"/>
      <c r="K13" s="56"/>
      <c r="L13" s="29"/>
      <c r="M13" s="82" t="str">
        <f>HYPERLINK("https://www.youtube.com/watch?v=s9jsw8Uj4uI&amp;feature=youtu.be","Video Solution - Eng Abanob Ashraf")</f>
        <v>Video Solution - Eng Abanob Ashraf</v>
      </c>
    </row>
    <row r="14" spans="1:14" ht="15.75" customHeight="1">
      <c r="A14" s="122" t="s">
        <v>567</v>
      </c>
      <c r="B14" s="182" t="str">
        <f>HYPERLINK("http://codeforces.com/contest/588/problem/B","CF588-D2-B")</f>
        <v>CF588-D2-B</v>
      </c>
      <c r="C14" s="159"/>
      <c r="D14" s="159"/>
      <c r="E14" s="159"/>
      <c r="F14" s="159"/>
      <c r="G14" s="159"/>
      <c r="H14" s="160"/>
      <c r="I14" s="57">
        <f t="shared" si="0"/>
        <v>0</v>
      </c>
      <c r="J14" s="62"/>
      <c r="K14" s="56"/>
      <c r="L14" s="29"/>
      <c r="M14" s="29"/>
    </row>
    <row r="15" spans="1:14" ht="15.75" customHeight="1">
      <c r="A15" s="122" t="s">
        <v>568</v>
      </c>
      <c r="B15" s="464" t="str">
        <f>HYPERLINK("https://uva.onlinejudge.org/index.php?option=onlinejudge&amp;page=show_problem&amp;problem=1335","UVA 10394")</f>
        <v>UVA 10394</v>
      </c>
      <c r="C15" s="484" t="s">
        <v>10940</v>
      </c>
      <c r="D15" s="159"/>
      <c r="E15" s="159"/>
      <c r="F15" s="159"/>
      <c r="G15" s="159"/>
      <c r="H15" s="160"/>
      <c r="I15" s="57">
        <f t="shared" si="0"/>
        <v>0</v>
      </c>
      <c r="J15" s="62"/>
      <c r="K15" s="56"/>
      <c r="L15" s="159"/>
      <c r="M15" s="209"/>
    </row>
    <row r="16" spans="1:14" ht="51" customHeight="1">
      <c r="A16" s="122" t="s">
        <v>569</v>
      </c>
      <c r="B16" s="464" t="str">
        <f>HYPERLINK("https://uva.onlinejudge.org/index.php?option=onlinejudge&amp;page=show_problem&amp;problem=1109","UVA 10168")</f>
        <v>UVA 10168</v>
      </c>
      <c r="C16" s="458" t="s">
        <v>10943</v>
      </c>
      <c r="D16" s="159"/>
      <c r="E16" s="159"/>
      <c r="F16" s="159"/>
      <c r="G16" s="159"/>
      <c r="H16" s="160"/>
      <c r="I16" s="57">
        <f t="shared" si="0"/>
        <v>0</v>
      </c>
      <c r="J16" s="62"/>
      <c r="K16" s="56"/>
      <c r="L16" s="159"/>
      <c r="M16" s="169" t="str">
        <f>HYPERLINK("https://www.youtube.com/watch?v=BztjeBZmzco&amp;feature=youtu.be","Video Solution - Eng Moaz Rashad")</f>
        <v>Video Solution - Eng Moaz Rashad</v>
      </c>
      <c r="N16" s="483" t="s">
        <v>10942</v>
      </c>
    </row>
    <row r="17" spans="1:14" ht="15.75" customHeight="1">
      <c r="A17" s="170" t="s">
        <v>570</v>
      </c>
      <c r="B17" s="171" t="str">
        <f>HYPERLINK("https://uva.onlinejudge.org/index.php?option=onlinejudge&amp;page=show_problem&amp;problem=1266","UVA 10325")</f>
        <v>UVA 10325</v>
      </c>
      <c r="C17" s="159" t="s">
        <v>10941</v>
      </c>
      <c r="D17" s="159"/>
      <c r="E17" s="159"/>
      <c r="F17" s="159"/>
      <c r="G17" s="159"/>
      <c r="H17" s="160"/>
      <c r="I17" s="57">
        <f t="shared" si="0"/>
        <v>0</v>
      </c>
      <c r="J17" s="62"/>
      <c r="K17" s="56"/>
      <c r="L17" s="159"/>
      <c r="M17" s="169" t="str">
        <f>HYPERLINK("https://www.youtube.com/watch?v=OA_J9bFxJpU","Video Solution - Eng Amr Bahaa")</f>
        <v>Video Solution - Eng Amr Bahaa</v>
      </c>
    </row>
    <row r="18" spans="1:14" ht="24.6" customHeight="1">
      <c r="A18" s="170" t="s">
        <v>571</v>
      </c>
      <c r="B18" s="464" t="str">
        <f>HYPERLINK("http://codeforces.com/contest/371/problem/C","CF371-D2-C")</f>
        <v>CF371-D2-C</v>
      </c>
      <c r="C18" s="159" t="s">
        <v>10935</v>
      </c>
      <c r="D18" s="159"/>
      <c r="E18" s="159"/>
      <c r="F18" s="159"/>
      <c r="G18" s="159"/>
      <c r="H18" s="160"/>
      <c r="I18" s="57">
        <f t="shared" si="0"/>
        <v>0</v>
      </c>
      <c r="J18" s="62"/>
      <c r="K18" s="56"/>
      <c r="L18" s="159"/>
      <c r="M18" s="127"/>
    </row>
    <row r="19" spans="1:14" ht="15.75" customHeight="1">
      <c r="A19" s="170" t="s">
        <v>572</v>
      </c>
      <c r="B19" s="464" t="str">
        <f>HYPERLINK("https://uva.onlinejudge.org/index.php?option=onlinejudge&amp;page=show_problem&amp;problem=1658","UVA 10717")</f>
        <v>UVA 10717</v>
      </c>
      <c r="C19" s="458" t="s">
        <v>10944</v>
      </c>
      <c r="D19" s="159"/>
      <c r="E19" s="159"/>
      <c r="F19" s="159"/>
      <c r="G19" s="159"/>
      <c r="H19" s="160"/>
      <c r="I19" s="57">
        <f t="shared" si="0"/>
        <v>0</v>
      </c>
      <c r="J19" s="62"/>
      <c r="K19" s="56"/>
      <c r="L19" s="159"/>
      <c r="M19" s="210" t="str">
        <f>HYPERLINK("https://github.com/magdy-hasan/competitive-programming/blob/master/uva-/uva%2010717%20-%20Mint.cpp","Sol")</f>
        <v>Sol</v>
      </c>
      <c r="N19" t="s">
        <v>10945</v>
      </c>
    </row>
    <row r="20" spans="1:14" ht="20.399999999999999" customHeight="1">
      <c r="A20" s="211" t="s">
        <v>573</v>
      </c>
      <c r="B20" s="464" t="str">
        <f>HYPERLINK("http://www.spoj.com/problems/BITMAP/","SPOJ BITMAP")</f>
        <v>SPOJ BITMAP</v>
      </c>
      <c r="C20" s="462" t="s">
        <v>10936</v>
      </c>
      <c r="D20" s="159"/>
      <c r="E20" s="159"/>
      <c r="F20" s="159"/>
      <c r="G20" s="159"/>
      <c r="H20" s="160"/>
      <c r="I20" s="57">
        <f t="shared" si="0"/>
        <v>0</v>
      </c>
      <c r="J20" s="93"/>
      <c r="K20" s="92"/>
      <c r="L20" s="29"/>
      <c r="M20" s="210" t="str">
        <f>HYPERLINK("https://github.com/omarkhair/Problems-Editorial/blob/master/SPOJ/Bitmap/Editorial.md","Editorial")</f>
        <v>Editorial</v>
      </c>
    </row>
    <row r="21" spans="1:14" ht="40.799999999999997" customHeight="1">
      <c r="A21" s="211"/>
      <c r="B21" s="464" t="str">
        <f>HYPERLINK("https://www.codechef.com/problems/GCDMOD", "CODECHEF GCDMOD")</f>
        <v>CODECHEF GCDMOD</v>
      </c>
      <c r="C21" s="458" t="s">
        <v>10938</v>
      </c>
      <c r="D21" s="159"/>
      <c r="E21" s="159"/>
      <c r="F21" s="159"/>
      <c r="G21" s="159"/>
      <c r="H21" s="160"/>
      <c r="I21" s="57">
        <f t="shared" si="0"/>
        <v>0</v>
      </c>
      <c r="J21" s="93"/>
      <c r="K21" s="92"/>
      <c r="L21" s="29"/>
      <c r="M21" s="191"/>
      <c r="N21" t="s">
        <v>10939</v>
      </c>
    </row>
    <row r="22" spans="1:14" ht="15.75" customHeight="1">
      <c r="A22" s="211"/>
      <c r="B22" s="464" t="s">
        <v>574</v>
      </c>
      <c r="C22" s="459" t="s">
        <v>10946</v>
      </c>
      <c r="D22" s="159"/>
      <c r="E22" s="159"/>
      <c r="F22" s="159"/>
      <c r="G22" s="159"/>
      <c r="H22" s="160"/>
      <c r="I22" s="57">
        <f t="shared" si="0"/>
        <v>0</v>
      </c>
      <c r="J22" s="93"/>
      <c r="K22" s="92"/>
      <c r="L22" s="29"/>
      <c r="M22" s="210" t="str">
        <f>HYPERLINK("https://www.geeksforgeeks.org/total-number-spanning-trees-graph/","Theory result to read")</f>
        <v>Theory result to read</v>
      </c>
      <c r="N22" s="485" t="s">
        <v>10947</v>
      </c>
    </row>
    <row r="23" spans="1:14" ht="15.75" customHeight="1">
      <c r="A23" s="214" t="s">
        <v>575</v>
      </c>
      <c r="B23" s="28" t="str">
        <f>HYPERLINK("http://codeforces.com/contest/437/problem/B","CF437-D2-B")</f>
        <v>CF437-D2-B</v>
      </c>
      <c r="C23" s="159"/>
      <c r="D23" s="159"/>
      <c r="E23" s="159"/>
      <c r="F23" s="159"/>
      <c r="G23" s="159"/>
      <c r="H23" s="160"/>
      <c r="I23" s="57">
        <f t="shared" si="0"/>
        <v>0</v>
      </c>
      <c r="J23" s="93"/>
      <c r="K23" s="92"/>
      <c r="L23" s="29"/>
      <c r="M23" s="29"/>
    </row>
    <row r="24" spans="1:14" ht="15.75" customHeight="1">
      <c r="A24" s="214" t="s">
        <v>576</v>
      </c>
      <c r="B24" s="28" t="str">
        <f>HYPERLINK("http://codeforces.com/contest/518/problem/B","CF518-D2-B")</f>
        <v>CF518-D2-B</v>
      </c>
      <c r="C24" s="159"/>
      <c r="D24" s="159"/>
      <c r="E24" s="159"/>
      <c r="F24" s="159"/>
      <c r="G24" s="159"/>
      <c r="H24" s="160"/>
      <c r="I24" s="57">
        <f t="shared" si="0"/>
        <v>0</v>
      </c>
      <c r="J24" s="93"/>
      <c r="K24" s="92"/>
      <c r="L24" s="29"/>
      <c r="M24" s="29"/>
    </row>
    <row r="25" spans="1:14" ht="15.75" customHeight="1">
      <c r="A25" s="63"/>
      <c r="B25" s="63"/>
      <c r="C25" s="159"/>
      <c r="D25" s="159"/>
      <c r="E25" s="159"/>
      <c r="F25" s="159"/>
      <c r="G25" s="159"/>
      <c r="H25" s="160"/>
      <c r="I25" s="57">
        <f t="shared" si="0"/>
        <v>0</v>
      </c>
      <c r="J25" s="62"/>
      <c r="K25" s="56"/>
      <c r="L25" s="159"/>
      <c r="M25" s="127"/>
    </row>
    <row r="26" spans="1:14" ht="15.75" customHeight="1">
      <c r="A26" s="86" t="s">
        <v>577</v>
      </c>
      <c r="B26" s="128" t="str">
        <f>HYPERLINK("http://codeforces.com/contest/296/problem/C","CF296-D2-C")</f>
        <v>CF296-D2-C</v>
      </c>
      <c r="C26" s="486"/>
      <c r="D26" s="29"/>
      <c r="E26" s="29"/>
      <c r="F26" s="29"/>
      <c r="G26" s="29"/>
      <c r="H26" s="29"/>
      <c r="I26" s="103">
        <f t="shared" si="0"/>
        <v>0</v>
      </c>
      <c r="J26" s="93"/>
      <c r="K26" s="92"/>
      <c r="L26" s="29"/>
      <c r="M26" s="26"/>
    </row>
    <row r="27" spans="1:14" ht="15.75" customHeight="1">
      <c r="A27" s="86" t="s">
        <v>578</v>
      </c>
      <c r="B27" s="128" t="str">
        <f>HYPERLINK("http://codeforces.com/contest/131/problem/C","CF131-D2-C")</f>
        <v>CF131-D2-C</v>
      </c>
      <c r="C27" s="484"/>
      <c r="D27" s="159"/>
      <c r="E27" s="159"/>
      <c r="F27" s="159"/>
      <c r="G27" s="159"/>
      <c r="H27" s="160"/>
      <c r="I27" s="57">
        <f t="shared" si="0"/>
        <v>0</v>
      </c>
      <c r="J27" s="93"/>
      <c r="K27" s="92"/>
      <c r="L27" s="29"/>
      <c r="M27" s="185" t="str">
        <f>HYPERLINK("https://www.youtube.com/watch?v=96OYl0On3hc","Video Solution - Eng Youssef Ali")</f>
        <v>Video Solution - Eng Youssef Ali</v>
      </c>
    </row>
    <row r="28" spans="1:14" ht="15.75" customHeight="1">
      <c r="A28" s="86" t="s">
        <v>579</v>
      </c>
      <c r="B28" s="128" t="str">
        <f>HYPERLINK("http://codeforces.com/contest/88/problem/C","CF88-D2-C")</f>
        <v>CF88-D2-C</v>
      </c>
      <c r="C28" s="484"/>
      <c r="D28" s="159"/>
      <c r="E28" s="159"/>
      <c r="F28" s="159"/>
      <c r="G28" s="159"/>
      <c r="H28" s="160"/>
      <c r="I28" s="57">
        <f t="shared" si="0"/>
        <v>0</v>
      </c>
      <c r="J28" s="93"/>
      <c r="K28" s="92"/>
      <c r="L28" s="29"/>
      <c r="M28" s="104" t="str">
        <f>HYPERLINK("https://www.youtube.com/watch?v=YiM38hyILmc","Video Solution - Solver to be (Java)")</f>
        <v>Video Solution - Solver to be (Java)</v>
      </c>
    </row>
    <row r="29" spans="1:14" ht="15.75" customHeight="1">
      <c r="A29" s="214" t="s">
        <v>580</v>
      </c>
      <c r="B29" s="28" t="str">
        <f>HYPERLINK("http://codeforces.com/contest/378/problem/B","CF378-D2-B")</f>
        <v>CF378-D2-B</v>
      </c>
      <c r="C29" s="159"/>
      <c r="D29" s="159"/>
      <c r="E29" s="159"/>
      <c r="F29" s="159"/>
      <c r="G29" s="159"/>
      <c r="H29" s="160"/>
      <c r="I29" s="57">
        <f t="shared" si="0"/>
        <v>0</v>
      </c>
      <c r="J29" s="93"/>
      <c r="K29" s="92"/>
      <c r="L29" s="29"/>
      <c r="M29" s="104"/>
    </row>
    <row r="30" spans="1:14" ht="15.75" customHeight="1">
      <c r="A30" s="214" t="s">
        <v>581</v>
      </c>
      <c r="B30" s="28" t="str">
        <f>HYPERLINK("http://codeforces.com/contest/479/problem/B","CF479-D2-B")</f>
        <v>CF479-D2-B</v>
      </c>
      <c r="C30" s="159"/>
      <c r="D30" s="159"/>
      <c r="E30" s="159"/>
      <c r="F30" s="159"/>
      <c r="G30" s="159"/>
      <c r="H30" s="160"/>
      <c r="I30" s="57">
        <f t="shared" si="0"/>
        <v>0</v>
      </c>
      <c r="J30" s="93"/>
      <c r="K30" s="92"/>
      <c r="L30" s="29"/>
      <c r="M30" s="104"/>
    </row>
    <row r="31" spans="1:14" ht="15.75" customHeight="1">
      <c r="A31" s="63"/>
      <c r="B31" s="63"/>
      <c r="C31" s="159"/>
      <c r="D31" s="159"/>
      <c r="E31" s="159"/>
      <c r="F31" s="159"/>
      <c r="G31" s="159"/>
      <c r="H31" s="160"/>
      <c r="I31" s="57">
        <f t="shared" si="0"/>
        <v>0</v>
      </c>
      <c r="J31" s="62"/>
      <c r="K31" s="56"/>
      <c r="L31" s="159"/>
      <c r="M31" s="165" t="str">
        <f>HYPERLINK("https://www.youtube.com/watch?v=jxvaNAthWRI","Watch - Algebra - Number Bases and Polynomials")</f>
        <v>Watch - Algebra - Number Bases and Polynomials</v>
      </c>
    </row>
    <row r="32" spans="1:14" ht="15.75" customHeight="1">
      <c r="A32" s="134" t="s">
        <v>582</v>
      </c>
      <c r="B32" s="215" t="str">
        <f>HYPERLINK("https://uva.onlinejudge.org/index.php?option=onlinejudge&amp;page=show_problem&amp;problem=1410","UVA 10469")</f>
        <v>UVA 10469</v>
      </c>
      <c r="C32" s="159"/>
      <c r="D32" s="159"/>
      <c r="E32" s="159"/>
      <c r="F32" s="159"/>
      <c r="G32" s="159"/>
      <c r="H32" s="160"/>
      <c r="I32" s="57">
        <f t="shared" si="0"/>
        <v>0</v>
      </c>
      <c r="J32" s="62"/>
      <c r="K32" s="56"/>
      <c r="L32" s="62"/>
      <c r="M32" s="210" t="str">
        <f>HYPERLINK("https://github.com/Diusrex/UVA-Solutions/blob/master/10469%20To%20Carry%20or%20not%20to%20Carry.cpp","Sol")</f>
        <v>Sol</v>
      </c>
    </row>
    <row r="33" spans="1:13" ht="13.2">
      <c r="A33" s="122" t="s">
        <v>583</v>
      </c>
      <c r="B33" s="182" t="str">
        <f>HYPERLINK("https://uva.onlinejudge.org/index.php?option=onlinejudge&amp;page=show_problem&amp;problem=1753","UVA 10812")</f>
        <v>UVA 10812</v>
      </c>
      <c r="C33" s="159"/>
      <c r="D33" s="159"/>
      <c r="E33" s="159"/>
      <c r="F33" s="159"/>
      <c r="G33" s="159"/>
      <c r="H33" s="160"/>
      <c r="I33" s="57">
        <f t="shared" si="0"/>
        <v>0</v>
      </c>
      <c r="J33" s="62"/>
      <c r="K33" s="56"/>
      <c r="L33" s="159"/>
      <c r="M33" s="63"/>
    </row>
    <row r="34" spans="1:13" ht="13.2">
      <c r="A34" s="122" t="s">
        <v>584</v>
      </c>
      <c r="B34" s="182" t="str">
        <f>HYPERLINK("https://uva.onlinejudge.org/index.php?option=onlinejudge&amp;page=show_problem&amp;problem=1243","UVA 10302")</f>
        <v>UVA 10302</v>
      </c>
      <c r="C34" s="159"/>
      <c r="D34" s="159"/>
      <c r="E34" s="159"/>
      <c r="F34" s="159"/>
      <c r="G34" s="159"/>
      <c r="H34" s="160"/>
      <c r="I34" s="57">
        <f t="shared" si="0"/>
        <v>0</v>
      </c>
      <c r="J34" s="62"/>
      <c r="K34" s="56"/>
      <c r="L34" s="159"/>
      <c r="M34" s="63"/>
    </row>
    <row r="35" spans="1:13" ht="13.2">
      <c r="A35" s="122" t="s">
        <v>585</v>
      </c>
      <c r="B35" s="216" t="str">
        <f>HYPERLINK("https://uva.onlinejudge.org/index.php?option=com_onlinejudge&amp;Itemid=8&amp;page=show_problem&amp;problem=439","UVA 498")</f>
        <v>UVA 498</v>
      </c>
      <c r="C35" s="159"/>
      <c r="D35" s="159"/>
      <c r="E35" s="159"/>
      <c r="F35" s="159"/>
      <c r="G35" s="159"/>
      <c r="H35" s="160"/>
      <c r="I35" s="57">
        <f t="shared" si="0"/>
        <v>0</v>
      </c>
      <c r="J35" s="62"/>
      <c r="K35" s="56"/>
      <c r="L35" s="159"/>
      <c r="M35" s="86"/>
    </row>
    <row r="36" spans="1:13" ht="13.2">
      <c r="A36" s="212"/>
      <c r="B36" s="217" t="str">
        <f>HYPERLINK("https://uva.onlinejudge.org/index.php?option=onlinejudge&amp;page=show_problem&amp;problem=1994","UVA 11053")</f>
        <v>UVA 11053</v>
      </c>
      <c r="C36" s="159"/>
      <c r="D36" s="159"/>
      <c r="E36" s="159"/>
      <c r="F36" s="159"/>
      <c r="G36" s="159"/>
      <c r="H36" s="160"/>
      <c r="I36" s="57">
        <f t="shared" si="0"/>
        <v>0</v>
      </c>
      <c r="J36" s="62"/>
      <c r="K36" s="56"/>
      <c r="L36" s="159"/>
      <c r="M36" s="210" t="str">
        <f>HYPERLINK("https://en.wikipedia.org/wiki/Cycle_detection#Floyd.27s_Tortoise_and_Hare","Find O(n) Solution")</f>
        <v>Find O(n) Solution</v>
      </c>
    </row>
    <row r="37" spans="1:13" ht="13.2">
      <c r="A37" s="212"/>
      <c r="B37" s="217" t="str">
        <f>HYPERLINK("https://icpcarchive.ecs.baylor.edu/index.php?option=com_onlinejudge&amp;Itemid=8&amp;page=show_problem&amp;problem=6100","LiveArchive 8078")</f>
        <v>LiveArchive 8078</v>
      </c>
      <c r="C37" s="159"/>
      <c r="D37" s="159"/>
      <c r="E37" s="159"/>
      <c r="F37" s="159"/>
      <c r="G37" s="159"/>
      <c r="H37" s="160"/>
      <c r="I37" s="57">
        <f t="shared" si="0"/>
        <v>0</v>
      </c>
      <c r="J37" s="62"/>
      <c r="K37" s="56"/>
      <c r="L37" s="159"/>
      <c r="M37" s="210" t="str">
        <f>HYPERLINK("https://github.com/goswami-rahul/competitive-coding/blob/master/CompetitiveProgramming/livearchive/8078.cpp","Sol")</f>
        <v>Sol</v>
      </c>
    </row>
    <row r="38" spans="1:13" ht="13.2">
      <c r="A38" s="163"/>
      <c r="B38" s="163"/>
      <c r="C38" s="159"/>
      <c r="D38" s="159"/>
      <c r="E38" s="159"/>
      <c r="F38" s="159"/>
      <c r="G38" s="159"/>
      <c r="H38" s="160"/>
      <c r="I38" s="57">
        <f t="shared" si="0"/>
        <v>0</v>
      </c>
      <c r="J38" s="62"/>
      <c r="K38" s="56"/>
      <c r="L38" s="159"/>
      <c r="M38" s="165" t="str">
        <f>HYPERLINK("https://www.youtube.com/watch?v=O2SPaQXYHFc","Watch - Algebra - Patterns in Sequences")</f>
        <v>Watch - Algebra - Patterns in Sequences</v>
      </c>
    </row>
    <row r="39" spans="1:13" ht="13.2">
      <c r="A39" s="122" t="s">
        <v>586</v>
      </c>
      <c r="B39" s="182" t="str">
        <f>HYPERLINK("https://uva.onlinejudge.org/index.php?option=onlinejudge&amp;page=show_problem&amp;problem=1450","UVA 10509")</f>
        <v>UVA 10509</v>
      </c>
      <c r="C39" s="159"/>
      <c r="D39" s="159"/>
      <c r="E39" s="159"/>
      <c r="F39" s="159"/>
      <c r="G39" s="159"/>
      <c r="H39" s="160"/>
      <c r="I39" s="57">
        <f t="shared" si="0"/>
        <v>0</v>
      </c>
      <c r="J39" s="62"/>
      <c r="K39" s="56"/>
      <c r="L39" s="159"/>
      <c r="M39" s="218"/>
    </row>
    <row r="40" spans="1:13" ht="13.2">
      <c r="A40" s="211" t="s">
        <v>587</v>
      </c>
      <c r="B40" s="212" t="str">
        <f>HYPERLINK("http://www.spoj.com/problems/QUEEN/","SPOJ QUEEN")</f>
        <v>SPOJ QUEEN</v>
      </c>
      <c r="C40" s="159"/>
      <c r="D40" s="159"/>
      <c r="E40" s="159"/>
      <c r="F40" s="159"/>
      <c r="G40" s="159"/>
      <c r="H40" s="160"/>
      <c r="I40" s="57">
        <f t="shared" si="0"/>
        <v>0</v>
      </c>
      <c r="J40" s="93"/>
      <c r="K40" s="92"/>
      <c r="L40" s="29"/>
      <c r="M40" s="138" t="str">
        <f>HYPERLINK("https://github.com/magdy-hasan/competitive-programming/blob/master/SPOJ/SPOJ%20QUEEN%20-%20Wandering%20Queen.cpp","Sol to read")</f>
        <v>Sol to read</v>
      </c>
    </row>
    <row r="41" spans="1:13" ht="13.2">
      <c r="A41" s="219"/>
      <c r="B41" s="220" t="str">
        <f>HYPERLINK("https://www.hackerrank.com/challenges/sherlock-and-probability","HACKR sherlock-and-probability")</f>
        <v>HACKR sherlock-and-probability</v>
      </c>
      <c r="C41" s="159"/>
      <c r="D41" s="159"/>
      <c r="E41" s="159"/>
      <c r="F41" s="159"/>
      <c r="G41" s="159"/>
      <c r="H41" s="160"/>
      <c r="I41" s="57">
        <f t="shared" si="0"/>
        <v>0</v>
      </c>
      <c r="J41" s="93"/>
      <c r="K41" s="92"/>
      <c r="L41" s="29"/>
      <c r="M41" s="210" t="str">
        <f>HYPERLINK("https://github.com/MohamedNabil97/CompetitiveProgramming/blob/master/Hackerrank/sherlock-and-probability.cpp","Sol")</f>
        <v>Sol</v>
      </c>
    </row>
    <row r="42" spans="1:13" ht="13.2">
      <c r="A42" s="163"/>
      <c r="B42" s="221"/>
      <c r="C42" s="159"/>
      <c r="D42" s="159"/>
      <c r="E42" s="159"/>
      <c r="F42" s="159"/>
      <c r="G42" s="159"/>
      <c r="H42" s="160"/>
      <c r="I42" s="57">
        <f t="shared" si="0"/>
        <v>0</v>
      </c>
      <c r="J42" s="62"/>
      <c r="K42" s="56"/>
      <c r="L42" s="159"/>
      <c r="M42" s="165" t="str">
        <f>HYPERLINK("https://www.youtube.com/watch?v=xY8To84R87Y","Watch - Algebra - Summations")</f>
        <v>Watch - Algebra - Summations</v>
      </c>
    </row>
    <row r="43" spans="1:13" ht="13.2">
      <c r="A43" s="163"/>
      <c r="B43" s="221"/>
      <c r="C43" s="159"/>
      <c r="D43" s="159"/>
      <c r="E43" s="159"/>
      <c r="F43" s="159"/>
      <c r="G43" s="159"/>
      <c r="H43" s="160"/>
      <c r="I43" s="57">
        <f t="shared" si="0"/>
        <v>0</v>
      </c>
      <c r="J43" s="62"/>
      <c r="K43" s="56"/>
      <c r="L43" s="159"/>
      <c r="M43" s="165" t="str">
        <f>HYPERLINK("https://www.youtube.com/watch?v=OcqD14kI3Wk","Watch - Algebra - Basic Matrix Operations")</f>
        <v>Watch - Algebra - Basic Matrix Operations</v>
      </c>
    </row>
    <row r="44" spans="1:13" ht="13.2">
      <c r="A44" s="166" t="s">
        <v>588</v>
      </c>
      <c r="B44" s="210" t="str">
        <f>HYPERLINK("http://codeforces.com/contest/402/problem/C","CF402-D2-C")</f>
        <v>CF402-D2-C</v>
      </c>
      <c r="C44" s="487" t="s">
        <v>10950</v>
      </c>
      <c r="D44" s="159"/>
      <c r="E44" s="159"/>
      <c r="F44" s="159"/>
      <c r="G44" s="159"/>
      <c r="H44" s="160"/>
      <c r="I44" s="57">
        <f t="shared" si="0"/>
        <v>0</v>
      </c>
      <c r="J44" s="62"/>
      <c r="K44" s="56"/>
      <c r="L44" s="159"/>
      <c r="M44" s="63"/>
    </row>
    <row r="45" spans="1:13" ht="13.2">
      <c r="A45" s="86" t="s">
        <v>589</v>
      </c>
      <c r="B45" s="128" t="str">
        <f>HYPERLINK("http://codeforces.com/contest/227/problem/C","CF227-D2-C")</f>
        <v>CF227-D2-C</v>
      </c>
      <c r="C45" s="462"/>
      <c r="D45" s="159"/>
      <c r="E45" s="159"/>
      <c r="F45" s="159"/>
      <c r="G45" s="159"/>
      <c r="H45" s="160"/>
      <c r="I45" s="57">
        <f t="shared" si="0"/>
        <v>0</v>
      </c>
      <c r="J45" s="62"/>
      <c r="K45" s="56"/>
      <c r="L45" s="29"/>
      <c r="M45" s="26"/>
    </row>
    <row r="46" spans="1:13" ht="13.2">
      <c r="A46" s="86" t="s">
        <v>590</v>
      </c>
      <c r="B46" s="128" t="str">
        <f>HYPERLINK("http://codeforces.com/contest/577/problem/C","CF577-D2-C")</f>
        <v>CF577-D2-C</v>
      </c>
      <c r="C46" s="462"/>
      <c r="D46" s="159"/>
      <c r="E46" s="159"/>
      <c r="F46" s="159"/>
      <c r="G46" s="159"/>
      <c r="H46" s="160"/>
      <c r="I46" s="57">
        <f t="shared" si="0"/>
        <v>0</v>
      </c>
      <c r="J46" s="62"/>
      <c r="K46" s="56"/>
      <c r="L46" s="29"/>
      <c r="M46" s="26"/>
    </row>
    <row r="47" spans="1:13" ht="13.2">
      <c r="A47" s="166" t="s">
        <v>591</v>
      </c>
      <c r="B47" s="210" t="str">
        <f>HYPERLINK("http://codeforces.com/contest/71/problem/C","CF71-D2-C")</f>
        <v>CF71-D2-C</v>
      </c>
      <c r="C47" s="159"/>
      <c r="D47" s="159"/>
      <c r="E47" s="159"/>
      <c r="F47" s="159"/>
      <c r="G47" s="159"/>
      <c r="H47" s="160"/>
      <c r="I47" s="57">
        <f t="shared" si="0"/>
        <v>0</v>
      </c>
      <c r="J47" s="62"/>
      <c r="K47" s="56"/>
      <c r="L47" s="159"/>
      <c r="M47" s="63"/>
    </row>
    <row r="48" spans="1:13" ht="13.2">
      <c r="A48" s="166" t="s">
        <v>592</v>
      </c>
      <c r="B48" s="210" t="str">
        <f>HYPERLINK("http://codeforces.com/contest/580/problem/C","CF580-D2-C")</f>
        <v>CF580-D2-C</v>
      </c>
      <c r="C48" s="159"/>
      <c r="D48" s="159"/>
      <c r="E48" s="159"/>
      <c r="F48" s="159"/>
      <c r="G48" s="159"/>
      <c r="H48" s="160"/>
      <c r="I48" s="57">
        <f t="shared" si="0"/>
        <v>0</v>
      </c>
      <c r="J48" s="62"/>
      <c r="K48" s="56"/>
      <c r="L48" s="159"/>
      <c r="M48" s="82" t="str">
        <f>HYPERLINK("https://www.youtube.com/watch?v=ebC3c-YJDIk","Video Solution - Solver to be (Java)")</f>
        <v>Video Solution - Solver to be (Java)</v>
      </c>
    </row>
    <row r="49" spans="1:13" ht="13.2">
      <c r="A49" s="86" t="s">
        <v>593</v>
      </c>
      <c r="B49" s="128" t="str">
        <f>HYPERLINK("http://codeforces.com/contest/357/problem/C","CF357-D2-C")</f>
        <v>CF357-D2-C</v>
      </c>
      <c r="C49" s="462"/>
      <c r="D49" s="29"/>
      <c r="E49" s="29"/>
      <c r="F49" s="29"/>
      <c r="G49" s="29"/>
      <c r="H49" s="29"/>
      <c r="I49" s="103">
        <f t="shared" si="0"/>
        <v>0</v>
      </c>
      <c r="J49" s="93"/>
      <c r="K49" s="92"/>
      <c r="L49" s="29"/>
      <c r="M49" s="29"/>
    </row>
    <row r="50" spans="1:13" ht="13.2">
      <c r="A50" s="214" t="s">
        <v>594</v>
      </c>
      <c r="B50" s="28" t="str">
        <f>HYPERLINK("http://codeforces.com/contest/219/problem/B","CF219-D2-B")</f>
        <v>CF219-D2-B</v>
      </c>
      <c r="C50" s="159"/>
      <c r="D50" s="159"/>
      <c r="E50" s="159"/>
      <c r="F50" s="159"/>
      <c r="G50" s="159"/>
      <c r="H50" s="160"/>
      <c r="I50" s="57">
        <f t="shared" si="0"/>
        <v>0</v>
      </c>
      <c r="J50" s="62"/>
      <c r="K50" s="56"/>
      <c r="L50" s="159"/>
      <c r="M50" s="117"/>
    </row>
    <row r="51" spans="1:13" ht="13.2">
      <c r="A51" s="127"/>
      <c r="B51" s="127"/>
      <c r="C51" s="159"/>
      <c r="D51" s="159"/>
      <c r="E51" s="159"/>
      <c r="F51" s="159"/>
      <c r="G51" s="159"/>
      <c r="H51" s="160"/>
      <c r="I51" s="57">
        <f t="shared" si="0"/>
        <v>0</v>
      </c>
      <c r="J51" s="62"/>
      <c r="K51" s="56"/>
      <c r="L51" s="159"/>
      <c r="M51" s="165" t="str">
        <f>HYPERLINK("https://www.youtube.com/watch?v=F0hmrbOW8nw","Watch - Thinking - Problem Abstraction ")</f>
        <v xml:space="preserve">Watch - Thinking - Problem Abstraction </v>
      </c>
    </row>
    <row r="52" spans="1:13" ht="13.2">
      <c r="A52" s="127"/>
      <c r="B52" s="127"/>
      <c r="C52" s="159"/>
      <c r="D52" s="159"/>
      <c r="E52" s="159"/>
      <c r="F52" s="159"/>
      <c r="G52" s="159"/>
      <c r="H52" s="160"/>
      <c r="I52" s="57">
        <f t="shared" si="0"/>
        <v>0</v>
      </c>
      <c r="J52" s="62"/>
      <c r="K52" s="56"/>
      <c r="L52" s="159"/>
      <c r="M52" s="165" t="str">
        <f>HYPERLINK("https://www.youtube.com/watch?v=0wlc8Rhyybo","Watch - Thinking - Problem Reverse")</f>
        <v>Watch - Thinking - Problem Reverse</v>
      </c>
    </row>
    <row r="53" spans="1:13" ht="13.2">
      <c r="A53" s="127"/>
      <c r="B53" s="127"/>
      <c r="C53" s="159"/>
      <c r="D53" s="159"/>
      <c r="E53" s="159"/>
      <c r="F53" s="159"/>
      <c r="G53" s="159"/>
      <c r="H53" s="160"/>
      <c r="I53" s="57">
        <f t="shared" si="0"/>
        <v>0</v>
      </c>
      <c r="J53" s="62"/>
      <c r="K53" s="56"/>
      <c r="L53" s="159"/>
      <c r="M53" s="161" t="str">
        <f>HYPERLINK("https://www.youtube.com/watch?v=hLXVhRzqq18","Watch - Search Techniques - Backtracking")</f>
        <v>Watch - Search Techniques - Backtracking</v>
      </c>
    </row>
    <row r="54" spans="1:13" ht="13.2">
      <c r="A54" s="124" t="s">
        <v>595</v>
      </c>
      <c r="B54" s="222" t="str">
        <f>HYPERLINK("https://uva.onlinejudge.org/index.php?option=com_onlinejudge&amp;Itemid=8&amp;page=show_problem&amp;problem=129","UVA 193")</f>
        <v>UVA 193</v>
      </c>
      <c r="C54" s="159" t="s">
        <v>10948</v>
      </c>
      <c r="D54" s="159"/>
      <c r="E54" s="159"/>
      <c r="F54" s="159"/>
      <c r="G54" s="159"/>
      <c r="H54" s="160"/>
      <c r="I54" s="57">
        <f t="shared" si="0"/>
        <v>0</v>
      </c>
      <c r="J54" s="62"/>
      <c r="K54" s="56"/>
      <c r="L54" s="159"/>
      <c r="M54" s="191" t="str">
        <f>HYPERLINK("https://www.youtube.com/watch?v=0hOK2hgqNE4","Video Solution - Dr Mostafa Saad")</f>
        <v>Video Solution - Dr Mostafa Saad</v>
      </c>
    </row>
    <row r="55" spans="1:13" ht="13.2">
      <c r="A55" s="122" t="s">
        <v>596</v>
      </c>
      <c r="B55" s="182" t="str">
        <f>HYPERLINK("https://uva.onlinejudge.org/index.php?option=com_onlinejudge&amp;Itemid=8&amp;page=show_problem&amp;problem=1285","UVA 10344")</f>
        <v>UVA 10344</v>
      </c>
      <c r="C55" s="160" t="s">
        <v>10948</v>
      </c>
      <c r="D55" s="159"/>
      <c r="E55" s="159"/>
      <c r="F55" s="159"/>
      <c r="G55" s="159"/>
      <c r="H55" s="160"/>
      <c r="I55" s="57">
        <f t="shared" si="0"/>
        <v>0</v>
      </c>
      <c r="J55" s="62"/>
      <c r="K55" s="56"/>
      <c r="L55" s="159"/>
      <c r="M55" s="191" t="str">
        <f>HYPERLINK("https://www.youtube.com/watch?v=WX7rIgcgnBs","Video Solution - Eng Mohamed Nasser")</f>
        <v>Video Solution - Eng Mohamed Nasser</v>
      </c>
    </row>
    <row r="56" spans="1:13" ht="13.2">
      <c r="A56" s="122" t="s">
        <v>597</v>
      </c>
      <c r="B56" s="182" t="str">
        <f>HYPERLINK("https://uva.onlinejudge.org/index.php?option=com_onlinejudge&amp;Itemid=8&amp;page=show_problem&amp;problem=691","UVA 750")</f>
        <v>UVA 750</v>
      </c>
      <c r="C56" s="160" t="s">
        <v>10948</v>
      </c>
      <c r="D56" s="159"/>
      <c r="E56" s="159"/>
      <c r="F56" s="159"/>
      <c r="G56" s="159"/>
      <c r="H56" s="160"/>
      <c r="I56" s="57">
        <f t="shared" si="0"/>
        <v>0</v>
      </c>
      <c r="J56" s="62"/>
      <c r="K56" s="56"/>
      <c r="L56" s="159"/>
      <c r="M56" s="191" t="str">
        <f>HYPERLINK("https://www.youtube.com/watch?v=3jMlUYEVgL0","Video Solution - Eng Ayman Salah")</f>
        <v>Video Solution - Eng Ayman Salah</v>
      </c>
    </row>
    <row r="57" spans="1:13" ht="13.2">
      <c r="A57" s="170" t="s">
        <v>598</v>
      </c>
      <c r="B57" s="171" t="str">
        <f>HYPERLINK("https://uva.onlinejudge.org/index.php?option=onlinejudge&amp;page=show_problem&amp;problem=3276","UVA 12124")</f>
        <v>UVA 12124</v>
      </c>
      <c r="C57" s="160" t="s">
        <v>10948</v>
      </c>
      <c r="D57" s="159"/>
      <c r="E57" s="159"/>
      <c r="F57" s="159"/>
      <c r="G57" s="159"/>
      <c r="H57" s="160"/>
      <c r="I57" s="57">
        <f t="shared" si="0"/>
        <v>0</v>
      </c>
      <c r="J57" s="62"/>
      <c r="K57" s="56"/>
      <c r="L57" s="159"/>
      <c r="M57" s="210" t="str">
        <f>HYPERLINK("https://github.com/mostafa-saad/MyCompetitiveProgramming/blob/master/UVA/UVA_12124.txt","Sol")</f>
        <v>Sol</v>
      </c>
    </row>
    <row r="58" spans="1:13" ht="13.2">
      <c r="A58" s="170"/>
      <c r="B58" s="170" t="s">
        <v>599</v>
      </c>
      <c r="C58" s="160" t="s">
        <v>10948</v>
      </c>
      <c r="D58" s="159"/>
      <c r="E58" s="159"/>
      <c r="F58" s="159"/>
      <c r="G58" s="159"/>
      <c r="H58" s="160"/>
      <c r="I58" s="57">
        <f t="shared" si="0"/>
        <v>0</v>
      </c>
      <c r="J58" s="62"/>
      <c r="K58" s="56"/>
      <c r="L58" s="159"/>
      <c r="M58" s="210" t="str">
        <f>HYPERLINK("https://stackoverflow.com/questions/25281005/calculating-probability-for-funprob","Sol")</f>
        <v>Sol</v>
      </c>
    </row>
    <row r="59" spans="1:13" ht="13.2">
      <c r="A59" s="63"/>
      <c r="B59" s="63"/>
      <c r="C59" s="159"/>
      <c r="D59" s="159"/>
      <c r="E59" s="159"/>
      <c r="F59" s="159"/>
      <c r="G59" s="159"/>
      <c r="H59" s="160"/>
      <c r="I59" s="57">
        <f t="shared" si="0"/>
        <v>0</v>
      </c>
      <c r="J59" s="62"/>
      <c r="K59" s="56"/>
      <c r="L59" s="159"/>
      <c r="M59" s="63"/>
    </row>
    <row r="60" spans="1:13" ht="13.2">
      <c r="A60" s="166" t="s">
        <v>600</v>
      </c>
      <c r="B60" s="210" t="str">
        <f>HYPERLINK("http://codeforces.com/contest/424/problem/C","CF424-D2-C")</f>
        <v>CF424-D2-C</v>
      </c>
      <c r="C60" s="159"/>
      <c r="D60" s="159"/>
      <c r="E60" s="159"/>
      <c r="F60" s="159"/>
      <c r="G60" s="159"/>
      <c r="H60" s="160"/>
      <c r="I60" s="57">
        <f t="shared" si="0"/>
        <v>0</v>
      </c>
      <c r="J60" s="62"/>
      <c r="K60" s="56"/>
      <c r="L60" s="159"/>
      <c r="M60" s="127"/>
    </row>
    <row r="61" spans="1:13" ht="13.2">
      <c r="A61" s="166" t="s">
        <v>601</v>
      </c>
      <c r="B61" s="210" t="str">
        <f>HYPERLINK("http://codeforces.com/contest/707/problem/C","CF707-D2-C")</f>
        <v>CF707-D2-C</v>
      </c>
      <c r="C61" s="159"/>
      <c r="D61" s="159"/>
      <c r="E61" s="159"/>
      <c r="F61" s="159"/>
      <c r="G61" s="159"/>
      <c r="H61" s="160"/>
      <c r="I61" s="57">
        <f t="shared" si="0"/>
        <v>0</v>
      </c>
      <c r="J61" s="62"/>
      <c r="K61" s="56"/>
      <c r="L61" s="159"/>
      <c r="M61" s="127"/>
    </row>
    <row r="62" spans="1:13" ht="13.2">
      <c r="A62" s="166" t="s">
        <v>602</v>
      </c>
      <c r="B62" s="210" t="str">
        <f>HYPERLINK("http://codeforces.com/contest/560/problem/C","CF560-D2-C")</f>
        <v>CF560-D2-C</v>
      </c>
      <c r="C62" s="487" t="s">
        <v>10950</v>
      </c>
      <c r="D62" s="159"/>
      <c r="E62" s="159"/>
      <c r="F62" s="159"/>
      <c r="G62" s="159"/>
      <c r="H62" s="160"/>
      <c r="I62" s="57">
        <f t="shared" si="0"/>
        <v>0</v>
      </c>
      <c r="J62" s="62"/>
      <c r="K62" s="56"/>
      <c r="L62" s="159"/>
      <c r="M62" s="221"/>
    </row>
    <row r="63" spans="1:13" ht="13.2">
      <c r="A63" s="86" t="s">
        <v>603</v>
      </c>
      <c r="B63" s="128" t="str">
        <f>HYPERLINK("http://codeforces.com/contest/252/problem/C","CF252-D2-C")</f>
        <v>CF252-D2-C</v>
      </c>
      <c r="C63" s="159"/>
      <c r="D63" s="159"/>
      <c r="E63" s="159"/>
      <c r="F63" s="159"/>
      <c r="G63" s="159"/>
      <c r="H63" s="160"/>
      <c r="I63" s="57">
        <f t="shared" si="0"/>
        <v>0</v>
      </c>
      <c r="J63" s="62"/>
      <c r="K63" s="56"/>
      <c r="L63" s="29"/>
      <c r="M63" s="26"/>
    </row>
    <row r="64" spans="1:13" ht="13.2">
      <c r="A64" s="86" t="s">
        <v>604</v>
      </c>
      <c r="B64" s="128" t="str">
        <f>HYPERLINK("http://codeforces.com/contest/353/problem/C","CF353-D2-C")</f>
        <v>CF353-D2-C</v>
      </c>
      <c r="C64" s="159"/>
      <c r="D64" s="159"/>
      <c r="E64" s="159"/>
      <c r="F64" s="159"/>
      <c r="G64" s="159"/>
      <c r="H64" s="160"/>
      <c r="I64" s="57">
        <f t="shared" si="0"/>
        <v>0</v>
      </c>
      <c r="J64" s="62"/>
      <c r="K64" s="56"/>
      <c r="L64" s="29"/>
      <c r="M64" s="26"/>
    </row>
    <row r="65" spans="1:13" ht="13.2">
      <c r="A65" s="214" t="s">
        <v>605</v>
      </c>
      <c r="B65" s="28" t="str">
        <f>HYPERLINK("http://codeforces.com/contest/450/problem/B","CF450-D2-B")</f>
        <v>CF450-D2-B</v>
      </c>
      <c r="C65" s="159" t="s">
        <v>10948</v>
      </c>
      <c r="D65" s="159"/>
      <c r="E65" s="159"/>
      <c r="F65" s="159"/>
      <c r="G65" s="159"/>
      <c r="H65" s="160"/>
      <c r="I65" s="57">
        <f t="shared" si="0"/>
        <v>0</v>
      </c>
      <c r="J65" s="62"/>
      <c r="K65" s="56"/>
      <c r="L65" s="159"/>
      <c r="M65" s="63"/>
    </row>
    <row r="66" spans="1:13" ht="13.2">
      <c r="A66" s="214" t="s">
        <v>606</v>
      </c>
      <c r="B66" s="28" t="str">
        <f>HYPERLINK("http://codeforces.com/contest/570/problem/B","CF570-D2-B")</f>
        <v>CF570-D2-B</v>
      </c>
      <c r="C66" s="160" t="s">
        <v>10948</v>
      </c>
      <c r="D66" s="159"/>
      <c r="E66" s="159"/>
      <c r="F66" s="159"/>
      <c r="G66" s="159"/>
      <c r="H66" s="160"/>
      <c r="I66" s="57">
        <f t="shared" si="0"/>
        <v>0</v>
      </c>
      <c r="J66" s="62"/>
      <c r="K66" s="56"/>
      <c r="L66" s="159"/>
      <c r="M66" s="63"/>
    </row>
    <row r="67" spans="1:13" ht="13.2">
      <c r="A67" s="214" t="s">
        <v>607</v>
      </c>
      <c r="B67" s="28" t="str">
        <f>HYPERLINK("http://codeforces.com/contest/271/problem/B","CF271-D2-B")</f>
        <v>CF271-D2-B</v>
      </c>
      <c r="C67" s="160" t="s">
        <v>10948</v>
      </c>
      <c r="D67" s="159"/>
      <c r="E67" s="159"/>
      <c r="F67" s="159"/>
      <c r="G67" s="159"/>
      <c r="H67" s="160"/>
      <c r="I67" s="57">
        <f t="shared" si="0"/>
        <v>0</v>
      </c>
      <c r="J67" s="62"/>
      <c r="K67" s="56"/>
      <c r="L67" s="159"/>
      <c r="M67" s="63"/>
    </row>
    <row r="68" spans="1:13" ht="13.2">
      <c r="A68" s="163"/>
      <c r="B68" s="221"/>
      <c r="C68" s="159"/>
      <c r="D68" s="159"/>
      <c r="E68" s="159"/>
      <c r="F68" s="159"/>
      <c r="G68" s="159"/>
      <c r="H68" s="160"/>
      <c r="I68" s="57">
        <f t="shared" si="0"/>
        <v>0</v>
      </c>
      <c r="J68" s="62"/>
      <c r="K68" s="56"/>
      <c r="L68" s="159"/>
      <c r="M68" s="162" t="str">
        <f>HYPERLINK("https://www.youtube.com/watch?v=ldwGf-iVsdU&amp;t=2s&amp;list=PLPt2dINI2MIZPFq6HyUB1Uhxdh1UDnZMS","Review bitmasking")</f>
        <v>Review bitmasking</v>
      </c>
    </row>
    <row r="69" spans="1:13" ht="13.2">
      <c r="A69" s="163"/>
      <c r="B69" s="221"/>
      <c r="C69" s="159"/>
      <c r="D69" s="159"/>
      <c r="E69" s="159"/>
      <c r="F69" s="159"/>
      <c r="G69" s="159"/>
      <c r="H69" s="160"/>
      <c r="I69" s="57">
        <f t="shared" si="0"/>
        <v>0</v>
      </c>
      <c r="J69" s="62"/>
      <c r="K69" s="56"/>
      <c r="L69" s="159"/>
      <c r="M69" s="161" t="str">
        <f>HYPERLINK("https://www.youtube.com/watch?v=vAqaki1BhS0","Watch - DP - Subset Style")</f>
        <v>Watch - DP - Subset Style</v>
      </c>
    </row>
    <row r="70" spans="1:13" ht="14.4">
      <c r="A70" s="122" t="s">
        <v>608</v>
      </c>
      <c r="B70" s="223" t="str">
        <f>HYPERLINK("https://uva.onlinejudge.org/index.php?option=onlinejudge&amp;page=show_problem&amp;problem=1133","UVA 10192")</f>
        <v>UVA 10192</v>
      </c>
      <c r="C70" s="484" t="s">
        <v>10951</v>
      </c>
      <c r="D70" s="159"/>
      <c r="E70" s="159"/>
      <c r="F70" s="159"/>
      <c r="G70" s="159"/>
      <c r="H70" s="160"/>
      <c r="I70" s="57">
        <f t="shared" si="0"/>
        <v>0</v>
      </c>
      <c r="J70" s="62"/>
      <c r="K70" s="56"/>
      <c r="L70" s="29"/>
      <c r="M70" s="224" t="s">
        <v>609</v>
      </c>
    </row>
    <row r="71" spans="1:13" ht="14.4">
      <c r="A71" s="122" t="s">
        <v>610</v>
      </c>
      <c r="B71" s="223" t="str">
        <f>HYPERLINK("https://uva.onlinejudge.org/index.php?option=com_onlinejudge&amp;Itemid=8&amp;page=show_problem&amp;problem=503","UVA 562")</f>
        <v>UVA 562</v>
      </c>
      <c r="C71" s="484"/>
      <c r="D71" s="159"/>
      <c r="E71" s="159"/>
      <c r="F71" s="159"/>
      <c r="G71" s="159"/>
      <c r="H71" s="160"/>
      <c r="I71" s="57">
        <f t="shared" si="0"/>
        <v>0</v>
      </c>
      <c r="J71" s="62"/>
      <c r="K71" s="56"/>
      <c r="L71" s="29"/>
      <c r="M71" s="191" t="str">
        <f>HYPERLINK("https://www.youtube.com/watch?v=HN-oKkysTmc","Video Solution - Eng Ayman Salah")</f>
        <v>Video Solution - Eng Ayman Salah</v>
      </c>
    </row>
    <row r="72" spans="1:13" ht="13.2">
      <c r="A72" s="163"/>
      <c r="B72" s="221"/>
      <c r="C72" s="159"/>
      <c r="D72" s="159"/>
      <c r="E72" s="159"/>
      <c r="F72" s="159"/>
      <c r="G72" s="159"/>
      <c r="H72" s="160"/>
      <c r="I72" s="57">
        <f t="shared" si="0"/>
        <v>0</v>
      </c>
      <c r="J72" s="62"/>
      <c r="K72" s="56"/>
      <c r="L72" s="159"/>
      <c r="M72" s="161" t="str">
        <f>HYPERLINK("https://www.youtube.com/watch?v=bDlAqeWsKsg","Watch - DP - Consecutive Ranges Style")</f>
        <v>Watch - DP - Consecutive Ranges Style</v>
      </c>
    </row>
    <row r="73" spans="1:13" ht="14.4">
      <c r="A73" s="122"/>
      <c r="B73" s="488" t="s">
        <v>611</v>
      </c>
      <c r="C73" s="484"/>
      <c r="D73" s="159"/>
      <c r="E73" s="159"/>
      <c r="F73" s="159"/>
      <c r="G73" s="159"/>
      <c r="H73" s="160"/>
      <c r="I73" s="57">
        <f t="shared" si="0"/>
        <v>0</v>
      </c>
      <c r="J73" s="62"/>
      <c r="K73" s="56"/>
      <c r="L73" s="159"/>
      <c r="M73" s="161"/>
    </row>
    <row r="74" spans="1:13" ht="13.2">
      <c r="A74" s="122"/>
      <c r="B74" s="488" t="s">
        <v>612</v>
      </c>
      <c r="C74" s="159"/>
      <c r="D74" s="159"/>
      <c r="E74" s="159"/>
      <c r="F74" s="159"/>
      <c r="G74" s="159"/>
      <c r="H74" s="160"/>
      <c r="I74" s="57">
        <f t="shared" si="0"/>
        <v>0</v>
      </c>
      <c r="J74" s="62"/>
      <c r="K74" s="56"/>
      <c r="L74" s="159"/>
      <c r="M74" s="161"/>
    </row>
    <row r="75" spans="1:13" ht="13.2">
      <c r="A75" s="170" t="s">
        <v>613</v>
      </c>
      <c r="B75" s="171" t="str">
        <f>HYPERLINK("https://uva.onlinejudge.org/index.php?option=com_onlinejudge&amp;Itemid=8&amp;page=show_problem&amp;problem=37","UVA 101")</f>
        <v>UVA 101</v>
      </c>
      <c r="C75" s="159"/>
      <c r="D75" s="159"/>
      <c r="E75" s="159"/>
      <c r="F75" s="159"/>
      <c r="G75" s="159"/>
      <c r="H75" s="160"/>
      <c r="I75" s="57">
        <f t="shared" si="0"/>
        <v>0</v>
      </c>
      <c r="J75" s="62"/>
      <c r="K75" s="56"/>
      <c r="L75" s="159"/>
      <c r="M75" s="225" t="s">
        <v>614</v>
      </c>
    </row>
    <row r="76" spans="1:13" ht="14.4">
      <c r="A76" s="170" t="s">
        <v>615</v>
      </c>
      <c r="B76" s="171" t="str">
        <f>HYPERLINK("https://uva.onlinejudge.org/index.php?option=com_onlinejudge&amp;Itemid=8&amp;page=show_problem&amp;problem=977","UVA 10036")</f>
        <v>UVA 10036</v>
      </c>
      <c r="C76" s="458" t="s">
        <v>10952</v>
      </c>
      <c r="D76" s="159"/>
      <c r="E76" s="159"/>
      <c r="F76" s="159"/>
      <c r="G76" s="159"/>
      <c r="H76" s="160"/>
      <c r="I76" s="57">
        <f t="shared" si="0"/>
        <v>0</v>
      </c>
      <c r="J76" s="62"/>
      <c r="K76" s="56"/>
      <c r="L76" s="159"/>
      <c r="M76" s="225" t="s">
        <v>614</v>
      </c>
    </row>
    <row r="77" spans="1:13" ht="13.2">
      <c r="A77" s="170"/>
      <c r="B77" s="170" t="s">
        <v>616</v>
      </c>
      <c r="C77" s="159" t="s">
        <v>10953</v>
      </c>
      <c r="D77" s="159"/>
      <c r="E77" s="159"/>
      <c r="F77" s="159"/>
      <c r="G77" s="159"/>
      <c r="H77" s="160"/>
      <c r="I77" s="57">
        <f t="shared" si="0"/>
        <v>0</v>
      </c>
      <c r="J77" s="62"/>
      <c r="K77" s="56"/>
      <c r="L77" s="159"/>
      <c r="M77" s="210" t="str">
        <f>HYPERLINK("https://github.com/mostafa-saad/MyCompetitiveProgramming/blob/master/UVA/UVA_11628.txt","Sol")</f>
        <v>Sol</v>
      </c>
    </row>
    <row r="78" spans="1:13" ht="13.2">
      <c r="A78" s="63"/>
      <c r="B78" s="63"/>
      <c r="C78" s="159"/>
      <c r="D78" s="159"/>
      <c r="E78" s="159"/>
      <c r="F78" s="159"/>
      <c r="G78" s="159"/>
      <c r="H78" s="160"/>
      <c r="I78" s="57">
        <f t="shared" si="0"/>
        <v>0</v>
      </c>
      <c r="J78" s="62"/>
      <c r="K78" s="56"/>
      <c r="L78" s="159"/>
      <c r="M78" s="63"/>
    </row>
    <row r="79" spans="1:13" ht="13.2">
      <c r="A79" s="86" t="s">
        <v>617</v>
      </c>
      <c r="B79" s="128" t="str">
        <f>HYPERLINK("http://codeforces.com/contest/344/problem/C","CF344-D2-C")</f>
        <v>CF344-D2-C</v>
      </c>
      <c r="C79" s="159"/>
      <c r="D79" s="159"/>
      <c r="E79" s="159"/>
      <c r="F79" s="159"/>
      <c r="G79" s="159"/>
      <c r="H79" s="160"/>
      <c r="I79" s="57">
        <f t="shared" si="0"/>
        <v>0</v>
      </c>
      <c r="J79" s="93"/>
      <c r="K79" s="92"/>
      <c r="L79" s="29"/>
      <c r="M79" s="63"/>
    </row>
    <row r="80" spans="1:13" ht="14.4">
      <c r="A80" s="166" t="s">
        <v>618</v>
      </c>
      <c r="B80" s="210" t="str">
        <f>HYPERLINK("http://codeforces.com/contest/275/problem/C","CF275-D2-C")</f>
        <v>CF275-D2-C</v>
      </c>
      <c r="C80" s="458"/>
      <c r="D80" s="159"/>
      <c r="E80" s="159"/>
      <c r="F80" s="159"/>
      <c r="G80" s="159"/>
      <c r="H80" s="160"/>
      <c r="I80" s="57">
        <f t="shared" si="0"/>
        <v>0</v>
      </c>
      <c r="J80" s="62"/>
      <c r="K80" s="56"/>
      <c r="L80" s="159"/>
      <c r="M80" s="127"/>
    </row>
    <row r="81" spans="1:14" ht="13.2">
      <c r="A81" s="86" t="s">
        <v>619</v>
      </c>
      <c r="B81" s="128" t="str">
        <f>HYPERLINK("http://codeforces.com/contest/534/problem/C","CF534-D2-C")</f>
        <v>CF534-D2-C</v>
      </c>
      <c r="C81" s="159"/>
      <c r="D81" s="159"/>
      <c r="E81" s="159"/>
      <c r="F81" s="159"/>
      <c r="G81" s="159"/>
      <c r="H81" s="160"/>
      <c r="I81" s="57">
        <f t="shared" si="0"/>
        <v>0</v>
      </c>
      <c r="J81" s="62"/>
      <c r="K81" s="56"/>
      <c r="L81" s="29"/>
      <c r="M81" s="226" t="str">
        <f>HYPERLINK("https://codeforces.com/contest/534/submission/61924545","Sol")</f>
        <v>Sol</v>
      </c>
    </row>
    <row r="82" spans="1:14" ht="13.2">
      <c r="A82" s="214" t="s">
        <v>620</v>
      </c>
      <c r="B82" s="28" t="str">
        <f>HYPERLINK("http://codeforces.com/contest/631/problem/B","CF631-D2-B")</f>
        <v>CF631-D2-B</v>
      </c>
      <c r="C82" s="159"/>
      <c r="D82" s="159"/>
      <c r="E82" s="159"/>
      <c r="F82" s="159"/>
      <c r="G82" s="159"/>
      <c r="H82" s="160"/>
      <c r="I82" s="57">
        <f t="shared" si="0"/>
        <v>0</v>
      </c>
      <c r="J82" s="62"/>
      <c r="K82" s="56"/>
      <c r="L82" s="29"/>
      <c r="M82" s="26"/>
    </row>
    <row r="83" spans="1:14" ht="13.2">
      <c r="A83" s="214" t="s">
        <v>621</v>
      </c>
      <c r="B83" s="28" t="str">
        <f>HYPERLINK("http://codeforces.com/contest/257/problem/B","CF257-D2-B")</f>
        <v>CF257-D2-B</v>
      </c>
      <c r="C83" s="159"/>
      <c r="D83" s="159"/>
      <c r="E83" s="159"/>
      <c r="F83" s="159"/>
      <c r="G83" s="159"/>
      <c r="H83" s="160"/>
      <c r="I83" s="57">
        <f t="shared" si="0"/>
        <v>0</v>
      </c>
      <c r="J83" s="62"/>
      <c r="K83" s="56"/>
      <c r="L83" s="29"/>
      <c r="M83" s="26"/>
    </row>
    <row r="84" spans="1:14" ht="13.2">
      <c r="A84" s="214" t="s">
        <v>622</v>
      </c>
      <c r="B84" s="28" t="str">
        <f>HYPERLINK("http://codeforces.com/contest/230/problem/B","CF230-D2-B")</f>
        <v>CF230-D2-B</v>
      </c>
      <c r="C84" s="159"/>
      <c r="D84" s="159"/>
      <c r="E84" s="159"/>
      <c r="F84" s="159"/>
      <c r="G84" s="159"/>
      <c r="H84" s="160"/>
      <c r="I84" s="57">
        <f t="shared" si="0"/>
        <v>0</v>
      </c>
      <c r="J84" s="62"/>
      <c r="K84" s="56"/>
      <c r="L84" s="29"/>
      <c r="M84" s="26"/>
    </row>
    <row r="85" spans="1:14" ht="13.2">
      <c r="A85" s="163"/>
      <c r="B85" s="221"/>
      <c r="C85" s="159"/>
      <c r="D85" s="159"/>
      <c r="E85" s="159"/>
      <c r="F85" s="159"/>
      <c r="G85" s="159"/>
      <c r="H85" s="160"/>
      <c r="I85" s="57">
        <f t="shared" si="0"/>
        <v>0</v>
      </c>
      <c r="J85" s="62"/>
      <c r="K85" s="56"/>
      <c r="L85" s="159"/>
      <c r="M85" s="161" t="str">
        <f>HYPERLINK("https://www.youtube.com/watch?v=b4AC2jGNGEM","Watch - DP - Nested Ranges Style")</f>
        <v>Watch - DP - Nested Ranges Style</v>
      </c>
      <c r="N85" t="s">
        <v>10959</v>
      </c>
    </row>
    <row r="86" spans="1:14" ht="13.2">
      <c r="A86" s="163"/>
      <c r="B86" s="221"/>
      <c r="C86" s="159"/>
      <c r="D86" s="159"/>
      <c r="E86" s="159"/>
      <c r="F86" s="159"/>
      <c r="G86" s="159"/>
      <c r="H86" s="160"/>
      <c r="I86" s="57">
        <f t="shared" si="0"/>
        <v>0</v>
      </c>
      <c r="J86" s="62"/>
      <c r="K86" s="56"/>
      <c r="L86" s="159"/>
      <c r="M86" s="165" t="str">
        <f>HYPERLINK("https://www.youtube.com/watch?v=pJbeTrSKl3Y","Watch - DP - General Ranges Style")</f>
        <v>Watch - DP - General Ranges Style</v>
      </c>
      <c r="N86" t="s">
        <v>10960</v>
      </c>
    </row>
    <row r="87" spans="1:14" ht="13.2">
      <c r="A87" s="122" t="s">
        <v>623</v>
      </c>
      <c r="B87" s="182" t="str">
        <f>HYPERLINK("https://uva.onlinejudge.org/index.php?option=com_onlinejudge&amp;Itemid=8&amp;page=show_problem&amp;problem=2853","UVA 11753")</f>
        <v>UVA 11753</v>
      </c>
      <c r="C87" s="159" t="s">
        <v>10961</v>
      </c>
      <c r="D87" s="159"/>
      <c r="E87" s="159"/>
      <c r="F87" s="159"/>
      <c r="G87" s="159"/>
      <c r="H87" s="160"/>
      <c r="I87" s="57">
        <f t="shared" si="0"/>
        <v>0</v>
      </c>
      <c r="J87" s="62"/>
      <c r="K87" s="56"/>
      <c r="L87" s="159"/>
      <c r="M87" s="169" t="str">
        <f>HYPERLINK("https://www.youtube.com/watch?v=1fP2Rl0-rWk","Video Solution - Eng Aya Elymany")</f>
        <v>Video Solution - Eng Aya Elymany</v>
      </c>
    </row>
    <row r="88" spans="1:14" ht="13.2">
      <c r="A88" s="122" t="s">
        <v>624</v>
      </c>
      <c r="B88" s="182" t="str">
        <f>HYPERLINK("https://uva.onlinejudge.org/index.php?option=com_onlinejudge&amp;Itemid=8&amp;page=show_problem&amp;problem=1558","UVA 10617")</f>
        <v>UVA 10617</v>
      </c>
      <c r="C88" s="159" t="s">
        <v>10948</v>
      </c>
      <c r="D88" s="159"/>
      <c r="E88" s="159"/>
      <c r="F88" s="159"/>
      <c r="G88" s="159"/>
      <c r="H88" s="160"/>
      <c r="I88" s="57">
        <f t="shared" si="0"/>
        <v>0</v>
      </c>
      <c r="J88" s="62"/>
      <c r="K88" s="56"/>
      <c r="L88" s="29"/>
      <c r="M88" s="138" t="str">
        <f>HYPERLINK("https://github.com/magdy-hasan/competitive-programming/blob/master/uva-/uva%2010617%20-%20Again%20Palindrome.cpp","Sol to read")</f>
        <v>Sol to read</v>
      </c>
    </row>
    <row r="89" spans="1:14" ht="13.2">
      <c r="A89" s="122" t="s">
        <v>625</v>
      </c>
      <c r="B89" s="182" t="str">
        <f>HYPERLINK("https://uva.onlinejudge.org/index.php?option=com_onlinejudge&amp;Itemid=8&amp;page=show_problem&amp;problem=4108","UVA 1362")</f>
        <v>UVA 1362</v>
      </c>
      <c r="C89" s="159" t="s">
        <v>10948</v>
      </c>
      <c r="D89" s="159"/>
      <c r="E89" s="159"/>
      <c r="F89" s="159"/>
      <c r="G89" s="159"/>
      <c r="H89" s="160"/>
      <c r="I89" s="57">
        <f t="shared" si="0"/>
        <v>0</v>
      </c>
      <c r="J89" s="62"/>
      <c r="K89" s="56"/>
      <c r="L89" s="159"/>
      <c r="M89" s="169" t="str">
        <f>HYPERLINK("https://www.youtube.com/watch?v=NTxsccxXCW0","Video Solution - Eng Ayman Salah")</f>
        <v>Video Solution - Eng Ayman Salah</v>
      </c>
    </row>
    <row r="90" spans="1:14" ht="13.2">
      <c r="A90" s="122" t="s">
        <v>626</v>
      </c>
      <c r="B90" s="182" t="str">
        <f>HYPERLINK("https://uva.onlinejudge.org/index.php?option=com_onlinejudge&amp;Itemid=8&amp;page=show_problem&amp;problem=944","UVA 10003")</f>
        <v>UVA 10003</v>
      </c>
      <c r="C90" s="159" t="s">
        <v>14329</v>
      </c>
      <c r="D90" s="159"/>
      <c r="E90" s="159"/>
      <c r="F90" s="159"/>
      <c r="G90" s="159"/>
      <c r="H90" s="160"/>
      <c r="I90" s="57">
        <f t="shared" si="0"/>
        <v>0</v>
      </c>
      <c r="J90" s="62"/>
      <c r="K90" s="56"/>
      <c r="L90" s="29"/>
      <c r="M90" s="26"/>
    </row>
    <row r="91" spans="1:14" ht="13.2">
      <c r="A91" s="170" t="s">
        <v>627</v>
      </c>
      <c r="B91" s="171" t="str">
        <f>HYPERLINK("https://uva.onlinejudge.org/index.php?option=com_onlinejudge&amp;Itemid=8&amp;page=show_problem&amp;problem=284","UVA 348")</f>
        <v>UVA 348</v>
      </c>
      <c r="C91" s="160" t="s">
        <v>10948</v>
      </c>
      <c r="D91" s="159"/>
      <c r="E91" s="159"/>
      <c r="F91" s="159"/>
      <c r="G91" s="159"/>
      <c r="H91" s="160"/>
      <c r="I91" s="57">
        <f t="shared" si="0"/>
        <v>0</v>
      </c>
      <c r="J91" s="62"/>
      <c r="K91" s="56"/>
      <c r="L91" s="159"/>
      <c r="M91" s="210" t="str">
        <f>HYPERLINK("https://github.com/mostafa-saad/MyCompetitiveProgramming/blob/master/UVA/UVA_348.txt","Sol")</f>
        <v>Sol</v>
      </c>
    </row>
    <row r="92" spans="1:14" ht="13.2">
      <c r="A92" s="170" t="s">
        <v>628</v>
      </c>
      <c r="B92" s="171" t="str">
        <f>HYPERLINK("https://uva.onlinejudge.org/index.php?option=onlinejudge&amp;page=show_problem&amp;problem=63","UVA 127")</f>
        <v>UVA 127</v>
      </c>
      <c r="C92" s="160" t="s">
        <v>10948</v>
      </c>
      <c r="D92" s="159"/>
      <c r="E92" s="159"/>
      <c r="F92" s="159"/>
      <c r="G92" s="159"/>
      <c r="H92" s="160"/>
      <c r="I92" s="57">
        <f t="shared" si="0"/>
        <v>0</v>
      </c>
      <c r="J92" s="62"/>
      <c r="K92" s="56"/>
      <c r="L92" s="159"/>
      <c r="M92" s="169" t="str">
        <f>HYPERLINK("https://www.youtube.com/watch?v=fSZRRUPm0ro&amp;feature=youtu.be","Video Solution - Eng Moaz Rashad")</f>
        <v>Video Solution - Eng Moaz Rashad</v>
      </c>
    </row>
    <row r="93" spans="1:14" ht="13.2">
      <c r="A93" s="170" t="s">
        <v>629</v>
      </c>
      <c r="B93" s="171" t="str">
        <f>HYPERLINK("https://uva.onlinejudge.org/index.php?option=com_onlinejudge&amp;Itemid=8&amp;page=show_problem&amp;problem=64","UVA 128")</f>
        <v>UVA 128</v>
      </c>
      <c r="C93" s="160" t="s">
        <v>10948</v>
      </c>
      <c r="D93" s="159"/>
      <c r="E93" s="159"/>
      <c r="F93" s="159"/>
      <c r="G93" s="159"/>
      <c r="H93" s="160"/>
      <c r="I93" s="57">
        <f t="shared" si="0"/>
        <v>0</v>
      </c>
      <c r="J93" s="62"/>
      <c r="K93" s="56"/>
      <c r="L93" s="159"/>
      <c r="M93" s="169" t="str">
        <f>HYPERLINK("https://www.youtube.com/watch?v=ifTqIif9WJg","Video Solution - Eng Moaz Rashad")</f>
        <v>Video Solution - Eng Moaz Rashad</v>
      </c>
    </row>
    <row r="94" spans="1:14" ht="13.2">
      <c r="A94" s="170"/>
      <c r="B94" s="213" t="s">
        <v>630</v>
      </c>
      <c r="C94" s="160" t="s">
        <v>10948</v>
      </c>
      <c r="D94" s="159"/>
      <c r="E94" s="159"/>
      <c r="F94" s="159"/>
      <c r="G94" s="159"/>
      <c r="H94" s="160"/>
      <c r="I94" s="57">
        <f t="shared" si="0"/>
        <v>0</v>
      </c>
      <c r="J94" s="62"/>
      <c r="K94" s="56"/>
      <c r="L94" s="159"/>
      <c r="M94" s="169" t="s">
        <v>614</v>
      </c>
    </row>
    <row r="95" spans="1:14" ht="13.2">
      <c r="A95" s="63"/>
      <c r="B95" s="63"/>
      <c r="C95" s="159"/>
      <c r="D95" s="159"/>
      <c r="E95" s="159"/>
      <c r="F95" s="159"/>
      <c r="G95" s="159"/>
      <c r="H95" s="160"/>
      <c r="I95" s="57">
        <f t="shared" si="0"/>
        <v>0</v>
      </c>
      <c r="J95" s="62"/>
      <c r="K95" s="56"/>
      <c r="L95" s="159"/>
      <c r="M95" s="221"/>
    </row>
    <row r="96" spans="1:14" ht="13.2">
      <c r="A96" s="166" t="s">
        <v>631</v>
      </c>
      <c r="B96" s="210" t="str">
        <f>HYPERLINK("http://codeforces.com/contest/378/problem/C","CF378-D2-C")</f>
        <v>CF378-D2-C</v>
      </c>
      <c r="C96" s="159"/>
      <c r="D96" s="159"/>
      <c r="E96" s="159"/>
      <c r="F96" s="159"/>
      <c r="G96" s="159"/>
      <c r="H96" s="160"/>
      <c r="I96" s="57">
        <f t="shared" si="0"/>
        <v>0</v>
      </c>
      <c r="J96" s="62"/>
      <c r="K96" s="56"/>
      <c r="L96" s="159"/>
      <c r="M96" s="127"/>
    </row>
    <row r="97" spans="1:13" ht="13.2">
      <c r="A97" s="166" t="s">
        <v>632</v>
      </c>
      <c r="B97" s="210" t="str">
        <f>HYPERLINK("http://codeforces.com/contest/705/problem/C","CF705-D2-C")</f>
        <v>CF705-D2-C</v>
      </c>
      <c r="C97" s="159" t="s">
        <v>14314</v>
      </c>
      <c r="D97" s="159"/>
      <c r="E97" s="159"/>
      <c r="F97" s="159"/>
      <c r="G97" s="159"/>
      <c r="H97" s="160"/>
      <c r="I97" s="57">
        <f t="shared" si="0"/>
        <v>0</v>
      </c>
      <c r="J97" s="62"/>
      <c r="K97" s="56"/>
      <c r="L97" s="159"/>
      <c r="M97" s="63"/>
    </row>
    <row r="98" spans="1:13" ht="13.2">
      <c r="A98" s="166" t="s">
        <v>633</v>
      </c>
      <c r="B98" s="210" t="str">
        <f>HYPERLINK("http://codeforces.com/contest/706/problem/C","CF706-D2-C")</f>
        <v>CF706-D2-C</v>
      </c>
      <c r="C98" s="159"/>
      <c r="D98" s="159"/>
      <c r="E98" s="159"/>
      <c r="F98" s="159"/>
      <c r="G98" s="159"/>
      <c r="H98" s="160"/>
      <c r="I98" s="57">
        <f t="shared" si="0"/>
        <v>0</v>
      </c>
      <c r="J98" s="62"/>
      <c r="K98" s="56"/>
      <c r="L98" s="159"/>
      <c r="M98" s="63"/>
    </row>
    <row r="99" spans="1:13" ht="13.2">
      <c r="A99" s="166" t="s">
        <v>634</v>
      </c>
      <c r="B99" s="210" t="str">
        <f>HYPERLINK("http://codeforces.com/contest/405/problem/C","CF405-D2-C")</f>
        <v>CF405-D2-C</v>
      </c>
      <c r="C99" s="159"/>
      <c r="D99" s="159"/>
      <c r="E99" s="159"/>
      <c r="F99" s="159"/>
      <c r="G99" s="159"/>
      <c r="H99" s="160"/>
      <c r="I99" s="57">
        <f t="shared" si="0"/>
        <v>0</v>
      </c>
      <c r="J99" s="62"/>
      <c r="K99" s="56"/>
      <c r="L99" s="159"/>
      <c r="M99" s="63"/>
    </row>
    <row r="100" spans="1:13" ht="13.2">
      <c r="A100" s="166" t="s">
        <v>635</v>
      </c>
      <c r="B100" s="210" t="str">
        <f>HYPERLINK("http://codeforces.com/contest/486/problem/C","CF486-D2-C")</f>
        <v>CF486-D2-C</v>
      </c>
      <c r="C100" s="159"/>
      <c r="D100" s="159"/>
      <c r="E100" s="159"/>
      <c r="F100" s="159"/>
      <c r="G100" s="159"/>
      <c r="H100" s="160"/>
      <c r="I100" s="57">
        <f t="shared" si="0"/>
        <v>0</v>
      </c>
      <c r="J100" s="62"/>
      <c r="K100" s="56"/>
      <c r="L100" s="159"/>
      <c r="M100" s="63"/>
    </row>
    <row r="101" spans="1:13" ht="13.2">
      <c r="A101" s="86" t="s">
        <v>636</v>
      </c>
      <c r="B101" s="128" t="str">
        <f>HYPERLINK("http://codeforces.com/contest/496/problem/C","CF496-D2-C")</f>
        <v>CF496-D2-C</v>
      </c>
      <c r="C101" s="159"/>
      <c r="D101" s="159"/>
      <c r="E101" s="159"/>
      <c r="F101" s="159"/>
      <c r="G101" s="159"/>
      <c r="H101" s="160"/>
      <c r="I101" s="57">
        <f t="shared" si="0"/>
        <v>0</v>
      </c>
      <c r="J101" s="62"/>
      <c r="K101" s="56"/>
      <c r="L101" s="29"/>
      <c r="M101" s="227" t="str">
        <f>HYPERLINK("https://www.youtube.com/watch?v=skSCRsMLPMI","Video Solution - Dr Mostafa Saad")</f>
        <v>Video Solution - Dr Mostafa Saad</v>
      </c>
    </row>
    <row r="102" spans="1:13" ht="13.2">
      <c r="A102" s="86" t="s">
        <v>637</v>
      </c>
      <c r="B102" s="128" t="str">
        <f>HYPERLINK("http://codeforces.com/contest/499/problem/C","CF499-D2-C")</f>
        <v>CF499-D2-C</v>
      </c>
      <c r="C102" s="159"/>
      <c r="D102" s="159"/>
      <c r="E102" s="159"/>
      <c r="F102" s="159"/>
      <c r="G102" s="159"/>
      <c r="H102" s="160"/>
      <c r="I102" s="57">
        <f t="shared" si="0"/>
        <v>0</v>
      </c>
      <c r="J102" s="93"/>
      <c r="K102" s="92"/>
      <c r="L102" s="29"/>
      <c r="M102" s="221" t="str">
        <f>HYPERLINK("https://www.youtube.com/watch?v=xwaGi6lx6Fg","Video Solution - Dr Mostafa Saad")</f>
        <v>Video Solution - Dr Mostafa Saad</v>
      </c>
    </row>
    <row r="103" spans="1:13" ht="13.2">
      <c r="A103" s="214" t="s">
        <v>638</v>
      </c>
      <c r="B103" s="28" t="str">
        <f>HYPERLINK("http://codeforces.com/contest/490/problem/B","CF490-D2-B")</f>
        <v>CF490-D2-B</v>
      </c>
      <c r="C103" s="159"/>
      <c r="D103" s="159"/>
      <c r="E103" s="159"/>
      <c r="F103" s="159"/>
      <c r="G103" s="159"/>
      <c r="H103" s="160"/>
      <c r="I103" s="57">
        <f t="shared" si="0"/>
        <v>0</v>
      </c>
      <c r="J103" s="93"/>
      <c r="K103" s="92"/>
      <c r="L103" s="29"/>
      <c r="M103" s="221"/>
    </row>
    <row r="104" spans="1:13" ht="13.2">
      <c r="A104" s="214" t="s">
        <v>639</v>
      </c>
      <c r="B104" s="28" t="str">
        <f>HYPERLINK("http://codeforces.com/contest/610/problem/B","CF610-D2-B")</f>
        <v>CF610-D2-B</v>
      </c>
      <c r="C104" s="159"/>
      <c r="D104" s="159"/>
      <c r="E104" s="159"/>
      <c r="F104" s="159"/>
      <c r="G104" s="159"/>
      <c r="H104" s="160"/>
      <c r="I104" s="57">
        <f t="shared" si="0"/>
        <v>0</v>
      </c>
      <c r="J104" s="93"/>
      <c r="K104" s="92"/>
      <c r="L104" s="29"/>
      <c r="M104" s="221"/>
    </row>
    <row r="105" spans="1:13" ht="13.2">
      <c r="A105" s="214" t="s">
        <v>640</v>
      </c>
      <c r="B105" s="28" t="str">
        <f>HYPERLINK("http://codeforces.com/contest/222/problem/B","CF222-D2-B")</f>
        <v>CF222-D2-B</v>
      </c>
      <c r="C105" s="159"/>
      <c r="D105" s="159"/>
      <c r="E105" s="159"/>
      <c r="F105" s="159"/>
      <c r="G105" s="159"/>
      <c r="H105" s="160"/>
      <c r="I105" s="57">
        <f t="shared" si="0"/>
        <v>0</v>
      </c>
      <c r="J105" s="93"/>
      <c r="K105" s="92"/>
      <c r="L105" s="29"/>
      <c r="M105" s="221"/>
    </row>
    <row r="106" spans="1:13" ht="13.2">
      <c r="A106" s="63"/>
      <c r="B106" s="63"/>
      <c r="C106" s="159"/>
      <c r="D106" s="159"/>
      <c r="E106" s="159"/>
      <c r="F106" s="159"/>
      <c r="G106" s="159"/>
      <c r="H106" s="160"/>
      <c r="I106" s="57">
        <f t="shared" si="0"/>
        <v>0</v>
      </c>
      <c r="J106" s="62"/>
      <c r="K106" s="56"/>
      <c r="L106" s="159"/>
      <c r="M106" s="165" t="str">
        <f>HYPERLINK("https://www.youtube.com/watch?v=5zILiqyQ2ts","Watch - Thinking - Incrementally")</f>
        <v>Watch - Thinking - Incrementally</v>
      </c>
    </row>
    <row r="107" spans="1:13" ht="13.2">
      <c r="A107" s="63"/>
      <c r="B107" s="63"/>
      <c r="C107" s="159"/>
      <c r="D107" s="159"/>
      <c r="E107" s="159"/>
      <c r="F107" s="159"/>
      <c r="G107" s="159"/>
      <c r="H107" s="160"/>
      <c r="I107" s="57">
        <f t="shared" si="0"/>
        <v>0</v>
      </c>
      <c r="J107" s="62"/>
      <c r="K107" s="56"/>
      <c r="L107" s="159"/>
      <c r="M107" s="165" t="str">
        <f>HYPERLINK("https://www.youtube.com/watch?v=9fwHOeebIgc","Watch - Thinking - Problem Domain re-interpretation")</f>
        <v>Watch - Thinking - Problem Domain re-interpretation</v>
      </c>
    </row>
    <row r="108" spans="1:13" ht="13.2">
      <c r="A108" s="63"/>
      <c r="B108" s="63"/>
      <c r="C108" s="159"/>
      <c r="D108" s="159"/>
      <c r="E108" s="159"/>
      <c r="F108" s="159"/>
      <c r="G108" s="159"/>
      <c r="H108" s="160"/>
      <c r="I108" s="57">
        <f t="shared" si="0"/>
        <v>0</v>
      </c>
      <c r="J108" s="62"/>
      <c r="K108" s="56"/>
      <c r="L108" s="159"/>
      <c r="M108" s="165" t="str">
        <f>HYPERLINK("https://www.youtube.com/watch?v=-5ApOQDhBtU","Watch - Number Theory - Factorization")</f>
        <v>Watch - Number Theory - Factorization</v>
      </c>
    </row>
    <row r="109" spans="1:13" ht="14.4">
      <c r="A109" s="122" t="s">
        <v>641</v>
      </c>
      <c r="B109" s="182" t="str">
        <f>HYPERLINK("https://uva.onlinejudge.org/index.php?option=com_onlinejudge&amp;Itemid=8&amp;page=show_problem&amp;problem=524","UVA 583")</f>
        <v>UVA 583</v>
      </c>
      <c r="C109" s="484"/>
      <c r="D109" s="159"/>
      <c r="E109" s="159"/>
      <c r="F109" s="159"/>
      <c r="G109" s="159"/>
      <c r="H109" s="160"/>
      <c r="I109" s="57">
        <f t="shared" si="0"/>
        <v>0</v>
      </c>
      <c r="J109" s="62"/>
      <c r="K109" s="56"/>
      <c r="L109" s="159"/>
      <c r="M109" s="63"/>
    </row>
    <row r="110" spans="1:13" ht="13.2">
      <c r="A110" s="122" t="s">
        <v>642</v>
      </c>
      <c r="B110" s="182" t="str">
        <f>HYPERLINK("https://uva.onlinejudge.org/index.php?option=com_onlinejudge&amp;Itemid=8&amp;page=show_problem&amp;problem=1431","UVA 10490")</f>
        <v>UVA 10490</v>
      </c>
      <c r="C110" s="160" t="s">
        <v>14358</v>
      </c>
      <c r="D110" s="159"/>
      <c r="E110" s="159"/>
      <c r="F110" s="159"/>
      <c r="G110" s="159"/>
      <c r="H110" s="160"/>
      <c r="I110" s="57">
        <f t="shared" si="0"/>
        <v>0</v>
      </c>
      <c r="J110" s="62"/>
      <c r="K110" s="56"/>
      <c r="L110" s="159"/>
      <c r="M110" s="71" t="str">
        <f>HYPERLINK("https://github.com/MohamedNabil97/CompetitiveProgramming/blob/master/UVA/10490.cpp","Sol to read")</f>
        <v>Sol to read</v>
      </c>
    </row>
    <row r="111" spans="1:13" ht="13.2">
      <c r="A111" s="122" t="s">
        <v>643</v>
      </c>
      <c r="B111" s="182" t="str">
        <f>HYPERLINK("https://uva.onlinejudge.org/index.php?option=onlinejudge&amp;page=show_problem&amp;problem=1563","UVA 10622")</f>
        <v>UVA 10622</v>
      </c>
      <c r="C111" s="160" t="s">
        <v>166</v>
      </c>
      <c r="D111" s="159"/>
      <c r="E111" s="159"/>
      <c r="F111" s="159"/>
      <c r="G111" s="159"/>
      <c r="H111" s="160"/>
      <c r="I111" s="57">
        <f t="shared" si="0"/>
        <v>0</v>
      </c>
      <c r="J111" s="62"/>
      <c r="K111" s="56"/>
      <c r="L111" s="159"/>
      <c r="M111" s="169" t="str">
        <f>HYPERLINK("https://www.youtube.com/watch?v=sRZgiQc5x7U","Video Solution - Eng Moaz Rashad")</f>
        <v>Video Solution - Eng Moaz Rashad</v>
      </c>
    </row>
    <row r="112" spans="1:13" ht="14.4">
      <c r="A112" s="122" t="s">
        <v>644</v>
      </c>
      <c r="B112" s="182" t="str">
        <f>HYPERLINK("https://uva.onlinejudge.org/index.php?option=com_onlinejudge&amp;Itemid=8&amp;page=show_problem&amp;problem=457","UVA 516")</f>
        <v>UVA 516</v>
      </c>
      <c r="C112" s="484"/>
      <c r="D112" s="159"/>
      <c r="E112" s="159"/>
      <c r="F112" s="159"/>
      <c r="G112" s="159"/>
      <c r="H112" s="160"/>
      <c r="I112" s="57">
        <f t="shared" si="0"/>
        <v>0</v>
      </c>
      <c r="J112" s="62"/>
      <c r="K112" s="56"/>
      <c r="L112" s="159"/>
      <c r="M112" s="191" t="str">
        <f>HYPERLINK("https://algorithmist.com/wiki/UVa_516_-_Prime_Land#_=_","Sol")</f>
        <v>Sol</v>
      </c>
    </row>
    <row r="113" spans="1:13" ht="13.2">
      <c r="A113" s="170"/>
      <c r="B113" s="170" t="s">
        <v>645</v>
      </c>
      <c r="C113" s="160"/>
      <c r="D113" s="159"/>
      <c r="E113" s="159"/>
      <c r="F113" s="159"/>
      <c r="G113" s="159"/>
      <c r="H113" s="160"/>
      <c r="I113" s="57">
        <f t="shared" si="0"/>
        <v>0</v>
      </c>
      <c r="J113" s="62"/>
      <c r="K113" s="56"/>
      <c r="L113" s="159"/>
      <c r="M113" s="228" t="s">
        <v>614</v>
      </c>
    </row>
    <row r="114" spans="1:13" ht="13.2">
      <c r="A114" s="170"/>
      <c r="B114" s="487" t="s">
        <v>646</v>
      </c>
      <c r="C114" s="160" t="s">
        <v>10948</v>
      </c>
      <c r="D114" s="159"/>
      <c r="E114" s="159"/>
      <c r="F114" s="159"/>
      <c r="G114" s="159"/>
      <c r="H114" s="160"/>
      <c r="I114" s="57">
        <f t="shared" si="0"/>
        <v>0</v>
      </c>
      <c r="J114" s="62"/>
      <c r="K114" s="56"/>
      <c r="L114" s="159"/>
      <c r="M114" s="229"/>
    </row>
    <row r="115" spans="1:13" ht="13.2">
      <c r="A115" s="219" t="s">
        <v>647</v>
      </c>
      <c r="B115" s="230" t="str">
        <f>HYPERLINK("https://uva.onlinejudge.org/index.php?option=com_onlinejudge&amp;Itemid=8&amp;page=show_problem&amp;problem=132","UVA 196")</f>
        <v>UVA 196</v>
      </c>
      <c r="C115" s="160" t="s">
        <v>10948</v>
      </c>
      <c r="D115" s="159"/>
      <c r="E115" s="159"/>
      <c r="F115" s="159"/>
      <c r="G115" s="159"/>
      <c r="H115" s="160"/>
      <c r="I115" s="57">
        <f t="shared" si="0"/>
        <v>0</v>
      </c>
      <c r="J115" s="93"/>
      <c r="K115" s="92"/>
      <c r="L115" s="29"/>
      <c r="M115" s="231" t="s">
        <v>614</v>
      </c>
    </row>
    <row r="116" spans="1:13" ht="13.2">
      <c r="A116" s="63"/>
      <c r="B116" s="63"/>
      <c r="C116" s="159"/>
      <c r="D116" s="159"/>
      <c r="E116" s="159"/>
      <c r="F116" s="159"/>
      <c r="G116" s="159"/>
      <c r="H116" s="160"/>
      <c r="I116" s="57">
        <f t="shared" si="0"/>
        <v>0</v>
      </c>
      <c r="J116" s="62"/>
      <c r="K116" s="56"/>
      <c r="L116" s="159"/>
      <c r="M116" s="229"/>
    </row>
    <row r="117" spans="1:13" ht="13.2">
      <c r="A117" s="166" t="s">
        <v>648</v>
      </c>
      <c r="B117" s="210" t="str">
        <f>HYPERLINK("http://codeforces.com/contest/253/problem/C","CF253-D2-C")</f>
        <v>CF253-D2-C</v>
      </c>
      <c r="C117" s="159"/>
      <c r="D117" s="159"/>
      <c r="E117" s="159"/>
      <c r="F117" s="159"/>
      <c r="G117" s="159"/>
      <c r="H117" s="160"/>
      <c r="I117" s="57">
        <f t="shared" si="0"/>
        <v>0</v>
      </c>
      <c r="J117" s="62"/>
      <c r="K117" s="56"/>
      <c r="L117" s="159"/>
      <c r="M117" s="127"/>
    </row>
    <row r="118" spans="1:13" ht="13.2">
      <c r="A118" s="166" t="s">
        <v>649</v>
      </c>
      <c r="B118" s="210" t="str">
        <f>HYPERLINK("http://codeforces.com/contest/604/problem/C","CF604-D2-C")</f>
        <v>CF604-D2-C</v>
      </c>
      <c r="C118" s="159"/>
      <c r="D118" s="159"/>
      <c r="E118" s="159"/>
      <c r="F118" s="159"/>
      <c r="G118" s="159"/>
      <c r="H118" s="160"/>
      <c r="I118" s="57">
        <f t="shared" si="0"/>
        <v>0</v>
      </c>
      <c r="J118" s="62"/>
      <c r="K118" s="56"/>
      <c r="L118" s="159"/>
      <c r="M118" s="86"/>
    </row>
    <row r="119" spans="1:13" ht="13.2">
      <c r="A119" s="166" t="s">
        <v>650</v>
      </c>
      <c r="B119" s="210" t="str">
        <f>HYPERLINK("http://codeforces.com/contest/735/problem/C","CF735-D2-C")</f>
        <v>CF735-D2-C</v>
      </c>
      <c r="C119" s="159"/>
      <c r="D119" s="159"/>
      <c r="E119" s="159"/>
      <c r="F119" s="159"/>
      <c r="G119" s="159"/>
      <c r="H119" s="160"/>
      <c r="I119" s="57">
        <f t="shared" si="0"/>
        <v>0</v>
      </c>
      <c r="J119" s="62"/>
      <c r="K119" s="56"/>
      <c r="L119" s="159"/>
      <c r="M119" s="127"/>
    </row>
    <row r="120" spans="1:13" ht="13.2">
      <c r="A120" s="166" t="s">
        <v>651</v>
      </c>
      <c r="B120" s="210" t="str">
        <f>HYPERLINK("http://codeforces.com/contest/507/problem/C","CF507-D2-C")</f>
        <v>CF507-D2-C</v>
      </c>
      <c r="C120" s="159"/>
      <c r="D120" s="159"/>
      <c r="E120" s="159"/>
      <c r="F120" s="159"/>
      <c r="G120" s="159"/>
      <c r="H120" s="160"/>
      <c r="I120" s="57">
        <f t="shared" si="0"/>
        <v>0</v>
      </c>
      <c r="J120" s="62"/>
      <c r="K120" s="56"/>
      <c r="L120" s="159"/>
      <c r="M120" s="227" t="str">
        <f>HYPERLINK("https://www.youtube.com/watch?v=1Ki1L9BAJIQ","Video Solution - Dr Mostafa Saad")</f>
        <v>Video Solution - Dr Mostafa Saad</v>
      </c>
    </row>
    <row r="121" spans="1:13" ht="13.2">
      <c r="A121" s="166" t="s">
        <v>652</v>
      </c>
      <c r="B121" s="210" t="str">
        <f>HYPERLINK("http://codeforces.com/contest/84/problem/C","CF84-D2-C")</f>
        <v>CF84-D2-C</v>
      </c>
      <c r="C121" s="159"/>
      <c r="D121" s="159"/>
      <c r="E121" s="159"/>
      <c r="F121" s="159"/>
      <c r="G121" s="159"/>
      <c r="H121" s="160"/>
      <c r="I121" s="57">
        <f t="shared" si="0"/>
        <v>0</v>
      </c>
      <c r="J121" s="62"/>
      <c r="K121" s="56"/>
      <c r="L121" s="159"/>
      <c r="M121" s="63"/>
    </row>
    <row r="122" spans="1:13" ht="13.2">
      <c r="A122" s="86" t="s">
        <v>653</v>
      </c>
      <c r="B122" s="128" t="str">
        <f>HYPERLINK("http://codeforces.com/contest/584/problem/C","CF584-D2-C")</f>
        <v>CF584-D2-C</v>
      </c>
      <c r="C122" s="159"/>
      <c r="D122" s="159"/>
      <c r="E122" s="159"/>
      <c r="F122" s="159"/>
      <c r="G122" s="159"/>
      <c r="H122" s="160"/>
      <c r="I122" s="57">
        <f t="shared" si="0"/>
        <v>0</v>
      </c>
      <c r="J122" s="62"/>
      <c r="K122" s="56"/>
      <c r="L122" s="29"/>
      <c r="M122" s="26"/>
    </row>
    <row r="123" spans="1:13" ht="13.2">
      <c r="A123" s="105" t="s">
        <v>654</v>
      </c>
      <c r="B123" s="232" t="str">
        <f>HYPERLINK("http://codeforces.com/contest/792/problem/C","CF792-D2-C")</f>
        <v>CF792-D2-C</v>
      </c>
      <c r="C123" s="159"/>
      <c r="D123" s="159"/>
      <c r="E123" s="159"/>
      <c r="F123" s="159"/>
      <c r="G123" s="159"/>
      <c r="H123" s="160"/>
      <c r="I123" s="57">
        <f t="shared" si="0"/>
        <v>0</v>
      </c>
      <c r="J123" s="62"/>
      <c r="K123" s="56"/>
      <c r="L123" s="29"/>
      <c r="M123" s="82" t="str">
        <f>HYPERLINK("https://www.youtube.com/watch?v=BgG5sjJslYk","Video Solution - Solver to be (Java)")</f>
        <v>Video Solution - Solver to be (Java)</v>
      </c>
    </row>
    <row r="124" spans="1:13" ht="13.2">
      <c r="A124" s="214" t="s">
        <v>655</v>
      </c>
      <c r="B124" s="28" t="str">
        <f>HYPERLINK("http://codeforces.com/contest/534/problem/B","CF534-D2-B")</f>
        <v>CF534-D2-B</v>
      </c>
      <c r="C124" s="159"/>
      <c r="D124" s="159"/>
      <c r="E124" s="159"/>
      <c r="F124" s="159"/>
      <c r="G124" s="159"/>
      <c r="H124" s="160"/>
      <c r="I124" s="57">
        <f t="shared" si="0"/>
        <v>0</v>
      </c>
      <c r="J124" s="62"/>
      <c r="K124" s="56"/>
      <c r="L124" s="29"/>
      <c r="M124" s="117"/>
    </row>
    <row r="125" spans="1:13" ht="13.2">
      <c r="A125" s="214" t="s">
        <v>656</v>
      </c>
      <c r="B125" s="28" t="str">
        <f>HYPERLINK("http://codeforces.com/contest/75/problem/B","CF75-D2-B")</f>
        <v>CF75-D2-B</v>
      </c>
      <c r="C125" s="159"/>
      <c r="D125" s="159"/>
      <c r="E125" s="159"/>
      <c r="F125" s="159"/>
      <c r="G125" s="159"/>
      <c r="H125" s="160"/>
      <c r="I125" s="57">
        <f t="shared" si="0"/>
        <v>0</v>
      </c>
      <c r="J125" s="62"/>
      <c r="K125" s="56"/>
      <c r="L125" s="29"/>
      <c r="M125" s="117"/>
    </row>
    <row r="126" spans="1:13" ht="13.2">
      <c r="A126" s="214" t="s">
        <v>657</v>
      </c>
      <c r="B126" s="233" t="str">
        <f>HYPERLINK("http://codeforces.com/contest/979/problem/B","CF979-D2-B")</f>
        <v>CF979-D2-B</v>
      </c>
      <c r="C126" s="29"/>
      <c r="D126" s="29"/>
      <c r="E126" s="29"/>
      <c r="F126" s="29"/>
      <c r="G126" s="29"/>
      <c r="H126" s="29"/>
      <c r="I126" s="160">
        <f t="shared" si="0"/>
        <v>0</v>
      </c>
      <c r="J126" s="26"/>
      <c r="K126" s="29"/>
      <c r="L126" s="29"/>
      <c r="M126" s="26"/>
    </row>
    <row r="127" spans="1:13" ht="13.2">
      <c r="A127" s="166"/>
      <c r="B127" s="63"/>
      <c r="C127" s="159"/>
      <c r="D127" s="159"/>
      <c r="E127" s="159"/>
      <c r="F127" s="159"/>
      <c r="G127" s="159"/>
      <c r="H127" s="160"/>
      <c r="I127" s="57">
        <f t="shared" si="0"/>
        <v>0</v>
      </c>
      <c r="J127" s="62"/>
      <c r="K127" s="56"/>
      <c r="L127" s="159"/>
      <c r="M127" s="63"/>
    </row>
    <row r="128" spans="1:13" ht="13.2">
      <c r="A128" s="170" t="s">
        <v>658</v>
      </c>
      <c r="B128" s="171" t="str">
        <f>HYPERLINK("https://uva.onlinejudge.org/index.php?option=onlinejudge&amp;page=show_problem&amp;problem=1731","UVA 10790")</f>
        <v>UVA 10790</v>
      </c>
      <c r="C128" s="159" t="s">
        <v>10948</v>
      </c>
      <c r="D128" s="159"/>
      <c r="E128" s="159"/>
      <c r="F128" s="159"/>
      <c r="G128" s="159"/>
      <c r="H128" s="160"/>
      <c r="I128" s="57">
        <f t="shared" si="0"/>
        <v>0</v>
      </c>
      <c r="J128" s="62"/>
      <c r="K128" s="56"/>
      <c r="L128" s="159"/>
      <c r="M128" s="210" t="str">
        <f>HYPERLINK("https://github.com/MeGaCrazy/CompetitiveProgramming/blob/5b920a5ddab614e30ea12e7e3a7da12267a203ec/UVA/UVA_10790.cpp","Sol")</f>
        <v>Sol</v>
      </c>
    </row>
    <row r="129" spans="1:14" ht="13.2">
      <c r="A129" s="170" t="s">
        <v>659</v>
      </c>
      <c r="B129" s="171" t="str">
        <f>HYPERLINK("https://uva.onlinejudge.org/index.php?option=onlinejudge&amp;Itemid=8&amp;page=show_problem&amp;problem=1080","UVA 10139")</f>
        <v>UVA 10139</v>
      </c>
      <c r="C129" s="160" t="s">
        <v>14360</v>
      </c>
      <c r="D129" s="159"/>
      <c r="E129" s="159"/>
      <c r="F129" s="159"/>
      <c r="G129" s="159"/>
      <c r="H129" s="160"/>
      <c r="I129" s="57">
        <f t="shared" si="0"/>
        <v>0</v>
      </c>
      <c r="J129" s="62"/>
      <c r="K129" s="56"/>
      <c r="L129" s="159"/>
      <c r="M129" s="225" t="s">
        <v>614</v>
      </c>
      <c r="N129" s="548" t="s">
        <v>14359</v>
      </c>
    </row>
    <row r="130" spans="1:14" ht="13.2">
      <c r="A130" s="170" t="s">
        <v>660</v>
      </c>
      <c r="B130" s="171" t="str">
        <f>HYPERLINK("https://uva.onlinejudge.org/index.php?option=com_onlinejudge&amp;Itemid=8&amp;page=show_problem&amp;problem=1917","UVA 10976")</f>
        <v>UVA 10976</v>
      </c>
      <c r="C130" s="160" t="s">
        <v>14314</v>
      </c>
      <c r="D130" s="159"/>
      <c r="E130" s="159"/>
      <c r="F130" s="159"/>
      <c r="G130" s="159"/>
      <c r="H130" s="160"/>
      <c r="I130" s="57">
        <f t="shared" si="0"/>
        <v>0</v>
      </c>
      <c r="J130" s="62"/>
      <c r="K130" s="56"/>
      <c r="L130" s="159"/>
      <c r="M130" s="71" t="str">
        <f>HYPERLINK("https://github.com/magdy-hasan/competitive-programming/blob/master/uva-/uva%2010976%20-%20Fractions%20Again!.cpp","Sol")</f>
        <v>Sol</v>
      </c>
    </row>
    <row r="131" spans="1:14" ht="13.2">
      <c r="A131" s="170" t="s">
        <v>661</v>
      </c>
      <c r="B131" s="171" t="str">
        <f>HYPERLINK("http://codeforces.com/contest/189/problem/A","CF189-D2-A")</f>
        <v>CF189-D2-A</v>
      </c>
      <c r="C131" s="160" t="s">
        <v>1300</v>
      </c>
      <c r="D131" s="159"/>
      <c r="E131" s="159"/>
      <c r="F131" s="159"/>
      <c r="G131" s="159"/>
      <c r="H131" s="160"/>
      <c r="I131" s="57">
        <f t="shared" si="0"/>
        <v>0</v>
      </c>
      <c r="J131" s="62"/>
      <c r="K131" s="56"/>
      <c r="L131" s="29"/>
      <c r="M131" s="82" t="str">
        <f>HYPERLINK("https://www.youtube.com/watch?v=4VBt8sKocyw","Video Solution - Solver to be (Java)")</f>
        <v>Video Solution - Solver to be (Java)</v>
      </c>
    </row>
    <row r="132" spans="1:14" ht="13.2">
      <c r="A132" s="63"/>
      <c r="B132" s="63"/>
      <c r="C132" s="159"/>
      <c r="D132" s="159"/>
      <c r="E132" s="159"/>
      <c r="F132" s="159"/>
      <c r="G132" s="159"/>
      <c r="H132" s="160"/>
      <c r="I132" s="57">
        <f t="shared" si="0"/>
        <v>0</v>
      </c>
      <c r="J132" s="62"/>
      <c r="K132" s="56"/>
      <c r="L132" s="159"/>
      <c r="M132" s="63"/>
    </row>
    <row r="133" spans="1:14" ht="13.2">
      <c r="C133" s="159"/>
      <c r="D133" s="159"/>
      <c r="E133" s="159"/>
      <c r="F133" s="159"/>
      <c r="G133" s="159"/>
      <c r="H133" s="160"/>
      <c r="I133" s="57">
        <f t="shared" si="0"/>
        <v>0</v>
      </c>
      <c r="J133" s="62"/>
      <c r="K133" s="56"/>
      <c r="L133" s="159"/>
      <c r="M133" s="234" t="str">
        <f>HYPERLINK("https://www.youtube.com/playlist?list=PLC58778F28211FA19","Watch - Probability - First 9 videos")</f>
        <v>Watch - Probability - First 9 videos</v>
      </c>
      <c r="N133" s="490" t="s">
        <v>14328</v>
      </c>
    </row>
    <row r="134" spans="1:14" ht="13.2">
      <c r="A134" s="124" t="s">
        <v>662</v>
      </c>
      <c r="B134" s="235" t="str">
        <f>HYPERLINK("https://uva.onlinejudge.org/index.php?option=onlinejudge&amp;page=show_problem&amp;problem=1432","UVA 10491")</f>
        <v>UVA 10491</v>
      </c>
      <c r="C134" t="s">
        <v>10948</v>
      </c>
      <c r="D134" s="159"/>
      <c r="E134" s="159"/>
      <c r="F134" s="159"/>
      <c r="G134" s="159"/>
      <c r="H134" s="160"/>
      <c r="I134" s="57">
        <f t="shared" si="0"/>
        <v>0</v>
      </c>
      <c r="J134" s="62"/>
      <c r="K134" s="56"/>
      <c r="L134" s="159"/>
      <c r="M134" s="210" t="str">
        <f>HYPERLINK("https://www.probabilitycourse.com/","Revise Probability")</f>
        <v>Revise Probability</v>
      </c>
    </row>
    <row r="135" spans="1:14" ht="13.2">
      <c r="A135" s="124" t="s">
        <v>663</v>
      </c>
      <c r="B135" s="235" t="str">
        <f>HYPERLINK("https://uva.onlinejudge.org/index.php?option=com_onlinejudge&amp;Itemid=8&amp;page=show_problem&amp;problem=997","UVA 10056")</f>
        <v>UVA 10056</v>
      </c>
      <c r="C135" s="489" t="s">
        <v>10948</v>
      </c>
      <c r="D135" s="159"/>
      <c r="E135" s="159"/>
      <c r="F135" s="159"/>
      <c r="G135" s="159"/>
      <c r="H135" s="160"/>
      <c r="I135" s="57">
        <f t="shared" si="0"/>
        <v>0</v>
      </c>
      <c r="J135" s="62"/>
      <c r="K135" s="56"/>
      <c r="L135" s="159"/>
      <c r="M135" s="210" t="str">
        <f>HYPERLINK("https://github.com/mostafa-saad/MyCompetitiveProgramming/blob/master/UVA/UVA_10056.txt","Sol")</f>
        <v>Sol</v>
      </c>
    </row>
    <row r="136" spans="1:14" ht="13.2">
      <c r="A136" s="124" t="s">
        <v>664</v>
      </c>
      <c r="B136" s="235" t="str">
        <f>HYPERLINK("https://uva.onlinejudge.org/index.php?option=com_onlinejudge&amp;Itemid=8&amp;page=show_problem&amp;problem=1159","UVA 10218")</f>
        <v>UVA 10218</v>
      </c>
      <c r="C136" s="489" t="s">
        <v>10948</v>
      </c>
      <c r="D136" s="159"/>
      <c r="E136" s="159"/>
      <c r="F136" s="159"/>
      <c r="G136" s="159"/>
      <c r="H136" s="160"/>
      <c r="I136" s="57">
        <f t="shared" si="0"/>
        <v>0</v>
      </c>
      <c r="J136" s="62"/>
      <c r="K136" s="56"/>
      <c r="L136" s="159"/>
      <c r="M136" s="236" t="str">
        <f>HYPERLINK("https://github.com/mostafa-saad/MyCompetitiveProgramming/blob/master/UVA/UVA_10218.txt","Sol")</f>
        <v>Sol</v>
      </c>
    </row>
    <row r="137" spans="1:14" ht="13.2">
      <c r="A137" s="124" t="s">
        <v>665</v>
      </c>
      <c r="B137" s="235" t="str">
        <f>HYPERLINK("https://uva.onlinejudge.org/index.php?option=com_onlinejudge&amp;Itemid=8&amp;page=show_problem&amp;problem=2122","UVA 11181")</f>
        <v>UVA 11181</v>
      </c>
      <c r="C137" s="489" t="s">
        <v>10948</v>
      </c>
      <c r="D137" s="159"/>
      <c r="E137" s="159"/>
      <c r="F137" s="159"/>
      <c r="G137" s="159"/>
      <c r="H137" s="160"/>
      <c r="I137" s="57">
        <f t="shared" si="0"/>
        <v>0</v>
      </c>
      <c r="J137" s="62"/>
      <c r="K137" s="56"/>
      <c r="L137" s="159"/>
      <c r="M137" s="210" t="str">
        <f>HYPERLINK("https://github.com/MohamedNabil97/CompetitiveProgramming/blob/master/UVA/1181.cpp","Sol")</f>
        <v>Sol</v>
      </c>
    </row>
    <row r="138" spans="1:14" ht="13.2">
      <c r="A138" s="124" t="s">
        <v>666</v>
      </c>
      <c r="B138" s="235" t="str">
        <f>HYPERLINK("https://uva.onlinejudge.org/index.php?option=com_onlinejudge&amp;Itemid=8&amp;page=show_problem&amp;problem=2675","UVA 11628")</f>
        <v>UVA 11628</v>
      </c>
      <c r="C138" s="489" t="s">
        <v>10948</v>
      </c>
      <c r="D138" s="159"/>
      <c r="E138" s="159"/>
      <c r="F138" s="159"/>
      <c r="G138" s="159"/>
      <c r="H138" s="160"/>
      <c r="I138" s="57">
        <f t="shared" si="0"/>
        <v>0</v>
      </c>
      <c r="J138" s="62"/>
      <c r="K138" s="56"/>
      <c r="L138" s="159"/>
      <c r="M138" s="210" t="str">
        <f>HYPERLINK("https://github.com/mostafa-saad/MyCompetitiveProgramming/blob/master/UVA/UVA_11628.txt","Sol")</f>
        <v>Sol</v>
      </c>
    </row>
    <row r="139" spans="1:14" ht="13.2">
      <c r="A139" s="124" t="s">
        <v>667</v>
      </c>
      <c r="B139" s="235" t="str">
        <f>HYPERLINK("https://uva.onlinejudge.org/index.php?option=com_onlinejudge&amp;Itemid=8&amp;page=show_problem&amp;problem=3904","UVA 12461")</f>
        <v>UVA 12461</v>
      </c>
      <c r="C139" s="489" t="s">
        <v>10948</v>
      </c>
      <c r="D139" s="159"/>
      <c r="E139" s="159"/>
      <c r="F139" s="159"/>
      <c r="G139" s="159"/>
      <c r="H139" s="160"/>
      <c r="I139" s="57">
        <f t="shared" si="0"/>
        <v>0</v>
      </c>
      <c r="J139" s="62"/>
      <c r="K139" s="56"/>
      <c r="L139" s="159"/>
      <c r="M139" s="237" t="str">
        <f>HYPERLINK("https://github.com/VAMPIER000001/CompetitiveProgramming/blob/master/UVA/V-124/UVA%2012461.Cpp","Sol")</f>
        <v>Sol</v>
      </c>
    </row>
    <row r="140" spans="1:14" ht="13.2">
      <c r="A140" s="170"/>
      <c r="B140" s="171" t="str">
        <f>HYPERLINK("https://www.hackerrank.com/contests/infinitum18/challenges/tower-3-coloring","HACKR tower-3-coloring")</f>
        <v>HACKR tower-3-coloring</v>
      </c>
      <c r="C140" s="489" t="s">
        <v>10948</v>
      </c>
      <c r="D140" s="159"/>
      <c r="E140" s="159"/>
      <c r="F140" s="159"/>
      <c r="G140" s="159"/>
      <c r="H140" s="160"/>
      <c r="I140" s="57">
        <f t="shared" si="0"/>
        <v>0</v>
      </c>
      <c r="J140" s="62"/>
      <c r="K140" s="56"/>
      <c r="L140" s="159"/>
      <c r="M140" s="192" t="str">
        <f>HYPERLINK("https://en.wikipedia.org/wiki/Fermat%27s_little_theorem","Learn  Fermat's little theorem")</f>
        <v>Learn  Fermat's little theorem</v>
      </c>
    </row>
    <row r="141" spans="1:14" ht="13.2">
      <c r="A141" s="170"/>
      <c r="B141" s="171" t="str">
        <f>HYPERLINK("http://codeforces.com/contest/445/problem/C","CF445-D2-C")</f>
        <v>CF445-D2-C</v>
      </c>
      <c r="C141" s="489" t="s">
        <v>10948</v>
      </c>
      <c r="D141" s="159"/>
      <c r="E141" s="159"/>
      <c r="F141" s="159"/>
      <c r="G141" s="159"/>
      <c r="H141" s="160"/>
      <c r="I141" s="57">
        <f t="shared" si="0"/>
        <v>0</v>
      </c>
      <c r="J141" s="62"/>
      <c r="K141" s="56"/>
      <c r="L141" s="159"/>
      <c r="M141" s="238"/>
    </row>
    <row r="142" spans="1:14" ht="13.2">
      <c r="A142" s="170"/>
      <c r="B142" s="171" t="str">
        <f>HYPERLINK("https://www.hackerrank.com/challenges/a-circle-and-a-square","HACKR a-circle-and-a-square")</f>
        <v>HACKR a-circle-and-a-square</v>
      </c>
      <c r="C142" s="489" t="s">
        <v>10948</v>
      </c>
      <c r="D142" s="159"/>
      <c r="E142" s="159"/>
      <c r="F142" s="159"/>
      <c r="G142" s="159"/>
      <c r="H142" s="160"/>
      <c r="I142" s="57">
        <f t="shared" si="0"/>
        <v>0</v>
      </c>
      <c r="J142" s="62"/>
      <c r="K142" s="56"/>
      <c r="L142" s="159"/>
      <c r="M142" s="238"/>
    </row>
    <row r="143" spans="1:14" ht="13.2">
      <c r="A143" s="170"/>
      <c r="B143" s="213" t="s">
        <v>668</v>
      </c>
      <c r="C143" s="489" t="s">
        <v>10948</v>
      </c>
      <c r="D143" s="159"/>
      <c r="E143" s="159"/>
      <c r="F143" s="159"/>
      <c r="G143" s="159"/>
      <c r="H143" s="160"/>
      <c r="I143" s="57">
        <f t="shared" si="0"/>
        <v>0</v>
      </c>
      <c r="J143" s="62"/>
      <c r="K143" s="56"/>
      <c r="L143" s="159"/>
      <c r="M143" s="210" t="str">
        <f>HYPERLINK("https://www.geeksforgeeks.org/0-1-bfs-shortest-path-binary-graph/","Learn 0/1 BFS")</f>
        <v>Learn 0/1 BFS</v>
      </c>
    </row>
    <row r="144" spans="1:14" ht="13.2">
      <c r="A144" s="170" t="s">
        <v>669</v>
      </c>
      <c r="B144" s="171" t="str">
        <f>HYPERLINK("https://uva.onlinejudge.org/index.php?option=com_onlinejudge&amp;Itemid=8&amp;page=show_problem&amp;problem=3415","UVA 12263")</f>
        <v>UVA 12263</v>
      </c>
      <c r="C144" s="159" t="s">
        <v>10948</v>
      </c>
      <c r="D144" s="29"/>
      <c r="E144" s="29"/>
      <c r="F144" s="29"/>
      <c r="G144" s="29"/>
      <c r="H144" s="29"/>
      <c r="I144" s="103">
        <f t="shared" si="0"/>
        <v>0</v>
      </c>
      <c r="J144" s="26"/>
      <c r="K144" s="29"/>
      <c r="L144" s="29"/>
      <c r="M144" s="104" t="str">
        <f>HYPERLINK("https://github.com/mostafa-saad/MyCompetitiveProgramming/blob/master/UVA/UVA_12263.txt","Sol")</f>
        <v>Sol</v>
      </c>
    </row>
    <row r="145" spans="1:13" ht="13.2">
      <c r="C145" s="159"/>
      <c r="D145" s="159"/>
      <c r="E145" s="159"/>
      <c r="F145" s="159"/>
      <c r="G145" s="159"/>
      <c r="H145" s="160"/>
      <c r="I145" s="57">
        <f t="shared" si="0"/>
        <v>0</v>
      </c>
      <c r="J145" s="62"/>
      <c r="K145" s="56"/>
      <c r="L145" s="159"/>
      <c r="M145" s="238"/>
    </row>
    <row r="146" spans="1:13" ht="13.2">
      <c r="A146" s="166" t="s">
        <v>670</v>
      </c>
      <c r="B146" s="191" t="str">
        <f>HYPERLINK("http://codeforces.com/contest/822/problem/C","CF822-D2-C")</f>
        <v>CF822-D2-C</v>
      </c>
      <c r="C146" s="159"/>
      <c r="D146" s="159"/>
      <c r="E146" s="159"/>
      <c r="F146" s="159"/>
      <c r="G146" s="159"/>
      <c r="H146" s="160"/>
      <c r="I146" s="57">
        <f t="shared" si="0"/>
        <v>0</v>
      </c>
      <c r="J146" s="62"/>
      <c r="K146" s="56"/>
      <c r="L146" s="159"/>
      <c r="M146" s="82" t="str">
        <f>HYPERLINK("https://www.youtube.com/watch?v=VvR9spazigA","Video Solution - Solver to be (Java)")</f>
        <v>Video Solution - Solver to be (Java)</v>
      </c>
    </row>
    <row r="147" spans="1:13" ht="13.2">
      <c r="A147" s="166" t="s">
        <v>671</v>
      </c>
      <c r="B147" s="191" t="str">
        <f>HYPERLINK("http://codeforces.com/contest/834/problem/C","CF834-D2-C")</f>
        <v>CF834-D2-C</v>
      </c>
      <c r="C147" s="487" t="s">
        <v>14313</v>
      </c>
      <c r="D147" s="159"/>
      <c r="E147" s="159"/>
      <c r="F147" s="159"/>
      <c r="G147" s="159"/>
      <c r="H147" s="160"/>
      <c r="I147" s="57">
        <f t="shared" si="0"/>
        <v>0</v>
      </c>
      <c r="J147" s="62"/>
      <c r="K147" s="56"/>
      <c r="L147" s="159"/>
      <c r="M147" s="82" t="str">
        <f>HYPERLINK("https://www.youtube.com/watch?v=tge-NMPdndc","Video Solution - Solver to be (Java)")</f>
        <v>Video Solution - Solver to be (Java)</v>
      </c>
    </row>
    <row r="148" spans="1:13" ht="14.4">
      <c r="A148" s="166" t="s">
        <v>672</v>
      </c>
      <c r="B148" s="191" t="str">
        <f>HYPERLINK("http://codeforces.com/contest/835/problem/C","CF835-D2-C")</f>
        <v>CF835-D2-C</v>
      </c>
      <c r="C148" s="458" t="s">
        <v>14312</v>
      </c>
      <c r="D148" s="159"/>
      <c r="E148" s="159"/>
      <c r="F148" s="159"/>
      <c r="G148" s="159"/>
      <c r="H148" s="160"/>
      <c r="I148" s="57">
        <f t="shared" si="0"/>
        <v>0</v>
      </c>
      <c r="J148" s="62"/>
      <c r="K148" s="56"/>
      <c r="L148" s="159"/>
      <c r="M148" s="82" t="str">
        <f>HYPERLINK("https://www.youtube.com/watch?v=McKM0CgVLUM","Video Solution - Solver to be (Java)")</f>
        <v>Video Solution - Solver to be (Java)</v>
      </c>
    </row>
    <row r="149" spans="1:13" ht="13.2">
      <c r="A149" s="200"/>
      <c r="B149" s="200"/>
      <c r="C149" s="202"/>
      <c r="D149" s="202"/>
      <c r="E149" s="202"/>
      <c r="F149" s="202"/>
      <c r="G149" s="202"/>
      <c r="H149" s="203"/>
      <c r="I149" s="203">
        <f>SUM(E149:G149)</f>
        <v>0</v>
      </c>
      <c r="J149" s="202"/>
      <c r="K149" s="202"/>
      <c r="L149" s="202"/>
      <c r="M149" s="200"/>
    </row>
    <row r="150" spans="1:13" ht="13.2">
      <c r="A150" s="127"/>
      <c r="B150" s="127"/>
      <c r="C150" s="96"/>
      <c r="D150" s="663" t="s">
        <v>263</v>
      </c>
      <c r="E150" s="620"/>
      <c r="F150" s="620"/>
      <c r="G150" s="620"/>
      <c r="H150" s="160"/>
      <c r="I150" s="160">
        <f>SUM(E150:G150)</f>
        <v>0</v>
      </c>
      <c r="J150" s="662" t="s">
        <v>264</v>
      </c>
      <c r="K150" s="620"/>
      <c r="L150" s="620"/>
      <c r="M150" s="620"/>
    </row>
    <row r="151" spans="1:13" ht="13.2">
      <c r="A151" s="200"/>
      <c r="B151" s="200"/>
      <c r="C151" s="202"/>
      <c r="D151" s="202"/>
      <c r="E151" s="202"/>
      <c r="F151" s="202"/>
      <c r="G151" s="202"/>
      <c r="H151" s="203"/>
      <c r="I151" s="203">
        <f>SUM(E151:G151)</f>
        <v>0</v>
      </c>
      <c r="J151" s="202"/>
      <c r="K151" s="202"/>
      <c r="L151" s="202"/>
      <c r="M151" s="200"/>
    </row>
    <row r="152" spans="1:13" ht="13.2">
      <c r="A152" s="166" t="s">
        <v>673</v>
      </c>
      <c r="B152" s="210" t="str">
        <f>HYPERLINK("http://codeforces.com/contest/483/problem/C","CF483-D2-C")</f>
        <v>CF483-D2-C</v>
      </c>
      <c r="C152" s="159"/>
      <c r="D152" s="159"/>
      <c r="E152" s="159"/>
      <c r="F152" s="159"/>
      <c r="G152" s="159"/>
      <c r="H152" s="160"/>
      <c r="I152" s="57">
        <f t="shared" ref="I152:I200" si="1">SUM(E152:H152)</f>
        <v>0</v>
      </c>
      <c r="J152" s="62"/>
      <c r="K152" s="56"/>
      <c r="L152" s="159"/>
      <c r="M152" s="127"/>
    </row>
    <row r="153" spans="1:13" ht="13.2">
      <c r="A153" s="166" t="s">
        <v>674</v>
      </c>
      <c r="B153" s="210" t="str">
        <f>HYPERLINK("http://codeforces.com/contest/136/problem/C","CF136-D2-C")</f>
        <v>CF136-D2-C</v>
      </c>
      <c r="C153" s="159"/>
      <c r="D153" s="159"/>
      <c r="E153" s="159"/>
      <c r="F153" s="159"/>
      <c r="G153" s="159"/>
      <c r="H153" s="160"/>
      <c r="I153" s="57">
        <f t="shared" si="1"/>
        <v>0</v>
      </c>
      <c r="J153" s="62"/>
      <c r="K153" s="56"/>
      <c r="L153" s="159"/>
      <c r="M153" s="127"/>
    </row>
    <row r="154" spans="1:13" ht="13.2">
      <c r="A154" s="166" t="s">
        <v>675</v>
      </c>
      <c r="B154" s="210" t="str">
        <f>HYPERLINK("http://codeforces.com/contest/102/problem/C","CF102-D2-C")</f>
        <v>CF102-D2-C</v>
      </c>
      <c r="C154" s="159"/>
      <c r="D154" s="159"/>
      <c r="E154" s="159"/>
      <c r="F154" s="159"/>
      <c r="G154" s="159"/>
      <c r="H154" s="160"/>
      <c r="I154" s="57">
        <f t="shared" si="1"/>
        <v>0</v>
      </c>
      <c r="J154" s="62"/>
      <c r="K154" s="56"/>
      <c r="L154" s="159"/>
      <c r="M154" s="127"/>
    </row>
    <row r="155" spans="1:13" ht="13.2">
      <c r="A155" s="166" t="s">
        <v>676</v>
      </c>
      <c r="B155" s="210" t="str">
        <f>HYPERLINK("http://codeforces.com/contest/221/problem/C","CF221-D2-C")</f>
        <v>CF221-D2-C</v>
      </c>
      <c r="C155" s="159"/>
      <c r="D155" s="159"/>
      <c r="E155" s="159"/>
      <c r="F155" s="159"/>
      <c r="G155" s="159"/>
      <c r="H155" s="160"/>
      <c r="I155" s="57">
        <f t="shared" si="1"/>
        <v>0</v>
      </c>
      <c r="J155" s="62"/>
      <c r="K155" s="56"/>
      <c r="L155" s="159"/>
      <c r="M155" s="127"/>
    </row>
    <row r="156" spans="1:13" ht="13.2">
      <c r="A156" s="166" t="s">
        <v>677</v>
      </c>
      <c r="B156" s="210" t="str">
        <f>HYPERLINK("http://codeforces.com/contest/581/problem/C","CF581-D2-C")</f>
        <v>CF581-D2-C</v>
      </c>
      <c r="C156" s="159"/>
      <c r="D156" s="159"/>
      <c r="E156" s="159"/>
      <c r="F156" s="159"/>
      <c r="G156" s="159"/>
      <c r="H156" s="160"/>
      <c r="I156" s="57">
        <f t="shared" si="1"/>
        <v>0</v>
      </c>
      <c r="J156" s="62"/>
      <c r="K156" s="56"/>
      <c r="L156" s="159"/>
      <c r="M156" s="127"/>
    </row>
    <row r="157" spans="1:13" ht="13.2">
      <c r="A157" s="166" t="s">
        <v>678</v>
      </c>
      <c r="B157" s="210" t="str">
        <f>HYPERLINK("http://codeforces.com/contest/262/problem/C","CF262-D2-C")</f>
        <v>CF262-D2-C</v>
      </c>
      <c r="C157" s="159"/>
      <c r="D157" s="159"/>
      <c r="E157" s="159"/>
      <c r="F157" s="159"/>
      <c r="G157" s="159"/>
      <c r="H157" s="160"/>
      <c r="I157" s="57">
        <f t="shared" si="1"/>
        <v>0</v>
      </c>
      <c r="J157" s="62"/>
      <c r="K157" s="56"/>
      <c r="L157" s="159"/>
      <c r="M157" s="127"/>
    </row>
    <row r="158" spans="1:13" ht="13.2">
      <c r="A158" s="166" t="s">
        <v>679</v>
      </c>
      <c r="B158" s="210" t="str">
        <f>HYPERLINK("http://codeforces.com/contest/389/problem/C","CF389-D2-C")</f>
        <v>CF389-D2-C</v>
      </c>
      <c r="C158" s="159"/>
      <c r="D158" s="159"/>
      <c r="E158" s="159"/>
      <c r="F158" s="159"/>
      <c r="G158" s="159"/>
      <c r="H158" s="160"/>
      <c r="I158" s="57">
        <f t="shared" si="1"/>
        <v>0</v>
      </c>
      <c r="J158" s="62"/>
      <c r="K158" s="56"/>
      <c r="L158" s="159"/>
      <c r="M158" s="127"/>
    </row>
    <row r="159" spans="1:13" ht="13.2">
      <c r="A159" s="166" t="s">
        <v>680</v>
      </c>
      <c r="B159" s="210" t="str">
        <f>HYPERLINK("http://codeforces.com/contest/218/problem/C","CF218-D2-C")</f>
        <v>CF218-D2-C</v>
      </c>
      <c r="C159" s="159"/>
      <c r="D159" s="159"/>
      <c r="E159" s="159"/>
      <c r="F159" s="159"/>
      <c r="G159" s="159"/>
      <c r="H159" s="160"/>
      <c r="I159" s="57">
        <f t="shared" si="1"/>
        <v>0</v>
      </c>
      <c r="J159" s="62"/>
      <c r="K159" s="56"/>
      <c r="L159" s="159"/>
      <c r="M159" s="127"/>
    </row>
    <row r="160" spans="1:13" ht="13.2">
      <c r="A160" s="166" t="s">
        <v>681</v>
      </c>
      <c r="B160" s="210" t="str">
        <f>HYPERLINK("http://codeforces.com/contest/441/problem/C","CF441-D2-C")</f>
        <v>CF441-D2-C</v>
      </c>
      <c r="C160" s="159"/>
      <c r="D160" s="159"/>
      <c r="E160" s="159"/>
      <c r="F160" s="159"/>
      <c r="G160" s="159"/>
      <c r="H160" s="160"/>
      <c r="I160" s="57">
        <f t="shared" si="1"/>
        <v>0</v>
      </c>
      <c r="J160" s="62"/>
      <c r="K160" s="56"/>
      <c r="L160" s="159"/>
      <c r="M160" s="127"/>
    </row>
    <row r="161" spans="1:13" ht="13.2">
      <c r="A161" s="166" t="s">
        <v>682</v>
      </c>
      <c r="B161" s="210" t="str">
        <f>HYPERLINK("http://codeforces.com/contest/271/problem/C","CF271-D2-C")</f>
        <v>CF271-D2-C</v>
      </c>
      <c r="C161" s="159"/>
      <c r="D161" s="159"/>
      <c r="E161" s="159"/>
      <c r="F161" s="159"/>
      <c r="G161" s="159"/>
      <c r="H161" s="160"/>
      <c r="I161" s="57">
        <f t="shared" si="1"/>
        <v>0</v>
      </c>
      <c r="J161" s="62"/>
      <c r="K161" s="56"/>
      <c r="L161" s="159"/>
      <c r="M161" s="127"/>
    </row>
    <row r="162" spans="1:13" ht="13.2">
      <c r="A162" s="166" t="s">
        <v>683</v>
      </c>
      <c r="B162" s="236" t="str">
        <f>HYPERLINK("http://www.spoj.com/problems/CERC07K/","SPOJ CERC07K")</f>
        <v>SPOJ CERC07K</v>
      </c>
      <c r="C162" s="29"/>
      <c r="D162" s="29"/>
      <c r="E162" s="29"/>
      <c r="F162" s="29"/>
      <c r="G162" s="29"/>
      <c r="H162" s="29"/>
      <c r="I162" s="103">
        <f t="shared" si="1"/>
        <v>0</v>
      </c>
      <c r="J162" s="26"/>
      <c r="K162" s="29"/>
      <c r="L162" s="29"/>
      <c r="M162" s="26"/>
    </row>
    <row r="163" spans="1:13" ht="13.2">
      <c r="A163" s="166" t="s">
        <v>684</v>
      </c>
      <c r="B163" s="236" t="str">
        <f>HYPERLINK("http://www.spoj.com/problems/CLEANRBT/","SPOJ CLEANRBT")</f>
        <v>SPOJ CLEANRBT</v>
      </c>
      <c r="C163" s="29"/>
      <c r="D163" s="29"/>
      <c r="E163" s="29"/>
      <c r="F163" s="29"/>
      <c r="G163" s="29"/>
      <c r="H163" s="29"/>
      <c r="I163" s="103">
        <f t="shared" si="1"/>
        <v>0</v>
      </c>
      <c r="J163" s="26"/>
      <c r="K163" s="29"/>
      <c r="L163" s="29"/>
      <c r="M163" s="26"/>
    </row>
    <row r="164" spans="1:13" ht="13.2">
      <c r="A164" s="166"/>
      <c r="B164" s="63"/>
      <c r="C164" s="159"/>
      <c r="D164" s="159"/>
      <c r="E164" s="159"/>
      <c r="F164" s="159"/>
      <c r="G164" s="159"/>
      <c r="H164" s="160"/>
      <c r="I164" s="57">
        <f t="shared" si="1"/>
        <v>0</v>
      </c>
      <c r="J164" s="62"/>
      <c r="K164" s="56"/>
      <c r="L164" s="159"/>
      <c r="M164" s="127"/>
    </row>
    <row r="165" spans="1:13" ht="13.2">
      <c r="A165" s="166" t="s">
        <v>685</v>
      </c>
      <c r="B165" s="210" t="str">
        <f>HYPERLINK("http://codeforces.com/contest/701/problem/C","CF701-D2-C")</f>
        <v>CF701-D2-C</v>
      </c>
      <c r="C165" s="159"/>
      <c r="D165" s="159"/>
      <c r="E165" s="159"/>
      <c r="F165" s="159"/>
      <c r="G165" s="159"/>
      <c r="H165" s="160"/>
      <c r="I165" s="57">
        <f t="shared" si="1"/>
        <v>0</v>
      </c>
      <c r="J165" s="62"/>
      <c r="K165" s="56"/>
      <c r="L165" s="159"/>
      <c r="M165" s="127"/>
    </row>
    <row r="166" spans="1:13" ht="13.2">
      <c r="A166" s="166" t="s">
        <v>686</v>
      </c>
      <c r="B166" s="210" t="str">
        <f>HYPERLINK("http://codeforces.com/contest/16/problem/C","CF16-D2-C")</f>
        <v>CF16-D2-C</v>
      </c>
      <c r="C166" s="159"/>
      <c r="D166" s="159"/>
      <c r="E166" s="159"/>
      <c r="F166" s="159"/>
      <c r="G166" s="159"/>
      <c r="H166" s="160"/>
      <c r="I166" s="57">
        <f t="shared" si="1"/>
        <v>0</v>
      </c>
      <c r="J166" s="62"/>
      <c r="K166" s="56"/>
      <c r="L166" s="159"/>
      <c r="M166" s="127"/>
    </row>
    <row r="167" spans="1:13" ht="13.2">
      <c r="A167" s="166" t="s">
        <v>687</v>
      </c>
      <c r="B167" s="210" t="str">
        <f>HYPERLINK("http://codeforces.com/contest/22/problem/C","CF22-D2-C")</f>
        <v>CF22-D2-C</v>
      </c>
      <c r="C167" s="159"/>
      <c r="D167" s="159"/>
      <c r="E167" s="159"/>
      <c r="F167" s="159"/>
      <c r="G167" s="159"/>
      <c r="H167" s="160"/>
      <c r="I167" s="57">
        <f t="shared" si="1"/>
        <v>0</v>
      </c>
      <c r="J167" s="62"/>
      <c r="K167" s="56"/>
      <c r="L167" s="159"/>
      <c r="M167" s="127"/>
    </row>
    <row r="168" spans="1:13" ht="13.2">
      <c r="A168" s="166" t="s">
        <v>688</v>
      </c>
      <c r="B168" s="210" t="str">
        <f>HYPERLINK("http://codeforces.com/contest/122/problem/C","CF122-D2-C")</f>
        <v>CF122-D2-C</v>
      </c>
      <c r="C168" s="159"/>
      <c r="D168" s="159"/>
      <c r="E168" s="159"/>
      <c r="F168" s="159"/>
      <c r="G168" s="159"/>
      <c r="H168" s="160"/>
      <c r="I168" s="57">
        <f t="shared" si="1"/>
        <v>0</v>
      </c>
      <c r="J168" s="62"/>
      <c r="K168" s="56"/>
      <c r="L168" s="159"/>
      <c r="M168" s="127"/>
    </row>
    <row r="169" spans="1:13" ht="13.2">
      <c r="A169" s="166" t="s">
        <v>689</v>
      </c>
      <c r="B169" s="210" t="str">
        <f>HYPERLINK("http://codeforces.com/contest/688/problem/C","CF688-D2-C")</f>
        <v>CF688-D2-C</v>
      </c>
      <c r="C169" s="159"/>
      <c r="D169" s="159"/>
      <c r="E169" s="159"/>
      <c r="F169" s="159"/>
      <c r="G169" s="159"/>
      <c r="H169" s="160"/>
      <c r="I169" s="57">
        <f t="shared" si="1"/>
        <v>0</v>
      </c>
      <c r="J169" s="62"/>
      <c r="K169" s="56"/>
      <c r="L169" s="159"/>
      <c r="M169" s="127"/>
    </row>
    <row r="170" spans="1:13" ht="13.2">
      <c r="A170" s="166" t="s">
        <v>690</v>
      </c>
      <c r="B170" s="210" t="str">
        <f>HYPERLINK("http://codeforces.com/contest/743/problem/C","CF743-D2-C")</f>
        <v>CF743-D2-C</v>
      </c>
      <c r="C170" s="159"/>
      <c r="D170" s="159"/>
      <c r="E170" s="159"/>
      <c r="F170" s="159"/>
      <c r="G170" s="159"/>
      <c r="H170" s="160"/>
      <c r="I170" s="57">
        <f t="shared" si="1"/>
        <v>0</v>
      </c>
      <c r="J170" s="62"/>
      <c r="K170" s="56"/>
      <c r="L170" s="159"/>
      <c r="M170" s="127"/>
    </row>
    <row r="171" spans="1:13" ht="13.2">
      <c r="A171" s="166" t="s">
        <v>691</v>
      </c>
      <c r="B171" s="210" t="str">
        <f>HYPERLINK("http://codeforces.com/contest/556/problem/C","CF556-D2-C")</f>
        <v>CF556-D2-C</v>
      </c>
      <c r="C171" s="159"/>
      <c r="D171" s="159"/>
      <c r="E171" s="159"/>
      <c r="F171" s="159"/>
      <c r="G171" s="159"/>
      <c r="H171" s="160"/>
      <c r="I171" s="57">
        <f t="shared" si="1"/>
        <v>0</v>
      </c>
      <c r="J171" s="62"/>
      <c r="K171" s="56"/>
      <c r="L171" s="159"/>
      <c r="M171" s="127"/>
    </row>
    <row r="172" spans="1:13" ht="13.2">
      <c r="A172" s="166" t="s">
        <v>692</v>
      </c>
      <c r="B172" s="210" t="str">
        <f>HYPERLINK("http://codeforces.com/contest/677/problem/C","CF677-D2-C")</f>
        <v>CF677-D2-C</v>
      </c>
      <c r="C172" s="159"/>
      <c r="D172" s="159"/>
      <c r="E172" s="159"/>
      <c r="F172" s="159"/>
      <c r="G172" s="159"/>
      <c r="H172" s="160"/>
      <c r="I172" s="57">
        <f t="shared" si="1"/>
        <v>0</v>
      </c>
      <c r="J172" s="62"/>
      <c r="K172" s="56"/>
      <c r="L172" s="159"/>
      <c r="M172" s="127"/>
    </row>
    <row r="173" spans="1:13" ht="13.2">
      <c r="A173" s="166" t="s">
        <v>693</v>
      </c>
      <c r="B173" s="210" t="str">
        <f>HYPERLINK("http://codeforces.com/contest/479/problem/C","CF479-D2-C")</f>
        <v>CF479-D2-C</v>
      </c>
      <c r="C173" s="159"/>
      <c r="D173" s="159"/>
      <c r="E173" s="159"/>
      <c r="F173" s="159"/>
      <c r="G173" s="159"/>
      <c r="H173" s="160"/>
      <c r="I173" s="57">
        <f t="shared" si="1"/>
        <v>0</v>
      </c>
      <c r="J173" s="62"/>
      <c r="K173" s="56"/>
      <c r="L173" s="159"/>
      <c r="M173" s="127"/>
    </row>
    <row r="174" spans="1:13" ht="13.2">
      <c r="A174" s="86" t="s">
        <v>694</v>
      </c>
      <c r="B174" s="128" t="str">
        <f>HYPERLINK("http://codeforces.com/contest/456/problem/C","CF456-D2-C")</f>
        <v>CF456-D2-C</v>
      </c>
      <c r="C174" s="29"/>
      <c r="D174" s="29"/>
      <c r="E174" s="29"/>
      <c r="F174" s="29"/>
      <c r="G174" s="29"/>
      <c r="H174" s="29"/>
      <c r="I174" s="103">
        <f t="shared" si="1"/>
        <v>0</v>
      </c>
      <c r="J174" s="93"/>
      <c r="K174" s="92"/>
      <c r="L174" s="29"/>
      <c r="M174" s="26"/>
    </row>
    <row r="175" spans="1:13" ht="13.2">
      <c r="A175" s="86" t="s">
        <v>695</v>
      </c>
      <c r="B175" s="128" t="str">
        <f>HYPERLINK("http://codeforces.com/contest/278/problem/C","CF278-D2-C")</f>
        <v>CF278-D2-C</v>
      </c>
      <c r="C175" s="29"/>
      <c r="D175" s="29"/>
      <c r="E175" s="29"/>
      <c r="F175" s="29"/>
      <c r="G175" s="29"/>
      <c r="H175" s="29"/>
      <c r="I175" s="103">
        <f t="shared" si="1"/>
        <v>0</v>
      </c>
      <c r="J175" s="93"/>
      <c r="K175" s="92"/>
      <c r="L175" s="29"/>
      <c r="M175" s="26"/>
    </row>
    <row r="176" spans="1:13" ht="13.2">
      <c r="A176" s="86" t="s">
        <v>696</v>
      </c>
      <c r="B176" s="128" t="str">
        <f>HYPERLINK("http://codeforces.com/contest/268/problem/C","CF268-D2-C")</f>
        <v>CF268-D2-C</v>
      </c>
      <c r="C176" s="29"/>
      <c r="D176" s="29"/>
      <c r="E176" s="29"/>
      <c r="F176" s="29"/>
      <c r="G176" s="29"/>
      <c r="H176" s="29"/>
      <c r="I176" s="103">
        <f t="shared" si="1"/>
        <v>0</v>
      </c>
      <c r="J176" s="93"/>
      <c r="K176" s="92"/>
      <c r="L176" s="29"/>
      <c r="M176" s="26"/>
    </row>
    <row r="177" spans="1:13" ht="13.2">
      <c r="A177" s="166"/>
      <c r="B177" s="63"/>
      <c r="C177" s="159"/>
      <c r="D177" s="159"/>
      <c r="E177" s="159"/>
      <c r="F177" s="159"/>
      <c r="G177" s="159"/>
      <c r="H177" s="160"/>
      <c r="I177" s="57">
        <f t="shared" si="1"/>
        <v>0</v>
      </c>
      <c r="J177" s="62"/>
      <c r="K177" s="56"/>
      <c r="L177" s="159"/>
      <c r="M177" s="127"/>
    </row>
    <row r="178" spans="1:13" ht="13.2">
      <c r="A178" s="86" t="s">
        <v>697</v>
      </c>
      <c r="B178" s="239" t="str">
        <f>HYPERLINK("https://uva.onlinejudge.org/index.php?option=com_onlinejudge&amp;Itemid=8&amp;page=show_problem&amp;problem=438","UVA 497")</f>
        <v>UVA 497</v>
      </c>
      <c r="C178" s="29"/>
      <c r="D178" s="29"/>
      <c r="E178" s="29"/>
      <c r="F178" s="29"/>
      <c r="G178" s="29"/>
      <c r="H178" s="29"/>
      <c r="I178" s="103">
        <f t="shared" si="1"/>
        <v>0</v>
      </c>
      <c r="J178" s="93"/>
      <c r="K178" s="92"/>
      <c r="L178" s="29"/>
      <c r="M178" s="240" t="s">
        <v>609</v>
      </c>
    </row>
    <row r="179" spans="1:13" ht="13.2">
      <c r="A179" s="86" t="s">
        <v>698</v>
      </c>
      <c r="B179" s="239" t="str">
        <f>HYPERLINK("https://uva.onlinejudge.org/index.php?option=com_onlinejudge&amp;Itemid=8&amp;page=show_problem&amp;problem=1680","UVA 10739")</f>
        <v>UVA 10739</v>
      </c>
      <c r="C179" s="159"/>
      <c r="D179" s="159"/>
      <c r="E179" s="159"/>
      <c r="F179" s="159"/>
      <c r="G179" s="159"/>
      <c r="H179" s="160"/>
      <c r="I179" s="57">
        <f t="shared" si="1"/>
        <v>0</v>
      </c>
      <c r="J179" s="62"/>
      <c r="K179" s="56"/>
      <c r="L179" s="159"/>
      <c r="M179" s="188" t="s">
        <v>609</v>
      </c>
    </row>
    <row r="180" spans="1:13" ht="13.2">
      <c r="A180" s="86" t="s">
        <v>699</v>
      </c>
      <c r="B180" s="239" t="str">
        <f>HYPERLINK("https://uva.onlinejudge.org/index.php?option=onlinejudge&amp;page=show_problem&amp;problem=1760","UVA 10819")</f>
        <v>UVA 10819</v>
      </c>
      <c r="C180" s="29"/>
      <c r="D180" s="29"/>
      <c r="E180" s="29"/>
      <c r="F180" s="29"/>
      <c r="G180" s="29"/>
      <c r="H180" s="29"/>
      <c r="I180" s="103">
        <f t="shared" si="1"/>
        <v>0</v>
      </c>
      <c r="J180" s="93"/>
      <c r="K180" s="92"/>
      <c r="L180" s="29"/>
      <c r="M180" s="26"/>
    </row>
    <row r="181" spans="1:13" ht="13.2">
      <c r="A181" s="86" t="s">
        <v>700</v>
      </c>
      <c r="B181" s="128" t="str">
        <f>HYPERLINK("http://codeforces.com/contest/812/problem/C","CF812-D2-C")</f>
        <v>CF812-D2-C</v>
      </c>
      <c r="C181" s="29"/>
      <c r="D181" s="29"/>
      <c r="E181" s="29"/>
      <c r="F181" s="29"/>
      <c r="G181" s="29"/>
      <c r="H181" s="29"/>
      <c r="I181" s="103">
        <f t="shared" si="1"/>
        <v>0</v>
      </c>
      <c r="J181" s="93"/>
      <c r="K181" s="92"/>
      <c r="L181" s="29"/>
      <c r="M181" s="128" t="str">
        <f>HYPERLINK("https://www.youtube.com/watch?v=SDEpB87Uxpg","Video Solution - Solver to be (Java)")</f>
        <v>Video Solution - Solver to be (Java)</v>
      </c>
    </row>
    <row r="182" spans="1:13" ht="13.2">
      <c r="A182" s="166" t="s">
        <v>701</v>
      </c>
      <c r="B182" s="210" t="str">
        <f>HYPERLINK("http://codeforces.com/contest/330/problem/C","CF330-D2-C")</f>
        <v>CF330-D2-C</v>
      </c>
      <c r="C182" s="159"/>
      <c r="D182" s="159"/>
      <c r="E182" s="159"/>
      <c r="F182" s="159"/>
      <c r="G182" s="159"/>
      <c r="H182" s="160"/>
      <c r="I182" s="57">
        <f t="shared" si="1"/>
        <v>0</v>
      </c>
      <c r="J182" s="62"/>
      <c r="K182" s="56"/>
      <c r="L182" s="159"/>
      <c r="M182" s="127"/>
    </row>
    <row r="183" spans="1:13" ht="13.2">
      <c r="A183" s="166" t="s">
        <v>702</v>
      </c>
      <c r="B183" s="210" t="str">
        <f>HYPERLINK("http://codeforces.com/contest/149/problem/C","CF149-D2-C")</f>
        <v>CF149-D2-C</v>
      </c>
      <c r="C183" s="159"/>
      <c r="D183" s="159"/>
      <c r="E183" s="159"/>
      <c r="F183" s="159"/>
      <c r="G183" s="159"/>
      <c r="H183" s="160"/>
      <c r="I183" s="57">
        <f t="shared" si="1"/>
        <v>0</v>
      </c>
      <c r="J183" s="62"/>
      <c r="K183" s="56"/>
      <c r="L183" s="159"/>
      <c r="M183" s="127"/>
    </row>
    <row r="184" spans="1:13" ht="13.2">
      <c r="A184" s="166" t="s">
        <v>703</v>
      </c>
      <c r="B184" s="210" t="str">
        <f>HYPERLINK("http://codeforces.com/contest/49/problem/C","CF49-D2-C")</f>
        <v>CF49-D2-C</v>
      </c>
      <c r="C184" s="159"/>
      <c r="D184" s="159"/>
      <c r="E184" s="159"/>
      <c r="F184" s="159"/>
      <c r="G184" s="159"/>
      <c r="H184" s="160"/>
      <c r="I184" s="57">
        <f t="shared" si="1"/>
        <v>0</v>
      </c>
      <c r="J184" s="62"/>
      <c r="K184" s="56"/>
      <c r="L184" s="159"/>
      <c r="M184" s="127"/>
    </row>
    <row r="185" spans="1:13" ht="13.2">
      <c r="A185" s="166" t="s">
        <v>704</v>
      </c>
      <c r="B185" s="210" t="str">
        <f>HYPERLINK("http://codeforces.com/contest/415/problem/C","CF415-D2-C")</f>
        <v>CF415-D2-C</v>
      </c>
      <c r="C185" s="159"/>
      <c r="D185" s="159"/>
      <c r="E185" s="159"/>
      <c r="F185" s="159"/>
      <c r="G185" s="159"/>
      <c r="H185" s="160"/>
      <c r="I185" s="57">
        <f t="shared" si="1"/>
        <v>0</v>
      </c>
      <c r="J185" s="62"/>
      <c r="K185" s="56"/>
      <c r="L185" s="159"/>
      <c r="M185" s="127"/>
    </row>
    <row r="186" spans="1:13" ht="13.2">
      <c r="A186" s="166" t="s">
        <v>705</v>
      </c>
      <c r="B186" s="210" t="str">
        <f>HYPERLINK("http://codeforces.com/contest/129/problem/C","CF129-D2-C")</f>
        <v>CF129-D2-C</v>
      </c>
      <c r="C186" s="159"/>
      <c r="D186" s="159"/>
      <c r="E186" s="159"/>
      <c r="F186" s="159"/>
      <c r="G186" s="159"/>
      <c r="H186" s="160"/>
      <c r="I186" s="57">
        <f t="shared" si="1"/>
        <v>0</v>
      </c>
      <c r="J186" s="62"/>
      <c r="K186" s="56"/>
      <c r="L186" s="159"/>
      <c r="M186" s="127"/>
    </row>
    <row r="187" spans="1:13" ht="13.2">
      <c r="A187" s="166" t="s">
        <v>706</v>
      </c>
      <c r="B187" s="210" t="str">
        <f>HYPERLINK("http://codeforces.com/contest/400/problem/C","CF400-D2-C")</f>
        <v>CF400-D2-C</v>
      </c>
      <c r="C187" s="159"/>
      <c r="D187" s="159"/>
      <c r="E187" s="159"/>
      <c r="F187" s="159"/>
      <c r="G187" s="159"/>
      <c r="H187" s="160"/>
      <c r="I187" s="57">
        <f t="shared" si="1"/>
        <v>0</v>
      </c>
      <c r="J187" s="62"/>
      <c r="K187" s="56"/>
      <c r="L187" s="159"/>
      <c r="M187" s="127"/>
    </row>
    <row r="188" spans="1:13" ht="13.2">
      <c r="A188" s="166" t="s">
        <v>707</v>
      </c>
      <c r="B188" s="210" t="str">
        <f>HYPERLINK("http://codeforces.com/contest/144/problem/C","CF144-D2-C")</f>
        <v>CF144-D2-C</v>
      </c>
      <c r="C188" s="159"/>
      <c r="D188" s="159"/>
      <c r="E188" s="159"/>
      <c r="F188" s="159"/>
      <c r="G188" s="159"/>
      <c r="H188" s="160"/>
      <c r="I188" s="57">
        <f t="shared" si="1"/>
        <v>0</v>
      </c>
      <c r="J188" s="62"/>
      <c r="K188" s="56"/>
      <c r="L188" s="159"/>
      <c r="M188" s="127"/>
    </row>
    <row r="189" spans="1:13" ht="13.2">
      <c r="A189" s="166" t="s">
        <v>708</v>
      </c>
      <c r="B189" s="210" t="str">
        <f>HYPERLINK("http://codeforces.com/contest/525/problem/C","CF525-D2-C")</f>
        <v>CF525-D2-C</v>
      </c>
      <c r="C189" s="159"/>
      <c r="D189" s="159"/>
      <c r="E189" s="159"/>
      <c r="F189" s="159"/>
      <c r="G189" s="159"/>
      <c r="H189" s="160"/>
      <c r="I189" s="57">
        <f t="shared" si="1"/>
        <v>0</v>
      </c>
      <c r="J189" s="62"/>
      <c r="K189" s="56"/>
      <c r="L189" s="159"/>
      <c r="M189" s="127"/>
    </row>
    <row r="190" spans="1:13" ht="13.2">
      <c r="A190" s="166" t="s">
        <v>709</v>
      </c>
      <c r="B190" s="210" t="str">
        <f>HYPERLINK("http://codeforces.com/contest/599/problem/C","CF599-D2-C")</f>
        <v>CF599-D2-C</v>
      </c>
      <c r="C190" s="159"/>
      <c r="D190" s="159"/>
      <c r="E190" s="159"/>
      <c r="F190" s="159"/>
      <c r="G190" s="159"/>
      <c r="H190" s="160"/>
      <c r="I190" s="57">
        <f t="shared" si="1"/>
        <v>0</v>
      </c>
      <c r="J190" s="62"/>
      <c r="K190" s="56"/>
      <c r="L190" s="159"/>
      <c r="M190" s="127"/>
    </row>
    <row r="191" spans="1:13" ht="13.2">
      <c r="A191" s="166"/>
      <c r="B191" s="63"/>
      <c r="C191" s="159"/>
      <c r="D191" s="159"/>
      <c r="E191" s="159"/>
      <c r="F191" s="159"/>
      <c r="G191" s="159"/>
      <c r="H191" s="160"/>
      <c r="I191" s="57">
        <f t="shared" si="1"/>
        <v>0</v>
      </c>
      <c r="J191" s="62"/>
      <c r="K191" s="56"/>
      <c r="L191" s="159"/>
      <c r="M191" s="127"/>
    </row>
    <row r="192" spans="1:13" ht="13.2">
      <c r="A192" s="86" t="s">
        <v>710</v>
      </c>
      <c r="B192" s="128" t="str">
        <f>HYPERLINK("http://codeforces.com/contest/462/problem/C","CF462-D2-C")</f>
        <v>CF462-D2-C</v>
      </c>
      <c r="C192" s="29"/>
      <c r="D192" s="29"/>
      <c r="E192" s="29"/>
      <c r="F192" s="29"/>
      <c r="G192" s="29"/>
      <c r="H192" s="29"/>
      <c r="I192" s="103">
        <f t="shared" si="1"/>
        <v>0</v>
      </c>
      <c r="J192" s="26"/>
      <c r="K192" s="29"/>
      <c r="L192" s="29"/>
      <c r="M192" s="128" t="str">
        <f>HYPERLINK("https://github.com/MedoN11/CompetitiveProgramming/blob/master/Atcoder/CF_462C.java","Sol")</f>
        <v>Sol</v>
      </c>
    </row>
    <row r="193" spans="1:13" ht="13.2">
      <c r="A193" s="86" t="s">
        <v>711</v>
      </c>
      <c r="B193" s="128" t="str">
        <f>HYPERLINK("http://codeforces.com/contest/518/problem/C","CF518-D2-C")</f>
        <v>CF518-D2-C</v>
      </c>
      <c r="C193" s="29"/>
      <c r="D193" s="29"/>
      <c r="E193" s="29"/>
      <c r="F193" s="29"/>
      <c r="G193" s="29"/>
      <c r="H193" s="29"/>
      <c r="I193" s="103">
        <f t="shared" si="1"/>
        <v>0</v>
      </c>
      <c r="J193" s="93"/>
      <c r="K193" s="92"/>
      <c r="L193" s="29"/>
      <c r="M193" s="26"/>
    </row>
    <row r="194" spans="1:13" ht="13.2">
      <c r="A194" s="86" t="s">
        <v>712</v>
      </c>
      <c r="B194" s="128" t="str">
        <f>HYPERLINK("http://codeforces.com/contest/276/problem/C","CF276-D2-C")</f>
        <v>CF276-D2-C</v>
      </c>
      <c r="C194" s="29"/>
      <c r="D194" s="29"/>
      <c r="E194" s="29"/>
      <c r="F194" s="29"/>
      <c r="G194" s="29"/>
      <c r="H194" s="29"/>
      <c r="I194" s="103">
        <f t="shared" si="1"/>
        <v>0</v>
      </c>
      <c r="J194" s="93"/>
      <c r="K194" s="92"/>
      <c r="L194" s="29"/>
      <c r="M194" s="26"/>
    </row>
    <row r="195" spans="1:13" ht="13.2">
      <c r="A195" s="86" t="s">
        <v>713</v>
      </c>
      <c r="B195" s="128" t="str">
        <f>HYPERLINK("http://codeforces.com/contest/368/problem/C","CF368-D2-C")</f>
        <v>CF368-D2-C</v>
      </c>
      <c r="C195" s="29"/>
      <c r="D195" s="29"/>
      <c r="E195" s="29"/>
      <c r="F195" s="29"/>
      <c r="G195" s="29"/>
      <c r="H195" s="29"/>
      <c r="I195" s="103">
        <f t="shared" si="1"/>
        <v>0</v>
      </c>
      <c r="J195" s="93"/>
      <c r="K195" s="92"/>
      <c r="L195" s="29"/>
      <c r="M195" s="26"/>
    </row>
    <row r="196" spans="1:13" ht="13.2">
      <c r="A196" s="166" t="s">
        <v>714</v>
      </c>
      <c r="B196" s="210" t="str">
        <f>HYPERLINK("http://codeforces.com/contest/437/problem/C","CF437-D2-C")</f>
        <v>CF437-D2-C</v>
      </c>
      <c r="C196" s="159"/>
      <c r="D196" s="159"/>
      <c r="E196" s="159"/>
      <c r="F196" s="159"/>
      <c r="G196" s="159"/>
      <c r="H196" s="160"/>
      <c r="I196" s="57">
        <f t="shared" si="1"/>
        <v>0</v>
      </c>
      <c r="J196" s="62"/>
      <c r="K196" s="56"/>
      <c r="L196" s="159"/>
      <c r="M196" s="127"/>
    </row>
    <row r="197" spans="1:13" ht="13.2">
      <c r="A197" s="166" t="s">
        <v>715</v>
      </c>
      <c r="B197" s="210" t="str">
        <f>HYPERLINK("http://codeforces.com/contest/318/problem/C","CF318-D2-C")</f>
        <v>CF318-D2-C</v>
      </c>
      <c r="C197" s="159"/>
      <c r="D197" s="159"/>
      <c r="E197" s="159"/>
      <c r="F197" s="159"/>
      <c r="G197" s="159"/>
      <c r="H197" s="160"/>
      <c r="I197" s="57">
        <f t="shared" si="1"/>
        <v>0</v>
      </c>
      <c r="J197" s="62"/>
      <c r="K197" s="56"/>
      <c r="L197" s="159"/>
      <c r="M197" s="127"/>
    </row>
    <row r="198" spans="1:13" ht="14.4">
      <c r="A198" s="166" t="s">
        <v>716</v>
      </c>
      <c r="B198" s="210" t="str">
        <f>HYPERLINK("http://codeforces.com/contest/165/problem/C","CF165-D2-C")</f>
        <v>CF165-D2-C</v>
      </c>
      <c r="C198" s="484"/>
      <c r="D198" s="159"/>
      <c r="E198" s="159"/>
      <c r="F198" s="159"/>
      <c r="G198" s="159"/>
      <c r="H198" s="160"/>
      <c r="I198" s="57">
        <f t="shared" si="1"/>
        <v>0</v>
      </c>
      <c r="J198" s="62"/>
      <c r="K198" s="56"/>
      <c r="L198" s="159"/>
      <c r="M198" s="127"/>
    </row>
    <row r="199" spans="1:13" ht="14.4">
      <c r="A199" s="166" t="s">
        <v>717</v>
      </c>
      <c r="B199" s="210" t="str">
        <f>HYPERLINK("http://codeforces.com/contest/731/problem/C","CF731-D2-C")</f>
        <v>CF731-D2-C</v>
      </c>
      <c r="C199" s="484"/>
      <c r="D199" s="159"/>
      <c r="E199" s="159"/>
      <c r="F199" s="159"/>
      <c r="G199" s="159"/>
      <c r="H199" s="160"/>
      <c r="I199" s="57">
        <f t="shared" si="1"/>
        <v>0</v>
      </c>
      <c r="J199" s="62"/>
      <c r="K199" s="56"/>
      <c r="L199" s="159"/>
      <c r="M199" s="127"/>
    </row>
    <row r="200" spans="1:13" ht="14.4">
      <c r="A200" s="166" t="s">
        <v>718</v>
      </c>
      <c r="B200" s="210" t="str">
        <f>HYPERLINK("http://codeforces.com/contest/369/problem/C","CF369-D2-C")</f>
        <v>CF369-D2-C</v>
      </c>
      <c r="C200" s="484"/>
      <c r="D200" s="159"/>
      <c r="E200" s="159"/>
      <c r="F200" s="159"/>
      <c r="G200" s="159"/>
      <c r="H200" s="160"/>
      <c r="I200" s="57">
        <f t="shared" si="1"/>
        <v>0</v>
      </c>
      <c r="J200" s="62"/>
      <c r="K200" s="56"/>
      <c r="L200" s="159"/>
      <c r="M200" s="127"/>
    </row>
  </sheetData>
  <mergeCells count="2">
    <mergeCell ref="D150:G150"/>
    <mergeCell ref="J150:M150"/>
  </mergeCells>
  <conditionalFormatting sqref="K3:K148 K152:K200">
    <cfRule type="cellIs" dxfId="67" priority="1" operator="equal">
      <formula>"No"</formula>
    </cfRule>
  </conditionalFormatting>
  <conditionalFormatting sqref="K3:K148 K152:K200">
    <cfRule type="cellIs" dxfId="66" priority="2" operator="equal">
      <formula>"no"</formula>
    </cfRule>
  </conditionalFormatting>
  <conditionalFormatting sqref="K3:K148 K152:K200">
    <cfRule type="cellIs" dxfId="65" priority="3" operator="equal">
      <formula>"NO"</formula>
    </cfRule>
  </conditionalFormatting>
  <conditionalFormatting sqref="C144:C210 C3:C133">
    <cfRule type="cellIs" dxfId="64" priority="4" operator="equal">
      <formula>"AC"</formula>
    </cfRule>
  </conditionalFormatting>
  <conditionalFormatting sqref="C144:C210 C3:C133">
    <cfRule type="containsText" dxfId="63" priority="5" operator="containsText" text="WA">
      <formula>NOT(ISERROR(SEARCH(("WA"),(C3))))</formula>
    </cfRule>
  </conditionalFormatting>
  <conditionalFormatting sqref="C144:C210 C3:C133">
    <cfRule type="containsText" dxfId="62" priority="7" operator="containsText" text="TLE">
      <formula>NOT(ISERROR(SEARCH(("TLE"),(C3))))</formula>
    </cfRule>
  </conditionalFormatting>
  <conditionalFormatting sqref="C144:C210 C3:C133">
    <cfRule type="containsText" dxfId="61" priority="9" operator="containsText" text="RTE">
      <formula>NOT(ISERROR(SEARCH(("RTE"),(C3))))</formula>
    </cfRule>
  </conditionalFormatting>
  <conditionalFormatting sqref="C144:C210 C3:C133">
    <cfRule type="containsText" dxfId="60" priority="11" operator="containsText" text="CS">
      <formula>NOT(ISERROR(SEARCH(("CS"),(C3))))</formula>
    </cfRule>
  </conditionalFormatting>
  <hyperlinks>
    <hyperlink ref="B22" r:id="rId1" xr:uid="{00000000-0004-0000-0400-000000000000}"/>
    <hyperlink ref="M75" r:id="rId2" xr:uid="{00000000-0004-0000-0400-000001000000}"/>
    <hyperlink ref="M76" r:id="rId3" xr:uid="{00000000-0004-0000-0400-000002000000}"/>
    <hyperlink ref="B94" r:id="rId4" xr:uid="{00000000-0004-0000-0400-000003000000}"/>
    <hyperlink ref="M94" r:id="rId5" xr:uid="{00000000-0004-0000-0400-000004000000}"/>
    <hyperlink ref="M113" r:id="rId6" xr:uid="{00000000-0004-0000-0400-000005000000}"/>
    <hyperlink ref="M115" r:id="rId7" xr:uid="{00000000-0004-0000-0400-000006000000}"/>
    <hyperlink ref="M129" r:id="rId8" xr:uid="{00000000-0004-0000-0400-000007000000}"/>
    <hyperlink ref="B143" r:id="rId9" xr:uid="{00000000-0004-0000-0400-000008000000}"/>
  </hyperlinks>
  <pageMargins left="0.7" right="0.7" top="0.75" bottom="0.75" header="0.3" footer="0.3"/>
  <pageSetup orientation="portrait" r:id="rId10"/>
  <legacyDrawing r:id="rId1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249977111117893"/>
    <outlinePr summaryBelow="0" summaryRight="0"/>
  </sheetPr>
  <dimension ref="A1:N201"/>
  <sheetViews>
    <sheetView zoomScale="86" workbookViewId="0">
      <pane xSplit="2" ySplit="2" topLeftCell="C187" activePane="bottomRight" state="frozen"/>
      <selection pane="topRight" activeCell="C1" sqref="C1"/>
      <selection pane="bottomLeft" activeCell="A3" sqref="A3"/>
      <selection pane="bottomRight" activeCell="C200" sqref="C200"/>
    </sheetView>
  </sheetViews>
  <sheetFormatPr defaultColWidth="17.33203125" defaultRowHeight="15.75" customHeight="1"/>
  <cols>
    <col min="1" max="1" width="17.33203125" customWidth="1"/>
    <col min="3" max="3" width="37.6640625" customWidth="1"/>
    <col min="4" max="4" width="0.109375" customWidth="1"/>
    <col min="5" max="5" width="21.77734375" customWidth="1"/>
    <col min="6" max="6" width="8.6640625" customWidth="1"/>
    <col min="7" max="7" width="10" customWidth="1"/>
    <col min="8" max="9" width="8.5546875" customWidth="1"/>
    <col min="10" max="12" width="10" customWidth="1"/>
    <col min="13" max="13" width="76.5546875" customWidth="1"/>
    <col min="14" max="14" width="88.88671875" customWidth="1"/>
  </cols>
  <sheetData>
    <row r="1" spans="1:14" ht="33" customHeight="1">
      <c r="A1" s="156" t="s">
        <v>135</v>
      </c>
      <c r="B1" s="205" t="s">
        <v>136</v>
      </c>
      <c r="C1" s="44" t="s">
        <v>137</v>
      </c>
      <c r="D1" s="45" t="s">
        <v>138</v>
      </c>
      <c r="E1" s="45" t="s">
        <v>139</v>
      </c>
      <c r="F1" s="44" t="s">
        <v>140</v>
      </c>
      <c r="G1" s="45" t="s">
        <v>141</v>
      </c>
      <c r="H1" s="45" t="s">
        <v>142</v>
      </c>
      <c r="I1" s="45" t="s">
        <v>143</v>
      </c>
      <c r="J1" s="44" t="s">
        <v>144</v>
      </c>
      <c r="K1" s="44" t="s">
        <v>145</v>
      </c>
      <c r="L1" s="44" t="s">
        <v>146</v>
      </c>
      <c r="M1" s="46" t="s">
        <v>147</v>
      </c>
    </row>
    <row r="2" spans="1:14" ht="15.75" customHeight="1">
      <c r="A2" s="157"/>
      <c r="B2" s="206" t="s">
        <v>148</v>
      </c>
      <c r="C2" s="49">
        <f>COUNTIF(C3:C10507, "AC")</f>
        <v>0</v>
      </c>
      <c r="D2" s="50" t="e">
        <f ca="1">ROUND(SUMPRODUCT(D3:D10507,INT(EQ(C3:C10507, "AC")))/MAX(1, C2),1)</f>
        <v>#NAME?</v>
      </c>
      <c r="E2" s="50" t="e">
        <f ca="1">ROUND(SUMPRODUCT(E3:E10529,INT(EQ(C3:C10529, "AC")))/MAX(1, C2),0)</f>
        <v>#NAME?</v>
      </c>
      <c r="F2" s="50" t="e">
        <f ca="1">ROUND(SUMPRODUCT(F3:F10532,INT(EQ(C3:C10532, "AC")))/MAX(1, C2),0)</f>
        <v>#NAME?</v>
      </c>
      <c r="G2" s="50" t="e">
        <f ca="1">ROUND(SUMPRODUCT(G3:G10532,INT(EQ(C3:C10532, "AC")))/MAX(1, C2),0)</f>
        <v>#NAME?</v>
      </c>
      <c r="H2" s="50" t="e">
        <f ca="1">ROUND(SUMPRODUCT(H3:H10532,INT(EQ(C3:C10532, "AC")))/MAX(1, C2),0)</f>
        <v>#NAME?</v>
      </c>
      <c r="I2" s="50" t="e">
        <f ca="1">ROUND(SUMPRODUCT(I3:I10504,INT(EQ(C3:C10504, "AC")))/MAX(1, C2),0)</f>
        <v>#NAME?</v>
      </c>
      <c r="J2" s="50" t="e">
        <f ca="1">ROUND(SUMPRODUCT(J3:J10502,INT(EQ(C3:C10502, "AC")))/MAX(1, C2),1)</f>
        <v>#NAME?</v>
      </c>
      <c r="K2" s="50" t="e">
        <f ca="1">SUMPRODUCT(EQ(K3:K10507, "YES"),INT(EQ(C3:C10532, "AC")))</f>
        <v>#NAME?</v>
      </c>
      <c r="L2" s="51">
        <f ca="1">IFERROR(__xludf.DUMMYFUNCTION("COUNTA(FILTER(C3:C9999, NOT(REGEXMATCH(C3:C9999, ""AC""))))"),0)</f>
        <v>0</v>
      </c>
      <c r="M2" s="52">
        <f ca="1">IFERROR(__xludf.DUMMYFUNCTION("COUNTA(FILTER(C3:C9993, NOT(REGEXMATCH(C3:C9993, ""AC""))))"),0)</f>
        <v>0</v>
      </c>
    </row>
    <row r="3" spans="1:14" ht="15.75" customHeight="1">
      <c r="A3" s="127"/>
      <c r="B3" s="127"/>
      <c r="C3" s="159"/>
      <c r="D3" s="159"/>
      <c r="E3" s="159"/>
      <c r="F3" s="159"/>
      <c r="G3" s="159"/>
      <c r="H3" s="160"/>
      <c r="I3" s="57">
        <f t="shared" ref="I3:I49" si="0">SUM(E3:H3)</f>
        <v>0</v>
      </c>
      <c r="J3" s="62"/>
      <c r="K3" s="56"/>
      <c r="L3" s="159"/>
      <c r="M3" s="165" t="str">
        <f>HYPERLINK("https://www.youtube.com/watch?v=YUIwEX8UEN0","Watch - Thinking - Search Space and Output Analysis")</f>
        <v>Watch - Thinking - Search Space and Output Analysis</v>
      </c>
    </row>
    <row r="4" spans="1:14" ht="15.75" customHeight="1">
      <c r="A4" s="127"/>
      <c r="B4" s="127"/>
      <c r="C4" s="159"/>
      <c r="D4" s="159"/>
      <c r="E4" s="159"/>
      <c r="F4" s="159"/>
      <c r="G4" s="159"/>
      <c r="H4" s="160"/>
      <c r="I4" s="57">
        <f t="shared" si="0"/>
        <v>0</v>
      </c>
      <c r="J4" s="62"/>
      <c r="K4" s="56"/>
      <c r="L4" s="159"/>
      <c r="M4" s="161" t="str">
        <f>HYPERLINK("https://www.youtube.com/watch?v=TP8QXP6PBqM","Watch - Thinking - Observations Discovery ")</f>
        <v xml:space="preserve">Watch - Thinking - Observations Discovery </v>
      </c>
    </row>
    <row r="5" spans="1:14" ht="15.75" customHeight="1">
      <c r="A5" s="127"/>
      <c r="B5" s="127"/>
      <c r="C5" s="159"/>
      <c r="D5" s="159"/>
      <c r="E5" s="159"/>
      <c r="F5" s="159"/>
      <c r="G5" s="159"/>
      <c r="H5" s="160"/>
      <c r="I5" s="57">
        <f t="shared" si="0"/>
        <v>0</v>
      </c>
      <c r="J5" s="62"/>
      <c r="K5" s="56"/>
      <c r="L5" s="159"/>
      <c r="M5" s="161" t="str">
        <f>HYPERLINK("https://www.youtube.com/watch?v=rdUs4FGkgRo","Watch - Game Theory - Intro")</f>
        <v>Watch - Game Theory - Intro</v>
      </c>
    </row>
    <row r="6" spans="1:14" ht="15.75" customHeight="1">
      <c r="A6" s="122" t="s">
        <v>719</v>
      </c>
      <c r="B6" s="182" t="str">
        <f>HYPERLINK("http://codeforces.com/contest/151/problem/C","CF151-D2-C")</f>
        <v>CF151-D2-C</v>
      </c>
      <c r="C6" s="484"/>
      <c r="D6" s="159"/>
      <c r="E6" s="159"/>
      <c r="F6" s="159"/>
      <c r="G6" s="159"/>
      <c r="H6" s="160"/>
      <c r="I6" s="57">
        <f t="shared" si="0"/>
        <v>0</v>
      </c>
      <c r="J6" s="62"/>
      <c r="K6" s="56"/>
      <c r="L6" s="159"/>
      <c r="M6" s="82" t="str">
        <f>HYPERLINK("https://www.youtube.com/watch?v=SY88_vndOgI","Video Solution - Dr Mostafa Saad")</f>
        <v>Video Solution - Dr Mostafa Saad</v>
      </c>
    </row>
    <row r="7" spans="1:14" ht="15.75" customHeight="1">
      <c r="A7" s="122" t="s">
        <v>720</v>
      </c>
      <c r="B7" s="182" t="str">
        <f>HYPERLINK("https://uva.onlinejudge.org/index.php?option=onlinejudge&amp;page=show_problem&amp;problem=1309","UVA 10368")</f>
        <v>UVA 10368</v>
      </c>
      <c r="C7" s="29"/>
      <c r="D7" s="29"/>
      <c r="E7" s="29" t="s">
        <v>14361</v>
      </c>
      <c r="F7" s="29"/>
      <c r="G7" s="29"/>
      <c r="H7" s="29"/>
      <c r="I7" s="160">
        <f t="shared" si="0"/>
        <v>0</v>
      </c>
      <c r="J7" s="26"/>
      <c r="K7" s="29"/>
      <c r="L7" s="29"/>
      <c r="M7" s="221" t="str">
        <f>HYPERLINK("https://www.youtube.com/watch?v=86oGEiHeDO0","Video Solution - Eng Moaz Rashad")</f>
        <v>Video Solution - Eng Moaz Rashad</v>
      </c>
    </row>
    <row r="8" spans="1:14" ht="15.75" customHeight="1">
      <c r="A8" s="170" t="s">
        <v>721</v>
      </c>
      <c r="B8" s="171" t="str">
        <f>HYPERLINK("http://www.spoj.com/problems/PIR/","SPOJ PIR")</f>
        <v>SPOJ PIR</v>
      </c>
      <c r="C8" s="159"/>
      <c r="D8" s="159"/>
      <c r="E8" s="159"/>
      <c r="F8" s="159"/>
      <c r="G8" s="159"/>
      <c r="H8" s="160"/>
      <c r="I8" s="57">
        <f t="shared" si="0"/>
        <v>0</v>
      </c>
      <c r="J8" s="62"/>
      <c r="K8" s="56"/>
      <c r="L8" s="159"/>
      <c r="M8" s="210" t="str">
        <f>HYPERLINK("https://github.com/mostafa-saad/MyCompetitiveProgramming/blob/master/SPOJ/SPOJ_PIR.txt","Sol")</f>
        <v>Sol</v>
      </c>
    </row>
    <row r="9" spans="1:14" ht="15.75" customHeight="1">
      <c r="A9" s="170" t="s">
        <v>722</v>
      </c>
      <c r="B9" s="171" t="str">
        <f>HYPERLINK("https://uva.onlinejudge.org/index.php?option=com_onlinejudge&amp;Itemid=8&amp;page=show_problem&amp;problem=49","UVA 113")</f>
        <v>UVA 113</v>
      </c>
      <c r="C9" s="159"/>
      <c r="D9" s="159" t="s">
        <v>14364</v>
      </c>
      <c r="E9" s="458" t="s">
        <v>14362</v>
      </c>
      <c r="F9" s="159"/>
      <c r="G9" s="159"/>
      <c r="H9" s="160"/>
      <c r="I9" s="57">
        <f t="shared" si="0"/>
        <v>0</v>
      </c>
      <c r="J9" s="62"/>
      <c r="K9" s="56"/>
      <c r="L9" s="159"/>
      <c r="M9" s="241" t="str">
        <f>HYPERLINK("https://github.com/magdy-hasan/competitive-programming/blob/master/uva-/uva%20113%20-%20Power%20of%20Cryptography.cpp","Sol")</f>
        <v>Sol</v>
      </c>
      <c r="N9" s="549" t="s">
        <v>14363</v>
      </c>
    </row>
    <row r="10" spans="1:14" ht="15.75" customHeight="1">
      <c r="A10" s="170"/>
      <c r="B10" s="170" t="s">
        <v>723</v>
      </c>
      <c r="C10" s="159"/>
      <c r="D10" s="159"/>
      <c r="E10" s="159"/>
      <c r="F10" s="159"/>
      <c r="G10" s="159"/>
      <c r="H10" s="160"/>
      <c r="I10" s="57">
        <f t="shared" si="0"/>
        <v>0</v>
      </c>
      <c r="J10" s="62"/>
      <c r="K10" s="56"/>
      <c r="L10" s="159"/>
      <c r="M10" s="241"/>
    </row>
    <row r="11" spans="1:14" ht="15.75" customHeight="1">
      <c r="A11" s="211" t="s">
        <v>724</v>
      </c>
      <c r="B11" s="212" t="str">
        <f>HYPERLINK("https://uva.onlinejudge.org/index.php?option=onlinejudge&amp;page=show_problem&amp;problem=1403","UVA 10462")</f>
        <v>UVA 10462</v>
      </c>
      <c r="C11" s="159"/>
      <c r="D11" s="159"/>
      <c r="E11" s="159" t="s">
        <v>14365</v>
      </c>
      <c r="F11" s="159"/>
      <c r="G11" s="159"/>
      <c r="H11" s="160"/>
      <c r="I11" s="57">
        <f t="shared" si="0"/>
        <v>0</v>
      </c>
      <c r="J11" s="26"/>
      <c r="K11" s="29"/>
      <c r="L11" s="29"/>
      <c r="M11" s="231" t="s">
        <v>614</v>
      </c>
    </row>
    <row r="12" spans="1:14" ht="15.75" customHeight="1">
      <c r="A12" s="211"/>
      <c r="B12" s="170" t="s">
        <v>725</v>
      </c>
      <c r="C12" s="159"/>
      <c r="D12" s="159"/>
      <c r="E12" s="159"/>
      <c r="F12" s="159"/>
      <c r="G12" s="159"/>
      <c r="H12" s="160"/>
      <c r="I12" s="57">
        <f t="shared" si="0"/>
        <v>0</v>
      </c>
      <c r="J12" s="26"/>
      <c r="K12" s="29"/>
      <c r="L12" s="29"/>
      <c r="M12" s="29"/>
    </row>
    <row r="13" spans="1:14" ht="15.75" customHeight="1">
      <c r="A13" s="127"/>
      <c r="B13" s="127"/>
      <c r="C13" s="159"/>
      <c r="D13" s="159"/>
      <c r="E13" s="159"/>
      <c r="F13" s="159"/>
      <c r="G13" s="159"/>
      <c r="H13" s="160"/>
      <c r="I13" s="57">
        <f t="shared" si="0"/>
        <v>0</v>
      </c>
      <c r="J13" s="62"/>
      <c r="K13" s="56"/>
      <c r="L13" s="159"/>
      <c r="M13" s="242"/>
    </row>
    <row r="14" spans="1:14" ht="15.75" customHeight="1">
      <c r="A14" s="166" t="s">
        <v>726</v>
      </c>
      <c r="B14" s="210" t="str">
        <f>HYPERLINK("http://codeforces.com/contest/75/problem/C","CF75-D2-C")</f>
        <v>CF75-D2-C</v>
      </c>
      <c r="C14" s="484"/>
      <c r="D14" s="159"/>
      <c r="E14" s="159"/>
      <c r="F14" s="159"/>
      <c r="G14" s="159"/>
      <c r="H14" s="160"/>
      <c r="I14" s="57">
        <f t="shared" si="0"/>
        <v>0</v>
      </c>
      <c r="J14" s="62"/>
      <c r="K14" s="56"/>
      <c r="L14" s="159"/>
      <c r="M14" s="82" t="str">
        <f>HYPERLINK("https://www.youtube.com/watch?v=EZg71v0Z5iE","Video Solution - Dr Mostafa Saad")</f>
        <v>Video Solution - Dr Mostafa Saad</v>
      </c>
    </row>
    <row r="15" spans="1:14" ht="15.75" customHeight="1">
      <c r="A15" s="166" t="s">
        <v>727</v>
      </c>
      <c r="B15" s="210" t="str">
        <f>HYPERLINK("http://codeforces.com/contest/740/problem/C","CF740-D2-C")</f>
        <v>CF740-D2-C</v>
      </c>
      <c r="C15" s="484"/>
      <c r="D15" s="159"/>
      <c r="E15" s="159"/>
      <c r="F15" s="159"/>
      <c r="G15" s="159"/>
      <c r="H15" s="160"/>
      <c r="I15" s="57">
        <f t="shared" si="0"/>
        <v>0</v>
      </c>
      <c r="J15" s="62"/>
      <c r="K15" s="56"/>
      <c r="L15" s="159"/>
      <c r="M15" s="82" t="str">
        <f>HYPERLINK("https://www.youtube.com/watch?v=yDt7GWiPeV4","Video Solution - Dr Mostafa Saad")</f>
        <v>Video Solution - Dr Mostafa Saad</v>
      </c>
    </row>
    <row r="16" spans="1:14" ht="15.75" customHeight="1">
      <c r="A16" s="166" t="s">
        <v>571</v>
      </c>
      <c r="B16" s="210" t="str">
        <f>HYPERLINK("http://codeforces.com/contest/371/problem/C","CF371-D2-C")</f>
        <v>CF371-D2-C</v>
      </c>
      <c r="C16" s="484"/>
      <c r="D16" s="159"/>
      <c r="E16" s="159"/>
      <c r="F16" s="159"/>
      <c r="G16" s="159"/>
      <c r="H16" s="160"/>
      <c r="I16" s="57">
        <f t="shared" si="0"/>
        <v>0</v>
      </c>
      <c r="J16" s="62"/>
      <c r="K16" s="56"/>
      <c r="L16" s="159"/>
      <c r="M16" s="127"/>
    </row>
    <row r="17" spans="1:13" ht="15.75" customHeight="1">
      <c r="A17" s="166" t="s">
        <v>728</v>
      </c>
      <c r="B17" s="210" t="str">
        <f>HYPERLINK("http://codeforces.com/contest/621/problem/C","CF621-D2-C")</f>
        <v>CF621-D2-C</v>
      </c>
      <c r="C17" s="484"/>
      <c r="D17" s="159"/>
      <c r="E17" s="159"/>
      <c r="F17" s="159"/>
      <c r="G17" s="159"/>
      <c r="H17" s="160"/>
      <c r="I17" s="57">
        <f t="shared" si="0"/>
        <v>0</v>
      </c>
      <c r="J17" s="62"/>
      <c r="K17" s="56"/>
      <c r="L17" s="96"/>
      <c r="M17" s="127"/>
    </row>
    <row r="18" spans="1:13" ht="15.75" customHeight="1">
      <c r="A18" s="166" t="s">
        <v>729</v>
      </c>
      <c r="B18" s="210" t="str">
        <f>HYPERLINK("http://codeforces.com/contest/451/problem/C","CF451-D2-C")</f>
        <v>CF451-D2-C</v>
      </c>
      <c r="C18" s="484"/>
      <c r="D18" s="159"/>
      <c r="E18" s="159"/>
      <c r="F18" s="159"/>
      <c r="G18" s="159"/>
      <c r="H18" s="160"/>
      <c r="I18" s="57">
        <f t="shared" si="0"/>
        <v>0</v>
      </c>
      <c r="J18" s="62"/>
      <c r="K18" s="56"/>
      <c r="L18" s="96"/>
    </row>
    <row r="19" spans="1:13" ht="15.75" customHeight="1">
      <c r="A19" s="166" t="s">
        <v>730</v>
      </c>
      <c r="B19" s="236" t="str">
        <f>HYPERLINK("http://codeforces.com/contest/260/problem/C","CF260-D2-C")</f>
        <v>CF260-D2-C</v>
      </c>
      <c r="C19" s="484"/>
      <c r="D19" s="159"/>
      <c r="E19" s="159"/>
      <c r="F19" s="159"/>
      <c r="G19" s="159"/>
      <c r="H19" s="160"/>
      <c r="I19" s="57">
        <f t="shared" si="0"/>
        <v>0</v>
      </c>
      <c r="J19" s="62"/>
      <c r="K19" s="56"/>
      <c r="L19" s="117"/>
      <c r="M19" s="82" t="str">
        <f>HYPERLINK("https://www.youtube.com/watch?v=W3Zp3yqNsOs","Video Solution - Dr Mostafa Saad")</f>
        <v>Video Solution - Dr Mostafa Saad</v>
      </c>
    </row>
    <row r="20" spans="1:13" ht="15.75" customHeight="1">
      <c r="A20" s="166" t="s">
        <v>731</v>
      </c>
      <c r="B20" s="236" t="str">
        <f>HYPERLINK("http://codeforces.com/contest/347/problem/C","CF347-D2-C")</f>
        <v>CF347-D2-C</v>
      </c>
      <c r="C20" s="541"/>
      <c r="D20" s="159"/>
      <c r="E20" s="159"/>
      <c r="F20" s="159"/>
      <c r="G20" s="159"/>
      <c r="H20" s="160"/>
      <c r="I20" s="57">
        <f t="shared" si="0"/>
        <v>0</v>
      </c>
      <c r="J20" s="62"/>
      <c r="K20" s="56"/>
      <c r="L20" s="29"/>
      <c r="M20" s="138" t="str">
        <f>HYPERLINK("https://www.youtube.com/watch?v=CfBk2dwfLaE","Video Solution - Eng Mohamed Nasser")</f>
        <v>Video Solution - Eng Mohamed Nasser</v>
      </c>
    </row>
    <row r="21" spans="1:13" ht="15.75" customHeight="1">
      <c r="A21" s="166" t="s">
        <v>732</v>
      </c>
      <c r="B21" s="71" t="str">
        <f>HYPERLINK("http://codeforces.com/contest/959/problem/C","CF959-D2-C")</f>
        <v>CF959-D2-C</v>
      </c>
      <c r="C21" s="484"/>
      <c r="D21" s="159"/>
      <c r="E21" s="159"/>
      <c r="F21" s="159"/>
      <c r="G21" s="159"/>
      <c r="H21" s="160"/>
      <c r="I21" s="57">
        <f t="shared" si="0"/>
        <v>0</v>
      </c>
      <c r="J21" s="62"/>
      <c r="K21" s="56"/>
      <c r="L21" s="29"/>
      <c r="M21" s="138" t="str">
        <f>HYPERLINK("https://www.youtube.com/watch?v=bvDYHy9ESnY&amp;","Video Solution - Eng Mohamed Salah")</f>
        <v>Video Solution - Eng Mohamed Salah</v>
      </c>
    </row>
    <row r="22" spans="1:13" ht="15.75" customHeight="1">
      <c r="A22" s="166" t="s">
        <v>733</v>
      </c>
      <c r="B22" s="71" t="str">
        <f>HYPERLINK("https://codeforces.com/contest/1206/problem/C","CF1206-D2-C")</f>
        <v>CF1206-D2-C</v>
      </c>
      <c r="C22" s="484"/>
      <c r="D22" s="159"/>
      <c r="E22" s="159"/>
      <c r="F22" s="159"/>
      <c r="G22" s="159"/>
      <c r="H22" s="160"/>
      <c r="I22" s="57">
        <f t="shared" si="0"/>
        <v>0</v>
      </c>
      <c r="J22" s="62"/>
      <c r="K22" s="56"/>
      <c r="L22" s="29"/>
      <c r="M22" s="82" t="str">
        <f>HYPERLINK("https://www.youtube.com/watch?v=7D-8VO66OF8","Video Solution - Dr Mostafa Saad")</f>
        <v>Video Solution - Dr Mostafa Saad</v>
      </c>
    </row>
    <row r="23" spans="1:13" ht="15.75" customHeight="1">
      <c r="A23" s="166"/>
      <c r="B23" s="143" t="str">
        <f>HYPERLINK("https://codeforces.com/contest/1220/problem/C","CF1220-D12-C")</f>
        <v>CF1220-D12-C</v>
      </c>
      <c r="C23" s="484"/>
      <c r="D23" s="159"/>
      <c r="E23" s="159"/>
      <c r="F23" s="159"/>
      <c r="G23" s="159"/>
      <c r="H23" s="160"/>
      <c r="I23" s="57">
        <f t="shared" si="0"/>
        <v>0</v>
      </c>
      <c r="J23" s="62"/>
      <c r="K23" s="56"/>
      <c r="L23" s="29"/>
      <c r="M23" s="199"/>
    </row>
    <row r="24" spans="1:13" ht="15.75" customHeight="1">
      <c r="A24" s="166"/>
      <c r="B24" s="71" t="str">
        <f>HYPERLINK("http://codeforces.com/contest/1065/problem/C","CF1065-D2-C")</f>
        <v>CF1065-D2-C</v>
      </c>
      <c r="C24" s="484"/>
      <c r="D24" s="159"/>
      <c r="E24" s="159"/>
      <c r="F24" s="159"/>
      <c r="G24" s="159"/>
      <c r="H24" s="160"/>
      <c r="I24" s="57">
        <f t="shared" si="0"/>
        <v>0</v>
      </c>
      <c r="J24" s="62"/>
      <c r="K24" s="56"/>
      <c r="L24" s="29"/>
      <c r="M24" s="199"/>
    </row>
    <row r="25" spans="1:13" ht="15.75" customHeight="1">
      <c r="A25" s="166"/>
      <c r="B25" s="71" t="str">
        <f>HYPERLINK("http://codeforces.com/contest/1036/problem/C","CF1036-D2-C")</f>
        <v>CF1036-D2-C</v>
      </c>
      <c r="C25" s="484" t="s">
        <v>14412</v>
      </c>
      <c r="D25" s="159"/>
      <c r="E25" s="159"/>
      <c r="F25" s="159"/>
      <c r="G25" s="159"/>
      <c r="H25" s="160"/>
      <c r="I25" s="57">
        <f t="shared" si="0"/>
        <v>0</v>
      </c>
      <c r="J25" s="62"/>
      <c r="K25" s="56"/>
      <c r="L25" s="29"/>
      <c r="M25" s="199"/>
    </row>
    <row r="26" spans="1:13" ht="15.75" customHeight="1">
      <c r="A26" s="166"/>
      <c r="B26" s="71" t="str">
        <f>HYPERLINK("https://codeforces.com/contest/1068/problem/C","CF1068-D2-C")</f>
        <v>CF1068-D2-C</v>
      </c>
      <c r="C26" s="159" t="s">
        <v>14413</v>
      </c>
      <c r="D26" s="159"/>
      <c r="E26" s="159"/>
      <c r="F26" s="159"/>
      <c r="G26" s="159"/>
      <c r="H26" s="160"/>
      <c r="I26" s="57">
        <f t="shared" si="0"/>
        <v>0</v>
      </c>
      <c r="J26" s="62"/>
      <c r="K26" s="56"/>
      <c r="L26" s="29"/>
      <c r="M26" s="199"/>
    </row>
    <row r="27" spans="1:13" ht="15.75" customHeight="1">
      <c r="A27" s="166"/>
      <c r="B27" s="128" t="str">
        <f>HYPERLINK("http://codeforces.com/contest/313/problem/C","CF313-D2-C")</f>
        <v>CF313-D2-C</v>
      </c>
      <c r="C27" s="484"/>
      <c r="D27" s="159"/>
      <c r="E27" s="159"/>
      <c r="F27" s="159"/>
      <c r="G27" s="159"/>
      <c r="H27" s="160"/>
      <c r="I27" s="57">
        <f t="shared" si="0"/>
        <v>0</v>
      </c>
      <c r="J27" s="62"/>
      <c r="K27" s="56"/>
      <c r="L27" s="29"/>
      <c r="M27" s="199"/>
    </row>
    <row r="28" spans="1:13" ht="15.75" customHeight="1">
      <c r="A28" s="214" t="s">
        <v>734</v>
      </c>
      <c r="B28" s="243" t="str">
        <f>HYPERLINK("http://codeforces.com/contest/430/problem/B","CF430-D2-B")</f>
        <v>CF430-D2-B</v>
      </c>
      <c r="C28" s="159"/>
      <c r="D28" s="159"/>
      <c r="E28" s="159"/>
      <c r="F28" s="159"/>
      <c r="G28" s="159"/>
      <c r="H28" s="160"/>
      <c r="I28" s="57">
        <f t="shared" si="0"/>
        <v>0</v>
      </c>
      <c r="J28" s="62"/>
      <c r="K28" s="56"/>
      <c r="L28" s="29"/>
      <c r="M28" s="199"/>
    </row>
    <row r="29" spans="1:13" ht="15.75" customHeight="1">
      <c r="A29" s="214" t="s">
        <v>735</v>
      </c>
      <c r="B29" s="243" t="str">
        <f>HYPERLINK("http://codeforces.com/contest/84/problem/B","CF84-D2-B")</f>
        <v>CF84-D2-B</v>
      </c>
      <c r="C29" s="159"/>
      <c r="D29" s="159"/>
      <c r="E29" s="159"/>
      <c r="F29" s="159"/>
      <c r="G29" s="159"/>
      <c r="H29" s="160"/>
      <c r="I29" s="57">
        <f t="shared" si="0"/>
        <v>0</v>
      </c>
      <c r="J29" s="62"/>
      <c r="K29" s="56"/>
      <c r="L29" s="29"/>
      <c r="M29" s="199"/>
    </row>
    <row r="30" spans="1:13" ht="15.75" customHeight="1">
      <c r="A30" s="127"/>
      <c r="B30" s="127"/>
      <c r="C30" s="159"/>
      <c r="D30" s="159"/>
      <c r="E30" s="159"/>
      <c r="F30" s="159"/>
      <c r="G30" s="159"/>
      <c r="H30" s="160"/>
      <c r="I30" s="57">
        <f t="shared" si="0"/>
        <v>0</v>
      </c>
      <c r="J30" s="62"/>
      <c r="K30" s="56"/>
      <c r="L30" s="96"/>
      <c r="M30" s="161" t="str">
        <f>HYPERLINK("https://www.youtube.com/watch?v=fT4JZU5hO58","Watch - Thinking - Misc - Solution Verification - Implementation")</f>
        <v>Watch - Thinking - Misc - Solution Verification - Implementation</v>
      </c>
    </row>
    <row r="31" spans="1:13" ht="15.75" customHeight="1">
      <c r="A31" s="127"/>
      <c r="B31" s="127"/>
      <c r="C31" s="159"/>
      <c r="D31" s="159"/>
      <c r="E31" s="159"/>
      <c r="F31" s="159"/>
      <c r="G31" s="159"/>
      <c r="H31" s="160"/>
      <c r="I31" s="57">
        <f t="shared" si="0"/>
        <v>0</v>
      </c>
      <c r="J31" s="62"/>
      <c r="K31" s="56"/>
      <c r="L31" s="96"/>
      <c r="M31" s="167" t="str">
        <f>HYPERLINK("https://www.youtube.com/watch?v=6GzxGabB5MI","Watch - Graph Theory - Dijkstra")</f>
        <v>Watch - Graph Theory - Dijkstra</v>
      </c>
    </row>
    <row r="32" spans="1:13" ht="15.75" customHeight="1">
      <c r="A32" s="122" t="s">
        <v>736</v>
      </c>
      <c r="B32" s="216" t="str">
        <f>HYPERLINK("https://uva.onlinejudge.org/index.php?option=com_onlinejudge&amp;Itemid=8&amp;page=show_problem&amp;problem=512","UVA 571")</f>
        <v>UVA 571</v>
      </c>
      <c r="C32" s="159"/>
      <c r="D32" s="159"/>
      <c r="E32" s="458"/>
      <c r="F32" s="159"/>
      <c r="G32" s="159"/>
      <c r="H32" s="160"/>
      <c r="I32" s="57">
        <f t="shared" si="0"/>
        <v>0</v>
      </c>
      <c r="J32" s="62"/>
      <c r="K32" s="56"/>
      <c r="L32" s="26"/>
      <c r="M32" s="227" t="str">
        <f>HYPERLINK("https://www.youtube.com/watch?v=y0J3Jznp3kE","Video Solution - Dr Mostafa Saad")</f>
        <v>Video Solution - Dr Mostafa Saad</v>
      </c>
    </row>
    <row r="33" spans="1:13" ht="13.2">
      <c r="A33" s="122" t="s">
        <v>737</v>
      </c>
      <c r="B33" s="223" t="str">
        <f>HYPERLINK("https://uva.onlinejudge.org/index.php?option=com_onlinejudge&amp;Itemid=8&amp;page=show_problem&amp;problem=1927","UVA 10986")</f>
        <v>UVA 10986</v>
      </c>
      <c r="C33" s="159"/>
      <c r="D33" s="159"/>
      <c r="E33" s="159" t="s">
        <v>14406</v>
      </c>
      <c r="F33" s="159"/>
      <c r="G33" s="159"/>
      <c r="H33" s="160"/>
      <c r="I33" s="57">
        <f t="shared" si="0"/>
        <v>0</v>
      </c>
      <c r="J33" s="62"/>
      <c r="K33" s="56"/>
      <c r="L33" s="96"/>
      <c r="M33" s="127"/>
    </row>
    <row r="34" spans="1:13" ht="13.2">
      <c r="A34" s="122" t="s">
        <v>738</v>
      </c>
      <c r="B34" s="223" t="str">
        <f>HYPERLINK("https://uva.onlinejudge.org/index.php?option=onlinejudge&amp;page=show_problem&amp;problem=1742","UVA 10801")</f>
        <v>UVA 10801</v>
      </c>
      <c r="C34" s="159"/>
      <c r="D34" s="159"/>
      <c r="E34" s="159" t="s">
        <v>14407</v>
      </c>
      <c r="F34" s="159"/>
      <c r="G34" s="159"/>
      <c r="H34" s="160"/>
      <c r="I34" s="57">
        <f t="shared" si="0"/>
        <v>0</v>
      </c>
      <c r="J34" s="62"/>
      <c r="K34" s="56"/>
      <c r="L34" s="96"/>
      <c r="M34" s="265" t="s">
        <v>14408</v>
      </c>
    </row>
    <row r="35" spans="1:13" ht="13.2">
      <c r="A35" s="122" t="s">
        <v>739</v>
      </c>
      <c r="B35" s="223" t="str">
        <f>HYPERLINK("http://www.spoj.com/problems/SHOP/","SPOJ SHOP")</f>
        <v>SPOJ SHOP</v>
      </c>
      <c r="C35" s="159"/>
      <c r="D35" s="159"/>
      <c r="E35" s="159" t="s">
        <v>14409</v>
      </c>
      <c r="F35" s="159"/>
      <c r="G35" s="159"/>
      <c r="H35" s="160"/>
      <c r="I35" s="57">
        <f t="shared" si="0"/>
        <v>0</v>
      </c>
      <c r="J35" s="62"/>
      <c r="K35" s="56"/>
      <c r="L35" s="96"/>
      <c r="M35" s="127"/>
    </row>
    <row r="36" spans="1:13" ht="14.4">
      <c r="A36" s="219" t="s">
        <v>740</v>
      </c>
      <c r="B36" s="230" t="str">
        <f>HYPERLINK("https://uva.onlinejudge.org/index.php?option=onlinejudge&amp;page=show_problem&amp;problem=813","UVA 872")</f>
        <v>UVA 872</v>
      </c>
      <c r="C36" s="159"/>
      <c r="D36" s="159"/>
      <c r="E36" s="551" t="s">
        <v>1782</v>
      </c>
      <c r="F36" s="159"/>
      <c r="G36" s="159"/>
      <c r="H36" s="160"/>
      <c r="I36" s="57">
        <f t="shared" si="0"/>
        <v>0</v>
      </c>
      <c r="J36" s="93"/>
      <c r="K36" s="92"/>
      <c r="L36" s="26"/>
      <c r="M36" s="231" t="s">
        <v>614</v>
      </c>
    </row>
    <row r="37" spans="1:13" ht="13.2">
      <c r="A37" s="219"/>
      <c r="B37" s="230" t="str">
        <f>HYPERLINK("https://codeforces.com/contest/1064/problem/C","CF1064-D2-C")</f>
        <v>CF1064-D2-C</v>
      </c>
      <c r="C37" s="159"/>
      <c r="D37" s="159"/>
      <c r="E37" s="159"/>
      <c r="F37" s="159"/>
      <c r="G37" s="159"/>
      <c r="H37" s="160"/>
      <c r="I37" s="57">
        <f t="shared" si="0"/>
        <v>0</v>
      </c>
      <c r="J37" s="93"/>
      <c r="K37" s="92"/>
      <c r="L37" s="26"/>
      <c r="M37" s="26"/>
    </row>
    <row r="38" spans="1:13" ht="13.2">
      <c r="A38" s="219"/>
      <c r="B38" s="230" t="str">
        <f>HYPERLINK("https://codeforces.com/contest/1059/problem/C","CF1059-D2-C")</f>
        <v>CF1059-D2-C</v>
      </c>
      <c r="C38" s="159"/>
      <c r="D38" s="159"/>
      <c r="E38" s="159"/>
      <c r="F38" s="159"/>
      <c r="G38" s="159"/>
      <c r="H38" s="160"/>
      <c r="I38" s="57">
        <f t="shared" si="0"/>
        <v>0</v>
      </c>
      <c r="J38" s="93"/>
      <c r="K38" s="92"/>
      <c r="L38" s="26"/>
      <c r="M38" s="26"/>
    </row>
    <row r="39" spans="1:13" ht="14.4">
      <c r="A39" s="219"/>
      <c r="B39" s="230" t="str">
        <f>HYPERLINK("https://codeforces.com/gym/101933/problem/K","CF101933-GYM-K")</f>
        <v>CF101933-GYM-K</v>
      </c>
      <c r="C39" s="159"/>
      <c r="D39" s="159"/>
      <c r="E39" s="458" t="s">
        <v>14410</v>
      </c>
      <c r="F39" s="159"/>
      <c r="G39" s="159"/>
      <c r="H39" s="160"/>
      <c r="I39" s="57">
        <f t="shared" si="0"/>
        <v>0</v>
      </c>
      <c r="J39" s="93"/>
      <c r="K39" s="92"/>
      <c r="L39" s="26"/>
      <c r="M39" s="244" t="str">
        <f>HYPERLINK("https://github.com/pranavjangir/CompetitiveProgramming/blob/master/CodeForces/CF101933-GYM-K.cpp","Sol")</f>
        <v>Sol</v>
      </c>
    </row>
    <row r="40" spans="1:13" ht="13.2">
      <c r="A40" s="219" t="s">
        <v>741</v>
      </c>
      <c r="B40" s="220" t="str">
        <f>HYPERLINK("http://codeforces.com/contest/816/problem/B","CF816-D2-B")</f>
        <v>CF816-D2-B</v>
      </c>
      <c r="C40" s="29"/>
      <c r="D40" s="29"/>
      <c r="E40" s="29"/>
      <c r="F40" s="29"/>
      <c r="G40" s="29"/>
      <c r="H40" s="29"/>
      <c r="I40" s="103">
        <f t="shared" si="0"/>
        <v>0</v>
      </c>
      <c r="J40" s="93"/>
      <c r="K40" s="92"/>
      <c r="L40" s="26"/>
      <c r="M40" s="82" t="str">
        <f>HYPERLINK("https://www.youtube.com/watch?v=S0nKXwwWG8Y","Video Solution - Dr Mostafa Saad")</f>
        <v>Video Solution - Dr Mostafa Saad</v>
      </c>
    </row>
    <row r="41" spans="1:13" ht="13.2">
      <c r="A41" s="127"/>
      <c r="B41" s="127"/>
      <c r="C41" s="159"/>
      <c r="D41" s="159"/>
      <c r="E41" s="159"/>
      <c r="F41" s="159"/>
      <c r="G41" s="159"/>
      <c r="H41" s="160"/>
      <c r="I41" s="57">
        <f t="shared" si="0"/>
        <v>0</v>
      </c>
      <c r="J41" s="62"/>
      <c r="K41" s="56"/>
      <c r="L41" s="96"/>
      <c r="M41" s="127"/>
    </row>
    <row r="42" spans="1:13" ht="14.4">
      <c r="A42" s="166" t="s">
        <v>742</v>
      </c>
      <c r="B42" s="210" t="str">
        <f>HYPERLINK("http://codeforces.com/contest/63/problem/C","CF63-D2-C")</f>
        <v>CF63-D2-C</v>
      </c>
      <c r="C42" s="484"/>
      <c r="D42" s="159"/>
      <c r="E42" s="159"/>
      <c r="F42" s="159"/>
      <c r="G42" s="159"/>
      <c r="H42" s="160"/>
      <c r="I42" s="57">
        <f t="shared" si="0"/>
        <v>0</v>
      </c>
      <c r="J42" s="62"/>
      <c r="K42" s="56"/>
      <c r="L42" s="96"/>
      <c r="M42" s="210" t="str">
        <f>HYPERLINK("https://github.com/ilyesG/Competitive-Programming/blob/master/CodeForces/CF63-D2-C.cpp","Sol")</f>
        <v>Sol</v>
      </c>
    </row>
    <row r="43" spans="1:13" ht="13.2">
      <c r="A43" s="166" t="s">
        <v>743</v>
      </c>
      <c r="B43" s="210" t="str">
        <f>HYPERLINK("http://codeforces.com/contest/430/problem/C","CF430-D2-C")</f>
        <v>CF430-D2-C</v>
      </c>
      <c r="C43" s="159" t="s">
        <v>14419</v>
      </c>
      <c r="D43" s="159"/>
      <c r="E43" s="159"/>
      <c r="F43" s="159"/>
      <c r="G43" s="159"/>
      <c r="H43" s="160"/>
      <c r="I43" s="57">
        <f t="shared" si="0"/>
        <v>0</v>
      </c>
      <c r="J43" s="62"/>
      <c r="K43" s="56"/>
      <c r="L43" s="96"/>
      <c r="M43" s="127"/>
    </row>
    <row r="44" spans="1:13" ht="14.4">
      <c r="A44" s="166" t="s">
        <v>744</v>
      </c>
      <c r="B44" s="210" t="str">
        <f>HYPERLINK("http://codeforces.com/contest/591/problem/C","CF591-D2-C")</f>
        <v>CF591-D2-C</v>
      </c>
      <c r="C44" s="484"/>
      <c r="D44" s="159"/>
      <c r="E44" s="159"/>
      <c r="F44" s="159"/>
      <c r="G44" s="159"/>
      <c r="H44" s="160"/>
      <c r="I44" s="57">
        <f t="shared" si="0"/>
        <v>0</v>
      </c>
      <c r="J44" s="62"/>
      <c r="K44" s="56"/>
      <c r="L44" s="96"/>
      <c r="M44" s="86"/>
    </row>
    <row r="45" spans="1:13" ht="14.4">
      <c r="A45" s="166" t="s">
        <v>745</v>
      </c>
      <c r="B45" s="210" t="str">
        <f>HYPERLINK("http://codeforces.com/contest/711/problem/C","CF711-D2-C")</f>
        <v>CF711-D2-C</v>
      </c>
      <c r="C45" s="458" t="s">
        <v>14482</v>
      </c>
      <c r="D45" s="159"/>
      <c r="E45" s="159"/>
      <c r="F45" s="159"/>
      <c r="G45" s="159"/>
      <c r="H45" s="160"/>
      <c r="I45" s="57">
        <f t="shared" si="0"/>
        <v>0</v>
      </c>
      <c r="J45" s="62"/>
      <c r="K45" s="56"/>
      <c r="L45" s="96"/>
      <c r="M45" s="82" t="str">
        <f>HYPERLINK("https://www.youtube.com/watch?v=aYERNlE7KLU","Video Solution - Solver to be")</f>
        <v>Video Solution - Solver to be</v>
      </c>
    </row>
    <row r="46" spans="1:13" ht="13.2">
      <c r="A46" s="86" t="s">
        <v>746</v>
      </c>
      <c r="B46" s="128" t="str">
        <f>HYPERLINK("http://codeforces.com/contest/202/problem/C","CF202-D2-C")</f>
        <v>CF202-D2-C</v>
      </c>
      <c r="C46" s="159"/>
      <c r="D46" s="159"/>
      <c r="E46" s="159"/>
      <c r="F46" s="159"/>
      <c r="G46" s="159"/>
      <c r="H46" s="160"/>
      <c r="I46" s="57">
        <f t="shared" si="0"/>
        <v>0</v>
      </c>
      <c r="J46" s="62"/>
      <c r="K46" s="56"/>
      <c r="L46" s="26"/>
      <c r="M46" s="26"/>
    </row>
    <row r="47" spans="1:13" ht="13.2">
      <c r="A47" s="86"/>
      <c r="B47" s="143" t="str">
        <f>HYPERLINK("https://codeforces.com/contest/1237/problem/C2","CF1237-D12-C2")</f>
        <v>CF1237-D12-C2</v>
      </c>
      <c r="C47" s="159"/>
      <c r="D47" s="159"/>
      <c r="E47" s="159"/>
      <c r="F47" s="159"/>
      <c r="G47" s="159"/>
      <c r="H47" s="160"/>
      <c r="I47" s="57">
        <f t="shared" si="0"/>
        <v>0</v>
      </c>
      <c r="J47" s="62"/>
      <c r="K47" s="56"/>
      <c r="L47" s="26"/>
      <c r="M47" s="26"/>
    </row>
    <row r="48" spans="1:13" ht="13.2">
      <c r="A48" s="214" t="s">
        <v>747</v>
      </c>
      <c r="B48" s="28" t="str">
        <f>HYPERLINK("http://codeforces.com/contest/426/problem/B","CF426-D2-B")</f>
        <v>CF426-D2-B</v>
      </c>
      <c r="C48" s="159"/>
      <c r="D48" s="159"/>
      <c r="E48" s="159"/>
      <c r="F48" s="159"/>
      <c r="G48" s="159"/>
      <c r="H48" s="160"/>
      <c r="I48" s="57">
        <f t="shared" si="0"/>
        <v>0</v>
      </c>
      <c r="J48" s="62"/>
      <c r="K48" s="56"/>
      <c r="L48" s="96"/>
      <c r="M48" s="127"/>
    </row>
    <row r="49" spans="1:13" ht="13.2">
      <c r="A49" s="214" t="s">
        <v>748</v>
      </c>
      <c r="B49" s="28" t="str">
        <f>HYPERLINK("http://codeforces.com/contest/675/problem/B","CF675-D2-B")</f>
        <v>CF675-D2-B</v>
      </c>
      <c r="C49" s="159"/>
      <c r="D49" s="159"/>
      <c r="E49" s="159"/>
      <c r="F49" s="159"/>
      <c r="G49" s="159"/>
      <c r="H49" s="160"/>
      <c r="I49" s="57">
        <f t="shared" si="0"/>
        <v>0</v>
      </c>
      <c r="J49" s="62"/>
      <c r="K49" s="56"/>
      <c r="L49" s="96"/>
      <c r="M49" s="127"/>
    </row>
    <row r="50" spans="1:13" ht="13.2">
      <c r="A50" s="127"/>
      <c r="B50" s="127"/>
      <c r="C50" s="159"/>
      <c r="D50" s="159"/>
      <c r="E50" s="159"/>
      <c r="F50" s="159"/>
      <c r="G50" s="159"/>
      <c r="H50" s="160"/>
      <c r="I50" s="57"/>
      <c r="J50" s="62"/>
      <c r="K50" s="56"/>
      <c r="L50" s="96"/>
      <c r="M50" s="165"/>
    </row>
    <row r="51" spans="1:13" ht="13.2">
      <c r="A51" s="127"/>
      <c r="B51" s="127"/>
      <c r="C51" s="159"/>
      <c r="D51" s="159"/>
      <c r="E51" s="159"/>
      <c r="F51" s="159"/>
      <c r="G51" s="159"/>
      <c r="H51" s="160"/>
      <c r="I51" s="57">
        <f t="shared" ref="I51:I154" si="1">SUM(E51:H51)</f>
        <v>0</v>
      </c>
      <c r="J51" s="62"/>
      <c r="K51" s="56"/>
      <c r="L51" s="96"/>
      <c r="M51" s="165" t="str">
        <f>HYPERLINK("https://www.youtube.com/watch?v=k5fDfC9vfWM","Watch - Computational Geometry - Lines Intersections")</f>
        <v>Watch - Computational Geometry - Lines Intersections</v>
      </c>
    </row>
    <row r="52" spans="1:13" ht="13.2">
      <c r="A52" s="122" t="s">
        <v>749</v>
      </c>
      <c r="B52" s="223" t="str">
        <f>HYPERLINK("https://uva.onlinejudge.org/index.php?option=onlinejudge&amp;page=show_problem&amp;problem=678","UVA 737")</f>
        <v>UVA 737</v>
      </c>
      <c r="C52" s="159"/>
      <c r="D52" s="159"/>
      <c r="E52" s="159"/>
      <c r="F52" s="159"/>
      <c r="G52" s="159"/>
      <c r="H52" s="160"/>
      <c r="I52" s="57">
        <f t="shared" si="1"/>
        <v>0</v>
      </c>
      <c r="J52" s="62"/>
      <c r="K52" s="56"/>
      <c r="L52" s="96"/>
      <c r="M52" s="210" t="str">
        <f>HYPERLINK("https://github.com/mostafa-saad/MyCompetitiveProgramming/blob/master/UVA/UVA_737.txt","Sol")</f>
        <v>Sol</v>
      </c>
    </row>
    <row r="53" spans="1:13" ht="13.2">
      <c r="A53" s="122" t="s">
        <v>750</v>
      </c>
      <c r="B53" s="223" t="str">
        <f>HYPERLINK("https://uva.onlinejudge.org/index.php?option=com_onlinejudge&amp;Itemid=8&amp;page=show_problem&amp;problem=807","UVA 866")</f>
        <v>UVA 866</v>
      </c>
      <c r="C53" s="159"/>
      <c r="D53" s="159"/>
      <c r="E53" s="159"/>
      <c r="F53" s="159"/>
      <c r="G53" s="159"/>
      <c r="H53" s="160"/>
      <c r="I53" s="57">
        <f t="shared" si="1"/>
        <v>0</v>
      </c>
      <c r="J53" s="62"/>
      <c r="K53" s="56"/>
      <c r="L53" s="96"/>
      <c r="M53" s="210" t="str">
        <f>HYPERLINK("https://github.com/MeGaCrazy/CompetitiveProgramming/blob/master/UVA/UVA_866.cpp","Sol")</f>
        <v>Sol</v>
      </c>
    </row>
    <row r="54" spans="1:13" ht="13.2">
      <c r="A54" s="127"/>
      <c r="B54" s="127"/>
      <c r="C54" s="159"/>
      <c r="D54" s="159"/>
      <c r="E54" s="159"/>
      <c r="F54" s="159"/>
      <c r="G54" s="159"/>
      <c r="H54" s="160"/>
      <c r="I54" s="57">
        <f t="shared" si="1"/>
        <v>0</v>
      </c>
      <c r="J54" s="62"/>
      <c r="K54" s="56"/>
      <c r="L54" s="96"/>
      <c r="M54" s="165" t="str">
        <f>HYPERLINK("https://www.youtube.com/watch?v=Fa69kqT9NPY","Watch - Computational Geometry - Circles")</f>
        <v>Watch - Computational Geometry - Circles</v>
      </c>
    </row>
    <row r="55" spans="1:13" ht="13.2">
      <c r="A55" s="122" t="s">
        <v>751</v>
      </c>
      <c r="B55" s="223" t="str">
        <f>HYPERLINK("https://uva.onlinejudge.org/index.php?option=onlinejudge&amp;page=show_problem&amp;problem=379","UVA 438")</f>
        <v>UVA 438</v>
      </c>
      <c r="C55" s="159"/>
      <c r="D55" s="159"/>
      <c r="E55" s="159"/>
      <c r="F55" s="159"/>
      <c r="G55" s="159"/>
      <c r="H55" s="160"/>
      <c r="I55" s="57">
        <f t="shared" si="1"/>
        <v>0</v>
      </c>
      <c r="J55" s="62"/>
      <c r="K55" s="56"/>
      <c r="L55" s="96"/>
      <c r="M55" s="210" t="str">
        <f>HYPERLINK("https://github.com/hosamk92/CompetitiveProgramming/blob/master/UVA/UVA%20438.cpp","Sol")</f>
        <v>Sol</v>
      </c>
    </row>
    <row r="56" spans="1:13" ht="13.2">
      <c r="A56" s="122" t="s">
        <v>752</v>
      </c>
      <c r="B56" s="223" t="str">
        <f>HYPERLINK("https://uva.onlinejudge.org/index.php?option=com_onlinejudge&amp;Itemid=8&amp;page=show_problem&amp;problem=418","UVA 477")</f>
        <v>UVA 477</v>
      </c>
      <c r="C56" s="159"/>
      <c r="D56" s="159"/>
      <c r="E56" s="159"/>
      <c r="F56" s="159"/>
      <c r="G56" s="159"/>
      <c r="H56" s="160"/>
      <c r="I56" s="57">
        <f t="shared" si="1"/>
        <v>0</v>
      </c>
      <c r="J56" s="62"/>
      <c r="K56" s="56"/>
      <c r="L56" s="96"/>
      <c r="M56" s="210" t="str">
        <f>HYPERLINK("https://github.com/MeGaCrazy/CompetitiveProgramming/blob/5343b4e1aabd67db25a4864de4eb81eb094709e3/UVA/UVA_477.cpp","Sol")</f>
        <v>Sol</v>
      </c>
    </row>
    <row r="57" spans="1:13" ht="13.2">
      <c r="A57" s="194" t="s">
        <v>753</v>
      </c>
      <c r="B57" s="223" t="str">
        <f>HYPERLINK("https://uva.onlinejudge.org/index.php?option=onlinejudge&amp;page=show_problem&amp;problem=292","UVA 356")</f>
        <v>UVA 356</v>
      </c>
      <c r="C57" s="159"/>
      <c r="D57" s="159"/>
      <c r="E57" s="159"/>
      <c r="F57" s="159"/>
      <c r="G57" s="159"/>
      <c r="H57" s="160"/>
      <c r="I57" s="57">
        <f t="shared" si="1"/>
        <v>0</v>
      </c>
      <c r="J57" s="62"/>
      <c r="K57" s="56"/>
      <c r="L57" s="96"/>
      <c r="M57" s="82" t="str">
        <f>HYPERLINK("https://github.com/AymanSalah96/CompetitiveProgramming/blob/master/UVA/356.cpp","Sol to read")</f>
        <v>Sol to read</v>
      </c>
    </row>
    <row r="58" spans="1:13" ht="13.2">
      <c r="A58" s="194"/>
      <c r="B58" s="245" t="s">
        <v>754</v>
      </c>
      <c r="C58" s="159"/>
      <c r="D58" s="159"/>
      <c r="E58" s="159"/>
      <c r="F58" s="159"/>
      <c r="G58" s="159"/>
      <c r="H58" s="160"/>
      <c r="I58" s="57">
        <f t="shared" si="1"/>
        <v>0</v>
      </c>
      <c r="J58" s="93"/>
      <c r="K58" s="92"/>
      <c r="L58" s="26"/>
      <c r="M58" s="104" t="str">
        <f>HYPERLINK("https://github.com/MeGaCrazy/CompetitiveProgramming/blob/c099628e643065a7bae09af22c4cbce1216e4db9/UVA/UVA_453.cpp","Learn Handling Precisions")</f>
        <v>Learn Handling Precisions</v>
      </c>
    </row>
    <row r="59" spans="1:13" ht="13.2">
      <c r="A59" s="170" t="s">
        <v>755</v>
      </c>
      <c r="B59" s="171" t="str">
        <f>HYPERLINK("https://uva.onlinejudge.org/index.php?option=onlinejudge&amp;page=show_problem&amp;problem=1425","UVA 10484")</f>
        <v>UVA 10484</v>
      </c>
      <c r="C59" s="159"/>
      <c r="D59" s="159"/>
      <c r="E59" s="159"/>
      <c r="F59" s="159"/>
      <c r="G59" s="159"/>
      <c r="H59" s="160"/>
      <c r="I59" s="57">
        <f t="shared" si="1"/>
        <v>0</v>
      </c>
      <c r="J59" s="62"/>
      <c r="K59" s="56"/>
      <c r="L59" s="96"/>
      <c r="M59" s="82" t="str">
        <f>HYPERLINK("https://github.com/mostafa-saad/MyCompetitiveProgramming/blob/master/UVA/UVA_10484.txt","Sol to read")</f>
        <v>Sol to read</v>
      </c>
    </row>
    <row r="60" spans="1:13" ht="13.2">
      <c r="A60" s="170"/>
      <c r="B60" s="114" t="s">
        <v>756</v>
      </c>
      <c r="C60" s="159"/>
      <c r="D60" s="159"/>
      <c r="E60" s="159"/>
      <c r="F60" s="159"/>
      <c r="G60" s="159"/>
      <c r="H60" s="160"/>
      <c r="I60" s="57">
        <f t="shared" si="1"/>
        <v>0</v>
      </c>
      <c r="J60" s="62"/>
      <c r="K60" s="56"/>
      <c r="L60" s="96"/>
      <c r="M60" s="117"/>
    </row>
    <row r="61" spans="1:13" ht="13.2">
      <c r="A61" s="170"/>
      <c r="B61" s="171" t="str">
        <f>HYPERLINK("http://codeforces.com/contest/975/problem/C","CF975-D2-C")</f>
        <v>CF975-D2-C</v>
      </c>
      <c r="C61" s="159"/>
      <c r="D61" s="159"/>
      <c r="E61" s="159"/>
      <c r="F61" s="159"/>
      <c r="G61" s="159"/>
      <c r="H61" s="160"/>
      <c r="I61" s="57">
        <f t="shared" si="1"/>
        <v>0</v>
      </c>
      <c r="J61" s="62"/>
      <c r="K61" s="56"/>
      <c r="L61" s="96"/>
      <c r="M61" s="117"/>
    </row>
    <row r="62" spans="1:13" ht="13.2">
      <c r="A62" s="170"/>
      <c r="B62" s="171" t="str">
        <f>HYPERLINK("http://codeforces.com/contest/1047/problem/C","CF1047-D2-C")</f>
        <v>CF1047-D2-C</v>
      </c>
      <c r="C62" s="159"/>
      <c r="D62" s="159"/>
      <c r="E62" s="159"/>
      <c r="F62" s="159"/>
      <c r="G62" s="159"/>
      <c r="H62" s="160"/>
      <c r="I62" s="57">
        <f t="shared" si="1"/>
        <v>0</v>
      </c>
      <c r="J62" s="62"/>
      <c r="K62" s="56"/>
      <c r="L62" s="96"/>
      <c r="M62" s="117"/>
    </row>
    <row r="63" spans="1:13" ht="13.2">
      <c r="A63" s="170"/>
      <c r="B63" s="171" t="str">
        <f>HYPERLINK("http://codeforces.com/contest/1075/problem/C","CF1075-D2-C")</f>
        <v>CF1075-D2-C</v>
      </c>
      <c r="C63" s="159"/>
      <c r="D63" s="159"/>
      <c r="E63" s="159"/>
      <c r="F63" s="159"/>
      <c r="G63" s="159"/>
      <c r="H63" s="160"/>
      <c r="I63" s="57">
        <f t="shared" si="1"/>
        <v>0</v>
      </c>
      <c r="J63" s="62"/>
      <c r="K63" s="56"/>
      <c r="L63" s="96"/>
      <c r="M63" s="117"/>
    </row>
    <row r="64" spans="1:13" ht="13.2">
      <c r="A64" s="170"/>
      <c r="B64" s="171" t="str">
        <f>HYPERLINK("http://codeforces.com/contest/758/problem/C","CF758-D2-C")</f>
        <v>CF758-D2-C</v>
      </c>
      <c r="C64" s="159"/>
      <c r="D64" s="159"/>
      <c r="E64" s="159"/>
      <c r="F64" s="159"/>
      <c r="G64" s="159"/>
      <c r="H64" s="160"/>
      <c r="I64" s="57">
        <f t="shared" si="1"/>
        <v>0</v>
      </c>
      <c r="J64" s="62"/>
      <c r="K64" s="56"/>
      <c r="L64" s="96"/>
      <c r="M64" s="117"/>
    </row>
    <row r="65" spans="1:13" ht="13.2">
      <c r="A65" s="170"/>
      <c r="B65" s="213" t="s">
        <v>757</v>
      </c>
      <c r="C65" s="159"/>
      <c r="D65" s="159"/>
      <c r="E65" s="159"/>
      <c r="F65" s="159"/>
      <c r="G65" s="159"/>
      <c r="H65" s="160"/>
      <c r="I65" s="57">
        <f t="shared" si="1"/>
        <v>0</v>
      </c>
      <c r="J65" s="62"/>
      <c r="K65" s="56"/>
      <c r="L65" s="96"/>
      <c r="M65" s="246" t="str">
        <f>HYPERLINK("https://www.youtube.com/watch?v=MR5APvYis-o&amp;feature=youtu.be","Video Sol. Also solvable in 2 other ways.")</f>
        <v>Video Sol. Also solvable in 2 other ways.</v>
      </c>
    </row>
    <row r="66" spans="1:13" ht="13.2">
      <c r="A66" s="127"/>
      <c r="B66" s="127"/>
      <c r="C66" s="159"/>
      <c r="D66" s="159"/>
      <c r="E66" s="159"/>
      <c r="F66" s="159"/>
      <c r="G66" s="159"/>
      <c r="H66" s="160"/>
      <c r="I66" s="57">
        <f t="shared" si="1"/>
        <v>0</v>
      </c>
      <c r="J66" s="62"/>
      <c r="K66" s="56"/>
      <c r="L66" s="96"/>
      <c r="M66" s="127"/>
    </row>
    <row r="67" spans="1:13" ht="14.4">
      <c r="A67" s="86" t="s">
        <v>758</v>
      </c>
      <c r="B67" s="128" t="str">
        <f>HYPERLINK("http://codeforces.com/contest/124/problem/C","CF124-D2-C")</f>
        <v>CF124-D2-C</v>
      </c>
      <c r="C67" s="458" t="s">
        <v>14314</v>
      </c>
      <c r="D67" s="159"/>
      <c r="E67" s="159"/>
      <c r="F67" s="159"/>
      <c r="G67" s="159"/>
      <c r="H67" s="160"/>
      <c r="I67" s="57">
        <f t="shared" si="1"/>
        <v>0</v>
      </c>
      <c r="J67" s="93"/>
      <c r="K67" s="92"/>
      <c r="L67" s="26"/>
      <c r="M67" s="26"/>
    </row>
    <row r="68" spans="1:13" ht="14.4">
      <c r="A68" s="86" t="s">
        <v>759</v>
      </c>
      <c r="B68" s="128" t="str">
        <f>HYPERLINK("http://codeforces.com/contest/155/problem/C","CF155-D2-C")</f>
        <v>CF155-D2-C</v>
      </c>
      <c r="C68" s="484"/>
      <c r="D68" s="159"/>
      <c r="E68" s="159"/>
      <c r="F68" s="159"/>
      <c r="G68" s="159"/>
      <c r="H68" s="160"/>
      <c r="I68" s="57">
        <f t="shared" si="1"/>
        <v>0</v>
      </c>
      <c r="J68" s="93"/>
      <c r="K68" s="92"/>
      <c r="L68" s="26"/>
      <c r="M68" s="26"/>
    </row>
    <row r="69" spans="1:13" ht="14.4">
      <c r="A69" s="166" t="s">
        <v>760</v>
      </c>
      <c r="B69" s="210" t="str">
        <f>HYPERLINK("http://codeforces.com/contest/148/problem/C","CF148-D2-C")</f>
        <v>CF148-D2-C</v>
      </c>
      <c r="C69" s="484"/>
      <c r="D69" s="159"/>
      <c r="E69" s="159"/>
      <c r="F69" s="159"/>
      <c r="G69" s="159"/>
      <c r="H69" s="160"/>
      <c r="I69" s="57">
        <f t="shared" si="1"/>
        <v>0</v>
      </c>
      <c r="J69" s="62"/>
      <c r="K69" s="56"/>
      <c r="L69" s="96"/>
      <c r="M69" s="138" t="str">
        <f>HYPERLINK("https://www.youtube.com/watch?v=BX2HhPefv6g","Video Solution - Eng Mohamed Nasser")</f>
        <v>Video Solution - Eng Mohamed Nasser</v>
      </c>
    </row>
    <row r="70" spans="1:13" ht="14.4">
      <c r="A70" s="166" t="s">
        <v>761</v>
      </c>
      <c r="B70" s="210" t="str">
        <f>HYPERLINK("http://codeforces.com/contest/490/problem/C","CF490-D2-C")</f>
        <v>CF490-D2-C</v>
      </c>
      <c r="C70" s="484"/>
      <c r="D70" s="159"/>
      <c r="E70" s="159"/>
      <c r="F70" s="159"/>
      <c r="G70" s="159"/>
      <c r="H70" s="160"/>
      <c r="I70" s="57">
        <f t="shared" si="1"/>
        <v>0</v>
      </c>
      <c r="J70" s="62"/>
      <c r="K70" s="56"/>
      <c r="L70" s="96"/>
      <c r="M70" s="127"/>
    </row>
    <row r="71" spans="1:13" ht="14.4">
      <c r="A71" s="166" t="s">
        <v>762</v>
      </c>
      <c r="B71" s="210" t="str">
        <f>HYPERLINK("http://codeforces.com/contest/476/problem/C","CF476-D2-C")</f>
        <v>CF476-D2-C</v>
      </c>
      <c r="C71" s="484"/>
      <c r="D71" s="159"/>
      <c r="E71" s="159"/>
      <c r="F71" s="159"/>
      <c r="G71" s="159"/>
      <c r="H71" s="160"/>
      <c r="I71" s="57">
        <f t="shared" si="1"/>
        <v>0</v>
      </c>
      <c r="J71" s="62"/>
      <c r="K71" s="56"/>
      <c r="L71" s="96"/>
      <c r="M71" s="82" t="str">
        <f>HYPERLINK("https://www.youtube.com/watch?v=KS9POnQMfmY","Video Solution - Dr Mostafa Saad")</f>
        <v>Video Solution - Dr Mostafa Saad</v>
      </c>
    </row>
    <row r="72" spans="1:13" ht="13.2">
      <c r="A72" s="166" t="s">
        <v>763</v>
      </c>
      <c r="B72" s="210" t="str">
        <f>HYPERLINK("http://codeforces.com/contest/195/problem/C","CF195-D2-C")</f>
        <v>CF195-D2-C</v>
      </c>
      <c r="C72" s="159" t="s">
        <v>14419</v>
      </c>
      <c r="D72" s="159"/>
      <c r="E72" s="159"/>
      <c r="F72" s="159"/>
      <c r="G72" s="159"/>
      <c r="H72" s="160"/>
      <c r="I72" s="57">
        <f t="shared" si="1"/>
        <v>0</v>
      </c>
      <c r="J72" s="62"/>
      <c r="K72" s="56"/>
      <c r="L72" s="96"/>
      <c r="M72" s="82" t="str">
        <f>HYPERLINK("https://github.com/mostafa-saad/MyCompetitiveProgramming/blob/master/Codeforces/CF195-D2-C-Ahmed%20Osama.pdf","Editorial - Eng Ahmed Osama")</f>
        <v>Editorial - Eng Ahmed Osama</v>
      </c>
    </row>
    <row r="73" spans="1:13" ht="13.2">
      <c r="A73" s="86" t="s">
        <v>764</v>
      </c>
      <c r="B73" s="128" t="str">
        <f>HYPERLINK("http://codeforces.com/contest/569/problem/C","CF569-D2-C")</f>
        <v>CF569-D2-C</v>
      </c>
      <c r="C73" s="159" t="s">
        <v>14419</v>
      </c>
      <c r="D73" s="159"/>
      <c r="E73" s="159"/>
      <c r="F73" s="159"/>
      <c r="G73" s="159"/>
      <c r="H73" s="160"/>
      <c r="I73" s="57">
        <f t="shared" si="1"/>
        <v>0</v>
      </c>
      <c r="J73" s="62"/>
      <c r="K73" s="56"/>
      <c r="L73" s="26"/>
      <c r="M73" s="26"/>
    </row>
    <row r="74" spans="1:13" ht="14.4">
      <c r="A74" s="166" t="s">
        <v>765</v>
      </c>
      <c r="B74" s="210" t="str">
        <f>HYPERLINK("http://codeforces.com/contest/257/problem/C","CF257-D2-C")</f>
        <v>CF257-D2-C</v>
      </c>
      <c r="C74" s="484"/>
      <c r="D74" s="159"/>
      <c r="E74" s="159"/>
      <c r="F74" s="159"/>
      <c r="G74" s="159"/>
      <c r="H74" s="160"/>
      <c r="I74" s="57">
        <f t="shared" si="1"/>
        <v>0</v>
      </c>
      <c r="J74" s="62"/>
      <c r="K74" s="56"/>
      <c r="L74" s="96"/>
      <c r="M74" s="82" t="str">
        <f>HYPERLINK("https://github.com/mostafa-saad/MyCompetitiveProgramming/blob/master/Codeforces/CF257-D2-C-AhmedOsama.pdf","Editorial - Eng Ahmed Osama")</f>
        <v>Editorial - Eng Ahmed Osama</v>
      </c>
    </row>
    <row r="75" spans="1:13" ht="13.2">
      <c r="A75" s="214" t="s">
        <v>766</v>
      </c>
      <c r="B75" s="28" t="str">
        <f>HYPERLINK("http://codeforces.com/contest/454/problem/B","CF454-D2-B")</f>
        <v>CF454-D2-B</v>
      </c>
      <c r="C75" s="159"/>
      <c r="D75" s="159"/>
      <c r="E75" s="159"/>
      <c r="F75" s="159"/>
      <c r="G75" s="159"/>
      <c r="H75" s="160"/>
      <c r="I75" s="57">
        <f t="shared" si="1"/>
        <v>0</v>
      </c>
      <c r="J75" s="62"/>
      <c r="K75" s="56"/>
      <c r="L75" s="96"/>
      <c r="M75" s="127"/>
    </row>
    <row r="76" spans="1:13" ht="13.2">
      <c r="A76" s="127"/>
      <c r="B76" s="127"/>
      <c r="C76" s="159"/>
      <c r="D76" s="159"/>
      <c r="E76" s="159"/>
      <c r="F76" s="159"/>
      <c r="G76" s="159"/>
      <c r="H76" s="160"/>
      <c r="I76" s="57">
        <f t="shared" si="1"/>
        <v>0</v>
      </c>
      <c r="J76" s="62"/>
      <c r="K76" s="56"/>
      <c r="L76" s="96"/>
      <c r="M76" s="161" t="str">
        <f>HYPERLINK("https://www.youtube.com/watch?v=uKSLJw0ZUd8","Watch - Thinking - Error Inspection - History - Contest Strategy ")</f>
        <v xml:space="preserve">Watch - Thinking - Error Inspection - History - Contest Strategy </v>
      </c>
    </row>
    <row r="77" spans="1:13" ht="13.2">
      <c r="A77" s="127"/>
      <c r="B77" s="127"/>
      <c r="C77" s="159"/>
      <c r="D77" s="159"/>
      <c r="E77" s="159"/>
      <c r="F77" s="159"/>
      <c r="G77" s="159"/>
      <c r="H77" s="160"/>
      <c r="I77" s="57">
        <f t="shared" si="1"/>
        <v>0</v>
      </c>
      <c r="J77" s="62"/>
      <c r="K77" s="56"/>
      <c r="L77" s="96"/>
      <c r="M77" s="165" t="str">
        <f>HYPERLINK("https://www.youtube.com/watch?v=s3IGwpJwCTA","Watch - DP - Building Output")</f>
        <v>Watch - DP - Building Output</v>
      </c>
    </row>
    <row r="78" spans="1:13" ht="14.4" customHeight="1">
      <c r="A78" s="122" t="s">
        <v>767</v>
      </c>
      <c r="B78" s="223" t="str">
        <f>HYPERLINK("https://uva.onlinejudge.org/index.php?option=com_onlinejudge&amp;Itemid=8&amp;page=show_problem&amp;problem=52","UVA 116")</f>
        <v>UVA 116</v>
      </c>
      <c r="C78" s="159"/>
      <c r="D78" s="484" t="s">
        <v>1781</v>
      </c>
      <c r="E78" s="159"/>
      <c r="F78" s="159"/>
      <c r="G78" s="159"/>
      <c r="H78" s="160"/>
      <c r="I78" s="57">
        <f t="shared" si="1"/>
        <v>0</v>
      </c>
      <c r="J78" s="62"/>
      <c r="K78" s="56"/>
      <c r="L78" s="26"/>
      <c r="M78" s="127"/>
    </row>
    <row r="79" spans="1:13" ht="18.600000000000001" customHeight="1">
      <c r="A79" s="122" t="s">
        <v>768</v>
      </c>
      <c r="B79" s="223" t="str">
        <f>HYPERLINK("https://uva.onlinejudge.org/index.php?option=com_onlinejudge&amp;Itemid=8&amp;page=show_problem&amp;problem=1394","UVA 10453")</f>
        <v>UVA 10453</v>
      </c>
      <c r="C79" s="159"/>
      <c r="D79" s="484" t="s">
        <v>14414</v>
      </c>
      <c r="E79" s="159"/>
      <c r="F79" s="159"/>
      <c r="G79" s="159"/>
      <c r="H79" s="160"/>
      <c r="I79" s="57">
        <f t="shared" si="1"/>
        <v>0</v>
      </c>
      <c r="J79" s="62"/>
      <c r="K79" s="56"/>
      <c r="L79" s="96"/>
      <c r="M79" s="210" t="str">
        <f>HYPERLINK("https://github.com/ilyesG/Competitive-Programming/blob/master/UVA/UVA%2010453.cpp","Sol")</f>
        <v>Sol</v>
      </c>
    </row>
    <row r="80" spans="1:13" ht="16.2" customHeight="1">
      <c r="A80" s="122" t="s">
        <v>769</v>
      </c>
      <c r="B80" s="223" t="str">
        <f>HYPERLINK("https://uva.onlinejudge.org/index.php?option=com_onlinejudge&amp;Itemid=8&amp;page=show_problem&amp;problem=603","UVA 662")</f>
        <v>UVA 662</v>
      </c>
      <c r="C80" s="159"/>
      <c r="D80" s="555" t="s">
        <v>10948</v>
      </c>
      <c r="E80" s="159"/>
      <c r="F80" s="159"/>
      <c r="G80" s="159"/>
      <c r="H80" s="160"/>
      <c r="I80" s="57">
        <f t="shared" si="1"/>
        <v>0</v>
      </c>
      <c r="J80" s="62"/>
      <c r="K80" s="56"/>
      <c r="L80" s="96"/>
      <c r="M80" s="127"/>
    </row>
    <row r="81" spans="1:13" ht="18.600000000000001" customHeight="1">
      <c r="A81" s="122" t="s">
        <v>770</v>
      </c>
      <c r="B81" s="223" t="str">
        <f>HYPERLINK("https://uva.onlinejudge.org/index.php?option=onlinejudge&amp;page=show_problem&amp;problem=2399","UVA 11404")</f>
        <v>UVA 11404</v>
      </c>
      <c r="C81" s="159"/>
      <c r="D81" s="555" t="s">
        <v>10948</v>
      </c>
      <c r="E81" s="159"/>
      <c r="F81" s="159"/>
      <c r="G81" s="159"/>
      <c r="H81" s="160"/>
      <c r="I81" s="57">
        <f t="shared" si="1"/>
        <v>0</v>
      </c>
      <c r="J81" s="62"/>
      <c r="K81" s="56"/>
      <c r="L81" s="159"/>
      <c r="M81" s="127"/>
    </row>
    <row r="82" spans="1:13" ht="22.2" customHeight="1">
      <c r="A82" s="122" t="s">
        <v>771</v>
      </c>
      <c r="B82" s="223" t="str">
        <f>HYPERLINK("https://uva.onlinejudge.org/index.php?option=com_onlinejudge&amp;Itemid=8&amp;page=show_problem&amp;problem=698","UVA 757")</f>
        <v>UVA 757</v>
      </c>
      <c r="C82" s="159"/>
      <c r="D82" s="555" t="s">
        <v>10948</v>
      </c>
      <c r="E82" s="159"/>
      <c r="F82" s="159"/>
      <c r="G82" s="159"/>
      <c r="H82" s="160"/>
      <c r="I82" s="57">
        <f t="shared" si="1"/>
        <v>0</v>
      </c>
      <c r="J82" s="62"/>
      <c r="K82" s="56"/>
      <c r="L82" s="159"/>
      <c r="M82" s="82" t="str">
        <f>HYPERLINK("https://github.com/magdy-hasan/competitive-programming/blob/master/uva-/uva%20757%20-%20Gone%20Fishing.cpp","Sol to read")</f>
        <v>Sol to read</v>
      </c>
    </row>
    <row r="83" spans="1:13" ht="23.4" customHeight="1">
      <c r="A83" s="114" t="s">
        <v>772</v>
      </c>
      <c r="B83" s="115" t="str">
        <f>HYPERLINK("http://codeforces.com/contest/199/problem/B","CF199-D2-B")</f>
        <v>CF199-D2-B</v>
      </c>
      <c r="C83" s="159"/>
      <c r="D83" s="555" t="s">
        <v>10948</v>
      </c>
      <c r="E83" s="159"/>
      <c r="F83" s="159"/>
      <c r="G83" s="159"/>
      <c r="H83" s="160"/>
      <c r="I83" s="57">
        <f t="shared" si="1"/>
        <v>0</v>
      </c>
      <c r="J83" s="62"/>
      <c r="K83" s="56"/>
      <c r="L83" s="159"/>
      <c r="M83" s="127"/>
    </row>
    <row r="84" spans="1:13" ht="25.2" customHeight="1">
      <c r="A84" s="114" t="s">
        <v>773</v>
      </c>
      <c r="B84" s="173" t="str">
        <f>HYPERLINK("https://uva.onlinejudge.org/index.php?option=onlinejudge&amp;page=show_problem&amp;problem=1242","UVA 10301")</f>
        <v>UVA 10301</v>
      </c>
      <c r="C84" s="159"/>
      <c r="D84" s="555" t="s">
        <v>10948</v>
      </c>
      <c r="E84" s="159"/>
      <c r="F84" s="159"/>
      <c r="G84" s="159"/>
      <c r="H84" s="160"/>
      <c r="I84" s="57">
        <f t="shared" si="1"/>
        <v>0</v>
      </c>
      <c r="J84" s="62"/>
      <c r="K84" s="56"/>
      <c r="L84" s="159"/>
      <c r="M84" s="210" t="str">
        <f>HYPERLINK("https://github.com/MeGaCrazy/CompetitiveProgramming/blob/51252e18803855ed2eacedc50f53b90fe8d184e6/UVA/UVA_10301.cpp","Sol")</f>
        <v>Sol</v>
      </c>
    </row>
    <row r="85" spans="1:13" ht="27" customHeight="1">
      <c r="A85" s="127"/>
      <c r="B85" s="127"/>
      <c r="C85" s="159"/>
      <c r="D85" s="555" t="s">
        <v>10948</v>
      </c>
      <c r="E85" s="159"/>
      <c r="F85" s="159"/>
      <c r="G85" s="159"/>
      <c r="H85" s="160"/>
      <c r="I85" s="57">
        <f t="shared" si="1"/>
        <v>0</v>
      </c>
      <c r="J85" s="62"/>
      <c r="K85" s="56"/>
      <c r="L85" s="159"/>
      <c r="M85" s="556" t="str">
        <f>HYPERLINK("https://www.youtube.com/watch?v=lE09Ss_Sy0A","Watch - DP - Counting")</f>
        <v>Watch - DP - Counting</v>
      </c>
    </row>
    <row r="86" spans="1:13" ht="16.2" customHeight="1">
      <c r="A86" s="122" t="s">
        <v>774</v>
      </c>
      <c r="B86" s="182" t="str">
        <f>HYPERLINK("http://codeforces.com/contest/431/problem/C","CF431-D2-C")</f>
        <v>CF431-D2-C</v>
      </c>
      <c r="C86" s="159"/>
      <c r="D86" s="555" t="s">
        <v>10948</v>
      </c>
      <c r="E86" s="159"/>
      <c r="F86" s="159"/>
      <c r="G86" s="159"/>
      <c r="H86" s="160"/>
      <c r="I86" s="57">
        <f t="shared" si="1"/>
        <v>0</v>
      </c>
      <c r="J86" s="62"/>
      <c r="K86" s="56"/>
      <c r="L86" s="29"/>
      <c r="M86" s="82" t="str">
        <f>HYPERLINK("https://www.youtube.com/watch?v=M7UEOmsCxuQ","Video Solution - Solver to be (Java)")</f>
        <v>Video Solution - Solver to be (Java)</v>
      </c>
    </row>
    <row r="87" spans="1:13" ht="18.600000000000001" customHeight="1">
      <c r="A87" s="247" t="s">
        <v>775</v>
      </c>
      <c r="B87" s="248" t="str">
        <f>HYPERLINK("http://codeforces.com/contest/118/problem/D","CF118-D2-D")</f>
        <v>CF118-D2-D</v>
      </c>
      <c r="C87" s="159"/>
      <c r="D87" s="555" t="s">
        <v>10948</v>
      </c>
      <c r="E87" s="159"/>
      <c r="F87" s="159"/>
      <c r="G87" s="159"/>
      <c r="H87" s="160"/>
      <c r="I87" s="57">
        <f t="shared" si="1"/>
        <v>0</v>
      </c>
      <c r="J87" s="62"/>
      <c r="K87" s="56"/>
      <c r="L87" s="159"/>
      <c r="M87" s="249"/>
    </row>
    <row r="88" spans="1:13" ht="20.399999999999999" customHeight="1">
      <c r="A88" s="250" t="str">
        <f>HYPERLINK("https://community.topcoder.com/stat?c=problem_statement&amp;pm=4471&amp;rd=10711","UnsealTheSafe")</f>
        <v>UnsealTheSafe</v>
      </c>
      <c r="B88" s="251" t="s">
        <v>776</v>
      </c>
      <c r="C88" s="159"/>
      <c r="D88" s="555" t="s">
        <v>10948</v>
      </c>
      <c r="E88" s="159"/>
      <c r="F88" s="159"/>
      <c r="G88" s="159"/>
      <c r="H88" s="160"/>
      <c r="I88" s="57">
        <f t="shared" si="1"/>
        <v>0</v>
      </c>
      <c r="J88" s="62"/>
      <c r="K88" s="56"/>
      <c r="L88" s="159"/>
      <c r="M88" s="249"/>
    </row>
    <row r="89" spans="1:13" ht="21" customHeight="1">
      <c r="A89" s="182" t="str">
        <f>HYPERLINK("https://community.topcoder.com/stat?c=problem_statement&amp;pm=7601&amp;rd=10673","DiceGames")</f>
        <v>DiceGames</v>
      </c>
      <c r="B89" s="122" t="s">
        <v>777</v>
      </c>
      <c r="C89" s="159"/>
      <c r="D89" s="555" t="s">
        <v>10948</v>
      </c>
      <c r="E89" s="159"/>
      <c r="F89" s="159"/>
      <c r="G89" s="159"/>
      <c r="H89" s="160"/>
      <c r="I89" s="57">
        <f t="shared" si="1"/>
        <v>0</v>
      </c>
      <c r="J89" s="93"/>
      <c r="K89" s="92"/>
      <c r="L89" s="29"/>
      <c r="M89" s="26"/>
    </row>
    <row r="90" spans="1:13" ht="24" customHeight="1">
      <c r="A90" s="171"/>
      <c r="B90" s="114" t="s">
        <v>778</v>
      </c>
      <c r="C90" s="159"/>
      <c r="D90" s="555" t="s">
        <v>10948</v>
      </c>
      <c r="E90" s="159"/>
      <c r="F90" s="159"/>
      <c r="G90" s="159"/>
      <c r="H90" s="160"/>
      <c r="I90" s="57">
        <f t="shared" si="1"/>
        <v>0</v>
      </c>
      <c r="J90" s="62"/>
      <c r="K90" s="56"/>
      <c r="L90" s="159"/>
      <c r="M90" s="210" t="str">
        <f>HYPERLINK("https://github.com/mostafa-saad/MyCompetitiveProgramming/blob/master/SPOJ/SPOJ_TWINSNOW.txt","Sol - text clarification")</f>
        <v>Sol - text clarification</v>
      </c>
    </row>
    <row r="91" spans="1:13" ht="17.399999999999999" customHeight="1">
      <c r="A91" s="171"/>
      <c r="B91" s="114" t="s">
        <v>779</v>
      </c>
      <c r="C91" s="159"/>
      <c r="D91" s="555" t="s">
        <v>10948</v>
      </c>
      <c r="E91" s="159"/>
      <c r="F91" s="159"/>
      <c r="G91" s="159"/>
      <c r="H91" s="160"/>
      <c r="I91" s="57">
        <f t="shared" si="1"/>
        <v>0</v>
      </c>
      <c r="J91" s="62"/>
      <c r="K91" s="56"/>
      <c r="L91" s="159"/>
      <c r="M91" s="210" t="str">
        <f>HYPERLINK("https://github.com/mostafa-saad/MyCompetitiveProgramming/blob/master/SPOJ/SPOJ_FACENEMY.txt","Sol")</f>
        <v>Sol</v>
      </c>
    </row>
    <row r="92" spans="1:13" ht="13.2">
      <c r="A92" s="127"/>
      <c r="B92" s="127"/>
      <c r="C92" s="159"/>
      <c r="D92" s="159"/>
      <c r="E92" s="159"/>
      <c r="F92" s="159"/>
      <c r="G92" s="159"/>
      <c r="H92" s="160"/>
      <c r="I92" s="57">
        <f t="shared" si="1"/>
        <v>0</v>
      </c>
      <c r="J92" s="62"/>
      <c r="K92" s="56"/>
      <c r="L92" s="159"/>
      <c r="M92" s="249"/>
    </row>
    <row r="93" spans="1:13" ht="14.4">
      <c r="A93" s="86" t="s">
        <v>780</v>
      </c>
      <c r="B93" s="128" t="str">
        <f>HYPERLINK("http://codeforces.com/contest/465/problem/C","CF465-D2-C")</f>
        <v>CF465-D2-C</v>
      </c>
      <c r="C93" s="458"/>
      <c r="D93" s="159"/>
      <c r="E93" s="159"/>
      <c r="F93" s="159"/>
      <c r="G93" s="159"/>
      <c r="H93" s="160"/>
      <c r="I93" s="57">
        <f t="shared" si="1"/>
        <v>0</v>
      </c>
      <c r="J93" s="93"/>
      <c r="K93" s="92"/>
      <c r="L93" s="29"/>
      <c r="M93" s="29"/>
    </row>
    <row r="94" spans="1:13" ht="14.4">
      <c r="A94" s="86" t="s">
        <v>781</v>
      </c>
      <c r="B94" s="128" t="str">
        <f>HYPERLINK("http://codeforces.com/contest/408/problem/C","CF408-D2-C")</f>
        <v>CF408-D2-C</v>
      </c>
      <c r="C94" s="484"/>
      <c r="D94" s="159"/>
      <c r="E94" s="159"/>
      <c r="F94" s="159"/>
      <c r="G94" s="159"/>
      <c r="H94" s="160"/>
      <c r="I94" s="57">
        <f t="shared" si="1"/>
        <v>0</v>
      </c>
      <c r="J94" s="93"/>
      <c r="K94" s="92"/>
      <c r="L94" s="29"/>
      <c r="M94" s="29"/>
    </row>
    <row r="95" spans="1:13" ht="14.4">
      <c r="A95" s="86" t="s">
        <v>782</v>
      </c>
      <c r="B95" s="128" t="str">
        <f>HYPERLINK("http://codeforces.com/contest/231/problem/C","CF231-D2-C")</f>
        <v>CF231-D2-C</v>
      </c>
      <c r="C95" s="484"/>
      <c r="D95" s="159"/>
      <c r="E95" s="159"/>
      <c r="F95" s="159"/>
      <c r="G95" s="159"/>
      <c r="H95" s="160"/>
      <c r="I95" s="57">
        <f t="shared" si="1"/>
        <v>0</v>
      </c>
      <c r="J95" s="93"/>
      <c r="K95" s="92"/>
      <c r="L95" s="29"/>
      <c r="M95" s="29"/>
    </row>
    <row r="96" spans="1:13" ht="14.4">
      <c r="A96" s="83" t="s">
        <v>783</v>
      </c>
      <c r="B96" s="252" t="str">
        <f>HYPERLINK("http://codeforces.com/contest/466/problem/C","CF466-D2-C")</f>
        <v>CF466-D2-C</v>
      </c>
      <c r="C96" s="484"/>
      <c r="D96" s="159"/>
      <c r="E96" s="159"/>
      <c r="F96" s="159"/>
      <c r="G96" s="159"/>
      <c r="H96" s="160"/>
      <c r="I96" s="57">
        <f t="shared" si="1"/>
        <v>0</v>
      </c>
      <c r="J96" s="62"/>
      <c r="K96" s="56"/>
      <c r="L96" s="159"/>
      <c r="M96" s="82" t="str">
        <f>HYPERLINK("https://www.youtube.com/watch?v=8G06-YDc2-I","Video Solution - Solver to be (Java)")</f>
        <v>Video Solution - Solver to be (Java)</v>
      </c>
    </row>
    <row r="97" spans="1:13" ht="14.4">
      <c r="A97" s="166" t="s">
        <v>638</v>
      </c>
      <c r="B97" s="210" t="str">
        <f>HYPERLINK("http://codeforces.com/contest/141/problem/C","CF141-D2-C")</f>
        <v>CF141-D2-C</v>
      </c>
      <c r="C97" s="458"/>
      <c r="D97" s="159"/>
      <c r="E97" s="159"/>
      <c r="F97" s="159"/>
      <c r="G97" s="159"/>
      <c r="H97" s="160"/>
      <c r="I97" s="57">
        <f t="shared" si="1"/>
        <v>0</v>
      </c>
      <c r="J97" s="62"/>
      <c r="K97" s="56"/>
      <c r="L97" s="159"/>
      <c r="M97" s="127"/>
    </row>
    <row r="98" spans="1:13" ht="14.4">
      <c r="A98" s="166" t="s">
        <v>784</v>
      </c>
      <c r="B98" s="210" t="str">
        <f>HYPERLINK("http://codeforces.com/contest/270/problem/C","CF270-D2-C")</f>
        <v>CF270-D2-C</v>
      </c>
      <c r="C98" s="484"/>
      <c r="D98" s="159"/>
      <c r="E98" s="159"/>
      <c r="F98" s="159"/>
      <c r="G98" s="159"/>
      <c r="H98" s="160"/>
      <c r="I98" s="57">
        <f t="shared" si="1"/>
        <v>0</v>
      </c>
      <c r="J98" s="62"/>
      <c r="K98" s="56"/>
      <c r="L98" s="159"/>
      <c r="M98" s="86"/>
    </row>
    <row r="99" spans="1:13" ht="14.4">
      <c r="A99" s="166" t="s">
        <v>785</v>
      </c>
      <c r="B99" s="210" t="str">
        <f>HYPERLINK("http://codeforces.com/contest/160/problem/C","CF160-D2-C")</f>
        <v>CF160-D2-C</v>
      </c>
      <c r="C99" s="484"/>
      <c r="D99" s="159"/>
      <c r="E99" s="159"/>
      <c r="F99" s="159"/>
      <c r="G99" s="159"/>
      <c r="H99" s="160"/>
      <c r="I99" s="57">
        <f t="shared" si="1"/>
        <v>0</v>
      </c>
      <c r="J99" s="62"/>
      <c r="K99" s="56"/>
      <c r="L99" s="159"/>
      <c r="M99" s="127"/>
    </row>
    <row r="100" spans="1:13" ht="13.2">
      <c r="A100" s="214" t="s">
        <v>786</v>
      </c>
      <c r="B100" s="28" t="str">
        <f>HYPERLINK("http://codeforces.com/contest/384/problem/B","CF384-D2-B")</f>
        <v>CF384-D2-B</v>
      </c>
      <c r="C100" s="159"/>
      <c r="D100" s="159"/>
      <c r="E100" s="159"/>
      <c r="F100" s="159"/>
      <c r="G100" s="159"/>
      <c r="H100" s="160"/>
      <c r="I100" s="57">
        <f t="shared" si="1"/>
        <v>0</v>
      </c>
      <c r="J100" s="62"/>
      <c r="K100" s="56"/>
      <c r="L100" s="159"/>
      <c r="M100" s="127"/>
    </row>
    <row r="101" spans="1:13" ht="13.2">
      <c r="A101" s="214" t="s">
        <v>787</v>
      </c>
      <c r="B101" s="28" t="str">
        <f>HYPERLINK("http://codeforces.com/contest/233/problem/B","CF233-D2-B")</f>
        <v>CF233-D2-B</v>
      </c>
      <c r="C101" s="159"/>
      <c r="D101" s="159"/>
      <c r="E101" s="159"/>
      <c r="F101" s="159"/>
      <c r="G101" s="159"/>
      <c r="H101" s="160"/>
      <c r="I101" s="57">
        <f t="shared" si="1"/>
        <v>0</v>
      </c>
      <c r="J101" s="62"/>
      <c r="K101" s="56"/>
      <c r="L101" s="159"/>
      <c r="M101" s="127"/>
    </row>
    <row r="102" spans="1:13" ht="13.2">
      <c r="A102" s="127"/>
      <c r="B102" s="127"/>
      <c r="C102" s="159"/>
      <c r="D102" s="159"/>
      <c r="E102" s="159"/>
      <c r="F102" s="159"/>
      <c r="G102" s="159"/>
      <c r="H102" s="160"/>
      <c r="I102" s="57">
        <f t="shared" si="1"/>
        <v>0</v>
      </c>
      <c r="J102" s="62"/>
      <c r="K102" s="56"/>
      <c r="L102" s="159"/>
      <c r="M102" s="165" t="str">
        <f>HYPERLINK("https://www.youtube.com/watch?v=f_lt366qTZc","Watch - Thinking - Let's Put All Together ")</f>
        <v xml:space="preserve">Watch - Thinking - Let's Put All Together </v>
      </c>
    </row>
    <row r="103" spans="1:13" ht="13.2">
      <c r="A103" s="127"/>
      <c r="B103" s="127"/>
      <c r="C103" s="159"/>
      <c r="D103" s="159"/>
      <c r="E103" s="159"/>
      <c r="F103" s="159"/>
      <c r="G103" s="159"/>
      <c r="H103" s="160"/>
      <c r="I103" s="57">
        <f t="shared" si="1"/>
        <v>0</v>
      </c>
      <c r="J103" s="62"/>
      <c r="K103" s="56"/>
      <c r="L103" s="159"/>
      <c r="M103" s="165" t="str">
        <f>HYPERLINK("https://www.youtube.com/watch?v=PrXbn8-zw14","Watch - DP - Table Method")</f>
        <v>Watch - DP - Table Method</v>
      </c>
    </row>
    <row r="104" spans="1:13" ht="13.2">
      <c r="A104" s="127"/>
      <c r="B104" s="127"/>
      <c r="C104" s="159"/>
      <c r="D104" s="159"/>
      <c r="E104" s="159"/>
      <c r="F104" s="159"/>
      <c r="G104" s="159"/>
      <c r="H104" s="160"/>
      <c r="I104" s="57">
        <f t="shared" si="1"/>
        <v>0</v>
      </c>
      <c r="J104" s="62"/>
      <c r="K104" s="56"/>
      <c r="L104" s="159"/>
      <c r="M104" s="165" t="str">
        <f>HYPERLINK("https://www.youtube.com/watch?v=ZIJLCVn4KzQ","Watch - Graph Theory - Floyd Warshal")</f>
        <v>Watch - Graph Theory - Floyd Warshal</v>
      </c>
    </row>
    <row r="105" spans="1:13" ht="14.4">
      <c r="A105" s="122" t="s">
        <v>788</v>
      </c>
      <c r="B105" s="223" t="str">
        <f>HYPERLINK("https://uva.onlinejudge.org/index.php?option=com_onlinejudge&amp;Itemid=8&amp;page=show_problem&amp;problem=475","UVA 534")</f>
        <v>UVA 534</v>
      </c>
      <c r="C105" s="159"/>
      <c r="D105" s="458"/>
      <c r="E105" s="159"/>
      <c r="F105" s="159"/>
      <c r="G105" s="159"/>
      <c r="H105" s="160"/>
      <c r="I105" s="57">
        <f t="shared" si="1"/>
        <v>0</v>
      </c>
      <c r="J105" s="62"/>
      <c r="K105" s="56"/>
      <c r="L105" s="159"/>
      <c r="M105" s="210" t="str">
        <f>HYPERLINK("https://github.com/ilyesG/Competitive-Programming/blob/master/UVA/UVA%20534.cpp","Sol")</f>
        <v>Sol</v>
      </c>
    </row>
    <row r="106" spans="1:13" ht="10.199999999999999" customHeight="1">
      <c r="A106" s="122" t="s">
        <v>789</v>
      </c>
      <c r="B106" s="223" t="str">
        <f>HYPERLINK("https://uva.onlinejudge.org/index.php?option=com_onlinejudge&amp;Itemid=8&amp;page=show_problem&amp;problem=270","UVA 334")</f>
        <v>UVA 334</v>
      </c>
      <c r="C106" s="159"/>
      <c r="D106" s="159" t="s">
        <v>10948</v>
      </c>
      <c r="E106" s="159"/>
      <c r="F106" s="159"/>
      <c r="G106" s="159"/>
      <c r="H106" s="160"/>
      <c r="I106" s="57">
        <f t="shared" si="1"/>
        <v>0</v>
      </c>
      <c r="J106" s="62"/>
      <c r="K106" s="56"/>
      <c r="L106" s="159"/>
      <c r="M106" s="63"/>
    </row>
    <row r="107" spans="1:13" ht="15.6" customHeight="1">
      <c r="A107" s="122" t="s">
        <v>790</v>
      </c>
      <c r="B107" s="223" t="str">
        <f>HYPERLINK("https://uva.onlinejudge.org/index.php?option=onlinejudge&amp;page=show_problem&amp;problem=61","UVA 125")</f>
        <v>UVA 125</v>
      </c>
      <c r="C107" s="159"/>
      <c r="D107" s="159" t="s">
        <v>10948</v>
      </c>
      <c r="E107" s="159"/>
      <c r="F107" s="159"/>
      <c r="G107" s="159"/>
      <c r="H107" s="160"/>
      <c r="I107" s="57">
        <f t="shared" si="1"/>
        <v>0</v>
      </c>
      <c r="J107" s="62"/>
      <c r="K107" s="56"/>
      <c r="L107" s="159"/>
      <c r="M107" s="210" t="str">
        <f>HYPERLINK("https://github.com/mostafa-saad/MyCompetitiveProgramming/blob/master/UVA/UVA_125.txt","Sol")</f>
        <v>Sol</v>
      </c>
    </row>
    <row r="108" spans="1:13" ht="13.8" customHeight="1">
      <c r="A108" s="170" t="s">
        <v>791</v>
      </c>
      <c r="B108" s="253" t="str">
        <f>HYPERLINK("https://uva.onlinejudge.org/index.php?option=com_onlinejudge&amp;Itemid=8&amp;page=show_problem&amp;problem=209","UVA 273")</f>
        <v>UVA 273</v>
      </c>
      <c r="C108" s="159"/>
      <c r="D108" s="484" t="s">
        <v>14415</v>
      </c>
      <c r="E108" s="159"/>
      <c r="F108" s="159"/>
      <c r="G108" s="159"/>
      <c r="H108" s="160"/>
      <c r="I108" s="57">
        <f t="shared" si="1"/>
        <v>0</v>
      </c>
      <c r="J108" s="93"/>
      <c r="K108" s="92"/>
      <c r="L108" s="29"/>
      <c r="M108" s="210" t="str">
        <f>HYPERLINK("https://github.com/MeGaCrazy/CompetitiveProgramming/blob/6c8e6d79950bbe406f56e3b990159810fcca7431/UVA/UVA_273.cpp","Sol")</f>
        <v>Sol</v>
      </c>
    </row>
    <row r="109" spans="1:13" ht="12" customHeight="1">
      <c r="A109" s="170" t="s">
        <v>792</v>
      </c>
      <c r="B109" s="171" t="str">
        <f>HYPERLINK("https://uva.onlinejudge.org/index.php?option=onlinejudge&amp;page=show_problem&amp;problem=1041","UVA 10100")</f>
        <v>UVA 10100</v>
      </c>
      <c r="C109" s="159"/>
      <c r="D109" s="159" t="s">
        <v>10948</v>
      </c>
      <c r="E109" s="159"/>
      <c r="F109" s="159"/>
      <c r="G109" s="159"/>
      <c r="H109" s="160"/>
      <c r="I109" s="57">
        <f t="shared" si="1"/>
        <v>0</v>
      </c>
      <c r="J109" s="62"/>
      <c r="K109" s="56"/>
      <c r="L109" s="159"/>
      <c r="M109" s="225" t="s">
        <v>614</v>
      </c>
    </row>
    <row r="110" spans="1:13" ht="18.600000000000001" customHeight="1">
      <c r="A110" s="170" t="s">
        <v>793</v>
      </c>
      <c r="B110" s="171" t="str">
        <f>HYPERLINK("https://uva.onlinejudge.org/index.php?option=com_onlinejudge&amp;Itemid=8&amp;page=show_problem&amp;problem=2318","UVA 11343")</f>
        <v>UVA 11343</v>
      </c>
      <c r="C110" s="159"/>
      <c r="D110" s="484" t="s">
        <v>14416</v>
      </c>
      <c r="E110" s="159"/>
      <c r="F110" s="159"/>
      <c r="G110" s="159"/>
      <c r="H110" s="160"/>
      <c r="I110" s="57">
        <f t="shared" si="1"/>
        <v>0</v>
      </c>
      <c r="J110" s="62"/>
      <c r="K110" s="56"/>
      <c r="L110" s="159"/>
      <c r="M110" s="210" t="str">
        <f>HYPERLINK("https://github.com/hosamk92/CompetitiveProgramming/blob/master/UVA/UVA%2011343.cpp","Sol")</f>
        <v>Sol</v>
      </c>
    </row>
    <row r="111" spans="1:13" ht="15" customHeight="1">
      <c r="A111" s="170" t="s">
        <v>794</v>
      </c>
      <c r="B111" s="171" t="str">
        <f>HYPERLINK("https://uva.onlinejudge.org/index.php?option=com_onlinejudge&amp;Itemid=8&amp;page=show_problem&amp;problem=1139","UVA 10198")</f>
        <v>UVA 10198</v>
      </c>
      <c r="C111" s="159"/>
      <c r="D111" s="484" t="s">
        <v>1300</v>
      </c>
      <c r="E111" s="159"/>
      <c r="F111" s="159"/>
      <c r="G111" s="159"/>
      <c r="H111" s="160"/>
      <c r="I111" s="57">
        <f t="shared" si="1"/>
        <v>0</v>
      </c>
      <c r="J111" s="62"/>
      <c r="K111" s="56"/>
      <c r="L111" s="159"/>
      <c r="M111" s="254"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3.2">
      <c r="A112" s="127"/>
      <c r="B112" s="127"/>
      <c r="C112" s="159"/>
      <c r="D112" s="159"/>
      <c r="E112" s="159"/>
      <c r="F112" s="159"/>
      <c r="G112" s="159"/>
      <c r="H112" s="160"/>
      <c r="I112" s="57">
        <f t="shared" si="1"/>
        <v>0</v>
      </c>
      <c r="J112" s="62"/>
      <c r="K112" s="56"/>
      <c r="L112" s="159"/>
      <c r="M112" s="127"/>
    </row>
    <row r="113" spans="1:13" ht="14.4">
      <c r="A113" s="86" t="s">
        <v>795</v>
      </c>
      <c r="B113" s="128" t="str">
        <f>HYPERLINK("http://codeforces.com/contest/349/problem/C","CF349-D2-C")</f>
        <v>CF349-D2-C</v>
      </c>
      <c r="C113" s="458"/>
      <c r="D113" s="159"/>
      <c r="E113" s="159"/>
      <c r="F113" s="159"/>
      <c r="G113" s="159"/>
      <c r="H113" s="160"/>
      <c r="I113" s="57">
        <f t="shared" si="1"/>
        <v>0</v>
      </c>
      <c r="J113" s="93"/>
      <c r="K113" s="92"/>
      <c r="L113" s="29"/>
      <c r="M113" s="26"/>
    </row>
    <row r="114" spans="1:13" ht="13.2">
      <c r="A114" s="86" t="s">
        <v>796</v>
      </c>
      <c r="B114" s="128" t="str">
        <f>HYPERLINK("http://codeforces.com/contest/381/problem/C","CF381-D2-C")</f>
        <v>CF381-D2-C</v>
      </c>
      <c r="C114" s="159"/>
      <c r="D114" s="159"/>
      <c r="E114" s="159"/>
      <c r="F114" s="159"/>
      <c r="G114" s="159"/>
      <c r="H114" s="160"/>
      <c r="I114" s="57">
        <f t="shared" si="1"/>
        <v>0</v>
      </c>
      <c r="J114" s="93"/>
      <c r="K114" s="92"/>
      <c r="L114" s="29"/>
      <c r="M114" s="26"/>
    </row>
    <row r="115" spans="1:13" ht="14.4">
      <c r="A115" s="86" t="s">
        <v>797</v>
      </c>
      <c r="B115" s="128" t="str">
        <f>HYPERLINK("http://codeforces.com/contest/199/problem/C","CF199-D2-C")</f>
        <v>CF199-D2-C</v>
      </c>
      <c r="C115" s="484"/>
      <c r="D115" s="159"/>
      <c r="E115" s="159"/>
      <c r="F115" s="159"/>
      <c r="G115" s="159"/>
      <c r="H115" s="160"/>
      <c r="I115" s="57">
        <f t="shared" si="1"/>
        <v>0</v>
      </c>
      <c r="J115" s="93"/>
      <c r="K115" s="92"/>
      <c r="L115" s="29"/>
      <c r="M115" s="26"/>
    </row>
    <row r="116" spans="1:13" ht="14.4">
      <c r="A116" s="86" t="s">
        <v>798</v>
      </c>
      <c r="B116" s="128" t="str">
        <f>HYPERLINK("http://codeforces.com/contest/520/problem/C","CF520-D2-C")</f>
        <v>CF520-D2-C</v>
      </c>
      <c r="C116" s="484"/>
      <c r="D116" s="159"/>
      <c r="E116" s="159"/>
      <c r="F116" s="159"/>
      <c r="G116" s="159"/>
      <c r="H116" s="160"/>
      <c r="I116" s="57">
        <f t="shared" si="1"/>
        <v>0</v>
      </c>
      <c r="J116" s="93"/>
      <c r="K116" s="92"/>
      <c r="L116" s="29"/>
      <c r="M116" s="26"/>
    </row>
    <row r="117" spans="1:13" ht="14.4">
      <c r="A117" s="86" t="s">
        <v>799</v>
      </c>
      <c r="B117" s="128" t="str">
        <f>HYPERLINK("http://codeforces.com/contest/567/problem/C","CF567-D2-C")</f>
        <v>CF567-D2-C</v>
      </c>
      <c r="C117" s="159"/>
      <c r="D117" s="458"/>
      <c r="E117" s="159"/>
      <c r="F117" s="159"/>
      <c r="G117" s="159"/>
      <c r="H117" s="160"/>
      <c r="I117" s="57">
        <f t="shared" si="1"/>
        <v>0</v>
      </c>
      <c r="J117" s="93"/>
      <c r="K117" s="92"/>
      <c r="L117" s="29"/>
      <c r="M117" s="26"/>
    </row>
    <row r="118" spans="1:13" ht="14.4">
      <c r="A118" s="166" t="s">
        <v>800</v>
      </c>
      <c r="B118" s="210" t="str">
        <f>HYPERLINK("http://codeforces.com/contest/617/problem/C","CF617-D2-C")</f>
        <v>CF617-D2-C</v>
      </c>
      <c r="C118" s="484"/>
      <c r="D118" s="484"/>
      <c r="E118" s="159"/>
      <c r="F118" s="159"/>
      <c r="G118" s="159"/>
      <c r="H118" s="160"/>
      <c r="I118" s="57">
        <f t="shared" si="1"/>
        <v>0</v>
      </c>
      <c r="J118" s="62"/>
      <c r="K118" s="56"/>
      <c r="L118" s="159"/>
      <c r="M118" s="127"/>
    </row>
    <row r="119" spans="1:13" ht="14.4">
      <c r="A119" s="166" t="s">
        <v>801</v>
      </c>
      <c r="B119" s="210" t="str">
        <f>HYPERLINK("http://codeforces.com/contest/337/problem/C","CF337-D2-C")</f>
        <v>CF337-D2-C</v>
      </c>
      <c r="C119" s="484"/>
      <c r="D119" s="484"/>
      <c r="E119" s="159"/>
      <c r="F119" s="159"/>
      <c r="G119" s="159"/>
      <c r="H119" s="160"/>
      <c r="I119" s="57">
        <f t="shared" si="1"/>
        <v>0</v>
      </c>
      <c r="J119" s="62"/>
      <c r="K119" s="56"/>
      <c r="L119" s="159"/>
      <c r="M119" s="127"/>
    </row>
    <row r="120" spans="1:13" ht="13.2">
      <c r="A120" s="214" t="s">
        <v>802</v>
      </c>
      <c r="B120" s="28" t="str">
        <f>HYPERLINK("http://codeforces.com/contest/496/problem/B","CF496-D2-B")</f>
        <v>CF496-D2-B</v>
      </c>
      <c r="C120" s="159"/>
      <c r="D120" s="159"/>
      <c r="E120" s="159"/>
      <c r="F120" s="159"/>
      <c r="G120" s="159"/>
      <c r="H120" s="160"/>
      <c r="I120" s="57">
        <f t="shared" si="1"/>
        <v>0</v>
      </c>
      <c r="J120" s="62"/>
      <c r="K120" s="56"/>
      <c r="L120" s="159"/>
      <c r="M120" s="127"/>
    </row>
    <row r="121" spans="1:13" ht="13.2">
      <c r="A121" s="214" t="s">
        <v>803</v>
      </c>
      <c r="B121" s="28" t="str">
        <f>HYPERLINK("http://codeforces.com/contest/471/problem/B","CF471-D2-B")</f>
        <v>CF471-D2-B</v>
      </c>
      <c r="C121" s="159"/>
      <c r="D121" s="159"/>
      <c r="E121" s="159"/>
      <c r="F121" s="159"/>
      <c r="G121" s="159"/>
      <c r="H121" s="160"/>
      <c r="I121" s="57">
        <f t="shared" si="1"/>
        <v>0</v>
      </c>
      <c r="J121" s="62"/>
      <c r="K121" s="56"/>
      <c r="L121" s="159"/>
      <c r="M121" s="127"/>
    </row>
    <row r="122" spans="1:13" ht="13.2">
      <c r="A122" s="214" t="s">
        <v>804</v>
      </c>
      <c r="B122" s="28" t="str">
        <f>HYPERLINK("http://codeforces.com/contest/146/problem/B","CF146-D2-B")</f>
        <v>CF146-D2-B</v>
      </c>
      <c r="C122" s="159"/>
      <c r="D122" s="159"/>
      <c r="E122" s="159"/>
      <c r="F122" s="159"/>
      <c r="G122" s="159"/>
      <c r="H122" s="160"/>
      <c r="I122" s="57">
        <f t="shared" si="1"/>
        <v>0</v>
      </c>
      <c r="J122" s="62"/>
      <c r="K122" s="56"/>
      <c r="L122" s="159"/>
      <c r="M122" s="127"/>
    </row>
    <row r="123" spans="1:13" ht="13.2">
      <c r="A123" s="166"/>
      <c r="B123" s="63"/>
      <c r="C123" s="159"/>
      <c r="D123" s="159"/>
      <c r="E123" s="159"/>
      <c r="F123" s="159"/>
      <c r="G123" s="159"/>
      <c r="H123" s="160"/>
      <c r="I123" s="57">
        <f t="shared" si="1"/>
        <v>0</v>
      </c>
      <c r="J123" s="62"/>
      <c r="K123" s="56"/>
      <c r="L123" s="159"/>
      <c r="M123" s="127"/>
    </row>
    <row r="124" spans="1:13" ht="13.2">
      <c r="A124" s="63"/>
      <c r="B124" s="63"/>
      <c r="C124" s="159"/>
      <c r="D124" s="159"/>
      <c r="E124" s="159"/>
      <c r="F124" s="159"/>
      <c r="G124" s="159"/>
      <c r="H124" s="160"/>
      <c r="I124" s="57">
        <f t="shared" si="1"/>
        <v>0</v>
      </c>
      <c r="J124" s="62"/>
      <c r="K124" s="56"/>
      <c r="L124" s="159"/>
      <c r="M124" s="165" t="str">
        <f>HYPERLINK("https://www.youtube.com/watch?v=ZNYQrKpR42g","Watch - Measuring Algorithms Perfromance - 2")</f>
        <v>Watch - Measuring Algorithms Perfromance - 2</v>
      </c>
    </row>
    <row r="125" spans="1:13" ht="13.2">
      <c r="A125" s="63"/>
      <c r="B125" s="63"/>
      <c r="C125" s="159"/>
      <c r="D125" s="159"/>
      <c r="E125" s="159"/>
      <c r="F125" s="159"/>
      <c r="G125" s="159"/>
      <c r="H125" s="160"/>
      <c r="I125" s="57">
        <f t="shared" si="1"/>
        <v>0</v>
      </c>
      <c r="J125" s="62"/>
      <c r="K125" s="56"/>
      <c r="L125" s="159"/>
      <c r="M125" s="175" t="str">
        <f>HYPERLINK("https://www.youtube.com/watch?v=RASvnfG2SSE","Watch - Graph Theory - Tree Diameter and Isomorphism")</f>
        <v>Watch - Graph Theory - Tree Diameter and Isomorphism</v>
      </c>
    </row>
    <row r="126" spans="1:13" ht="13.2">
      <c r="A126" s="122" t="s">
        <v>805</v>
      </c>
      <c r="B126" s="182" t="str">
        <f>HYPERLINK("http://www.spoj.com/problems/PT07Z/","SPOJ PT07Z")</f>
        <v>SPOJ PT07Z</v>
      </c>
      <c r="C126" s="159" t="s">
        <v>14417</v>
      </c>
      <c r="D126" s="159"/>
      <c r="E126" s="159"/>
      <c r="F126" s="159"/>
      <c r="G126" s="159"/>
      <c r="H126" s="160"/>
      <c r="I126" s="57">
        <f t="shared" si="1"/>
        <v>0</v>
      </c>
      <c r="J126" s="62"/>
      <c r="K126" s="56"/>
      <c r="L126" s="159"/>
      <c r="M126" s="210" t="str">
        <f>HYPERLINK("https://github.com/abdullaAshraf/Problem-Solving/blob/master/SPOJ/PT07Z.cpp","Sol")</f>
        <v>Sol</v>
      </c>
    </row>
    <row r="127" spans="1:13" ht="13.2">
      <c r="A127" s="122" t="s">
        <v>806</v>
      </c>
      <c r="B127" s="182" t="str">
        <f>HYPERLINK("https://uva.onlinejudge.org/index.php?option=com_onlinejudge&amp;Itemid=8&amp;page=show_problem&amp;problem=1249","UVA 10308")</f>
        <v>UVA 10308</v>
      </c>
      <c r="C127" s="159" t="s">
        <v>10948</v>
      </c>
      <c r="D127" s="159"/>
      <c r="E127" s="159"/>
      <c r="F127" s="159"/>
      <c r="G127" s="159"/>
      <c r="H127" s="160"/>
      <c r="I127" s="57">
        <f t="shared" si="1"/>
        <v>0</v>
      </c>
      <c r="J127" s="62"/>
      <c r="K127" s="56"/>
      <c r="L127" s="159"/>
      <c r="M127" s="210" t="str">
        <f>HYPERLINK("https://github.com/ilyesG/Competitive-Programming/blob/master/UVA/UVA%2010308.cpp","Sol")</f>
        <v>Sol</v>
      </c>
    </row>
    <row r="128" spans="1:13" ht="13.2">
      <c r="A128" s="124" t="s">
        <v>807</v>
      </c>
      <c r="B128" s="216" t="str">
        <f>HYPERLINK("https://icpcarchive.ecs.baylor.edu/index.php?option=com_onlinejudge&amp;Itemid=8&amp;page=show_problem&amp;problem=936","LIVEARCHIVE 2935")</f>
        <v>LIVEARCHIVE 2935</v>
      </c>
      <c r="C128" s="159" t="s">
        <v>10948</v>
      </c>
      <c r="D128" s="159"/>
      <c r="E128" s="159"/>
      <c r="F128" s="159"/>
      <c r="G128" s="159"/>
      <c r="H128" s="160"/>
      <c r="I128" s="57">
        <f t="shared" si="1"/>
        <v>0</v>
      </c>
      <c r="J128" s="62"/>
      <c r="K128" s="56"/>
      <c r="L128" s="159"/>
      <c r="M128" s="210" t="str">
        <f>HYPERLINK("https://github.com/mostafa-saad/MyCompetitiveProgramming/blob/master/LiveArchive/LiveArchive_2935.txt","Sol")</f>
        <v>Sol</v>
      </c>
    </row>
    <row r="129" spans="1:13" ht="13.2">
      <c r="A129" s="166"/>
      <c r="B129" s="63"/>
      <c r="C129" s="159"/>
      <c r="D129" s="159"/>
      <c r="E129" s="159"/>
      <c r="F129" s="159"/>
      <c r="G129" s="159"/>
      <c r="H129" s="160"/>
      <c r="I129" s="57">
        <f t="shared" si="1"/>
        <v>0</v>
      </c>
      <c r="J129" s="62"/>
      <c r="K129" s="56"/>
      <c r="L129" s="159"/>
      <c r="M129" s="127"/>
    </row>
    <row r="130" spans="1:13" ht="14.4">
      <c r="A130" s="86" t="s">
        <v>808</v>
      </c>
      <c r="B130" s="128" t="str">
        <f>HYPERLINK("http://codeforces.com/contest/294/problem/C","CF294-D2-C")</f>
        <v>CF294-D2-C</v>
      </c>
      <c r="C130" s="458" t="s">
        <v>14314</v>
      </c>
      <c r="D130" s="159"/>
      <c r="E130" s="159"/>
      <c r="F130" s="159"/>
      <c r="G130" s="159"/>
      <c r="H130" s="160"/>
      <c r="I130" s="57">
        <f t="shared" si="1"/>
        <v>0</v>
      </c>
      <c r="J130" s="26"/>
      <c r="K130" s="29"/>
      <c r="L130" s="29"/>
      <c r="M130" s="128" t="str">
        <f>HYPERLINK("https://www.youtube.com/watch?v=xB6St1GAKUg","Video Solution - Dr Mostafa Saad")</f>
        <v>Video Solution - Dr Mostafa Saad</v>
      </c>
    </row>
    <row r="131" spans="1:13" ht="13.2">
      <c r="A131" s="166" t="s">
        <v>809</v>
      </c>
      <c r="B131" s="210" t="str">
        <f>HYPERLINK("http://codeforces.com/contest/721/problem/C","CF721-D2-C")</f>
        <v>CF721-D2-C</v>
      </c>
      <c r="C131" s="159"/>
      <c r="D131" s="159"/>
      <c r="E131" s="159"/>
      <c r="F131" s="159"/>
      <c r="G131" s="159"/>
      <c r="H131" s="160"/>
      <c r="I131" s="57">
        <f t="shared" si="1"/>
        <v>0</v>
      </c>
      <c r="J131" s="62"/>
      <c r="K131" s="56"/>
      <c r="L131" s="159"/>
      <c r="M131" s="127"/>
    </row>
    <row r="132" spans="1:13" ht="13.2">
      <c r="A132" s="86" t="s">
        <v>810</v>
      </c>
      <c r="B132" s="128" t="str">
        <f>HYPERLINK("http://codeforces.com/contest/474/problem/C","CF474-D2-C")</f>
        <v>CF474-D2-C</v>
      </c>
      <c r="C132" s="159"/>
      <c r="D132" s="159"/>
      <c r="E132" s="159"/>
      <c r="F132" s="159"/>
      <c r="G132" s="159"/>
      <c r="H132" s="160"/>
      <c r="I132" s="57">
        <f t="shared" si="1"/>
        <v>0</v>
      </c>
      <c r="J132" s="62"/>
      <c r="K132" s="56"/>
      <c r="L132" s="29"/>
      <c r="M132" s="82" t="str">
        <f>HYPERLINK("https://www.youtube.com/watch?v=TpRObCQT9Lw","Video Solution - Dr Mostafa Saad")</f>
        <v>Video Solution - Dr Mostafa Saad</v>
      </c>
    </row>
    <row r="133" spans="1:13" ht="14.4">
      <c r="A133" s="86" t="s">
        <v>811</v>
      </c>
      <c r="B133" s="239" t="str">
        <f>HYPERLINK("http://codeforces.com/contest/592/problem/C","CF592-D2-C")</f>
        <v>CF592-D2-C</v>
      </c>
      <c r="C133" s="484"/>
      <c r="D133" s="159"/>
      <c r="E133" s="159"/>
      <c r="F133" s="159"/>
      <c r="G133" s="159"/>
      <c r="H133" s="160"/>
      <c r="I133" s="57">
        <f t="shared" si="1"/>
        <v>0</v>
      </c>
      <c r="J133" s="93"/>
      <c r="K133" s="92"/>
      <c r="L133" s="29"/>
      <c r="M133" s="29"/>
    </row>
    <row r="134" spans="1:13" ht="14.4">
      <c r="A134" s="86" t="s">
        <v>812</v>
      </c>
      <c r="B134" s="239" t="str">
        <f>HYPERLINK("http://codeforces.com/contest/776/problem/C","CF776-D2-C")</f>
        <v>CF776-D2-C</v>
      </c>
      <c r="C134" s="484"/>
      <c r="D134" s="159"/>
      <c r="E134" s="159"/>
      <c r="F134" s="159"/>
      <c r="G134" s="159"/>
      <c r="H134" s="160"/>
      <c r="I134" s="57">
        <f t="shared" si="1"/>
        <v>0</v>
      </c>
      <c r="J134" s="93"/>
      <c r="K134" s="92"/>
      <c r="L134" s="29"/>
      <c r="M134" s="104" t="str">
        <f>HYPERLINK("https://www.youtube.com/watch?v=5roeMaM3T3Y","Video Solution - Solver to be (Java)")</f>
        <v>Video Solution - Solver to be (Java)</v>
      </c>
    </row>
    <row r="135" spans="1:13" ht="13.2">
      <c r="A135" s="214" t="s">
        <v>813</v>
      </c>
      <c r="B135" s="243" t="str">
        <f>HYPERLINK("http://codeforces.com/contest/719/problem/B","CF719-D2-B")</f>
        <v>CF719-D2-B</v>
      </c>
      <c r="C135" s="159"/>
      <c r="D135" s="159"/>
      <c r="E135" s="159"/>
      <c r="F135" s="159"/>
      <c r="G135" s="159"/>
      <c r="H135" s="160"/>
      <c r="I135" s="57">
        <f t="shared" si="1"/>
        <v>0</v>
      </c>
      <c r="J135" s="93"/>
      <c r="K135" s="92"/>
      <c r="L135" s="29"/>
      <c r="M135" s="104"/>
    </row>
    <row r="136" spans="1:13" ht="13.2">
      <c r="A136" s="214" t="s">
        <v>814</v>
      </c>
      <c r="B136" s="243" t="str">
        <f>HYPERLINK("http://codeforces.com/contest/131/problem/B","CF131-D2-B")</f>
        <v>CF131-D2-B</v>
      </c>
      <c r="C136" s="159"/>
      <c r="D136" s="159"/>
      <c r="E136" s="159"/>
      <c r="F136" s="159"/>
      <c r="G136" s="159"/>
      <c r="H136" s="160"/>
      <c r="I136" s="57">
        <f t="shared" si="1"/>
        <v>0</v>
      </c>
      <c r="J136" s="93"/>
      <c r="K136" s="92"/>
      <c r="L136" s="29"/>
      <c r="M136" s="104"/>
    </row>
    <row r="137" spans="1:13" ht="13.2">
      <c r="A137" s="127"/>
      <c r="B137" s="127"/>
      <c r="C137" s="159"/>
      <c r="D137" s="159"/>
      <c r="E137" s="159"/>
      <c r="F137" s="159"/>
      <c r="G137" s="159"/>
      <c r="H137" s="160"/>
      <c r="I137" s="57">
        <f t="shared" si="1"/>
        <v>0</v>
      </c>
      <c r="J137" s="62"/>
      <c r="K137" s="56"/>
      <c r="L137" s="159"/>
      <c r="M137" s="127"/>
    </row>
    <row r="138" spans="1:13" ht="13.2">
      <c r="A138" s="170" t="s">
        <v>815</v>
      </c>
      <c r="B138" s="171" t="str">
        <f>HYPERLINK("https://uva.onlinejudge.org/index.php?option=onlinejudge&amp;page=show_problem&amp;problem=1204","UVA 10263")</f>
        <v>UVA 10263</v>
      </c>
      <c r="C138" s="159"/>
      <c r="D138" s="159"/>
      <c r="E138" s="159"/>
      <c r="F138" s="159"/>
      <c r="G138" s="159"/>
      <c r="H138" s="160"/>
      <c r="I138" s="57">
        <f t="shared" si="1"/>
        <v>0</v>
      </c>
      <c r="J138" s="62"/>
      <c r="K138" s="56"/>
      <c r="L138" s="159"/>
      <c r="M138" s="82" t="str">
        <f>HYPERLINK("https://github.com/MohamedNabil97/CompetitiveProgramming/blob/master/UVA/10263.cpp","Sol")</f>
        <v>Sol</v>
      </c>
    </row>
    <row r="139" spans="1:13" ht="13.2">
      <c r="A139" s="170" t="s">
        <v>816</v>
      </c>
      <c r="B139" s="171" t="str">
        <f>HYPERLINK("https://uva.onlinejudge.org/index.php?option=com_onlinejudge&amp;Itemid=8&amp;page=show_problem&amp;problem=825","UVA 884")</f>
        <v>UVA 884</v>
      </c>
      <c r="C139" s="159"/>
      <c r="D139" s="159"/>
      <c r="E139" s="159"/>
      <c r="F139" s="159"/>
      <c r="G139" s="159"/>
      <c r="H139" s="160"/>
      <c r="I139" s="57">
        <f t="shared" si="1"/>
        <v>0</v>
      </c>
      <c r="J139" s="62"/>
      <c r="K139" s="56"/>
      <c r="L139" s="159"/>
      <c r="M139" s="127"/>
    </row>
    <row r="140" spans="1:13" ht="13.2">
      <c r="A140" s="170" t="s">
        <v>817</v>
      </c>
      <c r="B140" s="255" t="str">
        <f>HYPERLINK("https://uva.onlinejudge.org/index.php?option=onlinejudge&amp;page=show_problem&amp;problem=4601","UVA 12748")</f>
        <v>UVA 12748</v>
      </c>
      <c r="C140" s="159"/>
      <c r="D140" s="159"/>
      <c r="E140" s="159"/>
      <c r="F140" s="159"/>
      <c r="G140" s="159"/>
      <c r="H140" s="160"/>
      <c r="I140" s="57">
        <f t="shared" si="1"/>
        <v>0</v>
      </c>
      <c r="J140" s="62"/>
      <c r="K140" s="56"/>
      <c r="L140" s="159"/>
      <c r="M140" s="210" t="str">
        <f>HYPERLINK("https://github.com/MeGaCrazy/CompetitiveProgramming/blob/29ebad1d90e70a17ac4e646e5f049b980fb777de/UVA/UVA_12748.cpp","Sol")</f>
        <v>Sol</v>
      </c>
    </row>
    <row r="141" spans="1:13" ht="13.2">
      <c r="A141" s="114" t="s">
        <v>818</v>
      </c>
      <c r="B141" s="173" t="str">
        <f>HYPERLINK("https://uva.onlinejudge.org/index.php?option=com_onlinejudge&amp;Itemid=8&amp;page=show_problem&amp;problem=206","UVA 270")</f>
        <v>UVA 270</v>
      </c>
      <c r="C141" s="159"/>
      <c r="D141" s="159"/>
      <c r="E141" s="159"/>
      <c r="F141" s="159"/>
      <c r="G141" s="159"/>
      <c r="H141" s="160"/>
      <c r="I141" s="57">
        <f t="shared" si="1"/>
        <v>0</v>
      </c>
      <c r="J141" s="62"/>
      <c r="K141" s="56"/>
      <c r="L141" s="159"/>
      <c r="M141" s="256" t="str">
        <f>HYPERLINK("https://www.youtube.com/watch?v=EbB6g4GuNrQ","Video Solution - Eng Mohamed Nasser. Don't Code O(N^3)")</f>
        <v>Video Solution - Eng Mohamed Nasser. Don't Code O(N^3)</v>
      </c>
    </row>
    <row r="142" spans="1:13" ht="13.2">
      <c r="A142" s="114" t="s">
        <v>819</v>
      </c>
      <c r="B142" s="115" t="str">
        <f>HYPERLINK("http://www.spoj.com/problems/POUR1/","SPOJ POUR1")</f>
        <v>SPOJ POUR1</v>
      </c>
      <c r="C142" s="159"/>
      <c r="D142" s="159"/>
      <c r="E142" s="159"/>
      <c r="F142" s="159"/>
      <c r="G142" s="159"/>
      <c r="H142" s="160"/>
      <c r="I142" s="57">
        <f t="shared" si="1"/>
        <v>0</v>
      </c>
      <c r="J142" s="93"/>
      <c r="K142" s="92"/>
      <c r="L142" s="29"/>
      <c r="M142" s="169" t="str">
        <f>HYPERLINK("https://www.youtube.com/watch?v=dMacXPeTyak&amp;feature=youtu.be","Video Solution - Eng Moaz Rashad")</f>
        <v>Video Solution - Eng Moaz Rashad</v>
      </c>
    </row>
    <row r="143" spans="1:13" ht="13.2">
      <c r="A143" s="114"/>
      <c r="B143" s="115" t="str">
        <f>HYPERLINK("http://codeforces.com/contest/23/problem/C","CF23-D12-C")</f>
        <v>CF23-D12-C</v>
      </c>
      <c r="C143" s="159"/>
      <c r="D143" s="159"/>
      <c r="E143" s="159"/>
      <c r="F143" s="159"/>
      <c r="G143" s="159"/>
      <c r="H143" s="160"/>
      <c r="I143" s="57">
        <f t="shared" si="1"/>
        <v>0</v>
      </c>
      <c r="J143" s="93"/>
      <c r="K143" s="92"/>
      <c r="L143" s="29"/>
      <c r="M143" s="169"/>
    </row>
    <row r="144" spans="1:13" ht="13.2">
      <c r="A144" s="114"/>
      <c r="B144" s="115" t="str">
        <f>HYPERLINK("http://codeforces.com/problemset/problem/869/C","CF869-D2-C")</f>
        <v>CF869-D2-C</v>
      </c>
      <c r="C144" s="159"/>
      <c r="D144" s="159"/>
      <c r="E144" s="159"/>
      <c r="F144" s="159"/>
      <c r="G144" s="159"/>
      <c r="H144" s="160"/>
      <c r="I144" s="57">
        <f t="shared" si="1"/>
        <v>0</v>
      </c>
      <c r="J144" s="93"/>
      <c r="K144" s="92"/>
      <c r="L144" s="29"/>
      <c r="M144" s="169"/>
    </row>
    <row r="145" spans="1:13" ht="13.2">
      <c r="A145" s="114"/>
      <c r="B145" s="114" t="s">
        <v>820</v>
      </c>
      <c r="C145" s="159"/>
      <c r="D145" s="159"/>
      <c r="E145" s="159"/>
      <c r="F145" s="159"/>
      <c r="G145" s="159"/>
      <c r="H145" s="160"/>
      <c r="I145" s="57">
        <f t="shared" si="1"/>
        <v>0</v>
      </c>
      <c r="J145" s="93"/>
      <c r="K145" s="92"/>
      <c r="L145" s="29"/>
      <c r="M145" s="166" t="s">
        <v>821</v>
      </c>
    </row>
    <row r="146" spans="1:13" ht="13.2">
      <c r="A146" s="127"/>
      <c r="B146" s="127"/>
      <c r="C146" s="159"/>
      <c r="D146" s="159"/>
      <c r="E146" s="159"/>
      <c r="F146" s="159"/>
      <c r="G146" s="159"/>
      <c r="H146" s="160"/>
      <c r="I146" s="57">
        <f t="shared" si="1"/>
        <v>0</v>
      </c>
      <c r="J146" s="62"/>
      <c r="K146" s="56"/>
      <c r="L146" s="159"/>
    </row>
    <row r="147" spans="1:13" ht="13.2">
      <c r="A147" s="127"/>
      <c r="B147" s="127"/>
      <c r="C147" s="159"/>
      <c r="D147" s="159"/>
      <c r="E147" s="159"/>
      <c r="F147" s="159"/>
      <c r="G147" s="159"/>
      <c r="H147" s="160"/>
      <c r="I147" s="57">
        <f t="shared" si="1"/>
        <v>0</v>
      </c>
      <c r="J147" s="62"/>
      <c r="K147" s="56"/>
      <c r="L147" s="159"/>
      <c r="M147" s="175" t="str">
        <f>HYPERLINK("https://www.youtube.com/watch?v=j__Kredt7vY","Watch Video - Expected Value")</f>
        <v>Watch Video - Expected Value</v>
      </c>
    </row>
    <row r="148" spans="1:13" ht="13.2">
      <c r="A148" s="124" t="s">
        <v>822</v>
      </c>
      <c r="B148" s="235" t="str">
        <f>HYPERLINK("https://uva.onlinejudge.org/index.php?option=com_onlinejudge&amp;Itemid=8&amp;page=show_problem&amp;problem=1718","UVA 10777")</f>
        <v>UVA 10777</v>
      </c>
      <c r="C148" s="159"/>
      <c r="D148" s="159"/>
      <c r="E148" s="159"/>
      <c r="F148" s="159"/>
      <c r="G148" s="159"/>
      <c r="H148" s="160"/>
      <c r="I148" s="57">
        <f t="shared" si="1"/>
        <v>0</v>
      </c>
      <c r="J148" s="62"/>
      <c r="K148" s="56"/>
      <c r="L148" s="159"/>
      <c r="M148" s="210" t="str">
        <f>HYPERLINK("https://github.com/ilyesG/Competitive-Programming/blob/master/UVA/UVA%2010777.cpp","Sol")</f>
        <v>Sol</v>
      </c>
    </row>
    <row r="149" spans="1:13" ht="13.2">
      <c r="A149" s="124"/>
      <c r="B149" s="235" t="str">
        <f>HYPERLINK("http://codeforces.com/contest/839/problem/C","CF839-D2-C")</f>
        <v>CF839-D2-C</v>
      </c>
      <c r="C149" s="159"/>
      <c r="D149" s="159"/>
      <c r="E149" s="159"/>
      <c r="F149" s="159"/>
      <c r="G149" s="159"/>
      <c r="H149" s="160"/>
      <c r="I149" s="57">
        <f t="shared" si="1"/>
        <v>0</v>
      </c>
      <c r="J149" s="62"/>
      <c r="K149" s="56"/>
      <c r="L149" s="159"/>
      <c r="M149" s="127"/>
    </row>
    <row r="150" spans="1:13" ht="13.2">
      <c r="A150" s="124"/>
      <c r="B150" s="235" t="str">
        <f>HYPERLINK("http://codeforces.com/contest/454/problem/C","CF454-D2-C")</f>
        <v>CF454-D2-C</v>
      </c>
      <c r="C150" s="159"/>
      <c r="D150" s="159"/>
      <c r="E150" s="159"/>
      <c r="F150" s="159"/>
      <c r="G150" s="159"/>
      <c r="H150" s="160"/>
      <c r="I150" s="57">
        <f t="shared" si="1"/>
        <v>0</v>
      </c>
      <c r="J150" s="62"/>
      <c r="K150" s="56"/>
      <c r="L150" s="159"/>
      <c r="M150" s="127"/>
    </row>
    <row r="151" spans="1:13" ht="13.2">
      <c r="A151" s="124"/>
      <c r="B151" s="124" t="s">
        <v>823</v>
      </c>
      <c r="C151" s="159"/>
      <c r="D151" s="159"/>
      <c r="E151" s="159"/>
      <c r="F151" s="159"/>
      <c r="G151" s="159"/>
      <c r="H151" s="160"/>
      <c r="I151" s="57">
        <f t="shared" si="1"/>
        <v>0</v>
      </c>
      <c r="J151" s="62"/>
      <c r="K151" s="56"/>
      <c r="L151" s="159"/>
      <c r="M151" s="246" t="str">
        <f>HYPERLINK("https://apps.topcoder.com/wiki/display/tc/Algorithm+Problem+Set+Analysis","Editorial")</f>
        <v>Editorial</v>
      </c>
    </row>
    <row r="152" spans="1:13" ht="13.2">
      <c r="A152" s="124"/>
      <c r="B152" s="235" t="str">
        <f>HYPERLINK("https://www.hackerrank.com/challenges/lazy-sorting","HACKR lazy-sorting")</f>
        <v>HACKR lazy-sorting</v>
      </c>
      <c r="C152" s="159"/>
      <c r="D152" s="159"/>
      <c r="E152" s="159"/>
      <c r="F152" s="159"/>
      <c r="G152" s="159"/>
      <c r="H152" s="160"/>
      <c r="I152" s="57">
        <f t="shared" si="1"/>
        <v>0</v>
      </c>
      <c r="J152" s="62"/>
      <c r="K152" s="56"/>
      <c r="L152" s="159"/>
      <c r="M152" s="210" t="str">
        <f>HYPERLINK("https://www.youtube.com/watch?v=j__Kredt7vY","Revise Expected Value")</f>
        <v>Revise Expected Value</v>
      </c>
    </row>
    <row r="153" spans="1:13" ht="13.2">
      <c r="A153" s="114"/>
      <c r="B153" s="115" t="str">
        <f>HYPERLINK("http://www.spoj.com/problems/ALIENS/","SPOJ ALIENS")</f>
        <v>SPOJ ALIENS</v>
      </c>
      <c r="C153" s="159"/>
      <c r="D153" s="159"/>
      <c r="E153" s="159"/>
      <c r="F153" s="159"/>
      <c r="G153" s="159"/>
      <c r="H153" s="160"/>
      <c r="I153" s="57">
        <f t="shared" si="1"/>
        <v>0</v>
      </c>
      <c r="J153" s="62"/>
      <c r="K153" s="56"/>
      <c r="L153" s="159"/>
      <c r="M153" s="210" t="str">
        <f>HYPERLINK("https://github.com/mostafa-saad/MyCompetitiveProgramming/blob/master/SPOJ/SPOJ_ALIENS.txt","Sol - Practice on min enclosing circle")</f>
        <v>Sol - Practice on min enclosing circle</v>
      </c>
    </row>
    <row r="154" spans="1:13" ht="13.2">
      <c r="A154" s="114"/>
      <c r="B154" s="115" t="str">
        <f>HYPERLINK("http://codeforces.com/contest/340/problem/B","CF340-D2-B")</f>
        <v>CF340-D2-B</v>
      </c>
      <c r="C154" s="159"/>
      <c r="D154" s="159"/>
      <c r="E154" s="159"/>
      <c r="F154" s="159"/>
      <c r="G154" s="159"/>
      <c r="H154" s="160"/>
      <c r="I154" s="57">
        <f t="shared" si="1"/>
        <v>0</v>
      </c>
      <c r="J154" s="62"/>
      <c r="K154" s="56"/>
      <c r="L154" s="159"/>
      <c r="M154" s="127"/>
    </row>
    <row r="155" spans="1:13" ht="13.2">
      <c r="A155" s="200"/>
      <c r="B155" s="200"/>
      <c r="C155" s="202"/>
      <c r="D155" s="202"/>
      <c r="E155" s="202"/>
      <c r="F155" s="202"/>
      <c r="G155" s="202"/>
      <c r="H155" s="203"/>
      <c r="I155" s="203">
        <f>SUM(E155:G155)</f>
        <v>0</v>
      </c>
      <c r="J155" s="202"/>
      <c r="K155" s="202"/>
      <c r="L155" s="202"/>
      <c r="M155" s="200"/>
    </row>
    <row r="156" spans="1:13" ht="13.2">
      <c r="A156" s="127"/>
      <c r="B156" s="127"/>
      <c r="C156" s="96"/>
      <c r="D156" s="663" t="s">
        <v>263</v>
      </c>
      <c r="E156" s="620"/>
      <c r="F156" s="620"/>
      <c r="G156" s="620"/>
      <c r="H156" s="160"/>
      <c r="I156" s="160">
        <f>SUM(E156:G156)</f>
        <v>0</v>
      </c>
      <c r="J156" s="662" t="s">
        <v>264</v>
      </c>
      <c r="K156" s="620"/>
      <c r="L156" s="620"/>
      <c r="M156" s="620"/>
    </row>
    <row r="157" spans="1:13" ht="13.2">
      <c r="A157" s="200"/>
      <c r="B157" s="200"/>
      <c r="C157" s="202"/>
      <c r="D157" s="202"/>
      <c r="E157" s="202"/>
      <c r="F157" s="202"/>
      <c r="G157" s="202"/>
      <c r="H157" s="203"/>
      <c r="I157" s="203">
        <f>SUM(E157:G157)</f>
        <v>0</v>
      </c>
      <c r="J157" s="202"/>
      <c r="K157" s="202"/>
      <c r="L157" s="202"/>
      <c r="M157" s="200"/>
    </row>
    <row r="158" spans="1:13" ht="14.4">
      <c r="A158" s="166" t="s">
        <v>824</v>
      </c>
      <c r="B158" s="210" t="str">
        <f>HYPERLINK("http://codeforces.com/contest/427/problem/C","CF427-D2-C")</f>
        <v>CF427-D2-C</v>
      </c>
      <c r="C158" s="458" t="s">
        <v>14481</v>
      </c>
      <c r="D158" s="159"/>
      <c r="E158" s="159"/>
      <c r="F158" s="159"/>
      <c r="G158" s="159"/>
      <c r="H158" s="160"/>
      <c r="I158" s="57">
        <f t="shared" ref="I158:I201" si="2">SUM(E158:H158)</f>
        <v>0</v>
      </c>
      <c r="J158" s="62"/>
      <c r="K158" s="56"/>
      <c r="L158" s="159"/>
      <c r="M158" s="127"/>
    </row>
    <row r="159" spans="1:13" ht="13.2">
      <c r="A159" s="166" t="s">
        <v>825</v>
      </c>
      <c r="B159" s="210" t="str">
        <f>HYPERLINK("http://codeforces.com/contest/139/problem/C","CF139-D2-C")</f>
        <v>CF139-D2-C</v>
      </c>
      <c r="C159" s="159"/>
      <c r="D159" s="159"/>
      <c r="E159" s="159"/>
      <c r="F159" s="159"/>
      <c r="G159" s="159"/>
      <c r="H159" s="160"/>
      <c r="I159" s="57">
        <f t="shared" si="2"/>
        <v>0</v>
      </c>
      <c r="J159" s="62"/>
      <c r="K159" s="56"/>
      <c r="L159" s="159"/>
      <c r="M159" s="127"/>
    </row>
    <row r="160" spans="1:13" ht="13.2">
      <c r="A160" s="166" t="s">
        <v>826</v>
      </c>
      <c r="B160" s="210" t="str">
        <f>HYPERLINK("http://codeforces.com/contest/742/problem/C","CF742-D2-C")</f>
        <v>CF742-D2-C</v>
      </c>
      <c r="C160" s="159"/>
      <c r="D160" s="159"/>
      <c r="E160" s="159"/>
      <c r="F160" s="159"/>
      <c r="G160" s="159"/>
      <c r="H160" s="160"/>
      <c r="I160" s="57">
        <f t="shared" si="2"/>
        <v>0</v>
      </c>
      <c r="J160" s="62"/>
      <c r="K160" s="56"/>
      <c r="L160" s="159"/>
      <c r="M160" s="127"/>
    </row>
    <row r="161" spans="1:13" ht="13.2">
      <c r="A161" s="166" t="s">
        <v>827</v>
      </c>
      <c r="B161" s="210" t="str">
        <f>HYPERLINK("http://codeforces.com/contest/298/problem/C","CF298-D2-C")</f>
        <v>CF298-D2-C</v>
      </c>
      <c r="C161" s="159"/>
      <c r="D161" s="159"/>
      <c r="E161" s="159"/>
      <c r="F161" s="159"/>
      <c r="G161" s="159"/>
      <c r="H161" s="160"/>
      <c r="I161" s="57">
        <f t="shared" si="2"/>
        <v>0</v>
      </c>
      <c r="J161" s="62"/>
      <c r="K161" s="56"/>
      <c r="L161" s="159"/>
      <c r="M161" s="127"/>
    </row>
    <row r="162" spans="1:13" ht="13.2">
      <c r="A162" s="166" t="s">
        <v>828</v>
      </c>
      <c r="B162" s="210" t="str">
        <f>HYPERLINK("http://codeforces.com/contest/246/problem/C","CF246-D2-C")</f>
        <v>CF246-D2-C</v>
      </c>
      <c r="C162" s="159"/>
      <c r="D162" s="159"/>
      <c r="E162" s="159"/>
      <c r="F162" s="159"/>
      <c r="G162" s="159"/>
      <c r="H162" s="160"/>
      <c r="I162" s="57">
        <f t="shared" si="2"/>
        <v>0</v>
      </c>
      <c r="J162" s="62"/>
      <c r="K162" s="56"/>
      <c r="L162" s="159"/>
      <c r="M162" s="127"/>
    </row>
    <row r="163" spans="1:13" ht="13.2">
      <c r="A163" s="166" t="s">
        <v>829</v>
      </c>
      <c r="B163" s="210" t="str">
        <f>HYPERLINK("http://codeforces.com/contest/80/problem/C","CF80-D2-C")</f>
        <v>CF80-D2-C</v>
      </c>
      <c r="C163" s="159"/>
      <c r="D163" s="159"/>
      <c r="E163" s="159"/>
      <c r="F163" s="159"/>
      <c r="G163" s="159"/>
      <c r="H163" s="160"/>
      <c r="I163" s="57">
        <f t="shared" si="2"/>
        <v>0</v>
      </c>
      <c r="J163" s="62"/>
      <c r="K163" s="56"/>
      <c r="L163" s="159"/>
      <c r="M163" s="127"/>
    </row>
    <row r="164" spans="1:13" ht="13.2">
      <c r="A164" s="166" t="s">
        <v>830</v>
      </c>
      <c r="B164" s="210" t="str">
        <f>HYPERLINK("http://codeforces.com/contest/192/problem/C","CF192-D2-C")</f>
        <v>CF192-D2-C</v>
      </c>
      <c r="C164" s="159"/>
      <c r="D164" s="159"/>
      <c r="E164" s="159"/>
      <c r="F164" s="159"/>
      <c r="G164" s="159"/>
      <c r="H164" s="160"/>
      <c r="I164" s="57">
        <f t="shared" si="2"/>
        <v>0</v>
      </c>
      <c r="J164" s="62"/>
      <c r="K164" s="56"/>
      <c r="L164" s="159"/>
      <c r="M164" s="127"/>
    </row>
    <row r="165" spans="1:13" ht="13.2">
      <c r="A165" s="166" t="s">
        <v>831</v>
      </c>
      <c r="B165" s="210" t="str">
        <f>HYPERLINK("http://codeforces.com/contest/106/problem/C","CF106-D2-C")</f>
        <v>CF106-D2-C</v>
      </c>
      <c r="C165" s="159"/>
      <c r="D165" s="159"/>
      <c r="E165" s="159"/>
      <c r="F165" s="159"/>
      <c r="G165" s="159"/>
      <c r="H165" s="160"/>
      <c r="I165" s="57">
        <f t="shared" si="2"/>
        <v>0</v>
      </c>
      <c r="J165" s="62"/>
      <c r="K165" s="56"/>
      <c r="L165" s="159"/>
      <c r="M165" s="127"/>
    </row>
    <row r="166" spans="1:13" ht="14.4">
      <c r="A166" s="166" t="s">
        <v>832</v>
      </c>
      <c r="B166" s="210" t="str">
        <f>HYPERLINK("http://codeforces.com/contest/373/problem/C","CF373-D2-C")</f>
        <v>CF373-D2-C</v>
      </c>
      <c r="C166" s="484"/>
      <c r="D166" s="159"/>
      <c r="E166" s="159"/>
      <c r="F166" s="159"/>
      <c r="G166" s="159"/>
      <c r="H166" s="160"/>
      <c r="I166" s="57">
        <f t="shared" si="2"/>
        <v>0</v>
      </c>
      <c r="J166" s="62"/>
      <c r="K166" s="56"/>
      <c r="L166" s="159"/>
      <c r="M166" s="127"/>
    </row>
    <row r="167" spans="1:13" ht="13.2">
      <c r="A167" s="166" t="s">
        <v>833</v>
      </c>
      <c r="B167" s="210" t="str">
        <f>HYPERLINK("http://codeforces.com/contest/56/problem/C","CF56-D2-C")</f>
        <v>CF56-D2-C</v>
      </c>
      <c r="C167" s="159"/>
      <c r="D167" s="159"/>
      <c r="E167" s="159"/>
      <c r="F167" s="159"/>
      <c r="G167" s="159"/>
      <c r="H167" s="160"/>
      <c r="I167" s="57">
        <f t="shared" si="2"/>
        <v>0</v>
      </c>
      <c r="J167" s="62"/>
      <c r="K167" s="56"/>
      <c r="L167" s="159"/>
      <c r="M167" s="127"/>
    </row>
    <row r="168" spans="1:13" ht="14.4">
      <c r="A168" s="86" t="s">
        <v>834</v>
      </c>
      <c r="B168" s="128" t="str">
        <f>HYPERLINK("http://codeforces.com/contest/365/problem/C","CF365-D2-C")</f>
        <v>CF365-D2-C</v>
      </c>
      <c r="C168" s="486"/>
      <c r="D168" s="29"/>
      <c r="E168" s="29"/>
      <c r="F168" s="29"/>
      <c r="G168" s="29"/>
      <c r="H168" s="29"/>
      <c r="I168" s="103">
        <f t="shared" si="2"/>
        <v>0</v>
      </c>
      <c r="J168" s="93"/>
      <c r="K168" s="92"/>
      <c r="L168" s="29"/>
      <c r="M168" s="26"/>
    </row>
    <row r="169" spans="1:13" ht="13.2">
      <c r="A169" s="257" t="s">
        <v>835</v>
      </c>
      <c r="B169" s="258" t="str">
        <f>HYPERLINK("https://uva.onlinejudge.org/index.php?option=com_onlinejudge&amp;Itemid=8&amp;page=show_problem&amp;problem=2733","UVA 11686")</f>
        <v>UVA 11686</v>
      </c>
      <c r="C169" s="29"/>
      <c r="D169" s="29"/>
      <c r="E169" s="29"/>
      <c r="F169" s="29"/>
      <c r="G169" s="29"/>
      <c r="H169" s="29"/>
      <c r="I169" s="160">
        <f t="shared" si="2"/>
        <v>0</v>
      </c>
      <c r="J169" s="26"/>
      <c r="K169" s="29"/>
      <c r="L169" s="29"/>
      <c r="M169" s="128" t="str">
        <f>HYPERLINK("https://github.com/VAMPIER000001/CompetitiveProgramming/blob/master/UVA/V-116/UVA%2011686.Cpp","Sol")</f>
        <v>Sol</v>
      </c>
    </row>
    <row r="170" spans="1:13" ht="13.2">
      <c r="A170" s="166"/>
      <c r="B170" s="63"/>
      <c r="C170" s="159"/>
      <c r="D170" s="159"/>
      <c r="E170" s="159"/>
      <c r="F170" s="159"/>
      <c r="G170" s="159"/>
      <c r="H170" s="160"/>
      <c r="I170" s="57">
        <f t="shared" si="2"/>
        <v>0</v>
      </c>
      <c r="J170" s="62"/>
      <c r="K170" s="56"/>
      <c r="L170" s="159"/>
      <c r="M170" s="127"/>
    </row>
    <row r="171" spans="1:13" ht="13.2">
      <c r="A171" s="166" t="s">
        <v>836</v>
      </c>
      <c r="B171" s="210" t="str">
        <f>HYPERLINK("http://codeforces.com/contest/205/problem/C","CF205-D2-C")</f>
        <v>CF205-D2-C</v>
      </c>
      <c r="C171" s="159"/>
      <c r="D171" s="159"/>
      <c r="E171" s="159"/>
      <c r="F171" s="159"/>
      <c r="G171" s="159"/>
      <c r="H171" s="160"/>
      <c r="I171" s="57">
        <f t="shared" si="2"/>
        <v>0</v>
      </c>
      <c r="J171" s="62"/>
      <c r="K171" s="56"/>
      <c r="L171" s="159"/>
      <c r="M171" s="127"/>
    </row>
    <row r="172" spans="1:13" ht="13.2">
      <c r="A172" s="166" t="s">
        <v>837</v>
      </c>
      <c r="B172" s="210" t="str">
        <f>HYPERLINK("http://codeforces.com/contest/315/problem/C","CF315-D2-C")</f>
        <v>CF315-D2-C</v>
      </c>
      <c r="C172" s="159"/>
      <c r="D172" s="159"/>
      <c r="E172" s="159"/>
      <c r="F172" s="159"/>
      <c r="G172" s="159"/>
      <c r="H172" s="160"/>
      <c r="I172" s="57">
        <f t="shared" si="2"/>
        <v>0</v>
      </c>
      <c r="J172" s="62"/>
      <c r="K172" s="56"/>
      <c r="L172" s="159"/>
      <c r="M172" s="127"/>
    </row>
    <row r="173" spans="1:13" ht="13.2">
      <c r="A173" s="166" t="s">
        <v>838</v>
      </c>
      <c r="B173" s="210" t="str">
        <f>HYPERLINK("http://codeforces.com/contest/355/problem/C","CF355-D2-C")</f>
        <v>CF355-D2-C</v>
      </c>
      <c r="C173" s="159"/>
      <c r="D173" s="159"/>
      <c r="E173" s="159"/>
      <c r="F173" s="159"/>
      <c r="G173" s="159"/>
      <c r="H173" s="160"/>
      <c r="I173" s="57">
        <f t="shared" si="2"/>
        <v>0</v>
      </c>
      <c r="J173" s="62"/>
      <c r="K173" s="56"/>
      <c r="L173" s="159"/>
      <c r="M173" s="127"/>
    </row>
    <row r="174" spans="1:13" ht="13.2">
      <c r="A174" s="166" t="s">
        <v>839</v>
      </c>
      <c r="B174" s="210" t="str">
        <f>HYPERLINK("http://codeforces.com/contest/96/problem/C","CF96-D2-C")</f>
        <v>CF96-D2-C</v>
      </c>
      <c r="C174" s="159"/>
      <c r="D174" s="159"/>
      <c r="E174" s="159"/>
      <c r="F174" s="159"/>
      <c r="G174" s="159"/>
      <c r="H174" s="160"/>
      <c r="I174" s="57">
        <f t="shared" si="2"/>
        <v>0</v>
      </c>
      <c r="J174" s="62"/>
      <c r="K174" s="56"/>
      <c r="L174" s="159"/>
      <c r="M174" s="127"/>
    </row>
    <row r="175" spans="1:13" ht="13.2">
      <c r="A175" s="166" t="s">
        <v>840</v>
      </c>
      <c r="B175" s="210" t="str">
        <f>HYPERLINK("http://codeforces.com/contest/66/problem/C","CF66-D2-C")</f>
        <v>CF66-D2-C</v>
      </c>
      <c r="C175" s="159"/>
      <c r="D175" s="159"/>
      <c r="E175" s="159"/>
      <c r="F175" s="159"/>
      <c r="G175" s="159"/>
      <c r="H175" s="160"/>
      <c r="I175" s="57">
        <f t="shared" si="2"/>
        <v>0</v>
      </c>
      <c r="J175" s="62"/>
      <c r="K175" s="56"/>
      <c r="L175" s="159"/>
      <c r="M175" s="127"/>
    </row>
    <row r="176" spans="1:13" ht="13.2">
      <c r="A176" s="166" t="s">
        <v>841</v>
      </c>
      <c r="B176" s="210" t="str">
        <f>HYPERLINK("http://codeforces.com/contest/554/problem/C","CF554-D2-C")</f>
        <v>CF554-D2-C</v>
      </c>
      <c r="C176" s="159"/>
      <c r="D176" s="159"/>
      <c r="E176" s="159"/>
      <c r="F176" s="159"/>
      <c r="G176" s="159"/>
      <c r="H176" s="160"/>
      <c r="I176" s="57">
        <f t="shared" si="2"/>
        <v>0</v>
      </c>
      <c r="J176" s="62"/>
      <c r="K176" s="56"/>
      <c r="L176" s="159"/>
      <c r="M176" s="127"/>
    </row>
    <row r="177" spans="1:13" ht="13.2">
      <c r="A177" s="166" t="s">
        <v>842</v>
      </c>
      <c r="B177" s="210" t="str">
        <f>HYPERLINK("http://codeforces.com/contest/467/problem/C","CF467-D2-C")</f>
        <v>CF467-D2-C</v>
      </c>
      <c r="C177" s="159"/>
      <c r="D177" s="159"/>
      <c r="E177" s="159"/>
      <c r="F177" s="159"/>
      <c r="G177" s="159"/>
      <c r="H177" s="160"/>
      <c r="I177" s="57">
        <f t="shared" si="2"/>
        <v>0</v>
      </c>
      <c r="J177" s="62"/>
      <c r="K177" s="56"/>
      <c r="L177" s="159"/>
      <c r="M177" s="127"/>
    </row>
    <row r="178" spans="1:13" ht="13.2">
      <c r="A178" s="166" t="s">
        <v>843</v>
      </c>
      <c r="B178" s="210" t="str">
        <f>HYPERLINK("http://codeforces.com/contest/610/problem/C","CF610-D2-C")</f>
        <v>CF610-D2-C</v>
      </c>
      <c r="C178" s="159"/>
      <c r="D178" s="159"/>
      <c r="E178" s="159"/>
      <c r="F178" s="159"/>
      <c r="G178" s="159"/>
      <c r="H178" s="160"/>
      <c r="I178" s="57">
        <f t="shared" si="2"/>
        <v>0</v>
      </c>
      <c r="J178" s="62"/>
      <c r="K178" s="56"/>
      <c r="L178" s="159"/>
      <c r="M178" s="127"/>
    </row>
    <row r="179" spans="1:13" ht="13.2">
      <c r="A179" s="166" t="s">
        <v>844</v>
      </c>
      <c r="B179" s="210" t="str">
        <f>HYPERLINK("http://codeforces.com/contest/734/problem/C","CF734-D2-C")</f>
        <v>CF734-D2-C</v>
      </c>
      <c r="C179" s="159"/>
      <c r="D179" s="159"/>
      <c r="E179" s="159"/>
      <c r="F179" s="159"/>
      <c r="G179" s="159"/>
      <c r="H179" s="160"/>
      <c r="I179" s="57">
        <f t="shared" si="2"/>
        <v>0</v>
      </c>
      <c r="J179" s="62"/>
      <c r="K179" s="56"/>
      <c r="L179" s="159"/>
      <c r="M179" s="127"/>
    </row>
    <row r="180" spans="1:13" ht="13.2">
      <c r="A180" s="166" t="s">
        <v>845</v>
      </c>
      <c r="B180" s="210" t="str">
        <f>HYPERLINK("http://codeforces.com/contest/478/problem/C","CF478-D2-C")</f>
        <v>CF478-D2-C</v>
      </c>
      <c r="C180" s="159"/>
      <c r="D180" s="159"/>
      <c r="E180" s="159"/>
      <c r="F180" s="159"/>
      <c r="G180" s="159"/>
      <c r="H180" s="160"/>
      <c r="I180" s="57">
        <f t="shared" si="2"/>
        <v>0</v>
      </c>
      <c r="J180" s="62"/>
      <c r="K180" s="56"/>
      <c r="L180" s="159"/>
      <c r="M180" s="127"/>
    </row>
    <row r="181" spans="1:13" ht="13.2">
      <c r="A181" s="86" t="s">
        <v>846</v>
      </c>
      <c r="B181" s="128" t="str">
        <f>HYPERLINK("http://codeforces.com/contest/672/problem/C","CF672-D2-C")</f>
        <v>CF672-D2-C</v>
      </c>
      <c r="C181" s="29"/>
      <c r="D181" s="29"/>
      <c r="E181" s="29"/>
      <c r="F181" s="29"/>
      <c r="G181" s="29"/>
      <c r="H181" s="29"/>
      <c r="I181" s="103">
        <f t="shared" si="2"/>
        <v>0</v>
      </c>
      <c r="J181" s="93"/>
      <c r="K181" s="92"/>
      <c r="L181" s="29"/>
      <c r="M181" s="26"/>
    </row>
    <row r="182" spans="1:13" ht="13.2">
      <c r="A182" s="166"/>
      <c r="B182" s="63"/>
      <c r="C182" s="159"/>
      <c r="D182" s="159"/>
      <c r="E182" s="159"/>
      <c r="F182" s="159"/>
      <c r="G182" s="159"/>
      <c r="H182" s="160"/>
      <c r="I182" s="57">
        <f t="shared" si="2"/>
        <v>0</v>
      </c>
      <c r="J182" s="62"/>
      <c r="K182" s="56"/>
      <c r="L182" s="159"/>
      <c r="M182" s="127"/>
    </row>
    <row r="183" spans="1:13" ht="13.2">
      <c r="A183" s="166" t="s">
        <v>847</v>
      </c>
      <c r="B183" s="210" t="str">
        <f>HYPERLINK("http://codeforces.com/contest/157/problem/C","CF157-D2-C")</f>
        <v>CF157-D2-C</v>
      </c>
      <c r="C183" s="159"/>
      <c r="D183" s="159"/>
      <c r="E183" s="159"/>
      <c r="F183" s="159"/>
      <c r="G183" s="159"/>
      <c r="H183" s="160"/>
      <c r="I183" s="57">
        <f t="shared" si="2"/>
        <v>0</v>
      </c>
      <c r="J183" s="62"/>
      <c r="K183" s="56"/>
      <c r="L183" s="159"/>
      <c r="M183" s="127"/>
    </row>
    <row r="184" spans="1:13" ht="13.2">
      <c r="A184" s="166" t="s">
        <v>848</v>
      </c>
      <c r="B184" s="210" t="str">
        <f>HYPERLINK("http://codeforces.com/contest/596/problem/C","CF596-D2-C")</f>
        <v>CF596-D2-C</v>
      </c>
      <c r="C184" s="159"/>
      <c r="D184" s="159"/>
      <c r="E184" s="159"/>
      <c r="F184" s="159"/>
      <c r="G184" s="159"/>
      <c r="H184" s="160"/>
      <c r="I184" s="57">
        <f t="shared" si="2"/>
        <v>0</v>
      </c>
      <c r="J184" s="62"/>
      <c r="K184" s="56"/>
      <c r="L184" s="159"/>
      <c r="M184" s="127"/>
    </row>
    <row r="185" spans="1:13" ht="13.2">
      <c r="A185" s="166" t="s">
        <v>849</v>
      </c>
      <c r="B185" s="210" t="str">
        <f>HYPERLINK("http://codeforces.com/contest/284/problem/C","CF284-D2-C")</f>
        <v>CF284-D2-C</v>
      </c>
      <c r="C185" s="159"/>
      <c r="D185" s="159"/>
      <c r="E185" s="159"/>
      <c r="F185" s="159"/>
      <c r="G185" s="159"/>
      <c r="H185" s="160"/>
      <c r="I185" s="57">
        <f t="shared" si="2"/>
        <v>0</v>
      </c>
      <c r="J185" s="62"/>
      <c r="K185" s="56"/>
      <c r="L185" s="159"/>
      <c r="M185" s="127"/>
    </row>
    <row r="186" spans="1:13" ht="13.2">
      <c r="A186" s="166" t="s">
        <v>850</v>
      </c>
      <c r="B186" s="210" t="str">
        <f>HYPERLINK("http://codeforces.com/contest/279/problem/C","CF279-D2-C")</f>
        <v>CF279-D2-C</v>
      </c>
      <c r="C186" s="159"/>
      <c r="D186" s="159"/>
      <c r="E186" s="159"/>
      <c r="F186" s="159"/>
      <c r="G186" s="159"/>
      <c r="H186" s="160"/>
      <c r="I186" s="57">
        <f t="shared" si="2"/>
        <v>0</v>
      </c>
      <c r="J186" s="62"/>
      <c r="K186" s="56"/>
      <c r="L186" s="159"/>
      <c r="M186" s="127"/>
    </row>
    <row r="187" spans="1:13" ht="13.2">
      <c r="A187" s="166" t="s">
        <v>851</v>
      </c>
      <c r="B187" s="210" t="str">
        <f>HYPERLINK("http://codeforces.com/contest/239/problem/C","CF239-D2-C")</f>
        <v>CF239-D2-C</v>
      </c>
      <c r="C187" s="159"/>
      <c r="D187" s="159"/>
      <c r="E187" s="159"/>
      <c r="F187" s="159"/>
      <c r="G187" s="159"/>
      <c r="H187" s="160"/>
      <c r="I187" s="57">
        <f t="shared" si="2"/>
        <v>0</v>
      </c>
      <c r="J187" s="62"/>
      <c r="K187" s="56"/>
      <c r="L187" s="159"/>
      <c r="M187" s="127"/>
    </row>
    <row r="188" spans="1:13" ht="13.2">
      <c r="A188" s="166" t="s">
        <v>852</v>
      </c>
      <c r="B188" s="210" t="str">
        <f>HYPERLINK("http://codeforces.com/contest/254/problem/C","CF254-D2-C")</f>
        <v>CF254-D2-C</v>
      </c>
      <c r="C188" s="159"/>
      <c r="D188" s="159"/>
      <c r="E188" s="159"/>
      <c r="F188" s="159"/>
      <c r="G188" s="159"/>
      <c r="H188" s="160"/>
      <c r="I188" s="57">
        <f t="shared" si="2"/>
        <v>0</v>
      </c>
      <c r="J188" s="62"/>
      <c r="K188" s="56"/>
      <c r="L188" s="159"/>
      <c r="M188" s="127"/>
    </row>
    <row r="189" spans="1:13" ht="13.2">
      <c r="A189" s="166" t="s">
        <v>853</v>
      </c>
      <c r="B189" s="210" t="str">
        <f>HYPERLINK("http://codeforces.com/contest/447/problem/C","CF447-D2-C")</f>
        <v>CF447-D2-C</v>
      </c>
      <c r="C189" s="159"/>
      <c r="D189" s="159"/>
      <c r="E189" s="159"/>
      <c r="F189" s="159"/>
      <c r="G189" s="159"/>
      <c r="H189" s="160"/>
      <c r="I189" s="57">
        <f t="shared" si="2"/>
        <v>0</v>
      </c>
      <c r="J189" s="62"/>
      <c r="K189" s="56"/>
      <c r="L189" s="159"/>
      <c r="M189" s="127"/>
    </row>
    <row r="190" spans="1:13" ht="13.2">
      <c r="A190" s="166" t="s">
        <v>854</v>
      </c>
      <c r="B190" s="210" t="str">
        <f>HYPERLINK("http://codeforces.com/contest/445/problem/C","CF445-D2-C")</f>
        <v>CF445-D2-C</v>
      </c>
      <c r="C190" s="159"/>
      <c r="D190" s="159"/>
      <c r="E190" s="159"/>
      <c r="F190" s="159"/>
      <c r="G190" s="159"/>
      <c r="H190" s="160"/>
      <c r="I190" s="57">
        <f t="shared" si="2"/>
        <v>0</v>
      </c>
      <c r="J190" s="62"/>
      <c r="K190" s="56"/>
      <c r="L190" s="159"/>
      <c r="M190" s="127"/>
    </row>
    <row r="191" spans="1:13" ht="13.2">
      <c r="A191" s="166" t="s">
        <v>855</v>
      </c>
      <c r="B191" s="210" t="str">
        <f>HYPERLINK("http://codeforces.com/contest/501/problem/C","CF501-D2-C")</f>
        <v>CF501-D2-C</v>
      </c>
      <c r="C191" s="159"/>
      <c r="D191" s="159"/>
      <c r="E191" s="159"/>
      <c r="F191" s="159"/>
      <c r="G191" s="159"/>
      <c r="H191" s="160"/>
      <c r="I191" s="57">
        <f t="shared" si="2"/>
        <v>0</v>
      </c>
      <c r="J191" s="62"/>
      <c r="K191" s="56"/>
      <c r="L191" s="159"/>
      <c r="M191" s="127"/>
    </row>
    <row r="192" spans="1:13" ht="13.2">
      <c r="A192" s="166" t="s">
        <v>856</v>
      </c>
      <c r="B192" s="210" t="str">
        <f>HYPERLINK("http://codeforces.com/contest/450/problem/C","CF450-D2-C")</f>
        <v>CF450-D2-C</v>
      </c>
      <c r="C192" s="159"/>
      <c r="D192" s="159"/>
      <c r="E192" s="159"/>
      <c r="F192" s="159"/>
      <c r="G192" s="159"/>
      <c r="H192" s="160"/>
      <c r="I192" s="57">
        <f t="shared" si="2"/>
        <v>0</v>
      </c>
      <c r="J192" s="62"/>
      <c r="K192" s="56"/>
      <c r="L192" s="159"/>
      <c r="M192" s="127"/>
    </row>
    <row r="193" spans="1:13" ht="13.2">
      <c r="A193" s="166" t="s">
        <v>857</v>
      </c>
      <c r="B193" s="236" t="str">
        <f>HYPERLINK("http://codeforces.com/contest/670/problem/C","CF670-D2-C")</f>
        <v>CF670-D2-C</v>
      </c>
      <c r="C193" s="29"/>
      <c r="D193" s="29"/>
      <c r="E193" s="29"/>
      <c r="F193" s="29"/>
      <c r="G193" s="29"/>
      <c r="H193" s="29"/>
      <c r="I193" s="103">
        <f t="shared" si="2"/>
        <v>0</v>
      </c>
      <c r="J193" s="93"/>
      <c r="K193" s="92"/>
      <c r="L193" s="29"/>
      <c r="M193" s="26"/>
    </row>
    <row r="194" spans="1:13" ht="13.2">
      <c r="A194" s="166"/>
      <c r="B194" s="63"/>
      <c r="C194" s="159"/>
      <c r="D194" s="159"/>
      <c r="E194" s="159"/>
      <c r="F194" s="159"/>
      <c r="G194" s="159"/>
      <c r="H194" s="160"/>
      <c r="I194" s="57">
        <f t="shared" si="2"/>
        <v>0</v>
      </c>
      <c r="J194" s="62"/>
      <c r="K194" s="56"/>
      <c r="L194" s="159"/>
      <c r="M194" s="127"/>
    </row>
    <row r="195" spans="1:13" ht="13.2">
      <c r="A195" s="166" t="s">
        <v>858</v>
      </c>
      <c r="B195" s="210" t="str">
        <f>HYPERLINK("http://codeforces.com/contest/631/problem/C","CF631-D2-C")</f>
        <v>CF631-D2-C</v>
      </c>
      <c r="C195" s="159"/>
      <c r="D195" s="159"/>
      <c r="E195" s="159"/>
      <c r="F195" s="159"/>
      <c r="G195" s="159"/>
      <c r="H195" s="160"/>
      <c r="I195" s="57">
        <f t="shared" si="2"/>
        <v>0</v>
      </c>
      <c r="J195" s="62"/>
      <c r="K195" s="56"/>
      <c r="L195" s="159"/>
      <c r="M195" s="127"/>
    </row>
    <row r="196" spans="1:13" ht="13.2">
      <c r="A196" s="166" t="s">
        <v>859</v>
      </c>
      <c r="B196" s="210" t="str">
        <f>HYPERLINK("http://codeforces.com/contest/385/problem/C","CF385-D2-C")</f>
        <v>CF385-D2-C</v>
      </c>
      <c r="C196" s="159"/>
      <c r="D196" s="159"/>
      <c r="E196" s="159"/>
      <c r="F196" s="159"/>
      <c r="G196" s="159"/>
      <c r="H196" s="160"/>
      <c r="I196" s="57">
        <f t="shared" si="2"/>
        <v>0</v>
      </c>
      <c r="J196" s="62"/>
      <c r="K196" s="56"/>
      <c r="L196" s="159"/>
      <c r="M196" s="127"/>
    </row>
    <row r="197" spans="1:13" ht="13.2">
      <c r="A197" s="166" t="s">
        <v>860</v>
      </c>
      <c r="B197" s="210" t="str">
        <f>HYPERLINK("http://codeforces.com/contest/90/problem/C","CF90-D2-C")</f>
        <v>CF90-D2-C</v>
      </c>
      <c r="C197" s="159"/>
      <c r="D197" s="159"/>
      <c r="E197" s="159"/>
      <c r="F197" s="159"/>
      <c r="G197" s="159"/>
      <c r="H197" s="160"/>
      <c r="I197" s="57">
        <f t="shared" si="2"/>
        <v>0</v>
      </c>
      <c r="J197" s="62"/>
      <c r="K197" s="56"/>
      <c r="L197" s="159"/>
      <c r="M197" s="127"/>
    </row>
    <row r="198" spans="1:13" ht="13.2">
      <c r="A198" s="166" t="s">
        <v>861</v>
      </c>
      <c r="B198" s="210" t="str">
        <f>HYPERLINK("http://codeforces.com/contest/493/problem/C","CF493-D2-C")</f>
        <v>CF493-D2-C</v>
      </c>
      <c r="C198" s="159"/>
      <c r="D198" s="159"/>
      <c r="E198" s="159"/>
      <c r="F198" s="159"/>
      <c r="G198" s="159"/>
      <c r="H198" s="160"/>
      <c r="I198" s="57">
        <f t="shared" si="2"/>
        <v>0</v>
      </c>
      <c r="J198" s="62"/>
      <c r="K198" s="56"/>
      <c r="L198" s="159"/>
      <c r="M198" s="127"/>
    </row>
    <row r="199" spans="1:13" ht="13.2">
      <c r="A199" s="166" t="s">
        <v>862</v>
      </c>
      <c r="B199" s="210" t="str">
        <f>HYPERLINK("http://codeforces.com/contest/552/problem/C","CF552-D2-C")</f>
        <v>CF552-D2-C</v>
      </c>
      <c r="C199" s="159"/>
      <c r="D199" s="159"/>
      <c r="E199" s="159"/>
      <c r="F199" s="159"/>
      <c r="G199" s="159"/>
      <c r="H199" s="160"/>
      <c r="I199" s="57">
        <f t="shared" si="2"/>
        <v>0</v>
      </c>
      <c r="J199" s="62"/>
      <c r="K199" s="56"/>
      <c r="L199" s="159"/>
      <c r="M199" s="127"/>
    </row>
    <row r="200" spans="1:13" ht="14.4">
      <c r="A200" s="166" t="s">
        <v>863</v>
      </c>
      <c r="B200" s="210" t="str">
        <f>HYPERLINK("http://codeforces.com/contest/459/problem/C","CF459-D2-C")</f>
        <v>CF459-D2-C</v>
      </c>
      <c r="C200" s="484"/>
      <c r="D200" s="159"/>
      <c r="E200" s="159"/>
      <c r="F200" s="159"/>
      <c r="G200" s="159"/>
      <c r="H200" s="160"/>
      <c r="I200" s="57">
        <f t="shared" si="2"/>
        <v>0</v>
      </c>
      <c r="J200" s="62"/>
      <c r="K200" s="56"/>
      <c r="L200" s="159"/>
      <c r="M200" s="127"/>
    </row>
    <row r="201" spans="1:13" ht="14.4">
      <c r="A201" s="86" t="s">
        <v>864</v>
      </c>
      <c r="B201" s="128" t="str">
        <f>HYPERLINK("http://codeforces.com/contest/118/problem/C","CF118-D2-C")</f>
        <v>CF118-D2-C</v>
      </c>
      <c r="C201" s="486"/>
      <c r="D201" s="29"/>
      <c r="E201" s="29"/>
      <c r="F201" s="29"/>
      <c r="G201" s="29"/>
      <c r="H201" s="29"/>
      <c r="I201" s="103">
        <f t="shared" si="2"/>
        <v>0</v>
      </c>
      <c r="J201" s="93"/>
      <c r="K201" s="92"/>
      <c r="L201" s="29"/>
      <c r="M201" s="26"/>
    </row>
  </sheetData>
  <mergeCells count="2">
    <mergeCell ref="D156:G156"/>
    <mergeCell ref="J156:M156"/>
  </mergeCells>
  <conditionalFormatting sqref="K3:K154 K158:K201">
    <cfRule type="cellIs" dxfId="59" priority="1" operator="equal">
      <formula>"No"</formula>
    </cfRule>
  </conditionalFormatting>
  <conditionalFormatting sqref="K3:K154 K158:K201">
    <cfRule type="cellIs" dxfId="58" priority="2" operator="equal">
      <formula>"no"</formula>
    </cfRule>
  </conditionalFormatting>
  <conditionalFormatting sqref="K3:K154 K158:K201">
    <cfRule type="cellIs" dxfId="57" priority="3" operator="equal">
      <formula>"NO"</formula>
    </cfRule>
  </conditionalFormatting>
  <conditionalFormatting sqref="C3:C201">
    <cfRule type="cellIs" dxfId="56" priority="4" operator="equal">
      <formula>"AC"</formula>
    </cfRule>
  </conditionalFormatting>
  <conditionalFormatting sqref="C158:C201 C3:C154">
    <cfRule type="containsText" dxfId="55" priority="5" operator="containsText" text="WA">
      <formula>NOT(ISERROR(SEARCH(("WA"),(C3))))</formula>
    </cfRule>
  </conditionalFormatting>
  <conditionalFormatting sqref="C19:C201">
    <cfRule type="containsText" dxfId="54" priority="6" operator="containsText" text="WA">
      <formula>NOT(ISERROR(SEARCH(("WA"),(C19))))</formula>
    </cfRule>
  </conditionalFormatting>
  <conditionalFormatting sqref="C158:C201 C3:C154">
    <cfRule type="containsText" dxfId="53" priority="7" operator="containsText" text="TLE">
      <formula>NOT(ISERROR(SEARCH(("TLE"),(C3))))</formula>
    </cfRule>
  </conditionalFormatting>
  <conditionalFormatting sqref="C19:C201">
    <cfRule type="containsText" dxfId="52" priority="8" operator="containsText" text="TLE">
      <formula>NOT(ISERROR(SEARCH(("TLE"),(C19))))</formula>
    </cfRule>
  </conditionalFormatting>
  <conditionalFormatting sqref="C158:C201 C3:C154">
    <cfRule type="containsText" dxfId="51" priority="9" operator="containsText" text="RTE">
      <formula>NOT(ISERROR(SEARCH(("RTE"),(C3))))</formula>
    </cfRule>
  </conditionalFormatting>
  <conditionalFormatting sqref="C19:C201">
    <cfRule type="containsText" dxfId="50" priority="10" operator="containsText" text="RTE">
      <formula>NOT(ISERROR(SEARCH(("RTE"),(C19))))</formula>
    </cfRule>
  </conditionalFormatting>
  <conditionalFormatting sqref="C158:C201 C3:C154">
    <cfRule type="containsText" dxfId="49" priority="11" operator="containsText" text="CS">
      <formula>NOT(ISERROR(SEARCH(("CS"),(C3))))</formula>
    </cfRule>
  </conditionalFormatting>
  <conditionalFormatting sqref="C19:C201">
    <cfRule type="containsText" dxfId="48" priority="12" operator="containsText" text="CS">
      <formula>NOT(ISERROR(SEARCH(("CS"),(C19))))</formula>
    </cfRule>
  </conditionalFormatting>
  <hyperlinks>
    <hyperlink ref="M11" r:id="rId1" xr:uid="{00000000-0004-0000-0500-000000000000}"/>
    <hyperlink ref="M36" r:id="rId2" xr:uid="{00000000-0004-0000-0500-000001000000}"/>
    <hyperlink ref="B58" r:id="rId3" xr:uid="{00000000-0004-0000-0500-000002000000}"/>
    <hyperlink ref="B65" r:id="rId4" xr:uid="{00000000-0004-0000-0500-000003000000}"/>
    <hyperlink ref="M109" r:id="rId5" xr:uid="{00000000-0004-0000-0500-000004000000}"/>
    <hyperlink ref="N9" r:id="rId6" location=":~:text=A%20double%20type%20variable%20is%20a%2064%2Dbit%20floating%20data%20type&amp;text=C%2C%20C%2B%2B%2C%20C%23%20and%20many,and%20after%20the%20decimal%20point." xr:uid="{83F1C5FD-3C6E-4618-AA4F-6D72B93CD52D}"/>
  </hyperlinks>
  <pageMargins left="0.7" right="0.7" top="0.75" bottom="0.75" header="0.3" footer="0.3"/>
  <pageSetup orientation="portrait" r:id="rId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tint="0.39997558519241921"/>
    <outlinePr summaryBelow="0" summaryRight="0"/>
  </sheetPr>
  <dimension ref="A1:M231"/>
  <sheetViews>
    <sheetView zoomScale="83" zoomScaleNormal="70" workbookViewId="0">
      <pane xSplit="2" ySplit="2" topLeftCell="C225" activePane="bottomRight" state="frozen"/>
      <selection pane="topRight" activeCell="C1" sqref="C1"/>
      <selection pane="bottomLeft" activeCell="A3" sqref="A3"/>
      <selection pane="bottomRight" activeCell="E192" sqref="E192"/>
    </sheetView>
  </sheetViews>
  <sheetFormatPr defaultColWidth="17.33203125" defaultRowHeight="15.75" customHeight="1"/>
  <cols>
    <col min="1" max="1" width="16.88671875" customWidth="1"/>
    <col min="2" max="2" width="36.44140625" customWidth="1"/>
    <col min="3" max="3" width="0.21875" customWidth="1"/>
    <col min="4" max="4" width="0.44140625" customWidth="1"/>
    <col min="5" max="5" width="79.77734375" customWidth="1"/>
    <col min="6" max="6" width="8.6640625" customWidth="1"/>
    <col min="7" max="7" width="10" customWidth="1"/>
    <col min="8" max="9" width="8.5546875" customWidth="1"/>
    <col min="10" max="12" width="10" customWidth="1"/>
    <col min="13" max="13" width="70.44140625" customWidth="1"/>
  </cols>
  <sheetData>
    <row r="1" spans="1:13" ht="63" customHeight="1">
      <c r="A1" s="156" t="s">
        <v>135</v>
      </c>
      <c r="B1" s="43" t="s">
        <v>136</v>
      </c>
      <c r="C1" s="44" t="s">
        <v>137</v>
      </c>
      <c r="D1" s="45" t="s">
        <v>138</v>
      </c>
      <c r="E1" s="566" t="s">
        <v>139</v>
      </c>
      <c r="F1" s="44" t="s">
        <v>140</v>
      </c>
      <c r="G1" s="45" t="s">
        <v>141</v>
      </c>
      <c r="H1" s="45" t="s">
        <v>142</v>
      </c>
      <c r="I1" s="45" t="s">
        <v>143</v>
      </c>
      <c r="J1" s="44" t="s">
        <v>144</v>
      </c>
      <c r="K1" s="44" t="s">
        <v>145</v>
      </c>
      <c r="L1" s="44" t="s">
        <v>146</v>
      </c>
      <c r="M1" s="46" t="s">
        <v>147</v>
      </c>
    </row>
    <row r="2" spans="1:13" ht="13.2">
      <c r="A2" s="157"/>
      <c r="B2" s="158" t="s">
        <v>148</v>
      </c>
      <c r="C2" s="49">
        <f>COUNTIF(C24:C10546, "AC")</f>
        <v>0</v>
      </c>
      <c r="D2" s="50" t="e">
        <f ca="1">ROUND(SUMPRODUCT(D24:D10546,INT(EQ(C24:C10546, "AC")))/MAX(1, C2),1)</f>
        <v>#NAME?</v>
      </c>
      <c r="E2" s="50" t="e">
        <f ca="1">ROUND(SUMPRODUCT(E24:E10569,INT(EQ(C24:C10568, "AC")))/MAX(1, C2),0)</f>
        <v>#NAME?</v>
      </c>
      <c r="F2" s="50" t="e">
        <f ca="1">ROUND(SUMPRODUCT(F24:F10571,INT(EQ(C24:C10571, "AC")))/MAX(1, C2),0)</f>
        <v>#NAME?</v>
      </c>
      <c r="G2" s="50" t="e">
        <f ca="1">ROUND(SUMPRODUCT(G24:G10571,INT(EQ(C24:C10571, "AC")))/MAX(1, C2),0)</f>
        <v>#NAME?</v>
      </c>
      <c r="H2" s="50" t="e">
        <f ca="1">ROUND(SUMPRODUCT(H24:H10571,INT(EQ(C24:C10571, "AC")))/MAX(1, C2),0)</f>
        <v>#NAME?</v>
      </c>
      <c r="I2" s="50" t="e">
        <f ca="1">ROUND(SUMPRODUCT(I24:I10543,INT(EQ(C24:C10543, "AC")))/MAX(1, C2),0)</f>
        <v>#NAME?</v>
      </c>
      <c r="J2" s="50" t="e">
        <f ca="1">ROUND(SUMPRODUCT(J24:J10541,INT(EQ(C24:C10541, "AC")))/MAX(1, C2),1)</f>
        <v>#NAME?</v>
      </c>
      <c r="K2" s="50" t="e">
        <f ca="1">SUMPRODUCT(EQ(K24:K10546, "YES"),INT(EQ(C24:C10571, "AC")))</f>
        <v>#NAME?</v>
      </c>
      <c r="L2" s="51">
        <f ca="1">IFERROR(__xludf.DUMMYFUNCTION("COUNTA(FILTER(C23:C10037, NOT(REGEXMATCH(C23:C10037, ""AC""))))"),0)</f>
        <v>0</v>
      </c>
      <c r="M2" s="52">
        <f ca="1">IFERROR(__xludf.DUMMYFUNCTION("COUNTA(FILTER(C23:C10031, NOT(REGEXMATCH(C23:C10031, ""AC""))))"),0)</f>
        <v>0</v>
      </c>
    </row>
    <row r="3" spans="1:13" ht="14.4">
      <c r="A3" s="86" t="s">
        <v>865</v>
      </c>
      <c r="B3" s="185" t="str">
        <f>HYPERLINK("http://codeforces.com/contest/63/problem/D","CF63-D2-D")</f>
        <v>CF63-D2-D</v>
      </c>
      <c r="C3" s="486"/>
      <c r="D3" s="259"/>
      <c r="E3" s="559"/>
      <c r="F3" s="29"/>
      <c r="G3" s="29"/>
      <c r="H3" s="29"/>
      <c r="I3" s="103">
        <f t="shared" ref="I3:I161" si="0">SUM(E3:H3)</f>
        <v>0</v>
      </c>
      <c r="J3" s="26"/>
      <c r="K3" s="29"/>
      <c r="L3" s="29"/>
      <c r="M3" s="29"/>
    </row>
    <row r="4" spans="1:13" ht="14.4">
      <c r="A4" s="86" t="s">
        <v>866</v>
      </c>
      <c r="B4" s="185" t="str">
        <f>HYPERLINK("http://codeforces.com/contest/474/problem/D","CF474-D2-D")</f>
        <v>CF474-D2-D</v>
      </c>
      <c r="C4" s="486"/>
      <c r="D4" s="259"/>
      <c r="E4" s="559"/>
      <c r="F4" s="29"/>
      <c r="G4" s="29"/>
      <c r="H4" s="29"/>
      <c r="I4" s="103">
        <f t="shared" si="0"/>
        <v>0</v>
      </c>
      <c r="J4" s="93"/>
      <c r="K4" s="92"/>
      <c r="L4" s="29"/>
      <c r="M4" s="104" t="str">
        <f>HYPERLINK("https://www.youtube.com/watch?v=uRCruqJOQXw","Video Solution - Solver to be (Java)")</f>
        <v>Video Solution - Solver to be (Java)</v>
      </c>
    </row>
    <row r="5" spans="1:13" ht="14.4">
      <c r="A5" s="86" t="s">
        <v>867</v>
      </c>
      <c r="B5" s="185" t="str">
        <f>HYPERLINK("http://codeforces.com/contest/400/problem/D","CF400-D2-D")</f>
        <v>CF400-D2-D</v>
      </c>
      <c r="C5" s="29"/>
      <c r="D5" s="259"/>
      <c r="E5" s="560"/>
      <c r="F5" s="29"/>
      <c r="G5" s="29"/>
      <c r="H5" s="29"/>
      <c r="I5" s="103">
        <f t="shared" si="0"/>
        <v>0</v>
      </c>
      <c r="J5" s="93"/>
      <c r="K5" s="92"/>
      <c r="L5" s="29"/>
      <c r="M5" s="86"/>
    </row>
    <row r="6" spans="1:13" ht="14.4">
      <c r="A6" s="86"/>
      <c r="B6" s="549" t="str">
        <f>HYPERLINK("http://codeforces.com/contest/1043/problem/C","CF1043-D12-C")</f>
        <v>CF1043-D12-C</v>
      </c>
      <c r="C6" s="29"/>
      <c r="D6" s="259"/>
      <c r="E6" s="559"/>
      <c r="F6" s="29"/>
      <c r="G6" s="29"/>
      <c r="H6" s="29"/>
      <c r="I6" s="103">
        <f t="shared" si="0"/>
        <v>0</v>
      </c>
      <c r="J6" s="93"/>
      <c r="K6" s="92"/>
      <c r="L6" s="29"/>
      <c r="M6" s="86"/>
    </row>
    <row r="7" spans="1:13" ht="14.4">
      <c r="A7" s="86"/>
      <c r="B7" s="185" t="str">
        <f>HYPERLINK("https://codeforces.com/contest/1033/problem/C","CF1033-D12-C")</f>
        <v>CF1033-D12-C</v>
      </c>
      <c r="C7" s="29"/>
      <c r="D7" s="259"/>
      <c r="E7" s="559"/>
      <c r="F7" s="29"/>
      <c r="G7" s="29"/>
      <c r="H7" s="29"/>
      <c r="I7" s="103">
        <f t="shared" si="0"/>
        <v>0</v>
      </c>
      <c r="J7" s="93"/>
      <c r="K7" s="92"/>
      <c r="L7" s="29"/>
      <c r="M7" s="86"/>
    </row>
    <row r="8" spans="1:13" ht="14.4">
      <c r="A8" s="86"/>
      <c r="B8" s="185" t="str">
        <f>HYPERLINK("https://codeforces.com/contest/1066/problem/E","CF1066-D3-E")</f>
        <v>CF1066-D3-E</v>
      </c>
      <c r="C8" s="29"/>
      <c r="D8" s="259"/>
      <c r="E8" s="559"/>
      <c r="F8" s="29"/>
      <c r="G8" s="29"/>
      <c r="H8" s="29"/>
      <c r="I8" s="103">
        <f t="shared" si="0"/>
        <v>0</v>
      </c>
      <c r="J8" s="93"/>
      <c r="K8" s="92"/>
      <c r="L8" s="29"/>
      <c r="M8" s="86"/>
    </row>
    <row r="9" spans="1:13" ht="13.2">
      <c r="A9" s="86"/>
      <c r="B9" s="185" t="str">
        <f>HYPERLINK("http://codeforces.com/contest/534/problem/D","CF534-D2-D")</f>
        <v>CF534-D2-D</v>
      </c>
      <c r="C9" s="29"/>
      <c r="D9" s="259"/>
      <c r="E9" s="564"/>
      <c r="F9" s="29"/>
      <c r="G9" s="29"/>
      <c r="H9" s="29"/>
      <c r="I9" s="103">
        <f t="shared" si="0"/>
        <v>0</v>
      </c>
      <c r="J9" s="93"/>
      <c r="K9" s="92"/>
      <c r="L9" s="29"/>
      <c r="M9" s="86"/>
    </row>
    <row r="10" spans="1:13" ht="14.4">
      <c r="A10" s="86"/>
      <c r="B10" s="185" t="str">
        <f>HYPERLINK("http://codeforces.com/problemset/problem/899/E","CF899-D2-E")</f>
        <v>CF899-D2-E</v>
      </c>
      <c r="C10" s="29"/>
      <c r="D10" s="259"/>
      <c r="E10" s="559"/>
      <c r="F10" s="29"/>
      <c r="G10" s="29"/>
      <c r="H10" s="29"/>
      <c r="I10" s="103">
        <f t="shared" si="0"/>
        <v>0</v>
      </c>
      <c r="J10" s="93"/>
      <c r="K10" s="92"/>
      <c r="L10" s="29"/>
      <c r="M10" s="86"/>
    </row>
    <row r="11" spans="1:13" ht="14.4">
      <c r="A11" s="86"/>
      <c r="B11" s="185" t="str">
        <f>HYPERLINK("http://codeforces.com/contest/729/problem/D","CF729-D12-D")</f>
        <v>CF729-D12-D</v>
      </c>
      <c r="C11" s="29"/>
      <c r="D11" s="259"/>
      <c r="E11" s="560" t="s">
        <v>14427</v>
      </c>
      <c r="F11" s="29"/>
      <c r="G11" s="29"/>
      <c r="H11" s="29"/>
      <c r="I11" s="103">
        <f t="shared" si="0"/>
        <v>0</v>
      </c>
      <c r="J11" s="93"/>
      <c r="K11" s="92"/>
      <c r="L11" s="29"/>
      <c r="M11" s="86"/>
    </row>
    <row r="12" spans="1:13" ht="14.4">
      <c r="A12" s="214" t="s">
        <v>868</v>
      </c>
      <c r="B12" s="260" t="str">
        <f>HYPERLINK("http://codeforces.com/contest/340/problem/C","CF340-D2-C")</f>
        <v>CF340-D2-C</v>
      </c>
      <c r="C12" s="29"/>
      <c r="D12" s="259"/>
      <c r="E12" s="559"/>
      <c r="F12" s="29"/>
      <c r="G12" s="29"/>
      <c r="H12" s="29"/>
      <c r="I12" s="103">
        <f t="shared" si="0"/>
        <v>0</v>
      </c>
      <c r="J12" s="93"/>
      <c r="K12" s="92"/>
      <c r="L12" s="29"/>
      <c r="M12" s="86"/>
    </row>
    <row r="13" spans="1:13" ht="14.4">
      <c r="A13" s="214" t="s">
        <v>869</v>
      </c>
      <c r="B13" s="260" t="str">
        <f>HYPERLINK("http://codeforces.com/contest/697/problem/C","CF697-D2-C")</f>
        <v>CF697-D2-C</v>
      </c>
      <c r="C13" s="29"/>
      <c r="D13" s="259"/>
      <c r="E13" s="560" t="s">
        <v>14428</v>
      </c>
      <c r="F13" s="29"/>
      <c r="G13" s="29"/>
      <c r="H13" s="29"/>
      <c r="I13" s="103">
        <f t="shared" si="0"/>
        <v>0</v>
      </c>
      <c r="J13" s="93"/>
      <c r="K13" s="92"/>
      <c r="L13" s="29"/>
      <c r="M13" s="86"/>
    </row>
    <row r="14" spans="1:13" ht="14.4">
      <c r="A14" s="214" t="s">
        <v>870</v>
      </c>
      <c r="B14" s="260" t="str">
        <f>HYPERLINK("http://codeforces.com/contest/404/problem/C","CF404-D2-C")</f>
        <v>CF404-D2-C</v>
      </c>
      <c r="C14" s="29"/>
      <c r="D14" s="259"/>
      <c r="E14" s="559"/>
      <c r="F14" s="29"/>
      <c r="G14" s="29"/>
      <c r="H14" s="29"/>
      <c r="I14" s="103">
        <f t="shared" si="0"/>
        <v>0</v>
      </c>
      <c r="J14" s="93"/>
      <c r="K14" s="92"/>
      <c r="L14" s="29"/>
      <c r="M14" s="86"/>
    </row>
    <row r="15" spans="1:13" ht="12.6" customHeight="1">
      <c r="A15" s="257"/>
      <c r="B15" s="261" t="str">
        <f>HYPERLINK("http://codeforces.com/contest/309/problem/C","CF309-D1-C")</f>
        <v>CF309-D1-C</v>
      </c>
      <c r="C15" s="29"/>
      <c r="D15" s="259"/>
      <c r="E15" s="464"/>
      <c r="F15" s="29"/>
      <c r="G15" s="29"/>
      <c r="H15" s="29"/>
      <c r="I15" s="103">
        <f t="shared" si="0"/>
        <v>0</v>
      </c>
      <c r="J15" s="62"/>
      <c r="K15" s="56"/>
      <c r="L15" s="29"/>
      <c r="M15" s="262"/>
    </row>
    <row r="16" spans="1:13" ht="12.6" customHeight="1" thickBot="1">
      <c r="A16" s="263"/>
      <c r="B16" s="264" t="str">
        <f>HYPERLINK("http://codeforces.com/contest/101/problem/B","CF101-D1-B")</f>
        <v>CF101-D1-B</v>
      </c>
      <c r="C16" s="29"/>
      <c r="D16" s="259"/>
      <c r="E16" s="550" t="s">
        <v>14438</v>
      </c>
      <c r="F16" s="29"/>
      <c r="G16" s="29"/>
      <c r="H16" s="29"/>
      <c r="I16" s="103">
        <f t="shared" si="0"/>
        <v>0</v>
      </c>
      <c r="J16" s="62"/>
      <c r="K16" s="56"/>
      <c r="L16" s="29"/>
      <c r="M16" s="558" t="str">
        <f>HYPERLINK("https://github.com/Huvok/CompetitiveProgramming/blob/master/Codeforces/CF101-D1-B.cpp","Sol")</f>
        <v>Sol</v>
      </c>
    </row>
    <row r="17" spans="1:13" ht="15.6" thickTop="1" thickBot="1">
      <c r="A17" s="263"/>
      <c r="B17" s="263" t="s">
        <v>871</v>
      </c>
      <c r="C17" s="29"/>
      <c r="D17" s="259"/>
      <c r="E17" s="581"/>
      <c r="F17" s="29"/>
      <c r="G17" s="29"/>
      <c r="H17" s="29"/>
      <c r="I17" s="103">
        <f t="shared" si="0"/>
        <v>0</v>
      </c>
      <c r="J17" s="62"/>
      <c r="K17" s="56"/>
      <c r="L17" s="29"/>
      <c r="M17" s="63"/>
    </row>
    <row r="18" spans="1:13" ht="15" thickTop="1">
      <c r="A18" s="263"/>
      <c r="B18" s="264" t="str">
        <f>HYPERLINK("http://codeforces.com/problemset/problem/961/D","CF961-D12-D")</f>
        <v>CF961-D12-D</v>
      </c>
      <c r="C18" s="29"/>
      <c r="D18" s="259"/>
      <c r="E18" s="560"/>
      <c r="F18" s="29"/>
      <c r="G18" s="29"/>
      <c r="H18" s="29"/>
      <c r="I18" s="103">
        <f t="shared" si="0"/>
        <v>0</v>
      </c>
      <c r="J18" s="62"/>
      <c r="K18" s="56"/>
      <c r="L18" s="29"/>
      <c r="M18" s="63"/>
    </row>
    <row r="19" spans="1:13" ht="13.2">
      <c r="A19" s="263"/>
      <c r="B19" s="264" t="str">
        <f>HYPERLINK("http://codeforces.com/problemset/problem/955/C","CF955-D2-C")</f>
        <v>CF955-D2-C</v>
      </c>
      <c r="C19" s="29"/>
      <c r="D19" s="259"/>
      <c r="E19" s="565"/>
      <c r="F19" s="29"/>
      <c r="G19" s="29"/>
      <c r="H19" s="29"/>
      <c r="I19" s="103">
        <f t="shared" si="0"/>
        <v>0</v>
      </c>
      <c r="J19" s="62"/>
      <c r="K19" s="56"/>
      <c r="L19" s="29"/>
      <c r="M19" s="63"/>
    </row>
    <row r="20" spans="1:13" ht="14.4">
      <c r="A20" s="263"/>
      <c r="B20" s="263" t="s">
        <v>872</v>
      </c>
      <c r="C20" s="29"/>
      <c r="D20" s="259"/>
      <c r="E20" s="560" t="s">
        <v>14429</v>
      </c>
      <c r="F20" s="29"/>
      <c r="G20" s="29"/>
      <c r="H20" s="29"/>
      <c r="I20" s="103">
        <f t="shared" si="0"/>
        <v>0</v>
      </c>
      <c r="J20" s="62"/>
      <c r="K20" s="56"/>
      <c r="L20" s="29"/>
      <c r="M20" s="210" t="str">
        <f>HYPERLINK("https://pastebin.com/WHzEMUew","Sol")</f>
        <v>Sol</v>
      </c>
    </row>
    <row r="21" spans="1:13" ht="88.8" customHeight="1">
      <c r="A21" s="263"/>
      <c r="B21" s="264" t="str">
        <f>HYPERLINK("http://codeforces.com/contest/372/problem/B","CF372-D1-B")</f>
        <v>CF372-D1-B</v>
      </c>
      <c r="C21" s="29"/>
      <c r="D21" s="259"/>
      <c r="E21" s="567" t="s">
        <v>14439</v>
      </c>
      <c r="F21" s="29" t="s">
        <v>14440</v>
      </c>
      <c r="G21" s="29"/>
      <c r="H21" s="29"/>
      <c r="I21" s="103">
        <f t="shared" si="0"/>
        <v>0</v>
      </c>
      <c r="J21" s="62"/>
      <c r="K21" s="56"/>
      <c r="L21" s="29"/>
      <c r="M21" s="63"/>
    </row>
    <row r="22" spans="1:13" ht="13.2">
      <c r="A22" s="265"/>
      <c r="B22" s="266"/>
      <c r="C22" s="29"/>
      <c r="D22" s="259"/>
      <c r="E22" s="259"/>
      <c r="F22" s="29"/>
      <c r="G22" s="29"/>
      <c r="H22" s="29"/>
      <c r="I22" s="103">
        <f t="shared" si="0"/>
        <v>0</v>
      </c>
      <c r="J22" s="62"/>
      <c r="K22" s="56"/>
      <c r="L22" s="29"/>
      <c r="M22" s="557" t="str">
        <f>HYPERLINK("https://www.youtube.com/watch?v=OLu5oskGGqw&amp;list=PLPt2dINI2MIZX2EtY81WI-lDkvhKziLKM&amp;index=11","Watch - Data Structures - Segment Tree (2 vid)")</f>
        <v>Watch - Data Structures - Segment Tree (2 vid)</v>
      </c>
    </row>
    <row r="23" spans="1:13" s="552" customFormat="1" ht="13.2">
      <c r="A23" s="265"/>
      <c r="B23" s="558" t="s">
        <v>14418</v>
      </c>
      <c r="C23" s="553"/>
      <c r="D23" s="406"/>
      <c r="E23" s="406"/>
      <c r="F23" s="553"/>
      <c r="G23" s="553"/>
      <c r="H23" s="553"/>
      <c r="I23" s="160"/>
      <c r="J23" s="62"/>
      <c r="K23" s="62"/>
      <c r="L23" s="553"/>
      <c r="M23" s="554"/>
    </row>
    <row r="24" spans="1:13" ht="15" thickBot="1">
      <c r="A24" s="267" t="s">
        <v>873</v>
      </c>
      <c r="B24" s="268" t="str">
        <f>HYPERLINK("https://uva.onlinejudge.org/index.php?option=com_onlinejudge&amp;Itemid=8&amp;page=show_problem&amp;problem=3977","UVA 12532")</f>
        <v>UVA 12532</v>
      </c>
      <c r="C24" s="29"/>
      <c r="D24" s="259"/>
      <c r="E24" s="559" t="s">
        <v>14420</v>
      </c>
      <c r="F24" s="29"/>
      <c r="G24" s="29"/>
      <c r="H24" s="29"/>
      <c r="I24" s="103">
        <f t="shared" si="0"/>
        <v>0</v>
      </c>
      <c r="J24" s="62"/>
      <c r="K24" s="56"/>
      <c r="L24" s="29"/>
      <c r="M24" s="86"/>
    </row>
    <row r="25" spans="1:13" ht="15.6" thickTop="1" thickBot="1">
      <c r="A25" s="269" t="s">
        <v>874</v>
      </c>
      <c r="B25" s="270" t="str">
        <f>HYPERLINK("https://icpcarchive.ecs.baylor.edu/index.php?option=com_onlinejudge&amp;Itemid=8&amp;page=show_problem&amp;problem=192","LIVEARCHIVE 2191")</f>
        <v>LIVEARCHIVE 2191</v>
      </c>
      <c r="C25" s="29"/>
      <c r="D25" s="259"/>
      <c r="E25" s="581" t="s">
        <v>10948</v>
      </c>
      <c r="F25" s="29"/>
      <c r="G25" s="29"/>
      <c r="H25" s="29"/>
      <c r="I25" s="103">
        <f t="shared" si="0"/>
        <v>0</v>
      </c>
      <c r="J25" s="62"/>
      <c r="K25" s="56"/>
      <c r="L25" s="29"/>
      <c r="M25" s="86"/>
    </row>
    <row r="26" spans="1:13" ht="15" thickTop="1">
      <c r="A26" s="271" t="s">
        <v>875</v>
      </c>
      <c r="B26" s="270" t="str">
        <f>HYPERLINK("http://www.spoj.com/problems/CDC12_H","SPOJ CDC12_H")</f>
        <v>SPOJ CDC12_H</v>
      </c>
      <c r="C26" s="29"/>
      <c r="D26" s="259"/>
      <c r="E26" s="559" t="s">
        <v>2448</v>
      </c>
      <c r="F26" s="29"/>
      <c r="G26" s="29"/>
      <c r="H26" s="29"/>
      <c r="I26" s="103">
        <f t="shared" si="0"/>
        <v>0</v>
      </c>
      <c r="J26" s="93"/>
      <c r="K26" s="92"/>
      <c r="L26" s="29"/>
      <c r="M26" s="29"/>
    </row>
    <row r="27" spans="1:13" ht="14.4">
      <c r="A27" s="269" t="s">
        <v>876</v>
      </c>
      <c r="B27" s="270" t="str">
        <f>HYPERLINK("http://www.spoj.com/problems/CNTPRIME","SPOJ CNTPRIME")</f>
        <v>SPOJ CNTPRIME</v>
      </c>
      <c r="C27" s="29"/>
      <c r="D27" s="259"/>
      <c r="E27" s="560" t="s">
        <v>14421</v>
      </c>
      <c r="F27" s="29"/>
      <c r="G27" s="29"/>
      <c r="H27" s="29"/>
      <c r="I27" s="103">
        <f t="shared" si="0"/>
        <v>0</v>
      </c>
      <c r="J27" s="93"/>
      <c r="K27" s="92"/>
      <c r="L27" s="29"/>
      <c r="M27" s="29"/>
    </row>
    <row r="28" spans="1:13" ht="14.4">
      <c r="A28" s="269" t="s">
        <v>877</v>
      </c>
      <c r="B28" s="270" t="str">
        <f>HYPERLINK("http://www.spoj.com/problems/HORRIBLE","SPOJ HORRIBLE")</f>
        <v>SPOJ HORRIBLE</v>
      </c>
      <c r="C28" s="29"/>
      <c r="D28" s="259"/>
      <c r="E28" s="559"/>
      <c r="F28" s="29"/>
      <c r="G28" s="29"/>
      <c r="H28" s="29"/>
      <c r="I28" s="103">
        <f t="shared" si="0"/>
        <v>0</v>
      </c>
      <c r="J28" s="26"/>
      <c r="K28" s="29"/>
      <c r="L28" s="29"/>
      <c r="M28" s="29"/>
    </row>
    <row r="29" spans="1:13" ht="14.4">
      <c r="A29" s="269" t="s">
        <v>878</v>
      </c>
      <c r="B29" s="270" t="str">
        <f>HYPERLINK("http://www.spoj.com/problems/LITE/","SPOJ LITE")</f>
        <v>SPOJ LITE</v>
      </c>
      <c r="C29" s="29"/>
      <c r="D29" s="259"/>
      <c r="E29" s="559"/>
      <c r="F29" s="29"/>
      <c r="G29" s="29"/>
      <c r="H29" s="29"/>
      <c r="I29" s="103">
        <f t="shared" si="0"/>
        <v>0</v>
      </c>
      <c r="J29" s="62"/>
      <c r="K29" s="56"/>
      <c r="L29" s="29"/>
      <c r="M29" s="86"/>
    </row>
    <row r="30" spans="1:13" ht="14.4">
      <c r="A30" s="272" t="s">
        <v>879</v>
      </c>
      <c r="B30" s="273" t="str">
        <f>HYPERLINK("http://codeforces.com/contest/52/problem/C","CF52-D12-C")</f>
        <v>CF52-D12-C</v>
      </c>
      <c r="C30" s="29"/>
      <c r="D30" s="259"/>
      <c r="E30" s="559"/>
      <c r="F30" s="29"/>
      <c r="G30" s="29"/>
      <c r="H30" s="29"/>
      <c r="I30" s="103">
        <f t="shared" si="0"/>
        <v>0</v>
      </c>
      <c r="J30" s="93"/>
      <c r="K30" s="93"/>
      <c r="L30" s="26"/>
      <c r="M30" s="63"/>
    </row>
    <row r="31" spans="1:13" ht="14.4">
      <c r="A31" s="269" t="s">
        <v>880</v>
      </c>
      <c r="B31" s="270" t="str">
        <f>HYPERLINK("http://www.spoj.com/problems/CITY2/","SPOJ CITY2")</f>
        <v>SPOJ CITY2</v>
      </c>
      <c r="C31" s="29"/>
      <c r="D31" s="259"/>
      <c r="E31" s="559"/>
      <c r="F31" s="29"/>
      <c r="G31" s="29"/>
      <c r="H31" s="29"/>
      <c r="I31" s="103">
        <f t="shared" si="0"/>
        <v>0</v>
      </c>
      <c r="J31" s="62"/>
      <c r="K31" s="56"/>
      <c r="M31" s="210" t="str">
        <f>HYPERLINK("https://github.com/mostafa-saad/MyCompetitiveProgramming/blob/master/SPOJ/SPOJ_CITY2.txt","Sol")</f>
        <v>Sol</v>
      </c>
    </row>
    <row r="32" spans="1:13" ht="14.4">
      <c r="A32" s="267" t="s">
        <v>881</v>
      </c>
      <c r="B32" s="270" t="str">
        <f>HYPERLINK("https://uva.onlinejudge.org/index.php?option=com_onlinejudge&amp;Itemid=8&amp;page=show_problem&amp;problem=3720","UVA 12299")</f>
        <v>UVA 12299</v>
      </c>
      <c r="C32" s="29"/>
      <c r="D32" s="259"/>
      <c r="E32" s="560" t="s">
        <v>14424</v>
      </c>
      <c r="F32" s="29"/>
      <c r="G32" s="29"/>
      <c r="H32" s="29"/>
      <c r="I32" s="103">
        <f t="shared" si="0"/>
        <v>0</v>
      </c>
      <c r="J32" s="62"/>
      <c r="K32" s="56"/>
      <c r="M32" s="210" t="str">
        <f>HYPERLINK("https://github.com/Emsawy/CompetitiveProgramming/blob/master/UVA/12299.cpp","See sscanf and sprintf usage")</f>
        <v>See sscanf and sprintf usage</v>
      </c>
    </row>
    <row r="33" spans="1:13" ht="16.5" customHeight="1">
      <c r="A33" s="274" t="s">
        <v>882</v>
      </c>
      <c r="B33" s="268" t="str">
        <f>HYPERLINK("http://codeforces.com/problemset/problem/514/D","CF514-D2-D")</f>
        <v>CF514-D2-D</v>
      </c>
      <c r="C33" s="29"/>
      <c r="D33" s="259"/>
      <c r="E33" s="487" t="s">
        <v>14314</v>
      </c>
      <c r="F33" s="29"/>
      <c r="G33" s="29"/>
      <c r="H33" s="29"/>
      <c r="I33" s="103">
        <f t="shared" si="0"/>
        <v>0</v>
      </c>
      <c r="L33" s="26"/>
      <c r="M33" s="166" t="s">
        <v>883</v>
      </c>
    </row>
    <row r="34" spans="1:13" ht="14.4">
      <c r="A34" s="274" t="s">
        <v>884</v>
      </c>
      <c r="B34" s="275" t="str">
        <f>HYPERLINK("https://uva.onlinejudge.org/index.php?option=com_onlinejudge&amp;Itemid=8&amp;page=show_problem&amp;problem=2397","UVA 11402")</f>
        <v>UVA 11402</v>
      </c>
      <c r="C34" s="29"/>
      <c r="D34" s="259"/>
      <c r="E34" s="559"/>
      <c r="F34" s="29"/>
      <c r="G34" s="29"/>
      <c r="H34" s="29"/>
      <c r="I34" s="103">
        <f t="shared" si="0"/>
        <v>0</v>
      </c>
      <c r="J34" s="93"/>
      <c r="K34" s="93"/>
      <c r="L34" s="26"/>
      <c r="M34" s="210" t="str">
        <f>HYPERLINK("https://github.com/hosamk92/CompetitiveProgramming/blob/master/UVA/UVA%2011402.cpp","Sol")</f>
        <v>Sol</v>
      </c>
    </row>
    <row r="35" spans="1:13" ht="13.2">
      <c r="A35" s="276" t="s">
        <v>885</v>
      </c>
      <c r="B35" s="277" t="str">
        <f>HYPERLINK("http://www.spoj.com/problems/BRCKTS","SPOJ BRCKTS")</f>
        <v>SPOJ BRCKTS</v>
      </c>
      <c r="C35" s="29"/>
      <c r="D35" s="259"/>
      <c r="E35" s="487" t="s">
        <v>14314</v>
      </c>
      <c r="F35" s="29"/>
      <c r="G35" s="29"/>
      <c r="H35" s="29"/>
      <c r="I35" s="103">
        <f t="shared" si="0"/>
        <v>0</v>
      </c>
      <c r="J35" s="93"/>
      <c r="K35" s="93"/>
      <c r="L35" s="26"/>
      <c r="M35" s="210" t="str">
        <f>HYPERLINK("https://github.com/AliOsm/CompetitiveProgramming/blob/master/SPOJ/BRCKTS%20-%20Brackets.cpp","Sol")</f>
        <v>Sol</v>
      </c>
    </row>
    <row r="36" spans="1:13" ht="15" thickBot="1">
      <c r="A36" s="274" t="s">
        <v>886</v>
      </c>
      <c r="B36" s="275" t="str">
        <f>HYPERLINK("http://codeforces.com/contest/460/problem/C","CF460-D2-C")</f>
        <v>CF460-D2-C</v>
      </c>
      <c r="C36" s="29"/>
      <c r="D36" s="259"/>
      <c r="E36" s="559" t="s">
        <v>14422</v>
      </c>
      <c r="F36" s="29"/>
      <c r="G36" s="29"/>
      <c r="H36" s="29"/>
      <c r="I36" s="103">
        <f t="shared" si="0"/>
        <v>0</v>
      </c>
      <c r="J36" s="93"/>
      <c r="K36" s="93"/>
      <c r="L36" s="26"/>
      <c r="M36" s="63"/>
    </row>
    <row r="37" spans="1:13" ht="15.6" thickTop="1" thickBot="1">
      <c r="A37" s="278" t="str">
        <f>HYPERLINK("https://community.topcoder.com/stat?c=problem_statement&amp;pm=1331&amp;rd=4550","MessageMess")</f>
        <v>MessageMess</v>
      </c>
      <c r="B37" s="279" t="s">
        <v>611</v>
      </c>
      <c r="C37" s="29"/>
      <c r="D37" s="259"/>
      <c r="E37" s="581" t="s">
        <v>10948</v>
      </c>
      <c r="F37" s="29"/>
      <c r="G37" s="29"/>
      <c r="H37" s="29"/>
      <c r="I37" s="103">
        <f t="shared" si="0"/>
        <v>0</v>
      </c>
      <c r="J37" s="93"/>
      <c r="K37" s="93"/>
      <c r="L37" s="26"/>
      <c r="M37" s="63"/>
    </row>
    <row r="38" spans="1:13" ht="15.6" thickTop="1" thickBot="1">
      <c r="A38" s="261" t="str">
        <f>HYPERLINK("https://community.topcoder.com/stat?c=problem_statement&amp;pm=7601&amp;rd=10673","DiceGames")</f>
        <v>DiceGames</v>
      </c>
      <c r="B38" s="280" t="s">
        <v>777</v>
      </c>
      <c r="C38" s="29"/>
      <c r="D38" s="259"/>
      <c r="E38" s="581" t="s">
        <v>10948</v>
      </c>
      <c r="F38" s="29"/>
      <c r="G38" s="29"/>
      <c r="H38" s="29"/>
      <c r="I38" s="103">
        <f t="shared" si="0"/>
        <v>0</v>
      </c>
      <c r="J38" s="93"/>
      <c r="K38" s="93"/>
      <c r="L38" s="26"/>
      <c r="M38" s="63"/>
    </row>
    <row r="39" spans="1:13" ht="15.6" thickTop="1" thickBot="1">
      <c r="A39" s="257" t="s">
        <v>887</v>
      </c>
      <c r="B39" s="281" t="str">
        <f>HYPERLINK("https://uva.onlinejudge.org/index.php?option=com_onlinejudge&amp;Itemid=8&amp;page=show_problem&amp;problem=407","UVA 466")</f>
        <v>UVA 466</v>
      </c>
      <c r="C39" s="29"/>
      <c r="D39" s="259"/>
      <c r="E39" s="581" t="s">
        <v>10948</v>
      </c>
      <c r="F39" s="29"/>
      <c r="G39" s="29"/>
      <c r="H39" s="29"/>
      <c r="I39" s="103">
        <f t="shared" si="0"/>
        <v>0</v>
      </c>
      <c r="J39" s="93"/>
      <c r="K39" s="93"/>
      <c r="L39" s="26"/>
      <c r="M39" s="63"/>
    </row>
    <row r="40" spans="1:13" ht="15.6" thickTop="1" thickBot="1">
      <c r="A40" s="282" t="s">
        <v>888</v>
      </c>
      <c r="B40" s="283" t="str">
        <f>HYPERLINK("http://www.spoj.com/problems/KGSS/","SPOJ KGSS")</f>
        <v>SPOJ KGSS</v>
      </c>
      <c r="C40" s="29"/>
      <c r="D40" s="259"/>
      <c r="E40" s="541"/>
      <c r="F40" s="29"/>
      <c r="G40" s="29"/>
      <c r="H40" s="29"/>
      <c r="I40" s="103">
        <f t="shared" si="0"/>
        <v>0</v>
      </c>
      <c r="J40" s="62"/>
      <c r="K40" s="56"/>
      <c r="L40" s="29"/>
      <c r="M40" s="86"/>
    </row>
    <row r="41" spans="1:13" ht="15.6" thickTop="1" thickBot="1">
      <c r="A41" s="282"/>
      <c r="B41" s="282" t="s">
        <v>889</v>
      </c>
      <c r="C41" s="29"/>
      <c r="D41" s="259"/>
      <c r="E41" s="581" t="s">
        <v>10948</v>
      </c>
      <c r="F41" s="29"/>
      <c r="G41" s="29"/>
      <c r="H41" s="29"/>
      <c r="I41" s="103">
        <f t="shared" si="0"/>
        <v>0</v>
      </c>
      <c r="J41" s="62"/>
      <c r="K41" s="56"/>
      <c r="L41" s="29"/>
      <c r="M41" s="86"/>
    </row>
    <row r="42" spans="1:13" ht="15.6" thickTop="1" thickBot="1">
      <c r="A42" s="282"/>
      <c r="B42" s="282" t="s">
        <v>890</v>
      </c>
      <c r="C42" s="29"/>
      <c r="D42" s="259"/>
      <c r="E42" s="581" t="s">
        <v>10948</v>
      </c>
      <c r="F42" s="29"/>
      <c r="G42" s="29"/>
      <c r="H42" s="29"/>
      <c r="I42" s="103">
        <f t="shared" si="0"/>
        <v>0</v>
      </c>
      <c r="J42" s="62"/>
      <c r="K42" s="56"/>
      <c r="L42" s="29"/>
      <c r="M42" s="86"/>
    </row>
    <row r="43" spans="1:13" ht="13.8" thickTop="1">
      <c r="A43" s="282"/>
      <c r="B43" s="283" t="str">
        <f>HYPERLINK("http://codeforces.com/contest/201/problem/B","CF201-D1-B")</f>
        <v>CF201-D1-B</v>
      </c>
      <c r="C43" s="29"/>
      <c r="D43" s="259"/>
      <c r="E43" s="464"/>
      <c r="F43" s="29"/>
      <c r="G43" s="29"/>
      <c r="H43" s="29"/>
      <c r="I43" s="103">
        <f t="shared" si="0"/>
        <v>0</v>
      </c>
      <c r="J43" s="62"/>
      <c r="K43" s="56"/>
      <c r="L43" s="29"/>
      <c r="M43" s="86"/>
    </row>
    <row r="44" spans="1:13" ht="43.2">
      <c r="A44" s="282"/>
      <c r="B44" s="283" t="str">
        <f>HYPERLINK("http://codeforces.com/contest/380/problem/C","CF380-D1-C")</f>
        <v>CF380-D1-C</v>
      </c>
      <c r="C44" s="29"/>
      <c r="D44" s="259"/>
      <c r="E44" s="560" t="s">
        <v>14441</v>
      </c>
      <c r="F44" s="29"/>
      <c r="G44" s="29"/>
      <c r="H44" s="29"/>
      <c r="I44" s="103">
        <f t="shared" si="0"/>
        <v>0</v>
      </c>
      <c r="J44" s="62"/>
      <c r="K44" s="56"/>
      <c r="L44" s="29"/>
      <c r="M44" s="86"/>
    </row>
    <row r="45" spans="1:13" ht="14.4">
      <c r="A45" s="282"/>
      <c r="B45" s="283" t="str">
        <f>HYPERLINK("http://codeforces.com/contest/161/problem/D","CF161-D12-D")</f>
        <v>CF161-D12-D</v>
      </c>
      <c r="C45" s="29"/>
      <c r="D45" s="259"/>
      <c r="E45" s="560" t="s">
        <v>14442</v>
      </c>
      <c r="F45" s="29"/>
      <c r="G45" s="29"/>
      <c r="H45" s="29"/>
      <c r="I45" s="103">
        <f t="shared" si="0"/>
        <v>0</v>
      </c>
      <c r="J45" s="62"/>
      <c r="K45" s="56"/>
      <c r="L45" s="29"/>
      <c r="M45" s="284" t="str">
        <f>HYPERLINK("https://codeforces.com/blog/entry/20935","Reading: DP on Trees")</f>
        <v>Reading: DP on Trees</v>
      </c>
    </row>
    <row r="46" spans="1:13" ht="14.4">
      <c r="A46" s="282"/>
      <c r="B46" s="283" t="str">
        <f>HYPERLINK("https://codeforces.com/problemset/problem/61/E","CF61-D2-E")</f>
        <v>CF61-D2-E</v>
      </c>
      <c r="C46" s="29"/>
      <c r="D46" s="29"/>
      <c r="E46" s="486" t="s">
        <v>2448</v>
      </c>
      <c r="F46" s="29"/>
      <c r="G46" s="29"/>
      <c r="H46" s="29"/>
      <c r="I46" s="160">
        <f t="shared" si="0"/>
        <v>0</v>
      </c>
      <c r="J46" s="62"/>
      <c r="K46" s="56"/>
      <c r="L46" s="29"/>
      <c r="M46" s="285"/>
    </row>
    <row r="47" spans="1:13" ht="14.4">
      <c r="A47" s="282"/>
      <c r="B47" s="282" t="s">
        <v>891</v>
      </c>
      <c r="C47" s="29"/>
      <c r="D47" s="29"/>
      <c r="E47" s="563"/>
      <c r="F47" s="29"/>
      <c r="G47" s="29"/>
      <c r="H47" s="29"/>
      <c r="I47" s="160">
        <f t="shared" si="0"/>
        <v>0</v>
      </c>
      <c r="J47" s="62"/>
      <c r="K47" s="56"/>
      <c r="L47" s="29"/>
      <c r="M47" s="86"/>
    </row>
    <row r="48" spans="1:13" ht="13.2">
      <c r="A48" s="166"/>
      <c r="B48" s="84"/>
      <c r="C48" s="29"/>
      <c r="D48" s="259"/>
      <c r="E48" s="259"/>
      <c r="F48" s="29"/>
      <c r="G48" s="29"/>
      <c r="H48" s="29"/>
      <c r="I48" s="103">
        <f t="shared" si="0"/>
        <v>0</v>
      </c>
      <c r="J48" s="62"/>
      <c r="K48" s="56"/>
      <c r="L48" s="29"/>
      <c r="M48" s="86"/>
    </row>
    <row r="49" spans="1:13" ht="14.4">
      <c r="A49" s="166" t="s">
        <v>892</v>
      </c>
      <c r="B49" s="84" t="str">
        <f>HYPERLINK("http://codeforces.com/contest/151/problem/D","CF151-D2-D")</f>
        <v>CF151-D2-D</v>
      </c>
      <c r="C49" s="29"/>
      <c r="D49" s="259"/>
      <c r="E49" s="559"/>
      <c r="F49" s="29"/>
      <c r="G49" s="29"/>
      <c r="H49" s="29"/>
      <c r="I49" s="103">
        <f t="shared" si="0"/>
        <v>0</v>
      </c>
      <c r="J49" s="62"/>
      <c r="K49" s="56"/>
      <c r="L49" s="29"/>
      <c r="M49" s="86"/>
    </row>
    <row r="50" spans="1:13" ht="14.4">
      <c r="A50" s="166" t="s">
        <v>893</v>
      </c>
      <c r="B50" s="84" t="str">
        <f>HYPERLINK("http://codeforces.com/contest/61/problem/D","CF61-D2-D")</f>
        <v>CF61-D2-D</v>
      </c>
      <c r="C50" s="29"/>
      <c r="D50" s="259"/>
      <c r="E50" s="559"/>
      <c r="F50" s="29"/>
      <c r="G50" s="29"/>
      <c r="H50" s="29"/>
      <c r="I50" s="103">
        <f t="shared" si="0"/>
        <v>0</v>
      </c>
      <c r="J50" s="62"/>
      <c r="K50" s="56"/>
      <c r="L50" s="29"/>
      <c r="M50" s="86"/>
    </row>
    <row r="51" spans="1:13" ht="14.4">
      <c r="A51" s="166" t="s">
        <v>894</v>
      </c>
      <c r="B51" s="236" t="str">
        <f>HYPERLINK("http://codeforces.com/contest/808/problem/D","CF808-D2-D")</f>
        <v>CF808-D2-D</v>
      </c>
      <c r="C51" s="29"/>
      <c r="D51" s="259"/>
      <c r="E51" s="559"/>
      <c r="F51" s="29"/>
      <c r="G51" s="29"/>
      <c r="H51" s="29"/>
      <c r="I51" s="103">
        <f t="shared" si="0"/>
        <v>0</v>
      </c>
      <c r="J51" s="62"/>
      <c r="K51" s="56"/>
      <c r="L51" s="29"/>
      <c r="M51" s="82" t="str">
        <f>HYPERLINK("https://www.youtube.com/watch?v=wL0s8xIQYbk","Video Solution - Solver to be (Java)")</f>
        <v>Video Solution - Solver to be (Java)</v>
      </c>
    </row>
    <row r="52" spans="1:13" ht="15" thickBot="1">
      <c r="A52" s="166"/>
      <c r="B52" s="236" t="str">
        <f>HYPERLINK("http://codeforces.com/contest/45/problem/D","CF45-D12-D")</f>
        <v>CF45-D12-D</v>
      </c>
      <c r="C52" s="29"/>
      <c r="D52" s="259"/>
      <c r="E52" s="560" t="s">
        <v>14443</v>
      </c>
      <c r="F52" s="29"/>
      <c r="G52" s="29"/>
      <c r="H52" s="29"/>
      <c r="I52" s="103">
        <f t="shared" si="0"/>
        <v>0</v>
      </c>
      <c r="J52" s="62"/>
      <c r="K52" s="56"/>
      <c r="L52" s="29"/>
      <c r="M52" s="117"/>
    </row>
    <row r="53" spans="1:13" ht="15.6" thickTop="1" thickBot="1">
      <c r="A53" s="166"/>
      <c r="B53" s="166" t="s">
        <v>895</v>
      </c>
      <c r="C53" s="29"/>
      <c r="D53" s="259"/>
      <c r="E53" s="581" t="s">
        <v>10948</v>
      </c>
      <c r="F53" s="29"/>
      <c r="G53" s="29"/>
      <c r="H53" s="29"/>
      <c r="I53" s="103">
        <f t="shared" si="0"/>
        <v>0</v>
      </c>
      <c r="J53" s="62"/>
      <c r="K53" s="56"/>
      <c r="L53" s="29"/>
      <c r="M53" s="117"/>
    </row>
    <row r="54" spans="1:13" ht="15.6" thickTop="1" thickBot="1">
      <c r="A54" s="166"/>
      <c r="B54" s="236" t="str">
        <f>HYPERLINK("http://codeforces.com/problemsets/acmsguru/problem/99999/321","SGU 321")</f>
        <v>SGU 321</v>
      </c>
      <c r="C54" s="29"/>
      <c r="D54" s="259"/>
      <c r="E54" s="581" t="s">
        <v>10948</v>
      </c>
      <c r="F54" s="29"/>
      <c r="G54" s="29"/>
      <c r="H54" s="29"/>
      <c r="I54" s="103">
        <f t="shared" si="0"/>
        <v>0</v>
      </c>
      <c r="J54" s="62"/>
      <c r="K54" s="56"/>
      <c r="L54" s="29"/>
      <c r="M54" s="82" t="str">
        <f>HYPERLINK("https://github.com/mostafa-saad/MyCompetitiveProgramming/blob/master/SGU/SGU_321.txt","Sol")</f>
        <v>Sol</v>
      </c>
    </row>
    <row r="55" spans="1:13" ht="14.4" thickTop="1" thickBot="1">
      <c r="A55" s="166"/>
      <c r="B55" s="236" t="str">
        <f>HYPERLINK("https://www.codechef.com/LTIME64B/problems/OPPOSITE", "CODECHEF OPPOSITE")</f>
        <v>CODECHEF OPPOSITE</v>
      </c>
      <c r="C55" s="29"/>
      <c r="D55" s="259"/>
      <c r="E55" s="464"/>
      <c r="F55" s="29"/>
      <c r="G55" s="29"/>
      <c r="H55" s="29"/>
      <c r="I55" s="103">
        <f t="shared" si="0"/>
        <v>0</v>
      </c>
      <c r="J55" s="62"/>
      <c r="K55" s="56"/>
      <c r="L55" s="29"/>
      <c r="M55" s="117"/>
    </row>
    <row r="56" spans="1:13" ht="15.6" thickTop="1" thickBot="1">
      <c r="A56" s="166"/>
      <c r="B56" s="166" t="s">
        <v>896</v>
      </c>
      <c r="C56" s="29"/>
      <c r="D56" s="259"/>
      <c r="E56" s="581" t="s">
        <v>10948</v>
      </c>
      <c r="F56" s="29"/>
      <c r="G56" s="29"/>
      <c r="H56" s="29"/>
      <c r="I56" s="103">
        <f t="shared" si="0"/>
        <v>0</v>
      </c>
      <c r="J56" s="62"/>
      <c r="K56" s="56"/>
      <c r="L56" s="29"/>
      <c r="M56" s="117"/>
    </row>
    <row r="57" spans="1:13" ht="15.6" thickTop="1" thickBot="1">
      <c r="A57" s="166"/>
      <c r="B57" s="166" t="s">
        <v>897</v>
      </c>
      <c r="C57" s="29"/>
      <c r="D57" s="259"/>
      <c r="E57" s="581" t="s">
        <v>10948</v>
      </c>
      <c r="F57" s="29"/>
      <c r="G57" s="29"/>
      <c r="H57" s="29"/>
      <c r="I57" s="103">
        <f t="shared" si="0"/>
        <v>0</v>
      </c>
      <c r="J57" s="62"/>
      <c r="K57" s="56"/>
      <c r="L57" s="29"/>
      <c r="M57" s="117"/>
    </row>
    <row r="58" spans="1:13" ht="15.6" thickTop="1" thickBot="1">
      <c r="A58" s="166"/>
      <c r="B58" s="166" t="s">
        <v>898</v>
      </c>
      <c r="C58" s="29"/>
      <c r="D58" s="259"/>
      <c r="E58" s="581" t="s">
        <v>10948</v>
      </c>
      <c r="F58" s="29"/>
      <c r="G58" s="29"/>
      <c r="H58" s="29"/>
      <c r="I58" s="103">
        <f t="shared" si="0"/>
        <v>0</v>
      </c>
      <c r="J58" s="62"/>
      <c r="K58" s="56"/>
      <c r="L58" s="29"/>
      <c r="M58" s="117"/>
    </row>
    <row r="59" spans="1:13" ht="15" thickTop="1">
      <c r="A59" s="214" t="s">
        <v>899</v>
      </c>
      <c r="B59" s="286" t="str">
        <f>HYPERLINK("http://codeforces.com/contest/216/problem/C","CF216-D2-C")</f>
        <v>CF216-D2-C</v>
      </c>
      <c r="C59" s="29"/>
      <c r="D59" s="259"/>
      <c r="E59" s="559"/>
      <c r="F59" s="29"/>
      <c r="G59" s="29"/>
      <c r="H59" s="29"/>
      <c r="I59" s="103">
        <f t="shared" si="0"/>
        <v>0</v>
      </c>
      <c r="J59" s="62"/>
      <c r="K59" s="56"/>
      <c r="L59" s="29"/>
      <c r="M59" s="117"/>
    </row>
    <row r="60" spans="1:13" ht="14.4">
      <c r="A60" s="214" t="s">
        <v>900</v>
      </c>
      <c r="B60" s="286" t="str">
        <f>HYPERLINK("http://codeforces.com/contest/535/problem/C","CF535-D2-C")</f>
        <v>CF535-D2-C</v>
      </c>
      <c r="C60" s="29"/>
      <c r="D60" s="259"/>
      <c r="E60" s="559"/>
      <c r="F60" s="29"/>
      <c r="G60" s="29"/>
      <c r="H60" s="29"/>
      <c r="I60" s="103">
        <f t="shared" si="0"/>
        <v>0</v>
      </c>
      <c r="J60" s="62"/>
      <c r="K60" s="56"/>
      <c r="L60" s="29"/>
      <c r="M60" s="117"/>
    </row>
    <row r="61" spans="1:13" ht="13.2">
      <c r="A61" s="214" t="s">
        <v>901</v>
      </c>
      <c r="B61" s="286" t="str">
        <f>HYPERLINK("http://codeforces.com/contest/189/problem/C","CF189-D2-C")</f>
        <v>CF189-D2-C</v>
      </c>
      <c r="C61" s="29"/>
      <c r="D61" s="259"/>
      <c r="E61" s="464"/>
      <c r="F61" s="29"/>
      <c r="G61" s="29"/>
      <c r="H61" s="29"/>
      <c r="I61" s="103">
        <f t="shared" si="0"/>
        <v>0</v>
      </c>
      <c r="J61" s="62"/>
      <c r="K61" s="56"/>
      <c r="M61" s="184" t="str">
        <f>HYPERLINK("https://github.com/MedoN11/CompetitiveProgramming/blob/master/CodeForces/CF189-D1-C.cpp","Sol")</f>
        <v>Sol</v>
      </c>
    </row>
    <row r="62" spans="1:13" ht="13.2">
      <c r="A62" s="29"/>
      <c r="B62" s="26"/>
      <c r="C62" s="29"/>
      <c r="D62" s="259"/>
      <c r="E62" s="259"/>
      <c r="F62" s="29"/>
      <c r="G62" s="29"/>
      <c r="H62" s="29"/>
      <c r="I62" s="103">
        <f t="shared" si="0"/>
        <v>0</v>
      </c>
      <c r="J62" s="93"/>
      <c r="K62" s="92"/>
      <c r="L62" s="29"/>
      <c r="M62" s="287" t="str">
        <f>HYPERLINK("https://www.youtube.com/watch?v=n-Xwrr8RFQ0","Watch - Two pointers technique")</f>
        <v>Watch - Two pointers technique</v>
      </c>
    </row>
    <row r="63" spans="1:13" ht="14.4">
      <c r="A63" s="288" t="s">
        <v>902</v>
      </c>
      <c r="B63" s="289" t="str">
        <f>HYPERLINK("http://codeforces.com/contest/216/problem/D","CF216-D2-D")</f>
        <v>CF216-D2-D</v>
      </c>
      <c r="C63" s="29"/>
      <c r="D63" s="259"/>
      <c r="E63" s="559"/>
      <c r="F63" s="29"/>
      <c r="G63" s="29"/>
      <c r="H63" s="29"/>
      <c r="I63" s="103">
        <f t="shared" si="0"/>
        <v>0</v>
      </c>
      <c r="J63" s="93"/>
      <c r="K63" s="92"/>
      <c r="L63" s="29"/>
      <c r="M63" s="29"/>
    </row>
    <row r="64" spans="1:13" ht="14.4">
      <c r="A64" s="288" t="s">
        <v>903</v>
      </c>
      <c r="B64" s="290" t="str">
        <f>HYPERLINK("http://codeforces.com/contest/334/problem/D","CF334-D2-D")</f>
        <v>CF334-D2-D</v>
      </c>
      <c r="C64" s="29"/>
      <c r="D64" s="259"/>
      <c r="E64" s="559"/>
      <c r="F64" s="29"/>
      <c r="G64" s="29"/>
      <c r="H64" s="29"/>
      <c r="I64" s="103">
        <f t="shared" si="0"/>
        <v>0</v>
      </c>
      <c r="J64" s="93"/>
      <c r="K64" s="92"/>
      <c r="L64" s="29"/>
      <c r="M64" s="29"/>
    </row>
    <row r="65" spans="1:13" ht="15" thickBot="1">
      <c r="A65" s="288" t="s">
        <v>904</v>
      </c>
      <c r="B65" s="290" t="str">
        <f>HYPERLINK("http://codeforces.com/contest/676/problem/C","CF676-D2-C")</f>
        <v>CF676-D2-C</v>
      </c>
      <c r="C65" s="29"/>
      <c r="D65" s="259"/>
      <c r="E65" s="559"/>
      <c r="F65" s="29"/>
      <c r="G65" s="29"/>
      <c r="H65" s="29"/>
      <c r="I65" s="103">
        <f t="shared" si="0"/>
        <v>0</v>
      </c>
      <c r="J65" s="93"/>
      <c r="K65" s="92"/>
      <c r="L65" s="29"/>
      <c r="M65" s="29"/>
    </row>
    <row r="66" spans="1:13" ht="15.6" thickTop="1" thickBot="1">
      <c r="A66" s="291" t="s">
        <v>905</v>
      </c>
      <c r="B66" s="212" t="str">
        <f>HYPERLINK("https://icpcarchive.ecs.baylor.edu/index.php?option=com_onlinejudge&amp;Itemid=8&amp;category=19&amp;page=show_problem&amp;problem=1635","LiveArchive 3634")</f>
        <v>LiveArchive 3634</v>
      </c>
      <c r="C66" s="29"/>
      <c r="D66" s="259"/>
      <c r="E66" s="581" t="s">
        <v>10948</v>
      </c>
      <c r="F66" s="29"/>
      <c r="G66" s="29"/>
      <c r="H66" s="29"/>
      <c r="I66" s="103">
        <f t="shared" si="0"/>
        <v>0</v>
      </c>
      <c r="J66" s="93"/>
      <c r="K66" s="92"/>
      <c r="L66" s="29"/>
      <c r="M66" s="184" t="str">
        <f>HYPERLINK("https://github.com/SaraElkadi/competitive-programming-/blob/master/LiveArchive/3634.cpp","Sol")</f>
        <v>Sol</v>
      </c>
    </row>
    <row r="67" spans="1:13" ht="15.6" thickTop="1" thickBot="1">
      <c r="A67" s="291" t="s">
        <v>906</v>
      </c>
      <c r="B67" s="212" t="str">
        <f>HYPERLINK("https://uva.onlinejudge.org/index.php?option=com_onlinejudge&amp;Itemid=8&amp;page=show_problem&amp;problem=4467","UVA 1592")</f>
        <v>UVA 1592</v>
      </c>
      <c r="C67" s="29"/>
      <c r="D67" s="259"/>
      <c r="E67" s="581" t="s">
        <v>10948</v>
      </c>
      <c r="F67" s="29"/>
      <c r="G67" s="29"/>
      <c r="H67" s="29"/>
      <c r="I67" s="103">
        <f t="shared" si="0"/>
        <v>0</v>
      </c>
      <c r="J67" s="93"/>
      <c r="K67" s="92"/>
      <c r="L67" s="29"/>
    </row>
    <row r="68" spans="1:13" ht="15" thickTop="1">
      <c r="A68" s="291" t="s">
        <v>907</v>
      </c>
      <c r="B68" s="212" t="str">
        <f>HYPERLINK("http://www.spoj.com/problems/GSS1/","SPOJ GSS1")</f>
        <v>SPOJ GSS1</v>
      </c>
      <c r="C68" s="29"/>
      <c r="D68" s="259"/>
      <c r="E68" s="560" t="s">
        <v>14450</v>
      </c>
      <c r="F68" s="29"/>
      <c r="G68" s="29"/>
      <c r="H68" s="29"/>
      <c r="I68" s="103">
        <f t="shared" si="0"/>
        <v>0</v>
      </c>
      <c r="J68" s="93"/>
      <c r="K68" s="92"/>
      <c r="L68" s="185"/>
      <c r="M68" s="184" t="str">
        <f>HYPERLINK("https://github.com/AliOsm/CompetitiveProgramming/blob/master/SPOJ/GSS1%20-%20Can%20you%20answer%20these%20queries%20I.cpp","Sol")</f>
        <v>Sol</v>
      </c>
    </row>
    <row r="69" spans="1:13" ht="13.2">
      <c r="A69" s="291"/>
      <c r="B69" s="230" t="str">
        <f>HYPERLINK("https://www.spoj.com/problems/BILLIARD/","SPOJ BILLIARD")</f>
        <v>SPOJ BILLIARD</v>
      </c>
      <c r="C69" s="29"/>
      <c r="D69" s="259"/>
      <c r="E69" s="464"/>
      <c r="F69" s="29"/>
      <c r="G69" s="29"/>
      <c r="H69" s="29"/>
      <c r="I69" s="103">
        <f t="shared" si="0"/>
        <v>0</v>
      </c>
      <c r="J69" s="93"/>
      <c r="K69" s="92"/>
      <c r="L69" s="185"/>
      <c r="M69" s="184" t="str">
        <f>HYPERLINK("https://github.com/osamahatem/CompetitiveProgramming/blob/master/SPOJ/BILLIARD.cpp","Sol")</f>
        <v>Sol</v>
      </c>
    </row>
    <row r="70" spans="1:13" ht="14.4">
      <c r="A70" s="291" t="s">
        <v>908</v>
      </c>
      <c r="B70" s="212" t="str">
        <f>HYPERLINK("http://www.spoj.com/problems/GSS3/","SPOJ GSS3")</f>
        <v>SPOJ GSS3</v>
      </c>
      <c r="C70" s="29"/>
      <c r="D70" s="259"/>
      <c r="E70" s="559"/>
      <c r="F70" s="29"/>
      <c r="G70" s="29"/>
      <c r="H70" s="29"/>
      <c r="I70" s="103">
        <f t="shared" si="0"/>
        <v>0</v>
      </c>
      <c r="J70" s="93"/>
      <c r="K70" s="92"/>
      <c r="L70" s="29"/>
    </row>
    <row r="71" spans="1:13" ht="13.2">
      <c r="A71" s="291"/>
      <c r="B71" s="291" t="s">
        <v>909</v>
      </c>
      <c r="C71" s="29"/>
      <c r="D71" s="259"/>
      <c r="E71" s="464"/>
      <c r="F71" s="29"/>
      <c r="G71" s="29"/>
      <c r="H71" s="29"/>
      <c r="I71" s="103">
        <f t="shared" si="0"/>
        <v>0</v>
      </c>
      <c r="J71" s="93"/>
      <c r="K71" s="92"/>
      <c r="L71" s="29"/>
      <c r="M71" s="184" t="str">
        <f>HYPERLINK("https://github.com/mostafa-saad/MyCompetitiveProgramming/blob/master/SPOJ/SPOJ_ABA12E.txt","Sol")</f>
        <v>Sol</v>
      </c>
    </row>
    <row r="72" spans="1:13" ht="14.4">
      <c r="A72" s="291"/>
      <c r="B72" s="291" t="s">
        <v>910</v>
      </c>
      <c r="C72" s="29"/>
      <c r="D72" s="259"/>
      <c r="E72" s="560" t="s">
        <v>14458</v>
      </c>
      <c r="F72" s="29"/>
      <c r="G72" s="29"/>
      <c r="H72" s="29"/>
      <c r="I72" s="103">
        <f t="shared" si="0"/>
        <v>0</v>
      </c>
      <c r="J72" s="93"/>
      <c r="K72" s="92"/>
      <c r="L72" s="29"/>
      <c r="M72" s="184" t="str">
        <f>HYPERLINK("https://github.com/ilyesG/Competitive-Programming/blob/master/UVA/UVA%2011825.cpp","Sol")</f>
        <v>Sol</v>
      </c>
    </row>
    <row r="73" spans="1:13" ht="13.8" thickBot="1">
      <c r="A73" s="291"/>
      <c r="B73" s="292" t="str">
        <f>HYPERLINK("http://codeforces.com/contest/472/problem/D","CF472-D12-D")</f>
        <v>CF472-D12-D</v>
      </c>
      <c r="C73" s="29"/>
      <c r="D73" s="259"/>
      <c r="E73" s="464"/>
      <c r="F73" s="29"/>
      <c r="G73" s="29"/>
      <c r="H73" s="29"/>
      <c r="I73" s="103">
        <f t="shared" si="0"/>
        <v>0</v>
      </c>
      <c r="J73" s="93"/>
      <c r="K73" s="92"/>
      <c r="L73" s="29"/>
    </row>
    <row r="74" spans="1:13" ht="15.6" thickTop="1" thickBot="1">
      <c r="A74" s="291"/>
      <c r="B74" s="291" t="s">
        <v>911</v>
      </c>
      <c r="C74" s="29"/>
      <c r="D74" s="259"/>
      <c r="E74" s="581"/>
      <c r="F74" s="29"/>
      <c r="G74" s="29"/>
      <c r="H74" s="29"/>
      <c r="I74" s="103">
        <f t="shared" si="0"/>
        <v>0</v>
      </c>
      <c r="J74" s="93"/>
      <c r="K74" s="92"/>
      <c r="L74" s="29"/>
      <c r="M74" s="184" t="str">
        <f>HYPERLINK("https://github.com/yazanKabbany/CompetitiveProgramming/blob/master/UVA/UVA%2012325.cpp","Prove your Solution")</f>
        <v>Prove your Solution</v>
      </c>
    </row>
    <row r="75" spans="1:13" ht="15.6" thickTop="1" thickBot="1">
      <c r="A75" s="291"/>
      <c r="B75" s="291" t="s">
        <v>912</v>
      </c>
      <c r="C75" s="29"/>
      <c r="D75" s="259"/>
      <c r="E75" s="559"/>
      <c r="F75" s="29"/>
      <c r="G75" s="29"/>
      <c r="H75" s="29"/>
      <c r="I75" s="103">
        <f t="shared" si="0"/>
        <v>0</v>
      </c>
      <c r="J75" s="93"/>
      <c r="K75" s="92"/>
      <c r="L75" s="29"/>
      <c r="M75" s="184" t="str">
        <f>HYPERLINK("https://github.com/ilyesG/Competitive-Programming/blob/master/UVA/UVA%2012047.cpp","Sol")</f>
        <v>Sol</v>
      </c>
    </row>
    <row r="76" spans="1:13" ht="15.6" thickTop="1" thickBot="1">
      <c r="A76" s="291"/>
      <c r="B76" s="291" t="s">
        <v>913</v>
      </c>
      <c r="C76" s="29"/>
      <c r="D76" s="259"/>
      <c r="E76" s="581"/>
      <c r="F76" s="29"/>
      <c r="G76" s="29"/>
      <c r="H76" s="29"/>
      <c r="I76" s="103">
        <f t="shared" si="0"/>
        <v>0</v>
      </c>
      <c r="J76" s="93"/>
      <c r="K76" s="92"/>
      <c r="L76" s="29"/>
      <c r="M76" s="184" t="str">
        <f>HYPERLINK("https://github.com/ilyesG/Competitive-Programming/blob/master/UVA/UVA%2010705.cpp","Sol")</f>
        <v>Sol</v>
      </c>
    </row>
    <row r="77" spans="1:13" ht="15" thickTop="1">
      <c r="A77" s="291"/>
      <c r="B77" s="292" t="str">
        <f>HYPERLINK("https://uva.onlinejudge.org/index.php?option=onlinejudge&amp;page=show_problem&amp;problem=4330","UVA 1555")</f>
        <v>UVA 1555</v>
      </c>
      <c r="C77" s="29"/>
      <c r="D77" s="259"/>
      <c r="E77" s="559"/>
      <c r="F77" s="29"/>
      <c r="G77" s="29"/>
      <c r="H77" s="29"/>
      <c r="I77" s="103">
        <f t="shared" si="0"/>
        <v>0</v>
      </c>
      <c r="J77" s="93"/>
      <c r="K77" s="92"/>
      <c r="L77" s="29"/>
      <c r="M77" s="293" t="str">
        <f>HYPERLINK("https://github.com/mostafa-saad/MyCompetitiveProgramming/blob/master/UVA/UVA_1555.txt","Sol")</f>
        <v>Sol</v>
      </c>
    </row>
    <row r="78" spans="1:13" ht="14.4">
      <c r="A78" s="291"/>
      <c r="B78" s="292" t="str">
        <f>HYPERLINK("http://codeforces.com/contest/80/problem/D","CF80-D2-D")</f>
        <v>CF80-D2-D</v>
      </c>
      <c r="C78" s="29"/>
      <c r="D78" s="259"/>
      <c r="E78" s="560" t="s">
        <v>14459</v>
      </c>
      <c r="F78" s="29"/>
      <c r="G78" s="29"/>
      <c r="H78" s="29"/>
      <c r="I78" s="103">
        <f t="shared" si="0"/>
        <v>0</v>
      </c>
      <c r="J78" s="93"/>
      <c r="K78" s="92"/>
      <c r="L78" s="29"/>
    </row>
    <row r="79" spans="1:13" ht="13.2">
      <c r="A79" s="83"/>
      <c r="B79" s="84"/>
      <c r="C79" s="29"/>
      <c r="D79" s="259"/>
      <c r="E79" s="259"/>
      <c r="F79" s="29"/>
      <c r="G79" s="29"/>
      <c r="H79" s="29"/>
      <c r="I79" s="103">
        <f t="shared" si="0"/>
        <v>0</v>
      </c>
      <c r="J79" s="62"/>
      <c r="K79" s="56"/>
      <c r="L79" s="29"/>
      <c r="M79" s="117"/>
    </row>
    <row r="80" spans="1:13" ht="13.2">
      <c r="A80" s="105" t="s">
        <v>914</v>
      </c>
      <c r="B80" s="294" t="str">
        <f>HYPERLINK("http://codeforces.com/contest/766/problem/D","CF766-D2-D")</f>
        <v>CF766-D2-D</v>
      </c>
      <c r="C80" s="29"/>
      <c r="D80" s="259"/>
      <c r="E80" s="464"/>
      <c r="F80" s="29"/>
      <c r="G80" s="29"/>
      <c r="H80" s="29"/>
      <c r="I80" s="103">
        <f t="shared" si="0"/>
        <v>0</v>
      </c>
      <c r="J80" s="62"/>
      <c r="K80" s="56"/>
      <c r="L80" s="29"/>
      <c r="M80" s="82" t="str">
        <f>HYPERLINK("https://www.youtube.com/watch?v=W0O3QNh0-DU","Video Solution - Solver to be (Java)")</f>
        <v>Video Solution - Solver to be (Java)</v>
      </c>
    </row>
    <row r="81" spans="1:13" ht="13.2">
      <c r="A81" s="105" t="s">
        <v>915</v>
      </c>
      <c r="B81" s="294" t="str">
        <f>HYPERLINK("http://codeforces.com/contest/814/problem/D","CF814-D2-D")</f>
        <v>CF814-D2-D</v>
      </c>
      <c r="C81" s="29"/>
      <c r="D81" s="259"/>
      <c r="E81" s="487" t="s">
        <v>1390</v>
      </c>
      <c r="F81" s="29"/>
      <c r="G81" s="29"/>
      <c r="H81" s="29"/>
      <c r="I81" s="103">
        <f t="shared" si="0"/>
        <v>0</v>
      </c>
      <c r="J81" s="62"/>
      <c r="K81" s="56"/>
      <c r="L81" s="29"/>
      <c r="M81" s="82" t="str">
        <f>HYPERLINK("https://www.youtube.com/watch?v=UWtHck3a4SA","Video Solution - Solver to be (Java)")</f>
        <v>Video Solution - Solver to be (Java)</v>
      </c>
    </row>
    <row r="82" spans="1:13" ht="14.4">
      <c r="A82" s="86" t="s">
        <v>916</v>
      </c>
      <c r="B82" s="295" t="str">
        <f>HYPERLINK("http://codeforces.com/contest/617/problem/D","CF617-D2-D")</f>
        <v>CF617-D2-D</v>
      </c>
      <c r="C82" s="29"/>
      <c r="D82" s="259"/>
      <c r="E82" s="559"/>
      <c r="F82" s="29"/>
      <c r="G82" s="29"/>
      <c r="H82" s="29"/>
      <c r="I82" s="103">
        <f t="shared" si="0"/>
        <v>0</v>
      </c>
      <c r="J82" s="93"/>
      <c r="K82" s="92"/>
      <c r="L82" s="29"/>
      <c r="M82" s="29"/>
    </row>
    <row r="83" spans="1:13" ht="14.4">
      <c r="A83" s="86" t="s">
        <v>638</v>
      </c>
      <c r="B83" s="295" t="str">
        <f>HYPERLINK("http://codeforces.com/contest/92/problem/D","CF92-D2-D")</f>
        <v>CF92-D2-D</v>
      </c>
      <c r="C83" s="29"/>
      <c r="D83" s="259"/>
      <c r="E83" s="559"/>
      <c r="F83" s="29"/>
      <c r="G83" s="29"/>
      <c r="H83" s="29"/>
      <c r="I83" s="103">
        <f t="shared" si="0"/>
        <v>0</v>
      </c>
      <c r="J83" s="93"/>
      <c r="K83" s="92"/>
      <c r="L83" s="29"/>
      <c r="M83" s="29"/>
    </row>
    <row r="84" spans="1:13" ht="14.4">
      <c r="A84" s="86"/>
      <c r="B84" s="295" t="str">
        <f>HYPERLINK("http://codeforces.com/contest/1038/problem/D","CF1038-D2-D")</f>
        <v>CF1038-D2-D</v>
      </c>
      <c r="C84" s="29"/>
      <c r="D84" s="259"/>
      <c r="E84" s="559"/>
      <c r="F84" s="29"/>
      <c r="G84" s="29"/>
      <c r="H84" s="29"/>
      <c r="I84" s="103">
        <f t="shared" si="0"/>
        <v>0</v>
      </c>
      <c r="J84" s="93"/>
      <c r="K84" s="92"/>
      <c r="L84" s="29"/>
      <c r="M84" s="29"/>
    </row>
    <row r="85" spans="1:13" ht="14.4">
      <c r="A85" s="86"/>
      <c r="B85" s="295" t="str">
        <f>HYPERLINK("http://codeforces.com/contest/552/problem/D","CF552-D2-D")</f>
        <v>CF552-D2-D</v>
      </c>
      <c r="C85" s="29"/>
      <c r="D85" s="259"/>
      <c r="E85" s="559"/>
      <c r="F85" s="29"/>
      <c r="G85" s="29"/>
      <c r="H85" s="29"/>
      <c r="I85" s="103">
        <f t="shared" si="0"/>
        <v>0</v>
      </c>
      <c r="J85" s="93"/>
      <c r="K85" s="92"/>
      <c r="L85" s="29"/>
      <c r="M85" s="29"/>
    </row>
    <row r="86" spans="1:13" ht="13.2">
      <c r="A86" s="86"/>
      <c r="B86" s="295" t="str">
        <f>HYPERLINK("https://codeforces.com/gym/101917/problem/E", "CF101917-D12-E")</f>
        <v>CF101917-D12-E</v>
      </c>
      <c r="C86" s="29"/>
      <c r="D86" s="259"/>
      <c r="E86" s="487" t="s">
        <v>1390</v>
      </c>
      <c r="F86" s="29"/>
      <c r="G86" s="29"/>
      <c r="H86" s="29"/>
      <c r="I86" s="103">
        <f t="shared" si="0"/>
        <v>0</v>
      </c>
      <c r="J86" s="93"/>
      <c r="K86" s="92"/>
      <c r="L86" s="29"/>
      <c r="M86" s="29"/>
    </row>
    <row r="87" spans="1:13" ht="13.2">
      <c r="A87" s="86"/>
      <c r="B87" s="295" t="str">
        <f>HYPERLINK("http://codeforces.com/contest/1058/problem/D","CF1058-D2-D")</f>
        <v>CF1058-D2-D</v>
      </c>
      <c r="C87" s="29"/>
      <c r="D87" s="259"/>
      <c r="E87" s="487" t="s">
        <v>1390</v>
      </c>
      <c r="F87" s="29"/>
      <c r="G87" s="29"/>
      <c r="H87" s="29"/>
      <c r="I87" s="103">
        <f t="shared" si="0"/>
        <v>0</v>
      </c>
      <c r="J87" s="93"/>
      <c r="K87" s="92"/>
      <c r="L87" s="29"/>
      <c r="M87" s="29"/>
    </row>
    <row r="88" spans="1:13" ht="14.4">
      <c r="A88" s="86"/>
      <c r="B88" s="295" t="str">
        <f>HYPERLINK("http://codeforces.com/contest/1043/problem/D", "CF1042-D12-D")</f>
        <v>CF1042-D12-D</v>
      </c>
      <c r="C88" s="29"/>
      <c r="D88" s="259"/>
      <c r="E88" s="559"/>
      <c r="F88" s="29"/>
      <c r="G88" s="29"/>
      <c r="H88" s="29"/>
      <c r="I88" s="103">
        <f t="shared" si="0"/>
        <v>0</v>
      </c>
      <c r="J88" s="93"/>
      <c r="K88" s="92"/>
      <c r="L88" s="29"/>
      <c r="M88" s="29"/>
    </row>
    <row r="89" spans="1:13" ht="13.2">
      <c r="A89" s="211"/>
      <c r="B89" s="211" t="s">
        <v>917</v>
      </c>
      <c r="C89" s="29"/>
      <c r="D89" s="259"/>
      <c r="E89" s="464" t="s">
        <v>14465</v>
      </c>
      <c r="F89" s="29"/>
      <c r="G89" s="29"/>
      <c r="H89" s="29"/>
      <c r="I89" s="103">
        <f t="shared" si="0"/>
        <v>0</v>
      </c>
      <c r="J89" s="93"/>
      <c r="K89" s="92"/>
      <c r="L89" s="29"/>
      <c r="M89" s="186" t="str">
        <f>HYPERLINK("https://github.com/MNT95/Competitive-Programming/blob/master/SPOJ/BIA.cpp?fbclid=IwAR1xR9CTVVj2L_Hr-1m5uIqAFHRc8Bh78z11v46sPyVjHwHeE3MvPrcMbn8","Sol")</f>
        <v>Sol</v>
      </c>
    </row>
    <row r="90" spans="1:13" ht="14.4">
      <c r="A90" s="214" t="s">
        <v>918</v>
      </c>
      <c r="B90" s="260" t="str">
        <f>HYPERLINK("http://codeforces.com/contest/186/problem/C","CF186-D2-C")</f>
        <v>CF186-D2-C</v>
      </c>
      <c r="C90" s="29"/>
      <c r="D90" s="259"/>
      <c r="E90" s="559"/>
      <c r="F90" s="29"/>
      <c r="G90" s="29"/>
      <c r="H90" s="29"/>
      <c r="I90" s="103">
        <f t="shared" si="0"/>
        <v>0</v>
      </c>
      <c r="J90" s="93"/>
      <c r="K90" s="92"/>
      <c r="L90" s="29"/>
      <c r="M90" s="29"/>
    </row>
    <row r="91" spans="1:13" ht="14.4">
      <c r="A91" s="214" t="s">
        <v>919</v>
      </c>
      <c r="B91" s="260" t="str">
        <f>HYPERLINK("http://codeforces.com/contest/667/problem/C","CF667-D2-C")</f>
        <v>CF667-D2-C</v>
      </c>
      <c r="C91" s="29"/>
      <c r="D91" s="259"/>
      <c r="E91" s="559"/>
      <c r="F91" s="29"/>
      <c r="G91" s="29"/>
      <c r="H91" s="29"/>
      <c r="I91" s="103">
        <f t="shared" si="0"/>
        <v>0</v>
      </c>
      <c r="J91" s="93"/>
      <c r="K91" s="92"/>
      <c r="L91" s="29"/>
      <c r="M91" s="29"/>
    </row>
    <row r="92" spans="1:13" ht="14.4">
      <c r="A92" s="214" t="s">
        <v>920</v>
      </c>
      <c r="B92" s="260" t="str">
        <f>HYPERLINK("http://codeforces.com/contest/287/problem/C","CF287-D2-C")</f>
        <v>CF287-D2-C</v>
      </c>
      <c r="C92" s="29"/>
      <c r="D92" s="259"/>
      <c r="E92" s="559"/>
      <c r="F92" s="29"/>
      <c r="G92" s="29"/>
      <c r="H92" s="29"/>
      <c r="I92" s="103">
        <f t="shared" si="0"/>
        <v>0</v>
      </c>
      <c r="J92" s="93"/>
      <c r="K92" s="92"/>
      <c r="L92" s="29"/>
      <c r="M92" s="29"/>
    </row>
    <row r="93" spans="1:13" ht="13.2">
      <c r="A93" s="26"/>
      <c r="B93" s="26"/>
      <c r="C93" s="29"/>
      <c r="D93" s="259"/>
      <c r="E93" s="259"/>
      <c r="F93" s="29"/>
      <c r="G93" s="29"/>
      <c r="H93" s="29"/>
      <c r="I93" s="103">
        <f t="shared" si="0"/>
        <v>0</v>
      </c>
      <c r="J93" s="93"/>
      <c r="K93" s="92"/>
      <c r="L93" s="29"/>
      <c r="M93" s="296" t="str">
        <f>HYPERLINK("https://www.youtube.com/watch?v=nv6Z6n02Oi0","DP - Probability")</f>
        <v>DP - Probability</v>
      </c>
    </row>
    <row r="94" spans="1:13" ht="15" thickBot="1">
      <c r="A94" s="297" t="s">
        <v>921</v>
      </c>
      <c r="B94" s="298" t="str">
        <f>HYPERLINK("https://uva.onlinejudge.org/index.php?option=com_onlinejudge&amp;Itemid=8&amp;page=show_problem&amp;problem=1700","UVA 10759")</f>
        <v>UVA 10759</v>
      </c>
      <c r="C94" s="29"/>
      <c r="D94" s="259"/>
      <c r="E94" s="559"/>
      <c r="F94" s="29"/>
      <c r="G94" s="29"/>
      <c r="H94" s="29"/>
      <c r="I94" s="103">
        <f t="shared" si="0"/>
        <v>0</v>
      </c>
      <c r="J94" s="93"/>
      <c r="K94" s="92"/>
      <c r="L94" s="29"/>
      <c r="M94" s="184" t="str">
        <f>HYPERLINK("https://github.com/VAMPIER000001/CompetitiveProgramming/blob/master/UVA/V-107/UVa%2010759.cpp","Sol")</f>
        <v>Sol</v>
      </c>
    </row>
    <row r="95" spans="1:13" ht="15.6" thickTop="1" thickBot="1">
      <c r="A95" s="290" t="str">
        <f>HYPERLINK("https://community.topcoder.com/stat?c=problem_statement&amp;pm=7422&amp;rd=10663","TestBettingStrategy")</f>
        <v>TestBettingStrategy</v>
      </c>
      <c r="B95" s="297" t="s">
        <v>922</v>
      </c>
      <c r="C95" s="29"/>
      <c r="D95" s="259"/>
      <c r="E95" s="581" t="s">
        <v>14314</v>
      </c>
      <c r="F95" s="29"/>
      <c r="G95" s="29"/>
      <c r="H95" s="29"/>
      <c r="I95" s="103">
        <f t="shared" si="0"/>
        <v>0</v>
      </c>
      <c r="J95" s="26"/>
      <c r="K95" s="29"/>
      <c r="L95" s="29"/>
    </row>
    <row r="96" spans="1:13" ht="15.6" thickTop="1" thickBot="1">
      <c r="A96" s="297" t="s">
        <v>923</v>
      </c>
      <c r="B96" s="289" t="str">
        <f>HYPERLINK("http://poj.org/problem?id=2096","PKU 2096")</f>
        <v>PKU 2096</v>
      </c>
      <c r="C96" s="29"/>
      <c r="D96" s="259"/>
      <c r="E96" s="581" t="s">
        <v>14314</v>
      </c>
      <c r="F96" s="29"/>
      <c r="G96" s="29"/>
      <c r="H96" s="29"/>
      <c r="I96" s="103">
        <f t="shared" si="0"/>
        <v>0</v>
      </c>
      <c r="J96" s="93"/>
      <c r="K96" s="92"/>
      <c r="M96" s="184" t="str">
        <f>HYPERLINK("https://github.com/MichaelMounir12/CompetitiveProgramming/blob/478ef4641bab747e4fd63fffdff7d55287242921/PKU/PKU_2096.cpp","Sol")</f>
        <v>Sol</v>
      </c>
    </row>
    <row r="97" spans="1:13" ht="15.6" thickTop="1" thickBot="1">
      <c r="A97" s="297" t="s">
        <v>924</v>
      </c>
      <c r="B97" s="289" t="str">
        <f>HYPERLINK("https://uva.onlinejudge.org/index.php?option=onlinejudge&amp;page=show_problem&amp;problem=483","UVA 542")</f>
        <v>UVA 542</v>
      </c>
      <c r="C97" s="29"/>
      <c r="D97" s="259"/>
      <c r="E97" s="559"/>
      <c r="F97" s="29"/>
      <c r="G97" s="29"/>
      <c r="H97" s="29"/>
      <c r="I97" s="103">
        <f t="shared" si="0"/>
        <v>0</v>
      </c>
      <c r="J97" s="26"/>
      <c r="K97" s="29"/>
      <c r="M97" s="184" t="str">
        <f>HYPERLINK("https://github.com/mostafa-saad/MyCompetitiveProgramming/blob/master/UVA/UVA_542.txt","Sol")</f>
        <v>Sol</v>
      </c>
    </row>
    <row r="98" spans="1:13" ht="15.6" thickTop="1" thickBot="1">
      <c r="A98" s="297" t="s">
        <v>925</v>
      </c>
      <c r="B98" s="298" t="str">
        <f>HYPERLINK("https://uva.onlinejudge.org/index.php?option=com_onlinejudge&amp;Itemid=8&amp;page=show_problem&amp;problem=1962","UVA 11021")</f>
        <v>UVA 11021</v>
      </c>
      <c r="C98" s="29"/>
      <c r="D98" s="259"/>
      <c r="E98" s="582" t="s">
        <v>14314</v>
      </c>
      <c r="F98" s="29"/>
      <c r="G98" s="29"/>
      <c r="H98" s="29"/>
      <c r="I98" s="103">
        <f t="shared" si="0"/>
        <v>0</v>
      </c>
      <c r="J98" s="26"/>
      <c r="K98" s="29"/>
      <c r="L98" s="29"/>
      <c r="M98" s="184" t="str">
        <f>HYPERLINK("https://github.com/VAMPIER000001/CompetitiveProgramming/blob/master/UVA/V-110/UVA%2011021.cpp","Sol")</f>
        <v>Sol</v>
      </c>
    </row>
    <row r="99" spans="1:13" ht="15" thickTop="1">
      <c r="A99" s="297" t="s">
        <v>926</v>
      </c>
      <c r="B99" s="298" t="str">
        <f>HYPERLINK("https://uva.onlinejudge.org/index.php?option=com_onlinejudge&amp;Itemid=8&amp;page=show_problem&amp;problem=3888","UVA 12457")</f>
        <v>UVA 12457</v>
      </c>
      <c r="C99" s="29"/>
      <c r="D99" s="259"/>
      <c r="E99" s="559"/>
      <c r="F99" s="29"/>
      <c r="G99" s="29"/>
      <c r="H99" s="29"/>
      <c r="I99" s="103">
        <f t="shared" si="0"/>
        <v>0</v>
      </c>
      <c r="J99" s="26"/>
      <c r="K99" s="29"/>
      <c r="M99" s="184" t="str">
        <f>HYPERLINK("https://github.com/3agwa/CompetitiveProgramming/blob/master/UVA/UVA%2012457","Sol")</f>
        <v>Sol</v>
      </c>
    </row>
    <row r="100" spans="1:13" ht="14.4">
      <c r="A100" s="211" t="s">
        <v>927</v>
      </c>
      <c r="B100" s="212" t="str">
        <f>HYPERLINK("https://uva.onlinejudge.org/index.php?option=com_onlinejudge&amp;Itemid=8&amp;page=show_problem&amp;problem=774","UVA 833")</f>
        <v>UVA 833</v>
      </c>
      <c r="C100" s="29"/>
      <c r="D100" s="259"/>
      <c r="E100" s="559" t="s">
        <v>14473</v>
      </c>
      <c r="F100" s="29"/>
      <c r="G100" s="29"/>
      <c r="H100" s="29"/>
      <c r="I100" s="103">
        <f t="shared" si="0"/>
        <v>0</v>
      </c>
      <c r="J100" s="93"/>
      <c r="K100" s="92"/>
    </row>
    <row r="101" spans="1:13" ht="14.4">
      <c r="A101" s="211" t="s">
        <v>928</v>
      </c>
      <c r="B101" s="212" t="str">
        <f>HYPERLINK("https://uva.onlinejudge.org/index.php?option=com_onlinejudge&amp;Itemid=8&amp;page=show_problem&amp;problem=1647","UVA 10706")</f>
        <v>UVA 10706</v>
      </c>
      <c r="C101" s="29"/>
      <c r="D101" s="259"/>
      <c r="E101" s="559"/>
      <c r="F101" s="29"/>
      <c r="G101" s="29"/>
      <c r="H101" s="29"/>
      <c r="I101" s="103">
        <f t="shared" si="0"/>
        <v>0</v>
      </c>
      <c r="J101" s="93"/>
      <c r="K101" s="92"/>
      <c r="L101" s="29"/>
    </row>
    <row r="102" spans="1:13" ht="13.2">
      <c r="A102" s="211" t="s">
        <v>929</v>
      </c>
      <c r="B102" s="212" t="str">
        <f>HYPERLINK("https://uva.onlinejudge.org/index.php?option=com_onlinejudge&amp;Itemid=8&amp;page=show_problem&amp;problem=556","UVA 615")</f>
        <v>UVA 615</v>
      </c>
      <c r="C102" s="29"/>
      <c r="D102" s="259"/>
      <c r="E102" s="259"/>
      <c r="F102" s="29"/>
      <c r="G102" s="29"/>
      <c r="H102" s="29"/>
      <c r="I102" s="103">
        <f t="shared" si="0"/>
        <v>0</v>
      </c>
      <c r="J102" s="93"/>
      <c r="K102" s="92"/>
      <c r="L102" s="29"/>
    </row>
    <row r="103" spans="1:13" ht="13.2">
      <c r="A103" s="299" t="s">
        <v>930</v>
      </c>
      <c r="B103" s="300" t="str">
        <f>HYPERLINK("http://www.spoj.com/problems/HELPR2D2","SPOJ HELPR2D2")</f>
        <v>SPOJ HELPR2D2</v>
      </c>
      <c r="C103" s="29"/>
      <c r="D103" s="259"/>
      <c r="E103" s="259"/>
      <c r="F103" s="29"/>
      <c r="G103" s="29"/>
      <c r="H103" s="29"/>
      <c r="I103" s="103">
        <f t="shared" si="0"/>
        <v>0</v>
      </c>
      <c r="J103" s="26"/>
      <c r="K103" s="29"/>
      <c r="L103" s="29"/>
    </row>
    <row r="104" spans="1:13" ht="13.2">
      <c r="A104" s="301"/>
      <c r="B104" s="302" t="str">
        <f>HYPERLINK("https://github.com/racsosabe/CompetitiveProgramming/blob/master/CodeForces/CF1016-D2-E.cpp","CF1016-D2-E")</f>
        <v>CF1016-D2-E</v>
      </c>
      <c r="C104" s="29"/>
      <c r="D104" s="259"/>
      <c r="E104" s="259"/>
      <c r="F104" s="29"/>
      <c r="G104" s="29"/>
      <c r="H104" s="29"/>
      <c r="I104" s="103">
        <f t="shared" si="0"/>
        <v>0</v>
      </c>
      <c r="J104" s="62"/>
      <c r="K104" s="56"/>
      <c r="L104" s="29"/>
    </row>
    <row r="105" spans="1:13" ht="13.2">
      <c r="A105" s="301"/>
      <c r="B105" s="301" t="s">
        <v>931</v>
      </c>
      <c r="C105" s="29"/>
      <c r="D105" s="259"/>
      <c r="E105" s="259"/>
      <c r="F105" s="29"/>
      <c r="G105" s="29"/>
      <c r="H105" s="29"/>
      <c r="I105" s="103">
        <f t="shared" si="0"/>
        <v>0</v>
      </c>
      <c r="J105" s="62"/>
      <c r="K105" s="56"/>
      <c r="L105" s="29"/>
      <c r="M105" s="184" t="str">
        <f>HYPERLINK("https://github.com/thackerhelik/UVA/blob/master/11997.cpp","Sol")</f>
        <v>Sol</v>
      </c>
    </row>
    <row r="106" spans="1:13" ht="13.2">
      <c r="A106" s="301"/>
      <c r="B106" s="302" t="str">
        <f>HYPERLINK("https://www.facebook.com/hackercup/problem/180494849326631/","FbHkrCup 18-R1-A")</f>
        <v>FbHkrCup 18-R1-A</v>
      </c>
      <c r="C106" s="29"/>
      <c r="D106" s="259"/>
      <c r="E106" s="259"/>
      <c r="F106" s="29"/>
      <c r="G106" s="29"/>
      <c r="H106" s="29"/>
      <c r="I106" s="103">
        <f t="shared" si="0"/>
        <v>0</v>
      </c>
      <c r="J106" s="62"/>
      <c r="K106" s="56"/>
      <c r="L106" s="29"/>
    </row>
    <row r="107" spans="1:13" ht="13.2">
      <c r="A107" s="301"/>
      <c r="B107" s="301" t="s">
        <v>932</v>
      </c>
      <c r="C107" s="29"/>
      <c r="D107" s="259"/>
      <c r="E107" s="569" t="s">
        <v>14314</v>
      </c>
      <c r="F107" s="29"/>
      <c r="G107" s="29"/>
      <c r="H107" s="29"/>
      <c r="I107" s="103">
        <f t="shared" si="0"/>
        <v>0</v>
      </c>
      <c r="J107" s="62"/>
      <c r="K107" s="56"/>
      <c r="L107" s="29"/>
    </row>
    <row r="108" spans="1:13" ht="13.2">
      <c r="A108" s="303"/>
      <c r="B108" s="304"/>
      <c r="C108" s="29"/>
      <c r="D108" s="259"/>
      <c r="E108" s="259"/>
      <c r="F108" s="29"/>
      <c r="G108" s="29"/>
      <c r="H108" s="29"/>
      <c r="I108" s="103">
        <f t="shared" si="0"/>
        <v>0</v>
      </c>
      <c r="J108" s="62"/>
      <c r="K108" s="56"/>
      <c r="L108" s="29"/>
    </row>
    <row r="109" spans="1:13" ht="26.4">
      <c r="A109" s="166" t="s">
        <v>933</v>
      </c>
      <c r="B109" s="236" t="str">
        <f>HYPERLINK("http://codeforces.com/contest/443/problem/D","CF443-D2-D")</f>
        <v>CF443-D2-D</v>
      </c>
      <c r="C109" s="29"/>
      <c r="D109" s="259"/>
      <c r="E109" s="578" t="s">
        <v>14480</v>
      </c>
      <c r="F109" s="29"/>
      <c r="G109" s="29"/>
      <c r="H109" s="29"/>
      <c r="I109" s="103">
        <f t="shared" si="0"/>
        <v>0</v>
      </c>
      <c r="J109" s="93"/>
      <c r="K109" s="92"/>
      <c r="M109" s="184" t="str">
        <f>HYPERLINK("http://codeforces.com/contest/443/submission/27060632","Sol")</f>
        <v>Sol</v>
      </c>
    </row>
    <row r="110" spans="1:13" ht="14.4">
      <c r="A110" s="86" t="s">
        <v>934</v>
      </c>
      <c r="B110" s="295" t="str">
        <f>HYPERLINK("http://codeforces.com/contest/581/problem/D","CF581-D2-D")</f>
        <v>CF581-D2-D</v>
      </c>
      <c r="C110" s="29"/>
      <c r="D110" s="259"/>
      <c r="E110" s="541"/>
      <c r="F110" s="29"/>
      <c r="G110" s="29"/>
      <c r="H110" s="29"/>
      <c r="I110" s="103">
        <f t="shared" si="0"/>
        <v>0</v>
      </c>
      <c r="J110" s="93"/>
      <c r="K110" s="92"/>
      <c r="L110" s="29"/>
      <c r="M110" s="29"/>
    </row>
    <row r="111" spans="1:13" ht="28.8">
      <c r="A111" s="86" t="s">
        <v>935</v>
      </c>
      <c r="B111" s="185" t="str">
        <f>HYPERLINK("http://codeforces.com/contest/265/problem/D","CF265-D2-D")</f>
        <v>CF265-D2-D</v>
      </c>
      <c r="C111" s="29"/>
      <c r="D111" s="259"/>
      <c r="E111" s="567" t="s">
        <v>14496</v>
      </c>
      <c r="F111" s="29"/>
      <c r="G111" s="29"/>
      <c r="H111" s="29"/>
      <c r="I111" s="103">
        <f t="shared" si="0"/>
        <v>0</v>
      </c>
      <c r="J111" s="93"/>
      <c r="K111" s="92"/>
      <c r="L111" s="29"/>
      <c r="M111" s="29"/>
    </row>
    <row r="112" spans="1:13" ht="14.4">
      <c r="A112" s="214" t="s">
        <v>936</v>
      </c>
      <c r="B112" s="260" t="str">
        <f>HYPERLINK("http://codeforces.com/contest/116/problem/C","CF116-D2-C")</f>
        <v>CF116-D2-C</v>
      </c>
      <c r="C112" s="29"/>
      <c r="D112" s="259"/>
      <c r="E112" s="541"/>
      <c r="F112" s="29"/>
      <c r="G112" s="29"/>
      <c r="H112" s="29"/>
      <c r="I112" s="103">
        <f t="shared" si="0"/>
        <v>0</v>
      </c>
      <c r="J112" s="93"/>
      <c r="K112" s="92"/>
      <c r="L112" s="29"/>
      <c r="M112" s="29"/>
    </row>
    <row r="113" spans="1:13" ht="13.2">
      <c r="A113" s="214" t="s">
        <v>937</v>
      </c>
      <c r="B113" s="260" t="str">
        <f>HYPERLINK("http://codeforces.com/contest/342/problem/C","CF342-D2-C")</f>
        <v>CF342-D2-C</v>
      </c>
      <c r="C113" s="29"/>
      <c r="D113" s="259"/>
      <c r="E113" s="577" t="s">
        <v>1390</v>
      </c>
      <c r="F113" s="29"/>
      <c r="G113" s="29"/>
      <c r="H113" s="29"/>
      <c r="I113" s="103">
        <f t="shared" si="0"/>
        <v>0</v>
      </c>
      <c r="J113" s="93"/>
      <c r="K113" s="92"/>
      <c r="L113" s="29"/>
      <c r="M113" s="29"/>
    </row>
    <row r="114" spans="1:13" ht="14.4">
      <c r="A114" s="214" t="s">
        <v>938</v>
      </c>
      <c r="B114" s="260" t="str">
        <f>HYPERLINK("http://codeforces.com/contest/233/problem/C","CF233-D2-C")</f>
        <v>CF233-D2-C</v>
      </c>
      <c r="C114" s="29"/>
      <c r="D114" s="259"/>
      <c r="E114" s="541"/>
      <c r="F114" s="29"/>
      <c r="G114" s="29"/>
      <c r="H114" s="29"/>
      <c r="I114" s="103">
        <f t="shared" si="0"/>
        <v>0</v>
      </c>
      <c r="J114" s="93"/>
      <c r="K114" s="92"/>
      <c r="L114" s="29"/>
      <c r="M114" s="29"/>
    </row>
    <row r="115" spans="1:13" ht="13.2">
      <c r="A115" s="26"/>
      <c r="B115" s="26"/>
      <c r="C115" s="29"/>
      <c r="D115" s="259"/>
      <c r="E115" s="259"/>
      <c r="F115" s="29"/>
      <c r="G115" s="29"/>
      <c r="H115" s="29"/>
      <c r="I115" s="103">
        <f t="shared" si="0"/>
        <v>0</v>
      </c>
      <c r="J115" s="93"/>
      <c r="K115" s="92"/>
      <c r="L115" s="29"/>
      <c r="M115" s="296" t="str">
        <f>HYPERLINK("https://www.youtube.com/watch?v=8aATaY9sdeE&amp;index=10&amp;list=PLPt2dINI2MIattDutu7IOAMlUuLeN8k2p&amp;t=3s","DP - Masks (2 vid)")</f>
        <v>DP - Masks (2 vid)</v>
      </c>
    </row>
    <row r="116" spans="1:13" ht="26.4">
      <c r="A116" s="305" t="s">
        <v>939</v>
      </c>
      <c r="B116" s="289" t="str">
        <f>HYPERLINK("https://uva.onlinejudge.org/index.php?option=com_onlinejudge&amp;Itemid=8&amp;page=show_problem&amp;problem=1592","UVA 10651")</f>
        <v>UVA 10651</v>
      </c>
      <c r="C116" s="29"/>
      <c r="D116" s="259"/>
      <c r="E116" s="487" t="s">
        <v>14467</v>
      </c>
      <c r="F116" s="29" t="s">
        <v>14468</v>
      </c>
      <c r="G116" s="29"/>
      <c r="H116" s="29"/>
      <c r="I116" s="103">
        <f t="shared" si="0"/>
        <v>0</v>
      </c>
      <c r="J116" s="26"/>
      <c r="K116" s="29"/>
      <c r="L116" s="29"/>
      <c r="M116" s="29"/>
    </row>
    <row r="117" spans="1:13" ht="14.4">
      <c r="A117" s="306" t="s">
        <v>940</v>
      </c>
      <c r="B117" s="289" t="str">
        <f>HYPERLINK("http://codeforces.com/contest/580/problem/D","CF580-D2-D")</f>
        <v>CF580-D2-D</v>
      </c>
      <c r="C117" s="29"/>
      <c r="D117" s="259"/>
      <c r="E117" s="560" t="s">
        <v>14466</v>
      </c>
      <c r="F117" s="29"/>
      <c r="G117" s="29"/>
      <c r="H117" s="29"/>
      <c r="I117" s="103">
        <f t="shared" si="0"/>
        <v>0</v>
      </c>
      <c r="J117" s="26"/>
      <c r="K117" s="29"/>
      <c r="L117" s="29"/>
      <c r="M117" s="82" t="str">
        <f>HYPERLINK("https://www.youtube.com/watch?v=GvWLpm0tBEU&amp;index=29&amp;list=PLPSFnlxEu99Eds9cvJPk49sljXXvarTxM","Video Solution - Solver to be")</f>
        <v>Video Solution - Solver to be</v>
      </c>
    </row>
    <row r="118" spans="1:13" ht="13.2">
      <c r="A118" s="307" t="s">
        <v>901</v>
      </c>
      <c r="B118" s="289" t="str">
        <f>HYPERLINK("http://www.spoj.com/problems/PERMUT1/","SPOJ PERMUT1")</f>
        <v>SPOJ PERMUT1</v>
      </c>
      <c r="C118" s="29"/>
      <c r="D118" s="259"/>
      <c r="E118" s="570" t="s">
        <v>14314</v>
      </c>
      <c r="F118" s="29"/>
      <c r="G118" s="29"/>
      <c r="H118" s="29"/>
      <c r="I118" s="103">
        <f t="shared" si="0"/>
        <v>0</v>
      </c>
      <c r="J118" s="26"/>
      <c r="K118" s="29"/>
      <c r="L118" s="29"/>
      <c r="M118" s="29"/>
    </row>
    <row r="119" spans="1:13" ht="14.4">
      <c r="A119" s="308" t="s">
        <v>941</v>
      </c>
      <c r="B119" s="289" t="str">
        <f>HYPERLINK("http://www.spoj.com/problems/ASSIGN/","SPOJ ASSIGN")</f>
        <v>SPOJ ASSIGN</v>
      </c>
      <c r="C119" s="29"/>
      <c r="D119" s="259"/>
      <c r="E119" s="559"/>
      <c r="F119" s="29"/>
      <c r="G119" s="29"/>
      <c r="H119" s="29"/>
      <c r="I119" s="103">
        <f t="shared" si="0"/>
        <v>0</v>
      </c>
      <c r="J119" s="93"/>
      <c r="K119" s="92"/>
      <c r="L119" s="29"/>
      <c r="M119" s="29"/>
    </row>
    <row r="120" spans="1:13" ht="13.2">
      <c r="A120" s="211"/>
      <c r="B120" s="212" t="str">
        <f>HYPERLINK("http://codeforces.com/contest/16/problem/E","CF16-D2-E")</f>
        <v>CF16-D2-E</v>
      </c>
      <c r="C120" s="29"/>
      <c r="D120" s="259"/>
      <c r="E120" s="571" t="s">
        <v>14314</v>
      </c>
      <c r="F120" s="29"/>
      <c r="G120" s="29"/>
      <c r="H120" s="29"/>
      <c r="I120" s="103">
        <f t="shared" si="0"/>
        <v>0</v>
      </c>
      <c r="J120" s="93"/>
      <c r="K120" s="92"/>
      <c r="L120" s="29"/>
      <c r="M120" s="29"/>
    </row>
    <row r="121" spans="1:13" ht="14.4">
      <c r="A121" s="211" t="s">
        <v>942</v>
      </c>
      <c r="B121" s="212" t="str">
        <f>HYPERLINK("https://uva.onlinejudge.org/index.php?option=onlinejudge&amp;page=show_problem&amp;problem=1119","UVA 10178")</f>
        <v>UVA 10178</v>
      </c>
      <c r="C121" s="29"/>
      <c r="D121" s="259"/>
      <c r="E121" s="560"/>
      <c r="F121" s="29"/>
      <c r="G121" s="29"/>
      <c r="H121" s="29"/>
      <c r="I121" s="103">
        <f t="shared" si="0"/>
        <v>0</v>
      </c>
      <c r="J121" s="93"/>
      <c r="K121" s="92"/>
      <c r="L121" s="29"/>
      <c r="M121" s="186" t="str">
        <f>HYPERLINK("https://en.wikipedia.org/wiki/Planar_graph#Euler's_formula","Read first Euler Formula")</f>
        <v>Read first Euler Formula</v>
      </c>
    </row>
    <row r="122" spans="1:13" ht="14.4">
      <c r="A122" s="574" t="s">
        <v>943</v>
      </c>
      <c r="B122" s="212" t="str">
        <f>HYPERLINK("https://uva.onlinejudge.org/index.php?option=onlinejudge&amp;page=show_problem&amp;problem=1833","UVA 10892")</f>
        <v>UVA 10892</v>
      </c>
      <c r="C122" s="29"/>
      <c r="D122" s="29"/>
      <c r="E122" s="464" t="s">
        <v>14314</v>
      </c>
      <c r="F122" s="29"/>
      <c r="G122" s="29"/>
      <c r="H122" s="29"/>
      <c r="I122" s="160">
        <f t="shared" si="0"/>
        <v>0</v>
      </c>
      <c r="J122" s="26"/>
      <c r="K122" s="29"/>
      <c r="L122" s="29"/>
      <c r="M122" s="29"/>
    </row>
    <row r="123" spans="1:13" ht="14.4">
      <c r="A123" s="572" t="s">
        <v>944</v>
      </c>
      <c r="B123" s="212" t="str">
        <f>HYPERLINK("http://codeforces.com/contest/645/problem/D","CF645-D12-D")</f>
        <v>CF645-D12-D</v>
      </c>
      <c r="C123" s="29"/>
      <c r="D123" s="259"/>
      <c r="E123" s="575" t="s">
        <v>14314</v>
      </c>
      <c r="F123" s="29"/>
      <c r="G123" s="29"/>
      <c r="H123" s="29"/>
      <c r="I123" s="103">
        <f t="shared" si="0"/>
        <v>0</v>
      </c>
      <c r="J123" s="26"/>
      <c r="K123" s="29"/>
      <c r="L123" s="29"/>
    </row>
    <row r="124" spans="1:13" ht="14.4">
      <c r="A124" s="572" t="s">
        <v>945</v>
      </c>
      <c r="B124" s="212" t="str">
        <f>HYPERLINK("https://uva.onlinejudge.org/index.php?option=com_onlinejudge&amp;Itemid=8&amp;page=show_problem&amp;problem=1475","UVA 10534")</f>
        <v>UVA 10534</v>
      </c>
      <c r="C124" s="29"/>
      <c r="D124" s="29"/>
      <c r="E124" s="486" t="s">
        <v>14318</v>
      </c>
      <c r="F124" s="29"/>
      <c r="G124" s="29"/>
      <c r="H124" s="29"/>
      <c r="I124" s="160">
        <f t="shared" si="0"/>
        <v>0</v>
      </c>
      <c r="J124" s="26"/>
      <c r="K124" s="29"/>
      <c r="L124" s="29"/>
      <c r="M124" s="185" t="str">
        <f>HYPERLINK("https://github.com/AliOsm/CompetitiveProgramming/blob/master/UVA/10534%20-%20Wavio%20Sequence.cpp","Sol")</f>
        <v>Sol</v>
      </c>
    </row>
    <row r="125" spans="1:13" ht="14.4">
      <c r="A125" s="572"/>
      <c r="B125" s="219" t="s">
        <v>946</v>
      </c>
      <c r="C125" s="29"/>
      <c r="D125" s="259"/>
      <c r="E125" s="560" t="s">
        <v>14494</v>
      </c>
      <c r="F125" s="29"/>
      <c r="G125" s="29"/>
      <c r="H125" s="29"/>
      <c r="I125" s="103">
        <f t="shared" si="0"/>
        <v>0</v>
      </c>
      <c r="J125" s="26"/>
      <c r="K125" s="29"/>
      <c r="L125" s="29"/>
      <c r="M125" s="184" t="str">
        <f>HYPERLINK("https://ideone.com/x8zpRc","Sol - read the statement clarification")</f>
        <v>Sol - read the statement clarification</v>
      </c>
    </row>
    <row r="126" spans="1:13" ht="13.2">
      <c r="A126" s="63"/>
      <c r="B126" s="309"/>
      <c r="C126" s="29"/>
      <c r="D126" s="259"/>
      <c r="E126" s="259"/>
      <c r="F126" s="29"/>
      <c r="G126" s="29"/>
      <c r="H126" s="29"/>
      <c r="I126" s="103">
        <f t="shared" si="0"/>
        <v>0</v>
      </c>
      <c r="J126" s="62"/>
      <c r="K126" s="56"/>
      <c r="L126" s="29"/>
      <c r="M126" s="86"/>
    </row>
    <row r="127" spans="1:13" ht="28.8">
      <c r="A127" s="572" t="s">
        <v>947</v>
      </c>
      <c r="B127" s="176" t="str">
        <f>HYPERLINK("http://codeforces.com/contest/711/problem/D","CF711-D2-D")</f>
        <v>CF711-D2-D</v>
      </c>
      <c r="C127" s="29"/>
      <c r="D127" s="259"/>
      <c r="E127" s="560" t="s">
        <v>14495</v>
      </c>
      <c r="F127" s="29"/>
      <c r="G127" s="29"/>
      <c r="H127" s="29"/>
      <c r="I127" s="103">
        <f t="shared" si="0"/>
        <v>0</v>
      </c>
      <c r="J127" s="62"/>
      <c r="K127" s="56"/>
      <c r="L127" s="29"/>
      <c r="M127" s="86"/>
    </row>
    <row r="128" spans="1:13" ht="14.4">
      <c r="A128" s="572" t="s">
        <v>948</v>
      </c>
      <c r="B128" s="84" t="str">
        <f>HYPERLINK("http://codeforces.com/contest/327/problem/D","CF327-D2-D")</f>
        <v>CF327-D2-D</v>
      </c>
      <c r="C128" s="29"/>
      <c r="D128" s="259"/>
      <c r="E128" s="487" t="s">
        <v>14472</v>
      </c>
      <c r="F128" s="29"/>
      <c r="G128" s="29"/>
      <c r="H128" s="29"/>
      <c r="I128" s="103">
        <f t="shared" si="0"/>
        <v>0</v>
      </c>
      <c r="J128" s="62"/>
      <c r="K128" s="56"/>
      <c r="L128" s="29"/>
      <c r="M128" s="86"/>
    </row>
    <row r="129" spans="1:13" ht="14.4">
      <c r="A129" s="572" t="s">
        <v>949</v>
      </c>
      <c r="B129" s="87" t="str">
        <f>HYPERLINK("http://codeforces.com/contest/519/problem/D","CF519-D2-D")</f>
        <v>CF519-D2-D</v>
      </c>
      <c r="C129" s="29"/>
      <c r="D129" s="259"/>
      <c r="E129" s="559"/>
      <c r="F129" s="29"/>
      <c r="G129" s="29"/>
      <c r="H129" s="29"/>
      <c r="I129" s="103">
        <f t="shared" si="0"/>
        <v>0</v>
      </c>
      <c r="J129" s="93"/>
      <c r="K129" s="92"/>
      <c r="L129" s="29"/>
      <c r="M129" s="29"/>
    </row>
    <row r="130" spans="1:13" ht="14.4">
      <c r="A130" s="572" t="s">
        <v>950</v>
      </c>
      <c r="B130" s="87" t="str">
        <f>HYPERLINK("http://codeforces.com/contest/701/problem/D","CF701-D2-D")</f>
        <v>CF701-D2-D</v>
      </c>
      <c r="C130" s="29"/>
      <c r="D130" s="259"/>
      <c r="E130" s="464" t="s">
        <v>14314</v>
      </c>
      <c r="F130" s="29"/>
      <c r="G130" s="29"/>
      <c r="H130" s="29"/>
      <c r="I130" s="103">
        <f t="shared" si="0"/>
        <v>0</v>
      </c>
      <c r="J130" s="93"/>
      <c r="K130" s="92"/>
      <c r="L130" s="29"/>
      <c r="M130" s="29"/>
    </row>
    <row r="131" spans="1:13" ht="14.4">
      <c r="A131" s="572" t="s">
        <v>951</v>
      </c>
      <c r="B131" s="87" t="str">
        <f>HYPERLINK("http://codeforces.com/contest/743/problem/D","CF743-D2-D")</f>
        <v>CF743-D2-D</v>
      </c>
      <c r="C131" s="29"/>
      <c r="D131" s="259"/>
      <c r="E131" s="559"/>
      <c r="F131" s="29"/>
      <c r="G131" s="29"/>
      <c r="H131" s="29"/>
      <c r="I131" s="103">
        <f t="shared" si="0"/>
        <v>0</v>
      </c>
      <c r="J131" s="93"/>
      <c r="K131" s="92"/>
      <c r="L131" s="29"/>
      <c r="M131" s="29"/>
    </row>
    <row r="132" spans="1:13" ht="43.2">
      <c r="A132" s="572" t="s">
        <v>952</v>
      </c>
      <c r="B132" s="286" t="str">
        <f>HYPERLINK("http://codeforces.com/contest/25/problem/C","CF25-D2-C")</f>
        <v>CF25-D2-C</v>
      </c>
      <c r="C132" s="29"/>
      <c r="D132" s="259"/>
      <c r="E132" s="560" t="s">
        <v>14471</v>
      </c>
      <c r="F132" s="29"/>
      <c r="G132" s="29"/>
      <c r="H132" s="29"/>
      <c r="I132" s="103">
        <f t="shared" si="0"/>
        <v>0</v>
      </c>
      <c r="J132" s="93"/>
      <c r="K132" s="92"/>
      <c r="L132" s="29"/>
      <c r="M132" s="29"/>
    </row>
    <row r="133" spans="1:13" ht="14.4">
      <c r="A133" s="572" t="s">
        <v>953</v>
      </c>
      <c r="B133" s="286" t="str">
        <f>HYPERLINK("http://codeforces.com/contest/203/problem/C","CF203-D2-C")</f>
        <v>CF203-D2-C</v>
      </c>
      <c r="C133" s="29"/>
      <c r="D133" s="259"/>
      <c r="E133" s="559"/>
      <c r="F133" s="29"/>
      <c r="G133" s="29"/>
      <c r="H133" s="29"/>
      <c r="I133" s="103">
        <f t="shared" si="0"/>
        <v>0</v>
      </c>
      <c r="J133" s="93"/>
      <c r="K133" s="92"/>
      <c r="L133" s="29"/>
      <c r="M133" s="29"/>
    </row>
    <row r="134" spans="1:13" ht="14.4">
      <c r="A134" s="572" t="s">
        <v>954</v>
      </c>
      <c r="B134" s="286" t="str">
        <f>HYPERLINK("http://codeforces.com/contest/236/problem/C","CF236-D2-C")</f>
        <v>CF236-D2-C</v>
      </c>
      <c r="C134" s="29"/>
      <c r="D134" s="259"/>
      <c r="E134" s="559"/>
      <c r="F134" s="29"/>
      <c r="G134" s="29"/>
      <c r="H134" s="29"/>
      <c r="I134" s="103">
        <f t="shared" si="0"/>
        <v>0</v>
      </c>
      <c r="J134" s="93"/>
      <c r="K134" s="92"/>
      <c r="L134" s="29"/>
      <c r="M134" s="29"/>
    </row>
    <row r="135" spans="1:13" ht="13.2">
      <c r="A135" s="310"/>
      <c r="B135" s="29"/>
      <c r="C135" s="29"/>
      <c r="D135" s="259"/>
      <c r="E135" s="259"/>
      <c r="F135" s="29"/>
      <c r="G135" s="29"/>
      <c r="H135" s="29"/>
      <c r="I135" s="103">
        <f t="shared" si="0"/>
        <v>0</v>
      </c>
      <c r="J135" s="93"/>
      <c r="K135" s="92"/>
      <c r="L135" s="29"/>
      <c r="M135" s="296" t="str">
        <f>HYPERLINK("https://www.youtube.com/watch?v=IGaJWl0jPY4","String Processing - Trie")</f>
        <v>String Processing - Trie</v>
      </c>
    </row>
    <row r="136" spans="1:13" ht="14.4">
      <c r="A136" s="573" t="s">
        <v>955</v>
      </c>
      <c r="B136" s="289" t="str">
        <f>HYPERLINK("http://www.spoj.com/problems/DICT/","SPOJ DICT")</f>
        <v>SPOJ DICT</v>
      </c>
      <c r="C136" s="29"/>
      <c r="D136" s="259"/>
      <c r="E136" s="559"/>
      <c r="F136" s="29"/>
      <c r="G136" s="29"/>
      <c r="H136" s="29"/>
      <c r="I136" s="103">
        <f t="shared" si="0"/>
        <v>0</v>
      </c>
      <c r="J136" s="93"/>
      <c r="K136" s="92"/>
      <c r="L136" s="29"/>
      <c r="M136" s="29"/>
    </row>
    <row r="137" spans="1:13" ht="14.4">
      <c r="A137" s="573" t="s">
        <v>956</v>
      </c>
      <c r="B137" s="289" t="str">
        <f>HYPERLINK("https://uva.onlinejudge.org/index.php?option=com_onlinejudge&amp;Itemid=8&amp;page=show_problem&amp;problem=4331","UVA 1556")</f>
        <v>UVA 1556</v>
      </c>
      <c r="C137" s="29"/>
      <c r="D137" s="259"/>
      <c r="E137" s="559"/>
      <c r="F137" s="29"/>
      <c r="G137" s="29"/>
      <c r="H137" s="29"/>
      <c r="I137" s="103">
        <f t="shared" si="0"/>
        <v>0</v>
      </c>
      <c r="J137" s="93"/>
      <c r="K137" s="92"/>
      <c r="L137" s="29"/>
      <c r="M137" s="29"/>
    </row>
    <row r="138" spans="1:13" ht="14.4">
      <c r="A138" s="573" t="s">
        <v>957</v>
      </c>
      <c r="B138" s="289" t="str">
        <f>HYPERLINK("http://www.spoj.com/problems/PHONELST/","SPOJ PHONELST")</f>
        <v>SPOJ PHONELST</v>
      </c>
      <c r="C138" s="29"/>
      <c r="D138" s="259"/>
      <c r="E138" s="559"/>
      <c r="F138" s="29"/>
      <c r="G138" s="29"/>
      <c r="H138" s="29"/>
      <c r="I138" s="103">
        <f t="shared" si="0"/>
        <v>0</v>
      </c>
      <c r="J138" s="93"/>
      <c r="K138" s="92"/>
      <c r="L138" s="29"/>
      <c r="M138" s="29"/>
    </row>
    <row r="139" spans="1:13" ht="14.4">
      <c r="A139" s="311" t="s">
        <v>958</v>
      </c>
      <c r="B139" s="289" t="str">
        <f>HYPERLINK("https://uva.onlinejudge.org/index.php?option=com_onlinejudge&amp;Itemid=8&amp;page=show_problem&amp;problem=3971","UVA 12526")</f>
        <v>UVA 12526</v>
      </c>
      <c r="C139" s="29"/>
      <c r="D139" s="259"/>
      <c r="E139" s="559"/>
      <c r="F139" s="29"/>
      <c r="G139" s="29"/>
      <c r="H139" s="29"/>
      <c r="I139" s="103">
        <f t="shared" si="0"/>
        <v>0</v>
      </c>
      <c r="J139" s="93"/>
      <c r="K139" s="92"/>
      <c r="L139" s="29"/>
      <c r="M139" s="29"/>
    </row>
    <row r="140" spans="1:13" ht="14.4">
      <c r="A140" s="297" t="s">
        <v>959</v>
      </c>
      <c r="B140" s="289" t="str">
        <f>HYPERLINK("http://codeforces.com/contest/706/problem/D","CF706-D2-D")</f>
        <v>CF706-D2-D</v>
      </c>
      <c r="C140" s="29"/>
      <c r="D140" s="259"/>
      <c r="E140" s="559"/>
      <c r="F140" s="29"/>
      <c r="G140" s="29"/>
      <c r="H140" s="29"/>
      <c r="I140" s="103">
        <f t="shared" si="0"/>
        <v>0</v>
      </c>
      <c r="J140" s="93"/>
      <c r="K140" s="92"/>
      <c r="L140" s="29"/>
      <c r="M140" s="29"/>
    </row>
    <row r="141" spans="1:13" ht="13.2">
      <c r="A141" s="211" t="s">
        <v>960</v>
      </c>
      <c r="B141" s="212" t="str">
        <f>HYPERLINK("https://uva.onlinejudge.org/index.php?option=onlinejudge&amp;page=show_problem&amp;problem=1054","UVA 10113")</f>
        <v>UVA 10113</v>
      </c>
      <c r="C141" s="29"/>
      <c r="D141" s="259"/>
      <c r="E141" s="579" t="s">
        <v>10948</v>
      </c>
      <c r="F141" s="29"/>
      <c r="G141" s="29"/>
      <c r="H141" s="29"/>
      <c r="I141" s="103">
        <f t="shared" si="0"/>
        <v>0</v>
      </c>
      <c r="J141" s="93"/>
      <c r="K141" s="92"/>
      <c r="L141" s="29"/>
      <c r="M141" s="29"/>
    </row>
    <row r="142" spans="1:13" ht="13.2">
      <c r="A142" s="211" t="s">
        <v>961</v>
      </c>
      <c r="B142" s="212" t="str">
        <f>HYPERLINK("https://uva.onlinejudge.org/index.php?option=com_onlinejudge&amp;Itemid=8&amp;page=show_problem&amp;problem=668","UVA 727")</f>
        <v>UVA 727</v>
      </c>
      <c r="C142" s="29"/>
      <c r="D142" s="29"/>
      <c r="E142" s="29" t="s">
        <v>10948</v>
      </c>
      <c r="F142" s="29"/>
      <c r="G142" s="29"/>
      <c r="H142" s="29"/>
      <c r="I142" s="160">
        <f t="shared" si="0"/>
        <v>0</v>
      </c>
      <c r="J142" s="26"/>
      <c r="K142" s="29"/>
      <c r="L142" s="29"/>
      <c r="M142" s="26"/>
    </row>
    <row r="143" spans="1:13" ht="13.2">
      <c r="A143" s="211" t="s">
        <v>962</v>
      </c>
      <c r="B143" s="212" t="str">
        <f>HYPERLINK("http://codeforces.com/contest/47/problem/D","CF47-D2-D")</f>
        <v>CF47-D2-D</v>
      </c>
      <c r="C143" s="29"/>
      <c r="D143" s="29"/>
      <c r="E143" s="29"/>
      <c r="F143" s="29"/>
      <c r="G143" s="29"/>
      <c r="H143" s="29"/>
      <c r="I143" s="160">
        <f t="shared" si="0"/>
        <v>0</v>
      </c>
      <c r="J143" s="26"/>
      <c r="K143" s="29"/>
      <c r="L143" s="29"/>
      <c r="M143" s="26"/>
    </row>
    <row r="144" spans="1:13" ht="13.2">
      <c r="A144" s="211" t="s">
        <v>963</v>
      </c>
      <c r="B144" s="212" t="str">
        <f>HYPERLINK("https://uva.onlinejudge.org/index.php?option=onlinejudge&amp;page=show_problem&amp;problem=3801","UVA 12379")</f>
        <v>UVA 12379</v>
      </c>
      <c r="C144" s="29"/>
      <c r="D144" s="259"/>
      <c r="E144" s="259"/>
      <c r="F144" s="29"/>
      <c r="G144" s="29"/>
      <c r="H144" s="29"/>
      <c r="I144" s="103">
        <f t="shared" si="0"/>
        <v>0</v>
      </c>
      <c r="J144" s="93"/>
      <c r="K144" s="92"/>
      <c r="L144" s="29"/>
      <c r="M144" s="184" t="str">
        <f>HYPERLINK("https://github.com/abdullaAshraf/Problem-Solving/blob/master/UVA/12379.cpp","Sol")</f>
        <v>Sol</v>
      </c>
    </row>
    <row r="145" spans="1:13" ht="13.2">
      <c r="A145" s="211" t="s">
        <v>964</v>
      </c>
      <c r="B145" s="212" t="str">
        <f>HYPERLINK("https://uva.onlinejudge.org/index.php?option=com_onlinejudge&amp;Itemid=8&amp;page=show_problem&amp;problem=89","UVA 153")</f>
        <v>UVA 153</v>
      </c>
      <c r="C145" s="29"/>
      <c r="D145" s="259"/>
      <c r="E145" s="259"/>
      <c r="F145" s="29"/>
      <c r="G145" s="29"/>
      <c r="H145" s="29"/>
      <c r="I145" s="103">
        <f t="shared" si="0"/>
        <v>0</v>
      </c>
      <c r="J145" s="93"/>
      <c r="K145" s="92"/>
      <c r="L145" s="29"/>
      <c r="M145" s="184" t="str">
        <f>HYPERLINK("https://github.com/ahmedcpbl/CompetitiveProgramming/blob/master/UVA/153.cpp","Sol")</f>
        <v>Sol</v>
      </c>
    </row>
    <row r="146" spans="1:13" ht="13.2">
      <c r="A146" s="29"/>
      <c r="B146" s="29"/>
      <c r="C146" s="29"/>
      <c r="D146" s="259"/>
      <c r="E146" s="259"/>
      <c r="F146" s="29"/>
      <c r="G146" s="29"/>
      <c r="H146" s="29"/>
      <c r="I146" s="103">
        <f t="shared" si="0"/>
        <v>0</v>
      </c>
      <c r="J146" s="93"/>
      <c r="K146" s="92"/>
      <c r="L146" s="29"/>
      <c r="M146" s="175" t="str">
        <f>HYPERLINK("https://www.youtube.com/watch?v=t-52tQ3vEgo","DP - Sub-rectangle style")</f>
        <v>DP - Sub-rectangle style</v>
      </c>
    </row>
    <row r="147" spans="1:13" ht="13.2">
      <c r="A147" s="311"/>
      <c r="B147" s="312" t="str">
        <f>HYPERLINK("https://uva.onlinejudge.org/index.php?option=onlinejudge&amp;page=show_problem&amp;problem=448","UVA 507")</f>
        <v>UVA 507</v>
      </c>
      <c r="C147" s="29"/>
      <c r="D147" s="259"/>
      <c r="E147" s="259"/>
      <c r="F147" s="29"/>
      <c r="G147" s="29"/>
      <c r="H147" s="29"/>
      <c r="I147" s="103">
        <f t="shared" si="0"/>
        <v>0</v>
      </c>
      <c r="J147" s="93"/>
      <c r="K147" s="92"/>
      <c r="L147" s="29"/>
      <c r="M147" s="29"/>
    </row>
    <row r="148" spans="1:13" ht="13.2">
      <c r="A148" s="311"/>
      <c r="B148" s="312" t="str">
        <f>HYPERLINK("https://uva.onlinejudge.org/index.php?option=com_onlinejudge&amp;Itemid=8&amp;page=show_problem&amp;problem=1608","UVA 10667")</f>
        <v>UVA 10667</v>
      </c>
      <c r="C148" s="29"/>
      <c r="D148" s="259"/>
      <c r="E148" s="259"/>
      <c r="F148" s="29"/>
      <c r="G148" s="29"/>
      <c r="H148" s="29"/>
      <c r="I148" s="103">
        <f t="shared" si="0"/>
        <v>0</v>
      </c>
      <c r="J148" s="93"/>
      <c r="K148" s="92"/>
      <c r="L148" s="29"/>
      <c r="M148" s="29"/>
    </row>
    <row r="149" spans="1:13" ht="13.2">
      <c r="A149" s="127"/>
      <c r="B149" s="87"/>
      <c r="C149" s="29"/>
      <c r="D149" s="259"/>
      <c r="E149" s="259"/>
      <c r="F149" s="29"/>
      <c r="G149" s="29"/>
      <c r="H149" s="29"/>
      <c r="I149" s="103">
        <f t="shared" si="0"/>
        <v>0</v>
      </c>
      <c r="J149" s="93"/>
      <c r="K149" s="92"/>
      <c r="L149" s="29"/>
      <c r="M149" s="29"/>
    </row>
    <row r="150" spans="1:13" ht="14.4">
      <c r="A150" s="127" t="s">
        <v>965</v>
      </c>
      <c r="B150" s="87" t="str">
        <f>HYPERLINK("http://codeforces.com/contest/96/problem/D","CF96-D2-D")</f>
        <v>CF96-D2-D</v>
      </c>
      <c r="C150" s="29"/>
      <c r="D150" s="259"/>
      <c r="E150" s="560" t="s">
        <v>14493</v>
      </c>
      <c r="F150" s="29"/>
      <c r="G150" s="29"/>
      <c r="H150" s="29"/>
      <c r="I150" s="103">
        <f t="shared" si="0"/>
        <v>0</v>
      </c>
      <c r="J150" s="93"/>
      <c r="K150" s="92"/>
      <c r="L150" s="29"/>
      <c r="M150" s="29"/>
    </row>
    <row r="151" spans="1:13" ht="14.4">
      <c r="A151" s="127" t="s">
        <v>966</v>
      </c>
      <c r="B151" s="87" t="str">
        <f>HYPERLINK("http://codeforces.com/contest/606/problem/D","CF606-D2-D")</f>
        <v>CF606-D2-D</v>
      </c>
      <c r="C151" s="29"/>
      <c r="D151" s="259"/>
      <c r="E151" s="559" t="s">
        <v>14492</v>
      </c>
      <c r="F151" s="29"/>
      <c r="G151" s="29"/>
      <c r="H151" s="29"/>
      <c r="I151" s="103">
        <f t="shared" si="0"/>
        <v>0</v>
      </c>
      <c r="J151" s="93"/>
      <c r="K151" s="92"/>
      <c r="L151" s="29"/>
      <c r="M151" s="29"/>
    </row>
    <row r="152" spans="1:13" ht="14.4">
      <c r="A152" s="127" t="s">
        <v>365</v>
      </c>
      <c r="B152" s="87" t="str">
        <f>HYPERLINK("http://codeforces.com/contest/448/problem/D","CF448-D2-D")</f>
        <v>CF448-D2-D</v>
      </c>
      <c r="C152" s="29"/>
      <c r="D152" s="259"/>
      <c r="E152" s="560" t="s">
        <v>14488</v>
      </c>
      <c r="F152" s="29"/>
      <c r="G152" s="29"/>
      <c r="H152" s="29"/>
      <c r="I152" s="103">
        <f t="shared" si="0"/>
        <v>0</v>
      </c>
      <c r="J152" s="93"/>
      <c r="K152" s="92"/>
      <c r="L152" s="29"/>
      <c r="M152" s="104" t="str">
        <f>HYPERLINK("https://www.youtube.com/watch?v=up_Z5e9ZsCU","Video Solution - Solve to be (Java)")</f>
        <v>Video Solution - Solve to be (Java)</v>
      </c>
    </row>
    <row r="153" spans="1:13" ht="14.4">
      <c r="A153" s="127"/>
      <c r="B153" s="87" t="str">
        <f>HYPERLINK("http://codeforces.com/contest/486/problem/D","CF486-D2-D")</f>
        <v>CF486-D2-D</v>
      </c>
      <c r="C153" s="29"/>
      <c r="D153" s="259"/>
      <c r="E153" s="560"/>
      <c r="F153" s="29"/>
      <c r="G153" s="29"/>
      <c r="H153" s="29"/>
      <c r="I153" s="103">
        <f t="shared" si="0"/>
        <v>0</v>
      </c>
      <c r="J153" s="93"/>
      <c r="K153" s="92"/>
      <c r="L153" s="29"/>
      <c r="M153" s="104"/>
    </row>
    <row r="154" spans="1:13" ht="13.2">
      <c r="A154" s="127"/>
      <c r="B154" s="87" t="str">
        <f>HYPERLINK("http://codeforces.com/contest/1040/problem/D","CF1040-D2-D")</f>
        <v>CF1040-D2-D</v>
      </c>
      <c r="C154" s="29"/>
      <c r="D154" s="259"/>
      <c r="E154" s="580" t="s">
        <v>14491</v>
      </c>
      <c r="F154" s="29"/>
      <c r="G154" s="29"/>
      <c r="H154" s="29"/>
      <c r="I154" s="103">
        <f t="shared" si="0"/>
        <v>0</v>
      </c>
      <c r="J154" s="93"/>
      <c r="K154" s="92"/>
      <c r="L154" s="29"/>
      <c r="M154" s="104"/>
    </row>
    <row r="155" spans="1:13" ht="14.4">
      <c r="A155" s="127"/>
      <c r="B155" s="87" t="str">
        <f>HYPERLINK("http://codeforces.com/contest/264/problem/C","CF264-D1-C")</f>
        <v>CF264-D1-C</v>
      </c>
      <c r="C155" s="29"/>
      <c r="D155" s="259"/>
      <c r="E155" s="560" t="s">
        <v>14490</v>
      </c>
      <c r="F155" s="29"/>
      <c r="G155" s="29"/>
      <c r="H155" s="29"/>
      <c r="I155" s="103">
        <f t="shared" si="0"/>
        <v>0</v>
      </c>
      <c r="J155" s="93"/>
      <c r="K155" s="92"/>
      <c r="L155" s="29"/>
      <c r="M155" s="104"/>
    </row>
    <row r="156" spans="1:13" ht="14.4">
      <c r="A156" s="127"/>
      <c r="B156" s="87" t="str">
        <f>HYPERLINK("http://codeforces.com/contest/506/problem/A", "CF506-D1-A")</f>
        <v>CF506-D1-A</v>
      </c>
      <c r="C156" s="29"/>
      <c r="D156" s="259"/>
      <c r="E156" s="559"/>
      <c r="F156" s="29"/>
      <c r="G156" s="29"/>
      <c r="H156" s="29"/>
      <c r="I156" s="103">
        <f t="shared" si="0"/>
        <v>0</v>
      </c>
      <c r="J156" s="93"/>
      <c r="K156" s="92"/>
      <c r="L156" s="29"/>
      <c r="M156" s="104"/>
    </row>
    <row r="157" spans="1:13" ht="14.4">
      <c r="A157" s="127"/>
      <c r="B157" s="87" t="str">
        <f>HYPERLINK("https://www.codechef.com/problems/KSUM","CODECHEF KSUM")</f>
        <v>CODECHEF KSUM</v>
      </c>
      <c r="C157" s="29"/>
      <c r="D157" s="259"/>
      <c r="E157" s="559"/>
      <c r="F157" s="29"/>
      <c r="G157" s="29"/>
      <c r="H157" s="29"/>
      <c r="I157" s="103">
        <f t="shared" si="0"/>
        <v>0</v>
      </c>
      <c r="J157" s="93"/>
      <c r="K157" s="92"/>
      <c r="L157" s="29"/>
      <c r="M157" s="104"/>
    </row>
    <row r="158" spans="1:13" ht="14.4">
      <c r="A158" s="127"/>
      <c r="B158" s="87" t="str">
        <f>HYPERLINK("http://codeforces.com/contest/623/problem/B","CF623-D1-B")</f>
        <v>CF623-D1-B</v>
      </c>
      <c r="C158" s="29"/>
      <c r="D158" s="259"/>
      <c r="E158" s="560" t="s">
        <v>14489</v>
      </c>
      <c r="F158" s="29"/>
      <c r="G158" s="29"/>
      <c r="H158" s="29"/>
      <c r="I158" s="103">
        <f t="shared" si="0"/>
        <v>0</v>
      </c>
      <c r="J158" s="93"/>
      <c r="K158" s="92"/>
      <c r="L158" s="29"/>
      <c r="M158" s="104"/>
    </row>
    <row r="159" spans="1:13" ht="14.4">
      <c r="A159" s="313" t="s">
        <v>967</v>
      </c>
      <c r="B159" s="286" t="str">
        <f>HYPERLINK("http://codeforces.com/contest/376/problem/C","CF376-D2-C")</f>
        <v>CF376-D2-C</v>
      </c>
      <c r="C159" s="29"/>
      <c r="D159" s="259"/>
      <c r="E159" s="559"/>
      <c r="F159" s="29"/>
      <c r="G159" s="29"/>
      <c r="H159" s="29"/>
      <c r="I159" s="103">
        <f t="shared" si="0"/>
        <v>0</v>
      </c>
      <c r="J159" s="93"/>
      <c r="K159" s="92"/>
      <c r="L159" s="29"/>
      <c r="M159" s="104"/>
    </row>
    <row r="160" spans="1:13" ht="14.4">
      <c r="A160" s="314" t="s">
        <v>968</v>
      </c>
      <c r="B160" s="286" t="str">
        <f>HYPERLINK("http://codeforces.com/contest/439/problem/C","CF439-D2-C")</f>
        <v>CF439-D2-C</v>
      </c>
      <c r="C160" s="29"/>
      <c r="D160" s="259"/>
      <c r="E160" s="559"/>
      <c r="F160" s="29"/>
      <c r="G160" s="29"/>
      <c r="H160" s="29"/>
      <c r="I160" s="103">
        <f t="shared" si="0"/>
        <v>0</v>
      </c>
      <c r="J160" s="93"/>
      <c r="K160" s="92"/>
      <c r="L160" s="29"/>
      <c r="M160" s="104"/>
    </row>
    <row r="161" spans="1:13" ht="14.4">
      <c r="A161" s="314" t="s">
        <v>969</v>
      </c>
      <c r="B161" s="286" t="str">
        <f>HYPERLINK("http://codeforces.com/contest/557/problem/C","CF557-D2-C")</f>
        <v>CF557-D2-C</v>
      </c>
      <c r="C161" s="29"/>
      <c r="D161" s="259"/>
      <c r="E161" s="559"/>
      <c r="F161" s="29"/>
      <c r="G161" s="29"/>
      <c r="H161" s="29"/>
      <c r="I161" s="103">
        <f t="shared" si="0"/>
        <v>0</v>
      </c>
      <c r="J161" s="93"/>
      <c r="K161" s="92"/>
      <c r="L161" s="29"/>
      <c r="M161" s="104"/>
    </row>
    <row r="167" spans="1:13" ht="15.75" customHeight="1">
      <c r="B167" t="s">
        <v>14444</v>
      </c>
    </row>
    <row r="170" spans="1:13" ht="15.75" customHeight="1">
      <c r="A170">
        <v>1</v>
      </c>
      <c r="B170" t="s">
        <v>14445</v>
      </c>
      <c r="E170" t="s">
        <v>14446</v>
      </c>
    </row>
    <row r="171" spans="1:13" ht="15.75" customHeight="1">
      <c r="A171">
        <v>2</v>
      </c>
      <c r="B171" t="s">
        <v>14447</v>
      </c>
    </row>
    <row r="172" spans="1:13" ht="15.75" customHeight="1">
      <c r="A172">
        <v>3</v>
      </c>
      <c r="B172" t="s">
        <v>14448</v>
      </c>
    </row>
    <row r="173" spans="1:13" ht="15.75" customHeight="1">
      <c r="A173">
        <v>4</v>
      </c>
      <c r="B173" t="s">
        <v>14449</v>
      </c>
    </row>
    <row r="178" spans="2:5" ht="15.75" customHeight="1">
      <c r="B178" t="s">
        <v>14451</v>
      </c>
    </row>
    <row r="187" spans="2:5" ht="15.75" customHeight="1">
      <c r="B187" s="568" t="s">
        <v>14454</v>
      </c>
      <c r="E187" s="549" t="s">
        <v>14474</v>
      </c>
    </row>
    <row r="188" spans="2:5" ht="15.75" customHeight="1">
      <c r="E188" t="s">
        <v>14455</v>
      </c>
    </row>
    <row r="189" spans="2:5" ht="15.75" customHeight="1">
      <c r="E189" t="s">
        <v>14456</v>
      </c>
    </row>
    <row r="190" spans="2:5" ht="15.75" customHeight="1">
      <c r="E190" t="s">
        <v>14469</v>
      </c>
    </row>
    <row r="191" spans="2:5" ht="15.75" customHeight="1">
      <c r="E191" t="s">
        <v>14470</v>
      </c>
    </row>
    <row r="192" spans="2:5" ht="15.75" customHeight="1">
      <c r="E192" s="549" t="s">
        <v>14562</v>
      </c>
    </row>
    <row r="193" spans="2:5" ht="15.75" customHeight="1">
      <c r="E193" t="s">
        <v>14487</v>
      </c>
    </row>
    <row r="194" spans="2:5" ht="15.75" customHeight="1">
      <c r="B194" s="568" t="s">
        <v>1300</v>
      </c>
    </row>
    <row r="195" spans="2:5" ht="15.75" customHeight="1">
      <c r="E195" t="s">
        <v>14510</v>
      </c>
    </row>
    <row r="196" spans="2:5" ht="15.75" customHeight="1">
      <c r="E196" t="s">
        <v>14457</v>
      </c>
    </row>
    <row r="197" spans="2:5" ht="15.75" customHeight="1">
      <c r="E197" t="s">
        <v>14499</v>
      </c>
    </row>
    <row r="198" spans="2:5" ht="15.75" customHeight="1">
      <c r="E198" t="s">
        <v>14506</v>
      </c>
    </row>
    <row r="200" spans="2:5" ht="15.75" customHeight="1">
      <c r="B200" t="s">
        <v>14460</v>
      </c>
    </row>
    <row r="208" spans="2:5" ht="15.75" customHeight="1">
      <c r="B208" t="s">
        <v>14461</v>
      </c>
    </row>
    <row r="209" spans="2:5" ht="15.75" customHeight="1">
      <c r="E209" t="s">
        <v>14462</v>
      </c>
    </row>
    <row r="210" spans="2:5" ht="15.75" customHeight="1">
      <c r="E210" t="s">
        <v>14463</v>
      </c>
    </row>
    <row r="211" spans="2:5" ht="15.75" customHeight="1">
      <c r="E211" t="s">
        <v>14464</v>
      </c>
    </row>
    <row r="216" spans="2:5" ht="15.75" customHeight="1">
      <c r="B216" t="s">
        <v>14475</v>
      </c>
    </row>
    <row r="217" spans="2:5" ht="15.75" customHeight="1">
      <c r="E217" t="s">
        <v>14476</v>
      </c>
    </row>
    <row r="219" spans="2:5" ht="15.75" customHeight="1">
      <c r="E219" t="s">
        <v>14477</v>
      </c>
    </row>
    <row r="220" spans="2:5" ht="15.75" customHeight="1">
      <c r="E220" t="s">
        <v>14478</v>
      </c>
    </row>
    <row r="226" spans="2:5" ht="15.75" customHeight="1">
      <c r="E226" t="s">
        <v>14479</v>
      </c>
    </row>
    <row r="228" spans="2:5" ht="15.75" customHeight="1">
      <c r="B228" t="s">
        <v>14483</v>
      </c>
    </row>
    <row r="229" spans="2:5" ht="15.75" customHeight="1">
      <c r="E229" t="s">
        <v>14484</v>
      </c>
    </row>
    <row r="230" spans="2:5" ht="15.75" customHeight="1">
      <c r="E230" t="s">
        <v>14485</v>
      </c>
    </row>
    <row r="231" spans="2:5" ht="15.75" customHeight="1">
      <c r="E231" t="s">
        <v>14486</v>
      </c>
    </row>
  </sheetData>
  <phoneticPr fontId="277" type="noConversion"/>
  <conditionalFormatting sqref="C31:C32">
    <cfRule type="containsText" dxfId="47" priority="1" operator="containsText" text="CS">
      <formula>NOT(ISERROR(SEARCH(("CS"),(C31))))</formula>
    </cfRule>
  </conditionalFormatting>
  <conditionalFormatting sqref="C31:C32">
    <cfRule type="containsText" dxfId="46" priority="2" operator="containsText" text="RTE">
      <formula>NOT(ISERROR(SEARCH(("RTE"),(C31))))</formula>
    </cfRule>
  </conditionalFormatting>
  <conditionalFormatting sqref="C31:C32">
    <cfRule type="containsText" dxfId="45" priority="3" operator="containsText" text="TLE">
      <formula>NOT(ISERROR(SEARCH(("TLE"),(C31))))</formula>
    </cfRule>
  </conditionalFormatting>
  <conditionalFormatting sqref="C31:C32">
    <cfRule type="containsText" dxfId="44" priority="4" operator="containsText" text="WA">
      <formula>NOT(ISERROR(SEARCH(("WA"),(C31))))</formula>
    </cfRule>
  </conditionalFormatting>
  <conditionalFormatting sqref="C31:C32">
    <cfRule type="containsText" dxfId="43" priority="5" operator="containsText" text="CS">
      <formula>NOT(ISERROR(SEARCH(("CS"),(C31))))</formula>
    </cfRule>
  </conditionalFormatting>
  <conditionalFormatting sqref="C31:C32">
    <cfRule type="containsText" dxfId="42" priority="6" operator="containsText" text="RTE">
      <formula>NOT(ISERROR(SEARCH(("RTE"),(C31))))</formula>
    </cfRule>
  </conditionalFormatting>
  <conditionalFormatting sqref="C31:C32">
    <cfRule type="containsText" dxfId="41" priority="7" operator="containsText" text="TLE">
      <formula>NOT(ISERROR(SEARCH(("TLE"),(C31))))</formula>
    </cfRule>
  </conditionalFormatting>
  <conditionalFormatting sqref="C31:C32">
    <cfRule type="containsText" dxfId="40" priority="8" operator="containsText" text="WA">
      <formula>NOT(ISERROR(SEARCH(("WA"),(C31))))</formula>
    </cfRule>
  </conditionalFormatting>
  <conditionalFormatting sqref="C31:C32">
    <cfRule type="cellIs" dxfId="39" priority="9" operator="equal">
      <formula>"AC"</formula>
    </cfRule>
  </conditionalFormatting>
  <conditionalFormatting sqref="K31">
    <cfRule type="cellIs" dxfId="38" priority="10" operator="equal">
      <formula>"NO"</formula>
    </cfRule>
  </conditionalFormatting>
  <conditionalFormatting sqref="K31">
    <cfRule type="cellIs" dxfId="37" priority="11" operator="equal">
      <formula>"no"</formula>
    </cfRule>
  </conditionalFormatting>
  <conditionalFormatting sqref="K31">
    <cfRule type="cellIs" dxfId="36" priority="12" operator="equal">
      <formula>"No"</formula>
    </cfRule>
  </conditionalFormatting>
  <conditionalFormatting sqref="K3:K30 K37 K41:K161">
    <cfRule type="cellIs" dxfId="35" priority="13" operator="equal">
      <formula>"No"</formula>
    </cfRule>
  </conditionalFormatting>
  <conditionalFormatting sqref="K3:K30 K37 K41:K161">
    <cfRule type="cellIs" dxfId="34" priority="14" operator="equal">
      <formula>"no"</formula>
    </cfRule>
  </conditionalFormatting>
  <conditionalFormatting sqref="K3:K30 K37 K41:K161">
    <cfRule type="cellIs" dxfId="33" priority="15" operator="equal">
      <formula>"NO"</formula>
    </cfRule>
  </conditionalFormatting>
  <conditionalFormatting sqref="C3:C161 A146:B146">
    <cfRule type="cellIs" dxfId="32" priority="16" operator="equal">
      <formula>"AC"</formula>
    </cfRule>
  </conditionalFormatting>
  <conditionalFormatting sqref="C3:C161 A146:B146">
    <cfRule type="containsText" dxfId="31" priority="17" operator="containsText" text="WA">
      <formula>NOT(ISERROR(SEARCH(("WA"),(C3))))</formula>
    </cfRule>
  </conditionalFormatting>
  <conditionalFormatting sqref="C37 C49:C161 A146:B146">
    <cfRule type="containsText" dxfId="30" priority="18" operator="containsText" text="WA">
      <formula>NOT(ISERROR(SEARCH(("WA"),(C37))))</formula>
    </cfRule>
  </conditionalFormatting>
  <conditionalFormatting sqref="C3:C161 A146:B146">
    <cfRule type="containsText" dxfId="29" priority="19" operator="containsText" text="TLE">
      <formula>NOT(ISERROR(SEARCH(("TLE"),(C3))))</formula>
    </cfRule>
  </conditionalFormatting>
  <conditionalFormatting sqref="C37 C49:C161 A146:B146">
    <cfRule type="containsText" dxfId="28" priority="20" operator="containsText" text="TLE">
      <formula>NOT(ISERROR(SEARCH(("TLE"),(C37))))</formula>
    </cfRule>
  </conditionalFormatting>
  <conditionalFormatting sqref="C3:C161 A146:B146">
    <cfRule type="containsText" dxfId="27" priority="21" operator="containsText" text="RTE">
      <formula>NOT(ISERROR(SEARCH(("RTE"),(C3))))</formula>
    </cfRule>
  </conditionalFormatting>
  <conditionalFormatting sqref="C37 C49:C161 A146:B146">
    <cfRule type="containsText" dxfId="26" priority="22" operator="containsText" text="RTE">
      <formula>NOT(ISERROR(SEARCH(("RTE"),(C37))))</formula>
    </cfRule>
  </conditionalFormatting>
  <conditionalFormatting sqref="C3:C161 A146:B146">
    <cfRule type="containsText" dxfId="25" priority="23" operator="containsText" text="CS">
      <formula>NOT(ISERROR(SEARCH(("CS"),(C3))))</formula>
    </cfRule>
  </conditionalFormatting>
  <conditionalFormatting sqref="C37 C49:C161 A146:B146">
    <cfRule type="containsText" dxfId="24" priority="24" operator="containsText" text="CS">
      <formula>NOT(ISERROR(SEARCH(("CS"),(C37))))</formula>
    </cfRule>
  </conditionalFormatting>
  <hyperlinks>
    <hyperlink ref="B23" r:id="rId1" xr:uid="{58C6D2C3-17E3-4AF4-81CB-F3ED0F0014AC}"/>
    <hyperlink ref="E187" r:id="rId2" xr:uid="{D5E8C7F1-E922-42B9-9399-4E309907F44D}"/>
    <hyperlink ref="E192" r:id="rId3" xr:uid="{BA31BB8D-5715-4C11-B50A-DEF66825F9CA}"/>
  </hyperlinks>
  <pageMargins left="0.7" right="0.7" top="0.75" bottom="0.75" header="0.3" footer="0.3"/>
  <pageSetup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6" tint="0.39997558519241921"/>
    <outlinePr summaryBelow="0" summaryRight="0"/>
  </sheetPr>
  <dimension ref="A1:M205"/>
  <sheetViews>
    <sheetView zoomScale="84" workbookViewId="0">
      <pane ySplit="2" topLeftCell="A156" activePane="bottomLeft" state="frozen"/>
      <selection pane="bottomLeft" activeCell="B108" sqref="B108"/>
    </sheetView>
  </sheetViews>
  <sheetFormatPr defaultColWidth="17.33203125" defaultRowHeight="15.75" customHeight="1"/>
  <cols>
    <col min="1" max="1" width="15.6640625" customWidth="1"/>
    <col min="2" max="2" width="19.88671875" customWidth="1"/>
    <col min="3" max="3" width="52.44140625" customWidth="1"/>
    <col min="4" max="4" width="7.6640625" customWidth="1"/>
    <col min="5" max="5" width="8.44140625" customWidth="1"/>
    <col min="6" max="6" width="8.6640625" customWidth="1"/>
    <col min="7" max="7" width="10" customWidth="1"/>
    <col min="8" max="9" width="8.5546875" customWidth="1"/>
    <col min="10" max="10" width="10" customWidth="1"/>
    <col min="11" max="11" width="45.33203125" customWidth="1"/>
    <col min="12" max="12" width="10" customWidth="1"/>
    <col min="13" max="13" width="75.44140625" customWidth="1"/>
  </cols>
  <sheetData>
    <row r="1" spans="1:13" ht="15.75" customHeight="1">
      <c r="A1" s="156" t="s">
        <v>135</v>
      </c>
      <c r="B1" s="43" t="s">
        <v>136</v>
      </c>
      <c r="C1" s="44" t="s">
        <v>137</v>
      </c>
      <c r="D1" s="45" t="s">
        <v>138</v>
      </c>
      <c r="E1" s="45" t="s">
        <v>139</v>
      </c>
      <c r="F1" s="44" t="s">
        <v>140</v>
      </c>
      <c r="G1" s="45" t="s">
        <v>141</v>
      </c>
      <c r="H1" s="45" t="s">
        <v>142</v>
      </c>
      <c r="I1" s="45" t="s">
        <v>143</v>
      </c>
      <c r="J1" s="44" t="s">
        <v>144</v>
      </c>
      <c r="K1" s="44" t="s">
        <v>145</v>
      </c>
      <c r="L1" s="44" t="s">
        <v>146</v>
      </c>
      <c r="M1" s="46" t="s">
        <v>147</v>
      </c>
    </row>
    <row r="2" spans="1:13" ht="15.75" customHeight="1">
      <c r="A2" s="157"/>
      <c r="B2" s="158" t="s">
        <v>148</v>
      </c>
      <c r="C2" s="49">
        <f>COUNTIF(C3:C10540, "AC")</f>
        <v>0</v>
      </c>
      <c r="D2" s="50" t="e">
        <f ca="1">ROUND(SUMPRODUCT(D3:D10540,INT(EQ(C3:C10540, "AC")))/MAX(1, C2),1)</f>
        <v>#NAME?</v>
      </c>
      <c r="E2" s="50" t="e">
        <f ca="1">ROUND(SUMPRODUCT(E3:E10562,INT(EQ(C3:C10562, "AC")))/MAX(1, C2),0)</f>
        <v>#NAME?</v>
      </c>
      <c r="F2" s="50" t="e">
        <f ca="1">ROUND(SUMPRODUCT(F3:F10565,INT(EQ(C3:C10565, "AC")))/MAX(1, C2),0)</f>
        <v>#NAME?</v>
      </c>
      <c r="G2" s="50" t="e">
        <f ca="1">ROUND(SUMPRODUCT(G3:G10565,INT(EQ(C3:C10565, "AC")))/MAX(1, C2),0)</f>
        <v>#NAME?</v>
      </c>
      <c r="H2" s="50" t="e">
        <f ca="1">ROUND(SUMPRODUCT(H3:H10565,INT(EQ(C3:C10565, "AC")))/MAX(1, C2),0)</f>
        <v>#NAME?</v>
      </c>
      <c r="I2" s="50" t="e">
        <f ca="1">ROUND(SUMPRODUCT(I3:I10537,INT(EQ(C3:C10537, "AC")))/MAX(1, C2),0)</f>
        <v>#NAME?</v>
      </c>
      <c r="J2" s="50" t="e">
        <f ca="1">ROUND(SUMPRODUCT(J3:J10535,INT(EQ(C3:C10535, "AC")))/MAX(1, C2),1)</f>
        <v>#NAME?</v>
      </c>
      <c r="K2" s="50" t="e">
        <f ca="1">SUMPRODUCT(EQ(K3:K10540, "YES"),INT(EQ(C3:C10565, "AC")))</f>
        <v>#NAME?</v>
      </c>
      <c r="L2" s="51">
        <f ca="1">IFERROR(__xludf.DUMMYFUNCTION("COUNTA(FILTER(C3:C10032, NOT(REGEXMATCH(C3:C10032, ""AC""))))"),0)</f>
        <v>0</v>
      </c>
      <c r="M2" s="52">
        <f ca="1">IFERROR(__xludf.DUMMYFUNCTION("COUNTA(FILTER(C3:C10027, NOT(REGEXMATCH(C3:C10027, ""AC""))))"),0)</f>
        <v>0</v>
      </c>
    </row>
    <row r="3" spans="1:13" ht="15.75" customHeight="1" thickBot="1">
      <c r="A3" s="265"/>
      <c r="B3" s="265"/>
      <c r="C3" s="159"/>
      <c r="D3" s="159"/>
      <c r="E3" s="159"/>
      <c r="F3" s="159"/>
      <c r="G3" s="159"/>
      <c r="H3" s="160"/>
      <c r="I3" s="57">
        <f t="shared" ref="I3:I158" si="0">SUM(E3:H3)</f>
        <v>0</v>
      </c>
      <c r="J3" s="62"/>
      <c r="K3" s="56"/>
      <c r="L3" s="159"/>
      <c r="M3" s="262" t="str">
        <f>HYPERLINK("https://www.youtube.com/watch?v=vjxLlFTKhrU&amp;index=2&amp;list=PLPt2dINI2MIYrtHBahPW16S-Wz9wx24Nc","String Processing - KMP (2 vid)")</f>
        <v>String Processing - KMP (2 vid)</v>
      </c>
    </row>
    <row r="4" spans="1:13" ht="15.75" customHeight="1" thickTop="1" thickBot="1">
      <c r="A4" s="315" t="s">
        <v>970</v>
      </c>
      <c r="B4" s="316" t="str">
        <f>HYPERLINK("http://poj.org/problem?id=3461","PKU 3461")</f>
        <v>PKU 3461</v>
      </c>
      <c r="C4" s="583"/>
      <c r="D4" s="159"/>
      <c r="E4" s="159"/>
      <c r="F4" s="159"/>
      <c r="G4" s="159"/>
      <c r="H4" s="160"/>
      <c r="I4" s="57">
        <f t="shared" si="0"/>
        <v>0</v>
      </c>
      <c r="J4" s="62"/>
      <c r="K4" s="56"/>
      <c r="L4" s="29"/>
      <c r="M4" s="86"/>
    </row>
    <row r="5" spans="1:13" ht="15.75" customHeight="1" thickTop="1">
      <c r="A5" s="276" t="s">
        <v>971</v>
      </c>
      <c r="B5" s="316" t="str">
        <f>HYPERLINK("http://www.spoj.com/problems/NHAY","SPOJ NHAY")</f>
        <v>SPOJ NHAY</v>
      </c>
      <c r="C5" s="484"/>
      <c r="D5" s="159"/>
      <c r="E5" s="159"/>
      <c r="F5" s="159"/>
      <c r="G5" s="159"/>
      <c r="H5" s="160"/>
      <c r="I5" s="57">
        <f t="shared" si="0"/>
        <v>0</v>
      </c>
      <c r="J5" s="62"/>
      <c r="K5" s="56"/>
      <c r="L5" s="29"/>
      <c r="M5" s="86"/>
    </row>
    <row r="6" spans="1:13" ht="15.75" customHeight="1">
      <c r="A6" s="317" t="s">
        <v>972</v>
      </c>
      <c r="B6" s="316" t="str">
        <f>HYPERLINK("http://www.spoj.com/problems/TESSER/","SPOJ TESSER")</f>
        <v>SPOJ TESSER</v>
      </c>
      <c r="C6" s="484"/>
      <c r="D6" s="159"/>
      <c r="E6" s="159"/>
      <c r="F6" s="159"/>
      <c r="G6" s="159"/>
      <c r="H6" s="160"/>
      <c r="I6" s="57">
        <f t="shared" si="0"/>
        <v>0</v>
      </c>
      <c r="J6" s="62"/>
      <c r="K6" s="56"/>
      <c r="L6" s="29"/>
      <c r="M6" s="86"/>
    </row>
    <row r="7" spans="1:13" ht="15.75" customHeight="1">
      <c r="A7" s="317" t="s">
        <v>973</v>
      </c>
      <c r="B7" s="316" t="str">
        <f>HYPERLINK("http://www.spoj.com/problems/PERIOD/","SPOJ PERIOD")</f>
        <v>SPOJ PERIOD</v>
      </c>
      <c r="C7" s="484"/>
      <c r="D7" s="159"/>
      <c r="E7" s="159"/>
      <c r="F7" s="159"/>
      <c r="G7" s="159"/>
      <c r="H7" s="160"/>
      <c r="I7" s="57">
        <f t="shared" si="0"/>
        <v>0</v>
      </c>
      <c r="J7" s="62"/>
      <c r="K7" s="56"/>
      <c r="M7" s="86"/>
    </row>
    <row r="8" spans="1:13" ht="15.75" customHeight="1">
      <c r="A8" s="315" t="s">
        <v>974</v>
      </c>
      <c r="B8" s="316" t="str">
        <f>HYPERLINK("http://codeforces.com/contest/432/problem/D","CF432-D2-D")</f>
        <v>CF432-D2-D</v>
      </c>
      <c r="C8" s="484"/>
      <c r="D8" s="159"/>
      <c r="E8" s="159"/>
      <c r="F8" s="159"/>
      <c r="G8" s="159"/>
      <c r="H8" s="160"/>
      <c r="I8" s="57">
        <f t="shared" si="0"/>
        <v>0</v>
      </c>
      <c r="J8" s="62"/>
      <c r="K8" s="56"/>
      <c r="L8" s="29"/>
      <c r="M8" s="86"/>
    </row>
    <row r="9" spans="1:13" ht="15.75" customHeight="1">
      <c r="A9" s="315" t="s">
        <v>975</v>
      </c>
      <c r="B9" s="316" t="str">
        <f>HYPERLINK("http://codeforces.com/contest/535/problem/D","CF535-D2-D")</f>
        <v>CF535-D2-D</v>
      </c>
      <c r="C9" s="484"/>
      <c r="D9" s="159"/>
      <c r="E9" s="159"/>
      <c r="F9" s="159"/>
      <c r="G9" s="159"/>
      <c r="H9" s="160"/>
      <c r="I9" s="57">
        <f t="shared" si="0"/>
        <v>0</v>
      </c>
      <c r="J9" s="62"/>
      <c r="K9" s="56"/>
      <c r="L9" s="29"/>
      <c r="M9" s="86"/>
    </row>
    <row r="10" spans="1:13" ht="15.75" customHeight="1">
      <c r="A10" s="318" t="s">
        <v>976</v>
      </c>
      <c r="B10" s="319" t="str">
        <f>HYPERLINK("https://uva.onlinejudge.org/index.php?option=onlinejudge&amp;page=show_problem&amp;problem=2096","UVA 11155")</f>
        <v>UVA 11155</v>
      </c>
      <c r="C10" s="541"/>
      <c r="D10" s="159"/>
      <c r="E10" s="159"/>
      <c r="F10" s="159"/>
      <c r="G10" s="159"/>
      <c r="H10" s="160"/>
      <c r="I10" s="57">
        <f t="shared" si="0"/>
        <v>0</v>
      </c>
      <c r="J10" s="62"/>
      <c r="K10" s="56"/>
      <c r="L10" s="29"/>
      <c r="M10" s="86"/>
    </row>
    <row r="11" spans="1:13" ht="15.75" customHeight="1">
      <c r="A11" s="318" t="s">
        <v>977</v>
      </c>
      <c r="B11" s="319" t="str">
        <f>HYPERLINK("http://www.spoj.com/problems/PT07X/","SPOJ PT07X")</f>
        <v>SPOJ PT07X</v>
      </c>
      <c r="C11" s="484"/>
      <c r="D11" s="159"/>
      <c r="E11" s="159"/>
      <c r="F11" s="159"/>
      <c r="G11" s="159"/>
      <c r="H11" s="160"/>
      <c r="I11" s="57">
        <f t="shared" si="0"/>
        <v>0</v>
      </c>
      <c r="J11" s="62"/>
      <c r="K11" s="56"/>
      <c r="L11" s="29"/>
      <c r="M11" s="210" t="str">
        <f>HYPERLINK("https://github.com/abdullaAshraf/Problem-Solving/blob/master/SPOJ/PT07X.cpp","Sol")</f>
        <v>Sol</v>
      </c>
    </row>
    <row r="12" spans="1:13" ht="15.75" customHeight="1">
      <c r="A12" s="291" t="s">
        <v>978</v>
      </c>
      <c r="B12" s="281" t="str">
        <f>HYPERLINK("http://codeforces.com/contest/54/problem/C","CF54-D12-C")</f>
        <v>CF54-D12-C</v>
      </c>
      <c r="C12" s="484"/>
      <c r="D12" s="159"/>
      <c r="E12" s="159"/>
      <c r="F12" s="159"/>
      <c r="G12" s="159"/>
      <c r="H12" s="160"/>
      <c r="I12" s="57">
        <f t="shared" si="0"/>
        <v>0</v>
      </c>
      <c r="J12" s="93"/>
      <c r="K12" s="92"/>
      <c r="L12" s="29"/>
      <c r="M12" s="63"/>
    </row>
    <row r="13" spans="1:13" ht="15.75" customHeight="1">
      <c r="A13" s="291"/>
      <c r="B13" s="292" t="str">
        <f>HYPERLINK("http://codeforces.com/contest/500/problem/D","CF500-D12-D")</f>
        <v>CF500-D12-D</v>
      </c>
      <c r="C13" s="541"/>
      <c r="D13" s="159"/>
      <c r="E13" s="159"/>
      <c r="F13" s="159"/>
      <c r="G13" s="159"/>
      <c r="H13" s="160"/>
      <c r="I13" s="57">
        <f t="shared" si="0"/>
        <v>0</v>
      </c>
      <c r="J13" s="93"/>
      <c r="K13" s="92"/>
      <c r="L13" s="29"/>
      <c r="M13" s="63"/>
    </row>
    <row r="14" spans="1:13" ht="15.75" customHeight="1">
      <c r="A14" s="291"/>
      <c r="B14" s="292" t="str">
        <f>HYPERLINK("https://www.hackerrank.com/challenges/vertical-sticks","HACKR vertical-sticks")</f>
        <v>HACKR vertical-sticks</v>
      </c>
      <c r="C14" s="464" t="s">
        <v>14314</v>
      </c>
      <c r="D14" s="159"/>
      <c r="E14" s="159"/>
      <c r="F14" s="159"/>
      <c r="G14" s="159"/>
      <c r="H14" s="160"/>
      <c r="I14" s="57">
        <f t="shared" si="0"/>
        <v>0</v>
      </c>
      <c r="J14" s="93"/>
      <c r="K14" s="92"/>
      <c r="L14" s="29"/>
      <c r="M14" s="63"/>
    </row>
    <row r="15" spans="1:13" ht="15.75" customHeight="1">
      <c r="A15" s="291"/>
      <c r="B15" s="219" t="s">
        <v>979</v>
      </c>
      <c r="C15" s="491" t="s">
        <v>14314</v>
      </c>
      <c r="D15" s="159"/>
      <c r="E15" s="159"/>
      <c r="F15" s="159"/>
      <c r="G15" s="159"/>
      <c r="H15" s="160"/>
      <c r="I15" s="57">
        <f t="shared" si="0"/>
        <v>0</v>
      </c>
      <c r="J15" s="93"/>
      <c r="K15" s="92"/>
      <c r="L15" s="29"/>
      <c r="M15" s="63"/>
    </row>
    <row r="16" spans="1:13" ht="15.75" customHeight="1">
      <c r="A16" s="291"/>
      <c r="B16" s="219" t="s">
        <v>980</v>
      </c>
      <c r="C16" s="491" t="s">
        <v>14314</v>
      </c>
      <c r="D16" s="159"/>
      <c r="E16" s="159"/>
      <c r="F16" s="159"/>
      <c r="G16" s="159"/>
      <c r="H16" s="160"/>
      <c r="I16" s="57">
        <f t="shared" si="0"/>
        <v>0</v>
      </c>
      <c r="J16" s="93"/>
      <c r="K16" s="92"/>
      <c r="L16" s="29"/>
      <c r="M16" s="210" t="str">
        <f>HYPERLINK("https://github.com/mostafa-saad/MyCompetitiveProgramming/blob/master/UVA/UVA_1333.txt","Sol - Text/Background Clarification")</f>
        <v>Sol - Text/Background Clarification</v>
      </c>
    </row>
    <row r="17" spans="1:13" ht="15.75" customHeight="1">
      <c r="A17" s="291"/>
      <c r="B17" s="220" t="str">
        <f>HYPERLINK("http://codeforces.com/contest/842/problem/D","CF842-D2-D")</f>
        <v>CF842-D2-D</v>
      </c>
      <c r="C17" s="484"/>
      <c r="D17" s="159"/>
      <c r="E17" s="159"/>
      <c r="F17" s="159"/>
      <c r="G17" s="159"/>
      <c r="H17" s="160"/>
      <c r="I17" s="57">
        <f t="shared" si="0"/>
        <v>0</v>
      </c>
      <c r="J17" s="93"/>
      <c r="K17" s="92"/>
      <c r="L17" s="29"/>
      <c r="M17" s="63"/>
    </row>
    <row r="18" spans="1:13" ht="15.75" customHeight="1">
      <c r="A18" s="291"/>
      <c r="B18" s="220" t="str">
        <f>HYPERLINK("http://codeforces.com/contest/709/problem/D","CF709-D2-D")</f>
        <v>CF709-D2-D</v>
      </c>
      <c r="C18" s="458" t="s">
        <v>14500</v>
      </c>
      <c r="D18" s="159"/>
      <c r="E18" s="159"/>
      <c r="F18" s="159"/>
      <c r="G18" s="159"/>
      <c r="H18" s="160"/>
      <c r="I18" s="57">
        <f t="shared" si="0"/>
        <v>0</v>
      </c>
      <c r="J18" s="93"/>
      <c r="K18" s="92"/>
      <c r="L18" s="29"/>
      <c r="M18" s="63"/>
    </row>
    <row r="19" spans="1:13" ht="15.75" customHeight="1" thickBot="1">
      <c r="A19" s="291"/>
      <c r="B19" s="219" t="s">
        <v>981</v>
      </c>
      <c r="C19" s="159" t="s">
        <v>14503</v>
      </c>
      <c r="D19" s="159"/>
      <c r="E19" s="159"/>
      <c r="F19" s="159"/>
      <c r="G19" s="159"/>
      <c r="H19" s="160"/>
      <c r="I19" s="57">
        <f t="shared" si="0"/>
        <v>0</v>
      </c>
      <c r="J19" s="93"/>
      <c r="K19" s="92"/>
      <c r="L19" s="29"/>
      <c r="M19" s="210" t="str">
        <f>HYPERLINK("https://github.com/mostafa-saad/MyCompetitiveProgramming/blob/master/SPOJ/SPOJ_MSKYCODE.txt","Sol")</f>
        <v>Sol</v>
      </c>
    </row>
    <row r="20" spans="1:13" ht="15.75" customHeight="1" thickTop="1" thickBot="1">
      <c r="A20" s="291"/>
      <c r="B20" s="219" t="s">
        <v>982</v>
      </c>
      <c r="C20" s="583"/>
      <c r="D20" s="159"/>
      <c r="E20" s="159"/>
      <c r="F20" s="159"/>
      <c r="G20" s="159"/>
      <c r="H20" s="160"/>
      <c r="I20" s="57">
        <f t="shared" si="0"/>
        <v>0</v>
      </c>
      <c r="J20" s="93"/>
      <c r="K20" s="92"/>
      <c r="L20" s="29"/>
      <c r="M20" s="210" t="str">
        <f>HYPERLINK("https://github.com/ahmed-osama-iv/CompetitiveProgramming/blob/master/LiveArchive/8015.cpp","Sol")</f>
        <v>Sol</v>
      </c>
    </row>
    <row r="21" spans="1:13" ht="15.75" customHeight="1" thickTop="1">
      <c r="A21" s="166"/>
      <c r="B21" s="265"/>
      <c r="C21" s="159"/>
      <c r="D21" s="159"/>
      <c r="E21" s="159"/>
      <c r="F21" s="159"/>
      <c r="G21" s="159"/>
      <c r="H21" s="160"/>
      <c r="I21" s="57">
        <f t="shared" si="0"/>
        <v>0</v>
      </c>
      <c r="J21" s="62"/>
      <c r="K21" s="56"/>
      <c r="L21" s="29"/>
      <c r="M21" s="63"/>
    </row>
    <row r="22" spans="1:13" ht="15.75" customHeight="1">
      <c r="A22" s="166" t="s">
        <v>983</v>
      </c>
      <c r="B22" s="176" t="str">
        <f>HYPERLINK("http://codeforces.com/contest/672/problem/D","CF672-D2-D")</f>
        <v>CF672-D2-D</v>
      </c>
      <c r="C22" s="458" t="s">
        <v>14498</v>
      </c>
      <c r="D22" s="159"/>
      <c r="E22" s="159"/>
      <c r="F22" s="159"/>
      <c r="G22" s="159"/>
      <c r="H22" s="160"/>
      <c r="I22" s="57">
        <f t="shared" si="0"/>
        <v>0</v>
      </c>
      <c r="J22" s="62"/>
      <c r="K22" s="56"/>
      <c r="L22" s="29"/>
      <c r="M22" s="63"/>
    </row>
    <row r="23" spans="1:13" ht="15.75" customHeight="1">
      <c r="A23" s="166" t="s">
        <v>984</v>
      </c>
      <c r="B23" s="176" t="str">
        <f>HYPERLINK("http://codeforces.com/contest/94/problem/D","CF94-D2-D")</f>
        <v>CF94-D2-D</v>
      </c>
      <c r="C23" s="585" t="s">
        <v>14314</v>
      </c>
      <c r="D23" s="159"/>
      <c r="E23" s="159"/>
      <c r="F23" s="159"/>
      <c r="G23" s="159"/>
      <c r="H23" s="160"/>
      <c r="I23" s="57">
        <f t="shared" si="0"/>
        <v>0</v>
      </c>
      <c r="J23" s="62"/>
      <c r="K23" s="56"/>
      <c r="L23" s="29"/>
      <c r="M23" s="63"/>
    </row>
    <row r="24" spans="1:13" ht="15.75" customHeight="1">
      <c r="A24" s="166" t="s">
        <v>985</v>
      </c>
      <c r="B24" s="176" t="str">
        <f>HYPERLINK("http://codeforces.com/contest/560/problem/D","CF560-D2-D")</f>
        <v>CF560-D2-D</v>
      </c>
      <c r="C24" s="458" t="s">
        <v>14498</v>
      </c>
      <c r="D24" s="159"/>
      <c r="E24" s="159"/>
      <c r="F24" s="159"/>
      <c r="G24" s="159"/>
      <c r="H24" s="160"/>
      <c r="I24" s="57">
        <f t="shared" si="0"/>
        <v>0</v>
      </c>
      <c r="J24" s="62"/>
      <c r="K24" s="56"/>
      <c r="M24" s="210" t="str">
        <f>HYPERLINK("https://github.com/VAMPIER000001/CompetitiveProgramming/blob/6ffe2c80fe5aba2bf2d901503b96f1b90053462a/CF/CF560-D2-D(2).Cpp","Sol to learn")</f>
        <v>Sol to learn</v>
      </c>
    </row>
    <row r="25" spans="1:13" ht="15.75" customHeight="1" thickBot="1">
      <c r="A25" s="166" t="s">
        <v>986</v>
      </c>
      <c r="B25" s="176" t="str">
        <f>HYPERLINK("http://codeforces.com/contest/451/problem/D","CF451-D2-D")</f>
        <v>CF451-D2-D</v>
      </c>
      <c r="C25" s="484"/>
      <c r="D25" s="159"/>
      <c r="E25" s="159"/>
      <c r="F25" s="159"/>
      <c r="G25" s="159"/>
      <c r="H25" s="160"/>
      <c r="I25" s="57">
        <f t="shared" si="0"/>
        <v>0</v>
      </c>
      <c r="J25" s="62"/>
      <c r="K25" s="56"/>
      <c r="L25" s="29"/>
      <c r="M25" s="86"/>
    </row>
    <row r="26" spans="1:13" ht="15.75" customHeight="1" thickTop="1" thickBot="1">
      <c r="A26" s="166" t="s">
        <v>987</v>
      </c>
      <c r="B26" s="176" t="str">
        <f>HYPERLINK("http://codeforces.com/contest/186/problem/D","CF186-D2-D")</f>
        <v>CF186-D2-D</v>
      </c>
      <c r="C26" s="583" t="s">
        <v>1390</v>
      </c>
      <c r="D26" s="159"/>
      <c r="E26" s="159"/>
      <c r="F26" s="159"/>
      <c r="G26" s="159"/>
      <c r="H26" s="160"/>
      <c r="I26" s="57">
        <f t="shared" si="0"/>
        <v>0</v>
      </c>
      <c r="J26" s="62"/>
      <c r="K26" s="56"/>
      <c r="L26" s="29"/>
      <c r="M26" s="86"/>
    </row>
    <row r="27" spans="1:13" ht="15.75" customHeight="1" thickTop="1" thickBot="1">
      <c r="A27" s="166" t="s">
        <v>988</v>
      </c>
      <c r="B27" s="176" t="str">
        <f>HYPERLINK("http://codeforces.com/contest/195/problem/D","CF195-D2-D")</f>
        <v>CF195-D2-D</v>
      </c>
      <c r="C27" s="583" t="s">
        <v>1390</v>
      </c>
      <c r="D27" s="159"/>
      <c r="E27" s="159"/>
      <c r="F27" s="159"/>
      <c r="G27" s="159"/>
      <c r="H27" s="160"/>
      <c r="I27" s="57">
        <f t="shared" si="0"/>
        <v>0</v>
      </c>
      <c r="J27" s="62"/>
      <c r="K27" s="56"/>
      <c r="L27" s="29"/>
      <c r="M27" s="86"/>
    </row>
    <row r="28" spans="1:13" ht="15.75" customHeight="1" thickTop="1" thickBot="1">
      <c r="A28" s="166"/>
      <c r="B28" s="176" t="str">
        <f>HYPERLINK("http://codeforces.com/contest/1023/problem/E","CF1023-D12-E")</f>
        <v>CF1023-D12-E</v>
      </c>
      <c r="C28" s="583" t="s">
        <v>14497</v>
      </c>
      <c r="D28" s="159"/>
      <c r="E28" s="159"/>
      <c r="F28" s="159"/>
      <c r="G28" s="159"/>
      <c r="H28" s="160"/>
      <c r="I28" s="57">
        <f t="shared" si="0"/>
        <v>0</v>
      </c>
      <c r="J28" s="62"/>
      <c r="K28" s="56"/>
      <c r="L28" s="29"/>
      <c r="M28" s="86"/>
    </row>
    <row r="29" spans="1:13" ht="15.75" customHeight="1" thickTop="1">
      <c r="A29" s="166"/>
      <c r="B29" s="176" t="str">
        <f>HYPERLINK("https://codeforces.com/contest/1060/problem/C","CF1060-D12-C")</f>
        <v>CF1060-D12-C</v>
      </c>
      <c r="C29" s="484"/>
      <c r="D29" s="159"/>
      <c r="E29" s="159"/>
      <c r="F29" s="159"/>
      <c r="G29" s="159"/>
      <c r="H29" s="160"/>
      <c r="I29" s="57">
        <f t="shared" si="0"/>
        <v>0</v>
      </c>
      <c r="J29" s="62"/>
      <c r="K29" s="56"/>
      <c r="L29" s="29"/>
      <c r="M29" s="86"/>
    </row>
    <row r="30" spans="1:13" ht="15.75" customHeight="1">
      <c r="A30" s="214" t="s">
        <v>989</v>
      </c>
      <c r="B30" s="260" t="str">
        <f>HYPERLINK("http://codeforces.com/contest/680/problem/C","CF680-D2-C")</f>
        <v>CF680-D2-C</v>
      </c>
      <c r="C30" s="484"/>
      <c r="D30" s="159"/>
      <c r="E30" s="159"/>
      <c r="F30" s="159"/>
      <c r="G30" s="159"/>
      <c r="H30" s="160"/>
      <c r="I30" s="57">
        <f t="shared" si="0"/>
        <v>0</v>
      </c>
      <c r="J30" s="93"/>
      <c r="K30" s="92"/>
      <c r="L30" s="29"/>
      <c r="M30" s="29"/>
    </row>
    <row r="31" spans="1:13" ht="15.75" customHeight="1">
      <c r="A31" s="214" t="s">
        <v>178</v>
      </c>
      <c r="B31" s="260" t="str">
        <f>HYPERLINK("http://codeforces.com/contest/401/problem/C","CF401-D2-C")</f>
        <v>CF401-D2-C</v>
      </c>
      <c r="C31" s="484"/>
      <c r="D31" s="159"/>
      <c r="E31" s="159"/>
      <c r="F31" s="159"/>
      <c r="G31" s="159"/>
      <c r="H31" s="160"/>
      <c r="I31" s="57">
        <f t="shared" si="0"/>
        <v>0</v>
      </c>
      <c r="J31" s="93"/>
      <c r="K31" s="92"/>
      <c r="L31" s="29"/>
      <c r="M31" s="29"/>
    </row>
    <row r="32" spans="1:13" ht="15.75" customHeight="1">
      <c r="A32" s="166"/>
      <c r="B32" s="265"/>
      <c r="C32" s="159"/>
      <c r="D32" s="159"/>
      <c r="E32" s="159"/>
      <c r="F32" s="159"/>
      <c r="G32" s="159"/>
      <c r="H32" s="160"/>
      <c r="I32" s="57">
        <f t="shared" si="0"/>
        <v>0</v>
      </c>
      <c r="J32" s="62"/>
      <c r="K32" s="56"/>
      <c r="L32" s="29"/>
      <c r="M32" s="262" t="str">
        <f>HYPERLINK("https://www.youtube.com/watch?v=X-cMRvuTGuM&amp;list=PLPt2dINI2MIattDutu7IOAMlUuLeN8k2p&amp;index=19","DP - Games (2 vid)")</f>
        <v>DP - Games (2 vid)</v>
      </c>
    </row>
    <row r="33" spans="1:13" ht="15" thickBot="1">
      <c r="A33" s="320" t="s">
        <v>990</v>
      </c>
      <c r="B33" s="316" t="str">
        <f>HYPERLINK("https://uva.onlinejudge.org/index.php?option=com_onlinejudge&amp;Itemid=8&amp;page=show_problem&amp;problem=1345","UVA 10404")</f>
        <v>UVA 10404</v>
      </c>
      <c r="C33" s="484"/>
      <c r="D33" s="159"/>
      <c r="E33" s="159"/>
      <c r="F33" s="159"/>
      <c r="G33" s="159"/>
      <c r="H33" s="160"/>
      <c r="I33" s="57">
        <f t="shared" si="0"/>
        <v>0</v>
      </c>
      <c r="J33" s="62"/>
      <c r="K33" s="56"/>
      <c r="L33" s="29"/>
      <c r="M33" s="210" t="str">
        <f>HYPERLINK("https://github.com/VAMPIER000001/CompetitiveProgramming/blob/58946d0dcba06adfc2c5ec0b423546a6a0c6da9c/UVA/V-104/UVA%2010404.Cpp","Sol")</f>
        <v>Sol</v>
      </c>
    </row>
    <row r="34" spans="1:13" ht="15.6" thickTop="1" thickBot="1">
      <c r="A34" s="321" t="str">
        <f>HYPERLINK("https://community.topcoder.com/stat?c=problem_statement&amp;pm=11791&amp;rd=14727","EllysCheckers")</f>
        <v>EllysCheckers</v>
      </c>
      <c r="B34" s="322" t="s">
        <v>991</v>
      </c>
      <c r="C34" s="583"/>
      <c r="D34" s="159"/>
      <c r="E34" s="159"/>
      <c r="F34" s="159"/>
      <c r="G34" s="159"/>
      <c r="H34" s="160"/>
      <c r="I34" s="57">
        <f t="shared" si="0"/>
        <v>0</v>
      </c>
      <c r="J34" s="62"/>
      <c r="K34" s="56"/>
      <c r="L34" s="29"/>
      <c r="M34" s="86"/>
    </row>
    <row r="35" spans="1:13" ht="15.6" thickTop="1" thickBot="1">
      <c r="A35" s="323" t="str">
        <f>HYPERLINK("https://community.topcoder.com/stat?c=problem_statement&amp;pm=11566&amp;rd=14547","RowAndCoins")</f>
        <v>RowAndCoins</v>
      </c>
      <c r="B35" s="324" t="s">
        <v>992</v>
      </c>
      <c r="C35" s="583"/>
      <c r="D35" s="159"/>
      <c r="E35" s="159"/>
      <c r="F35" s="159"/>
      <c r="G35" s="159"/>
      <c r="H35" s="160"/>
      <c r="I35" s="57">
        <f t="shared" si="0"/>
        <v>0</v>
      </c>
      <c r="J35" s="62"/>
      <c r="K35" s="56"/>
      <c r="L35" s="29"/>
      <c r="M35" s="86"/>
    </row>
    <row r="36" spans="1:13" ht="15.6" thickTop="1" thickBot="1">
      <c r="A36" s="323" t="str">
        <f>HYPERLINK("https://community.topcoder.com/stat?c=problem_statement&amp;pm=3491&amp;rd=6517","BagsOfGold")</f>
        <v>BagsOfGold</v>
      </c>
      <c r="B36" s="324" t="s">
        <v>993</v>
      </c>
      <c r="C36" s="583"/>
      <c r="D36" s="159"/>
      <c r="E36" s="159"/>
      <c r="F36" s="159"/>
      <c r="G36" s="159"/>
      <c r="H36" s="160"/>
      <c r="I36" s="57">
        <f t="shared" si="0"/>
        <v>0</v>
      </c>
      <c r="J36" s="62"/>
      <c r="K36" s="56"/>
      <c r="L36" s="29"/>
      <c r="M36" s="86"/>
    </row>
    <row r="37" spans="1:13" ht="13.8" thickTop="1">
      <c r="A37" s="325" t="s">
        <v>994</v>
      </c>
      <c r="B37" s="326" t="str">
        <f>HYPERLINK("http://codeforces.com/contest/148/problem/D","CF148-D2-D")</f>
        <v>CF148-D2-D</v>
      </c>
      <c r="C37" s="585" t="s">
        <v>14314</v>
      </c>
      <c r="D37" s="159"/>
      <c r="E37" s="159"/>
      <c r="F37" s="159"/>
      <c r="G37" s="159"/>
      <c r="H37" s="160"/>
      <c r="I37" s="57">
        <f t="shared" si="0"/>
        <v>0</v>
      </c>
      <c r="J37" s="93"/>
      <c r="K37" s="92"/>
      <c r="L37" s="29"/>
      <c r="M37" s="29"/>
    </row>
    <row r="38" spans="1:13" ht="13.2">
      <c r="A38" s="318"/>
      <c r="B38" s="319" t="str">
        <f>HYPERLINK("https://codeforces.com/contest/1147/problem/B", "CF1147-D1-B")</f>
        <v>CF1147-D1-B</v>
      </c>
      <c r="C38" s="585" t="s">
        <v>14314</v>
      </c>
      <c r="D38" s="159"/>
      <c r="E38" s="159"/>
      <c r="F38" s="159"/>
      <c r="G38" s="159"/>
      <c r="H38" s="160"/>
      <c r="I38" s="57">
        <f t="shared" si="0"/>
        <v>0</v>
      </c>
      <c r="J38" s="62"/>
      <c r="K38" s="56"/>
      <c r="L38" s="29"/>
      <c r="M38" s="63"/>
    </row>
    <row r="39" spans="1:13" ht="14.4">
      <c r="A39" s="318" t="s">
        <v>995</v>
      </c>
      <c r="B39" s="319" t="str">
        <f>HYPERLINK("http://www.spoj.com/problems/MELE3/","SPOJ MELE3")</f>
        <v>SPOJ MELE3</v>
      </c>
      <c r="C39" s="484"/>
      <c r="D39" s="159"/>
      <c r="E39" s="159"/>
      <c r="F39" s="159"/>
      <c r="G39" s="159"/>
      <c r="H39" s="160"/>
      <c r="I39" s="57">
        <f t="shared" si="0"/>
        <v>0</v>
      </c>
      <c r="J39" s="62"/>
      <c r="K39" s="56"/>
      <c r="L39" s="29"/>
      <c r="M39" s="210" t="str">
        <f>HYPERLINK("https://github.com/VAMPIER000001/CompetitiveProgramming/blob/a5d714fa4de45e50f87306d421ec6c3c02026f76/Spoj/SPOJ%20MELE3.Cpp","Sol")</f>
        <v>Sol</v>
      </c>
    </row>
    <row r="40" spans="1:13" ht="14.4">
      <c r="A40" s="318" t="s">
        <v>996</v>
      </c>
      <c r="B40" s="319" t="str">
        <f>HYPERLINK("http://www.spoj.com/problems/ROADS/en/","SPOJ ROADS")</f>
        <v>SPOJ ROADS</v>
      </c>
      <c r="C40" s="484" t="s">
        <v>14504</v>
      </c>
      <c r="D40" s="159"/>
      <c r="E40" s="159"/>
      <c r="F40" s="159"/>
      <c r="G40" s="159"/>
      <c r="H40" s="160"/>
      <c r="I40" s="57">
        <f t="shared" si="0"/>
        <v>0</v>
      </c>
      <c r="J40" s="62"/>
      <c r="K40" s="56"/>
      <c r="L40" s="29"/>
      <c r="M40" s="210" t="str">
        <f>HYPERLINK("https://github.com/mostafa-saad/MyCompetitiveProgramming/blob/master/SPOJ/SPOJ_ROADS.txt","Sol")</f>
        <v>Sol</v>
      </c>
    </row>
    <row r="41" spans="1:13" ht="14.4">
      <c r="A41" s="318" t="s">
        <v>997</v>
      </c>
      <c r="B41" s="319" t="str">
        <f>HYPERLINK("https://uva.onlinejudge.org/index.php?option=onlinejudge&amp;page=show_problem&amp;problem=1400","UVA 10459")</f>
        <v>UVA 10459</v>
      </c>
      <c r="C41" s="458" t="s">
        <v>14501</v>
      </c>
      <c r="D41" s="159"/>
      <c r="E41" s="159"/>
      <c r="F41" s="159"/>
      <c r="G41" s="159"/>
      <c r="H41" s="160"/>
      <c r="I41" s="57">
        <f t="shared" si="0"/>
        <v>0</v>
      </c>
      <c r="J41" s="62"/>
      <c r="K41" s="56"/>
      <c r="L41" s="29"/>
      <c r="M41" s="210" t="str">
        <f>HYPERLINK("https://github.com/VAMPIER000001/CompetitiveProgramming/blob/master/UVA/V-104/UVA%2010459.Cpp","Sol")</f>
        <v>Sol</v>
      </c>
    </row>
    <row r="42" spans="1:13" ht="28.8">
      <c r="A42" s="318" t="s">
        <v>998</v>
      </c>
      <c r="B42" s="319" t="str">
        <f>HYPERLINK("https://uva.onlinejudge.org/index.php?option=com_onlinejudge&amp;Itemid=8&amp;page=show_problem&amp;problem=3673","UVA 1232")</f>
        <v>UVA 1232</v>
      </c>
      <c r="C42" s="459" t="s">
        <v>14502</v>
      </c>
      <c r="D42" s="159"/>
      <c r="E42" s="159"/>
      <c r="F42" s="159"/>
      <c r="G42" s="159"/>
      <c r="H42" s="160"/>
      <c r="I42" s="57">
        <f t="shared" si="0"/>
        <v>0</v>
      </c>
      <c r="J42" s="93"/>
      <c r="K42" s="92"/>
      <c r="M42" s="210" t="str">
        <f>HYPERLINK("https://github.com/mostafa-saad/MyCompetitiveProgramming/blob/master/UVA/UVA_1232.txt","Sol")</f>
        <v>Sol</v>
      </c>
    </row>
    <row r="43" spans="1:13" ht="13.2">
      <c r="A43" s="263" t="s">
        <v>999</v>
      </c>
      <c r="B43" s="327" t="str">
        <f>HYPERLINK("http://www.spoj.com/problems/ORDERS/","SPOJ ORDERS")</f>
        <v>SPOJ ORDERS</v>
      </c>
      <c r="C43" s="464" t="s">
        <v>14314</v>
      </c>
      <c r="D43" s="159"/>
      <c r="E43" s="159"/>
      <c r="F43" s="159"/>
      <c r="G43" s="159"/>
      <c r="H43" s="160"/>
      <c r="I43" s="57">
        <f t="shared" si="0"/>
        <v>0</v>
      </c>
      <c r="J43" s="93"/>
      <c r="K43" s="92"/>
      <c r="M43" s="210" t="str">
        <f>HYPERLINK("https://github.com/mostafa-saad/MyCompetitiveProgramming/blob/master/SPOJ/SPOJ_ORDERS.txt","Sol")</f>
        <v>Sol</v>
      </c>
    </row>
    <row r="44" spans="1:13" ht="13.8" thickBot="1">
      <c r="A44" s="328" t="s">
        <v>1000</v>
      </c>
      <c r="B44" s="329" t="str">
        <f>HYPERLINK("http://codeforces.com/contest/268/problem/E","CF268-D2-E")</f>
        <v>CF268-D2-E</v>
      </c>
      <c r="C44" s="585" t="s">
        <v>14314</v>
      </c>
      <c r="D44" s="159"/>
      <c r="E44" s="159"/>
      <c r="F44" s="159"/>
      <c r="G44" s="159"/>
      <c r="H44" s="160"/>
      <c r="I44" s="57">
        <f t="shared" si="0"/>
        <v>0</v>
      </c>
      <c r="J44" s="93"/>
      <c r="K44" s="92"/>
      <c r="M44" s="210" t="str">
        <f>HYPERLINK("https://github.com/3agwa/CompetitiveProgramming/blob/master/CodeForces/CF268-D2-E.cpp","Sol")</f>
        <v>Sol</v>
      </c>
    </row>
    <row r="45" spans="1:13" ht="15.6" thickTop="1" thickBot="1">
      <c r="A45" s="263"/>
      <c r="B45" s="257" t="s">
        <v>1001</v>
      </c>
      <c r="C45" s="583"/>
      <c r="D45" s="159"/>
      <c r="E45" s="159"/>
      <c r="F45" s="159"/>
      <c r="G45" s="159"/>
      <c r="H45" s="160"/>
      <c r="I45" s="57">
        <f t="shared" si="0"/>
        <v>0</v>
      </c>
      <c r="J45" s="93"/>
      <c r="K45" s="92"/>
      <c r="L45" s="29"/>
      <c r="M45" s="63"/>
    </row>
    <row r="46" spans="1:13" ht="13.8" thickTop="1">
      <c r="A46" s="166"/>
      <c r="B46" s="265"/>
      <c r="C46" s="159"/>
      <c r="D46" s="159"/>
      <c r="E46" s="159"/>
      <c r="F46" s="159"/>
      <c r="G46" s="159"/>
      <c r="H46" s="160"/>
      <c r="I46" s="57">
        <f t="shared" si="0"/>
        <v>0</v>
      </c>
      <c r="J46" s="62"/>
      <c r="K46" s="56"/>
      <c r="L46" s="29"/>
      <c r="M46" s="86"/>
    </row>
    <row r="47" spans="1:13" ht="14.4">
      <c r="A47" s="86" t="s">
        <v>1002</v>
      </c>
      <c r="B47" s="330" t="str">
        <f>HYPERLINK("http://codeforces.com/contest/276/problem/D","CF276-D2-D")</f>
        <v>CF276-D2-D</v>
      </c>
      <c r="C47" s="484"/>
      <c r="D47" s="159"/>
      <c r="E47" s="159"/>
      <c r="F47" s="159"/>
      <c r="G47" s="159"/>
      <c r="H47" s="160"/>
      <c r="I47" s="57">
        <f t="shared" si="0"/>
        <v>0</v>
      </c>
      <c r="J47" s="26"/>
      <c r="K47" s="29"/>
      <c r="M47" s="331" t="str">
        <f>HYPERLINK("http://codeforces.com/blog/entry/6779","See editorials")</f>
        <v>See editorials</v>
      </c>
    </row>
    <row r="48" spans="1:13" ht="14.4">
      <c r="A48" s="166" t="s">
        <v>1003</v>
      </c>
      <c r="B48" s="330" t="str">
        <f>HYPERLINK("http://codeforces.com/contest/224/problem/D","CF224-D2-D")</f>
        <v>CF224-D2-D</v>
      </c>
      <c r="C48" s="484" t="s">
        <v>166</v>
      </c>
      <c r="D48" s="159"/>
      <c r="E48" s="159"/>
      <c r="F48" s="159"/>
      <c r="G48" s="159"/>
      <c r="H48" s="160"/>
      <c r="I48" s="57">
        <f t="shared" si="0"/>
        <v>0</v>
      </c>
      <c r="J48" s="62"/>
      <c r="K48" s="56"/>
      <c r="L48" s="29"/>
      <c r="M48" s="210" t="str">
        <f>HYPERLINK("https://github.com/abdullaAshraf/Problem-Solving/blob/master/CodeForces/CF224-D2-D.cpp","Sol")</f>
        <v>Sol</v>
      </c>
    </row>
    <row r="49" spans="1:13" ht="14.4">
      <c r="A49" s="166" t="s">
        <v>1004</v>
      </c>
      <c r="B49" s="330" t="str">
        <f>HYPERLINK("http://codeforces.com/contest/75/problem/D","CF75-D2-D")</f>
        <v>CF75-D2-D</v>
      </c>
      <c r="C49" s="458" t="s">
        <v>14508</v>
      </c>
      <c r="D49" s="159"/>
      <c r="E49" s="159"/>
      <c r="F49" s="159"/>
      <c r="G49" s="159"/>
      <c r="H49" s="160"/>
      <c r="I49" s="57">
        <f t="shared" si="0"/>
        <v>0</v>
      </c>
      <c r="J49" s="62"/>
      <c r="K49" s="56"/>
      <c r="L49" s="29"/>
    </row>
    <row r="50" spans="1:13" ht="13.2">
      <c r="A50" s="166"/>
      <c r="B50" s="265" t="s">
        <v>1005</v>
      </c>
      <c r="C50" s="464"/>
      <c r="D50" s="159"/>
      <c r="E50" s="159"/>
      <c r="F50" s="159"/>
      <c r="G50" s="159"/>
      <c r="H50" s="160"/>
      <c r="I50" s="57">
        <f t="shared" si="0"/>
        <v>0</v>
      </c>
      <c r="J50" s="62"/>
      <c r="K50" s="56"/>
      <c r="L50" s="29"/>
      <c r="M50" s="584" t="s">
        <v>10949</v>
      </c>
    </row>
    <row r="51" spans="1:13" ht="13.2">
      <c r="A51" s="166"/>
      <c r="B51" s="330" t="str">
        <f>HYPERLINK("https://codeforces.com/contest/1057/problem/C","CF1057-D12-C")</f>
        <v>CF1057-D12-C</v>
      </c>
      <c r="C51" s="159"/>
      <c r="D51" s="159"/>
      <c r="E51" s="159"/>
      <c r="F51" s="159"/>
      <c r="G51" s="159"/>
      <c r="H51" s="160"/>
      <c r="I51" s="57">
        <f t="shared" si="0"/>
        <v>0</v>
      </c>
      <c r="J51" s="62"/>
      <c r="K51" s="56"/>
      <c r="L51" s="29"/>
    </row>
    <row r="52" spans="1:13" ht="14.4">
      <c r="A52" s="166"/>
      <c r="B52" s="330" t="str">
        <f>HYPERLINK("https://codeforces.com/contest/1066/problem/F","CF1066-D3-F")</f>
        <v>CF1066-D3-F</v>
      </c>
      <c r="C52" s="458" t="s">
        <v>14507</v>
      </c>
      <c r="D52" s="159"/>
      <c r="E52" s="159"/>
      <c r="F52" s="159"/>
      <c r="G52" s="159"/>
      <c r="H52" s="160"/>
      <c r="I52" s="57">
        <f t="shared" si="0"/>
        <v>0</v>
      </c>
      <c r="J52" s="62"/>
      <c r="K52" s="56"/>
      <c r="L52" s="29"/>
    </row>
    <row r="53" spans="1:13" ht="13.2">
      <c r="A53" s="166"/>
      <c r="B53" s="330" t="str">
        <f>HYPERLINK("https://codeforces.com/contest/1064/problem/E","CF1064-D2-E")</f>
        <v>CF1064-D2-E</v>
      </c>
      <c r="C53" s="585"/>
      <c r="D53" s="159"/>
      <c r="E53" s="159"/>
      <c r="F53" s="159"/>
      <c r="G53" s="159"/>
      <c r="H53" s="160"/>
      <c r="I53" s="57">
        <f t="shared" si="0"/>
        <v>0</v>
      </c>
      <c r="J53" s="62"/>
      <c r="K53" s="56"/>
      <c r="L53" s="29"/>
    </row>
    <row r="54" spans="1:13" ht="43.2">
      <c r="A54" s="166"/>
      <c r="B54" s="330" t="str">
        <f>HYPERLINK("http://codeforces.com/contest/459/problem/E","CF459-D2-E")</f>
        <v>CF459-D2-E</v>
      </c>
      <c r="C54" s="458" t="s">
        <v>14505</v>
      </c>
      <c r="D54" s="159"/>
      <c r="E54" s="159"/>
      <c r="F54" s="159"/>
      <c r="G54" s="159"/>
      <c r="H54" s="160"/>
      <c r="I54" s="57">
        <f t="shared" si="0"/>
        <v>0</v>
      </c>
      <c r="J54" s="62"/>
      <c r="K54" s="56"/>
      <c r="L54" s="29"/>
    </row>
    <row r="55" spans="1:13" ht="13.2">
      <c r="A55" s="166"/>
      <c r="B55" s="265" t="s">
        <v>1006</v>
      </c>
      <c r="C55" s="159" t="s">
        <v>14314</v>
      </c>
      <c r="D55" s="159"/>
      <c r="E55" s="159"/>
      <c r="F55" s="159"/>
      <c r="G55" s="159"/>
      <c r="H55" s="160"/>
      <c r="I55" s="57">
        <f t="shared" si="0"/>
        <v>0</v>
      </c>
      <c r="J55" s="62"/>
      <c r="K55" s="56"/>
      <c r="L55" s="29"/>
    </row>
    <row r="56" spans="1:13" ht="14.4">
      <c r="A56" s="166"/>
      <c r="B56" s="330" t="str">
        <f>HYPERLINK("http://codeforces.com/contest/1043/problem/D","CF1043-D12-D")</f>
        <v>CF1043-D12-D</v>
      </c>
      <c r="C56" s="484"/>
      <c r="D56" s="159"/>
      <c r="E56" s="159"/>
      <c r="F56" s="159"/>
      <c r="G56" s="159"/>
      <c r="H56" s="160"/>
      <c r="I56" s="57">
        <f t="shared" si="0"/>
        <v>0</v>
      </c>
      <c r="J56" s="62"/>
      <c r="K56" s="56"/>
      <c r="L56" s="29"/>
    </row>
    <row r="57" spans="1:13" ht="13.2">
      <c r="A57" s="214" t="s">
        <v>1007</v>
      </c>
      <c r="B57" s="260" t="str">
        <f>HYPERLINK("http://codeforces.com/contest/200/problem/C","CF200-D2-C")</f>
        <v>CF200-D2-C</v>
      </c>
      <c r="C57" s="585" t="s">
        <v>14314</v>
      </c>
      <c r="D57" s="159"/>
      <c r="E57" s="159"/>
      <c r="F57" s="159"/>
      <c r="G57" s="159"/>
      <c r="H57" s="160"/>
      <c r="I57" s="57">
        <f t="shared" si="0"/>
        <v>0</v>
      </c>
      <c r="J57" s="62"/>
      <c r="K57" s="56"/>
      <c r="L57" s="29"/>
      <c r="M57" s="86"/>
    </row>
    <row r="58" spans="1:13" ht="14.4">
      <c r="A58" s="214" t="s">
        <v>1008</v>
      </c>
      <c r="B58" s="260" t="str">
        <f>HYPERLINK("http://codeforces.com/contest/489/problem/C","CF489-D2-C")</f>
        <v>CF489-D2-C</v>
      </c>
      <c r="C58" s="484"/>
      <c r="D58" s="159"/>
      <c r="E58" s="159"/>
      <c r="F58" s="159"/>
      <c r="G58" s="159"/>
      <c r="H58" s="160"/>
      <c r="I58" s="57">
        <f t="shared" si="0"/>
        <v>0</v>
      </c>
      <c r="J58" s="62"/>
      <c r="K58" s="56"/>
      <c r="L58" s="29"/>
      <c r="M58" s="86"/>
    </row>
    <row r="59" spans="1:13" ht="13.8" thickBot="1">
      <c r="A59" s="166"/>
      <c r="B59" s="265"/>
      <c r="C59" s="159"/>
      <c r="D59" s="159"/>
      <c r="E59" s="159"/>
      <c r="F59" s="159"/>
      <c r="G59" s="159"/>
      <c r="H59" s="160"/>
      <c r="I59" s="57">
        <f t="shared" si="0"/>
        <v>0</v>
      </c>
      <c r="J59" s="62"/>
      <c r="K59" s="56"/>
      <c r="L59" s="29"/>
      <c r="M59" s="86"/>
    </row>
    <row r="60" spans="1:13" ht="15.6" thickTop="1" thickBot="1">
      <c r="A60" s="318" t="s">
        <v>1009</v>
      </c>
      <c r="B60" s="319" t="str">
        <f>HYPERLINK("https://uva.onlinejudge.org/index.php?option=onlinejudge&amp;page=show_problem&amp;problem=122","UVA 186")</f>
        <v>UVA 186</v>
      </c>
      <c r="C60" s="583"/>
      <c r="D60" s="159"/>
      <c r="E60" s="159"/>
      <c r="F60" s="159"/>
      <c r="G60" s="159"/>
      <c r="H60" s="160"/>
      <c r="I60" s="57">
        <f t="shared" si="0"/>
        <v>0</v>
      </c>
      <c r="J60" s="62"/>
      <c r="K60" s="56"/>
      <c r="L60" s="29"/>
      <c r="M60" s="210" t="str">
        <f>HYPERLINK("https://github.com/VAMPIER000001/CompetitiveProgramming/blob/master/UVA/V-1/UVA%20186.Cpp","Sol")</f>
        <v>Sol</v>
      </c>
    </row>
    <row r="61" spans="1:13" ht="15.6" thickTop="1" thickBot="1">
      <c r="A61" s="318" t="s">
        <v>1010</v>
      </c>
      <c r="B61" s="319" t="str">
        <f>HYPERLINK("https://uva.onlinejudge.org/index.php?option=onlinejudge&amp;page=show_problem&amp;problem=548","UVA 607")</f>
        <v>UVA 607</v>
      </c>
      <c r="C61" s="583"/>
      <c r="D61" s="159"/>
      <c r="E61" s="159"/>
      <c r="F61" s="159"/>
      <c r="G61" s="159"/>
      <c r="H61" s="160"/>
      <c r="I61" s="57">
        <f t="shared" si="0"/>
        <v>0</v>
      </c>
      <c r="J61" s="62"/>
      <c r="K61" s="56"/>
      <c r="M61" s="210" t="str">
        <f>HYPERLINK("https://github.com/MichaelMounir12/CompetitiveProgramming/blob/69c0dba2b0b29083ebad94dfd18be25dcf903235/UVA/UVA_607.cpp","Sol")</f>
        <v>Sol</v>
      </c>
    </row>
    <row r="62" spans="1:13" ht="15" thickTop="1">
      <c r="A62" s="318" t="s">
        <v>1011</v>
      </c>
      <c r="B62" s="319" t="str">
        <f>HYPERLINK("http://www.spoj.com/problems/WEIRDFN/","SPOJ WEIRDFN")</f>
        <v>SPOJ WEIRDFN</v>
      </c>
      <c r="C62" s="484" t="s">
        <v>14509</v>
      </c>
      <c r="D62" s="159"/>
      <c r="E62" s="159"/>
      <c r="F62" s="159"/>
      <c r="G62" s="159"/>
      <c r="H62" s="160"/>
      <c r="I62" s="57">
        <f t="shared" si="0"/>
        <v>0</v>
      </c>
      <c r="J62" s="62"/>
      <c r="K62" s="56"/>
      <c r="M62" s="210" t="str">
        <f>HYPERLINK("https://github.com/mostafa-saad/MyCompetitiveProgramming/blob/master/SPOJ/SPOJ_WEIRDFN.txt","Sol")</f>
        <v>Sol</v>
      </c>
    </row>
    <row r="63" spans="1:13" ht="14.4">
      <c r="A63" s="318" t="s">
        <v>1012</v>
      </c>
      <c r="B63" s="319" t="str">
        <f>HYPERLINK("https://uva.onlinejudge.org/index.php?option=com_onlinejudge&amp;Itemid=8&amp;page=show_problem&amp;problem=966","UVA 10025")</f>
        <v>UVA 10025</v>
      </c>
      <c r="C63" s="484"/>
      <c r="D63" s="159"/>
      <c r="E63" s="159"/>
      <c r="F63" s="159"/>
      <c r="G63" s="159"/>
      <c r="H63" s="160"/>
      <c r="I63" s="57">
        <f t="shared" si="0"/>
        <v>0</v>
      </c>
      <c r="J63" s="62"/>
      <c r="K63" s="56"/>
      <c r="L63" s="29"/>
      <c r="M63" s="63"/>
    </row>
    <row r="64" spans="1:13" ht="14.4">
      <c r="A64" s="318" t="s">
        <v>1013</v>
      </c>
      <c r="B64" s="319" t="str">
        <f>HYPERLINK("http://www.spoj.com/problems/DICTSUB/","SPOJ DICTSUB")</f>
        <v>SPOJ DICTSUB</v>
      </c>
      <c r="C64" s="484"/>
      <c r="D64" s="159"/>
      <c r="E64" s="159"/>
      <c r="F64" s="159"/>
      <c r="G64" s="159"/>
      <c r="H64" s="160"/>
      <c r="I64" s="57">
        <f t="shared" si="0"/>
        <v>0</v>
      </c>
      <c r="J64" s="62"/>
      <c r="K64" s="56"/>
      <c r="L64" s="29"/>
      <c r="M64" s="210" t="str">
        <f>HYPERLINK("https://github.com/VAMPIER000001/CompetitiveProgramming/blob/master/Spoj/SPOJ%20DICTSUB.Cpp","Sol")</f>
        <v>Sol</v>
      </c>
    </row>
    <row r="65" spans="1:13" ht="13.2">
      <c r="A65" s="318" t="s">
        <v>1014</v>
      </c>
      <c r="B65" s="319" t="str">
        <f>HYPERLINK("https://uva.onlinejudge.org/index.php?option=com_onlinejudge&amp;Itemid=8&amp;page=show_problem&amp;problem=999","UVA 10058")</f>
        <v>UVA 10058</v>
      </c>
      <c r="C65" s="585"/>
      <c r="D65" s="159"/>
      <c r="E65" s="159"/>
      <c r="F65" s="159"/>
      <c r="G65" s="159"/>
      <c r="H65" s="160"/>
      <c r="I65" s="57">
        <f t="shared" si="0"/>
        <v>0</v>
      </c>
      <c r="J65" s="62"/>
      <c r="K65" s="56"/>
      <c r="M65" s="210" t="str">
        <f>HYPERLINK("https://github.com/ackoroa/UVa-Solutions/blob/master/UVa%2010058%20-%20Jimmi's%20Riddles/src/Main.java","Sol")</f>
        <v>Sol</v>
      </c>
    </row>
    <row r="66" spans="1:13" ht="28.8">
      <c r="A66" s="263" t="s">
        <v>1015</v>
      </c>
      <c r="B66" s="327" t="str">
        <f>HYPERLINK("http://codeforces.com/contest/689/problem/D","CF689-D2-D")</f>
        <v>CF689-D2-D</v>
      </c>
      <c r="C66" s="551" t="s">
        <v>14526</v>
      </c>
      <c r="D66" s="159"/>
      <c r="E66" s="159"/>
      <c r="F66" s="159"/>
      <c r="G66" s="159"/>
      <c r="H66" s="160"/>
      <c r="I66" s="57">
        <f t="shared" si="0"/>
        <v>0</v>
      </c>
      <c r="J66" s="26"/>
      <c r="K66" s="29"/>
      <c r="M66" s="63"/>
    </row>
    <row r="67" spans="1:13" ht="15" thickBot="1">
      <c r="A67" s="318" t="s">
        <v>1016</v>
      </c>
      <c r="B67" s="319" t="str">
        <f>HYPERLINK("http://www.spoj.com/problems/SEGSQRSS","SPOJ SEGSQRSS")</f>
        <v>SPOJ SEGSQRSS</v>
      </c>
      <c r="C67" s="550" t="s">
        <v>14527</v>
      </c>
      <c r="D67" s="159"/>
      <c r="E67" s="159"/>
      <c r="F67" s="159"/>
      <c r="G67" s="159"/>
      <c r="H67" s="160"/>
      <c r="I67" s="57">
        <f t="shared" si="0"/>
        <v>0</v>
      </c>
      <c r="J67" s="62"/>
      <c r="K67" s="56"/>
      <c r="M67" s="210" t="str">
        <f>HYPERLINK("https://github.com/MichaelMounir12/CompetitiveProgramming/blob/9c6e99fc3a2583209a313ddd617a07ac294024e9/SPOJ/SPOJ_SEGSQRSS.cpp","Sol")</f>
        <v>Sol</v>
      </c>
    </row>
    <row r="68" spans="1:13" ht="15.6" thickTop="1" thickBot="1">
      <c r="A68" s="318" t="s">
        <v>1017</v>
      </c>
      <c r="B68" s="319" t="str">
        <f>HYPERLINK("https://uva.onlinejudge.org/index.php?option=onlinejudge&amp;page=show_problem&amp;problem=1757","UVA 10816")</f>
        <v>UVA 10816</v>
      </c>
      <c r="C68" s="583"/>
      <c r="D68" s="159"/>
      <c r="E68" s="159"/>
      <c r="F68" s="159"/>
      <c r="G68" s="159"/>
      <c r="H68" s="160"/>
      <c r="I68" s="57">
        <f t="shared" si="0"/>
        <v>0</v>
      </c>
      <c r="J68" s="62"/>
      <c r="K68" s="56"/>
      <c r="M68" s="210" t="str">
        <f>HYPERLINK("https://github.com/VAMPIER000001/CompetitiveProgramming/blob/master/UVA/V-108/UVA%2010816.Cpp","Sol")</f>
        <v>Sol</v>
      </c>
    </row>
    <row r="69" spans="1:13" ht="44.4" thickTop="1" thickBot="1">
      <c r="A69" s="328" t="s">
        <v>1018</v>
      </c>
      <c r="B69" s="332" t="s">
        <v>1019</v>
      </c>
      <c r="C69" s="458" t="s">
        <v>14533</v>
      </c>
      <c r="D69" s="159"/>
      <c r="E69" s="159"/>
      <c r="F69" s="159"/>
      <c r="G69" s="159"/>
      <c r="H69" s="160"/>
      <c r="I69" s="57">
        <f t="shared" si="0"/>
        <v>0</v>
      </c>
      <c r="J69" s="26"/>
      <c r="K69" s="29"/>
      <c r="M69" s="210" t="str">
        <f>HYPERLINK("https://github.com/VAMPIER000001/CompetitiveProgramming/blob/master/UVA/V-119/UVA%2011987.Cpp","Sol")</f>
        <v>Sol</v>
      </c>
    </row>
    <row r="70" spans="1:13" ht="15.6" thickTop="1" thickBot="1">
      <c r="A70" s="328"/>
      <c r="B70" s="332" t="s">
        <v>1020</v>
      </c>
      <c r="C70" s="583"/>
      <c r="D70" s="159"/>
      <c r="E70" s="159"/>
      <c r="F70" s="159"/>
      <c r="G70" s="159"/>
      <c r="H70" s="160"/>
      <c r="I70" s="57">
        <f t="shared" si="0"/>
        <v>0</v>
      </c>
      <c r="J70" s="26"/>
      <c r="K70" s="29"/>
      <c r="M70" s="63"/>
    </row>
    <row r="71" spans="1:13" ht="15.6" thickTop="1" thickBot="1">
      <c r="A71" s="282"/>
      <c r="B71" s="283" t="str">
        <f>HYPERLINK("http://codeforces.com/contest/513/problem/C","CF513-D12-C")</f>
        <v>CF513-D12-C</v>
      </c>
      <c r="C71" s="484"/>
      <c r="D71" s="159"/>
      <c r="E71" s="159"/>
      <c r="F71" s="159"/>
      <c r="G71" s="159"/>
      <c r="H71" s="160"/>
      <c r="I71" s="57">
        <f t="shared" si="0"/>
        <v>0</v>
      </c>
      <c r="J71" s="26"/>
      <c r="K71" s="29"/>
      <c r="M71" s="210" t="str">
        <f>HYPERLINK("https://github.com/aabdelzaher/Competitive-Programming/blob/master/Codeforces/CF513-D12-C.java","Sol")</f>
        <v>Sol</v>
      </c>
    </row>
    <row r="72" spans="1:13" ht="15.6" thickTop="1" thickBot="1">
      <c r="A72" s="282"/>
      <c r="B72" s="282" t="s">
        <v>1021</v>
      </c>
      <c r="C72" s="583"/>
      <c r="D72" s="159"/>
      <c r="E72" s="159"/>
      <c r="F72" s="159"/>
      <c r="G72" s="159"/>
      <c r="H72" s="160"/>
      <c r="I72" s="57">
        <f t="shared" si="0"/>
        <v>0</v>
      </c>
      <c r="J72" s="26"/>
      <c r="K72" s="29"/>
      <c r="M72" s="63"/>
    </row>
    <row r="73" spans="1:13" ht="15" thickTop="1">
      <c r="A73" s="282"/>
      <c r="B73" s="282" t="s">
        <v>1022</v>
      </c>
      <c r="C73" s="458" t="s">
        <v>14532</v>
      </c>
      <c r="D73" s="159"/>
      <c r="E73" s="159"/>
      <c r="F73" s="159"/>
      <c r="G73" s="159"/>
      <c r="H73" s="160"/>
      <c r="I73" s="57">
        <f t="shared" si="0"/>
        <v>0</v>
      </c>
      <c r="J73" s="26"/>
      <c r="K73" s="29"/>
      <c r="M73" s="210" t="str">
        <f>HYPERLINK("https://github.com/mostafa-saad/MyCompetitiveProgramming/blob/master/SPOJ/SPOJ_PARSUMS.txt","Sol")</f>
        <v>Sol</v>
      </c>
    </row>
    <row r="74" spans="1:13" ht="14.4">
      <c r="A74" s="282"/>
      <c r="B74" s="283" t="str">
        <f>HYPERLINK("https://codeforces.com/contest/1138/problem/D","CF1138-D2-D")</f>
        <v>CF1138-D2-D</v>
      </c>
      <c r="C74" s="484"/>
      <c r="D74" s="159"/>
      <c r="E74" s="159"/>
      <c r="F74" s="159"/>
      <c r="G74" s="159"/>
      <c r="H74" s="160"/>
      <c r="I74" s="57">
        <f t="shared" si="0"/>
        <v>0</v>
      </c>
      <c r="J74" s="26"/>
      <c r="K74" s="29"/>
      <c r="M74" s="63"/>
    </row>
    <row r="75" spans="1:13" ht="13.2">
      <c r="A75" s="166"/>
      <c r="B75" s="265"/>
      <c r="C75" s="159"/>
      <c r="D75" s="159"/>
      <c r="E75" s="159"/>
      <c r="F75" s="159"/>
      <c r="G75" s="159"/>
      <c r="H75" s="160"/>
      <c r="I75" s="57">
        <f t="shared" si="0"/>
        <v>0</v>
      </c>
      <c r="J75" s="62"/>
      <c r="K75" s="56"/>
      <c r="L75" s="29"/>
      <c r="M75" s="86"/>
    </row>
    <row r="76" spans="1:13" ht="14.4">
      <c r="A76" s="86" t="s">
        <v>1023</v>
      </c>
      <c r="B76" s="185" t="str">
        <f>HYPERLINK("http://codeforces.com/contest/284/problem/D","CF284-D2-D")</f>
        <v>CF284-D2-D</v>
      </c>
      <c r="C76" s="458" t="s">
        <v>14534</v>
      </c>
      <c r="D76" s="159"/>
      <c r="E76" s="159"/>
      <c r="F76" s="159"/>
      <c r="G76" s="159"/>
      <c r="H76" s="160"/>
      <c r="I76" s="57">
        <f t="shared" si="0"/>
        <v>0</v>
      </c>
      <c r="J76" s="93"/>
      <c r="K76" s="92"/>
      <c r="L76" s="29"/>
      <c r="M76" s="29"/>
    </row>
    <row r="77" spans="1:13" ht="14.4">
      <c r="A77" s="29" t="s">
        <v>1024</v>
      </c>
      <c r="B77" s="185" t="str">
        <f>HYPERLINK("http://codeforces.com/contest/431/problem/D","CF431-D2-D")</f>
        <v>CF431-D2-D</v>
      </c>
      <c r="C77" s="458" t="s">
        <v>14543</v>
      </c>
      <c r="D77" s="159"/>
      <c r="E77" s="159"/>
      <c r="F77" s="159"/>
      <c r="G77" s="159"/>
      <c r="H77" s="160"/>
      <c r="I77" s="57">
        <f t="shared" si="0"/>
        <v>0</v>
      </c>
      <c r="J77" s="26"/>
      <c r="K77" s="29"/>
      <c r="L77" s="29"/>
      <c r="M77" s="29"/>
    </row>
    <row r="78" spans="1:13" ht="15" thickBot="1">
      <c r="A78" s="166" t="s">
        <v>1025</v>
      </c>
      <c r="B78" s="333" t="str">
        <f>HYPERLINK("http://codeforces.com/contest/296/problem/D","CF296-D2-D")</f>
        <v>CF296-D2-D</v>
      </c>
      <c r="C78" s="458" t="s">
        <v>14542</v>
      </c>
      <c r="D78" s="159"/>
      <c r="E78" s="159"/>
      <c r="F78" s="159"/>
      <c r="G78" s="159"/>
      <c r="H78" s="160"/>
      <c r="I78" s="57">
        <f t="shared" si="0"/>
        <v>0</v>
      </c>
      <c r="J78" s="62"/>
      <c r="K78" s="56"/>
      <c r="L78" s="29"/>
      <c r="M78" s="86"/>
    </row>
    <row r="79" spans="1:13" ht="15.6" thickTop="1" thickBot="1">
      <c r="A79" s="166" t="s">
        <v>1026</v>
      </c>
      <c r="B79" s="333" t="str">
        <f>HYPERLINK("http://codeforces.com/contest/104/problem/D","CF104-D2-D")</f>
        <v>CF104-D2-D</v>
      </c>
      <c r="C79" s="583"/>
      <c r="D79" s="159"/>
      <c r="E79" s="159"/>
      <c r="F79" s="159"/>
      <c r="G79" s="159"/>
      <c r="H79" s="160"/>
      <c r="I79" s="57">
        <f t="shared" si="0"/>
        <v>0</v>
      </c>
      <c r="J79" s="62"/>
      <c r="K79" s="56"/>
      <c r="L79" s="29"/>
      <c r="M79" s="86"/>
    </row>
    <row r="80" spans="1:13" ht="15" thickTop="1">
      <c r="A80" s="86" t="s">
        <v>1027</v>
      </c>
      <c r="B80" s="185" t="str">
        <f>HYPERLINK("http://codeforces.com/contest/659/problem/D","CF659-D2-D")</f>
        <v>CF659-D2-D</v>
      </c>
      <c r="C80" s="484"/>
      <c r="D80" s="159"/>
      <c r="E80" s="159"/>
      <c r="F80" s="159"/>
      <c r="G80" s="159"/>
      <c r="H80" s="160"/>
      <c r="I80" s="57">
        <f t="shared" si="0"/>
        <v>0</v>
      </c>
      <c r="J80" s="93"/>
      <c r="K80" s="92"/>
      <c r="L80" s="29"/>
      <c r="M80" s="29"/>
    </row>
    <row r="81" spans="1:13" ht="14.4">
      <c r="A81" s="86" t="s">
        <v>1028</v>
      </c>
      <c r="B81" s="185" t="str">
        <f>HYPERLINK("http://codeforces.com/contest/270/problem/D","CF270-D2-D")</f>
        <v>CF270-D2-D</v>
      </c>
      <c r="C81" s="588">
        <v>44253</v>
      </c>
      <c r="D81" s="159"/>
      <c r="E81" s="159"/>
      <c r="F81" s="159"/>
      <c r="G81" s="159"/>
      <c r="H81" s="160"/>
      <c r="I81" s="57">
        <f t="shared" si="0"/>
        <v>0</v>
      </c>
      <c r="J81" s="93"/>
      <c r="K81" s="92"/>
      <c r="L81" s="29"/>
      <c r="M81" s="29"/>
    </row>
    <row r="82" spans="1:13" ht="14.4">
      <c r="A82" s="86"/>
      <c r="B82" s="185" t="str">
        <f>HYPERLINK("http://codeforces.com/contest/645/problem/D","CF645-D12-D")</f>
        <v>CF645-D12-D</v>
      </c>
      <c r="C82" s="588">
        <v>44253</v>
      </c>
      <c r="D82" s="159"/>
      <c r="E82" s="159"/>
      <c r="F82" s="159"/>
      <c r="G82" s="159"/>
      <c r="H82" s="160"/>
      <c r="I82" s="57">
        <f t="shared" si="0"/>
        <v>0</v>
      </c>
      <c r="J82" s="93"/>
      <c r="K82" s="92"/>
      <c r="L82" s="29"/>
      <c r="M82" s="29"/>
    </row>
    <row r="83" spans="1:13" ht="14.4">
      <c r="A83" s="86"/>
      <c r="B83" s="185" t="str">
        <f>HYPERLINK("http://codeforces.com/contest/459/problem/C","CF459-D2-C")</f>
        <v>CF459-D2-C</v>
      </c>
      <c r="C83" s="586">
        <v>44253</v>
      </c>
      <c r="D83" s="159"/>
      <c r="E83" s="159"/>
      <c r="F83" s="159"/>
      <c r="G83" s="159"/>
      <c r="H83" s="160"/>
      <c r="I83" s="57">
        <f t="shared" si="0"/>
        <v>0</v>
      </c>
      <c r="J83" s="93"/>
      <c r="K83" s="92"/>
      <c r="L83" s="29"/>
      <c r="M83" s="29"/>
    </row>
    <row r="84" spans="1:13" ht="26.4">
      <c r="A84" s="86"/>
      <c r="B84" s="185" t="str">
        <f>HYPERLINK("https://www.codechef.com/ACMIND18/problems/REDCGAME","CODECHEF REDCGAME")</f>
        <v>CODECHEF REDCGAME</v>
      </c>
      <c r="C84" s="464" t="s">
        <v>14541</v>
      </c>
      <c r="D84" s="159"/>
      <c r="E84" s="159"/>
      <c r="F84" s="159"/>
      <c r="G84" s="159"/>
      <c r="H84" s="160"/>
      <c r="I84" s="57">
        <f t="shared" si="0"/>
        <v>0</v>
      </c>
      <c r="J84" s="93"/>
      <c r="K84" s="92"/>
      <c r="L84" s="29"/>
      <c r="M84" s="29"/>
    </row>
    <row r="85" spans="1:13" ht="14.4">
      <c r="A85" s="86"/>
      <c r="B85" s="185" t="str">
        <f>HYPERLINK("http://codeforces.com/contest/1005/problem/F","CF1005-D3-F")</f>
        <v>CF1005-D3-F</v>
      </c>
      <c r="C85" s="586">
        <v>44253</v>
      </c>
      <c r="D85" s="159"/>
      <c r="E85" s="159"/>
      <c r="F85" s="159"/>
      <c r="G85" s="159"/>
      <c r="H85" s="160"/>
      <c r="I85" s="57">
        <f t="shared" si="0"/>
        <v>0</v>
      </c>
      <c r="J85" s="93"/>
      <c r="K85" s="92" t="s">
        <v>14540</v>
      </c>
      <c r="L85" s="29"/>
      <c r="M85" s="29"/>
    </row>
    <row r="86" spans="1:13" ht="14.4">
      <c r="A86" s="214" t="s">
        <v>1029</v>
      </c>
      <c r="B86" s="260" t="str">
        <f>HYPERLINK("http://codeforces.com/contest/152/problem/C","CF152-D2-C")</f>
        <v>CF152-D2-C</v>
      </c>
      <c r="C86" s="587">
        <v>44253</v>
      </c>
      <c r="D86" s="159"/>
      <c r="E86" s="159"/>
      <c r="F86" s="159"/>
      <c r="G86" s="159"/>
      <c r="H86" s="160"/>
      <c r="I86" s="57">
        <f t="shared" si="0"/>
        <v>0</v>
      </c>
      <c r="J86" s="93"/>
      <c r="K86" s="92"/>
      <c r="L86" s="29"/>
      <c r="M86" s="29"/>
    </row>
    <row r="87" spans="1:13" ht="14.4">
      <c r="A87" s="214" t="s">
        <v>1030</v>
      </c>
      <c r="B87" s="260" t="str">
        <f>HYPERLINK("http://codeforces.com/contest/361/problem/C","CF361-D2-C")</f>
        <v>CF361-D2-C</v>
      </c>
      <c r="C87" s="586">
        <v>44253</v>
      </c>
      <c r="D87" s="159"/>
      <c r="E87" s="159"/>
      <c r="F87" s="159"/>
      <c r="G87" s="159"/>
      <c r="H87" s="160"/>
      <c r="I87" s="57">
        <f t="shared" si="0"/>
        <v>0</v>
      </c>
      <c r="J87" s="93"/>
      <c r="K87" s="92" t="s">
        <v>14537</v>
      </c>
      <c r="L87" s="29"/>
      <c r="M87" s="29"/>
    </row>
    <row r="88" spans="1:13" ht="14.4">
      <c r="A88" s="214" t="s">
        <v>1031</v>
      </c>
      <c r="B88" s="260" t="str">
        <f>HYPERLINK("http://codeforces.com/contest/540/problem/C","CF540-D2-C")</f>
        <v>CF540-D2-C</v>
      </c>
      <c r="C88" s="484"/>
      <c r="D88" s="159"/>
      <c r="E88" s="159"/>
      <c r="F88" s="159"/>
      <c r="G88" s="159"/>
      <c r="H88" s="160"/>
      <c r="I88" s="57">
        <f t="shared" si="0"/>
        <v>0</v>
      </c>
      <c r="J88" s="93"/>
      <c r="K88" s="92"/>
      <c r="L88" s="29"/>
      <c r="M88" s="29"/>
    </row>
    <row r="89" spans="1:13" ht="13.2">
      <c r="A89" s="166"/>
      <c r="B89" s="265"/>
      <c r="C89" s="159"/>
      <c r="D89" s="159"/>
      <c r="E89" s="159"/>
      <c r="F89" s="159"/>
      <c r="G89" s="159"/>
      <c r="H89" s="160"/>
      <c r="I89" s="57">
        <f t="shared" si="0"/>
        <v>0</v>
      </c>
      <c r="J89" s="62"/>
      <c r="K89" s="56"/>
      <c r="L89" s="29"/>
      <c r="M89" s="86"/>
    </row>
    <row r="90" spans="1:13" ht="13.2">
      <c r="A90" s="318" t="s">
        <v>860</v>
      </c>
      <c r="B90" s="319" t="str">
        <f>HYPERLINK("https://uva.onlinejudge.org/index.php?option=com_onlinejudge&amp;Itemid=8&amp;page=show_problem&amp;problem=648","UVA 707")</f>
        <v>UVA 707</v>
      </c>
      <c r="C90" s="159"/>
      <c r="D90" s="159"/>
      <c r="E90" s="159"/>
      <c r="F90" s="159"/>
      <c r="G90" s="159"/>
      <c r="H90" s="160"/>
      <c r="I90" s="57">
        <f t="shared" si="0"/>
        <v>0</v>
      </c>
      <c r="J90" s="62"/>
      <c r="K90" s="56"/>
      <c r="L90" s="29"/>
      <c r="M90" s="210" t="str">
        <f>HYPERLINK("https://github.com/VAMPIER000001/CompetitiveProgramming/blob/master/UVA/V-7/UVA%20707.Cpp","Sol")</f>
        <v>Sol</v>
      </c>
    </row>
    <row r="91" spans="1:13" ht="13.2">
      <c r="A91" s="318" t="s">
        <v>1032</v>
      </c>
      <c r="B91" s="319" t="str">
        <f>HYPERLINK("https://uva.onlinejudge.org/index.php?option=com_onlinejudge&amp;Itemid=8&amp;page=show_problem&amp;problem=62","UVA 126")</f>
        <v>UVA 126</v>
      </c>
      <c r="C91" s="159"/>
      <c r="D91" s="159"/>
      <c r="E91" s="159"/>
      <c r="F91" s="159"/>
      <c r="G91" s="159"/>
      <c r="H91" s="160"/>
      <c r="I91" s="57">
        <f t="shared" si="0"/>
        <v>0</v>
      </c>
      <c r="J91" s="62"/>
      <c r="K91" s="56"/>
      <c r="M91" s="210" t="str">
        <f>HYPERLINK("https://github.com/abdullaAshraf/Problem-Solving/blob/master/UVA/126.cpp","Sol")</f>
        <v>Sol</v>
      </c>
    </row>
    <row r="92" spans="1:13" ht="13.2">
      <c r="A92" s="318" t="s">
        <v>1033</v>
      </c>
      <c r="B92" s="319" t="str">
        <f>HYPERLINK("https://uva.onlinejudge.org/index.php?option=com_onlinejudge&amp;Itemid=8&amp;page=show_problem&amp;problem=4501","UVA 1626")</f>
        <v>UVA 1626</v>
      </c>
      <c r="C92" s="159"/>
      <c r="D92" s="159"/>
      <c r="E92" s="159"/>
      <c r="F92" s="159"/>
      <c r="G92" s="159"/>
      <c r="H92" s="160"/>
      <c r="I92" s="57">
        <f t="shared" si="0"/>
        <v>0</v>
      </c>
      <c r="J92" s="62"/>
      <c r="K92" s="56"/>
      <c r="M92" s="210" t="str">
        <f>HYPERLINK("https://github.com/abdullaAshraf/Problem-Solving/blob/master/UVA/1626.cpp","Sol")</f>
        <v>Sol</v>
      </c>
    </row>
    <row r="93" spans="1:13" ht="13.2">
      <c r="A93" s="318" t="s">
        <v>1034</v>
      </c>
      <c r="B93" s="319" t="str">
        <f>HYPERLINK("https://www.youtube.com/watch?v=OWlJ8chpit0","UVA 10448")</f>
        <v>UVA 10448</v>
      </c>
      <c r="C93" s="159"/>
      <c r="D93" s="159"/>
      <c r="E93" s="159"/>
      <c r="F93" s="159"/>
      <c r="G93" s="159"/>
      <c r="H93" s="160"/>
      <c r="I93" s="57">
        <f t="shared" si="0"/>
        <v>0</v>
      </c>
      <c r="J93" s="62"/>
      <c r="K93" s="56"/>
      <c r="L93" s="29"/>
      <c r="M93" s="82" t="str">
        <f>HYPERLINK("https://www.youtube.com/watch?v=OWlJ8chpit0","Video Solution - Dr Mostafa Saad")</f>
        <v>Video Solution - Dr Mostafa Saad</v>
      </c>
    </row>
    <row r="94" spans="1:13" ht="13.2">
      <c r="A94" s="291" t="s">
        <v>1035</v>
      </c>
      <c r="B94" s="292" t="str">
        <f>HYPERLINK("http://codeforces.com/contest/540/problem/D","CF540-D2-D")</f>
        <v>CF540-D2-D</v>
      </c>
      <c r="C94" s="159"/>
      <c r="D94" s="159"/>
      <c r="E94" s="159"/>
      <c r="F94" s="159"/>
      <c r="G94" s="159"/>
      <c r="H94" s="160"/>
      <c r="I94" s="57">
        <f t="shared" si="0"/>
        <v>0</v>
      </c>
      <c r="J94" s="93"/>
      <c r="K94" s="92"/>
      <c r="L94" s="29"/>
      <c r="M94" s="29"/>
    </row>
    <row r="95" spans="1:13" ht="13.2">
      <c r="A95" s="291" t="s">
        <v>1036</v>
      </c>
      <c r="B95" s="291" t="s">
        <v>1037</v>
      </c>
      <c r="C95" s="159"/>
      <c r="D95" s="159"/>
      <c r="E95" s="159"/>
      <c r="F95" s="159"/>
      <c r="G95" s="159"/>
      <c r="H95" s="160"/>
      <c r="I95" s="57">
        <f t="shared" si="0"/>
        <v>0</v>
      </c>
      <c r="J95" s="93"/>
      <c r="K95" s="92"/>
      <c r="M95" s="210" t="str">
        <f>HYPERLINK("https://github.com/SaraElkadi/competitive-programming-/blob/master/UVA/11284.cpp","Sol")</f>
        <v>Sol</v>
      </c>
    </row>
    <row r="96" spans="1:13" ht="13.2">
      <c r="A96" s="219" t="s">
        <v>1038</v>
      </c>
      <c r="B96" s="219" t="s">
        <v>1039</v>
      </c>
      <c r="C96" s="159"/>
      <c r="D96" s="159"/>
      <c r="E96" s="159"/>
      <c r="F96" s="159"/>
      <c r="G96" s="159"/>
      <c r="H96" s="160"/>
      <c r="I96" s="57">
        <f t="shared" si="0"/>
        <v>0</v>
      </c>
      <c r="J96" s="93"/>
      <c r="K96" s="92"/>
      <c r="M96" s="210" t="str">
        <f>HYPERLINK("https://github.com/BRAINOOO/CompetitiveProgramming/blob/master/UVA/V-116/UVA%2011635.Cpp","Sol")</f>
        <v>Sol</v>
      </c>
    </row>
    <row r="97" spans="1:13" ht="13.2">
      <c r="A97" s="219"/>
      <c r="B97" s="220" t="str">
        <f>HYPERLINK("http://codeforces.com/contest/337/problem/D","CF337-D2-D")</f>
        <v>CF337-D2-D</v>
      </c>
      <c r="C97" s="159"/>
      <c r="D97" s="159"/>
      <c r="E97" s="159"/>
      <c r="F97" s="159"/>
      <c r="G97" s="159"/>
      <c r="H97" s="160"/>
      <c r="I97" s="57">
        <f t="shared" si="0"/>
        <v>0</v>
      </c>
      <c r="J97" s="93"/>
      <c r="K97" s="92"/>
      <c r="M97" s="210" t="str">
        <f>HYPERLINK("http://codeforces.com/contest/337/submission/38413425","Sol")</f>
        <v>Sol</v>
      </c>
    </row>
    <row r="98" spans="1:13" ht="13.2">
      <c r="A98" s="219"/>
      <c r="B98" s="220" t="str">
        <f>HYPERLINK("https://www.hackerrank.com/challenges/ajourney","HACKR ajourney")</f>
        <v>HACKR ajourney</v>
      </c>
      <c r="C98" s="159"/>
      <c r="D98" s="159"/>
      <c r="E98" s="159"/>
      <c r="F98" s="159"/>
      <c r="G98" s="159"/>
      <c r="H98" s="160"/>
      <c r="I98" s="57">
        <f t="shared" si="0"/>
        <v>0</v>
      </c>
      <c r="J98" s="93"/>
      <c r="K98" s="92"/>
      <c r="M98" s="63"/>
    </row>
    <row r="99" spans="1:13" ht="13.2">
      <c r="A99" s="219"/>
      <c r="B99" s="220" t="str">
        <f>HYPERLINK("https://codeforces.com/contest/665/problem/E","CF665-D12-E")</f>
        <v>CF665-D12-E</v>
      </c>
      <c r="C99" s="159"/>
      <c r="D99" s="159"/>
      <c r="E99" s="159"/>
      <c r="F99" s="159"/>
      <c r="G99" s="159"/>
      <c r="H99" s="160"/>
      <c r="I99" s="57">
        <f t="shared" si="0"/>
        <v>0</v>
      </c>
      <c r="J99" s="93"/>
      <c r="K99" s="92"/>
      <c r="M99" s="63"/>
    </row>
    <row r="100" spans="1:13" ht="13.8" thickBot="1">
      <c r="A100" s="166"/>
      <c r="B100" s="265"/>
      <c r="C100" s="159"/>
      <c r="D100" s="159"/>
      <c r="E100" s="159"/>
      <c r="F100" s="159"/>
      <c r="G100" s="159"/>
      <c r="H100" s="160"/>
      <c r="I100" s="57">
        <f t="shared" si="0"/>
        <v>0</v>
      </c>
      <c r="J100" s="62"/>
      <c r="K100" s="56"/>
      <c r="M100" s="63"/>
    </row>
    <row r="101" spans="1:13" ht="15.6" thickTop="1" thickBot="1">
      <c r="A101" s="166" t="s">
        <v>1040</v>
      </c>
      <c r="B101" s="176" t="str">
        <f>HYPERLINK("http://codeforces.com/contest/203/problem/D","CF203-D2-D")</f>
        <v>CF203-D2-D</v>
      </c>
      <c r="C101" s="589"/>
      <c r="D101" s="159"/>
      <c r="E101" s="159"/>
      <c r="F101" s="159"/>
      <c r="G101" s="159"/>
      <c r="H101" s="160"/>
      <c r="I101" s="57">
        <f t="shared" si="0"/>
        <v>0</v>
      </c>
      <c r="J101" s="62"/>
      <c r="K101" s="56"/>
      <c r="M101" s="63"/>
    </row>
    <row r="102" spans="1:13" ht="15" thickTop="1">
      <c r="A102" s="86" t="s">
        <v>1041</v>
      </c>
      <c r="B102" s="185" t="str">
        <f>HYPERLINK("http://codeforces.com/contest/368/problem/D","CF368-D2-D")</f>
        <v>CF368-D2-D</v>
      </c>
      <c r="C102" s="588" t="s">
        <v>14546</v>
      </c>
      <c r="D102" s="159"/>
      <c r="E102" s="159"/>
      <c r="F102" s="159"/>
      <c r="G102" s="159"/>
      <c r="H102" s="160"/>
      <c r="I102" s="57">
        <f t="shared" si="0"/>
        <v>0</v>
      </c>
      <c r="J102" s="26"/>
      <c r="K102" s="29"/>
      <c r="M102" s="210" t="str">
        <f>HYPERLINK("https://github.com/MohamedNabil97/CompetitiveProgramming/blob/master/CodeForces/CF368-D2-D.cpp","Sol")</f>
        <v>Sol</v>
      </c>
    </row>
    <row r="103" spans="1:13" ht="14.4">
      <c r="A103" s="86" t="s">
        <v>1042</v>
      </c>
      <c r="B103" s="185" t="str">
        <f>HYPERLINK("http://codeforces.com/contest/219/problem/D","CF219-D2-D")</f>
        <v>CF219-D2-D</v>
      </c>
      <c r="C103" s="484"/>
      <c r="D103" s="159"/>
      <c r="E103" s="159"/>
      <c r="F103" s="159"/>
      <c r="G103" s="159"/>
      <c r="H103" s="160"/>
      <c r="I103" s="57">
        <f t="shared" si="0"/>
        <v>0</v>
      </c>
      <c r="J103" s="26"/>
      <c r="K103" s="29"/>
      <c r="M103" s="63"/>
    </row>
    <row r="104" spans="1:13" ht="13.2">
      <c r="A104" s="86" t="s">
        <v>1043</v>
      </c>
      <c r="B104" s="185" t="str">
        <f>HYPERLINK("http://codeforces.com/contest/149/problem/D","CF149-D2-D")</f>
        <v>CF149-D2-D</v>
      </c>
      <c r="C104" s="159"/>
      <c r="D104" s="159"/>
      <c r="E104" s="159"/>
      <c r="F104" s="159"/>
      <c r="G104" s="159"/>
      <c r="H104" s="160"/>
      <c r="I104" s="57">
        <f t="shared" si="0"/>
        <v>0</v>
      </c>
      <c r="J104" s="26"/>
      <c r="K104" s="29"/>
      <c r="M104" s="210" t="str">
        <f>HYPERLINK("https://github.com/osamahatem/CompetitiveProgramming/blob/master/Codeforces/149D.%20Coloring%20Brackets.cpp","Sol")</f>
        <v>Sol</v>
      </c>
    </row>
    <row r="105" spans="1:13" ht="15" thickBot="1">
      <c r="A105" s="86" t="s">
        <v>1044</v>
      </c>
      <c r="B105" s="185" t="str">
        <f>HYPERLINK("http://codeforces.com/contest/263/problem/D","CF263-D2-D")</f>
        <v>CF263-D2-D</v>
      </c>
      <c r="C105" s="484"/>
      <c r="D105" s="159"/>
      <c r="E105" s="159"/>
      <c r="F105" s="159"/>
      <c r="G105" s="159"/>
      <c r="H105" s="160"/>
      <c r="I105" s="57">
        <f t="shared" si="0"/>
        <v>0</v>
      </c>
      <c r="J105" s="93"/>
      <c r="K105" s="92"/>
      <c r="L105" s="29"/>
      <c r="M105" s="86"/>
    </row>
    <row r="106" spans="1:13" ht="15.6" thickTop="1" thickBot="1">
      <c r="A106" s="86"/>
      <c r="B106" s="185" t="str">
        <f>HYPERLINK("https://codeforces.com/gym/101187/problem/F","CF101187-GYM-F")</f>
        <v>CF101187-GYM-F</v>
      </c>
      <c r="C106" s="583"/>
      <c r="D106" s="159"/>
      <c r="E106" s="159"/>
      <c r="F106" s="159"/>
      <c r="G106" s="159"/>
      <c r="H106" s="160"/>
      <c r="I106" s="57">
        <f t="shared" si="0"/>
        <v>0</v>
      </c>
      <c r="J106" s="93"/>
      <c r="K106" s="92"/>
      <c r="L106" s="29"/>
      <c r="M106" s="239" t="str">
        <f>HYPERLINK("https://github.com/SpeedOfMagic/CompetitiveProgramming/blob/master/CodeforcesGym/CF101187-GYM-F.cpp","Sol")</f>
        <v>Sol</v>
      </c>
    </row>
    <row r="107" spans="1:13" ht="15.6" thickTop="1" thickBot="1">
      <c r="A107" s="86"/>
      <c r="B107" s="86" t="s">
        <v>1045</v>
      </c>
      <c r="C107" s="583"/>
      <c r="D107" s="159"/>
      <c r="E107" s="159"/>
      <c r="F107" s="159"/>
      <c r="G107" s="159"/>
      <c r="H107" s="160"/>
      <c r="I107" s="57">
        <f t="shared" si="0"/>
        <v>0</v>
      </c>
      <c r="J107" s="93"/>
      <c r="K107" s="92"/>
      <c r="L107" s="29"/>
      <c r="M107" s="86"/>
    </row>
    <row r="108" spans="1:13" ht="13.8" thickTop="1">
      <c r="A108" s="86"/>
      <c r="B108" s="185" t="str">
        <f>HYPERLINK("https://beta.atcoder.jp/contests/arc092/tasks/arc092_b","Atcoder092-ARC-B")</f>
        <v>Atcoder092-ARC-B</v>
      </c>
      <c r="C108" s="159"/>
      <c r="D108" s="159"/>
      <c r="E108" s="159"/>
      <c r="F108" s="159"/>
      <c r="G108" s="159"/>
      <c r="H108" s="160"/>
      <c r="I108" s="57">
        <f t="shared" si="0"/>
        <v>0</v>
      </c>
      <c r="J108" s="93"/>
      <c r="K108" s="92"/>
      <c r="L108" s="29"/>
      <c r="M108" s="86"/>
    </row>
    <row r="109" spans="1:13" ht="14.4">
      <c r="A109" s="86"/>
      <c r="B109" s="185" t="str">
        <f>HYPERLINK("https://agc002.contest.atcoder.jp/tasks/agc002_c","AtCoder002-AGC-C")</f>
        <v>AtCoder002-AGC-C</v>
      </c>
      <c r="C109" s="484"/>
      <c r="D109" s="159"/>
      <c r="E109" s="159"/>
      <c r="F109" s="159"/>
      <c r="G109" s="159"/>
      <c r="H109" s="160"/>
      <c r="I109" s="57">
        <f t="shared" si="0"/>
        <v>0</v>
      </c>
      <c r="J109" s="93"/>
      <c r="K109" s="92"/>
      <c r="L109" s="29"/>
      <c r="M109" s="86"/>
    </row>
    <row r="110" spans="1:13" ht="14.4">
      <c r="A110" s="214" t="s">
        <v>1046</v>
      </c>
      <c r="B110" s="260" t="str">
        <f>HYPERLINK("http://codeforces.com/contest/363/problem/C","CF363-D2-C")</f>
        <v>CF363-D2-C</v>
      </c>
      <c r="C110" s="484"/>
      <c r="D110" s="159"/>
      <c r="E110" s="159"/>
      <c r="F110" s="159"/>
      <c r="G110" s="159"/>
      <c r="H110" s="160"/>
      <c r="I110" s="57">
        <f t="shared" si="0"/>
        <v>0</v>
      </c>
      <c r="J110" s="93"/>
      <c r="K110" s="92"/>
      <c r="L110" s="29"/>
      <c r="M110" s="86"/>
    </row>
    <row r="111" spans="1:13" ht="14.4">
      <c r="A111" s="214" t="s">
        <v>1047</v>
      </c>
      <c r="B111" s="260" t="str">
        <f>HYPERLINK("http://codeforces.com/contest/194/problem/C","CF194-D2-C")</f>
        <v>CF194-D2-C</v>
      </c>
      <c r="C111" s="541"/>
      <c r="D111" s="159"/>
      <c r="E111" s="159"/>
      <c r="F111" s="159"/>
      <c r="G111" s="159"/>
      <c r="H111" s="160"/>
      <c r="I111" s="57">
        <f t="shared" si="0"/>
        <v>0</v>
      </c>
      <c r="J111" s="93"/>
      <c r="K111" s="92"/>
      <c r="L111" s="29"/>
      <c r="M111" s="86"/>
    </row>
    <row r="112" spans="1:13" ht="14.4">
      <c r="A112" s="214" t="s">
        <v>1048</v>
      </c>
      <c r="B112" s="260" t="str">
        <f>HYPERLINK("http://codeforces.com/contest/265/problem/C","CF265-D2-C")</f>
        <v>CF265-D2-C</v>
      </c>
      <c r="C112" s="484"/>
      <c r="D112" s="159"/>
      <c r="E112" s="159"/>
      <c r="F112" s="159"/>
      <c r="G112" s="159"/>
      <c r="H112" s="160"/>
      <c r="I112" s="57">
        <f t="shared" si="0"/>
        <v>0</v>
      </c>
      <c r="J112" s="93"/>
      <c r="K112" s="92"/>
      <c r="L112" s="29"/>
      <c r="M112" s="86"/>
    </row>
    <row r="113" spans="1:13" ht="13.2">
      <c r="A113" s="166"/>
      <c r="B113" s="265"/>
      <c r="C113" s="159"/>
      <c r="D113" s="159"/>
      <c r="E113" s="159"/>
      <c r="F113" s="159"/>
      <c r="G113" s="159"/>
      <c r="H113" s="160"/>
      <c r="I113" s="57">
        <f t="shared" si="0"/>
        <v>0</v>
      </c>
      <c r="J113" s="62"/>
      <c r="K113" s="56"/>
      <c r="L113" s="29"/>
      <c r="M113" s="334" t="str">
        <f>HYPERLINK("https://www.youtube.com/watch?v=OnysyxVPPD0","Geometry - Simple and Convex Polygons")</f>
        <v>Geometry - Simple and Convex Polygons</v>
      </c>
    </row>
    <row r="114" spans="1:13" ht="13.8" thickBot="1">
      <c r="A114" s="166"/>
      <c r="B114" s="265"/>
      <c r="C114" s="159"/>
      <c r="D114" s="159"/>
      <c r="E114" s="159"/>
      <c r="F114" s="159"/>
      <c r="G114" s="159"/>
      <c r="H114" s="160"/>
      <c r="I114" s="57">
        <f t="shared" si="0"/>
        <v>0</v>
      </c>
      <c r="J114" s="62"/>
      <c r="K114" s="56"/>
      <c r="L114" s="29"/>
      <c r="M114" s="335" t="str">
        <f>HYPERLINK("w.youtube.com/watch?v=Cce_O7EKv2Y","Geometry - Polygon Area - Centroid - Cut")</f>
        <v>Geometry - Polygon Area - Centroid - Cut</v>
      </c>
    </row>
    <row r="115" spans="1:13" ht="15.6" thickTop="1" thickBot="1">
      <c r="A115" s="336" t="str">
        <f>HYPERLINK("https://community.topcoder.com/stat?c=problem_statement&amp;pm=5923&amp;rd=8075","BestTriangulation")</f>
        <v>BestTriangulation</v>
      </c>
      <c r="B115" s="322" t="s">
        <v>1049</v>
      </c>
      <c r="C115" s="583"/>
      <c r="D115" s="159"/>
      <c r="E115" s="159"/>
      <c r="F115" s="159"/>
      <c r="G115" s="159"/>
      <c r="H115" s="160"/>
      <c r="I115" s="57">
        <f t="shared" si="0"/>
        <v>0</v>
      </c>
      <c r="J115" s="62"/>
      <c r="K115" s="56"/>
      <c r="L115" s="29"/>
      <c r="M115" s="86"/>
    </row>
    <row r="116" spans="1:13" ht="15.6" thickTop="1" thickBot="1">
      <c r="A116" s="320" t="s">
        <v>1050</v>
      </c>
      <c r="B116" s="316" t="str">
        <f>HYPERLINK("https://uva.onlinejudge.org/index.php?option=onlinejudge&amp;page=show_problem&amp;problem=1029","UVA 10088")</f>
        <v>UVA 10088</v>
      </c>
      <c r="C116" s="583"/>
      <c r="D116" s="159"/>
      <c r="E116" s="159"/>
      <c r="F116" s="159"/>
      <c r="G116" s="159"/>
      <c r="H116" s="160"/>
      <c r="I116" s="57">
        <f t="shared" si="0"/>
        <v>0</v>
      </c>
      <c r="J116" s="62"/>
      <c r="K116" s="56"/>
      <c r="M116" s="29"/>
    </row>
    <row r="117" spans="1:13" ht="15.6" thickTop="1" thickBot="1">
      <c r="A117" s="320" t="s">
        <v>1051</v>
      </c>
      <c r="B117" s="316" t="str">
        <f>HYPERLINK("https://uva.onlinejudge.org/index.php?option=onlinejudge&amp;page=show_problem&amp;problem=946","UVA 10005")</f>
        <v>UVA 10005</v>
      </c>
      <c r="C117" s="583"/>
      <c r="D117" s="159"/>
      <c r="E117" s="159"/>
      <c r="F117" s="159"/>
      <c r="G117" s="159"/>
      <c r="H117" s="160"/>
      <c r="I117" s="57">
        <f t="shared" si="0"/>
        <v>0</v>
      </c>
      <c r="J117" s="62"/>
      <c r="K117" s="56"/>
      <c r="M117" s="210" t="str">
        <f>HYPERLINK("https://github.com/mostafa-saad/MyCompetitiveProgramming/blob/master/UVA/UVA_10005.txt","Sol")</f>
        <v>Sol</v>
      </c>
    </row>
    <row r="118" spans="1:13" ht="15.6" thickTop="1" thickBot="1">
      <c r="A118" s="317"/>
      <c r="B118" s="337" t="s">
        <v>1052</v>
      </c>
      <c r="C118" s="583"/>
      <c r="D118" s="159"/>
      <c r="E118" s="159"/>
      <c r="F118" s="159"/>
      <c r="G118" s="159"/>
      <c r="H118" s="160"/>
      <c r="I118" s="57">
        <f t="shared" si="0"/>
        <v>0</v>
      </c>
      <c r="J118" s="62"/>
      <c r="K118" s="56"/>
      <c r="M118" s="210" t="str">
        <f>HYPERLINK("https://github.com/MeGaCrazy/CompetitiveProgramming/blob/c9f4ed6571a135dbc26cfeeb099384a8fec2ff92/LiveArchive/LIVEARCHIVE_2831.cpp","Use polygon cut")</f>
        <v>Use polygon cut</v>
      </c>
    </row>
    <row r="119" spans="1:13" ht="15.6" thickTop="1" thickBot="1">
      <c r="A119" s="317" t="s">
        <v>1053</v>
      </c>
      <c r="B119" s="316" t="str">
        <f>HYPERLINK("https://uva.onlinejudge.org/index.php?option=com_onlinejudge&amp;Itemid=8&amp;page=show_problem&amp;problem=529","UVA 588")</f>
        <v>UVA 588</v>
      </c>
      <c r="C119" s="583"/>
      <c r="D119" s="159"/>
      <c r="E119" s="159"/>
      <c r="F119" s="159"/>
      <c r="G119" s="159"/>
      <c r="H119" s="160"/>
      <c r="I119" s="57">
        <f t="shared" si="0"/>
        <v>0</v>
      </c>
      <c r="J119" s="62"/>
      <c r="K119" s="56"/>
      <c r="M119" s="210" t="str">
        <f>HYPERLINK("https://github.com/mostafa-saad/MyCompetitiveProgramming/blob/master/UVA/588.cpp","Use polygon cut")</f>
        <v>Use polygon cut</v>
      </c>
    </row>
    <row r="120" spans="1:13" ht="15.6" thickTop="1" thickBot="1">
      <c r="A120" s="291"/>
      <c r="B120" s="338" t="s">
        <v>1054</v>
      </c>
      <c r="C120" s="583"/>
      <c r="D120" s="159"/>
      <c r="E120" s="159"/>
      <c r="F120" s="159"/>
      <c r="G120" s="159"/>
      <c r="H120" s="160"/>
      <c r="I120" s="57">
        <f t="shared" si="0"/>
        <v>0</v>
      </c>
      <c r="J120" s="93"/>
      <c r="K120" s="92"/>
      <c r="L120" s="29"/>
      <c r="M120" s="63"/>
    </row>
    <row r="121" spans="1:13" ht="15.6" thickTop="1" thickBot="1">
      <c r="A121" s="291"/>
      <c r="B121" s="291" t="s">
        <v>1055</v>
      </c>
      <c r="C121" s="583"/>
      <c r="D121" s="159"/>
      <c r="E121" s="159"/>
      <c r="F121" s="159"/>
      <c r="G121" s="159"/>
      <c r="H121" s="160"/>
      <c r="I121" s="57">
        <f t="shared" si="0"/>
        <v>0</v>
      </c>
      <c r="J121" s="93"/>
      <c r="K121" s="92"/>
      <c r="L121" s="29"/>
      <c r="M121" s="63"/>
    </row>
    <row r="122" spans="1:13" ht="15.6" thickTop="1" thickBot="1">
      <c r="A122" s="291"/>
      <c r="B122" s="219" t="s">
        <v>1056</v>
      </c>
      <c r="C122" s="583"/>
      <c r="D122" s="159"/>
      <c r="E122" s="159"/>
      <c r="F122" s="159"/>
      <c r="G122" s="159"/>
      <c r="H122" s="160"/>
      <c r="I122" s="57">
        <f t="shared" si="0"/>
        <v>0</v>
      </c>
      <c r="J122" s="93"/>
      <c r="K122" s="92"/>
      <c r="L122" s="29"/>
      <c r="M122" s="63"/>
    </row>
    <row r="123" spans="1:13" ht="15.6" thickTop="1" thickBot="1">
      <c r="A123" s="291"/>
      <c r="B123" s="219" t="s">
        <v>1057</v>
      </c>
      <c r="C123" s="583"/>
      <c r="D123" s="159"/>
      <c r="E123" s="159"/>
      <c r="F123" s="159"/>
      <c r="G123" s="159"/>
      <c r="H123" s="160"/>
      <c r="I123" s="57">
        <f t="shared" si="0"/>
        <v>0</v>
      </c>
      <c r="J123" s="93"/>
      <c r="K123" s="92"/>
      <c r="L123" s="29"/>
      <c r="M123" s="210" t="str">
        <f>HYPERLINK("https://github.com/aboodJAD/CompetitiveProgramming/blob/master/UVA/UVA%20557.cpp","Sol")</f>
        <v>Sol</v>
      </c>
    </row>
    <row r="124" spans="1:13" ht="15.6" thickTop="1" thickBot="1">
      <c r="A124" s="291"/>
      <c r="B124" s="219" t="s">
        <v>1058</v>
      </c>
      <c r="C124" s="583"/>
      <c r="D124" s="159"/>
      <c r="E124" s="159"/>
      <c r="F124" s="159"/>
      <c r="G124" s="159"/>
      <c r="H124" s="160"/>
      <c r="I124" s="57">
        <f t="shared" si="0"/>
        <v>0</v>
      </c>
      <c r="J124" s="93"/>
      <c r="K124" s="92"/>
      <c r="L124" s="29"/>
      <c r="M124" s="63"/>
    </row>
    <row r="125" spans="1:13" ht="15.6" thickTop="1" thickBot="1">
      <c r="A125" s="291" t="s">
        <v>1059</v>
      </c>
      <c r="B125" s="292" t="str">
        <f>HYPERLINK("https://www.hackerrank.com/challenges/xrange-and-pizza","HACKR xrange-and-pizza")</f>
        <v>HACKR xrange-and-pizza</v>
      </c>
      <c r="C125" s="583"/>
      <c r="D125" s="159"/>
      <c r="E125" s="159"/>
      <c r="F125" s="159"/>
      <c r="G125" s="159"/>
      <c r="H125" s="160"/>
      <c r="I125" s="57">
        <f t="shared" si="0"/>
        <v>0</v>
      </c>
      <c r="J125" s="62"/>
      <c r="K125" s="56"/>
      <c r="M125" s="210" t="str">
        <f>HYPERLINK("https://github.com/AbdelrahmanRamadan/competitive-programming/blob/master/HackerRank/xrange-and-pizza.cpp","Sol")</f>
        <v>Sol</v>
      </c>
    </row>
    <row r="126" spans="1:13" ht="15.6" thickTop="1" thickBot="1">
      <c r="A126" s="291"/>
      <c r="B126" s="219" t="s">
        <v>1060</v>
      </c>
      <c r="C126" s="583"/>
      <c r="D126" s="159"/>
      <c r="E126" s="159"/>
      <c r="F126" s="159"/>
      <c r="G126" s="159"/>
      <c r="H126" s="160"/>
      <c r="I126" s="57">
        <f t="shared" si="0"/>
        <v>0</v>
      </c>
      <c r="J126" s="62"/>
      <c r="K126" s="56"/>
      <c r="M126" s="63"/>
    </row>
    <row r="127" spans="1:13" ht="15.6" thickTop="1" thickBot="1">
      <c r="A127" s="291"/>
      <c r="B127" s="219" t="s">
        <v>1061</v>
      </c>
      <c r="C127" s="583"/>
      <c r="D127" s="159"/>
      <c r="E127" s="159"/>
      <c r="F127" s="159"/>
      <c r="G127" s="159"/>
      <c r="H127" s="160"/>
      <c r="I127" s="57">
        <f t="shared" si="0"/>
        <v>0</v>
      </c>
      <c r="J127" s="62"/>
      <c r="K127" s="56"/>
      <c r="M127" s="210" t="str">
        <f>HYPERLINK("https://github.com/mostafa-saad/MyCompetitiveProgramming/blob/master/UVA/UVA_11648.txt", "Sol")</f>
        <v>Sol</v>
      </c>
    </row>
    <row r="128" spans="1:13" ht="15.6" thickTop="1" thickBot="1">
      <c r="A128" s="291"/>
      <c r="B128" s="292" t="str">
        <f>HYPERLINK("http://codeforces.com/gym/101864/problem/A","CF101864-GYM-A")</f>
        <v>CF101864-GYM-A</v>
      </c>
      <c r="C128" s="583"/>
      <c r="D128" s="159"/>
      <c r="E128" s="159"/>
      <c r="F128" s="159"/>
      <c r="G128" s="159"/>
      <c r="H128" s="160"/>
      <c r="I128" s="57">
        <f t="shared" si="0"/>
        <v>0</v>
      </c>
      <c r="J128" s="62"/>
      <c r="K128" s="56"/>
      <c r="M128" s="210" t="str">
        <f>HYPERLINK("https://github.com/SpeedOfMagic/CompetitiveProgramming/blob/master/CodeforcesGym/CF101864-GYM-A.cpp","Sol")</f>
        <v>Sol</v>
      </c>
    </row>
    <row r="129" spans="1:13" ht="15.6" thickTop="1" thickBot="1">
      <c r="A129" s="291"/>
      <c r="B129" s="292" t="str">
        <f>HYPERLINK("http://codeforces.com/gym/101864/problem/L","CF101864-GYM-L")</f>
        <v>CF101864-GYM-L</v>
      </c>
      <c r="C129" s="583"/>
      <c r="D129" s="159"/>
      <c r="E129" s="159"/>
      <c r="F129" s="159"/>
      <c r="G129" s="159"/>
      <c r="H129" s="160"/>
      <c r="I129" s="57">
        <f t="shared" si="0"/>
        <v>0</v>
      </c>
      <c r="J129" s="62"/>
      <c r="K129" s="56"/>
      <c r="M129" s="210" t="str">
        <f>HYPERLINK("https://github.com/SpeedOfMagic/CompetitiveProgramming/blob/master/CodeforcesGym/CF101864-GYM-L.cpp","Sol")</f>
        <v>Sol</v>
      </c>
    </row>
    <row r="130" spans="1:13" ht="15.6" thickTop="1" thickBot="1">
      <c r="A130" s="291"/>
      <c r="B130" s="292" t="str">
        <f>HYPERLINK("http://codeforces.com/contest/28/problem/C","CF28-D12-C")</f>
        <v>CF28-D12-C</v>
      </c>
      <c r="C130" s="583"/>
      <c r="D130" s="159"/>
      <c r="E130" s="159"/>
      <c r="F130" s="159"/>
      <c r="G130" s="159"/>
      <c r="H130" s="160"/>
      <c r="I130" s="57">
        <f t="shared" si="0"/>
        <v>0</v>
      </c>
      <c r="J130" s="62"/>
      <c r="K130" s="56"/>
      <c r="M130" s="63"/>
    </row>
    <row r="131" spans="1:13" ht="15.6" thickTop="1" thickBot="1">
      <c r="A131" s="159"/>
      <c r="B131" s="265"/>
      <c r="C131" s="583"/>
      <c r="D131" s="159"/>
      <c r="E131" s="159"/>
      <c r="F131" s="159"/>
      <c r="G131" s="159"/>
      <c r="H131" s="160"/>
      <c r="I131" s="57">
        <f t="shared" si="0"/>
        <v>0</v>
      </c>
      <c r="J131" s="62"/>
      <c r="K131" s="56"/>
      <c r="L131" s="29"/>
      <c r="M131" s="339" t="str">
        <f>HYPERLINK("https://www.youtube.com/watch?v=I5A6OYH1yuM","Geometry - Point in polygon")</f>
        <v>Geometry - Point in polygon</v>
      </c>
    </row>
    <row r="132" spans="1:13" ht="15.6" thickTop="1" thickBot="1">
      <c r="A132" s="320"/>
      <c r="B132" s="194" t="s">
        <v>1062</v>
      </c>
      <c r="C132" s="583"/>
      <c r="D132" s="159"/>
      <c r="E132" s="159"/>
      <c r="F132" s="159"/>
      <c r="G132" s="159"/>
      <c r="H132" s="160"/>
      <c r="I132" s="57">
        <f t="shared" si="0"/>
        <v>0</v>
      </c>
      <c r="J132" s="62"/>
      <c r="K132" s="56"/>
      <c r="M132" s="210" t="str">
        <f>HYPERLINK("https://github.com/mostafa-saad/MyCompetitiveProgramming/blob/master/UVA/UVA_881.txt","Sol")</f>
        <v>Sol</v>
      </c>
    </row>
    <row r="133" spans="1:13" ht="15.6" thickTop="1" thickBot="1">
      <c r="A133" s="320"/>
      <c r="B133" s="194" t="s">
        <v>1063</v>
      </c>
      <c r="C133" s="583"/>
      <c r="D133" s="159"/>
      <c r="E133" s="159"/>
      <c r="F133" s="159"/>
      <c r="G133" s="159"/>
      <c r="H133" s="160"/>
      <c r="I133" s="57">
        <f t="shared" si="0"/>
        <v>0</v>
      </c>
      <c r="J133" s="62"/>
      <c r="K133" s="56"/>
      <c r="M133" s="210" t="str">
        <f>HYPERLINK("https://github.com/AbdelrahmanRamadan/competitive-programming/blob/master/UVA/11665%20-%20Chinese%20Ink.cpp","Sol")</f>
        <v>Sol</v>
      </c>
    </row>
    <row r="134" spans="1:13" ht="15.6" thickTop="1" thickBot="1">
      <c r="A134" s="320"/>
      <c r="B134" s="194" t="s">
        <v>1064</v>
      </c>
      <c r="C134" s="583"/>
      <c r="D134" s="159"/>
      <c r="E134" s="159"/>
      <c r="F134" s="159"/>
      <c r="G134" s="159"/>
      <c r="H134" s="160"/>
      <c r="I134" s="57">
        <f t="shared" si="0"/>
        <v>0</v>
      </c>
      <c r="J134" s="62"/>
      <c r="K134" s="56"/>
      <c r="M134" s="210" t="str">
        <f>HYPERLINK("https://github.com/AbdelrahmanRamadan/competitive-programming/blob/master/Timus/1599-Winding-Number.cpp","Sol")</f>
        <v>Sol</v>
      </c>
    </row>
    <row r="135" spans="1:13" ht="15.6" thickTop="1" thickBot="1">
      <c r="A135" s="276" t="s">
        <v>1065</v>
      </c>
      <c r="B135" s="316" t="str">
        <f>HYPERLINK("https://uva.onlinejudge.org/index.php?option=onlinejudge&amp;page=show_problem&amp;problem=73","UVA 137")</f>
        <v>UVA 137</v>
      </c>
      <c r="C135" s="583"/>
      <c r="D135" s="159"/>
      <c r="E135" s="159"/>
      <c r="F135" s="159"/>
      <c r="G135" s="159"/>
      <c r="H135" s="160"/>
      <c r="I135" s="57">
        <f t="shared" si="0"/>
        <v>0</v>
      </c>
      <c r="J135" s="62"/>
      <c r="K135" s="56"/>
      <c r="M135" s="210" t="str">
        <f>HYPERLINK("https://github.com/mostafa-saad/MyCompetitiveProgramming/blob/master/UVA/UVA_137.txt","Sol")</f>
        <v>Sol</v>
      </c>
    </row>
    <row r="136" spans="1:13" ht="13.8" thickTop="1">
      <c r="A136" s="340"/>
      <c r="B136" s="340"/>
      <c r="C136" s="159"/>
      <c r="D136" s="159"/>
      <c r="E136" s="159"/>
      <c r="F136" s="159"/>
      <c r="G136" s="159"/>
      <c r="H136" s="160"/>
      <c r="I136" s="57">
        <f t="shared" si="0"/>
        <v>0</v>
      </c>
      <c r="J136" s="62"/>
      <c r="K136" s="56"/>
      <c r="L136" s="29"/>
      <c r="M136" s="262" t="str">
        <f>HYPERLINK("https://www.youtube.com/watch?v=QuOiEwefssM&amp;t=2s&amp;list=PLPt2dINI2MIb4OXlJ_EEwIDV9WVUpRQ5K&amp;index=16","Graph Theory - Maximum Flow (2 vid)")</f>
        <v>Graph Theory - Maximum Flow (2 vid)</v>
      </c>
    </row>
    <row r="137" spans="1:13" ht="13.2">
      <c r="A137" s="320" t="s">
        <v>1066</v>
      </c>
      <c r="B137" s="341" t="str">
        <f>HYPERLINK("http://www.spoj.com/problems/POTHOLE/","SPOJ POTHOLE")</f>
        <v>SPOJ POTHOLE</v>
      </c>
      <c r="C137" s="159"/>
      <c r="D137" s="159"/>
      <c r="E137" s="159"/>
      <c r="F137" s="159"/>
      <c r="G137" s="159"/>
      <c r="H137" s="160"/>
      <c r="I137" s="57">
        <f t="shared" si="0"/>
        <v>0</v>
      </c>
      <c r="J137" s="62"/>
      <c r="K137" s="56"/>
      <c r="L137" s="29"/>
      <c r="M137" s="210" t="str">
        <f>HYPERLINK("https://github.com/BRAINOOOO/CompetitiveProgramming/blob/682cdb2f527d2ab262a9f616687b53a158b281a4/Spoj/SPOJ%20POTHOLE.Cpp","Sol")</f>
        <v>Sol</v>
      </c>
    </row>
    <row r="138" spans="1:13" ht="13.2">
      <c r="A138" s="320" t="s">
        <v>1067</v>
      </c>
      <c r="B138" s="196" t="str">
        <f>HYPERLINK("https://uva.onlinejudge.org/index.php?option=onlinejudge&amp;page=show_problem&amp;problem=1271","UVA 10330")</f>
        <v>UVA 10330</v>
      </c>
      <c r="C138" s="159"/>
      <c r="D138" s="159"/>
      <c r="E138" s="159"/>
      <c r="F138" s="159"/>
      <c r="G138" s="159"/>
      <c r="H138" s="160"/>
      <c r="I138" s="57">
        <f t="shared" si="0"/>
        <v>0</v>
      </c>
      <c r="J138" s="62"/>
      <c r="K138" s="56"/>
      <c r="L138" s="29"/>
      <c r="M138" s="210" t="str">
        <f>HYPERLINK("https://github.com/ilyesG/Competitive-Programming/blob/master/UVA/UVA%2010330.cpp","Sol")</f>
        <v>Sol</v>
      </c>
    </row>
    <row r="139" spans="1:13" ht="13.2">
      <c r="A139" s="320" t="s">
        <v>1068</v>
      </c>
      <c r="B139" s="342" t="str">
        <f>HYPERLINK("https://uva.onlinejudge.org/index.php?option=com_onlinejudge&amp;Itemid=8&amp;page=show_problem&amp;problem=1021","UVA 10080")</f>
        <v>UVA 10080</v>
      </c>
      <c r="C139" s="159"/>
      <c r="D139" s="159"/>
      <c r="E139" s="159"/>
      <c r="F139" s="159"/>
      <c r="G139" s="159"/>
      <c r="H139" s="160"/>
      <c r="I139" s="57">
        <f t="shared" si="0"/>
        <v>0</v>
      </c>
      <c r="J139" s="62"/>
      <c r="K139" s="56"/>
      <c r="L139" s="29"/>
      <c r="M139" s="210" t="str">
        <f>HYPERLINK("https://github.com/ilyesG/Competitive-Programming/blob/master/UVA/UVA%2010080.cpp","Sol")</f>
        <v>Sol</v>
      </c>
    </row>
    <row r="140" spans="1:13" ht="13.2">
      <c r="A140" s="320" t="s">
        <v>1069</v>
      </c>
      <c r="B140" s="196" t="str">
        <f>HYPERLINK("https://uva.onlinejudge.org/index.php?option=com_onlinejudge&amp;Itemid=8&amp;page=show_problem&amp;problem=195","UVA 259")</f>
        <v>UVA 259</v>
      </c>
      <c r="C140" s="159"/>
      <c r="D140" s="159"/>
      <c r="E140" s="159"/>
      <c r="F140" s="159"/>
      <c r="G140" s="159"/>
      <c r="H140" s="160"/>
      <c r="I140" s="57">
        <f t="shared" si="0"/>
        <v>0</v>
      </c>
      <c r="J140" s="62"/>
      <c r="K140" s="56"/>
      <c r="L140" s="29"/>
      <c r="M140" s="210" t="str">
        <f>HYPERLINK("https://github.com/mostafa-saad/MyCompetitiveProgramming/blob/master/UVA/UVA_259.txt","Sol")</f>
        <v>Sol</v>
      </c>
    </row>
    <row r="141" spans="1:13" ht="13.2">
      <c r="A141" s="320"/>
      <c r="B141" s="342" t="str">
        <f>HYPERLINK("https://uva.onlinejudge.org/index.php?option=onlinejudge&amp;page=show_problem&amp;problem=1290","UVA 10349")</f>
        <v>UVA 10349</v>
      </c>
      <c r="C141" s="159"/>
      <c r="D141" s="159"/>
      <c r="E141" s="159"/>
      <c r="F141" s="159"/>
      <c r="G141" s="159"/>
      <c r="H141" s="160"/>
      <c r="I141" s="57">
        <f t="shared" si="0"/>
        <v>0</v>
      </c>
      <c r="J141" s="62"/>
      <c r="K141" s="56"/>
      <c r="L141" s="29"/>
      <c r="M141" s="210" t="str">
        <f>HYPERLINK("https://github.com/mostafa-saad/MyCompetitiveProgramming/blob/master/UVA/UVA_10349.txt","Sol - 2 ways")</f>
        <v>Sol - 2 ways</v>
      </c>
    </row>
    <row r="142" spans="1:13" ht="13.2">
      <c r="A142" s="320"/>
      <c r="B142" s="343" t="s">
        <v>1070</v>
      </c>
      <c r="C142" s="159"/>
      <c r="D142" s="159"/>
      <c r="E142" s="159"/>
      <c r="F142" s="159"/>
      <c r="G142" s="159"/>
      <c r="H142" s="160"/>
      <c r="I142" s="57">
        <f t="shared" si="0"/>
        <v>0</v>
      </c>
      <c r="J142" s="62"/>
      <c r="K142" s="56"/>
      <c r="L142" s="29"/>
      <c r="M142" s="210" t="str">
        <f>HYPERLINK("https://github.com/BRAINOOOO/CompetitiveProgramming/blob/master/UVA/V-121/UVA%2012168.Cpp","Sol")</f>
        <v>Sol</v>
      </c>
    </row>
    <row r="143" spans="1:13" ht="13.2">
      <c r="A143" s="320" t="s">
        <v>1071</v>
      </c>
      <c r="B143" s="196" t="str">
        <f>HYPERLINK("https://uva.onlinejudge.org/index.php?option=onlinejudge&amp;page=show_problem&amp;problem=694","UVA 753")</f>
        <v>UVA 753</v>
      </c>
      <c r="C143" s="159"/>
      <c r="D143" s="159"/>
      <c r="E143" s="159"/>
      <c r="F143" s="159"/>
      <c r="G143" s="159"/>
      <c r="H143" s="160"/>
      <c r="I143" s="57">
        <f t="shared" si="0"/>
        <v>0</v>
      </c>
      <c r="J143" s="62"/>
      <c r="K143" s="56"/>
      <c r="L143" s="29"/>
      <c r="M143" s="210" t="str">
        <f>HYPERLINK("https://github.com/BRAINOOOO/CompetitiveProgramming/blob/master/UVA/V-7/UVA%20753.Cpp","Sol")</f>
        <v>Sol</v>
      </c>
    </row>
    <row r="144" spans="1:13" ht="13.2">
      <c r="A144" s="320"/>
      <c r="B144" s="344" t="str">
        <f>HYPERLINK("https://uva.onlinejudge.org/index.php?option=onlinejudge&amp;page=show_problem&amp;problem=1290","UVA 10349")</f>
        <v>UVA 10349</v>
      </c>
      <c r="C144" s="159"/>
      <c r="D144" s="159"/>
      <c r="E144" s="159"/>
      <c r="F144" s="159"/>
      <c r="G144" s="159"/>
      <c r="H144" s="160"/>
      <c r="I144" s="57">
        <f t="shared" si="0"/>
        <v>0</v>
      </c>
      <c r="J144" s="62"/>
      <c r="K144" s="56"/>
      <c r="L144" s="29"/>
      <c r="M144" s="210" t="str">
        <f>HYPERLINK("https://github.com/mostafa-saad/MyCompetitiveProgramming/blob/master/UVA/UVA_10349.txt","Sol - 2 ways")</f>
        <v>Sol - 2 ways</v>
      </c>
    </row>
    <row r="145" spans="1:13" ht="13.2">
      <c r="A145" s="320" t="s">
        <v>1072</v>
      </c>
      <c r="B145" s="345" t="str">
        <f>HYPERLINK("http://www.spoj.com/problems/IM","SPOJ IM")</f>
        <v>SPOJ IM</v>
      </c>
      <c r="C145" s="159"/>
      <c r="D145" s="159"/>
      <c r="E145" s="159"/>
      <c r="F145" s="159"/>
      <c r="G145" s="159"/>
      <c r="H145" s="160"/>
      <c r="I145" s="57">
        <f t="shared" si="0"/>
        <v>0</v>
      </c>
      <c r="J145" s="62"/>
      <c r="K145" s="56"/>
      <c r="L145" s="29"/>
      <c r="M145" s="210" t="str">
        <f>HYPERLINK("https://github.com/mostafa-saad/MyCompetitiveProgramming/blob/master/SPOJ/SPOJ_IM.txt","Sol")</f>
        <v>Sol</v>
      </c>
    </row>
    <row r="146" spans="1:13" ht="13.2">
      <c r="A146" s="320"/>
      <c r="B146" s="344" t="str">
        <f>HYPERLINK("https://uva.onlinejudge.org/index.php?option=com_onlinejudge&amp;Itemid=8&amp;page=show_problem&amp;problem=2100","UVA 11159")</f>
        <v>UVA 11159</v>
      </c>
      <c r="C146" s="159"/>
      <c r="D146" s="159"/>
      <c r="E146" s="159"/>
      <c r="F146" s="159"/>
      <c r="G146" s="159"/>
      <c r="H146" s="160"/>
      <c r="I146" s="57">
        <f t="shared" si="0"/>
        <v>0</v>
      </c>
      <c r="J146" s="62"/>
      <c r="K146" s="56"/>
      <c r="L146" s="29"/>
      <c r="M146" s="210" t="str">
        <f>HYPERLINK("https://github.com/mostafa-saad/MyCompetitiveProgramming/blob/master/UVA/UVA_11159.txt","Sol")</f>
        <v>Sol</v>
      </c>
    </row>
    <row r="147" spans="1:13" ht="13.2">
      <c r="A147" s="320"/>
      <c r="B147" s="343" t="s">
        <v>1073</v>
      </c>
      <c r="C147" s="159"/>
      <c r="D147" s="159"/>
      <c r="E147" s="159"/>
      <c r="F147" s="159"/>
      <c r="G147" s="159"/>
      <c r="H147" s="160"/>
      <c r="I147" s="57">
        <f t="shared" si="0"/>
        <v>0</v>
      </c>
      <c r="J147" s="62"/>
      <c r="K147" s="56"/>
      <c r="L147" s="29"/>
      <c r="M147" s="210" t="str">
        <f>HYPERLINK("https://github.com/ilyesG/Competitive-Programming/blob/master/UVA/UVA%201194.cpp","Sol")</f>
        <v>Sol</v>
      </c>
    </row>
    <row r="148" spans="1:13" ht="13.2">
      <c r="A148" s="279" t="s">
        <v>1074</v>
      </c>
      <c r="B148" s="346" t="str">
        <f>HYPERLINK("http://poj.org/problem?id=2374","PKU 2374")</f>
        <v>PKU 2374</v>
      </c>
      <c r="C148" s="159"/>
      <c r="D148" s="159"/>
      <c r="E148" s="159"/>
      <c r="F148" s="159"/>
      <c r="G148" s="159"/>
      <c r="H148" s="160"/>
      <c r="I148" s="57">
        <f t="shared" si="0"/>
        <v>0</v>
      </c>
      <c r="J148" s="93"/>
      <c r="K148" s="92"/>
      <c r="M148" s="210" t="str">
        <f>HYPERLINK("https://github.com/mostafa-saad/MyCompetitiveProgramming/blob/master/PKU/PKU_2374.txt","Sol")</f>
        <v>Sol</v>
      </c>
    </row>
    <row r="149" spans="1:13" ht="13.8" thickBot="1">
      <c r="A149" s="282" t="s">
        <v>1075</v>
      </c>
      <c r="B149" s="279" t="s">
        <v>1076</v>
      </c>
      <c r="C149" s="159"/>
      <c r="D149" s="159"/>
      <c r="E149" s="159"/>
      <c r="F149" s="159"/>
      <c r="G149" s="159"/>
      <c r="H149" s="160"/>
      <c r="I149" s="57">
        <f t="shared" si="0"/>
        <v>0</v>
      </c>
      <c r="J149" s="93"/>
      <c r="K149" s="92"/>
      <c r="M149" s="210" t="str">
        <f>HYPERLINK("https://github.com/mostafa-saad/MyCompetitiveProgramming/blob/master/UVA/UVA_10514.txt","Sol")</f>
        <v>Sol</v>
      </c>
    </row>
    <row r="150" spans="1:13" ht="15.6" thickTop="1" thickBot="1">
      <c r="A150" s="263"/>
      <c r="B150" s="279" t="s">
        <v>1077</v>
      </c>
      <c r="C150" s="583"/>
      <c r="D150" s="159"/>
      <c r="E150" s="159"/>
      <c r="F150" s="159"/>
      <c r="G150" s="159"/>
      <c r="H150" s="160"/>
      <c r="I150" s="57">
        <f t="shared" si="0"/>
        <v>0</v>
      </c>
      <c r="J150" s="93"/>
      <c r="K150" s="92"/>
      <c r="M150" s="210" t="str">
        <f>HYPERLINK("https://github.com/AbdelrahmanRamadan/competitive-programming/blob/master/Topcoder/SRM368%20Jumping%20Board.cpp","Sol")</f>
        <v>Sol</v>
      </c>
    </row>
    <row r="151" spans="1:13" ht="15.6" thickTop="1" thickBot="1">
      <c r="A151" s="263"/>
      <c r="B151" s="279" t="s">
        <v>1078</v>
      </c>
      <c r="C151" s="583"/>
      <c r="D151" s="159"/>
      <c r="E151" s="159"/>
      <c r="F151" s="159"/>
      <c r="G151" s="159"/>
      <c r="H151" s="160"/>
      <c r="I151" s="57">
        <f t="shared" si="0"/>
        <v>0</v>
      </c>
      <c r="J151" s="93"/>
      <c r="K151" s="92"/>
      <c r="M151" s="210" t="str">
        <f>HYPERLINK("https://github.com/AbdelrahmanRamadan/competitive-programming/blob/master/Topcoder/SRM373%20RectangleCrossings.cpp","Sol")</f>
        <v>Sol</v>
      </c>
    </row>
    <row r="152" spans="1:13" ht="15.6" thickTop="1" thickBot="1">
      <c r="A152" s="263"/>
      <c r="B152" s="263" t="s">
        <v>1079</v>
      </c>
      <c r="C152" s="583"/>
      <c r="D152" s="159"/>
      <c r="E152" s="159"/>
      <c r="F152" s="159"/>
      <c r="G152" s="159"/>
      <c r="H152" s="160"/>
      <c r="I152" s="57">
        <f t="shared" si="0"/>
        <v>0</v>
      </c>
      <c r="J152" s="26"/>
      <c r="K152" s="29"/>
      <c r="L152" s="29"/>
      <c r="M152" s="244" t="str">
        <f>HYPERLINK("https://github.com/WaleedAbdelhakim/Competitive-Programming/blob/master/ZOJ/2587.cpp","Sol")</f>
        <v>Sol</v>
      </c>
    </row>
    <row r="153" spans="1:13" ht="13.8" thickTop="1">
      <c r="A153" s="263"/>
      <c r="B153" s="282" t="s">
        <v>1080</v>
      </c>
      <c r="C153" s="159"/>
      <c r="D153" s="159"/>
      <c r="E153" s="159"/>
      <c r="F153" s="159"/>
      <c r="G153" s="159"/>
      <c r="H153" s="160"/>
      <c r="I153" s="57">
        <f t="shared" si="0"/>
        <v>0</v>
      </c>
      <c r="J153" s="93"/>
      <c r="K153" s="92"/>
      <c r="L153" s="29"/>
      <c r="M153" s="210" t="str">
        <f>HYPERLINK("https://github.com/OmarHashim/Competitive-Programming/blob/master/UVA/10180.cpp","Sol")</f>
        <v>Sol</v>
      </c>
    </row>
    <row r="154" spans="1:13" ht="13.2">
      <c r="A154" s="263"/>
      <c r="B154" s="282" t="s">
        <v>1081</v>
      </c>
      <c r="C154" s="159"/>
      <c r="D154" s="159"/>
      <c r="E154" s="159"/>
      <c r="F154" s="159"/>
      <c r="G154" s="159"/>
      <c r="H154" s="160"/>
      <c r="I154" s="57">
        <f t="shared" si="0"/>
        <v>0</v>
      </c>
      <c r="J154" s="93"/>
      <c r="K154" s="92"/>
      <c r="L154" s="29"/>
      <c r="M154" s="186" t="str">
        <f>HYPERLINK("https://github.com/AhmedRamadanAbdElghany/CompetitiveProgramming/blob/master/UVA/1184.cpp","Sol")</f>
        <v>Sol</v>
      </c>
    </row>
    <row r="155" spans="1:13" ht="13.8" thickBot="1">
      <c r="A155" s="263"/>
      <c r="B155" s="282" t="s">
        <v>1082</v>
      </c>
      <c r="C155" s="159"/>
      <c r="D155" s="159"/>
      <c r="E155" s="159"/>
      <c r="F155" s="159"/>
      <c r="G155" s="159"/>
      <c r="H155" s="160"/>
      <c r="I155" s="57">
        <f t="shared" si="0"/>
        <v>0</v>
      </c>
      <c r="J155" s="93"/>
      <c r="K155" s="92"/>
      <c r="L155" s="29"/>
      <c r="M155" s="186" t="str">
        <f>HYPERLINK("https://github.com/tanmoy13/CompetitveProgramming/blob/master/Online-Judge-Solutions/UVA/670%20-%20The%20dog%20task.cpp","Sol")</f>
        <v>Sol</v>
      </c>
    </row>
    <row r="156" spans="1:13" ht="15.6" thickTop="1" thickBot="1">
      <c r="A156" s="263"/>
      <c r="B156" s="282" t="s">
        <v>1083</v>
      </c>
      <c r="C156" s="583"/>
      <c r="D156" s="159"/>
      <c r="E156" s="159"/>
      <c r="F156" s="159"/>
      <c r="G156" s="159"/>
      <c r="H156" s="160"/>
      <c r="I156" s="57">
        <f t="shared" si="0"/>
        <v>0</v>
      </c>
      <c r="J156" s="93"/>
      <c r="K156" s="92"/>
      <c r="L156" s="29"/>
      <c r="M156" s="63"/>
    </row>
    <row r="157" spans="1:13" ht="15.6" thickTop="1" thickBot="1">
      <c r="A157" s="263"/>
      <c r="B157" s="282" t="s">
        <v>1084</v>
      </c>
      <c r="C157" s="583"/>
      <c r="D157" s="159"/>
      <c r="E157" s="159"/>
      <c r="F157" s="159"/>
      <c r="G157" s="159"/>
      <c r="H157" s="160"/>
      <c r="I157" s="57">
        <f t="shared" si="0"/>
        <v>0</v>
      </c>
      <c r="J157" s="93"/>
      <c r="K157" s="92"/>
      <c r="L157" s="29"/>
      <c r="M157" s="63"/>
    </row>
    <row r="158" spans="1:13" ht="15.6" thickTop="1" thickBot="1">
      <c r="A158" s="263"/>
      <c r="B158" s="282" t="s">
        <v>1085</v>
      </c>
      <c r="C158" s="583"/>
      <c r="D158" s="159"/>
      <c r="E158" s="159"/>
      <c r="F158" s="159"/>
      <c r="G158" s="159"/>
      <c r="H158" s="160"/>
      <c r="I158" s="57">
        <f t="shared" si="0"/>
        <v>0</v>
      </c>
      <c r="J158" s="93"/>
      <c r="K158" s="92"/>
      <c r="L158" s="29"/>
      <c r="M158" s="29"/>
    </row>
    <row r="159" spans="1:13" ht="15.75" customHeight="1" thickTop="1"/>
    <row r="192" spans="2:3" ht="15.75" customHeight="1">
      <c r="B192" t="s">
        <v>1270</v>
      </c>
      <c r="C192" t="s">
        <v>14511</v>
      </c>
    </row>
    <row r="205" spans="2:3" ht="15.75" customHeight="1">
      <c r="B205" t="s">
        <v>1300</v>
      </c>
      <c r="C205" t="s">
        <v>14512</v>
      </c>
    </row>
  </sheetData>
  <conditionalFormatting sqref="K3:K158">
    <cfRule type="cellIs" dxfId="23" priority="1" operator="equal">
      <formula>"No"</formula>
    </cfRule>
  </conditionalFormatting>
  <conditionalFormatting sqref="K3:K158">
    <cfRule type="cellIs" dxfId="22" priority="2" operator="equal">
      <formula>"no"</formula>
    </cfRule>
  </conditionalFormatting>
  <conditionalFormatting sqref="K3:K158">
    <cfRule type="cellIs" dxfId="21" priority="3" operator="equal">
      <formula>"NO"</formula>
    </cfRule>
  </conditionalFormatting>
  <conditionalFormatting sqref="A131 A136:B136 C3:C158">
    <cfRule type="cellIs" dxfId="20" priority="4" operator="equal">
      <formula>"AC"</formula>
    </cfRule>
  </conditionalFormatting>
  <conditionalFormatting sqref="A131 A136:B136 C3:C158">
    <cfRule type="containsText" dxfId="19" priority="5" operator="containsText" text="WA">
      <formula>NOT(ISERROR(SEARCH(("WA"),(C3))))</formula>
    </cfRule>
  </conditionalFormatting>
  <conditionalFormatting sqref="A131 A136:B136 C10:C158">
    <cfRule type="containsText" dxfId="18" priority="6" operator="containsText" text="WA">
      <formula>NOT(ISERROR(SEARCH(("WA"),(C10))))</formula>
    </cfRule>
  </conditionalFormatting>
  <conditionalFormatting sqref="A131 A136:B136 C3:C158">
    <cfRule type="containsText" dxfId="17" priority="7" operator="containsText" text="TLE">
      <formula>NOT(ISERROR(SEARCH(("TLE"),(C3))))</formula>
    </cfRule>
  </conditionalFormatting>
  <conditionalFormatting sqref="A131 A136:B136 C10:C158">
    <cfRule type="containsText" dxfId="16" priority="8" operator="containsText" text="TLE">
      <formula>NOT(ISERROR(SEARCH(("TLE"),(C10))))</formula>
    </cfRule>
  </conditionalFormatting>
  <conditionalFormatting sqref="A131 A136:B136 C3:C158">
    <cfRule type="containsText" dxfId="15" priority="9" operator="containsText" text="RTE">
      <formula>NOT(ISERROR(SEARCH(("RTE"),(C3))))</formula>
    </cfRule>
  </conditionalFormatting>
  <conditionalFormatting sqref="A131 A136:B136 C10:C158">
    <cfRule type="containsText" dxfId="14" priority="10" operator="containsText" text="RTE">
      <formula>NOT(ISERROR(SEARCH(("RTE"),(C10))))</formula>
    </cfRule>
  </conditionalFormatting>
  <conditionalFormatting sqref="A131 A136:B136 C3:C158">
    <cfRule type="containsText" dxfId="13" priority="11" operator="containsText" text="CS">
      <formula>NOT(ISERROR(SEARCH(("CS"),(C3))))</formula>
    </cfRule>
  </conditionalFormatting>
  <conditionalFormatting sqref="A131 A136:B136 C10:C158">
    <cfRule type="containsText" dxfId="12" priority="12" operator="containsText" text="CS">
      <formula>NOT(ISERROR(SEARCH(("CS"),(C10))))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Info</vt:lpstr>
      <vt:lpstr>FAQ</vt:lpstr>
      <vt:lpstr>Topics</vt:lpstr>
      <vt:lpstr>A</vt:lpstr>
      <vt:lpstr>B</vt:lpstr>
      <vt:lpstr>C1</vt:lpstr>
      <vt:lpstr>C2</vt:lpstr>
      <vt:lpstr>D1</vt:lpstr>
      <vt:lpstr>D2</vt:lpstr>
      <vt:lpstr>Routine</vt:lpstr>
      <vt:lpstr>D3</vt:lpstr>
      <vt:lpstr>my_topic_best_expert</vt:lpstr>
      <vt:lpstr>Baap</vt:lpstr>
      <vt:lpstr>final_450</vt:lpstr>
      <vt:lpstr>baap4</vt:lpstr>
      <vt:lpstr>baap5</vt:lpstr>
      <vt:lpstr>baap6</vt:lpstr>
      <vt:lpstr>blog</vt:lpstr>
      <vt:lpstr>Tree</vt:lpstr>
      <vt:lpstr>DP</vt:lpstr>
      <vt:lpstr>logic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Anubhav Gupta</dc:creator>
  <cp:lastModifiedBy>ADITI</cp:lastModifiedBy>
  <dcterms:created xsi:type="dcterms:W3CDTF">2021-03-31T08:45:31Z</dcterms:created>
  <dcterms:modified xsi:type="dcterms:W3CDTF">2022-06-24T02:45:17Z</dcterms:modified>
</cp:coreProperties>
</file>